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customProperty3.bin" ContentType="application/vnd.openxmlformats-officedocument.spreadsheetml.customProperty"/>
  <Override PartName="/xl/drawings/drawing4.xml" ContentType="application/vnd.openxmlformats-officedocument.drawing+xml"/>
  <Override PartName="/xl/comments3.xml" ContentType="application/vnd.openxmlformats-officedocument.spreadsheetml.comments+xml"/>
  <Override PartName="/xl/customProperty4.bin" ContentType="application/vnd.openxmlformats-officedocument.spreadsheetml.customProperty"/>
  <Override PartName="/xl/drawings/drawing5.xml" ContentType="application/vnd.openxmlformats-officedocument.drawing+xml"/>
  <Override PartName="/xl/comments4.xml" ContentType="application/vnd.openxmlformats-officedocument.spreadsheetml.comments+xml"/>
  <Override PartName="/xl/customProperty5.bin" ContentType="application/vnd.openxmlformats-officedocument.spreadsheetml.customProperty"/>
  <Override PartName="/xl/drawings/drawing6.xml" ContentType="application/vnd.openxmlformats-officedocument.drawing+xml"/>
  <Override PartName="/xl/comments5.xml" ContentType="application/vnd.openxmlformats-officedocument.spreadsheetml.comments+xml"/>
  <Override PartName="/xl/customProperty6.bin" ContentType="application/vnd.openxmlformats-officedocument.spreadsheetml.customProperty"/>
  <Override PartName="/xl/drawings/drawing7.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autoCompressPictures="0" defaultThemeVersion="124226"/>
  <mc:AlternateContent xmlns:mc="http://schemas.openxmlformats.org/markup-compatibility/2006">
    <mc:Choice Requires="x15">
      <x15ac:absPath xmlns:x15ac="http://schemas.microsoft.com/office/spreadsheetml/2010/11/ac" url="C:\Users\FKTF0714\Desktop\OBS\QUOTATION\12 DECEMBER\"/>
    </mc:Choice>
  </mc:AlternateContent>
  <xr:revisionPtr revIDLastSave="0" documentId="13_ncr:1_{E341C21A-7129-4FD6-97B3-542D7822D37E}" xr6:coauthVersionLast="47" xr6:coauthVersionMax="47" xr10:uidLastSave="{00000000-0000-0000-0000-000000000000}"/>
  <bookViews>
    <workbookView xWindow="-120" yWindow="-16320" windowWidth="29040" windowHeight="15840" tabRatio="853" xr2:uid="{00000000-000D-0000-FFFF-FFFF00000000}"/>
  </bookViews>
  <sheets>
    <sheet name="Flexible Engine" sheetId="46" r:id="rId1"/>
    <sheet name="Liste de prix Public EUROPE" sheetId="7" state="hidden" r:id="rId2"/>
    <sheet name="RDS Réservés" sheetId="69" state="hidden" r:id="rId3"/>
    <sheet name="Deviseur EUROPE" sheetId="1" r:id="rId4"/>
    <sheet name="QuoteTool EUROPE" sheetId="42" r:id="rId5"/>
    <sheet name="Devis EUROPE" sheetId="4" r:id="rId6"/>
    <sheet name="Quote EUROPE" sheetId="43" r:id="rId7"/>
    <sheet name="Historique GDU" sheetId="68" state="hidden" r:id="rId8"/>
    <sheet name="FE STACK" sheetId="65" state="hidden" r:id="rId9"/>
    <sheet name="FE STACK PRICES" sheetId="66" state="hidden" r:id="rId10"/>
  </sheets>
  <definedNames>
    <definedName name="_xlnm._FilterDatabase" localSheetId="1" hidden="1">'Liste de prix Public EUROPE'!$B$377:$H$428</definedName>
    <definedName name="FE_stac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3">'Deviseur EUROPE'!$A$4:$I$277</definedName>
    <definedName name="_xlnm.Print_Area" localSheetId="6">'Quote EUROPE'!$A$1:$G$395</definedName>
    <definedName name="_xlnm.Print_Area" localSheetId="4">'QuoteTool EUROPE'!$A$1:$H$252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20" i="4" l="1"/>
  <c r="F320" i="4" a="1"/>
  <c r="F320" i="4" s="1"/>
  <c r="A320" i="4"/>
  <c r="C16" i="1"/>
  <c r="G287" i="4"/>
  <c r="G39" i="4" s="1"/>
  <c r="C340" i="1"/>
  <c r="C342" i="1" s="1"/>
  <c r="C341" i="1"/>
  <c r="C297" i="42"/>
  <c r="E312" i="43"/>
  <c r="A310" i="43"/>
  <c r="E310" i="43" s="1"/>
  <c r="D321" i="42"/>
  <c r="C16" i="42"/>
  <c r="C312" i="42"/>
  <c r="C311" i="42"/>
  <c r="C313" i="42" s="1"/>
  <c r="E315" i="43" s="1"/>
  <c r="I305" i="42"/>
  <c r="I306" i="42"/>
  <c r="I307" i="42"/>
  <c r="I304" i="42"/>
  <c r="G297" i="42"/>
  <c r="I333" i="1"/>
  <c r="C305" i="42"/>
  <c r="C306" i="42"/>
  <c r="C307" i="42"/>
  <c r="C304" i="42"/>
  <c r="G298" i="42"/>
  <c r="G299" i="42"/>
  <c r="G300" i="42"/>
  <c r="C298" i="42"/>
  <c r="C299" i="42"/>
  <c r="C300" i="42"/>
  <c r="B291" i="42"/>
  <c r="B292" i="42"/>
  <c r="B293" i="42"/>
  <c r="B290" i="42"/>
  <c r="B16" i="1"/>
  <c r="D350" i="1"/>
  <c r="A2033" i="7"/>
  <c r="A2034" i="7"/>
  <c r="A2035" i="7"/>
  <c r="A2036" i="7"/>
  <c r="A2037" i="7"/>
  <c r="A2038" i="7"/>
  <c r="A2039" i="7"/>
  <c r="A2040" i="7"/>
  <c r="A2041" i="7"/>
  <c r="A2042" i="7"/>
  <c r="A2043" i="7"/>
  <c r="A2044" i="7"/>
  <c r="A2045" i="7"/>
  <c r="A2046" i="7"/>
  <c r="A2047" i="7"/>
  <c r="A2032" i="7"/>
  <c r="H2032" i="7" s="1"/>
  <c r="I346" i="1"/>
  <c r="D2808" i="7"/>
  <c r="D2807" i="7"/>
  <c r="D2806" i="7"/>
  <c r="A315" i="43" l="1"/>
  <c r="G315" i="43" s="1"/>
  <c r="G310" i="43"/>
  <c r="I308" i="42"/>
  <c r="A318" i="43" s="1"/>
  <c r="G318" i="43" s="1"/>
  <c r="C327" i="1"/>
  <c r="C328" i="1"/>
  <c r="C329" i="1"/>
  <c r="C326" i="1"/>
  <c r="C336" i="1"/>
  <c r="B319" i="1"/>
  <c r="B320" i="1"/>
  <c r="I334" i="1"/>
  <c r="I335" i="1"/>
  <c r="I336" i="1"/>
  <c r="E318" i="43" l="1"/>
  <c r="G301" i="42"/>
  <c r="A317" i="43" s="1"/>
  <c r="G326" i="1"/>
  <c r="G328" i="1"/>
  <c r="G329" i="1"/>
  <c r="G327" i="1"/>
  <c r="E317" i="43" l="1"/>
  <c r="G317" i="43"/>
  <c r="G41" i="43" s="1"/>
  <c r="I337" i="1"/>
  <c r="A323" i="4" s="1"/>
  <c r="C335" i="1"/>
  <c r="C334" i="1"/>
  <c r="C333" i="1"/>
  <c r="G323" i="4" l="1"/>
  <c r="F323" i="4"/>
  <c r="K40" i="69"/>
  <c r="K41" i="69"/>
  <c r="K42" i="69"/>
  <c r="K43" i="69"/>
  <c r="K44" i="69"/>
  <c r="K45" i="69"/>
  <c r="K46" i="69"/>
  <c r="K47" i="69"/>
  <c r="K48" i="69"/>
  <c r="K49" i="69"/>
  <c r="K50" i="69"/>
  <c r="K51" i="69"/>
  <c r="K52" i="69"/>
  <c r="K53" i="69"/>
  <c r="K54" i="69"/>
  <c r="K55" i="69"/>
  <c r="K56" i="69"/>
  <c r="K57" i="69"/>
  <c r="K58" i="69"/>
  <c r="K59" i="69"/>
  <c r="K60" i="69"/>
  <c r="K61" i="69"/>
  <c r="K62" i="69"/>
  <c r="K63" i="69"/>
  <c r="K64" i="69"/>
  <c r="K65" i="69"/>
  <c r="K66" i="69"/>
  <c r="K67" i="69"/>
  <c r="K68" i="69"/>
  <c r="K39" i="69"/>
  <c r="G330" i="1" l="1"/>
  <c r="A322" i="4" s="1"/>
  <c r="E555" i="1"/>
  <c r="F80" i="1"/>
  <c r="F1575" i="7"/>
  <c r="F1412" i="7"/>
  <c r="G322" i="4" l="1"/>
  <c r="G42" i="4" s="1"/>
  <c r="F322" i="4"/>
  <c r="E154" i="42"/>
  <c r="E179" i="1"/>
  <c r="C180" i="42"/>
  <c r="C182" i="42"/>
  <c r="C183" i="42"/>
  <c r="C234" i="42"/>
  <c r="A183" i="43" s="1"/>
  <c r="G183" i="43" s="1"/>
  <c r="C261" i="1"/>
  <c r="C245" i="1"/>
  <c r="C253" i="1"/>
  <c r="C273" i="42"/>
  <c r="C272" i="42"/>
  <c r="C301" i="1"/>
  <c r="C296" i="1"/>
  <c r="C302" i="1"/>
  <c r="C230" i="42"/>
  <c r="A182" i="43" s="1"/>
  <c r="G182" i="43" s="1"/>
  <c r="C257" i="1"/>
  <c r="A182" i="4" s="1"/>
  <c r="G182" i="4" s="1"/>
  <c r="C186" i="42"/>
  <c r="C212" i="1"/>
  <c r="C187" i="42"/>
  <c r="C213" i="1"/>
  <c r="E200" i="4"/>
  <c r="C244" i="42"/>
  <c r="C270" i="1"/>
  <c r="F81" i="1"/>
  <c r="F82" i="1"/>
  <c r="F83" i="1"/>
  <c r="F84" i="1"/>
  <c r="F85" i="1"/>
  <c r="F86" i="1"/>
  <c r="F87" i="1"/>
  <c r="F88" i="1"/>
  <c r="F89" i="1"/>
  <c r="F90" i="1"/>
  <c r="F91" i="1"/>
  <c r="F92" i="1"/>
  <c r="F93" i="1"/>
  <c r="F94" i="1"/>
  <c r="F95" i="1"/>
  <c r="F96" i="1"/>
  <c r="F97" i="1"/>
  <c r="G291" i="42"/>
  <c r="G292" i="42"/>
  <c r="G293" i="42"/>
  <c r="G321" i="1"/>
  <c r="G322" i="1"/>
  <c r="B322" i="1"/>
  <c r="B321" i="1"/>
  <c r="G320" i="1"/>
  <c r="C293" i="1"/>
  <c r="G319" i="1" l="1"/>
  <c r="C274" i="42"/>
  <c r="A301" i="43" s="1"/>
  <c r="G301" i="43" s="1"/>
  <c r="F183" i="43"/>
  <c r="E183" i="43"/>
  <c r="A183" i="4"/>
  <c r="C303" i="1"/>
  <c r="A298" i="4" s="1"/>
  <c r="F298" i="4" s="1"/>
  <c r="E182" i="4"/>
  <c r="E182" i="43"/>
  <c r="H2033" i="7"/>
  <c r="H2034" i="7"/>
  <c r="H2035" i="7"/>
  <c r="H2036" i="7"/>
  <c r="H2037" i="7"/>
  <c r="H2038" i="7"/>
  <c r="H2039" i="7"/>
  <c r="H2040" i="7"/>
  <c r="H2041" i="7"/>
  <c r="H2042" i="7"/>
  <c r="H2043" i="7"/>
  <c r="H2044" i="7"/>
  <c r="I2045" i="7"/>
  <c r="I2046" i="7"/>
  <c r="I2047" i="7"/>
  <c r="I2032" i="7"/>
  <c r="D532" i="42"/>
  <c r="D531" i="42"/>
  <c r="D530" i="42"/>
  <c r="D565" i="1"/>
  <c r="D566" i="1"/>
  <c r="D564" i="1"/>
  <c r="D256" i="42"/>
  <c r="D285" i="1"/>
  <c r="D255" i="42"/>
  <c r="D284" i="1"/>
  <c r="D250" i="42"/>
  <c r="D279" i="1"/>
  <c r="E279" i="1" s="1"/>
  <c r="D280" i="1"/>
  <c r="E280" i="1" s="1"/>
  <c r="D251" i="42"/>
  <c r="H1226" i="7"/>
  <c r="H1227" i="7"/>
  <c r="F60" i="42"/>
  <c r="F61" i="42"/>
  <c r="F62" i="42"/>
  <c r="F63" i="42"/>
  <c r="F64" i="42"/>
  <c r="F65" i="42"/>
  <c r="F66" i="42"/>
  <c r="F67" i="42"/>
  <c r="F68" i="42"/>
  <c r="F69" i="42"/>
  <c r="F70" i="42"/>
  <c r="F71" i="42"/>
  <c r="F72" i="42"/>
  <c r="F73" i="42"/>
  <c r="F74" i="42"/>
  <c r="F75" i="42"/>
  <c r="F76" i="42"/>
  <c r="F59" i="42"/>
  <c r="F137" i="1"/>
  <c r="F118" i="42"/>
  <c r="G118" i="42"/>
  <c r="F117" i="42"/>
  <c r="G117" i="42"/>
  <c r="F138" i="1"/>
  <c r="G138" i="1"/>
  <c r="G137" i="1"/>
  <c r="D517" i="42"/>
  <c r="D516" i="42"/>
  <c r="D512" i="42"/>
  <c r="D511" i="42"/>
  <c r="D510" i="42"/>
  <c r="D509" i="42"/>
  <c r="D508" i="42"/>
  <c r="D505" i="42"/>
  <c r="D507" i="42"/>
  <c r="D506" i="42"/>
  <c r="D456" i="42"/>
  <c r="D480" i="1"/>
  <c r="D454" i="42"/>
  <c r="B429" i="42"/>
  <c r="A148" i="43"/>
  <c r="G148" i="43" s="1"/>
  <c r="A149" i="43"/>
  <c r="G149" i="43" s="1"/>
  <c r="C140" i="42"/>
  <c r="C139" i="42"/>
  <c r="E301" i="43" l="1"/>
  <c r="E183" i="4"/>
  <c r="F183" i="4"/>
  <c r="G183" i="4"/>
  <c r="I2043" i="7"/>
  <c r="I2042" i="7"/>
  <c r="I2041" i="7"/>
  <c r="I2040" i="7"/>
  <c r="H2047" i="7"/>
  <c r="I2039" i="7"/>
  <c r="H2046" i="7"/>
  <c r="I2038" i="7"/>
  <c r="H2045" i="7"/>
  <c r="I2037" i="7"/>
  <c r="I2036" i="7"/>
  <c r="I2035" i="7"/>
  <c r="I2034" i="7"/>
  <c r="I2033" i="7"/>
  <c r="I2044" i="7"/>
  <c r="D567" i="1"/>
  <c r="A388" i="4" s="1"/>
  <c r="G388" i="4" s="1"/>
  <c r="D533" i="42"/>
  <c r="D286" i="1"/>
  <c r="E149" i="43"/>
  <c r="E148" i="43"/>
  <c r="A149" i="4"/>
  <c r="A148" i="4"/>
  <c r="F148" i="4" s="1"/>
  <c r="A378" i="43" l="1"/>
  <c r="G378" i="43" s="1"/>
  <c r="F149" i="4"/>
  <c r="F524" i="42"/>
  <c r="E524" i="42"/>
  <c r="B524" i="42"/>
  <c r="F523" i="42"/>
  <c r="E523" i="42"/>
  <c r="B523" i="42"/>
  <c r="F522" i="42"/>
  <c r="E522" i="42"/>
  <c r="B522" i="42"/>
  <c r="F521" i="42"/>
  <c r="E521" i="42"/>
  <c r="B521" i="42"/>
  <c r="F556" i="1"/>
  <c r="F557" i="1"/>
  <c r="F558" i="1"/>
  <c r="F555" i="1"/>
  <c r="E556" i="1"/>
  <c r="E557" i="1"/>
  <c r="E558" i="1"/>
  <c r="B556" i="1"/>
  <c r="B557" i="1"/>
  <c r="B558" i="1"/>
  <c r="B555" i="1"/>
  <c r="D482" i="1"/>
  <c r="E440" i="42"/>
  <c r="E447" i="42"/>
  <c r="E446" i="42"/>
  <c r="E444" i="42"/>
  <c r="E443" i="42"/>
  <c r="E442" i="42"/>
  <c r="E441" i="42"/>
  <c r="E467" i="1"/>
  <c r="E466" i="1"/>
  <c r="E464" i="1"/>
  <c r="E463" i="1"/>
  <c r="E461" i="1"/>
  <c r="E462" i="1"/>
  <c r="E460" i="1"/>
  <c r="C527" i="42"/>
  <c r="A377" i="43" s="1"/>
  <c r="G377" i="43" s="1"/>
  <c r="C561" i="1"/>
  <c r="A387" i="4" s="1"/>
  <c r="G387" i="4" s="1"/>
  <c r="D551" i="1"/>
  <c r="D550" i="1"/>
  <c r="D540" i="1"/>
  <c r="D541" i="1"/>
  <c r="D542" i="1"/>
  <c r="D543" i="1"/>
  <c r="D544" i="1"/>
  <c r="D545" i="1"/>
  <c r="D546" i="1"/>
  <c r="D539" i="1"/>
  <c r="C226" i="42"/>
  <c r="A181" i="43" s="1"/>
  <c r="G181" i="43" s="1"/>
  <c r="C219" i="42"/>
  <c r="C220" i="42"/>
  <c r="C221" i="42"/>
  <c r="A181" i="4"/>
  <c r="G181" i="4" s="1"/>
  <c r="C246" i="1"/>
  <c r="C247" i="1"/>
  <c r="C248" i="1"/>
  <c r="F149" i="42"/>
  <c r="F148" i="42"/>
  <c r="F169" i="1"/>
  <c r="F168" i="1"/>
  <c r="G521" i="42" l="1"/>
  <c r="G522" i="42"/>
  <c r="G523" i="42"/>
  <c r="D457" i="42"/>
  <c r="A343" i="43" s="1"/>
  <c r="G343" i="43" s="1"/>
  <c r="G524" i="42"/>
  <c r="E468" i="1"/>
  <c r="A386" i="4" s="1"/>
  <c r="G386" i="4" s="1"/>
  <c r="E448" i="42"/>
  <c r="A330" i="43" s="1"/>
  <c r="G330" i="43" s="1"/>
  <c r="C222" i="42"/>
  <c r="A180" i="43" s="1"/>
  <c r="G180" i="43" s="1"/>
  <c r="G525" i="42" l="1"/>
  <c r="C160" i="1"/>
  <c r="G149" i="4" s="1"/>
  <c r="C159" i="1"/>
  <c r="G148" i="4" s="1"/>
  <c r="F52" i="1"/>
  <c r="F19" i="1"/>
  <c r="F53" i="42" l="1"/>
  <c r="F54" i="42"/>
  <c r="F53" i="1"/>
  <c r="C537" i="42"/>
  <c r="F537" i="42"/>
  <c r="A302" i="43"/>
  <c r="G302" i="43" s="1"/>
  <c r="A326" i="43"/>
  <c r="E326" i="43" s="1"/>
  <c r="A325" i="43"/>
  <c r="E325" i="43" s="1"/>
  <c r="B469" i="42"/>
  <c r="A369" i="43" s="1"/>
  <c r="G369" i="43" s="1"/>
  <c r="C129" i="42"/>
  <c r="A376" i="4"/>
  <c r="G376" i="4" s="1"/>
  <c r="A300" i="4"/>
  <c r="G300" i="4" s="1"/>
  <c r="A319" i="4"/>
  <c r="A318" i="4"/>
  <c r="F318" i="4" s="1"/>
  <c r="A312" i="4"/>
  <c r="G312" i="4" s="1"/>
  <c r="A313" i="4"/>
  <c r="G313" i="4" s="1"/>
  <c r="A314" i="4"/>
  <c r="G314" i="4" s="1"/>
  <c r="A315" i="4"/>
  <c r="G315" i="4" s="1"/>
  <c r="A316" i="4"/>
  <c r="G316" i="4" s="1"/>
  <c r="A317" i="4"/>
  <c r="F317" i="4" s="1"/>
  <c r="A311" i="4"/>
  <c r="A310" i="4"/>
  <c r="F310" i="4" s="1"/>
  <c r="G80" i="1"/>
  <c r="C571" i="1"/>
  <c r="D527" i="1"/>
  <c r="D528" i="1"/>
  <c r="D529" i="1"/>
  <c r="D526" i="1"/>
  <c r="D520" i="1"/>
  <c r="D521" i="1"/>
  <c r="D522" i="1"/>
  <c r="D519" i="1"/>
  <c r="C506" i="1"/>
  <c r="C507" i="1"/>
  <c r="C508" i="1"/>
  <c r="C509" i="1"/>
  <c r="C510" i="1"/>
  <c r="C511" i="1"/>
  <c r="C512" i="1"/>
  <c r="C513" i="1"/>
  <c r="C514" i="1"/>
  <c r="C515" i="1"/>
  <c r="C505" i="1"/>
  <c r="B495" i="1"/>
  <c r="D492" i="1"/>
  <c r="A375" i="4" s="1"/>
  <c r="D489" i="1"/>
  <c r="D486" i="1"/>
  <c r="D477" i="1"/>
  <c r="D473" i="1"/>
  <c r="D472" i="1"/>
  <c r="D471" i="1"/>
  <c r="E448" i="1"/>
  <c r="E447" i="1"/>
  <c r="E446" i="1"/>
  <c r="E445" i="1"/>
  <c r="D448" i="1"/>
  <c r="D447" i="1"/>
  <c r="D446" i="1"/>
  <c r="D445" i="1"/>
  <c r="C441" i="1"/>
  <c r="C440" i="1"/>
  <c r="C439" i="1"/>
  <c r="C438" i="1"/>
  <c r="C434" i="1"/>
  <c r="C433" i="1"/>
  <c r="E429" i="1"/>
  <c r="E428" i="1"/>
  <c r="E427" i="1"/>
  <c r="E426" i="1"/>
  <c r="E422" i="1"/>
  <c r="E421" i="1"/>
  <c r="E420" i="1"/>
  <c r="E419" i="1"/>
  <c r="E415" i="1"/>
  <c r="E414" i="1"/>
  <c r="E413" i="1"/>
  <c r="E412" i="1"/>
  <c r="E383" i="1"/>
  <c r="E384" i="1"/>
  <c r="E382" i="1"/>
  <c r="F377" i="1"/>
  <c r="F376" i="1"/>
  <c r="F375" i="1"/>
  <c r="F374" i="1"/>
  <c r="C370" i="1"/>
  <c r="C369" i="1"/>
  <c r="C368" i="1"/>
  <c r="C367" i="1"/>
  <c r="C363" i="1"/>
  <c r="C362" i="1"/>
  <c r="C359" i="1"/>
  <c r="C358" i="1"/>
  <c r="C357" i="1"/>
  <c r="C356" i="1"/>
  <c r="A309" i="4"/>
  <c r="G309" i="4" s="1"/>
  <c r="C290" i="1"/>
  <c r="D290" i="1" s="1"/>
  <c r="C289" i="1"/>
  <c r="D289" i="1" s="1"/>
  <c r="C307" i="1"/>
  <c r="C306" i="1"/>
  <c r="C297" i="1"/>
  <c r="C276" i="1"/>
  <c r="C273" i="1"/>
  <c r="A301" i="4"/>
  <c r="D301" i="4" s="1"/>
  <c r="C267" i="1"/>
  <c r="C240" i="1"/>
  <c r="C239" i="1"/>
  <c r="C238" i="1"/>
  <c r="C237" i="1"/>
  <c r="C229" i="1"/>
  <c r="C228" i="1"/>
  <c r="C227" i="1"/>
  <c r="C226" i="1"/>
  <c r="C225" i="1"/>
  <c r="C224" i="1"/>
  <c r="C223" i="1"/>
  <c r="C218" i="1"/>
  <c r="C217" i="1"/>
  <c r="C216" i="1"/>
  <c r="C215" i="1"/>
  <c r="C214" i="1"/>
  <c r="C209" i="1"/>
  <c r="C208" i="1"/>
  <c r="C207" i="1"/>
  <c r="C206" i="1"/>
  <c r="C203" i="1"/>
  <c r="C202" i="1"/>
  <c r="C201" i="1"/>
  <c r="C196" i="1"/>
  <c r="C195" i="1"/>
  <c r="C191" i="1"/>
  <c r="C165" i="1"/>
  <c r="C164" i="1"/>
  <c r="C163" i="1"/>
  <c r="C158" i="1"/>
  <c r="C157" i="1"/>
  <c r="C155" i="1"/>
  <c r="C150" i="1"/>
  <c r="C149" i="1"/>
  <c r="G103" i="1"/>
  <c r="G104" i="1"/>
  <c r="G105" i="1"/>
  <c r="G106" i="1"/>
  <c r="G107" i="1"/>
  <c r="G108" i="1"/>
  <c r="G109" i="1"/>
  <c r="G110" i="1"/>
  <c r="G111" i="1"/>
  <c r="G112" i="1"/>
  <c r="G113" i="1"/>
  <c r="G114" i="1"/>
  <c r="G115" i="1"/>
  <c r="G116" i="1"/>
  <c r="G117" i="1"/>
  <c r="G118" i="1"/>
  <c r="G119" i="1"/>
  <c r="G102" i="1"/>
  <c r="G81" i="1"/>
  <c r="G82" i="1"/>
  <c r="G83" i="1"/>
  <c r="G84" i="1"/>
  <c r="G85" i="1"/>
  <c r="G86" i="1"/>
  <c r="G87" i="1"/>
  <c r="G88" i="1"/>
  <c r="G89" i="1"/>
  <c r="G90" i="1"/>
  <c r="G91" i="1"/>
  <c r="G92" i="1"/>
  <c r="G93" i="1"/>
  <c r="G94" i="1"/>
  <c r="G95" i="1"/>
  <c r="G96" i="1"/>
  <c r="G97" i="1"/>
  <c r="G556" i="1" l="1"/>
  <c r="A383" i="4" s="1"/>
  <c r="E383" i="4" s="1"/>
  <c r="G557" i="1"/>
  <c r="A384" i="4" s="1"/>
  <c r="G555" i="1"/>
  <c r="A382" i="4" s="1"/>
  <c r="G558" i="1"/>
  <c r="A376" i="43"/>
  <c r="A375" i="43"/>
  <c r="A374" i="43"/>
  <c r="E302" i="43"/>
  <c r="F309" i="4"/>
  <c r="F300" i="4"/>
  <c r="G301" i="4"/>
  <c r="G319" i="4"/>
  <c r="F319" i="4"/>
  <c r="G318" i="4"/>
  <c r="F316" i="4"/>
  <c r="F315" i="4"/>
  <c r="F314" i="4"/>
  <c r="F313" i="4"/>
  <c r="F312" i="4"/>
  <c r="G310" i="4"/>
  <c r="F311" i="4"/>
  <c r="C552" i="42"/>
  <c r="D499" i="42"/>
  <c r="D500" i="42"/>
  <c r="D501" i="42"/>
  <c r="D498" i="42"/>
  <c r="D492" i="42"/>
  <c r="D493" i="42"/>
  <c r="D494" i="42"/>
  <c r="D491" i="42"/>
  <c r="C473" i="42"/>
  <c r="C474" i="42"/>
  <c r="C475" i="42"/>
  <c r="C476" i="42"/>
  <c r="C477" i="42"/>
  <c r="C478" i="42"/>
  <c r="C479" i="42"/>
  <c r="C480" i="42"/>
  <c r="C481" i="42"/>
  <c r="C482" i="42"/>
  <c r="C483" i="42"/>
  <c r="C484" i="42"/>
  <c r="C485" i="42"/>
  <c r="C486" i="42"/>
  <c r="C487" i="42"/>
  <c r="C472" i="42"/>
  <c r="D466" i="42"/>
  <c r="D463" i="42"/>
  <c r="D460" i="42"/>
  <c r="D451" i="42"/>
  <c r="E423" i="42"/>
  <c r="E422" i="42"/>
  <c r="E421" i="42"/>
  <c r="E420" i="42"/>
  <c r="D423" i="42"/>
  <c r="D422" i="42"/>
  <c r="D421" i="42"/>
  <c r="D420" i="42"/>
  <c r="C416" i="42"/>
  <c r="C415" i="42"/>
  <c r="C414" i="42"/>
  <c r="C413" i="42"/>
  <c r="D408" i="42"/>
  <c r="D407" i="42"/>
  <c r="C403" i="42"/>
  <c r="C402" i="42"/>
  <c r="E396" i="42"/>
  <c r="E397" i="42"/>
  <c r="E398" i="42"/>
  <c r="E395" i="42"/>
  <c r="E391" i="42"/>
  <c r="E389" i="42"/>
  <c r="E390" i="42"/>
  <c r="E388" i="42"/>
  <c r="E382" i="42"/>
  <c r="E383" i="42"/>
  <c r="E384" i="42"/>
  <c r="E381" i="42"/>
  <c r="C366" i="42"/>
  <c r="C367" i="42"/>
  <c r="C365" i="42"/>
  <c r="E354" i="42"/>
  <c r="E355" i="42"/>
  <c r="E353" i="42"/>
  <c r="F346" i="42"/>
  <c r="F347" i="42"/>
  <c r="F348" i="42"/>
  <c r="F345" i="42"/>
  <c r="C341" i="42"/>
  <c r="C340" i="42"/>
  <c r="C339" i="42"/>
  <c r="C338" i="42"/>
  <c r="C334" i="42"/>
  <c r="C330" i="42"/>
  <c r="C329" i="42"/>
  <c r="C328" i="42"/>
  <c r="C327" i="42"/>
  <c r="A309" i="43"/>
  <c r="A308" i="43"/>
  <c r="C278" i="42"/>
  <c r="C277" i="42"/>
  <c r="C268" i="42"/>
  <c r="C267" i="42"/>
  <c r="C264" i="42"/>
  <c r="C261" i="42"/>
  <c r="C260" i="42"/>
  <c r="C247" i="42"/>
  <c r="A304" i="43"/>
  <c r="G304" i="43" s="1"/>
  <c r="C241" i="42"/>
  <c r="C239" i="42"/>
  <c r="C213" i="42"/>
  <c r="C212" i="42"/>
  <c r="C211" i="42"/>
  <c r="C210" i="42"/>
  <c r="C203" i="42"/>
  <c r="C202" i="42"/>
  <c r="C201" i="42"/>
  <c r="C200" i="42"/>
  <c r="C199" i="42"/>
  <c r="C198" i="42"/>
  <c r="C197" i="42"/>
  <c r="C192" i="42"/>
  <c r="C191" i="42"/>
  <c r="C190" i="42"/>
  <c r="C189" i="42"/>
  <c r="C188" i="42"/>
  <c r="C181" i="42"/>
  <c r="C177" i="42"/>
  <c r="C176" i="42"/>
  <c r="C175" i="42"/>
  <c r="C170" i="42"/>
  <c r="C169" i="42"/>
  <c r="C165" i="42"/>
  <c r="C145" i="42"/>
  <c r="C144" i="42"/>
  <c r="C143" i="42"/>
  <c r="C138" i="42"/>
  <c r="C137" i="42"/>
  <c r="C136" i="42"/>
  <c r="C135" i="42"/>
  <c r="C125" i="42"/>
  <c r="C124" i="42"/>
  <c r="C123" i="42"/>
  <c r="C122" i="42"/>
  <c r="G113" i="42"/>
  <c r="G112" i="42"/>
  <c r="F113" i="42"/>
  <c r="F112" i="42"/>
  <c r="G105" i="42"/>
  <c r="G106" i="42"/>
  <c r="G107" i="42"/>
  <c r="G108" i="42"/>
  <c r="G104" i="42"/>
  <c r="F105" i="42"/>
  <c r="F106" i="42"/>
  <c r="F107" i="42"/>
  <c r="F108" i="42"/>
  <c r="F104" i="42"/>
  <c r="F82" i="42"/>
  <c r="F83" i="42"/>
  <c r="F84" i="42"/>
  <c r="F85" i="42"/>
  <c r="F86" i="42"/>
  <c r="F87" i="42"/>
  <c r="F88" i="42"/>
  <c r="F89" i="42"/>
  <c r="F90" i="42"/>
  <c r="F91" i="42"/>
  <c r="F92" i="42"/>
  <c r="F93" i="42"/>
  <c r="F94" i="42"/>
  <c r="F95" i="42"/>
  <c r="F96" i="42"/>
  <c r="F97" i="42"/>
  <c r="F98" i="42"/>
  <c r="F81" i="42"/>
  <c r="G60" i="42"/>
  <c r="G61" i="42"/>
  <c r="G62" i="42"/>
  <c r="G63" i="42"/>
  <c r="G64" i="42"/>
  <c r="G65" i="42"/>
  <c r="G66" i="42"/>
  <c r="G67" i="42"/>
  <c r="G68" i="42"/>
  <c r="G69" i="42"/>
  <c r="G70" i="42"/>
  <c r="G71" i="42"/>
  <c r="G72" i="42"/>
  <c r="G73" i="42"/>
  <c r="G74" i="42"/>
  <c r="G75" i="42"/>
  <c r="G76" i="42"/>
  <c r="G59" i="42"/>
  <c r="F20" i="42"/>
  <c r="F21" i="42"/>
  <c r="F22" i="42"/>
  <c r="F23" i="42"/>
  <c r="F24" i="42"/>
  <c r="F25" i="42"/>
  <c r="F26" i="42"/>
  <c r="F27" i="42"/>
  <c r="F28" i="42"/>
  <c r="F29" i="42"/>
  <c r="F30" i="42"/>
  <c r="F31" i="42"/>
  <c r="F32" i="42"/>
  <c r="F33" i="42"/>
  <c r="F34" i="42"/>
  <c r="F35" i="42"/>
  <c r="F36" i="42"/>
  <c r="F19" i="42"/>
  <c r="G290" i="42" l="1"/>
  <c r="A307" i="43" s="1"/>
  <c r="E376" i="43"/>
  <c r="G376" i="43"/>
  <c r="G375" i="43"/>
  <c r="E375" i="43"/>
  <c r="G374" i="43"/>
  <c r="E374" i="43"/>
  <c r="A373" i="43"/>
  <c r="G383" i="4"/>
  <c r="G559" i="1"/>
  <c r="A385" i="4"/>
  <c r="E384" i="4"/>
  <c r="G384" i="4"/>
  <c r="E382" i="4"/>
  <c r="G382" i="4"/>
  <c r="D304" i="43"/>
  <c r="C488" i="42"/>
  <c r="D433" i="42"/>
  <c r="D436" i="42"/>
  <c r="D435" i="42"/>
  <c r="D434" i="42"/>
  <c r="C433" i="42"/>
  <c r="G433" i="42" s="1"/>
  <c r="C436" i="42"/>
  <c r="G436" i="42" s="1"/>
  <c r="C435" i="42"/>
  <c r="G435" i="42" s="1"/>
  <c r="C434" i="42"/>
  <c r="G434" i="42" s="1"/>
  <c r="C432" i="42"/>
  <c r="G432" i="42" s="1"/>
  <c r="D432" i="42"/>
  <c r="D453" i="1"/>
  <c r="G373" i="43" l="1"/>
  <c r="E373" i="43"/>
  <c r="E385" i="4"/>
  <c r="G385" i="4"/>
  <c r="G437" i="42"/>
  <c r="A329" i="43" s="1"/>
  <c r="D456" i="1"/>
  <c r="C456" i="1"/>
  <c r="G456" i="1" s="1"/>
  <c r="C455" i="1"/>
  <c r="G455" i="1" s="1"/>
  <c r="D455" i="1"/>
  <c r="C454" i="1"/>
  <c r="G454" i="1" s="1"/>
  <c r="D454" i="1"/>
  <c r="C453" i="1"/>
  <c r="G453" i="1" s="1"/>
  <c r="C452" i="1"/>
  <c r="G452" i="1" s="1"/>
  <c r="D452" i="1"/>
  <c r="C143" i="1"/>
  <c r="C144" i="1"/>
  <c r="C145" i="1"/>
  <c r="C142" i="1"/>
  <c r="G132" i="1"/>
  <c r="G133" i="1"/>
  <c r="F133" i="1"/>
  <c r="F132" i="1"/>
  <c r="G125" i="1"/>
  <c r="G126" i="1"/>
  <c r="G127" i="1"/>
  <c r="G128" i="1"/>
  <c r="F125" i="1"/>
  <c r="F126" i="1"/>
  <c r="F127" i="1"/>
  <c r="F128" i="1"/>
  <c r="G124" i="1"/>
  <c r="F124" i="1"/>
  <c r="F34" i="1"/>
  <c r="F33" i="1"/>
  <c r="F32" i="1"/>
  <c r="F31" i="1"/>
  <c r="F30" i="1"/>
  <c r="F29" i="1"/>
  <c r="F28" i="1"/>
  <c r="F27" i="1"/>
  <c r="F26" i="1"/>
  <c r="F25" i="1"/>
  <c r="F24" i="1"/>
  <c r="F23" i="1"/>
  <c r="F22" i="1"/>
  <c r="F21" i="1"/>
  <c r="F20" i="1"/>
  <c r="G311" i="4"/>
  <c r="G317" i="4"/>
  <c r="F48" i="42"/>
  <c r="F49" i="42"/>
  <c r="F47" i="1"/>
  <c r="G329" i="43" l="1"/>
  <c r="D523" i="1"/>
  <c r="A378" i="4" s="1"/>
  <c r="F48" i="1"/>
  <c r="C342" i="42" l="1"/>
  <c r="A327" i="43" l="1"/>
  <c r="G327" i="43" s="1"/>
  <c r="C371" i="1"/>
  <c r="A381" i="4" s="1"/>
  <c r="G381" i="4" s="1"/>
  <c r="D513" i="42" l="1"/>
  <c r="A313" i="43" s="1"/>
  <c r="D547" i="1"/>
  <c r="D518" i="42"/>
  <c r="A314" i="43" s="1"/>
  <c r="G314" i="43" s="1"/>
  <c r="F1451" i="7"/>
  <c r="F1450" i="7"/>
  <c r="F1449" i="7"/>
  <c r="F1448" i="7"/>
  <c r="F1447" i="7"/>
  <c r="F1446" i="7"/>
  <c r="F1445" i="7"/>
  <c r="F1444" i="7"/>
  <c r="F1443" i="7"/>
  <c r="F1442" i="7"/>
  <c r="F1441" i="7"/>
  <c r="F1439" i="7"/>
  <c r="F1438" i="7"/>
  <c r="F1437" i="7"/>
  <c r="F1436" i="7"/>
  <c r="F1435" i="7"/>
  <c r="F1434" i="7"/>
  <c r="F1433" i="7"/>
  <c r="F1432" i="7"/>
  <c r="F1431" i="7"/>
  <c r="F1430" i="7"/>
  <c r="F1429" i="7"/>
  <c r="F1428" i="7"/>
  <c r="F1427" i="7"/>
  <c r="F1426" i="7"/>
  <c r="F1425" i="7"/>
  <c r="F1424" i="7"/>
  <c r="F1423" i="7"/>
  <c r="F1422" i="7"/>
  <c r="F1421" i="7"/>
  <c r="F1420" i="7"/>
  <c r="F1419" i="7"/>
  <c r="E1418" i="7"/>
  <c r="F1418" i="7" s="1"/>
  <c r="F1417" i="7"/>
  <c r="F1416" i="7"/>
  <c r="F1415" i="7"/>
  <c r="F1414" i="7"/>
  <c r="F1413" i="7"/>
  <c r="F1411" i="7"/>
  <c r="F1410" i="7"/>
  <c r="F1409" i="7"/>
  <c r="F1408" i="7"/>
  <c r="F1407" i="7"/>
  <c r="F1502" i="7"/>
  <c r="F1501" i="7"/>
  <c r="F1500" i="7"/>
  <c r="F1499" i="7"/>
  <c r="F1498" i="7"/>
  <c r="F1497" i="7"/>
  <c r="F1495" i="7"/>
  <c r="F1494" i="7"/>
  <c r="E1493" i="7"/>
  <c r="E1496" i="7" s="1"/>
  <c r="F1496" i="7" s="1"/>
  <c r="F1492" i="7"/>
  <c r="F1491" i="7"/>
  <c r="F1489" i="7"/>
  <c r="F1488" i="7"/>
  <c r="F1487" i="7"/>
  <c r="F1486" i="7"/>
  <c r="F1485" i="7"/>
  <c r="F1484" i="7"/>
  <c r="F1483" i="7"/>
  <c r="F1482" i="7"/>
  <c r="F1481" i="7"/>
  <c r="F1480" i="7"/>
  <c r="F1479" i="7"/>
  <c r="F1478" i="7"/>
  <c r="F1477" i="7"/>
  <c r="F1476" i="7"/>
  <c r="F1475" i="7"/>
  <c r="F1474" i="7"/>
  <c r="F1473" i="7"/>
  <c r="F1472" i="7"/>
  <c r="F1471" i="7"/>
  <c r="F1470" i="7"/>
  <c r="F1469" i="7"/>
  <c r="E1468" i="7"/>
  <c r="F1468" i="7" s="1"/>
  <c r="F1467" i="7"/>
  <c r="F1466" i="7"/>
  <c r="F1465" i="7"/>
  <c r="F1464" i="7"/>
  <c r="F1455" i="7"/>
  <c r="F1617" i="7"/>
  <c r="F1616" i="7"/>
  <c r="F1615" i="7"/>
  <c r="F1614" i="7"/>
  <c r="F1613" i="7"/>
  <c r="F1612" i="7"/>
  <c r="F1611" i="7"/>
  <c r="F1610" i="7"/>
  <c r="F1609" i="7"/>
  <c r="F1608" i="7"/>
  <c r="F1607" i="7"/>
  <c r="F1606" i="7"/>
  <c r="F1605" i="7"/>
  <c r="F1604" i="7"/>
  <c r="F1603" i="7"/>
  <c r="F1602" i="7"/>
  <c r="F1601" i="7"/>
  <c r="F1600" i="7"/>
  <c r="F1599" i="7"/>
  <c r="F1598" i="7"/>
  <c r="F1597" i="7"/>
  <c r="F1596" i="7"/>
  <c r="F1595" i="7"/>
  <c r="F1594" i="7"/>
  <c r="F1593" i="7"/>
  <c r="F1592" i="7"/>
  <c r="F1591" i="7"/>
  <c r="F1590" i="7"/>
  <c r="F1589" i="7"/>
  <c r="F1588" i="7"/>
  <c r="F1587" i="7"/>
  <c r="F1586" i="7"/>
  <c r="F1585" i="7"/>
  <c r="F1584" i="7"/>
  <c r="F1583" i="7"/>
  <c r="F1582" i="7"/>
  <c r="F1581" i="7"/>
  <c r="F1580" i="7"/>
  <c r="F1579" i="7"/>
  <c r="G313" i="43" l="1"/>
  <c r="E313" i="43"/>
  <c r="D552" i="1"/>
  <c r="F1493" i="7"/>
  <c r="G457" i="1" l="1"/>
  <c r="A337" i="4" s="1"/>
  <c r="F337" i="4" l="1"/>
  <c r="G337" i="4"/>
  <c r="F102" i="1"/>
  <c r="F103" i="1" l="1"/>
  <c r="F104" i="1"/>
  <c r="F105" i="1"/>
  <c r="F106" i="1"/>
  <c r="F107" i="1"/>
  <c r="F108" i="1"/>
  <c r="F109" i="1"/>
  <c r="F110" i="1"/>
  <c r="F111" i="1"/>
  <c r="F112" i="1"/>
  <c r="F113" i="1"/>
  <c r="F114" i="1"/>
  <c r="F115" i="1"/>
  <c r="F116" i="1"/>
  <c r="F117" i="1"/>
  <c r="F118" i="1"/>
  <c r="F119" i="1"/>
  <c r="D373" i="7"/>
  <c r="D372" i="7"/>
  <c r="D371" i="7"/>
  <c r="D370" i="7"/>
  <c r="D369" i="7"/>
  <c r="D368" i="7"/>
  <c r="D367" i="7"/>
  <c r="D366" i="7"/>
  <c r="D365" i="7"/>
  <c r="D364" i="7"/>
  <c r="D363" i="7"/>
  <c r="D362" i="7"/>
  <c r="D2329" i="7" l="1"/>
  <c r="D2328" i="7"/>
  <c r="D2327" i="7"/>
  <c r="D2326" i="7"/>
  <c r="D2325" i="7"/>
  <c r="D2324" i="7"/>
  <c r="D2323" i="7"/>
  <c r="D2322" i="7"/>
  <c r="D2321" i="7"/>
  <c r="D2320" i="7"/>
  <c r="D2319" i="7"/>
  <c r="D2318" i="7"/>
  <c r="D2317" i="7"/>
  <c r="D2316" i="7"/>
  <c r="D2315" i="7"/>
  <c r="D2314" i="7"/>
  <c r="D2313" i="7"/>
  <c r="D2312" i="7"/>
  <c r="D2311" i="7"/>
  <c r="D2310" i="7"/>
  <c r="D2309" i="7"/>
  <c r="D2308" i="7"/>
  <c r="D2307" i="7"/>
  <c r="D2306" i="7"/>
  <c r="D2305" i="7"/>
  <c r="D2304" i="7"/>
  <c r="D2303" i="7"/>
  <c r="D2302" i="7"/>
  <c r="D2301" i="7"/>
  <c r="D2300" i="7"/>
  <c r="D2299" i="7"/>
  <c r="D2298" i="7"/>
  <c r="D2297" i="7"/>
  <c r="D2296" i="7"/>
  <c r="D2295" i="7"/>
  <c r="D2294" i="7"/>
  <c r="D2293" i="7"/>
  <c r="D2292" i="7"/>
  <c r="D2291" i="7"/>
  <c r="D2290" i="7"/>
  <c r="D2289" i="7"/>
  <c r="D2288" i="7"/>
  <c r="D2208" i="7" l="1"/>
  <c r="G1350" i="7" l="1"/>
  <c r="G82" i="42" l="1"/>
  <c r="G83" i="42"/>
  <c r="G84" i="42"/>
  <c r="G85" i="42"/>
  <c r="G86" i="42"/>
  <c r="G87" i="42"/>
  <c r="G88" i="42"/>
  <c r="G89" i="42"/>
  <c r="G90" i="42"/>
  <c r="G91" i="42"/>
  <c r="G92" i="42"/>
  <c r="G93" i="42"/>
  <c r="G94" i="42"/>
  <c r="G95" i="42"/>
  <c r="G96" i="42"/>
  <c r="G97" i="42"/>
  <c r="G98" i="42"/>
  <c r="G81" i="42"/>
  <c r="D361" i="42" l="1"/>
  <c r="D360" i="42"/>
  <c r="D359" i="42"/>
  <c r="C394" i="1"/>
  <c r="C396" i="1"/>
  <c r="C395" i="1"/>
  <c r="D362" i="42" l="1"/>
  <c r="C368" i="42"/>
  <c r="E356" i="42"/>
  <c r="C397" i="1"/>
  <c r="A371" i="42" l="1"/>
  <c r="E385" i="1"/>
  <c r="D389" i="1"/>
  <c r="D390" i="1"/>
  <c r="D388" i="1"/>
  <c r="D391" i="1" l="1"/>
  <c r="A400" i="1" s="1"/>
  <c r="B284" i="42" l="1"/>
  <c r="B283" i="42"/>
  <c r="B313" i="1"/>
  <c r="B312" i="1"/>
  <c r="B314" i="1" l="1"/>
  <c r="B285" i="42"/>
  <c r="C249" i="1" l="1"/>
  <c r="A180" i="4" s="1"/>
  <c r="G180" i="4" s="1"/>
  <c r="C364" i="1" l="1"/>
  <c r="A380" i="4" s="1"/>
  <c r="G380" i="4" s="1"/>
  <c r="C230" i="1"/>
  <c r="E281" i="1"/>
  <c r="C298" i="1"/>
  <c r="A297" i="4" s="1"/>
  <c r="F297" i="4" s="1"/>
  <c r="F378" i="1"/>
  <c r="D281" i="1"/>
  <c r="C198" i="1"/>
  <c r="C241" i="1"/>
  <c r="C308" i="1"/>
  <c r="C220" i="1"/>
  <c r="J1867" i="7"/>
  <c r="C207" i="42"/>
  <c r="A179" i="43" s="1"/>
  <c r="G179" i="43" s="1"/>
  <c r="C233" i="1"/>
  <c r="A178" i="4" s="1"/>
  <c r="F178" i="4" s="1"/>
  <c r="G178" i="4" l="1"/>
  <c r="J1880" i="7"/>
  <c r="J1866" i="7"/>
  <c r="J1865" i="7"/>
  <c r="J1864" i="7"/>
  <c r="J1863" i="7"/>
  <c r="J1862" i="7"/>
  <c r="J1861" i="7"/>
  <c r="J1860" i="7"/>
  <c r="J1859" i="7"/>
  <c r="J1858" i="7"/>
  <c r="J1857" i="7"/>
  <c r="J1856" i="7"/>
  <c r="J1855" i="7"/>
  <c r="J1854" i="7"/>
  <c r="J1853" i="7"/>
  <c r="A332" i="43" l="1"/>
  <c r="A333" i="43"/>
  <c r="A334" i="43"/>
  <c r="A331" i="43"/>
  <c r="D331" i="43" s="1"/>
  <c r="A328" i="43"/>
  <c r="E328" i="43" s="1"/>
  <c r="A339" i="4"/>
  <c r="G339" i="4" s="1"/>
  <c r="A340" i="4"/>
  <c r="G340" i="4" s="1"/>
  <c r="A341" i="4"/>
  <c r="G341" i="4" s="1"/>
  <c r="A338" i="4"/>
  <c r="G338" i="4" s="1"/>
  <c r="E333" i="43" l="1"/>
  <c r="D333" i="43"/>
  <c r="G333" i="43"/>
  <c r="E334" i="43"/>
  <c r="D334" i="43"/>
  <c r="G334" i="43"/>
  <c r="E332" i="43"/>
  <c r="D332" i="43"/>
  <c r="G332" i="43"/>
  <c r="E331" i="43"/>
  <c r="G331" i="43"/>
  <c r="D424" i="42"/>
  <c r="E424" i="42"/>
  <c r="D409" i="42"/>
  <c r="C377" i="42"/>
  <c r="C376" i="42"/>
  <c r="C375" i="42"/>
  <c r="C417" i="42" l="1"/>
  <c r="D410" i="42"/>
  <c r="C378" i="42"/>
  <c r="C404" i="42"/>
  <c r="D483" i="1" l="1"/>
  <c r="A350" i="4" s="1"/>
  <c r="G350" i="4" s="1"/>
  <c r="C408" i="1"/>
  <c r="C407" i="1"/>
  <c r="C406" i="1"/>
  <c r="C435" i="1" l="1"/>
  <c r="C516" i="1"/>
  <c r="D474" i="1"/>
  <c r="C409" i="1"/>
  <c r="C442" i="1"/>
  <c r="A92" i="4" l="1"/>
  <c r="D92" i="4" s="1"/>
  <c r="A93" i="4"/>
  <c r="D93" i="4" s="1"/>
  <c r="A94" i="4"/>
  <c r="D94" i="4" s="1"/>
  <c r="A117" i="43"/>
  <c r="A118" i="43"/>
  <c r="A119" i="43"/>
  <c r="A116" i="43" l="1"/>
  <c r="G116" i="43" s="1"/>
  <c r="C119" i="43"/>
  <c r="G119" i="43"/>
  <c r="E119" i="43"/>
  <c r="C117" i="43"/>
  <c r="G117" i="43"/>
  <c r="E117" i="43"/>
  <c r="C118" i="43"/>
  <c r="G118" i="43"/>
  <c r="E118" i="43"/>
  <c r="G94" i="4"/>
  <c r="G92" i="4"/>
  <c r="G93" i="4"/>
  <c r="F94" i="4"/>
  <c r="F93" i="4"/>
  <c r="F92" i="4"/>
  <c r="E116" i="43" l="1"/>
  <c r="C116" i="43"/>
  <c r="G323" i="1"/>
  <c r="B246" i="68" l="1"/>
  <c r="B247" i="68" s="1"/>
  <c r="B248" i="68" s="1"/>
  <c r="B249" i="68" s="1"/>
  <c r="B250" i="68" s="1"/>
  <c r="D495" i="42" l="1"/>
  <c r="A371" i="43" s="1"/>
  <c r="G371" i="43" s="1"/>
  <c r="D502" i="42"/>
  <c r="A372" i="43" s="1"/>
  <c r="G372" i="43" s="1"/>
  <c r="D530" i="1" l="1"/>
  <c r="A379" i="4" s="1"/>
  <c r="G379" i="4" s="1"/>
  <c r="B77" i="42" l="1"/>
  <c r="G78" i="42" l="1"/>
  <c r="F78" i="42"/>
  <c r="B40" i="66" l="1"/>
  <c r="F7" i="65" s="1"/>
  <c r="D24" i="65"/>
  <c r="D25" i="65"/>
  <c r="D34" i="65"/>
  <c r="D35" i="65"/>
  <c r="F35" i="65" s="1"/>
  <c r="C39" i="65"/>
  <c r="D39" i="65" s="1"/>
  <c r="F46" i="65"/>
  <c r="F48" i="65"/>
  <c r="F49" i="65"/>
  <c r="F25" i="65" l="1"/>
  <c r="F11" i="65"/>
  <c r="C45" i="65" s="1"/>
  <c r="E25" i="65"/>
  <c r="E19" i="65"/>
  <c r="E35" i="65"/>
  <c r="F24" i="65"/>
  <c r="E20" i="65"/>
  <c r="E24" i="65"/>
  <c r="F39" i="65"/>
  <c r="E39" i="65"/>
  <c r="F45" i="65"/>
  <c r="F34" i="65"/>
  <c r="E34" i="65"/>
  <c r="F47" i="65" l="1"/>
  <c r="F50" i="65" s="1"/>
  <c r="C46" i="65"/>
  <c r="C47" i="65" l="1"/>
  <c r="C48" i="65"/>
  <c r="F158" i="42"/>
  <c r="Q136" i="42"/>
  <c r="R129" i="42"/>
  <c r="R130" i="42" s="1"/>
  <c r="S136" i="42" s="1"/>
  <c r="D158" i="42"/>
  <c r="R136" i="42" s="1"/>
  <c r="C49" i="65" l="1"/>
  <c r="C50" i="65" s="1"/>
  <c r="C51" i="65" s="1"/>
  <c r="P138" i="42"/>
  <c r="O138" i="42"/>
  <c r="N138" i="42"/>
  <c r="U136" i="42"/>
  <c r="Q138" i="42" s="1"/>
  <c r="T136" i="42"/>
  <c r="R138" i="42" l="1"/>
  <c r="E158" i="42" s="1"/>
  <c r="G158" i="42" s="1"/>
  <c r="H158" i="42" s="1"/>
  <c r="A159" i="43" s="1"/>
  <c r="E159" i="43" l="1"/>
  <c r="G159" i="43"/>
  <c r="R164" i="42"/>
  <c r="O167" i="42" s="1"/>
  <c r="O152" i="42"/>
  <c r="Q164" i="42" s="1"/>
  <c r="O150" i="42"/>
  <c r="O151" i="42" s="1"/>
  <c r="S164" i="42" s="1"/>
  <c r="N167" i="42" l="1"/>
  <c r="P167" i="42"/>
  <c r="U164" i="42"/>
  <c r="Q167" i="42" s="1"/>
  <c r="T164" i="42"/>
  <c r="F183" i="1"/>
  <c r="N190" i="1"/>
  <c r="O179" i="1"/>
  <c r="O180" i="1" s="1"/>
  <c r="P190" i="1" s="1"/>
  <c r="D183" i="1"/>
  <c r="O190" i="1" s="1"/>
  <c r="L182" i="1"/>
  <c r="O155" i="1"/>
  <c r="O161" i="1" s="1"/>
  <c r="Q144" i="1"/>
  <c r="N155" i="1" s="1"/>
  <c r="Q142" i="1"/>
  <c r="Q143" i="1" s="1"/>
  <c r="P155" i="1" s="1"/>
  <c r="R167" i="42" l="1"/>
  <c r="R168" i="42" s="1"/>
  <c r="D154" i="42" s="1"/>
  <c r="F154" i="42" s="1"/>
  <c r="G154" i="42" s="1"/>
  <c r="A158" i="43" s="1"/>
  <c r="E158" i="43" s="1"/>
  <c r="O193" i="1"/>
  <c r="M193" i="1"/>
  <c r="N193" i="1"/>
  <c r="R190" i="1"/>
  <c r="P193" i="1" s="1"/>
  <c r="Q190" i="1"/>
  <c r="P161" i="1"/>
  <c r="Q155" i="1"/>
  <c r="R155" i="1"/>
  <c r="Q161" i="1" s="1"/>
  <c r="N161" i="1"/>
  <c r="G158" i="43" l="1"/>
  <c r="Q193" i="1"/>
  <c r="R161" i="1"/>
  <c r="R162" i="1" s="1"/>
  <c r="D179" i="1" s="1"/>
  <c r="E183" i="1" l="1"/>
  <c r="G183" i="1" s="1"/>
  <c r="H183" i="1" s="1"/>
  <c r="A159" i="4" s="1"/>
  <c r="F179" i="1"/>
  <c r="G179" i="1" s="1"/>
  <c r="A158" i="4" s="1"/>
  <c r="F158" i="4" l="1"/>
  <c r="G158" i="4"/>
  <c r="F159" i="4"/>
  <c r="G159" i="4"/>
  <c r="G317" i="42" l="1"/>
  <c r="E251" i="42"/>
  <c r="E250" i="42"/>
  <c r="C586" i="1"/>
  <c r="D257" i="42" l="1"/>
  <c r="A296" i="43" s="1"/>
  <c r="C269" i="42"/>
  <c r="F349" i="42"/>
  <c r="E385" i="42"/>
  <c r="E392" i="42"/>
  <c r="E399" i="42"/>
  <c r="D260" i="42"/>
  <c r="C279" i="42"/>
  <c r="C172" i="42"/>
  <c r="C214" i="42"/>
  <c r="C204" i="42"/>
  <c r="C194" i="42"/>
  <c r="E252" i="42"/>
  <c r="D252" i="42"/>
  <c r="D449" i="1"/>
  <c r="E449" i="1"/>
  <c r="E423" i="1"/>
  <c r="E430" i="1"/>
  <c r="A300" i="43" l="1"/>
  <c r="G378" i="4"/>
  <c r="G300" i="43" l="1"/>
  <c r="E300" i="43"/>
  <c r="A142" i="43" l="1"/>
  <c r="E142" i="43" s="1"/>
  <c r="A141" i="43"/>
  <c r="G142" i="43" l="1"/>
  <c r="E141" i="43"/>
  <c r="A142" i="4"/>
  <c r="F142" i="4" s="1"/>
  <c r="G142" i="4" l="1"/>
  <c r="G294" i="42" l="1"/>
  <c r="M346" i="1"/>
  <c r="A370" i="43" l="1"/>
  <c r="G370" i="43" s="1"/>
  <c r="A377" i="4" l="1"/>
  <c r="A177" i="43"/>
  <c r="G377" i="4" l="1"/>
  <c r="F377" i="4"/>
  <c r="A177" i="4"/>
  <c r="G177" i="4" l="1"/>
  <c r="F177" i="4"/>
  <c r="G375" i="4"/>
  <c r="A178" i="43" l="1"/>
  <c r="A179" i="4"/>
  <c r="G178" i="43" l="1"/>
  <c r="G179" i="4"/>
  <c r="C130" i="42" l="1"/>
  <c r="A368" i="43" l="1"/>
  <c r="G368" i="43" s="1"/>
  <c r="I362" i="1"/>
  <c r="C151" i="1" l="1"/>
  <c r="A374" i="4" s="1"/>
  <c r="O317" i="42"/>
  <c r="N317" i="42"/>
  <c r="H317" i="42" s="1"/>
  <c r="B11" i="42" s="1"/>
  <c r="L346" i="1"/>
  <c r="AH317" i="42"/>
  <c r="AH316" i="42"/>
  <c r="AD331" i="42"/>
  <c r="AD329" i="42"/>
  <c r="AD330" i="42"/>
  <c r="AD328" i="42"/>
  <c r="AD327" i="42"/>
  <c r="AD325" i="42"/>
  <c r="AD326" i="42"/>
  <c r="AD324" i="42"/>
  <c r="AD321" i="42"/>
  <c r="AD322" i="42"/>
  <c r="AD323" i="42"/>
  <c r="AD320" i="42"/>
  <c r="AD317" i="42"/>
  <c r="AD318" i="42"/>
  <c r="AD319" i="42"/>
  <c r="AD316" i="42"/>
  <c r="AI350" i="1" l="1"/>
  <c r="AI349" i="1"/>
  <c r="AE351" i="1"/>
  <c r="AE350" i="1"/>
  <c r="AE349" i="1"/>
  <c r="AE348" i="1"/>
  <c r="C131" i="42" l="1"/>
  <c r="A367" i="43" s="1"/>
  <c r="G367" i="43" s="1"/>
  <c r="G374" i="4" l="1"/>
  <c r="A93" i="43" l="1"/>
  <c r="E93" i="43" s="1"/>
  <c r="A94" i="43"/>
  <c r="E94" i="43" s="1"/>
  <c r="A95" i="43"/>
  <c r="G95" i="43" s="1"/>
  <c r="A92" i="43"/>
  <c r="G92" i="43" l="1"/>
  <c r="G307" i="43"/>
  <c r="E92" i="43"/>
  <c r="E95" i="43"/>
  <c r="G94" i="43"/>
  <c r="G93" i="43" l="1"/>
  <c r="E307" i="43"/>
  <c r="A304" i="4" l="1"/>
  <c r="A306" i="4" l="1"/>
  <c r="F306" i="4" s="1"/>
  <c r="A305" i="4"/>
  <c r="F305" i="4" s="1"/>
  <c r="A307" i="4"/>
  <c r="F307" i="4" s="1"/>
  <c r="G309" i="43"/>
  <c r="E309" i="43"/>
  <c r="G304" i="4"/>
  <c r="F304" i="4"/>
  <c r="G306" i="4" l="1"/>
  <c r="G305" i="4"/>
  <c r="E308" i="43"/>
  <c r="G307" i="4"/>
  <c r="G308" i="43" l="1"/>
  <c r="A336" i="4" l="1"/>
  <c r="G336" i="4" s="1"/>
  <c r="G328" i="43" l="1"/>
  <c r="F336" i="4"/>
  <c r="A312" i="43" l="1"/>
  <c r="B16" i="42" l="1"/>
  <c r="A290" i="43" s="1"/>
  <c r="A151" i="43" l="1"/>
  <c r="A152" i="43"/>
  <c r="A150" i="43"/>
  <c r="A151" i="4"/>
  <c r="A152" i="4"/>
  <c r="A150" i="4"/>
  <c r="E152" i="43" l="1"/>
  <c r="F151" i="4"/>
  <c r="E151" i="43"/>
  <c r="E150" i="43"/>
  <c r="F152" i="4"/>
  <c r="F150" i="4"/>
  <c r="A128" i="43" l="1"/>
  <c r="A127" i="43"/>
  <c r="A293" i="4"/>
  <c r="A292" i="4"/>
  <c r="A127" i="4"/>
  <c r="A128" i="4"/>
  <c r="E257" i="42" l="1"/>
  <c r="B8" i="42" s="1"/>
  <c r="D293" i="4"/>
  <c r="D128" i="4"/>
  <c r="G127" i="43"/>
  <c r="D127" i="4"/>
  <c r="F292" i="4"/>
  <c r="D128" i="43"/>
  <c r="A295" i="43"/>
  <c r="D127" i="43"/>
  <c r="G128" i="43"/>
  <c r="D292" i="4"/>
  <c r="G292" i="4"/>
  <c r="G293" i="4"/>
  <c r="F293" i="4"/>
  <c r="G127" i="4"/>
  <c r="F127" i="4"/>
  <c r="F128" i="4"/>
  <c r="D295" i="43" l="1"/>
  <c r="E295" i="43"/>
  <c r="E127" i="43"/>
  <c r="E128" i="43"/>
  <c r="E296" i="43"/>
  <c r="G295" i="43"/>
  <c r="G296" i="43"/>
  <c r="D296" i="43"/>
  <c r="G128" i="4"/>
  <c r="E286" i="1"/>
  <c r="A358" i="43" l="1"/>
  <c r="A359" i="43"/>
  <c r="A360" i="43"/>
  <c r="A357" i="43"/>
  <c r="A354" i="43"/>
  <c r="A355" i="43"/>
  <c r="A356" i="43"/>
  <c r="A353" i="43"/>
  <c r="A365" i="4"/>
  <c r="A366" i="4"/>
  <c r="A367" i="4"/>
  <c r="A364" i="4"/>
  <c r="A361" i="4"/>
  <c r="A362" i="4"/>
  <c r="A363" i="4"/>
  <c r="A360" i="4"/>
  <c r="A303" i="43"/>
  <c r="C333" i="42"/>
  <c r="A335" i="4"/>
  <c r="A334" i="4"/>
  <c r="A290" i="4"/>
  <c r="A165" i="4"/>
  <c r="A164" i="4"/>
  <c r="C335" i="42" l="1"/>
  <c r="F334" i="4"/>
  <c r="G326" i="43"/>
  <c r="E363" i="4"/>
  <c r="E367" i="4"/>
  <c r="F353" i="43"/>
  <c r="E357" i="43"/>
  <c r="E362" i="4"/>
  <c r="E366" i="4"/>
  <c r="E356" i="43"/>
  <c r="E360" i="43"/>
  <c r="E361" i="4"/>
  <c r="E365" i="4"/>
  <c r="E355" i="43"/>
  <c r="E359" i="43"/>
  <c r="F360" i="4"/>
  <c r="E364" i="4"/>
  <c r="E354" i="43"/>
  <c r="E358" i="43"/>
  <c r="E360" i="4"/>
  <c r="G360" i="4"/>
  <c r="F357" i="43"/>
  <c r="G357" i="43"/>
  <c r="F356" i="43"/>
  <c r="E353" i="43"/>
  <c r="F354" i="43"/>
  <c r="F355" i="43"/>
  <c r="G353" i="43"/>
  <c r="G360" i="43"/>
  <c r="G359" i="43"/>
  <c r="G358" i="43"/>
  <c r="F360" i="43"/>
  <c r="F359" i="43"/>
  <c r="F358" i="43"/>
  <c r="G356" i="43"/>
  <c r="G355" i="43"/>
  <c r="G354" i="43"/>
  <c r="F364" i="4"/>
  <c r="G364" i="4"/>
  <c r="G367" i="4"/>
  <c r="G366" i="4"/>
  <c r="G365" i="4"/>
  <c r="F367" i="4"/>
  <c r="F366" i="4"/>
  <c r="F365" i="4"/>
  <c r="G363" i="4"/>
  <c r="G362" i="4"/>
  <c r="G361" i="4"/>
  <c r="F363" i="4"/>
  <c r="F362" i="4"/>
  <c r="F361" i="4"/>
  <c r="G335" i="4"/>
  <c r="F335" i="4"/>
  <c r="G325" i="43" l="1"/>
  <c r="G334" i="4"/>
  <c r="A156" i="43"/>
  <c r="A157" i="43"/>
  <c r="A156" i="4"/>
  <c r="A157" i="4"/>
  <c r="F157" i="4" l="1"/>
  <c r="G157" i="4"/>
  <c r="E157" i="43"/>
  <c r="E156" i="43"/>
  <c r="G156" i="4"/>
  <c r="F156" i="4"/>
  <c r="G156" i="43"/>
  <c r="G157" i="43"/>
  <c r="D381" i="43" l="1"/>
  <c r="D382" i="43"/>
  <c r="D383" i="43"/>
  <c r="D380" i="43"/>
  <c r="E381" i="43"/>
  <c r="E382" i="43"/>
  <c r="E383" i="43"/>
  <c r="E380" i="43"/>
  <c r="A381" i="43"/>
  <c r="A382" i="43"/>
  <c r="A383" i="43"/>
  <c r="A380" i="43"/>
  <c r="E364" i="43"/>
  <c r="E365" i="43"/>
  <c r="E366" i="43"/>
  <c r="E363" i="43"/>
  <c r="A364" i="43"/>
  <c r="A365" i="43"/>
  <c r="A366" i="43"/>
  <c r="A363" i="43"/>
  <c r="A89" i="43"/>
  <c r="A90" i="43"/>
  <c r="A91" i="43"/>
  <c r="A88" i="43"/>
  <c r="F391" i="4"/>
  <c r="F392" i="4"/>
  <c r="F393" i="4"/>
  <c r="F390" i="4"/>
  <c r="A391" i="4"/>
  <c r="A392" i="4"/>
  <c r="A393" i="4"/>
  <c r="A390" i="4"/>
  <c r="A88" i="4"/>
  <c r="A89" i="4"/>
  <c r="A90" i="4"/>
  <c r="A87" i="4"/>
  <c r="A86" i="4"/>
  <c r="F371" i="4"/>
  <c r="F372" i="4"/>
  <c r="F373" i="4"/>
  <c r="F370" i="4"/>
  <c r="A371" i="4"/>
  <c r="A372" i="4"/>
  <c r="A373" i="4"/>
  <c r="A370" i="4"/>
  <c r="D86" i="4" l="1"/>
  <c r="G373" i="4"/>
  <c r="G91" i="43"/>
  <c r="G366" i="43"/>
  <c r="G383" i="43"/>
  <c r="G372" i="4"/>
  <c r="G90" i="4"/>
  <c r="G393" i="4"/>
  <c r="G365" i="43"/>
  <c r="E89" i="43"/>
  <c r="G381" i="43"/>
  <c r="G380" i="43"/>
  <c r="G88" i="43"/>
  <c r="G363" i="43"/>
  <c r="G392" i="4"/>
  <c r="G90" i="43"/>
  <c r="G382" i="43"/>
  <c r="G364" i="43"/>
  <c r="G370" i="4"/>
  <c r="G89" i="43"/>
  <c r="E90" i="43"/>
  <c r="E88" i="43"/>
  <c r="E91" i="43"/>
  <c r="G89" i="4"/>
  <c r="G88" i="4"/>
  <c r="G391" i="4"/>
  <c r="G87" i="4"/>
  <c r="G390" i="4"/>
  <c r="G371" i="4"/>
  <c r="D90" i="4"/>
  <c r="F90" i="4"/>
  <c r="D89" i="4"/>
  <c r="F89" i="4"/>
  <c r="D88" i="4"/>
  <c r="F88" i="4"/>
  <c r="D87" i="4"/>
  <c r="F87" i="4"/>
  <c r="F86" i="4"/>
  <c r="G43" i="43" l="1"/>
  <c r="G44" i="4"/>
  <c r="AJ201" i="1" l="1"/>
  <c r="AJ202" i="1"/>
  <c r="AJ203" i="1"/>
  <c r="AJ204" i="1"/>
  <c r="AJ205" i="1"/>
  <c r="AJ206" i="1"/>
  <c r="AJ208" i="1"/>
  <c r="AJ209" i="1"/>
  <c r="AF201" i="1"/>
  <c r="AF202" i="1"/>
  <c r="AF203" i="1"/>
  <c r="AF204" i="1"/>
  <c r="AF205" i="1"/>
  <c r="AF206" i="1"/>
  <c r="AF208" i="1"/>
  <c r="AF209" i="1"/>
  <c r="A248" i="4" l="1"/>
  <c r="A232" i="4"/>
  <c r="A233" i="4"/>
  <c r="A234" i="4"/>
  <c r="A235" i="4"/>
  <c r="A236" i="4"/>
  <c r="A237" i="4"/>
  <c r="A238" i="4"/>
  <c r="A239" i="4"/>
  <c r="A240" i="4"/>
  <c r="A241" i="4"/>
  <c r="A242" i="4"/>
  <c r="A243" i="4"/>
  <c r="A244" i="4"/>
  <c r="A245" i="4"/>
  <c r="A246" i="4"/>
  <c r="A247" i="4"/>
  <c r="A231" i="4"/>
  <c r="F59" i="1"/>
  <c r="F60" i="1"/>
  <c r="F61" i="1"/>
  <c r="F62" i="1"/>
  <c r="F63" i="1"/>
  <c r="F64" i="1"/>
  <c r="F65" i="1"/>
  <c r="F66" i="1"/>
  <c r="F67" i="1"/>
  <c r="F68" i="1"/>
  <c r="F69" i="1"/>
  <c r="F70" i="1"/>
  <c r="F71" i="1"/>
  <c r="F72" i="1"/>
  <c r="F73" i="1"/>
  <c r="F74" i="1"/>
  <c r="F57" i="1"/>
  <c r="F58" i="1"/>
  <c r="D231" i="4" l="1"/>
  <c r="D244" i="4"/>
  <c r="D240" i="4"/>
  <c r="D236" i="4"/>
  <c r="D232" i="4"/>
  <c r="D247" i="4"/>
  <c r="D243" i="4"/>
  <c r="D239" i="4"/>
  <c r="D235" i="4"/>
  <c r="D248" i="4"/>
  <c r="D246" i="4"/>
  <c r="D242" i="4"/>
  <c r="D238" i="4"/>
  <c r="D234" i="4"/>
  <c r="D245" i="4"/>
  <c r="D241" i="4"/>
  <c r="D237" i="4"/>
  <c r="D233" i="4"/>
  <c r="F248" i="4"/>
  <c r="G248" i="4"/>
  <c r="F231" i="4"/>
  <c r="G231" i="4"/>
  <c r="G247" i="4"/>
  <c r="G246" i="4"/>
  <c r="G245" i="4"/>
  <c r="G244" i="4"/>
  <c r="G243" i="4"/>
  <c r="G242" i="4"/>
  <c r="G241" i="4"/>
  <c r="G240" i="4"/>
  <c r="G239" i="4"/>
  <c r="G238" i="4"/>
  <c r="G237" i="4"/>
  <c r="G236" i="4"/>
  <c r="G235" i="4"/>
  <c r="G234" i="4"/>
  <c r="G233" i="4"/>
  <c r="G232" i="4"/>
  <c r="F247" i="4"/>
  <c r="F246" i="4"/>
  <c r="F245" i="4"/>
  <c r="F244" i="4"/>
  <c r="F243" i="4"/>
  <c r="F242" i="4"/>
  <c r="F241" i="4"/>
  <c r="F240" i="4"/>
  <c r="F239" i="4"/>
  <c r="F238" i="4"/>
  <c r="F237" i="4"/>
  <c r="F236" i="4"/>
  <c r="F235" i="4"/>
  <c r="F234" i="4"/>
  <c r="F233" i="4"/>
  <c r="F232" i="4"/>
  <c r="B75" i="1"/>
  <c r="G74" i="1"/>
  <c r="G73" i="1"/>
  <c r="G72" i="1"/>
  <c r="G71" i="1"/>
  <c r="G70" i="1"/>
  <c r="G69" i="1"/>
  <c r="G68" i="1"/>
  <c r="G67" i="1"/>
  <c r="G66" i="1"/>
  <c r="G65" i="1"/>
  <c r="G64" i="1"/>
  <c r="G63" i="1"/>
  <c r="G62" i="1"/>
  <c r="G61" i="1"/>
  <c r="G60" i="1"/>
  <c r="G59" i="1"/>
  <c r="G58" i="1"/>
  <c r="G57" i="1"/>
  <c r="G76" i="1" l="1"/>
  <c r="F76" i="1"/>
  <c r="A79" i="4" l="1"/>
  <c r="A80" i="4"/>
  <c r="A81" i="4"/>
  <c r="A80" i="43"/>
  <c r="A81" i="43"/>
  <c r="A82" i="43"/>
  <c r="D79" i="4" l="1"/>
  <c r="D81" i="4"/>
  <c r="C81" i="43"/>
  <c r="C80" i="43"/>
  <c r="C82" i="43"/>
  <c r="D80" i="4"/>
  <c r="F81" i="4"/>
  <c r="F80" i="4"/>
  <c r="F79" i="4"/>
  <c r="E82" i="43"/>
  <c r="E81" i="43"/>
  <c r="E80" i="43"/>
  <c r="A210" i="43" l="1"/>
  <c r="A212" i="43"/>
  <c r="G80" i="43"/>
  <c r="G82" i="43"/>
  <c r="G81" i="43"/>
  <c r="A211" i="43"/>
  <c r="G81" i="4"/>
  <c r="A208" i="4"/>
  <c r="G208" i="4" s="1"/>
  <c r="G80" i="4"/>
  <c r="G79" i="4"/>
  <c r="A207" i="4"/>
  <c r="F207" i="4" s="1"/>
  <c r="A209" i="4"/>
  <c r="G209" i="4" s="1"/>
  <c r="G212" i="43" l="1"/>
  <c r="E210" i="43"/>
  <c r="G210" i="43"/>
  <c r="D210" i="43"/>
  <c r="G207" i="4"/>
  <c r="E211" i="43"/>
  <c r="G211" i="43"/>
  <c r="D211" i="43"/>
  <c r="F208" i="4"/>
  <c r="D212" i="43"/>
  <c r="E212" i="43"/>
  <c r="D208" i="4"/>
  <c r="D209" i="4"/>
  <c r="F209" i="4"/>
  <c r="D207" i="4"/>
  <c r="I25" i="1"/>
  <c r="A213" i="43" l="1"/>
  <c r="A210" i="4"/>
  <c r="A270" i="43"/>
  <c r="A271" i="43"/>
  <c r="A265" i="43"/>
  <c r="A266" i="43"/>
  <c r="A267" i="43"/>
  <c r="A268" i="43"/>
  <c r="A269" i="43"/>
  <c r="A255" i="43"/>
  <c r="A256" i="43"/>
  <c r="A257" i="43"/>
  <c r="A258" i="43"/>
  <c r="A259" i="43"/>
  <c r="A260" i="43"/>
  <c r="A261" i="43"/>
  <c r="A262" i="43"/>
  <c r="A263" i="43"/>
  <c r="A264" i="43"/>
  <c r="A254" i="43"/>
  <c r="A115" i="43"/>
  <c r="A109" i="43"/>
  <c r="A110" i="43"/>
  <c r="A111" i="43"/>
  <c r="A112" i="43"/>
  <c r="A113" i="43"/>
  <c r="A114" i="43"/>
  <c r="A107" i="43"/>
  <c r="A108" i="43"/>
  <c r="A99" i="43"/>
  <c r="A100" i="43"/>
  <c r="A101" i="43"/>
  <c r="A102" i="43"/>
  <c r="A103" i="43"/>
  <c r="A104" i="43"/>
  <c r="A105" i="43"/>
  <c r="A106" i="43"/>
  <c r="A98" i="43"/>
  <c r="A268" i="4"/>
  <c r="A264" i="4"/>
  <c r="A265" i="4"/>
  <c r="A266" i="4"/>
  <c r="A267" i="4"/>
  <c r="A252" i="4"/>
  <c r="A253" i="4"/>
  <c r="A254" i="4"/>
  <c r="A255" i="4"/>
  <c r="A256" i="4"/>
  <c r="A257" i="4"/>
  <c r="A258" i="4"/>
  <c r="A259" i="4"/>
  <c r="A260" i="4"/>
  <c r="A261" i="4"/>
  <c r="A262" i="4"/>
  <c r="A263" i="4"/>
  <c r="A251" i="4"/>
  <c r="A112" i="4"/>
  <c r="A113" i="4"/>
  <c r="A114" i="4"/>
  <c r="A108" i="4"/>
  <c r="A109" i="4"/>
  <c r="A110" i="4"/>
  <c r="A111" i="4"/>
  <c r="A106" i="4"/>
  <c r="A107" i="4"/>
  <c r="A98" i="4"/>
  <c r="A99" i="4"/>
  <c r="A100" i="4"/>
  <c r="A101" i="4"/>
  <c r="A102" i="4"/>
  <c r="A103" i="4"/>
  <c r="A104" i="4"/>
  <c r="A105" i="4"/>
  <c r="A97" i="4"/>
  <c r="B99" i="42"/>
  <c r="B120" i="1"/>
  <c r="D114" i="4" l="1"/>
  <c r="F114" i="4"/>
  <c r="G114" i="4"/>
  <c r="E213" i="43"/>
  <c r="G210" i="4"/>
  <c r="D210" i="4"/>
  <c r="D213" i="43"/>
  <c r="F98" i="4"/>
  <c r="D262" i="4"/>
  <c r="F266" i="4"/>
  <c r="C103" i="43"/>
  <c r="C113" i="43"/>
  <c r="C109" i="43"/>
  <c r="D259" i="43"/>
  <c r="D255" i="43"/>
  <c r="D266" i="43"/>
  <c r="F105" i="4"/>
  <c r="F101" i="4"/>
  <c r="D107" i="4"/>
  <c r="D109" i="4"/>
  <c r="D112" i="4"/>
  <c r="D261" i="4"/>
  <c r="D257" i="4"/>
  <c r="D253" i="4"/>
  <c r="F265" i="4"/>
  <c r="C106" i="43"/>
  <c r="C102" i="43"/>
  <c r="C108" i="43"/>
  <c r="C112" i="43"/>
  <c r="C115" i="43"/>
  <c r="D262" i="43"/>
  <c r="D258" i="43"/>
  <c r="D269" i="43"/>
  <c r="D265" i="43"/>
  <c r="F102" i="4"/>
  <c r="D113" i="4"/>
  <c r="D254" i="4"/>
  <c r="C98" i="43"/>
  <c r="D263" i="43"/>
  <c r="F104" i="4"/>
  <c r="F100" i="4"/>
  <c r="D106" i="4"/>
  <c r="D108" i="4"/>
  <c r="F251" i="4"/>
  <c r="D260" i="4"/>
  <c r="D256" i="4"/>
  <c r="D252" i="4"/>
  <c r="F264" i="4"/>
  <c r="C105" i="43"/>
  <c r="C101" i="43"/>
  <c r="C107" i="43"/>
  <c r="C111" i="43"/>
  <c r="D254" i="43"/>
  <c r="D261" i="43"/>
  <c r="D257" i="43"/>
  <c r="D268" i="43"/>
  <c r="D271" i="43"/>
  <c r="D97" i="4"/>
  <c r="D110" i="4"/>
  <c r="D258" i="4"/>
  <c r="C99" i="43"/>
  <c r="F103" i="4"/>
  <c r="F99" i="4"/>
  <c r="D111" i="4"/>
  <c r="D263" i="4"/>
  <c r="D259" i="4"/>
  <c r="D255" i="4"/>
  <c r="F267" i="4"/>
  <c r="D268" i="4"/>
  <c r="C104" i="43"/>
  <c r="C100" i="43"/>
  <c r="C114" i="43"/>
  <c r="C110" i="43"/>
  <c r="D264" i="43"/>
  <c r="D260" i="43"/>
  <c r="D256" i="43"/>
  <c r="D267" i="43"/>
  <c r="D270" i="43"/>
  <c r="G213" i="43"/>
  <c r="F210" i="4"/>
  <c r="D267" i="4"/>
  <c r="D266" i="4"/>
  <c r="D264" i="4"/>
  <c r="D265" i="4"/>
  <c r="G271" i="43"/>
  <c r="G270" i="43"/>
  <c r="E271" i="43"/>
  <c r="E270" i="43"/>
  <c r="G269" i="43"/>
  <c r="G268" i="43"/>
  <c r="G267" i="43"/>
  <c r="G266" i="43"/>
  <c r="G265" i="43"/>
  <c r="E254" i="43"/>
  <c r="E269" i="43"/>
  <c r="E268" i="43"/>
  <c r="E267" i="43"/>
  <c r="E266" i="43"/>
  <c r="E265" i="43"/>
  <c r="G254" i="43"/>
  <c r="G264" i="43"/>
  <c r="G263" i="43"/>
  <c r="G262" i="43"/>
  <c r="G261" i="43"/>
  <c r="G260" i="43"/>
  <c r="G259" i="43"/>
  <c r="G258" i="43"/>
  <c r="G257" i="43"/>
  <c r="G256" i="43"/>
  <c r="G255" i="43"/>
  <c r="E264" i="43"/>
  <c r="E263" i="43"/>
  <c r="E262" i="43"/>
  <c r="E261" i="43"/>
  <c r="E260" i="43"/>
  <c r="E259" i="43"/>
  <c r="E258" i="43"/>
  <c r="E257" i="43"/>
  <c r="E256" i="43"/>
  <c r="E255" i="43"/>
  <c r="G115" i="43"/>
  <c r="E115" i="43"/>
  <c r="G114" i="43"/>
  <c r="G113" i="43"/>
  <c r="G112" i="43"/>
  <c r="G111" i="43"/>
  <c r="G110" i="43"/>
  <c r="G109" i="43"/>
  <c r="E114" i="43"/>
  <c r="E113" i="43"/>
  <c r="E112" i="43"/>
  <c r="E111" i="43"/>
  <c r="E110" i="43"/>
  <c r="E109" i="43"/>
  <c r="E98" i="43"/>
  <c r="G98" i="43"/>
  <c r="G108" i="43"/>
  <c r="G107" i="43"/>
  <c r="E108" i="43"/>
  <c r="E107" i="43"/>
  <c r="G106" i="43"/>
  <c r="G105" i="43"/>
  <c r="G104" i="43"/>
  <c r="G103" i="43"/>
  <c r="G102" i="43"/>
  <c r="G101" i="43"/>
  <c r="G100" i="43"/>
  <c r="G99" i="43"/>
  <c r="E106" i="43"/>
  <c r="E105" i="43"/>
  <c r="E104" i="43"/>
  <c r="E103" i="43"/>
  <c r="E102" i="43"/>
  <c r="E101" i="43"/>
  <c r="E100" i="43"/>
  <c r="E99" i="43"/>
  <c r="D251" i="4"/>
  <c r="G251" i="4"/>
  <c r="G268" i="4"/>
  <c r="F268" i="4"/>
  <c r="G267" i="4"/>
  <c r="G266" i="4"/>
  <c r="G265" i="4"/>
  <c r="G264" i="4"/>
  <c r="G263" i="4"/>
  <c r="G261" i="4"/>
  <c r="G259" i="4"/>
  <c r="G257" i="4"/>
  <c r="G255" i="4"/>
  <c r="G253" i="4"/>
  <c r="G262" i="4"/>
  <c r="G260" i="4"/>
  <c r="G258" i="4"/>
  <c r="G256" i="4"/>
  <c r="G254" i="4"/>
  <c r="G252" i="4"/>
  <c r="F262" i="4"/>
  <c r="F259" i="4"/>
  <c r="F257" i="4"/>
  <c r="F255" i="4"/>
  <c r="F254" i="4"/>
  <c r="F253" i="4"/>
  <c r="F252" i="4"/>
  <c r="F263" i="4"/>
  <c r="F261" i="4"/>
  <c r="F260" i="4"/>
  <c r="F258" i="4"/>
  <c r="F256" i="4"/>
  <c r="D103" i="4"/>
  <c r="D105" i="4"/>
  <c r="D99" i="4"/>
  <c r="D101" i="4"/>
  <c r="G113" i="4"/>
  <c r="G112" i="4"/>
  <c r="F113" i="4"/>
  <c r="F112" i="4"/>
  <c r="G111" i="4"/>
  <c r="G110" i="4"/>
  <c r="G109" i="4"/>
  <c r="G108" i="4"/>
  <c r="F111" i="4"/>
  <c r="F110" i="4"/>
  <c r="F109" i="4"/>
  <c r="F108" i="4"/>
  <c r="F97" i="4"/>
  <c r="D104" i="4"/>
  <c r="D102" i="4"/>
  <c r="D100" i="4"/>
  <c r="D98" i="4"/>
  <c r="G97" i="4"/>
  <c r="G107" i="4"/>
  <c r="G106" i="4"/>
  <c r="F107" i="4"/>
  <c r="F106" i="4"/>
  <c r="G105" i="4"/>
  <c r="G104" i="4"/>
  <c r="G103" i="4"/>
  <c r="G102" i="4"/>
  <c r="G101" i="4"/>
  <c r="G100" i="4"/>
  <c r="G99" i="4"/>
  <c r="G98" i="4"/>
  <c r="G100" i="42"/>
  <c r="B12" i="42" s="1"/>
  <c r="F100" i="42"/>
  <c r="G121" i="1"/>
  <c r="F121" i="1"/>
  <c r="B11" i="1" s="1"/>
  <c r="G33" i="43" l="1"/>
  <c r="G33" i="4"/>
  <c r="G141" i="43"/>
  <c r="A87" i="43" l="1"/>
  <c r="A86" i="43"/>
  <c r="A85" i="43"/>
  <c r="A84" i="43"/>
  <c r="A83" i="43"/>
  <c r="A79" i="43"/>
  <c r="A85" i="4"/>
  <c r="A84" i="4"/>
  <c r="A83" i="4"/>
  <c r="A82" i="4"/>
  <c r="A78" i="4"/>
  <c r="A77" i="4"/>
  <c r="A275" i="4"/>
  <c r="A276" i="4"/>
  <c r="A209" i="43"/>
  <c r="A206" i="4"/>
  <c r="D77" i="4" l="1"/>
  <c r="F84" i="4"/>
  <c r="G78" i="4"/>
  <c r="G276" i="4"/>
  <c r="F82" i="4"/>
  <c r="C86" i="43"/>
  <c r="F275" i="4"/>
  <c r="G83" i="43"/>
  <c r="G209" i="43"/>
  <c r="D209" i="43"/>
  <c r="E209" i="43"/>
  <c r="G206" i="4"/>
  <c r="F206" i="4"/>
  <c r="D206" i="4"/>
  <c r="G79" i="43"/>
  <c r="C85" i="43"/>
  <c r="E85" i="43"/>
  <c r="E87" i="43"/>
  <c r="C87" i="43"/>
  <c r="D82" i="4"/>
  <c r="D84" i="4"/>
  <c r="G82" i="4"/>
  <c r="E86" i="43"/>
  <c r="E84" i="43"/>
  <c r="C84" i="43"/>
  <c r="E79" i="43"/>
  <c r="E83" i="43"/>
  <c r="C79" i="43"/>
  <c r="C83" i="43"/>
  <c r="D85" i="4"/>
  <c r="F85" i="4"/>
  <c r="D83" i="4"/>
  <c r="F83" i="4"/>
  <c r="F78" i="4"/>
  <c r="D78" i="4"/>
  <c r="F276" i="4"/>
  <c r="G109" i="42"/>
  <c r="F109" i="42"/>
  <c r="G129" i="1"/>
  <c r="F129" i="1"/>
  <c r="G35" i="43" l="1"/>
  <c r="A206" i="43"/>
  <c r="A205" i="43"/>
  <c r="D205" i="43" l="1"/>
  <c r="G205" i="43"/>
  <c r="E205" i="43"/>
  <c r="A145" i="43"/>
  <c r="G151" i="43" l="1"/>
  <c r="G151" i="4"/>
  <c r="E145" i="43"/>
  <c r="G145" i="43"/>
  <c r="AF184" i="1" l="1"/>
  <c r="AH201" i="1"/>
  <c r="AF185" i="1"/>
  <c r="AE184" i="1" l="1"/>
  <c r="AE185" i="1"/>
  <c r="AH172" i="42"/>
  <c r="AH173" i="42"/>
  <c r="AH174" i="42"/>
  <c r="AH175" i="42"/>
  <c r="AH176" i="42"/>
  <c r="AH177" i="42"/>
  <c r="AH178" i="42"/>
  <c r="AH179" i="42"/>
  <c r="AH202" i="1"/>
  <c r="AH203" i="1"/>
  <c r="AH204" i="1"/>
  <c r="AH205" i="1"/>
  <c r="AH206" i="1"/>
  <c r="AH208" i="1"/>
  <c r="AH209" i="1"/>
  <c r="AG201" i="1"/>
  <c r="AG202" i="1"/>
  <c r="AG203" i="1"/>
  <c r="AG208" i="1"/>
  <c r="AA189" i="1"/>
  <c r="AG206" i="1"/>
  <c r="AD172" i="42"/>
  <c r="AD173" i="42"/>
  <c r="AD174" i="42"/>
  <c r="AD175" i="42"/>
  <c r="AD176" i="42"/>
  <c r="AD177" i="42"/>
  <c r="AD178" i="42"/>
  <c r="AD179" i="42"/>
  <c r="AE172" i="42" l="1"/>
  <c r="AE178" i="42"/>
  <c r="AE174" i="42"/>
  <c r="AF176" i="42"/>
  <c r="AF172" i="42"/>
  <c r="AF179" i="42"/>
  <c r="AF175" i="42"/>
  <c r="AE173" i="42"/>
  <c r="AE176" i="42"/>
  <c r="AF178" i="42"/>
  <c r="AF174" i="42"/>
  <c r="AE177" i="42"/>
  <c r="AE179" i="42"/>
  <c r="AE175" i="42"/>
  <c r="AF177" i="42"/>
  <c r="AF173" i="42"/>
  <c r="AF200" i="1"/>
  <c r="AJ200" i="1"/>
  <c r="AG205" i="1"/>
  <c r="AG204" i="1"/>
  <c r="AG209" i="1"/>
  <c r="AH200" i="1" l="1"/>
  <c r="AG200" i="1"/>
  <c r="AE160" i="42" l="1"/>
  <c r="AF160" i="42"/>
  <c r="AE161" i="42"/>
  <c r="AF161" i="42"/>
  <c r="AE162" i="42"/>
  <c r="AF162" i="42"/>
  <c r="AE163" i="42"/>
  <c r="AF163" i="42"/>
  <c r="AE164" i="42"/>
  <c r="AF164" i="42"/>
  <c r="AE165" i="42"/>
  <c r="AF165" i="42"/>
  <c r="AE166" i="42"/>
  <c r="AF166" i="42"/>
  <c r="AE167" i="42"/>
  <c r="AF167" i="42"/>
  <c r="AE168" i="42"/>
  <c r="AF168" i="42"/>
  <c r="AD161" i="42"/>
  <c r="AD162" i="42"/>
  <c r="AD163" i="42"/>
  <c r="AD164" i="42"/>
  <c r="AD165" i="42"/>
  <c r="AD166" i="42"/>
  <c r="AD167" i="42"/>
  <c r="AD168" i="42"/>
  <c r="Y160" i="42"/>
  <c r="AH171" i="42" l="1"/>
  <c r="AD171" i="42"/>
  <c r="AD160" i="42"/>
  <c r="AE171" i="42" l="1"/>
  <c r="AF171" i="42"/>
  <c r="G175" i="1" l="1"/>
  <c r="C187" i="1" l="1"/>
  <c r="C186" i="1"/>
  <c r="G85" i="4" l="1"/>
  <c r="A160" i="43" l="1"/>
  <c r="A160" i="4"/>
  <c r="E160" i="43" l="1"/>
  <c r="S3" i="7"/>
  <c r="P3" i="7"/>
  <c r="O3" i="7"/>
  <c r="K3" i="7"/>
  <c r="J3" i="7"/>
  <c r="A214" i="4" l="1"/>
  <c r="A215" i="4"/>
  <c r="A216" i="4"/>
  <c r="A217" i="4"/>
  <c r="A218" i="4"/>
  <c r="A219" i="4"/>
  <c r="A220" i="4"/>
  <c r="A221" i="4"/>
  <c r="A222" i="4"/>
  <c r="A223" i="4"/>
  <c r="A224" i="4"/>
  <c r="A225" i="4"/>
  <c r="A226" i="4"/>
  <c r="A227" i="4"/>
  <c r="A228" i="4"/>
  <c r="A229" i="4"/>
  <c r="A230" i="4"/>
  <c r="A228" i="43"/>
  <c r="A229" i="43"/>
  <c r="A230" i="43"/>
  <c r="A231" i="43"/>
  <c r="A232" i="43"/>
  <c r="A233" i="43"/>
  <c r="A217" i="43"/>
  <c r="A218" i="43"/>
  <c r="A219" i="43"/>
  <c r="A220" i="43"/>
  <c r="A221" i="43"/>
  <c r="A222" i="43"/>
  <c r="A223" i="43"/>
  <c r="A224" i="43"/>
  <c r="A225" i="43"/>
  <c r="A226" i="43"/>
  <c r="A227" i="43"/>
  <c r="A71" i="4"/>
  <c r="A72" i="4"/>
  <c r="A73" i="4"/>
  <c r="A74" i="4"/>
  <c r="A75" i="4"/>
  <c r="A76" i="4"/>
  <c r="G77" i="4"/>
  <c r="A72" i="43"/>
  <c r="A73" i="43"/>
  <c r="A74" i="43"/>
  <c r="A75" i="43"/>
  <c r="A76" i="43"/>
  <c r="A77" i="43"/>
  <c r="A78" i="43"/>
  <c r="D232" i="43" l="1"/>
  <c r="D231" i="43"/>
  <c r="F230" i="4"/>
  <c r="F226" i="4"/>
  <c r="F222" i="4"/>
  <c r="F218" i="4"/>
  <c r="F214" i="4"/>
  <c r="D227" i="43"/>
  <c r="E219" i="43"/>
  <c r="F227" i="4"/>
  <c r="F219" i="4"/>
  <c r="E78" i="43"/>
  <c r="G73" i="4"/>
  <c r="C73" i="43"/>
  <c r="F72" i="4"/>
  <c r="D230" i="43"/>
  <c r="F229" i="4"/>
  <c r="F225" i="4"/>
  <c r="F221" i="4"/>
  <c r="F217" i="4"/>
  <c r="D74" i="4"/>
  <c r="E223" i="43"/>
  <c r="D228" i="43"/>
  <c r="F223" i="4"/>
  <c r="F215" i="4"/>
  <c r="E74" i="43"/>
  <c r="C77" i="43"/>
  <c r="F76" i="4"/>
  <c r="E76" i="43"/>
  <c r="E72" i="43"/>
  <c r="F75" i="4"/>
  <c r="F71" i="4"/>
  <c r="E224" i="43"/>
  <c r="E220" i="43"/>
  <c r="D233" i="43"/>
  <c r="D229" i="43"/>
  <c r="F228" i="4"/>
  <c r="F224" i="4"/>
  <c r="F220" i="4"/>
  <c r="F216" i="4"/>
  <c r="D228" i="4"/>
  <c r="D226" i="4"/>
  <c r="D218" i="4"/>
  <c r="D224" i="4"/>
  <c r="D216" i="4"/>
  <c r="D220" i="4"/>
  <c r="D230" i="4"/>
  <c r="D222" i="4"/>
  <c r="D214" i="4"/>
  <c r="C78" i="43"/>
  <c r="D73" i="4"/>
  <c r="D229" i="4"/>
  <c r="D227" i="4"/>
  <c r="D225" i="4"/>
  <c r="D223" i="4"/>
  <c r="D221" i="4"/>
  <c r="D219" i="4"/>
  <c r="D217" i="4"/>
  <c r="D215" i="4"/>
  <c r="G76" i="4"/>
  <c r="G72" i="4"/>
  <c r="G230" i="4"/>
  <c r="G229" i="4"/>
  <c r="G228" i="4"/>
  <c r="D76" i="4"/>
  <c r="D72" i="4"/>
  <c r="F77" i="4"/>
  <c r="F73" i="4"/>
  <c r="G75" i="4"/>
  <c r="G71" i="4"/>
  <c r="F74" i="4"/>
  <c r="D75" i="4"/>
  <c r="D71" i="4"/>
  <c r="G74" i="4"/>
  <c r="G233" i="43"/>
  <c r="G232" i="43"/>
  <c r="G231" i="43"/>
  <c r="E233" i="43"/>
  <c r="E232" i="43"/>
  <c r="E231" i="43"/>
  <c r="E230" i="43"/>
  <c r="E229" i="43"/>
  <c r="E228" i="43"/>
  <c r="D225" i="43"/>
  <c r="E227" i="43"/>
  <c r="C74" i="43"/>
  <c r="D224" i="43"/>
  <c r="D220" i="43"/>
  <c r="E226" i="43"/>
  <c r="E222" i="43"/>
  <c r="E218" i="43"/>
  <c r="D223" i="43"/>
  <c r="E225" i="43"/>
  <c r="E221" i="43"/>
  <c r="D219" i="43"/>
  <c r="E217" i="43"/>
  <c r="D226" i="43"/>
  <c r="D222" i="43"/>
  <c r="D218" i="43"/>
  <c r="D221" i="43"/>
  <c r="D217" i="43"/>
  <c r="C72" i="43"/>
  <c r="C76" i="43"/>
  <c r="G76" i="43"/>
  <c r="E75" i="43"/>
  <c r="C75" i="43"/>
  <c r="G77" i="43"/>
  <c r="E77" i="43"/>
  <c r="E73" i="43"/>
  <c r="G217" i="43" l="1"/>
  <c r="G218" i="43"/>
  <c r="G219" i="43"/>
  <c r="G220" i="43"/>
  <c r="G221" i="43"/>
  <c r="G222" i="43"/>
  <c r="G223" i="43"/>
  <c r="G224" i="43"/>
  <c r="G225" i="43"/>
  <c r="G226" i="43"/>
  <c r="G227" i="43"/>
  <c r="G228" i="43"/>
  <c r="G229" i="43"/>
  <c r="G230" i="43"/>
  <c r="G214" i="4"/>
  <c r="G215" i="4"/>
  <c r="G216" i="4"/>
  <c r="G217" i="4"/>
  <c r="G218" i="4"/>
  <c r="G219" i="4"/>
  <c r="G220" i="4"/>
  <c r="G221" i="4"/>
  <c r="G222" i="4"/>
  <c r="G223" i="4"/>
  <c r="G224" i="4"/>
  <c r="G225" i="4"/>
  <c r="G226" i="4"/>
  <c r="G227" i="4"/>
  <c r="F99" i="1" l="1"/>
  <c r="A281" i="43" l="1"/>
  <c r="A280" i="43"/>
  <c r="A279" i="43"/>
  <c r="A278" i="43"/>
  <c r="A275" i="43"/>
  <c r="A274" i="43"/>
  <c r="G86" i="43" l="1"/>
  <c r="G84" i="43"/>
  <c r="G87" i="43"/>
  <c r="G85" i="43"/>
  <c r="G275" i="4"/>
  <c r="E279" i="43"/>
  <c r="E278" i="43"/>
  <c r="G281" i="43"/>
  <c r="G280" i="43"/>
  <c r="E274" i="43"/>
  <c r="E280" i="43"/>
  <c r="G278" i="43"/>
  <c r="E275" i="43"/>
  <c r="E281" i="43"/>
  <c r="G279" i="43"/>
  <c r="G119" i="42"/>
  <c r="F119" i="42"/>
  <c r="F114" i="42"/>
  <c r="G114" i="42"/>
  <c r="A278" i="4"/>
  <c r="A277" i="4"/>
  <c r="A272" i="4"/>
  <c r="A271" i="4"/>
  <c r="B7" i="42" l="1"/>
  <c r="A121" i="43" s="1"/>
  <c r="G275" i="43"/>
  <c r="G84" i="4"/>
  <c r="G83" i="4"/>
  <c r="G277" i="4"/>
  <c r="F278" i="4"/>
  <c r="F272" i="4"/>
  <c r="G274" i="43"/>
  <c r="G86" i="4"/>
  <c r="G37" i="43"/>
  <c r="G139" i="1"/>
  <c r="F271" i="4"/>
  <c r="F277" i="4"/>
  <c r="G134" i="1"/>
  <c r="G271" i="4"/>
  <c r="F41" i="1"/>
  <c r="Z4" i="42" l="1"/>
  <c r="Z7" i="42"/>
  <c r="Z6" i="42"/>
  <c r="Z8" i="42"/>
  <c r="B9" i="42" s="1"/>
  <c r="G121" i="43" s="1"/>
  <c r="Z5" i="42"/>
  <c r="G272" i="4"/>
  <c r="G36" i="43"/>
  <c r="F139" i="1"/>
  <c r="G278" i="4"/>
  <c r="F134" i="1"/>
  <c r="F50" i="42"/>
  <c r="G36" i="4" l="1"/>
  <c r="G37" i="4"/>
  <c r="F49" i="1"/>
  <c r="F43" i="42" l="1"/>
  <c r="E311" i="43" l="1"/>
  <c r="A311" i="43"/>
  <c r="G312" i="43" l="1"/>
  <c r="G311" i="43"/>
  <c r="G40" i="43" s="1"/>
  <c r="A308" i="4"/>
  <c r="G308" i="4" l="1"/>
  <c r="G41" i="4" s="1"/>
  <c r="F308" i="4"/>
  <c r="C174" i="1" l="1"/>
  <c r="C173" i="1"/>
  <c r="F160" i="4" l="1"/>
  <c r="G160" i="4" l="1"/>
  <c r="A147" i="4" l="1"/>
  <c r="A147" i="43"/>
  <c r="G147" i="4" l="1"/>
  <c r="G147" i="43"/>
  <c r="E147" i="43"/>
  <c r="F147" i="4"/>
  <c r="G78" i="43" l="1"/>
  <c r="G75" i="43"/>
  <c r="G74" i="43"/>
  <c r="G73" i="43"/>
  <c r="G72" i="43"/>
  <c r="G99" i="1" l="1"/>
  <c r="B12" i="1" s="1"/>
  <c r="B7" i="1" s="1"/>
  <c r="E303" i="43"/>
  <c r="A299" i="4"/>
  <c r="Z11" i="1" l="1"/>
  <c r="Z13" i="1"/>
  <c r="Z12" i="1"/>
  <c r="Z14" i="1"/>
  <c r="Z15" i="1"/>
  <c r="B9" i="1" s="1"/>
  <c r="G303" i="43"/>
  <c r="B589" i="1" l="1"/>
  <c r="C587" i="1" l="1"/>
  <c r="A286" i="43" l="1"/>
  <c r="A287" i="43"/>
  <c r="A284" i="43"/>
  <c r="E284" i="43" s="1"/>
  <c r="A285" i="43"/>
  <c r="G286" i="43"/>
  <c r="D288" i="43"/>
  <c r="G287" i="43"/>
  <c r="G285" i="43"/>
  <c r="G284" i="43"/>
  <c r="F287" i="43" l="1"/>
  <c r="F286" i="43"/>
  <c r="F285" i="43"/>
  <c r="C126" i="42"/>
  <c r="A191" i="43"/>
  <c r="A192" i="43"/>
  <c r="A193" i="43"/>
  <c r="A282" i="4"/>
  <c r="A283" i="4"/>
  <c r="A284" i="4"/>
  <c r="A281" i="4"/>
  <c r="F284" i="4" l="1"/>
  <c r="C193" i="43"/>
  <c r="C192" i="43"/>
  <c r="F282" i="4"/>
  <c r="C191" i="43"/>
  <c r="G284" i="4"/>
  <c r="F283" i="4"/>
  <c r="G283" i="4"/>
  <c r="G282" i="4"/>
  <c r="G281" i="4"/>
  <c r="E193" i="43"/>
  <c r="D193" i="43"/>
  <c r="E192" i="43"/>
  <c r="D192" i="43"/>
  <c r="E191" i="43"/>
  <c r="D191" i="43"/>
  <c r="F281" i="4"/>
  <c r="C146" i="1"/>
  <c r="G38" i="4" l="1"/>
  <c r="A346" i="43" l="1"/>
  <c r="A347" i="43"/>
  <c r="A344" i="43"/>
  <c r="A345" i="43"/>
  <c r="A353" i="4"/>
  <c r="A354" i="4"/>
  <c r="F354" i="4" l="1"/>
  <c r="F353" i="4"/>
  <c r="F347" i="43"/>
  <c r="F346" i="43"/>
  <c r="G347" i="43"/>
  <c r="G354" i="4"/>
  <c r="G353" i="4"/>
  <c r="G346" i="43"/>
  <c r="G191" i="43" l="1"/>
  <c r="G192" i="43"/>
  <c r="G193" i="43"/>
  <c r="A162" i="43" l="1"/>
  <c r="A161" i="43"/>
  <c r="A163" i="43"/>
  <c r="A163" i="4"/>
  <c r="A162" i="4"/>
  <c r="A348" i="43"/>
  <c r="A352" i="4"/>
  <c r="F348" i="43" l="1"/>
  <c r="G163" i="43"/>
  <c r="F352" i="4"/>
  <c r="E161" i="43"/>
  <c r="F162" i="4"/>
  <c r="G162" i="43"/>
  <c r="E163" i="43"/>
  <c r="G162" i="4"/>
  <c r="G163" i="4"/>
  <c r="E162" i="43"/>
  <c r="G161" i="43"/>
  <c r="F163" i="4"/>
  <c r="G345" i="43"/>
  <c r="G352" i="4"/>
  <c r="E352" i="4"/>
  <c r="F345" i="43"/>
  <c r="E345" i="43"/>
  <c r="A352" i="43" l="1"/>
  <c r="A351" i="43"/>
  <c r="A350" i="43"/>
  <c r="A349" i="43"/>
  <c r="A357" i="4"/>
  <c r="A358" i="4"/>
  <c r="A359" i="4"/>
  <c r="A356" i="4"/>
  <c r="F349" i="43" l="1"/>
  <c r="E356" i="4"/>
  <c r="E359" i="4"/>
  <c r="E358" i="4"/>
  <c r="E357" i="4"/>
  <c r="G350" i="43"/>
  <c r="G356" i="4"/>
  <c r="G352" i="43"/>
  <c r="G357" i="4"/>
  <c r="G351" i="43"/>
  <c r="G349" i="43"/>
  <c r="G358" i="4"/>
  <c r="G359" i="4"/>
  <c r="E349" i="43"/>
  <c r="F356" i="4"/>
  <c r="E416" i="1"/>
  <c r="E350" i="43"/>
  <c r="E351" i="43"/>
  <c r="E352" i="43"/>
  <c r="F350" i="43"/>
  <c r="F351" i="43"/>
  <c r="F352" i="43"/>
  <c r="F359" i="4"/>
  <c r="F358" i="4"/>
  <c r="F357" i="4"/>
  <c r="A15" i="43"/>
  <c r="A15" i="4"/>
  <c r="B13" i="4"/>
  <c r="D33" i="4" l="1"/>
  <c r="D37" i="4"/>
  <c r="D38" i="4"/>
  <c r="D36" i="4"/>
  <c r="A53" i="4"/>
  <c r="G51" i="4"/>
  <c r="D51" i="4"/>
  <c r="D28" i="4"/>
  <c r="A324" i="43"/>
  <c r="A333" i="4"/>
  <c r="E324" i="43" l="1"/>
  <c r="G333" i="4"/>
  <c r="F333" i="4"/>
  <c r="G324" i="43"/>
  <c r="A154" i="4" l="1"/>
  <c r="E154" i="4" s="1"/>
  <c r="A153" i="4"/>
  <c r="E153" i="4" s="1"/>
  <c r="A154" i="43"/>
  <c r="A153" i="43"/>
  <c r="E153" i="43" l="1"/>
  <c r="G153" i="4"/>
  <c r="G153" i="43"/>
  <c r="F170" i="1"/>
  <c r="G154" i="43"/>
  <c r="G154" i="4"/>
  <c r="E154" i="43"/>
  <c r="F150" i="42"/>
  <c r="G298" i="4" l="1"/>
  <c r="G297" i="4"/>
  <c r="A362" i="43" l="1"/>
  <c r="A361" i="43"/>
  <c r="A369" i="4"/>
  <c r="A368" i="4"/>
  <c r="F361" i="43" l="1"/>
  <c r="F368" i="4"/>
  <c r="F362" i="43"/>
  <c r="F369" i="4"/>
  <c r="G369" i="4"/>
  <c r="G361" i="43"/>
  <c r="G368" i="4"/>
  <c r="G362" i="43"/>
  <c r="A355" i="4"/>
  <c r="G355" i="4" l="1"/>
  <c r="F355" i="4"/>
  <c r="G348" i="43" l="1"/>
  <c r="A342" i="43" l="1"/>
  <c r="A341" i="43"/>
  <c r="A340" i="43"/>
  <c r="A339" i="43"/>
  <c r="A336" i="43"/>
  <c r="A299" i="43"/>
  <c r="A351" i="4"/>
  <c r="A349" i="4"/>
  <c r="A347" i="4"/>
  <c r="A348" i="4"/>
  <c r="A346" i="4"/>
  <c r="A296" i="4"/>
  <c r="H1299" i="7"/>
  <c r="H1300" i="7"/>
  <c r="H1301" i="7"/>
  <c r="H1302" i="7"/>
  <c r="H1298" i="7"/>
  <c r="E340" i="43" l="1"/>
  <c r="G349" i="4"/>
  <c r="G341" i="43"/>
  <c r="E351" i="4"/>
  <c r="F346" i="4"/>
  <c r="F347" i="4"/>
  <c r="G348" i="4"/>
  <c r="G339" i="43"/>
  <c r="G344" i="43"/>
  <c r="E344" i="43"/>
  <c r="F344" i="43"/>
  <c r="G299" i="4"/>
  <c r="G351" i="4"/>
  <c r="F351" i="4"/>
  <c r="F348" i="4"/>
  <c r="E341" i="43"/>
  <c r="E339" i="43"/>
  <c r="F349" i="4"/>
  <c r="G347" i="4"/>
  <c r="G346" i="4"/>
  <c r="G342" i="43"/>
  <c r="G340" i="43"/>
  <c r="E342" i="43"/>
  <c r="F299" i="4"/>
  <c r="A171" i="4" l="1"/>
  <c r="A171" i="43"/>
  <c r="A287" i="4"/>
  <c r="A161" i="4"/>
  <c r="F344" i="4"/>
  <c r="A338" i="43"/>
  <c r="E336" i="43"/>
  <c r="A337" i="43"/>
  <c r="A335" i="43"/>
  <c r="E335" i="43" s="1"/>
  <c r="G135" i="43"/>
  <c r="A126" i="43"/>
  <c r="A165" i="43"/>
  <c r="A164" i="43"/>
  <c r="A173" i="43"/>
  <c r="A174" i="43"/>
  <c r="A175" i="43"/>
  <c r="A176" i="43"/>
  <c r="A172" i="43"/>
  <c r="A167" i="43"/>
  <c r="A168" i="43"/>
  <c r="A169" i="43"/>
  <c r="A170" i="43"/>
  <c r="A166" i="43"/>
  <c r="A343" i="4"/>
  <c r="A344" i="4"/>
  <c r="A345" i="4"/>
  <c r="A342" i="4"/>
  <c r="A173" i="4"/>
  <c r="A174" i="4"/>
  <c r="A175" i="4"/>
  <c r="A176" i="4"/>
  <c r="F176" i="4" s="1"/>
  <c r="A172" i="4"/>
  <c r="A167" i="4"/>
  <c r="A168" i="4"/>
  <c r="A169" i="4"/>
  <c r="A170" i="4"/>
  <c r="A166" i="4"/>
  <c r="F165" i="4"/>
  <c r="F164" i="4"/>
  <c r="F43" i="1"/>
  <c r="F42" i="1"/>
  <c r="F45" i="42"/>
  <c r="F44" i="42"/>
  <c r="A323" i="43"/>
  <c r="A322" i="43"/>
  <c r="A321" i="43"/>
  <c r="A331" i="4"/>
  <c r="A332" i="4"/>
  <c r="A330" i="4"/>
  <c r="A155" i="43"/>
  <c r="A155" i="4"/>
  <c r="A125" i="4"/>
  <c r="A126" i="4"/>
  <c r="A202" i="4"/>
  <c r="A291" i="4"/>
  <c r="A216" i="43"/>
  <c r="F395" i="43"/>
  <c r="B13" i="43"/>
  <c r="A202" i="43"/>
  <c r="A201" i="43"/>
  <c r="A200" i="43"/>
  <c r="A199" i="43"/>
  <c r="A198" i="43"/>
  <c r="A197" i="43"/>
  <c r="A196" i="43"/>
  <c r="A195" i="43"/>
  <c r="A194" i="43"/>
  <c r="A190" i="43"/>
  <c r="A189" i="43"/>
  <c r="A188" i="43"/>
  <c r="A187" i="43"/>
  <c r="A186" i="43"/>
  <c r="A185" i="43"/>
  <c r="A146" i="43"/>
  <c r="A144" i="43"/>
  <c r="A62" i="4"/>
  <c r="A63" i="4"/>
  <c r="F136" i="4"/>
  <c r="A141" i="4"/>
  <c r="A144" i="4"/>
  <c r="A146" i="4"/>
  <c r="A60" i="4"/>
  <c r="A61" i="4"/>
  <c r="A64" i="4"/>
  <c r="A65" i="4"/>
  <c r="A66" i="4"/>
  <c r="A67" i="4"/>
  <c r="A68" i="4"/>
  <c r="A69" i="4"/>
  <c r="A70" i="4"/>
  <c r="A185" i="4"/>
  <c r="A186" i="4"/>
  <c r="E186" i="4" s="1"/>
  <c r="A187" i="4"/>
  <c r="E187" i="4" s="1"/>
  <c r="A188" i="4"/>
  <c r="E188" i="4" s="1"/>
  <c r="A189" i="4"/>
  <c r="E189" i="4" s="1"/>
  <c r="A190" i="4"/>
  <c r="E190" i="4" s="1"/>
  <c r="A191" i="4"/>
  <c r="E191" i="4" s="1"/>
  <c r="A192" i="4"/>
  <c r="E192" i="4" s="1"/>
  <c r="A193" i="4"/>
  <c r="E193" i="4" s="1"/>
  <c r="A194" i="4"/>
  <c r="E194" i="4" s="1"/>
  <c r="A195" i="4"/>
  <c r="E195" i="4" s="1"/>
  <c r="A196" i="4"/>
  <c r="E196" i="4" s="1"/>
  <c r="A197" i="4"/>
  <c r="E197" i="4" s="1"/>
  <c r="A198" i="4"/>
  <c r="E198" i="4" s="1"/>
  <c r="A199" i="4"/>
  <c r="E199" i="4" s="1"/>
  <c r="A213" i="4"/>
  <c r="A294" i="4"/>
  <c r="A295" i="4"/>
  <c r="F296" i="4"/>
  <c r="F405" i="4"/>
  <c r="E299" i="43"/>
  <c r="A298" i="43"/>
  <c r="A297" i="43"/>
  <c r="D203" i="43"/>
  <c r="A71" i="43"/>
  <c r="A70" i="43"/>
  <c r="A69" i="43"/>
  <c r="A68" i="43"/>
  <c r="A67" i="43"/>
  <c r="A66" i="43"/>
  <c r="A65" i="43"/>
  <c r="A64" i="43"/>
  <c r="A63" i="43"/>
  <c r="A62" i="43"/>
  <c r="A61" i="43"/>
  <c r="C7" i="43"/>
  <c r="C4" i="43"/>
  <c r="B555" i="42"/>
  <c r="C553" i="42" s="1"/>
  <c r="B560" i="42"/>
  <c r="B37" i="42"/>
  <c r="C4" i="4"/>
  <c r="C7" i="4"/>
  <c r="B98" i="1"/>
  <c r="D279" i="4"/>
  <c r="D200" i="4"/>
  <c r="B594" i="1"/>
  <c r="B35" i="1"/>
  <c r="C156" i="1" l="1"/>
  <c r="A145" i="4"/>
  <c r="D335" i="43"/>
  <c r="G335" i="43"/>
  <c r="G141" i="4"/>
  <c r="F141" i="4"/>
  <c r="G150" i="43"/>
  <c r="G160" i="43"/>
  <c r="G152" i="43"/>
  <c r="G152" i="4"/>
  <c r="G150" i="4"/>
  <c r="F213" i="4"/>
  <c r="G192" i="4"/>
  <c r="D195" i="43"/>
  <c r="D126" i="4"/>
  <c r="G172" i="4"/>
  <c r="F342" i="4"/>
  <c r="E169" i="43"/>
  <c r="E171" i="43"/>
  <c r="E62" i="43"/>
  <c r="C66" i="43"/>
  <c r="E70" i="43"/>
  <c r="E298" i="43"/>
  <c r="D199" i="4"/>
  <c r="D191" i="4"/>
  <c r="G187" i="4"/>
  <c r="G65" i="4"/>
  <c r="F146" i="4"/>
  <c r="G62" i="4"/>
  <c r="E185" i="43"/>
  <c r="C189" i="43"/>
  <c r="C196" i="43"/>
  <c r="E200" i="43"/>
  <c r="E216" i="43"/>
  <c r="G331" i="4"/>
  <c r="E321" i="43"/>
  <c r="E176" i="43"/>
  <c r="E164" i="43"/>
  <c r="F171" i="4"/>
  <c r="C61" i="43"/>
  <c r="E297" i="43"/>
  <c r="F196" i="4"/>
  <c r="D63" i="4"/>
  <c r="G188" i="43"/>
  <c r="E155" i="43"/>
  <c r="F170" i="4"/>
  <c r="G63" i="43"/>
  <c r="C67" i="43"/>
  <c r="D194" i="4"/>
  <c r="D186" i="4"/>
  <c r="F64" i="4"/>
  <c r="G186" i="43"/>
  <c r="C190" i="43"/>
  <c r="G197" i="43"/>
  <c r="G201" i="43"/>
  <c r="G342" i="4"/>
  <c r="E167" i="43"/>
  <c r="E165" i="43"/>
  <c r="C65" i="43"/>
  <c r="E69" i="43"/>
  <c r="G66" i="4"/>
  <c r="E146" i="43"/>
  <c r="G199" i="43"/>
  <c r="E173" i="43"/>
  <c r="E338" i="43"/>
  <c r="C594" i="1"/>
  <c r="C560" i="42"/>
  <c r="E64" i="43"/>
  <c r="C68" i="43"/>
  <c r="F294" i="4"/>
  <c r="F197" i="4"/>
  <c r="D189" i="4"/>
  <c r="G67" i="4"/>
  <c r="G61" i="4"/>
  <c r="E144" i="43"/>
  <c r="G187" i="43"/>
  <c r="E194" i="43"/>
  <c r="D198" i="43"/>
  <c r="E202" i="43"/>
  <c r="A397" i="4"/>
  <c r="F155" i="4"/>
  <c r="F330" i="4"/>
  <c r="E323" i="43"/>
  <c r="F166" i="4"/>
  <c r="G167" i="4"/>
  <c r="F175" i="4"/>
  <c r="E170" i="43"/>
  <c r="E172" i="43"/>
  <c r="E174" i="43"/>
  <c r="D126" i="43"/>
  <c r="A387" i="43"/>
  <c r="E290" i="43"/>
  <c r="C6" i="4"/>
  <c r="C6" i="43"/>
  <c r="A293" i="43"/>
  <c r="D293" i="43" s="1"/>
  <c r="A294" i="43"/>
  <c r="G337" i="43"/>
  <c r="G169" i="4"/>
  <c r="F291" i="4"/>
  <c r="D291" i="4"/>
  <c r="F343" i="4"/>
  <c r="F345" i="4"/>
  <c r="A52" i="43"/>
  <c r="D33" i="43"/>
  <c r="D36" i="43"/>
  <c r="D35" i="43"/>
  <c r="D37" i="43"/>
  <c r="G50" i="43"/>
  <c r="D50" i="43"/>
  <c r="D202" i="4"/>
  <c r="F202" i="4"/>
  <c r="G202" i="4"/>
  <c r="D70" i="4"/>
  <c r="G70" i="4"/>
  <c r="F70" i="4"/>
  <c r="G69" i="4"/>
  <c r="D69" i="4"/>
  <c r="F69" i="4"/>
  <c r="D68" i="4"/>
  <c r="F68" i="4"/>
  <c r="G68" i="4"/>
  <c r="C71" i="43"/>
  <c r="G71" i="43"/>
  <c r="G60" i="4"/>
  <c r="D60" i="4"/>
  <c r="F44" i="1"/>
  <c r="G298" i="43"/>
  <c r="G146" i="43"/>
  <c r="G144" i="4"/>
  <c r="F36" i="1"/>
  <c r="G168" i="4"/>
  <c r="G322" i="43"/>
  <c r="G332" i="4"/>
  <c r="G161" i="4"/>
  <c r="F161" i="4"/>
  <c r="G173" i="4"/>
  <c r="G177" i="43"/>
  <c r="G175" i="43"/>
  <c r="G169" i="43"/>
  <c r="G168" i="43"/>
  <c r="G166" i="43"/>
  <c r="G174" i="4"/>
  <c r="G295" i="4"/>
  <c r="F295" i="4"/>
  <c r="G343" i="4"/>
  <c r="G171" i="43"/>
  <c r="D188" i="43"/>
  <c r="E188" i="43"/>
  <c r="E197" i="43"/>
  <c r="C188" i="43"/>
  <c r="G323" i="43"/>
  <c r="E166" i="43"/>
  <c r="E168" i="43"/>
  <c r="E177" i="43"/>
  <c r="G172" i="43"/>
  <c r="G155" i="4"/>
  <c r="E71" i="43"/>
  <c r="G67" i="43"/>
  <c r="E63" i="43"/>
  <c r="D185" i="43"/>
  <c r="C63" i="43"/>
  <c r="D194" i="43"/>
  <c r="G65" i="43"/>
  <c r="E198" i="43"/>
  <c r="E67" i="43"/>
  <c r="G200" i="43"/>
  <c r="C69" i="43"/>
  <c r="D216" i="43"/>
  <c r="G69" i="43"/>
  <c r="E61" i="43"/>
  <c r="C202" i="43"/>
  <c r="D202" i="43"/>
  <c r="C187" i="43"/>
  <c r="G198" i="43"/>
  <c r="G189" i="43"/>
  <c r="E187" i="43"/>
  <c r="G195" i="43"/>
  <c r="G64" i="43"/>
  <c r="D190" i="43"/>
  <c r="A13" i="43"/>
  <c r="G164" i="43"/>
  <c r="D186" i="43"/>
  <c r="G28" i="43"/>
  <c r="D197" i="43"/>
  <c r="G290" i="43"/>
  <c r="G338" i="43"/>
  <c r="C198" i="43"/>
  <c r="G202" i="43"/>
  <c r="G194" i="43"/>
  <c r="G62" i="43"/>
  <c r="C200" i="43"/>
  <c r="E322" i="43"/>
  <c r="G176" i="43"/>
  <c r="D338" i="43"/>
  <c r="C194" i="43"/>
  <c r="E196" i="43"/>
  <c r="G144" i="43"/>
  <c r="G61" i="43"/>
  <c r="G321" i="43"/>
  <c r="G167" i="43"/>
  <c r="E199" i="43"/>
  <c r="E186" i="43"/>
  <c r="E195" i="43"/>
  <c r="G297" i="43"/>
  <c r="E65" i="43"/>
  <c r="G190" i="43"/>
  <c r="D189" i="43"/>
  <c r="D200" i="43"/>
  <c r="E189" i="43"/>
  <c r="C64" i="43"/>
  <c r="C195" i="43"/>
  <c r="E175" i="43"/>
  <c r="G68" i="43"/>
  <c r="G196" i="43"/>
  <c r="C186" i="43"/>
  <c r="D196" i="43"/>
  <c r="E190" i="43"/>
  <c r="G185" i="43"/>
  <c r="E66" i="43"/>
  <c r="D199" i="43"/>
  <c r="E201" i="43"/>
  <c r="G66" i="43"/>
  <c r="D28" i="43"/>
  <c r="E68" i="43"/>
  <c r="C70" i="43"/>
  <c r="D16" i="43"/>
  <c r="G16" i="43"/>
  <c r="G165" i="43"/>
  <c r="G173" i="43"/>
  <c r="D337" i="43"/>
  <c r="E337" i="43"/>
  <c r="G336" i="43"/>
  <c r="G70" i="43"/>
  <c r="C62" i="43"/>
  <c r="G299" i="43"/>
  <c r="G170" i="43"/>
  <c r="G174" i="43"/>
  <c r="D336" i="43"/>
  <c r="D187" i="43"/>
  <c r="C199" i="43"/>
  <c r="D201" i="43"/>
  <c r="C201" i="43"/>
  <c r="C185" i="43"/>
  <c r="C197" i="43"/>
  <c r="G155" i="43"/>
  <c r="G198" i="4"/>
  <c r="A143" i="43"/>
  <c r="F46" i="42"/>
  <c r="G345" i="4"/>
  <c r="G175" i="4"/>
  <c r="D196" i="4"/>
  <c r="F185" i="4"/>
  <c r="F187" i="4"/>
  <c r="F169" i="4"/>
  <c r="F65" i="4"/>
  <c r="G171" i="4"/>
  <c r="F191" i="4"/>
  <c r="G176" i="4"/>
  <c r="F167" i="4"/>
  <c r="F173" i="4"/>
  <c r="D192" i="4"/>
  <c r="G63" i="4"/>
  <c r="A13" i="4"/>
  <c r="F66" i="4"/>
  <c r="G296" i="4"/>
  <c r="F287" i="4"/>
  <c r="F63" i="4"/>
  <c r="D190" i="4"/>
  <c r="D213" i="4"/>
  <c r="D61" i="4"/>
  <c r="F189" i="4"/>
  <c r="D67" i="4"/>
  <c r="F61" i="4"/>
  <c r="G146" i="4"/>
  <c r="G189" i="4"/>
  <c r="A129" i="4"/>
  <c r="F67" i="4"/>
  <c r="F62" i="4"/>
  <c r="F193" i="4"/>
  <c r="D62" i="4"/>
  <c r="G193" i="4"/>
  <c r="D185" i="4"/>
  <c r="G199" i="4"/>
  <c r="D193" i="4"/>
  <c r="F332" i="4"/>
  <c r="G165" i="4"/>
  <c r="D188" i="4"/>
  <c r="G197" i="4"/>
  <c r="F190" i="4"/>
  <c r="G330" i="4"/>
  <c r="F195" i="4"/>
  <c r="F188" i="4"/>
  <c r="D195" i="4"/>
  <c r="G191" i="4"/>
  <c r="G188" i="4"/>
  <c r="F60" i="4"/>
  <c r="D197" i="4"/>
  <c r="G213" i="4"/>
  <c r="G190" i="4"/>
  <c r="G186" i="4"/>
  <c r="D66" i="4"/>
  <c r="F198" i="4"/>
  <c r="G126" i="4"/>
  <c r="E185" i="4"/>
  <c r="G16" i="4"/>
  <c r="D16" i="4"/>
  <c r="G196" i="4"/>
  <c r="F194" i="4"/>
  <c r="D187" i="4"/>
  <c r="G294" i="4"/>
  <c r="F199" i="4"/>
  <c r="D198" i="4"/>
  <c r="A143" i="4"/>
  <c r="G164" i="4"/>
  <c r="F168" i="4"/>
  <c r="G28" i="4"/>
  <c r="D64" i="4"/>
  <c r="G64" i="4"/>
  <c r="F126" i="4"/>
  <c r="F54" i="1"/>
  <c r="F331" i="4"/>
  <c r="F174" i="4"/>
  <c r="F186" i="4"/>
  <c r="G194" i="4"/>
  <c r="G170" i="4"/>
  <c r="G166" i="4"/>
  <c r="G344" i="4"/>
  <c r="F172" i="4"/>
  <c r="D65" i="4"/>
  <c r="F192" i="4"/>
  <c r="G195" i="4"/>
  <c r="F144" i="4"/>
  <c r="A203" i="4"/>
  <c r="G291" i="4"/>
  <c r="D206" i="43"/>
  <c r="E206" i="43"/>
  <c r="G206" i="43"/>
  <c r="G125" i="4"/>
  <c r="D125" i="4"/>
  <c r="F55" i="42"/>
  <c r="A19" i="4"/>
  <c r="F38" i="42"/>
  <c r="G216" i="43"/>
  <c r="I6" i="1" l="1"/>
  <c r="G18" i="4"/>
  <c r="F6" i="42"/>
  <c r="F145" i="4"/>
  <c r="G145" i="4"/>
  <c r="G42" i="43"/>
  <c r="G43" i="4"/>
  <c r="E293" i="43"/>
  <c r="D397" i="4"/>
  <c r="E126" i="43"/>
  <c r="E143" i="43"/>
  <c r="E294" i="43"/>
  <c r="A125" i="43"/>
  <c r="D387" i="43"/>
  <c r="G32" i="43"/>
  <c r="G293" i="43"/>
  <c r="G34" i="43"/>
  <c r="A129" i="43"/>
  <c r="G32" i="4"/>
  <c r="G129" i="4"/>
  <c r="F143" i="4"/>
  <c r="B8" i="1"/>
  <c r="F125" i="4"/>
  <c r="A54" i="4"/>
  <c r="G38" i="43"/>
  <c r="G18" i="43"/>
  <c r="G126" i="43"/>
  <c r="G294" i="43"/>
  <c r="D294" i="43"/>
  <c r="A53" i="43"/>
  <c r="G31" i="43"/>
  <c r="F203" i="4"/>
  <c r="G35" i="4"/>
  <c r="G185" i="4"/>
  <c r="G143" i="43"/>
  <c r="G30" i="43" s="1"/>
  <c r="F129" i="4"/>
  <c r="G143" i="4"/>
  <c r="G203" i="4"/>
  <c r="D203" i="4"/>
  <c r="B575" i="1"/>
  <c r="D290" i="4"/>
  <c r="F290" i="4"/>
  <c r="G290" i="4"/>
  <c r="G30" i="4" l="1"/>
  <c r="G39" i="43"/>
  <c r="G40" i="4"/>
  <c r="D42" i="43"/>
  <c r="D43" i="4"/>
  <c r="G31" i="4"/>
  <c r="D18" i="43"/>
  <c r="D32" i="4"/>
  <c r="D18" i="4"/>
  <c r="B576" i="1"/>
  <c r="G22" i="4"/>
  <c r="E129" i="43"/>
  <c r="G129" i="43"/>
  <c r="D31" i="43"/>
  <c r="D34" i="43"/>
  <c r="G125" i="43"/>
  <c r="D125" i="43"/>
  <c r="D35" i="4"/>
  <c r="D38" i="43"/>
  <c r="D39" i="4"/>
  <c r="A19" i="43"/>
  <c r="B541" i="42"/>
  <c r="G34" i="4"/>
  <c r="D32" i="43"/>
  <c r="D30" i="43"/>
  <c r="B580" i="1"/>
  <c r="F540" i="42"/>
  <c r="Y14" i="1" l="1"/>
  <c r="Y13" i="1"/>
  <c r="Y11" i="1"/>
  <c r="Y15" i="1"/>
  <c r="Y12" i="1"/>
  <c r="Y8" i="42"/>
  <c r="Y4" i="42"/>
  <c r="Y7" i="42"/>
  <c r="Y5" i="42"/>
  <c r="Y6" i="42"/>
  <c r="A51" i="43"/>
  <c r="A52" i="4"/>
  <c r="D22" i="4"/>
  <c r="D40" i="4"/>
  <c r="D31" i="4"/>
  <c r="B546" i="42"/>
  <c r="D39" i="43"/>
  <c r="G22" i="43"/>
  <c r="E125" i="43"/>
  <c r="D121" i="43"/>
  <c r="B542" i="42"/>
  <c r="D34" i="4"/>
  <c r="B545" i="42"/>
  <c r="F7" i="42" l="1"/>
  <c r="I7" i="1"/>
  <c r="B6" i="1" s="1"/>
  <c r="F571" i="1"/>
  <c r="G395" i="43"/>
  <c r="D24" i="4"/>
  <c r="G136" i="4"/>
  <c r="B543" i="42"/>
  <c r="G132" i="43"/>
  <c r="D22" i="43"/>
  <c r="B577" i="1"/>
  <c r="D52" i="4" l="1"/>
  <c r="G19" i="43"/>
  <c r="G133" i="43"/>
  <c r="D24" i="43"/>
  <c r="B6" i="42"/>
  <c r="G132" i="4"/>
  <c r="G19" i="4"/>
  <c r="G387" i="43"/>
  <c r="F541" i="42"/>
  <c r="B14" i="43"/>
  <c r="E387" i="43"/>
  <c r="C14" i="43"/>
  <c r="D46" i="43"/>
  <c r="G24" i="43" l="1"/>
  <c r="G134" i="43"/>
  <c r="B540" i="42"/>
  <c r="D51" i="43"/>
  <c r="G24" i="4"/>
  <c r="G133" i="4"/>
  <c r="D48" i="43"/>
  <c r="G390" i="43"/>
  <c r="A14" i="43"/>
  <c r="D52" i="43"/>
  <c r="G46" i="43"/>
  <c r="G48" i="43" l="1"/>
  <c r="G51" i="43"/>
  <c r="G134" i="4"/>
  <c r="G52" i="4"/>
  <c r="G391" i="43"/>
  <c r="G392" i="43" s="1"/>
  <c r="D53" i="43"/>
  <c r="C175" i="1"/>
  <c r="G52" i="43" l="1"/>
  <c r="G393" i="43"/>
  <c r="G53" i="43"/>
  <c r="D30" i="4"/>
  <c r="I574" i="1"/>
  <c r="AJ12" i="1"/>
  <c r="G405" i="4" l="1"/>
  <c r="AJ24" i="1"/>
  <c r="AJ15" i="1"/>
  <c r="AJ18" i="1"/>
  <c r="AJ20" i="1"/>
  <c r="AJ14" i="1"/>
  <c r="AJ19" i="1"/>
  <c r="AJ17" i="1"/>
  <c r="B579" i="1"/>
  <c r="AJ10" i="1"/>
  <c r="AJ16" i="1"/>
  <c r="AJ11" i="1"/>
  <c r="AJ13" i="1"/>
  <c r="B14" i="4" l="1"/>
  <c r="I575" i="1"/>
  <c r="G397" i="4"/>
  <c r="D47" i="4"/>
  <c r="C14" i="4"/>
  <c r="F397" i="4"/>
  <c r="D49" i="4" l="1"/>
  <c r="B574" i="1"/>
  <c r="G400" i="4"/>
  <c r="A14" i="4"/>
  <c r="D53" i="4"/>
  <c r="G47" i="4"/>
  <c r="G401" i="4" l="1"/>
  <c r="G402" i="4" s="1"/>
  <c r="G49" i="4"/>
  <c r="G54" i="4"/>
  <c r="D54" i="4"/>
  <c r="G53" i="4" l="1"/>
  <c r="G40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tc={1798F631-068E-4FEC-AB10-464E8A2D5C07}</author>
  </authors>
  <commentList>
    <comment ref="B139" authorId="0" shapeId="0" xr:uid="{1798F631-068E-4FEC-AB10-464E8A2D5C0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j'ai corrigé les tailles RAM</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DURAND Geoffrey Ext OBS/OCB</author>
  </authors>
  <commentList>
    <comment ref="A71" authorId="0" shapeId="0" xr:uid="{2844B93F-BCF1-444D-9C1D-5064DF0C73A5}">
      <text>
        <r>
          <rPr>
            <b/>
            <sz val="9"/>
            <color indexed="81"/>
            <rFont val="Tahoma"/>
            <family val="2"/>
          </rPr>
          <t>DURAND Geoffrey Ext OBS/OCB:</t>
        </r>
        <r>
          <rPr>
            <sz val="9"/>
            <color indexed="81"/>
            <rFont val="Tahoma"/>
            <family val="2"/>
          </rPr>
          <t xml:space="preserve">
Pas possible de dire On Top de linux (car couche 4 à part)</t>
        </r>
      </text>
    </comment>
    <comment ref="A77" authorId="0" shapeId="0" xr:uid="{B610F434-DB86-49BB-8844-F03BD27C5BC8}">
      <text>
        <r>
          <rPr>
            <b/>
            <sz val="9"/>
            <color indexed="81"/>
            <rFont val="Tahoma"/>
            <family val="2"/>
          </rPr>
          <t>DURAND Geoffrey Ext OBS/OCB:</t>
        </r>
        <r>
          <rPr>
            <sz val="9"/>
            <color indexed="81"/>
            <rFont val="Tahoma"/>
            <family val="2"/>
          </rPr>
          <t xml:space="preserve">
Peut le prendre en RI (prix -18%) mais peut ne pas le prendre</t>
        </r>
      </text>
    </comment>
    <comment ref="B77" authorId="0" shapeId="0" xr:uid="{CDFD38C8-1E6D-4B5C-95D9-E2106E23FE3D}">
      <text>
        <r>
          <rPr>
            <b/>
            <sz val="9"/>
            <color indexed="81"/>
            <rFont val="Tahoma"/>
            <family val="2"/>
          </rPr>
          <t>DURAND Geoffrey Ext OBS/OCB:</t>
        </r>
        <r>
          <rPr>
            <sz val="9"/>
            <color indexed="81"/>
            <rFont val="Tahoma"/>
            <family val="2"/>
          </rPr>
          <t xml:space="preserve">
Peut le prendre en RI (prix -18%) mais peut ne pas le prendre</t>
        </r>
      </text>
    </comment>
    <comment ref="C77" authorId="0" shapeId="0" xr:uid="{C7526199-1EE6-47B7-98BC-3483DC086EED}">
      <text>
        <r>
          <rPr>
            <b/>
            <sz val="9"/>
            <color indexed="81"/>
            <rFont val="Tahoma"/>
            <family val="2"/>
          </rPr>
          <t>DURAND Geoffrey Ext OBS/OCB:</t>
        </r>
        <r>
          <rPr>
            <sz val="9"/>
            <color indexed="81"/>
            <rFont val="Tahoma"/>
            <family val="2"/>
          </rPr>
          <t xml:space="preserve">
Peut le prendre en RI (prix -18%) mais peut ne pas le prendre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Florence Arnal</author>
    <author>DURAND Geoffrey Ext OBS/OCB</author>
    <author>LINTE Thibault SCE</author>
    <author>Bornibus</author>
    <author>CHEVALLIER Marianne Ext OBS/OCB</author>
    <author>NGUYEN David Ext OBS/OCB</author>
  </authors>
  <commentList>
    <comment ref="B18" authorId="0" shapeId="0" xr:uid="{00000000-0006-0000-0300-000001000000}">
      <text>
        <r>
          <rPr>
            <sz val="9"/>
            <color indexed="81"/>
            <rFont val="Tahoma"/>
            <family val="2"/>
          </rPr>
          <t>Indiquez le nombre d'instances</t>
        </r>
      </text>
    </comment>
    <comment ref="C18" authorId="0" shapeId="0" xr:uid="{00000000-0006-0000-0300-000002000000}">
      <text>
        <r>
          <rPr>
            <sz val="9"/>
            <color indexed="81"/>
            <rFont val="Tahoma"/>
            <family val="2"/>
          </rPr>
          <t xml:space="preserve">Indiquez le pourcentage d'utilisation sur un mois de la VM.
</t>
        </r>
        <r>
          <rPr>
            <b/>
            <sz val="9"/>
            <color indexed="81"/>
            <rFont val="Tahoma"/>
            <family val="2"/>
          </rPr>
          <t xml:space="preserve">Le cap mensuel (à 650h) correspond à un usage &gt;=90%
</t>
        </r>
        <r>
          <rPr>
            <sz val="9"/>
            <color indexed="81"/>
            <rFont val="Tahoma"/>
            <family val="2"/>
          </rPr>
          <t xml:space="preserve">
Autrement dit:
Si % utilisation &lt;90%, le tarif horaire s'applique
Si % utilsation &gt;=90%, le tarif mensuel s'applique</t>
        </r>
      </text>
    </comment>
    <comment ref="B40" authorId="0" shapeId="0" xr:uid="{00000000-0006-0000-0300-000003000000}">
      <text>
        <r>
          <rPr>
            <sz val="9"/>
            <color indexed="81"/>
            <rFont val="Tahoma"/>
            <family val="2"/>
          </rPr>
          <t xml:space="preserve">Indiquez un nombre d'instances supérieur à 3
</t>
        </r>
      </text>
    </comment>
    <comment ref="E40" authorId="0" shapeId="0" xr:uid="{00000000-0006-0000-0300-000004000000}">
      <text>
        <r>
          <rPr>
            <sz val="9"/>
            <color indexed="81"/>
            <rFont val="Tahoma"/>
            <family val="2"/>
          </rPr>
          <t>Indiquez le nombre d'adresse IP supplémentaires
(au délà de l'IP flottante gratuite du tenant)</t>
        </r>
      </text>
    </comment>
    <comment ref="B46" authorId="0" shapeId="0" xr:uid="{00000000-0006-0000-0300-000005000000}">
      <text>
        <r>
          <rPr>
            <sz val="9"/>
            <color indexed="81"/>
            <rFont val="Tahoma"/>
            <family val="2"/>
          </rPr>
          <t xml:space="preserve">Indiquez un nombre de serveurs
</t>
        </r>
      </text>
    </comment>
    <comment ref="C46" authorId="1" shapeId="0" xr:uid="{692E5B1F-2D00-4C2D-992F-18CEBCBFA357}">
      <text>
        <r>
          <rPr>
            <sz val="9"/>
            <color indexed="81"/>
            <rFont val="Tahoma"/>
            <family val="2"/>
          </rPr>
          <t xml:space="preserve">Indiquez la moyenne d'heures d'utilisation par mois prévue par serveur
</t>
        </r>
      </text>
    </comment>
    <comment ref="E46" authorId="0" shapeId="0" xr:uid="{00000000-0006-0000-0300-000006000000}">
      <text>
        <r>
          <rPr>
            <sz val="9"/>
            <color indexed="81"/>
            <rFont val="Tahoma"/>
            <family val="2"/>
          </rPr>
          <t>Indiquez le nombre d'adresse IP supplémentaires
(au délà de l'IP flottante gratuite du tenant)</t>
        </r>
      </text>
    </comment>
    <comment ref="B51" authorId="0" shapeId="0" xr:uid="{00000000-0006-0000-0300-000007000000}">
      <text>
        <r>
          <rPr>
            <sz val="9"/>
            <color indexed="81"/>
            <rFont val="Tahoma"/>
            <family val="2"/>
          </rPr>
          <t xml:space="preserve">Indiquez un nombre de serveurs
</t>
        </r>
      </text>
    </comment>
    <comment ref="C51" authorId="1" shapeId="0" xr:uid="{91952E5A-659D-41AB-BAF7-1B4F30309728}">
      <text>
        <r>
          <rPr>
            <sz val="9"/>
            <color indexed="81"/>
            <rFont val="Tahoma"/>
            <family val="2"/>
          </rPr>
          <t xml:space="preserve">Indiquez la moyenne d'heures d'utilisation par mois prévue par serveur
</t>
        </r>
      </text>
    </comment>
    <comment ref="B56" authorId="0" shapeId="0" xr:uid="{00000000-0006-0000-0300-000008000000}">
      <text>
        <r>
          <rPr>
            <sz val="9"/>
            <color indexed="81"/>
            <rFont val="Tahoma"/>
            <family val="2"/>
          </rPr>
          <t>Indiquez le nombre d'instances</t>
        </r>
      </text>
    </comment>
    <comment ref="C56" authorId="0" shapeId="0" xr:uid="{00000000-0006-0000-0300-000009000000}">
      <text>
        <r>
          <rPr>
            <sz val="9"/>
            <color indexed="81"/>
            <rFont val="Tahoma"/>
            <family val="2"/>
          </rPr>
          <t>Choisissez le plan de souscription:
- 1 an sans frais initiaux
- 1 an avec frais initiaux
- 2 ans avec frais initiaux
- 3 ans avec frais initiaux
- 3 ans sans frais initiaux uniquement pour les tenants managés
A noter:
Les frais initiaux sont à renouveler à chaque période de réengagement. Par exemple, pour une instance réservée pour trois ans, les frais initiaux sont dus la première année et la 4ème en cas de réengagement de 3 ans à l'issu de la première réservation.</t>
        </r>
      </text>
    </comment>
    <comment ref="E56" authorId="0" shapeId="0" xr:uid="{00000000-0006-0000-0300-00000A000000}">
      <text>
        <r>
          <rPr>
            <sz val="9"/>
            <color indexed="81"/>
            <rFont val="Tahoma"/>
            <family val="2"/>
          </rPr>
          <t>Indiquez le nombre d'adresse IP supplémentaires
(au délà de l'IP flottante gratuite du tenant)</t>
        </r>
      </text>
    </comment>
    <comment ref="G56" authorId="2" shapeId="0" xr:uid="{00000000-0006-0000-0300-00000B000000}">
      <text>
        <r>
          <rPr>
            <sz val="9"/>
            <color indexed="81"/>
            <rFont val="Tahoma"/>
            <family val="2"/>
          </rPr>
          <t xml:space="preserve">A noter:
Les frais initiaux sont à renouveler à chaque période de réengagement. Par exemple, pour une instance réservée pour trois ans, les frais initiaux sont dus la première année et la 4ème en cas de réengagement de 3 ans à l'issu de la première réservation.
</t>
        </r>
      </text>
    </comment>
    <comment ref="B79" authorId="0" shapeId="0" xr:uid="{00000000-0006-0000-0300-00000C000000}">
      <text>
        <r>
          <rPr>
            <sz val="9"/>
            <color indexed="81"/>
            <rFont val="Tahoma"/>
            <family val="2"/>
          </rPr>
          <t>Indiquez le nombre d'instances</t>
        </r>
      </text>
    </comment>
    <comment ref="C79" authorId="0" shapeId="0" xr:uid="{00000000-0006-0000-0300-00000D000000}">
      <text>
        <r>
          <rPr>
            <sz val="9"/>
            <color indexed="81"/>
            <rFont val="Tahoma"/>
            <family val="2"/>
          </rPr>
          <t>Choisissez le plan de souscription:
- 1 an sans frais initiaux
- 1 an avec frais initiaux
- 2 ans avec frais initiaux
- 3 ans avec frais initiaux
- 3 ans sans frais initiaux uniquement pour les tenants managés
A noter:
Les frais initiaux sont à renouveler à chaque période de réengagement. Par exemple, pour une instance réservée pour trois ans, les frais initiaux sont dus la première année et la 4ème en cas de réengagement de 3 ans à l'issu de la première réservation.</t>
        </r>
      </text>
    </comment>
    <comment ref="E79" authorId="0" shapeId="0" xr:uid="{00000000-0006-0000-0300-00000E000000}">
      <text>
        <r>
          <rPr>
            <sz val="9"/>
            <color indexed="81"/>
            <rFont val="Tahoma"/>
            <family val="2"/>
          </rPr>
          <t>Indiquez le nombre d'adresse IP supplémentaires
(au délà de l'IP flottante gratuite du tenant)</t>
        </r>
      </text>
    </comment>
    <comment ref="G79" authorId="2" shapeId="0" xr:uid="{00000000-0006-0000-0300-00000F000000}">
      <text>
        <r>
          <rPr>
            <sz val="9"/>
            <color indexed="81"/>
            <rFont val="Tahoma"/>
            <family val="2"/>
          </rPr>
          <t xml:space="preserve">A noter:
Les frais initiaux sont à renouveler à chaque période de réengagement. Par exemple, pour une instance réservée pour trois ans, les frais initiaux sont dus la première année et la 4ème en cas de réengagement de 3 ans à l'issu de la première réservation.
</t>
        </r>
      </text>
    </comment>
    <comment ref="B101" authorId="0" shapeId="0" xr:uid="{00000000-0006-0000-0300-000010000000}">
      <text>
        <r>
          <rPr>
            <sz val="9"/>
            <color indexed="81"/>
            <rFont val="Tahoma"/>
            <family val="2"/>
          </rPr>
          <t>Indiquez le nombre d'instances</t>
        </r>
      </text>
    </comment>
    <comment ref="C101" authorId="0" shapeId="0" xr:uid="{00000000-0006-0000-0300-000011000000}">
      <text>
        <r>
          <rPr>
            <sz val="9"/>
            <color indexed="81"/>
            <rFont val="Tahoma"/>
            <family val="2"/>
          </rPr>
          <t>Choisissez le plan de souscription:
- 1 an sans frais initiaux
- 1 an avec frais initiaux
- 2 ans avec frais initiaux
- 3 ans avec frais initiaux
- 3 ans sans frais initiaux uniquement pour les tenants managés
A noter:
Les frais initiaux sont à renouveler à chaque période de réengagement. Par exemple, pour une instance réservée pour trois ans, les frais initiaux sont dus la première année et la 4ème en cas de réengagement de 3 ans à l'issu de la première réservation.</t>
        </r>
      </text>
    </comment>
    <comment ref="E101" authorId="0" shapeId="0" xr:uid="{00000000-0006-0000-0300-000012000000}">
      <text>
        <r>
          <rPr>
            <sz val="9"/>
            <color indexed="81"/>
            <rFont val="Tahoma"/>
            <family val="2"/>
          </rPr>
          <t>Indiquez le nombre d'adresse IP supplémentaires
(au délà de l'IP flottante gratuite du tenant)</t>
        </r>
      </text>
    </comment>
    <comment ref="G101" authorId="2" shapeId="0" xr:uid="{00000000-0006-0000-0300-000013000000}">
      <text>
        <r>
          <rPr>
            <sz val="9"/>
            <color indexed="81"/>
            <rFont val="Tahoma"/>
            <family val="2"/>
          </rPr>
          <t xml:space="preserve">A noter:
Les frais initiaux sont à renouveler à chaque période de réengagement. Par exemple, pour une instance réservée pour trois ans, les frais initiaux sont dus la première année et la 4ème en cas de réengagement de 3 ans à l'issu de la première réservation.
</t>
        </r>
      </text>
    </comment>
    <comment ref="B123" authorId="0" shapeId="0" xr:uid="{00000000-0006-0000-0300-000014000000}">
      <text>
        <r>
          <rPr>
            <sz val="9"/>
            <color indexed="81"/>
            <rFont val="Tahoma"/>
            <family val="2"/>
          </rPr>
          <t>Indiquez le nombre de serveurs</t>
        </r>
      </text>
    </comment>
    <comment ref="C123" authorId="0" shapeId="0" xr:uid="{00000000-0006-0000-0300-000015000000}">
      <text>
        <r>
          <rPr>
            <sz val="9"/>
            <color indexed="81"/>
            <rFont val="Tahoma"/>
            <family val="2"/>
          </rPr>
          <t>Choisissez le plan de souscription:
- 1 an sans frais initiaux
- 1 an avec frais initiaux
- 3 ans avec frais initiaux
- 3 ans sans frais initiaux uniquement pour les tenants managés
A noter:
Les frais initiaux sont à renouveler à chaque période de réengagement. Par exemple, pour une instance réservée pour trois ans, les frais initiaux sont dus la première année et la 4ème en cas de réengagement de 3 ans à l'issu de la première réservation.</t>
        </r>
      </text>
    </comment>
    <comment ref="G123" authorId="2" shapeId="0" xr:uid="{00000000-0006-0000-0300-000016000000}">
      <text>
        <r>
          <rPr>
            <sz val="9"/>
            <color indexed="81"/>
            <rFont val="Tahoma"/>
            <family val="2"/>
          </rPr>
          <t xml:space="preserve">A noter:
Les frais initiaux sont à renouveler à chaque période de réengagement. Par exemple, pour une instance réservée pour trois ans, les frais initiaux sont dus la première année et la 4ème en cas de réengagement de 3 ans à l'issu de la première réservation.
</t>
        </r>
      </text>
    </comment>
    <comment ref="B131" authorId="0" shapeId="0" xr:uid="{00000000-0006-0000-0300-000017000000}">
      <text>
        <r>
          <rPr>
            <sz val="9"/>
            <color indexed="81"/>
            <rFont val="Tahoma"/>
            <family val="2"/>
          </rPr>
          <t xml:space="preserve">Indiquez un nombre d'instances supérieur à 3
</t>
        </r>
      </text>
    </comment>
    <comment ref="C131" authorId="0" shapeId="0" xr:uid="{00000000-0006-0000-0300-000018000000}">
      <text>
        <r>
          <rPr>
            <sz val="9"/>
            <color indexed="81"/>
            <rFont val="Tahoma"/>
            <family val="2"/>
          </rPr>
          <t>Choisissez le plan de souscription:
- 1 an sans frais initiaux
- 1 an avec frais initiaux
- 2 ans avec frais initiaux
- 3 ans avec frais initiaux
A noter:
Les frais initiaux sont à renouveler à chaque période de réengagement. Par exemple, pour une instance réservée pour trois ans, les frais initiaux sont dus la première année et la 4ème en cas de réengagement de 3 ans à l'issu de la première réservation.</t>
        </r>
      </text>
    </comment>
    <comment ref="E131" authorId="0" shapeId="0" xr:uid="{00000000-0006-0000-0300-000019000000}">
      <text>
        <r>
          <rPr>
            <sz val="9"/>
            <color indexed="81"/>
            <rFont val="Tahoma"/>
            <family val="2"/>
          </rPr>
          <t>Indiquez le nombre d'adresse IP supplémentaires
(au délà de l'IP flottante gratuite du tenant)</t>
        </r>
      </text>
    </comment>
    <comment ref="G131" authorId="2" shapeId="0" xr:uid="{00000000-0006-0000-0300-00001A000000}">
      <text>
        <r>
          <rPr>
            <sz val="9"/>
            <color indexed="81"/>
            <rFont val="Tahoma"/>
            <family val="2"/>
          </rPr>
          <t xml:space="preserve">A noter:
Les frais initiaux sont à renouveler à chaque période de réengagement. Par exemple, pour une instance réservée pour trois ans, les frais initiaux sont dus la première année et la 4ème en cas de réengagement de 3 ans à l'issu de la première réservation.
</t>
        </r>
      </text>
    </comment>
    <comment ref="B136" authorId="0" shapeId="0" xr:uid="{00000000-0006-0000-0300-00001B000000}">
      <text>
        <r>
          <rPr>
            <sz val="9"/>
            <color indexed="81"/>
            <rFont val="Tahoma"/>
            <family val="2"/>
          </rPr>
          <t xml:space="preserve">Indiquez un nombre de serveurs
</t>
        </r>
      </text>
    </comment>
    <comment ref="C136" authorId="0" shapeId="0" xr:uid="{00000000-0006-0000-0300-00001C000000}">
      <text>
        <r>
          <rPr>
            <sz val="9"/>
            <color indexed="81"/>
            <rFont val="Tahoma"/>
            <family val="2"/>
          </rPr>
          <t>Choisissez le plan de souscription:
- 1 an sans frais initiaux
- 1 an avec frais initiaux
- 2 ans avec frais initiaux
- 3 ans avec frais initiaux
A noter:
Les frais initiaux sont à renouveler à chaque période de réengagement. Par exemple, pour une instance réservée pour trois ans, les frais initiaux sont dus la première année et la 4ème en cas de réengagement de 3 ans à l'issu de la première réservation.</t>
        </r>
      </text>
    </comment>
    <comment ref="E136" authorId="0" shapeId="0" xr:uid="{00000000-0006-0000-0300-00001D000000}">
      <text>
        <r>
          <rPr>
            <sz val="9"/>
            <color indexed="81"/>
            <rFont val="Tahoma"/>
            <family val="2"/>
          </rPr>
          <t>Indiquez le nombre d'adresse IP supplémentaires
(au délà de l'IP flottante gratuite du tenant)</t>
        </r>
      </text>
    </comment>
    <comment ref="G136" authorId="2" shapeId="0" xr:uid="{00000000-0006-0000-0300-00001E000000}">
      <text>
        <r>
          <rPr>
            <sz val="9"/>
            <color indexed="81"/>
            <rFont val="Tahoma"/>
            <family val="2"/>
          </rPr>
          <t xml:space="preserve">A noter:
Les frais initiaux sont à renouveler à chaque période de réengagement. Par exemple, pour une instance réservée pour trois ans, les frais initiaux sont dus la première année et la 4ème en cas de réengagement de 3 ans à l'issu de la première réservation.
</t>
        </r>
      </text>
    </comment>
    <comment ref="B155" authorId="3" shapeId="0" xr:uid="{00000000-0006-0000-0300-00001F000000}">
      <text>
        <r>
          <rPr>
            <sz val="9"/>
            <color indexed="81"/>
            <rFont val="Tahoma"/>
            <family val="2"/>
          </rPr>
          <t>Indiquez le volume de stockage Bloc en Go</t>
        </r>
      </text>
    </comment>
    <comment ref="B156" authorId="3" shapeId="0" xr:uid="{00000000-0006-0000-0300-000020000000}">
      <text>
        <r>
          <rPr>
            <sz val="9"/>
            <color indexed="81"/>
            <rFont val="Tahoma"/>
            <family val="2"/>
          </rPr>
          <t>Indiquez le volume de stockage Bloc en Go</t>
        </r>
      </text>
    </comment>
    <comment ref="B157" authorId="0" shapeId="0" xr:uid="{00000000-0006-0000-0300-000021000000}">
      <text>
        <r>
          <rPr>
            <sz val="9"/>
            <color indexed="81"/>
            <rFont val="Tahoma"/>
            <family val="2"/>
          </rPr>
          <t xml:space="preserve">Indiquez le volume de stockage Bloc en Go
</t>
        </r>
      </text>
    </comment>
    <comment ref="B158" authorId="0" shapeId="0" xr:uid="{00000000-0006-0000-0300-000022000000}">
      <text>
        <r>
          <rPr>
            <sz val="9"/>
            <color indexed="81"/>
            <rFont val="Tahoma"/>
            <family val="2"/>
          </rPr>
          <t>Indiquez le volume de stockage Bloc en Go</t>
        </r>
      </text>
    </comment>
    <comment ref="B159" authorId="1" shapeId="0" xr:uid="{7EB93A20-BF72-4213-9939-DE07DACF8FA3}">
      <text>
        <r>
          <rPr>
            <sz val="9"/>
            <color indexed="81"/>
            <rFont val="Tahoma"/>
            <family val="2"/>
          </rPr>
          <t>Indiquez le volume de stockage Bloc en Go</t>
        </r>
      </text>
    </comment>
    <comment ref="B160" authorId="1" shapeId="0" xr:uid="{4CAC7B81-99D0-43AF-8AE9-C5A59268016F}">
      <text>
        <r>
          <rPr>
            <sz val="9"/>
            <color indexed="81"/>
            <rFont val="Tahoma"/>
            <family val="2"/>
          </rPr>
          <t>Indiquez le volume de stockage Bloc en Go</t>
        </r>
      </text>
    </comment>
    <comment ref="B167" authorId="0" shapeId="0" xr:uid="{00000000-0006-0000-0300-000023000000}">
      <text>
        <r>
          <rPr>
            <sz val="9"/>
            <color indexed="81"/>
            <rFont val="Tahoma"/>
            <family val="2"/>
          </rPr>
          <t>Indiquez le nombre d'instances</t>
        </r>
      </text>
    </comment>
    <comment ref="E167" authorId="0" shapeId="0" xr:uid="{00000000-0006-0000-0300-000024000000}">
      <text>
        <r>
          <rPr>
            <sz val="9"/>
            <color indexed="81"/>
            <rFont val="Tahoma"/>
            <family val="2"/>
          </rPr>
          <t>Indiquez le nombre d'adresse IP supplémentaires
(au délà de l'IP flottante gratuite du tenant)</t>
        </r>
      </text>
    </comment>
    <comment ref="B186" authorId="3" shapeId="0" xr:uid="{00000000-0006-0000-0300-000025000000}">
      <text>
        <r>
          <rPr>
            <sz val="9"/>
            <color indexed="81"/>
            <rFont val="Tahoma"/>
            <family val="2"/>
          </rPr>
          <t>Indicate the volume of object storage in Go</t>
        </r>
      </text>
    </comment>
    <comment ref="B202" authorId="1" shapeId="0" xr:uid="{475D8EA3-6FD9-465B-8A02-C0A606E81810}">
      <text>
        <r>
          <rPr>
            <sz val="9"/>
            <color indexed="81"/>
            <rFont val="Tahoma"/>
            <family val="2"/>
          </rPr>
          <t>Minimum 500Go</t>
        </r>
      </text>
    </comment>
    <comment ref="B203" authorId="1" shapeId="0" xr:uid="{1F00EAF8-BBC8-451C-99FD-434B7A309784}">
      <text>
        <r>
          <rPr>
            <sz val="9"/>
            <color indexed="81"/>
            <rFont val="Tahoma"/>
            <family val="2"/>
          </rPr>
          <t>Minimum 500Go</t>
        </r>
      </text>
    </comment>
    <comment ref="B206" authorId="3" shapeId="0" xr:uid="{00000000-0006-0000-0300-000026000000}">
      <text>
        <r>
          <rPr>
            <sz val="9"/>
            <color indexed="81"/>
            <rFont val="Tahoma"/>
            <family val="2"/>
          </rPr>
          <t>Indiquez le volume de stockage objet en Go</t>
        </r>
      </text>
    </comment>
    <comment ref="C232" authorId="4" shapeId="0" xr:uid="{70614093-F7F4-4A70-9AC3-268894070116}">
      <text>
        <r>
          <rPr>
            <b/>
            <sz val="9"/>
            <color indexed="81"/>
            <rFont val="Tahoma"/>
            <family val="2"/>
          </rPr>
          <t xml:space="preserve">A noter : ce prix sera à aditionner aux prix du stockage dans l'AZ d'originie et dans l'AZ de destination 
</t>
        </r>
      </text>
    </comment>
    <comment ref="B267" authorId="3" shapeId="0" xr:uid="{00000000-0006-0000-0300-000027000000}">
      <text>
        <r>
          <rPr>
            <sz val="9"/>
            <color indexed="81"/>
            <rFont val="Tahoma"/>
            <family val="2"/>
          </rPr>
          <t>Indiquez le traffic sortant vers internet en Go</t>
        </r>
      </text>
    </comment>
    <comment ref="B270" authorId="1" shapeId="0" xr:uid="{3D6A68CA-5E2B-414A-94C1-D241AEE26D46}">
      <text>
        <r>
          <rPr>
            <sz val="9"/>
            <color indexed="81"/>
            <rFont val="Tahoma"/>
            <family val="2"/>
          </rPr>
          <t>Indiquez la bande passante en Mbps</t>
        </r>
      </text>
    </comment>
    <comment ref="B273" authorId="3" shapeId="0" xr:uid="{00000000-0006-0000-0300-000028000000}">
      <text>
        <r>
          <rPr>
            <sz val="9"/>
            <color indexed="81"/>
            <rFont val="Tahoma"/>
            <family val="2"/>
          </rPr>
          <t>Indiquez le traffic sortant vers internet en Go</t>
        </r>
      </text>
    </comment>
    <comment ref="E283" authorId="1" shapeId="0" xr:uid="{BDD8865A-55A2-4F54-A2BF-FAAB3C562D41}">
      <text>
        <r>
          <rPr>
            <b/>
            <sz val="9"/>
            <color indexed="81"/>
            <rFont val="Tahoma"/>
            <family val="2"/>
          </rPr>
          <t>Non facturés</t>
        </r>
      </text>
    </comment>
    <comment ref="C292" authorId="4" shapeId="0" xr:uid="{7945834D-9268-4289-ACDA-640746F0C972}">
      <text>
        <r>
          <rPr>
            <sz val="9"/>
            <color indexed="81"/>
            <rFont val="Tahoma"/>
            <family val="2"/>
          </rPr>
          <t xml:space="preserve">Les connexions sur la région eu-west-0 sont systématiquement doublées (Primary / standby
</t>
        </r>
      </text>
    </comment>
    <comment ref="B318" authorId="5" shapeId="0" xr:uid="{00000000-0006-0000-0300-000029000000}">
      <text>
        <r>
          <rPr>
            <b/>
            <sz val="9"/>
            <color indexed="81"/>
            <rFont val="Tahoma"/>
            <family val="2"/>
          </rPr>
          <t>Les prix pour la région d'Amsterdam sont similaires à ceux de la région de Paris pour ce service</t>
        </r>
      </text>
    </comment>
    <comment ref="C318" authorId="0" shapeId="0" xr:uid="{00000000-0006-0000-0300-00002A000000}">
      <text>
        <r>
          <rPr>
            <sz val="9"/>
            <color indexed="81"/>
            <rFont val="Tahoma"/>
            <family val="2"/>
          </rPr>
          <t>Indiquez le nombre d'instances</t>
        </r>
      </text>
    </comment>
    <comment ref="D318" authorId="0" shapeId="0" xr:uid="{00000000-0006-0000-0300-00002B000000}">
      <text>
        <r>
          <rPr>
            <sz val="9"/>
            <color indexed="81"/>
            <rFont val="Tahoma"/>
            <family val="2"/>
          </rPr>
          <t xml:space="preserve">Indiquez le pourcentage d'utilisation sur un mois de la VM.
</t>
        </r>
        <r>
          <rPr>
            <b/>
            <sz val="9"/>
            <color indexed="81"/>
            <rFont val="Tahoma"/>
            <family val="2"/>
          </rPr>
          <t xml:space="preserve">Le cap mensuel (à 650h) correspond à un usage &gt;=90%
</t>
        </r>
        <r>
          <rPr>
            <sz val="9"/>
            <color indexed="81"/>
            <rFont val="Tahoma"/>
            <family val="2"/>
          </rPr>
          <t xml:space="preserve">
Autrement dit:
Si % utilisation &lt;90%, le tarif horaire s'applique
Si % utilsation &gt;=90%, le tarif mensuel s'applique</t>
        </r>
      </text>
    </comment>
    <comment ref="F318" authorId="1" shapeId="0" xr:uid="{E1412964-9F23-4334-84F4-A4B45BE6097A}">
      <text>
        <r>
          <rPr>
            <b/>
            <sz val="9"/>
            <color indexed="81"/>
            <rFont val="Tahoma"/>
            <charset val="1"/>
          </rPr>
          <t>le mode Primary/standby nécessite 2 instances, il est donc facturé 2 fois le prix du mode Single</t>
        </r>
      </text>
    </comment>
    <comment ref="D325" authorId="1" shapeId="0" xr:uid="{1BC7B9EC-D74F-4D5B-B1EF-4ACE432CE8D4}">
      <text>
        <r>
          <rPr>
            <b/>
            <sz val="9"/>
            <color indexed="81"/>
            <rFont val="Tahoma"/>
            <charset val="1"/>
          </rPr>
          <t>Vous pouvez choisir d'associer une instance ECS en mode Instance Réservée</t>
        </r>
      </text>
    </comment>
    <comment ref="F325" authorId="1" shapeId="0" xr:uid="{553F844A-BBF1-4965-9C16-72D91021574E}">
      <text>
        <r>
          <rPr>
            <b/>
            <sz val="9"/>
            <color indexed="81"/>
            <rFont val="Tahoma"/>
            <charset val="1"/>
          </rPr>
          <t>le mode Primary/standby nécessite 2 instances, il est donc facturé 2 fois le prix du mode Single</t>
        </r>
      </text>
    </comment>
    <comment ref="D332" authorId="1" shapeId="0" xr:uid="{CB2425CB-C66B-4E72-A97D-FC98E5A77462}">
      <text>
        <r>
          <rPr>
            <b/>
            <sz val="9"/>
            <color indexed="81"/>
            <rFont val="Tahoma"/>
            <charset val="1"/>
          </rPr>
          <t>Vous pouvez choisir d'associer une instance ECS en mode Instance Réservée</t>
        </r>
      </text>
    </comment>
    <comment ref="E332" authorId="1" shapeId="0" xr:uid="{F5706508-8FDC-4561-9C2C-EF3551D7BD4B}">
      <text>
        <r>
          <rPr>
            <b/>
            <sz val="9"/>
            <color indexed="81"/>
            <rFont val="Tahoma"/>
            <charset val="1"/>
          </rPr>
          <t>Vous pouvez choisir d'inclure l'OS windows de l'ECS associéé dans votre estimation</t>
        </r>
      </text>
    </comment>
    <comment ref="G332" authorId="1" shapeId="0" xr:uid="{5863B23A-FCB0-4959-8CDB-7743F5CFF995}">
      <text>
        <r>
          <rPr>
            <b/>
            <sz val="9"/>
            <color indexed="81"/>
            <rFont val="Tahoma"/>
            <charset val="1"/>
          </rPr>
          <t>le mode Primary/standby nécessite 2 instances, il est donc facturé 2 fois le prix du mode Single</t>
        </r>
      </text>
    </comment>
    <comment ref="H332" authorId="1" shapeId="0" xr:uid="{2CA955F3-48B1-4F19-B823-3A81A0862CE8}">
      <text>
        <r>
          <rPr>
            <b/>
            <sz val="9"/>
            <color indexed="81"/>
            <rFont val="Tahoma"/>
            <charset val="1"/>
          </rPr>
          <t xml:space="preserve">Vous pouvez choisir d'inclure la licence MS SQL associée à l'instance RDS dans votre estimation
</t>
        </r>
      </text>
    </comment>
    <comment ref="B339" authorId="1" shapeId="0" xr:uid="{FED4C045-67C8-460B-845D-CE67E5C4298B}">
      <text>
        <r>
          <rPr>
            <b/>
            <sz val="9"/>
            <color indexed="81"/>
            <rFont val="Tahoma"/>
            <charset val="1"/>
          </rPr>
          <t>1 mois = 730 heures</t>
        </r>
      </text>
    </comment>
    <comment ref="A345" authorId="2" shapeId="0" xr:uid="{00000000-0006-0000-0300-000032000000}">
      <text>
        <r>
          <rPr>
            <sz val="9"/>
            <color indexed="81"/>
            <rFont val="Tahoma"/>
            <family val="2"/>
          </rPr>
          <t>Nombre d'heure par partition.
Nombre d'heures approximatives dans 1 mois : 730</t>
        </r>
      </text>
    </comment>
    <comment ref="B345" authorId="0" shapeId="0" xr:uid="{00000000-0006-0000-0300-000033000000}">
      <text>
        <r>
          <rPr>
            <sz val="9"/>
            <color indexed="81"/>
            <rFont val="Tahoma"/>
            <family val="2"/>
          </rPr>
          <t>Indiquez le nombre d'instances (entre 2 et 32).</t>
        </r>
      </text>
    </comment>
    <comment ref="D345" authorId="0" shapeId="0" xr:uid="{00000000-0006-0000-0300-000034000000}">
      <text>
        <r>
          <rPr>
            <sz val="9"/>
            <color indexed="81"/>
            <rFont val="Tahoma"/>
            <family val="2"/>
          </rPr>
          <t>Indiquez le nombre d'instances (entre 2 et 32).</t>
        </r>
      </text>
    </comment>
    <comment ref="I345" authorId="4" shapeId="0" xr:uid="{00000000-0006-0000-0300-000035000000}">
      <text>
        <r>
          <rPr>
            <sz val="9"/>
            <color indexed="81"/>
            <rFont val="Tahoma"/>
            <family val="2"/>
          </rPr>
          <t xml:space="preserve">
Config instances are taken into account when calculating the price of the DDS service. They use 3 ECS (s3.large.2 or c6.large.2) + 20GB of EVS Ultra High I/O + the cost of the DDS service for those instances </t>
        </r>
      </text>
    </comment>
    <comment ref="F346" authorId="5" shapeId="0" xr:uid="{00000000-0006-0000-0300-000036000000}">
      <text>
        <r>
          <rPr>
            <b/>
            <sz val="9"/>
            <color indexed="81"/>
            <rFont val="Tahoma"/>
            <family val="2"/>
          </rPr>
          <t>(à multiplier par le nombre d'instance shard (3 instances par nœud)</t>
        </r>
        <r>
          <rPr>
            <sz val="9"/>
            <color indexed="81"/>
            <rFont val="Tahoma"/>
            <family val="2"/>
          </rPr>
          <t xml:space="preserve">
</t>
        </r>
      </text>
    </comment>
    <comment ref="A349" authorId="2" shapeId="0" xr:uid="{00000000-0006-0000-0300-000037000000}">
      <text>
        <r>
          <rPr>
            <sz val="9"/>
            <color indexed="81"/>
            <rFont val="Tahoma"/>
            <family val="2"/>
          </rPr>
          <t>Nombre d'heure par partition.
Nombre d'heures approximatives dans 1 mois : 730</t>
        </r>
      </text>
    </comment>
    <comment ref="C350" authorId="5" shapeId="0" xr:uid="{00000000-0006-0000-0300-000038000000}">
      <text>
        <r>
          <rPr>
            <b/>
            <sz val="9"/>
            <color indexed="81"/>
            <rFont val="Tahoma"/>
            <family val="2"/>
          </rPr>
          <t>(à multiplier par le nombre d'instance Mongos  (3 instances par nœud)</t>
        </r>
        <r>
          <rPr>
            <sz val="9"/>
            <color indexed="81"/>
            <rFont val="Tahoma"/>
            <family val="2"/>
          </rPr>
          <t xml:space="preserve">
</t>
        </r>
      </text>
    </comment>
    <comment ref="B362" authorId="5" shapeId="0" xr:uid="{7BC37FAB-25EA-4688-A8AC-7620507F53C3}">
      <text>
        <r>
          <rPr>
            <b/>
            <sz val="9"/>
            <color indexed="81"/>
            <rFont val="Tahoma"/>
            <family val="2"/>
          </rPr>
          <t>Specify the number of API calls</t>
        </r>
        <r>
          <rPr>
            <sz val="9"/>
            <color indexed="81"/>
            <rFont val="Tahoma"/>
            <family val="2"/>
          </rPr>
          <t xml:space="preserve">
</t>
        </r>
      </text>
    </comment>
    <comment ref="B363" authorId="5" shapeId="0" xr:uid="{014DC7E8-4CC7-44C5-888E-993EF52D233B}">
      <text>
        <r>
          <rPr>
            <b/>
            <sz val="9"/>
            <color indexed="81"/>
            <rFont val="Tahoma"/>
            <family val="2"/>
          </rPr>
          <t>Specify the number of data transferred (GB)</t>
        </r>
      </text>
    </comment>
    <comment ref="B373" authorId="0" shapeId="0" xr:uid="{00000000-0006-0000-0300-00003B000000}">
      <text>
        <r>
          <rPr>
            <sz val="9"/>
            <color indexed="81"/>
            <rFont val="Tahoma"/>
            <family val="2"/>
          </rPr>
          <t>Indiquez le nombre d'instances</t>
        </r>
      </text>
    </comment>
    <comment ref="C373" authorId="0" shapeId="0" xr:uid="{00000000-0006-0000-0300-00003C000000}">
      <text>
        <r>
          <rPr>
            <sz val="9"/>
            <color indexed="81"/>
            <rFont val="Tahoma"/>
            <family val="2"/>
          </rPr>
          <t>Le nombre d'heures moyen par mois est de 740 heures</t>
        </r>
      </text>
    </comment>
    <comment ref="C381" authorId="4" shapeId="0" xr:uid="{9E775B46-2146-42F0-BCD7-016D1EA23086}">
      <text>
        <r>
          <rPr>
            <b/>
            <sz val="9"/>
            <color indexed="81"/>
            <rFont val="Tahoma"/>
            <family val="2"/>
          </rPr>
          <t>100 heures maximum</t>
        </r>
        <r>
          <rPr>
            <sz val="9"/>
            <color indexed="81"/>
            <rFont val="Tahoma"/>
            <family val="2"/>
          </rPr>
          <t xml:space="preserve">
</t>
        </r>
      </text>
    </comment>
    <comment ref="B411" authorId="0" shapeId="0" xr:uid="{00000000-0006-0000-0300-000040000000}">
      <text>
        <r>
          <rPr>
            <sz val="9"/>
            <color indexed="81"/>
            <rFont val="Tahoma"/>
            <family val="2"/>
          </rPr>
          <t>Indiquez le nombre d'instances</t>
        </r>
      </text>
    </comment>
    <comment ref="C411" authorId="0" shapeId="0" xr:uid="{00000000-0006-0000-0300-000041000000}">
      <text>
        <r>
          <rPr>
            <sz val="9"/>
            <color indexed="81"/>
            <rFont val="Tahoma"/>
            <family val="2"/>
          </rPr>
          <t>Le nombre d'heures moyen par mois est de 740 heures</t>
        </r>
      </text>
    </comment>
    <comment ref="B418" authorId="0" shapeId="0" xr:uid="{00000000-0006-0000-0300-000042000000}">
      <text>
        <r>
          <rPr>
            <sz val="9"/>
            <color indexed="81"/>
            <rFont val="Tahoma"/>
            <family val="2"/>
          </rPr>
          <t>Indiquez le nombre d'instances</t>
        </r>
      </text>
    </comment>
    <comment ref="C418" authorId="0" shapeId="0" xr:uid="{00000000-0006-0000-0300-000043000000}">
      <text>
        <r>
          <rPr>
            <sz val="9"/>
            <color indexed="81"/>
            <rFont val="Tahoma"/>
            <family val="2"/>
          </rPr>
          <t>Le nombre d'heures moyen par mois est de 740 heures</t>
        </r>
      </text>
    </comment>
    <comment ref="B425" authorId="0" shapeId="0" xr:uid="{00000000-0006-0000-0300-000044000000}">
      <text>
        <r>
          <rPr>
            <sz val="9"/>
            <color indexed="81"/>
            <rFont val="Tahoma"/>
            <family val="2"/>
          </rPr>
          <t>Indiquez le nombre d'instances</t>
        </r>
      </text>
    </comment>
    <comment ref="C425" authorId="0" shapeId="0" xr:uid="{00000000-0006-0000-0300-000045000000}">
      <text>
        <r>
          <rPr>
            <sz val="9"/>
            <color indexed="81"/>
            <rFont val="Tahoma"/>
            <family val="2"/>
          </rPr>
          <t>Le nombre d'heures moyen par mois est de 740 heures</t>
        </r>
      </text>
    </comment>
    <comment ref="B437" authorId="0" shapeId="0" xr:uid="{00000000-0006-0000-0300-000046000000}">
      <text>
        <r>
          <rPr>
            <sz val="9"/>
            <color indexed="81"/>
            <rFont val="Tahoma"/>
            <family val="2"/>
          </rPr>
          <t>Indiquez le nombre d'instances</t>
        </r>
      </text>
    </comment>
    <comment ref="B444" authorId="0" shapeId="0" xr:uid="{00000000-0006-0000-0300-000047000000}">
      <text>
        <r>
          <rPr>
            <sz val="9"/>
            <color indexed="81"/>
            <rFont val="Tahoma"/>
            <family val="2"/>
          </rPr>
          <t>Indiquez le nombre d'instances</t>
        </r>
      </text>
    </comment>
    <comment ref="C444" authorId="0" shapeId="0" xr:uid="{00000000-0006-0000-0300-000048000000}">
      <text>
        <r>
          <rPr>
            <sz val="9"/>
            <color indexed="81"/>
            <rFont val="Tahoma"/>
            <family val="2"/>
          </rPr>
          <t>Choisissez le plan de souscription:
- 1 an sans frais initiaux
- 1 an avec frais initiaux
- 2 ans avec frais initiaux
- 2 ans sans frais initiaux uniquement pour les tenants managés
- 3 ans avec frais initiaux
- 3 ans sans frais initiaux uniquement pour les tenants managés
A noter:
Les frais initiaux sont à renouveler à chaque période de réengagement. Par exemple, pour une instance réservée pour trois ans, les frais initiaux sont dus la première année et la 4ème en cas de réengagement de 3 ans à l'issu de la première réservation.</t>
        </r>
      </text>
    </comment>
    <comment ref="E444" authorId="2" shapeId="0" xr:uid="{00000000-0006-0000-0300-000049000000}">
      <text>
        <r>
          <rPr>
            <sz val="9"/>
            <color indexed="81"/>
            <rFont val="Tahoma"/>
            <family val="2"/>
          </rPr>
          <t xml:space="preserve">A noter:
Les frais initiaux sont à renouveler à chaque période de réengagement. Par exemple, pour une instance réservée pour trois ans, les frais initiaux sont dus la première année et la 4ème en cas de réengagement de 3 ans à l'issu de la première réservation.
</t>
        </r>
      </text>
    </comment>
    <comment ref="F451" authorId="1" shapeId="0" xr:uid="{67F40FFF-7C63-41E1-9684-F9386EDD1B64}">
      <text>
        <r>
          <rPr>
            <sz val="9"/>
            <color indexed="81"/>
            <rFont val="Tahoma"/>
            <family val="2"/>
          </rPr>
          <t xml:space="preserve">Le nombre d'heures moyen par mois est de 740 heures
</t>
        </r>
      </text>
    </comment>
    <comment ref="D459" authorId="1" shapeId="0" xr:uid="{5D0E5CAC-9484-4D10-AB95-FB71FD49690E}">
      <text>
        <r>
          <rPr>
            <sz val="9"/>
            <color indexed="81"/>
            <rFont val="Tahoma"/>
            <family val="2"/>
          </rPr>
          <t xml:space="preserve">Le nombre d'heures moyen par mois est de 740 heures
</t>
        </r>
      </text>
    </comment>
    <comment ref="C465" authorId="1" shapeId="0" xr:uid="{7D4AF0B7-CC43-49B8-80C5-F9494F8B0808}">
      <text>
        <r>
          <rPr>
            <sz val="9"/>
            <color indexed="81"/>
            <rFont val="Tahoma"/>
            <family val="2"/>
          </rPr>
          <t xml:space="preserve">Le nombre d'heures moyen par mois est de 740 heures
</t>
        </r>
      </text>
    </comment>
    <comment ref="C470" authorId="2" shapeId="0" xr:uid="{00000000-0006-0000-0300-00004B000000}">
      <text>
        <r>
          <rPr>
            <sz val="9"/>
            <color indexed="81"/>
            <rFont val="Tahoma"/>
            <family val="2"/>
          </rPr>
          <t>Nombre d'heure par partition.
Nombre d'heures approximatives dans 1 mois : 730</t>
        </r>
      </text>
    </comment>
    <comment ref="C476" authorId="2" shapeId="0" xr:uid="{00000000-0006-0000-0300-00004C000000}">
      <text>
        <r>
          <rPr>
            <sz val="9"/>
            <color indexed="81"/>
            <rFont val="Tahoma"/>
            <family val="2"/>
          </rPr>
          <t>Nombre moyen par activité</t>
        </r>
      </text>
    </comment>
    <comment ref="C479" authorId="2" shapeId="0" xr:uid="{00000000-0006-0000-0300-00004D000000}">
      <text>
        <r>
          <rPr>
            <sz val="9"/>
            <color indexed="81"/>
            <rFont val="Tahoma"/>
            <family val="2"/>
          </rPr>
          <t>Nombre d'heure par partition.
Nombre d'heures approximatives dans 1 mois : 730</t>
        </r>
      </text>
    </comment>
    <comment ref="C485" authorId="2" shapeId="0" xr:uid="{00000000-0006-0000-0300-00004E000000}">
      <text>
        <r>
          <rPr>
            <sz val="9"/>
            <color indexed="81"/>
            <rFont val="Tahoma"/>
            <family val="2"/>
          </rPr>
          <t>Nombre d'heure par partition.
Nombre d'heures approximatives dans 1 mois : 730</t>
        </r>
      </text>
    </comment>
    <comment ref="C488" authorId="2" shapeId="0" xr:uid="{00000000-0006-0000-0300-00004F000000}">
      <text>
        <r>
          <rPr>
            <sz val="9"/>
            <color indexed="81"/>
            <rFont val="Tahoma"/>
            <family val="2"/>
          </rPr>
          <t>Nombre d'heure par partition.
Nombre d'heures approximatives dans 1 mois : 730</t>
        </r>
      </text>
    </comment>
    <comment ref="A532" authorId="0" shapeId="0" xr:uid="{00000000-0006-0000-0300-000050000000}">
      <text>
        <r>
          <rPr>
            <sz val="9"/>
            <color indexed="81"/>
            <rFont val="Tahoma"/>
            <family val="2"/>
          </rPr>
          <t>Indiquez le nombre d'instances</t>
        </r>
      </text>
    </comment>
    <comment ref="B532" authorId="2" shapeId="0" xr:uid="{00000000-0006-0000-0300-000051000000}">
      <text>
        <r>
          <rPr>
            <sz val="9"/>
            <color indexed="81"/>
            <rFont val="Tahoma"/>
            <family val="2"/>
          </rPr>
          <t>Nombre d'heure par partition.
Nombre d'heures approximatives dans 1 mois : 730</t>
        </r>
      </text>
    </comment>
    <comment ref="A538" authorId="1" shapeId="0" xr:uid="{66049A21-C195-42F6-BE11-B370C38DD783}">
      <text>
        <r>
          <rPr>
            <sz val="9"/>
            <color indexed="81"/>
            <rFont val="Tahoma"/>
            <family val="2"/>
          </rPr>
          <t xml:space="preserve">Base de données disponibles
</t>
        </r>
      </text>
    </comment>
    <comment ref="C538" authorId="1" shapeId="0" xr:uid="{48794934-D245-4A6D-B6F4-0447E63B4417}">
      <text>
        <r>
          <rPr>
            <sz val="9"/>
            <color indexed="81"/>
            <rFont val="Tahoma"/>
            <family val="2"/>
          </rPr>
          <t xml:space="preserve">Indiquez la moyenne d'heures d'utilisation par mois prévue par instance
</t>
        </r>
      </text>
    </comment>
    <comment ref="C554" authorId="0" shapeId="0" xr:uid="{C0C2070D-1E3F-489C-B318-2797883A7D47}">
      <text>
        <r>
          <rPr>
            <sz val="9"/>
            <color indexed="81"/>
            <rFont val="Tahoma"/>
            <family val="2"/>
          </rPr>
          <t>Indicate the number of instances (VMs)</t>
        </r>
      </text>
    </comment>
    <comment ref="D554" authorId="0" shapeId="0" xr:uid="{2F4A4080-664D-4D13-9BB8-3B987BF3D960}">
      <text>
        <r>
          <rPr>
            <sz val="9"/>
            <color indexed="81"/>
            <rFont val="Tahoma"/>
            <family val="2"/>
          </rPr>
          <t>Estimer les heures d’utilisation par VM
Pour le service MRS
Si heures &lt; 730, le prix horaire s’applique
Si heures &gt; 730, le prix mensuel s’applique
Pour le service ECS
Si heures &lt; 650, le prix horaire s’applique
Si heures &gt; 650, le prix mensuel s’applique</t>
        </r>
      </text>
    </comment>
    <comment ref="A561" authorId="1" shapeId="0" xr:uid="{D0785236-D6F8-47AA-82EE-C31ECDBDE4EF}">
      <text>
        <r>
          <rPr>
            <sz val="9"/>
            <color indexed="81"/>
            <rFont val="Tahoma"/>
            <family val="2"/>
          </rPr>
          <t>Indiquer la taille souhaitée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Florence Arnal</author>
    <author>DURAND Geoffrey Ext OBS/OCB</author>
    <author>LINTE Thibault SCE</author>
    <author>Bornibus</author>
    <author>CHEVALLIER Marianne Ext OBS/OCB</author>
    <author>NGUYEN David Ext OBS/OCB</author>
  </authors>
  <commentList>
    <comment ref="B18" authorId="0" shapeId="0" xr:uid="{00000000-0006-0000-0400-000001000000}">
      <text>
        <r>
          <rPr>
            <sz val="9"/>
            <color indexed="81"/>
            <rFont val="Tahoma"/>
            <family val="2"/>
          </rPr>
          <t>Indicate the number of instances (VMs)</t>
        </r>
      </text>
    </comment>
    <comment ref="C18" authorId="0" shapeId="0" xr:uid="{00000000-0006-0000-0400-000002000000}">
      <text>
        <r>
          <rPr>
            <sz val="9"/>
            <color indexed="81"/>
            <rFont val="Tahoma"/>
            <family val="2"/>
          </rPr>
          <t>Estimate the usage rate accross a month.
The monthly price corresponds to a usage rate &gt;=90% (650h)
In other word:
If % rate &lt;90%, the hourly price applies
If % rate &gt;=90%, the montly price applies</t>
        </r>
      </text>
    </comment>
    <comment ref="E18" authorId="0" shapeId="0" xr:uid="{00000000-0006-0000-0400-000003000000}">
      <text>
        <r>
          <rPr>
            <sz val="9"/>
            <color indexed="81"/>
            <rFont val="Tahoma"/>
            <family val="2"/>
          </rPr>
          <t>Indicate the number of additionnal IP addresses (on top of the free IP adress of the tenant)</t>
        </r>
      </text>
    </comment>
    <comment ref="B42" authorId="0" shapeId="0" xr:uid="{00000000-0006-0000-0400-000004000000}">
      <text>
        <r>
          <rPr>
            <sz val="9"/>
            <color indexed="81"/>
            <rFont val="Tahoma"/>
            <family val="2"/>
          </rPr>
          <t>Indicate a number of instances (VMs) higher than 3</t>
        </r>
      </text>
    </comment>
    <comment ref="E42" authorId="0" shapeId="0" xr:uid="{00000000-0006-0000-0400-000005000000}">
      <text>
        <r>
          <rPr>
            <sz val="9"/>
            <color indexed="81"/>
            <rFont val="Tahoma"/>
            <family val="2"/>
          </rPr>
          <t>Indicate the number of additionnal IP addresses (on top of the free IP adress of the tenant)</t>
        </r>
      </text>
    </comment>
    <comment ref="B47" authorId="0" shapeId="0" xr:uid="{00000000-0006-0000-0400-000006000000}">
      <text>
        <r>
          <rPr>
            <sz val="9"/>
            <color indexed="81"/>
            <rFont val="Tahoma"/>
            <family val="2"/>
          </rPr>
          <t xml:space="preserve">Indicate a number of servers
</t>
        </r>
      </text>
    </comment>
    <comment ref="C47" authorId="1" shapeId="0" xr:uid="{EB42CB4F-3EFF-4803-A2D1-480E70E9A58D}">
      <text>
        <r>
          <rPr>
            <sz val="9"/>
            <color indexed="81"/>
            <rFont val="Tahoma"/>
            <family val="2"/>
          </rPr>
          <t>Indicate the average hours of usage per month expected per server</t>
        </r>
      </text>
    </comment>
    <comment ref="E47" authorId="0" shapeId="0" xr:uid="{00000000-0006-0000-0400-000007000000}">
      <text>
        <r>
          <rPr>
            <sz val="9"/>
            <color indexed="81"/>
            <rFont val="Tahoma"/>
            <family val="2"/>
          </rPr>
          <t>Indicate the number of additionnal IP addresses (on top of the free IP adress of the tenant)</t>
        </r>
      </text>
    </comment>
    <comment ref="B52" authorId="0" shapeId="0" xr:uid="{00000000-0006-0000-0400-000008000000}">
      <text>
        <r>
          <rPr>
            <sz val="9"/>
            <color indexed="81"/>
            <rFont val="Tahoma"/>
            <family val="2"/>
          </rPr>
          <t xml:space="preserve">Indicate a number of servers
</t>
        </r>
      </text>
    </comment>
    <comment ref="C52" authorId="1" shapeId="0" xr:uid="{0B4CF501-EF72-4790-A86B-4BD08F4E59EE}">
      <text>
        <r>
          <rPr>
            <sz val="9"/>
            <color indexed="81"/>
            <rFont val="Tahoma"/>
            <family val="2"/>
          </rPr>
          <t>Indicate the average hours of usage per month expected per server</t>
        </r>
      </text>
    </comment>
    <comment ref="B58" authorId="0" shapeId="0" xr:uid="{00000000-0006-0000-0400-000009000000}">
      <text>
        <r>
          <rPr>
            <sz val="9"/>
            <color indexed="81"/>
            <rFont val="Tahoma"/>
            <family val="2"/>
          </rPr>
          <t>Indicate the number of instances (VMs)</t>
        </r>
      </text>
    </comment>
    <comment ref="C58" authorId="0" shapeId="0" xr:uid="{00000000-0006-0000-0400-00000A000000}">
      <text>
        <r>
          <rPr>
            <sz val="9"/>
            <color indexed="81"/>
            <rFont val="Tahoma"/>
            <family val="2"/>
          </rPr>
          <t>Select your subscription plan:
- 1 year without setup fees
- 1 year with setup fees
- 2 years with setup fees
- 3 years with setup fees
- 3 years without setup fees for Managed Apps only
Please note setupfee of reserved instances are due for each reserved period. 
For example, for 1 year with Upfront, renewal needs to happen each year including the upfront.</t>
        </r>
      </text>
    </comment>
    <comment ref="E58" authorId="0" shapeId="0" xr:uid="{00000000-0006-0000-0400-00000B000000}">
      <text>
        <r>
          <rPr>
            <sz val="9"/>
            <color indexed="81"/>
            <rFont val="Tahoma"/>
            <family val="2"/>
          </rPr>
          <t>Indicate the number of additionnal IP addresses (on top of the free IP adress of the tenant)</t>
        </r>
      </text>
    </comment>
    <comment ref="G58" authorId="2" shapeId="0" xr:uid="{00000000-0006-0000-0400-00000C000000}">
      <text>
        <r>
          <rPr>
            <sz val="9"/>
            <color indexed="81"/>
            <rFont val="Tahoma"/>
            <family val="2"/>
          </rPr>
          <t>Please note setupfee of reserved instances are due for each reserved period. 
For example, for 1 year with Upfront, renewal needs to happen each year including the upfront</t>
        </r>
        <r>
          <rPr>
            <b/>
            <sz val="9"/>
            <color indexed="81"/>
            <rFont val="Tahoma"/>
            <family val="2"/>
          </rPr>
          <t>.</t>
        </r>
      </text>
    </comment>
    <comment ref="B80" authorId="0" shapeId="0" xr:uid="{00000000-0006-0000-0400-00000D000000}">
      <text>
        <r>
          <rPr>
            <sz val="9"/>
            <color indexed="81"/>
            <rFont val="Tahoma"/>
            <family val="2"/>
          </rPr>
          <t>Indicate the number of instances (VMs)</t>
        </r>
      </text>
    </comment>
    <comment ref="C80" authorId="0" shapeId="0" xr:uid="{00000000-0006-0000-0400-00000E000000}">
      <text>
        <r>
          <rPr>
            <sz val="9"/>
            <color indexed="81"/>
            <rFont val="Tahoma"/>
            <family val="2"/>
          </rPr>
          <t>Select your subscription plan:
- 1 year without setup fees
- 1 year with setup fees
- 2 years with setup fees
- 3 years with setup fees
- 3 years without setup fees for Managed Apps only
Please note setupfee of reserved instances are due for each reserved period. 
For example, for 1 year with Upfront, renewal needs to happen each year including the upfront.</t>
        </r>
      </text>
    </comment>
    <comment ref="E80" authorId="0" shapeId="0" xr:uid="{00000000-0006-0000-0400-00000F000000}">
      <text>
        <r>
          <rPr>
            <sz val="9"/>
            <color indexed="81"/>
            <rFont val="Tahoma"/>
            <family val="2"/>
          </rPr>
          <t>Indicate the number of additionnal IP addresses (on top of the free IP adress of the tenant)</t>
        </r>
      </text>
    </comment>
    <comment ref="G80" authorId="2" shapeId="0" xr:uid="{00000000-0006-0000-0400-000010000000}">
      <text>
        <r>
          <rPr>
            <sz val="9"/>
            <color indexed="81"/>
            <rFont val="Tahoma"/>
            <family val="2"/>
          </rPr>
          <t>Please note setupfee of reserved instances are due for each reserved period. 
For example, for 1 year with Upfront, renewal needs to happen each year including the upfront</t>
        </r>
        <r>
          <rPr>
            <b/>
            <sz val="9"/>
            <color indexed="81"/>
            <rFont val="Tahoma"/>
            <family val="2"/>
          </rPr>
          <t>.</t>
        </r>
      </text>
    </comment>
    <comment ref="B103" authorId="0" shapeId="0" xr:uid="{00000000-0006-0000-0400-000011000000}">
      <text>
        <r>
          <rPr>
            <sz val="9"/>
            <color indexed="81"/>
            <rFont val="Tahoma"/>
            <family val="2"/>
          </rPr>
          <t>Indicate the number of Servers</t>
        </r>
      </text>
    </comment>
    <comment ref="C103" authorId="0" shapeId="0" xr:uid="{00000000-0006-0000-0400-000012000000}">
      <text>
        <r>
          <rPr>
            <sz val="9"/>
            <color indexed="81"/>
            <rFont val="Tahoma"/>
            <family val="2"/>
          </rPr>
          <t>Select your subscription plan:
- 1 year without setup fees
- 1 year with setup fees
- 3 years with setup fees
- 3 years without setup fees for Managed Apps only
Please note setupfee of reserved instances are due for each reserved period. 
For example, for 1 year with Upfront, renewal needs to happen each year including the upfront.</t>
        </r>
      </text>
    </comment>
    <comment ref="G103" authorId="2" shapeId="0" xr:uid="{00000000-0006-0000-0400-000013000000}">
      <text>
        <r>
          <rPr>
            <sz val="9"/>
            <color indexed="81"/>
            <rFont val="Tahoma"/>
            <family val="2"/>
          </rPr>
          <t>Please note setupfee of reserved instances are due for each reserved period. 
For example, for 1 year with Upfront, renewal needs to happen each year including the upfront</t>
        </r>
        <r>
          <rPr>
            <b/>
            <sz val="9"/>
            <color indexed="81"/>
            <rFont val="Tahoma"/>
            <family val="2"/>
          </rPr>
          <t>.</t>
        </r>
      </text>
    </comment>
    <comment ref="B111" authorId="0" shapeId="0" xr:uid="{00000000-0006-0000-0400-000014000000}">
      <text>
        <r>
          <rPr>
            <sz val="9"/>
            <color indexed="81"/>
            <rFont val="Tahoma"/>
            <family val="2"/>
          </rPr>
          <t>Indicate a number of instances (VMs) higher than 3</t>
        </r>
      </text>
    </comment>
    <comment ref="C111" authorId="0" shapeId="0" xr:uid="{00000000-0006-0000-0400-000015000000}">
      <text>
        <r>
          <rPr>
            <sz val="9"/>
            <color indexed="81"/>
            <rFont val="Tahoma"/>
            <family val="2"/>
          </rPr>
          <t>Select your subscription plan:
- 1 year without setup fees
- 1 year with setup fees
- 2 years with setup fees
- 3 years with setup fees
Please note setupfee of reserved instances are due for each reserved period. 
For example, for 1 year with Upfront, renewal needs to happen each year including the upfront.</t>
        </r>
      </text>
    </comment>
    <comment ref="E111" authorId="0" shapeId="0" xr:uid="{00000000-0006-0000-0400-000016000000}">
      <text>
        <r>
          <rPr>
            <sz val="9"/>
            <color indexed="81"/>
            <rFont val="Tahoma"/>
            <family val="2"/>
          </rPr>
          <t>Indicate the number of additionnal IP addresses (on top of the free IP adress of the tenant)</t>
        </r>
      </text>
    </comment>
    <comment ref="G111" authorId="2" shapeId="0" xr:uid="{00000000-0006-0000-0400-000017000000}">
      <text>
        <r>
          <rPr>
            <sz val="9"/>
            <color indexed="81"/>
            <rFont val="Tahoma"/>
            <family val="2"/>
          </rPr>
          <t>Please note setupfee of reserved instances are due for each reserved period. 
For example, for 1 year with Upfront, renewal needs to happen each year including the upfront</t>
        </r>
        <r>
          <rPr>
            <b/>
            <sz val="9"/>
            <color indexed="81"/>
            <rFont val="Tahoma"/>
            <family val="2"/>
          </rPr>
          <t>.</t>
        </r>
      </text>
    </comment>
    <comment ref="B116" authorId="0" shapeId="0" xr:uid="{00000000-0006-0000-0400-000018000000}">
      <text>
        <r>
          <rPr>
            <sz val="9"/>
            <color indexed="81"/>
            <rFont val="Tahoma"/>
            <family val="2"/>
          </rPr>
          <t xml:space="preserve">Indicate a number of servers
</t>
        </r>
      </text>
    </comment>
    <comment ref="C116" authorId="0" shapeId="0" xr:uid="{00000000-0006-0000-0400-000019000000}">
      <text>
        <r>
          <rPr>
            <sz val="9"/>
            <color indexed="81"/>
            <rFont val="Tahoma"/>
            <family val="2"/>
          </rPr>
          <t>Select your subscription plan:
- 1 year without setup fees
- 1 year with setup fees
- 2 years with setup fees
- 3 years with setup fees
Please note setupfee of reserved instances are due for each reserved period. 
For example, for 1 year with Upfront, renewal needs to happen each year including the upfront.</t>
        </r>
      </text>
    </comment>
    <comment ref="E116" authorId="0" shapeId="0" xr:uid="{00000000-0006-0000-0400-00001A000000}">
      <text>
        <r>
          <rPr>
            <sz val="9"/>
            <color indexed="81"/>
            <rFont val="Tahoma"/>
            <family val="2"/>
          </rPr>
          <t>Indicate the number of additionnal IP addresses (on top of the free IP adress of the tenant)</t>
        </r>
      </text>
    </comment>
    <comment ref="G116" authorId="2" shapeId="0" xr:uid="{00000000-0006-0000-0400-00001B000000}">
      <text>
        <r>
          <rPr>
            <sz val="9"/>
            <color indexed="81"/>
            <rFont val="Tahoma"/>
            <family val="2"/>
          </rPr>
          <t>Please note setupfee of reserved instances are due for each reserved period. 
For example, for 1 year with Upfront, renewal needs to happen each year including the upfront</t>
        </r>
        <r>
          <rPr>
            <b/>
            <sz val="9"/>
            <color indexed="81"/>
            <rFont val="Tahoma"/>
            <family val="2"/>
          </rPr>
          <t>.</t>
        </r>
      </text>
    </comment>
    <comment ref="B135" authorId="3" shapeId="0" xr:uid="{00000000-0006-0000-0400-00001C000000}">
      <text>
        <r>
          <rPr>
            <sz val="9"/>
            <color indexed="81"/>
            <rFont val="Tahoma"/>
            <family val="2"/>
          </rPr>
          <t>Indicate the volume of block storage in GB</t>
        </r>
      </text>
    </comment>
    <comment ref="B136" authorId="3" shapeId="0" xr:uid="{00000000-0006-0000-0400-00001D000000}">
      <text>
        <r>
          <rPr>
            <sz val="9"/>
            <color indexed="81"/>
            <rFont val="Tahoma"/>
            <family val="2"/>
          </rPr>
          <t>Indicate the volume of block storage in GB</t>
        </r>
      </text>
    </comment>
    <comment ref="B137" authorId="0" shapeId="0" xr:uid="{00000000-0006-0000-0400-00001E000000}">
      <text>
        <r>
          <rPr>
            <sz val="9"/>
            <color indexed="81"/>
            <rFont val="Tahoma"/>
            <family val="2"/>
          </rPr>
          <t>Indicate the volume of block storage in GB</t>
        </r>
      </text>
    </comment>
    <comment ref="B138" authorId="0" shapeId="0" xr:uid="{00000000-0006-0000-0400-00001F000000}">
      <text>
        <r>
          <rPr>
            <sz val="9"/>
            <color indexed="81"/>
            <rFont val="Tahoma"/>
            <family val="2"/>
          </rPr>
          <t>Indicate the volume of block storage in GB</t>
        </r>
      </text>
    </comment>
    <comment ref="B139" authorId="1" shapeId="0" xr:uid="{95B4A70B-104E-42ED-BE36-5E0462255700}">
      <text>
        <r>
          <rPr>
            <sz val="9"/>
            <color indexed="81"/>
            <rFont val="Tahoma"/>
            <family val="2"/>
          </rPr>
          <t>Indicate the volume of block storage in GB</t>
        </r>
      </text>
    </comment>
    <comment ref="B140" authorId="1" shapeId="0" xr:uid="{93EEE613-1A77-4C2C-A1D5-10BBC3264861}">
      <text>
        <r>
          <rPr>
            <sz val="9"/>
            <color indexed="81"/>
            <rFont val="Tahoma"/>
            <family val="2"/>
          </rPr>
          <t>Indicate the volume of block storage in GB</t>
        </r>
      </text>
    </comment>
    <comment ref="B147" authorId="0" shapeId="0" xr:uid="{00000000-0006-0000-0400-000020000000}">
      <text>
        <r>
          <rPr>
            <sz val="9"/>
            <color indexed="81"/>
            <rFont val="Tahoma"/>
            <family val="2"/>
          </rPr>
          <t>Indicate the number of instances (VMs)</t>
        </r>
      </text>
    </comment>
    <comment ref="B161" authorId="3" shapeId="0" xr:uid="{00000000-0006-0000-0400-000021000000}">
      <text>
        <r>
          <rPr>
            <sz val="9"/>
            <color indexed="81"/>
            <rFont val="Tahoma"/>
            <family val="2"/>
          </rPr>
          <t>Indicate the volume of object storage in GB</t>
        </r>
      </text>
    </comment>
    <comment ref="B176" authorId="1" shapeId="0" xr:uid="{30FF060F-B485-4DC4-86BF-68C36DF1119B}">
      <text>
        <r>
          <rPr>
            <sz val="9"/>
            <color indexed="81"/>
            <rFont val="Tahoma"/>
            <family val="2"/>
          </rPr>
          <t>Minimum 500Go</t>
        </r>
      </text>
    </comment>
    <comment ref="B177" authorId="1" shapeId="0" xr:uid="{8F6B7C86-BC9F-469A-A718-4EDEC5843BC9}">
      <text>
        <r>
          <rPr>
            <sz val="9"/>
            <color indexed="81"/>
            <rFont val="Tahoma"/>
            <family val="2"/>
          </rPr>
          <t>Minimum 500Go</t>
        </r>
      </text>
    </comment>
    <comment ref="B180" authorId="3" shapeId="0" xr:uid="{00000000-0006-0000-0400-000022000000}">
      <text>
        <r>
          <rPr>
            <sz val="9"/>
            <color indexed="81"/>
            <rFont val="Tahoma"/>
            <family val="2"/>
          </rPr>
          <t xml:space="preserve">Indicate the volume of object storage in GB
</t>
        </r>
      </text>
    </comment>
    <comment ref="C206" authorId="4" shapeId="0" xr:uid="{AE934BE8-B82E-4889-8AE5-25D29B0BC8CA}">
      <text>
        <r>
          <rPr>
            <b/>
            <sz val="9"/>
            <color indexed="81"/>
            <rFont val="Tahoma"/>
            <family val="2"/>
          </rPr>
          <t xml:space="preserve">Please note: this price will be added to the price of storage in the AZ of origin and in the AZ of destination 
</t>
        </r>
      </text>
    </comment>
    <comment ref="B239" authorId="3" shapeId="0" xr:uid="{00000000-0006-0000-0400-000023000000}">
      <text>
        <r>
          <rPr>
            <sz val="9"/>
            <color indexed="81"/>
            <rFont val="Tahoma"/>
            <family val="2"/>
          </rPr>
          <t>Indicate the outgoing traffic in GB</t>
        </r>
      </text>
    </comment>
    <comment ref="B241" authorId="3" shapeId="0" xr:uid="{00000000-0006-0000-0400-000024000000}">
      <text>
        <r>
          <rPr>
            <sz val="9"/>
            <color indexed="81"/>
            <rFont val="Tahoma"/>
            <family val="2"/>
          </rPr>
          <t>Indicate the outgoing traffic in Go</t>
        </r>
      </text>
    </comment>
    <comment ref="B244" authorId="1" shapeId="0" xr:uid="{7891AE30-7299-4F46-BAC7-3195F5769252}">
      <text>
        <r>
          <rPr>
            <sz val="9"/>
            <color indexed="81"/>
            <rFont val="Tahoma"/>
            <family val="2"/>
          </rPr>
          <t>Specify bandwidth trafic in Mbps</t>
        </r>
      </text>
    </comment>
    <comment ref="E254" authorId="1" shapeId="0" xr:uid="{BBA91AB2-86C0-4C38-BA3B-1390CB333AB8}">
      <text>
        <r>
          <rPr>
            <b/>
            <sz val="9"/>
            <color indexed="81"/>
            <rFont val="Tahoma"/>
            <family val="2"/>
          </rPr>
          <t>Not invoiced</t>
        </r>
      </text>
    </comment>
    <comment ref="C289" authorId="0" shapeId="0" xr:uid="{00000000-0006-0000-0400-000026000000}">
      <text>
        <r>
          <rPr>
            <sz val="9"/>
            <color indexed="81"/>
            <rFont val="Tahoma"/>
            <family val="2"/>
          </rPr>
          <t>Indicate the number of instances (VMs)</t>
        </r>
      </text>
    </comment>
    <comment ref="D289" authorId="0" shapeId="0" xr:uid="{00000000-0006-0000-0400-000027000000}">
      <text>
        <r>
          <rPr>
            <sz val="9"/>
            <color indexed="81"/>
            <rFont val="Tahoma"/>
            <family val="2"/>
          </rPr>
          <t>Estimate the usage rate accross a month.
The monthly price corresponds to a usage rate &gt;=90% (650h)
In other word:
If % rate &lt;90%, the hourly price applies
If % rate &gt;=90%, the montly price applies</t>
        </r>
      </text>
    </comment>
    <comment ref="D296" authorId="1" shapeId="0" xr:uid="{5A999FB8-96DF-4B91-93AB-8A2DF764B526}">
      <text>
        <r>
          <rPr>
            <b/>
            <sz val="9"/>
            <color indexed="81"/>
            <rFont val="Tahoma"/>
            <charset val="1"/>
          </rPr>
          <t>Vous pouvez choisir d'associer une instance ECS en mode Instance Réservée</t>
        </r>
      </text>
    </comment>
    <comment ref="F296" authorId="1" shapeId="0" xr:uid="{3743CCC0-FDF2-4D1B-99C5-C6FEE7F77702}">
      <text>
        <r>
          <rPr>
            <b/>
            <sz val="9"/>
            <color indexed="81"/>
            <rFont val="Tahoma"/>
            <charset val="1"/>
          </rPr>
          <t>le mode Primary/standby nécessite 2 instances, il est donc facturé 2 fois le prix du mode Single</t>
        </r>
      </text>
    </comment>
    <comment ref="D303" authorId="1" shapeId="0" xr:uid="{C14EEE36-A909-4F07-B57A-94FB858D88AD}">
      <text>
        <r>
          <rPr>
            <b/>
            <sz val="9"/>
            <color indexed="81"/>
            <rFont val="Tahoma"/>
            <charset val="1"/>
          </rPr>
          <t>You can choose to associate an ECS instance in Reserved Instance mode</t>
        </r>
      </text>
    </comment>
    <comment ref="E303" authorId="1" shapeId="0" xr:uid="{226251B2-3583-4120-BFC8-9979CCF98B31}">
      <text>
        <r>
          <rPr>
            <b/>
            <sz val="9"/>
            <color indexed="81"/>
            <rFont val="Tahoma"/>
            <charset val="1"/>
          </rPr>
          <t>You can choose to include the Windows OS of the associated ECS in your estimate</t>
        </r>
      </text>
    </comment>
    <comment ref="G303" authorId="1" shapeId="0" xr:uid="{2417B166-F7F0-4A67-99C9-2DF0948ADF0E}">
      <text>
        <r>
          <rPr>
            <b/>
            <sz val="9"/>
            <color indexed="81"/>
            <rFont val="Tahoma"/>
            <charset val="1"/>
          </rPr>
          <t>Primary/standby mode requires 2 instances, so it is billed at twice the price of Single mode</t>
        </r>
      </text>
    </comment>
    <comment ref="B310" authorId="1" shapeId="0" xr:uid="{0ACE0F92-08E4-43AC-AECF-FBDCBEE2E385}">
      <text>
        <r>
          <rPr>
            <b/>
            <sz val="9"/>
            <color indexed="81"/>
            <rFont val="Tahoma"/>
            <charset val="1"/>
          </rPr>
          <t>1 month = 730 hours</t>
        </r>
      </text>
    </comment>
    <comment ref="A316" authorId="2" shapeId="0" xr:uid="{00000000-0006-0000-0400-000030000000}">
      <text>
        <r>
          <rPr>
            <sz val="9"/>
            <color indexed="81"/>
            <rFont val="Tahoma"/>
            <family val="2"/>
          </rPr>
          <t>Number of hours per partition
Approximate number of hours in 1 month: 730</t>
        </r>
      </text>
    </comment>
    <comment ref="B316" authorId="0" shapeId="0" xr:uid="{00000000-0006-0000-0400-000031000000}">
      <text>
        <r>
          <rPr>
            <sz val="9"/>
            <color indexed="81"/>
            <rFont val="Tahoma"/>
            <family val="2"/>
          </rPr>
          <t>Indicate the number of instances (between 2 and 32)</t>
        </r>
      </text>
    </comment>
    <comment ref="D316" authorId="0" shapeId="0" xr:uid="{00000000-0006-0000-0400-000032000000}">
      <text>
        <r>
          <rPr>
            <sz val="9"/>
            <color indexed="81"/>
            <rFont val="Tahoma"/>
            <family val="2"/>
          </rPr>
          <t>Indicate the number of instances (between 2 and 32)</t>
        </r>
      </text>
    </comment>
    <comment ref="H316" authorId="5" shapeId="0" xr:uid="{00000000-0006-0000-0400-000033000000}">
      <text>
        <r>
          <rPr>
            <b/>
            <sz val="9"/>
            <color indexed="81"/>
            <rFont val="Tahoma"/>
            <family val="2"/>
          </rPr>
          <t>Config instances are taken into account when calculating the price of the DDS service. They use 3 ECS s3.large.2 + 20GB of EVS Ultra High I/O + the cost of the DDS service=1,26€/hour</t>
        </r>
        <r>
          <rPr>
            <sz val="9"/>
            <color indexed="81"/>
            <rFont val="Tahoma"/>
            <family val="2"/>
          </rPr>
          <t xml:space="preserve">
</t>
        </r>
      </text>
    </comment>
    <comment ref="F317" authorId="5" shapeId="0" xr:uid="{00000000-0006-0000-0400-000034000000}">
      <text>
        <r>
          <rPr>
            <b/>
            <sz val="9"/>
            <color indexed="81"/>
            <rFont val="Tahoma"/>
            <family val="2"/>
          </rPr>
          <t>(to be multiplied by the number of shard instances (3 instances per node)</t>
        </r>
      </text>
    </comment>
    <comment ref="A320" authorId="2" shapeId="0" xr:uid="{00000000-0006-0000-0400-000035000000}">
      <text>
        <r>
          <rPr>
            <sz val="9"/>
            <color indexed="81"/>
            <rFont val="Tahoma"/>
            <family val="2"/>
          </rPr>
          <t>Number of hours per partition
Approximate number of hours in 1 month: 730</t>
        </r>
      </text>
    </comment>
    <comment ref="C321" authorId="5" shapeId="0" xr:uid="{00000000-0006-0000-0400-000036000000}">
      <text>
        <r>
          <rPr>
            <b/>
            <sz val="9"/>
            <color indexed="81"/>
            <rFont val="Tahoma"/>
            <family val="2"/>
          </rPr>
          <t>(to be multiplied by the number of Mongos instances (3 instances per node)</t>
        </r>
        <r>
          <rPr>
            <sz val="9"/>
            <color indexed="81"/>
            <rFont val="Tahoma"/>
            <family val="2"/>
          </rPr>
          <t xml:space="preserve">
</t>
        </r>
      </text>
    </comment>
    <comment ref="B333" authorId="5" shapeId="0" xr:uid="{00000000-0006-0000-0400-000037000000}">
      <text>
        <r>
          <rPr>
            <b/>
            <sz val="9"/>
            <color indexed="81"/>
            <rFont val="Tahoma"/>
            <family val="2"/>
          </rPr>
          <t>Specify the number of API calls</t>
        </r>
        <r>
          <rPr>
            <sz val="9"/>
            <color indexed="81"/>
            <rFont val="Tahoma"/>
            <family val="2"/>
          </rPr>
          <t xml:space="preserve">
</t>
        </r>
      </text>
    </comment>
    <comment ref="B334" authorId="5" shapeId="0" xr:uid="{00000000-0006-0000-0400-000038000000}">
      <text>
        <r>
          <rPr>
            <b/>
            <sz val="9"/>
            <color indexed="81"/>
            <rFont val="Tahoma"/>
            <family val="2"/>
          </rPr>
          <t>Specify the number of data transferred (GB)</t>
        </r>
      </text>
    </comment>
    <comment ref="B344" authorId="0" shapeId="0" xr:uid="{00000000-0006-0000-0400-000039000000}">
      <text>
        <r>
          <rPr>
            <sz val="9"/>
            <color indexed="81"/>
            <rFont val="Tahoma"/>
            <family val="2"/>
          </rPr>
          <t>Indicate the number of instances</t>
        </r>
      </text>
    </comment>
    <comment ref="C352" authorId="4" shapeId="0" xr:uid="{D5F442EC-8684-4129-B689-0D50AF1901CC}">
      <text>
        <r>
          <rPr>
            <b/>
            <sz val="9"/>
            <color indexed="81"/>
            <rFont val="Tahoma"/>
            <family val="2"/>
          </rPr>
          <t>100 hours maximum</t>
        </r>
        <r>
          <rPr>
            <sz val="9"/>
            <color indexed="81"/>
            <rFont val="Tahoma"/>
            <family val="2"/>
          </rPr>
          <t xml:space="preserve">
</t>
        </r>
      </text>
    </comment>
    <comment ref="B380" authorId="0" shapeId="0" xr:uid="{00000000-0006-0000-0400-00003D000000}">
      <text>
        <r>
          <rPr>
            <sz val="9"/>
            <color indexed="81"/>
            <rFont val="Tahoma"/>
            <family val="2"/>
          </rPr>
          <t>Indicate the number of instances</t>
        </r>
      </text>
    </comment>
    <comment ref="B387" authorId="0" shapeId="0" xr:uid="{00000000-0006-0000-0400-00003E000000}">
      <text>
        <r>
          <rPr>
            <sz val="9"/>
            <color indexed="81"/>
            <rFont val="Tahoma"/>
            <family val="2"/>
          </rPr>
          <t>Indicate the number of instances</t>
        </r>
      </text>
    </comment>
    <comment ref="B394" authorId="0" shapeId="0" xr:uid="{00000000-0006-0000-0400-00003F000000}">
      <text>
        <r>
          <rPr>
            <sz val="9"/>
            <color indexed="81"/>
            <rFont val="Tahoma"/>
            <family val="2"/>
          </rPr>
          <t>Indicate the number of instances</t>
        </r>
      </text>
    </comment>
    <comment ref="C406" authorId="2" shapeId="0" xr:uid="{00000000-0006-0000-0400-000040000000}">
      <text>
        <r>
          <rPr>
            <sz val="9"/>
            <color indexed="81"/>
            <rFont val="Tahoma"/>
            <family val="2"/>
          </rPr>
          <t>Number of hours per partition</t>
        </r>
      </text>
    </comment>
    <comment ref="B412" authorId="0" shapeId="0" xr:uid="{00000000-0006-0000-0400-000041000000}">
      <text>
        <r>
          <rPr>
            <sz val="9"/>
            <color indexed="81"/>
            <rFont val="Tahoma"/>
            <family val="2"/>
          </rPr>
          <t>Indicate the number of instances (VMs)</t>
        </r>
      </text>
    </comment>
    <comment ref="B419" authorId="0" shapeId="0" xr:uid="{00000000-0006-0000-0400-000042000000}">
      <text>
        <r>
          <rPr>
            <sz val="9"/>
            <color indexed="81"/>
            <rFont val="Tahoma"/>
            <family val="2"/>
          </rPr>
          <t>Indicate the number of instances (VMs)</t>
        </r>
      </text>
    </comment>
    <comment ref="C419" authorId="0" shapeId="0" xr:uid="{00000000-0006-0000-0400-000043000000}">
      <text>
        <r>
          <rPr>
            <sz val="9"/>
            <color indexed="81"/>
            <rFont val="Tahoma"/>
            <family val="2"/>
          </rPr>
          <t>Select your subscription plan:
- 1 year without setup fees
- 1 year with setup fees
- 2 years with setup fees
- 2 years without setup fees for Managed Apps only
- 3 years with setup fees
- 3 years without setup fees for Managed Apps only
Please note setupfee of reserved instances are due for each reserved period. 
For example, for 1 year with Upfront, renewal needs to happen each year including the upfront.</t>
        </r>
      </text>
    </comment>
    <comment ref="E419" authorId="2" shapeId="0" xr:uid="{00000000-0006-0000-0400-000044000000}">
      <text>
        <r>
          <rPr>
            <sz val="9"/>
            <color indexed="81"/>
            <rFont val="Tahoma"/>
            <family val="2"/>
          </rPr>
          <t>Please note setupfee of reserved instances are due for each reserved period. 
For example, for 1 year with Upfront, renewal needs to happen each year including the upfront</t>
        </r>
        <r>
          <rPr>
            <b/>
            <sz val="9"/>
            <color indexed="81"/>
            <rFont val="Tahoma"/>
            <family val="2"/>
          </rPr>
          <t>.</t>
        </r>
      </text>
    </comment>
    <comment ref="F431" authorId="1" shapeId="0" xr:uid="{712157C3-91D3-49BE-8984-D1A3BA29A668}">
      <text>
        <r>
          <rPr>
            <sz val="9"/>
            <color indexed="81"/>
            <rFont val="Tahoma"/>
            <family val="2"/>
          </rPr>
          <t xml:space="preserve">Average hours per month is 740 hours
</t>
        </r>
      </text>
    </comment>
    <comment ref="D439" authorId="1" shapeId="0" xr:uid="{37DBA8B2-E849-4F07-AD5D-6746C94966B3}">
      <text>
        <r>
          <rPr>
            <sz val="9"/>
            <color indexed="81"/>
            <rFont val="Tahoma"/>
            <family val="2"/>
          </rPr>
          <t xml:space="preserve">Average hours per month is 740 hours
</t>
        </r>
      </text>
    </comment>
    <comment ref="C445" authorId="1" shapeId="0" xr:uid="{DDC19ECC-EC39-4457-B7D4-3A16998B277A}">
      <text>
        <r>
          <rPr>
            <sz val="9"/>
            <color indexed="81"/>
            <rFont val="Tahoma"/>
            <family val="2"/>
          </rPr>
          <t xml:space="preserve">Average hours per month is 740 hours
</t>
        </r>
      </text>
    </comment>
    <comment ref="C450" authorId="2" shapeId="0" xr:uid="{00000000-0006-0000-0400-000045000000}">
      <text>
        <r>
          <rPr>
            <sz val="9"/>
            <color indexed="81"/>
            <rFont val="Tahoma"/>
            <family val="2"/>
          </rPr>
          <t>Nombre moyen par activité</t>
        </r>
      </text>
    </comment>
    <comment ref="C453" authorId="2" shapeId="0" xr:uid="{00000000-0006-0000-0400-000046000000}">
      <text>
        <r>
          <rPr>
            <sz val="9"/>
            <color indexed="81"/>
            <rFont val="Tahoma"/>
            <family val="2"/>
          </rPr>
          <t>Number of hours per partition</t>
        </r>
      </text>
    </comment>
    <comment ref="C459" authorId="2" shapeId="0" xr:uid="{00000000-0006-0000-0400-000047000000}">
      <text>
        <r>
          <rPr>
            <sz val="9"/>
            <color indexed="81"/>
            <rFont val="Tahoma"/>
            <family val="2"/>
          </rPr>
          <t>Number of hours per partition</t>
        </r>
      </text>
    </comment>
    <comment ref="C462" authorId="2" shapeId="0" xr:uid="{00000000-0006-0000-0400-000048000000}">
      <text>
        <r>
          <rPr>
            <sz val="9"/>
            <color indexed="81"/>
            <rFont val="Tahoma"/>
            <family val="2"/>
          </rPr>
          <t>Number of hours per partition</t>
        </r>
      </text>
    </comment>
    <comment ref="A504" authorId="1" shapeId="0" xr:uid="{AB6C7DBD-6624-4C2F-A1CA-8990A7458D3F}">
      <text>
        <r>
          <rPr>
            <sz val="9"/>
            <color indexed="81"/>
            <rFont val="Tahoma"/>
            <family val="2"/>
          </rPr>
          <t xml:space="preserve">Available databases
</t>
        </r>
      </text>
    </comment>
    <comment ref="C504" authorId="1" shapeId="0" xr:uid="{B13DFB2B-72B2-4425-8766-CED3B79925FB}">
      <text>
        <r>
          <rPr>
            <sz val="9"/>
            <color indexed="81"/>
            <rFont val="Tahoma"/>
            <family val="2"/>
          </rPr>
          <t>Indicate the average number of hours of use per month per instance</t>
        </r>
      </text>
    </comment>
    <comment ref="C520" authorId="0" shapeId="0" xr:uid="{9685E050-B705-4807-9FA2-131D3E482C7A}">
      <text>
        <r>
          <rPr>
            <sz val="9"/>
            <color indexed="81"/>
            <rFont val="Tahoma"/>
            <family val="2"/>
          </rPr>
          <t>Indicate the number of instances (VMs)</t>
        </r>
      </text>
    </comment>
    <comment ref="D520" authorId="0" shapeId="0" xr:uid="{ECB8040A-923D-4141-B9F1-2EFF89C5B86A}">
      <text>
        <r>
          <rPr>
            <sz val="9"/>
            <color indexed="81"/>
            <rFont val="Tahoma"/>
            <family val="2"/>
          </rPr>
          <t xml:space="preserve">Estimate the hours of use per VM
For MRS service
If hours &lt;730, the hourly price applies
If hours &gt;730, the montly price applies
For ECS service
If hours &lt;650, the hourly price applies
If hours &gt;650, the montly price applies
</t>
        </r>
      </text>
    </comment>
    <comment ref="A527" authorId="1" shapeId="0" xr:uid="{D0F897D2-90CF-40DD-958D-032DD12286A5}">
      <text>
        <r>
          <rPr>
            <sz val="9"/>
            <color indexed="81"/>
            <rFont val="Tahoma"/>
            <family val="2"/>
          </rPr>
          <t>Indicate graph size</t>
        </r>
      </text>
    </comment>
    <comment ref="C529" authorId="1" shapeId="0" xr:uid="{36CA76C5-C25D-4F9D-B306-6C5673FD5625}">
      <text>
        <r>
          <rPr>
            <sz val="9"/>
            <color indexed="81"/>
            <rFont val="Tahoma"/>
            <family val="2"/>
          </rPr>
          <t>Indicate the average number of hours of use per month per instance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LINTE Thibault SCE</author>
    <author>NGUYEN David Ext OBS/OCB</author>
  </authors>
  <commentList>
    <comment ref="G18" authorId="0" shapeId="0" xr:uid="{00000000-0006-0000-0600-000001000000}">
      <text>
        <r>
          <rPr>
            <sz val="9"/>
            <color indexed="81"/>
            <rFont val="Tahoma"/>
            <family val="2"/>
          </rPr>
          <t>Les frais initiaux sont à renouveler à chaque période de réengagement. Par exemple, pour une instance réservée pour trois ans, les frais initiaux sont dus la première année et la 4ème en cas de réengagement de 3 ans à l'issu de la première réservation.</t>
        </r>
      </text>
    </comment>
    <comment ref="A51" authorId="1" shapeId="0" xr:uid="{00000000-0006-0000-0600-000002000000}">
      <text>
        <r>
          <rPr>
            <b/>
            <sz val="9"/>
            <color indexed="81"/>
            <rFont val="Tahoma"/>
            <family val="2"/>
          </rPr>
          <t xml:space="preserve">Sélectionnez la période de calcul souhaitée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LINTE Thibault SCE</author>
    <author>NGUYEN David Ext OBS/OCB</author>
  </authors>
  <commentList>
    <comment ref="G18" authorId="0" shapeId="0" xr:uid="{00000000-0006-0000-0700-000001000000}">
      <text>
        <r>
          <rPr>
            <sz val="9"/>
            <color indexed="81"/>
            <rFont val="Tahoma"/>
            <family val="2"/>
          </rPr>
          <t>Upfront are to be renewed each reservation period.</t>
        </r>
      </text>
    </comment>
    <comment ref="A50" authorId="1" shapeId="0" xr:uid="{00000000-0006-0000-0700-000002000000}">
      <text>
        <r>
          <rPr>
            <b/>
            <sz val="9"/>
            <color indexed="81"/>
            <rFont val="Tahoma"/>
            <family val="2"/>
          </rPr>
          <t>Select the desired calculation period</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CHEVALLIER Marianne Ext OBS/OCB</author>
  </authors>
  <commentList>
    <comment ref="C302" authorId="0" shapeId="0" xr:uid="{00000000-0006-0000-0A00-000001000000}">
      <text>
        <r>
          <rPr>
            <b/>
            <sz val="9"/>
            <color indexed="81"/>
            <rFont val="Tahoma"/>
            <family val="2"/>
          </rPr>
          <t>CHEVALLIER Marianne Ext OBS/OCB:</t>
        </r>
        <r>
          <rPr>
            <sz val="9"/>
            <color indexed="81"/>
            <rFont val="Tahoma"/>
            <family val="2"/>
          </rPr>
          <t xml:space="preserve">
@Richard, J'ai déjà supprimé les lignes dans le deviseur car la flavor n'existe plus et on ne pouvait plus l'afficher pour les clients, donc tu ne verras pas la ligne en rouge dans le doc. 
D'avance merci de retirer la flavor du catalogue si elle y était encore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<sst xmlns="http://schemas.openxmlformats.org/spreadsheetml/2006/main" count="10191" uniqueCount="2904">
  <si>
    <t>Windows</t>
  </si>
  <si>
    <t>Fait le</t>
  </si>
  <si>
    <t>Produit</t>
  </si>
  <si>
    <t>vCPU</t>
  </si>
  <si>
    <t>€/Go/mois</t>
  </si>
  <si>
    <t>Prix € par GB par mois</t>
  </si>
  <si>
    <t>Prix € par GB transféré</t>
  </si>
  <si>
    <t>Linux</t>
  </si>
  <si>
    <t>OS</t>
  </si>
  <si>
    <t>Utilisation</t>
  </si>
  <si>
    <t>€/@IP/h</t>
  </si>
  <si>
    <t>Quantité</t>
  </si>
  <si>
    <t>Support</t>
  </si>
  <si>
    <t>Montant HT / mois</t>
  </si>
  <si>
    <t>Total T.T.C. / mois</t>
  </si>
  <si>
    <t>Plus de 20 Go</t>
  </si>
  <si>
    <t>Volume  [12]</t>
  </si>
  <si>
    <t>Suse Basic</t>
  </si>
  <si>
    <t>Prix HT/mois</t>
  </si>
  <si>
    <t>Capacité (Mps)</t>
  </si>
  <si>
    <t>Location par mois (€)</t>
  </si>
  <si>
    <t>Premium</t>
  </si>
  <si>
    <t>Aucune</t>
  </si>
  <si>
    <t>Frais d'accès</t>
  </si>
  <si>
    <t xml:space="preserve"> €/Go/mois </t>
  </si>
  <si>
    <t>utilisable jusqu'au</t>
  </si>
  <si>
    <t>€/Go.h</t>
  </si>
  <si>
    <t>Total T.T.C / an</t>
  </si>
  <si>
    <t>Prix € HT / mois</t>
  </si>
  <si>
    <t>Volume [11]</t>
  </si>
  <si>
    <t>Adresses IP</t>
  </si>
  <si>
    <t>FAS (€) [21]</t>
  </si>
  <si>
    <t>Intitulé</t>
  </si>
  <si>
    <t>Notes</t>
  </si>
  <si>
    <r>
      <rPr>
        <b/>
        <sz val="11"/>
        <color theme="1"/>
        <rFont val="Calibri"/>
        <family val="2"/>
        <scheme val="minor"/>
      </rPr>
      <t>Note 20</t>
    </r>
    <r>
      <rPr>
        <sz val="11"/>
        <color theme="1"/>
        <rFont val="Calibri"/>
        <family val="2"/>
        <scheme val="minor"/>
      </rPr>
      <t>: engagement minimum 3 mois. Unité d’œuvre par port de connexion directe</t>
    </r>
  </si>
  <si>
    <r>
      <rPr>
        <b/>
        <sz val="11"/>
        <color theme="1"/>
        <rFont val="Calibri"/>
        <family val="2"/>
        <scheme val="minor"/>
      </rPr>
      <t>Note 11</t>
    </r>
    <r>
      <rPr>
        <sz val="11"/>
        <color theme="1"/>
        <rFont val="Calibri"/>
        <family val="2"/>
        <scheme val="minor"/>
      </rPr>
      <t>: la facturation est calculée à la granularité des Go.h de stockage objet utilisés. Seuls les Go.h entamés sont facturés. Les volumes mensuels sont pris en compte pour les seuils de remise.</t>
    </r>
  </si>
  <si>
    <r>
      <rPr>
        <b/>
        <sz val="11"/>
        <color theme="1"/>
        <rFont val="Calibri"/>
        <family val="2"/>
        <scheme val="minor"/>
      </rPr>
      <t>Note 9</t>
    </r>
    <r>
      <rPr>
        <sz val="11"/>
        <color theme="1"/>
        <rFont val="Calibri"/>
        <family val="2"/>
        <scheme val="minor"/>
      </rPr>
      <t>: la facturation est calculée à la granularité des Go transférés. Les Go entamés sont facturés. Les volumes mensuels sont pris en compte pour les seuils de remise.</t>
    </r>
  </si>
  <si>
    <t>RAM (GB)</t>
  </si>
  <si>
    <t>Services Compute Cloud à l'usage</t>
  </si>
  <si>
    <t>Prix Total</t>
  </si>
  <si>
    <t>Prix € HT</t>
  </si>
  <si>
    <t>T.V.A. / mois</t>
  </si>
  <si>
    <t>Taux</t>
  </si>
  <si>
    <t>€/Heure 
[4][5]</t>
  </si>
  <si>
    <t>10 Mbps</t>
  </si>
  <si>
    <t>20 Mbps</t>
  </si>
  <si>
    <t>50 Mbps</t>
  </si>
  <si>
    <t>100 Mbps</t>
  </si>
  <si>
    <t>FAS (€) [27]</t>
  </si>
  <si>
    <t>Stockage</t>
  </si>
  <si>
    <t>Montant HT</t>
  </si>
  <si>
    <t>T.V.A.</t>
  </si>
  <si>
    <t>Total T.T.C.</t>
  </si>
  <si>
    <t>Date :</t>
  </si>
  <si>
    <t>Durée de validité :</t>
  </si>
  <si>
    <t>Date de fin de validité :</t>
  </si>
  <si>
    <t>N° d'estimation tarifaire :</t>
  </si>
  <si>
    <t>Nom de la Société :</t>
  </si>
  <si>
    <t>Nom du Contact :</t>
  </si>
  <si>
    <t>Adresse :</t>
  </si>
  <si>
    <t>Code postal, Ville :</t>
  </si>
  <si>
    <t>Paramétrage d'un VPN client</t>
  </si>
  <si>
    <t>Routage des réseaux virtuels (subnet) vers un VPN Client</t>
  </si>
  <si>
    <t>Réseau</t>
  </si>
  <si>
    <t>Paramétrage MPLS d'un VPN Client</t>
  </si>
  <si>
    <t>Routage d'un réseau virtuel (subnet) vers un VPN Client</t>
  </si>
  <si>
    <r>
      <rPr>
        <b/>
        <sz val="11"/>
        <rFont val="Calibri"/>
        <family val="2"/>
        <scheme val="minor"/>
      </rPr>
      <t>Note 27</t>
    </r>
    <r>
      <rPr>
        <sz val="11"/>
        <rFont val="Calibri"/>
        <family val="2"/>
        <scheme val="minor"/>
      </rPr>
      <t xml:space="preserve">: Les frais d'accès au service incluent le routage jusqu'à 10 réseaux virtuels (subnet) vers un VPN Client lors de la première mise en place. </t>
    </r>
  </si>
  <si>
    <r>
      <rPr>
        <b/>
        <sz val="11"/>
        <rFont val="Calibri"/>
        <family val="2"/>
        <scheme val="minor"/>
      </rPr>
      <t>Note 28</t>
    </r>
    <r>
      <rPr>
        <sz val="11"/>
        <rFont val="Calibri"/>
        <family val="2"/>
        <scheme val="minor"/>
      </rPr>
      <t>: Les modifications des paramétrages initiaux sont facturées. Paramétrage MPLS d'un VPN Client ou Routage des réseaux virtuels (subnet) vers un VPN Client (10 modifications) en une intervention</t>
    </r>
  </si>
  <si>
    <t>Bande Passante</t>
  </si>
  <si>
    <t>Quantité de données</t>
  </si>
  <si>
    <t>Calculateur Temps de transfert de données</t>
  </si>
  <si>
    <t>NA</t>
  </si>
  <si>
    <t>Modification après paramétrage initial de Connexion Directe</t>
  </si>
  <si>
    <t>% utilisation</t>
  </si>
  <si>
    <t xml:space="preserve"> @IP supp</t>
  </si>
  <si>
    <t>Prix total</t>
  </si>
  <si>
    <t>Prix Support</t>
  </si>
  <si>
    <t>Réseau frais de mise en service</t>
  </si>
  <si>
    <t>FAS Connexion Directe</t>
  </si>
  <si>
    <t>Nombre de Load Balancers</t>
  </si>
  <si>
    <t>Nombre d'instances</t>
  </si>
  <si>
    <t>* Estimation en fonction de la consommation déclarée</t>
  </si>
  <si>
    <t>Réseau et Connexion Directe</t>
  </si>
  <si>
    <t>Basic</t>
  </si>
  <si>
    <t>Basic : documentation, FAQ, Forum disponibles en ligne sur le Site Internet pour une consultation en autonomie pour l’ensemble des clients des Services.</t>
  </si>
  <si>
    <t>Business : offre de support conçue pour les clients dont l’usage des Services est destiné à des applications de production peu exigeantes.</t>
  </si>
  <si>
    <t>Premium : offre de support conçue pour les clients dont l’usage des Services est destiné à des applications de production exigeantes.</t>
  </si>
  <si>
    <t>Type de support</t>
  </si>
  <si>
    <t>Description</t>
  </si>
  <si>
    <t>Business</t>
  </si>
  <si>
    <t>Nb</t>
  </si>
  <si>
    <t>Débit</t>
  </si>
  <si>
    <t>Niveau</t>
  </si>
  <si>
    <t>Trafic en volume IO</t>
  </si>
  <si>
    <t>Calculateur pour équivalence entre trafic en volume IO versus trafic en bande passante</t>
  </si>
  <si>
    <t>Equivalence en temps</t>
  </si>
  <si>
    <t>Trafic en bande passante - Utilisation</t>
  </si>
  <si>
    <t>Trafic en bande passante - Trafic en volume IO correspondant</t>
  </si>
  <si>
    <t>Stockage Objet - Trafic sortant en volume IO</t>
  </si>
  <si>
    <t>Trafic en bande passante - Débit</t>
  </si>
  <si>
    <t>5 Mbps</t>
  </si>
  <si>
    <t>Remise / marge de manœuvre</t>
  </si>
  <si>
    <t>EVS</t>
  </si>
  <si>
    <t>Disque Data sur EVS (Go)</t>
  </si>
  <si>
    <t>RedHat</t>
  </si>
  <si>
    <t>€/tranche</t>
  </si>
  <si>
    <t>Unité</t>
  </si>
  <si>
    <t>Support mensuel</t>
  </si>
  <si>
    <t>Dedicated Cloud</t>
  </si>
  <si>
    <t>entre 10000 et 50000 GB</t>
  </si>
  <si>
    <t>entre 15000 et 500000 GB</t>
  </si>
  <si>
    <t>au dela de 500000 GB</t>
  </si>
  <si>
    <t>Min</t>
  </si>
  <si>
    <t>Max</t>
  </si>
  <si>
    <t>entre 50 000GB  (50 TB) et 500 000 GB (500 TB)</t>
  </si>
  <si>
    <t>au dela de 500 000 GB (500 TB)</t>
  </si>
  <si>
    <t>entre 15 et 10000 GB</t>
  </si>
  <si>
    <t>entre 0 et 5 GB</t>
  </si>
  <si>
    <t>entre 5 et 50 000 GB (50 TB)</t>
  </si>
  <si>
    <t>VPN aaS</t>
  </si>
  <si>
    <t>Par VPN (par heure)</t>
  </si>
  <si>
    <t>VPNaaS</t>
  </si>
  <si>
    <t>Nombre de VPN</t>
  </si>
  <si>
    <t>Instance réservée 1 an sans frais initiaux
€ / mois</t>
  </si>
  <si>
    <t>Instance réservée 1 an avec frais initiaux
€ / mois</t>
  </si>
  <si>
    <t>Instance réservée 3 ans  frais initiaux
FAS</t>
  </si>
  <si>
    <t>Instance réservée 2 ans  frais initiaux
FAS</t>
  </si>
  <si>
    <t>Instance réservée 1 an avec frais initiaux
€ / mois [1]</t>
  </si>
  <si>
    <t>Instance réservée 2 ans avec frais initiaux
€ / mois  [1]</t>
  </si>
  <si>
    <t>Instance réservée 3 ans avec frais initiaux
€ / mois  [1]</t>
  </si>
  <si>
    <t>Instance réservée 1 an  frais initiaux
FAS</t>
  </si>
  <si>
    <r>
      <rPr>
        <b/>
        <sz val="11"/>
        <color theme="1"/>
        <rFont val="Calibri"/>
        <family val="2"/>
        <scheme val="minor"/>
      </rPr>
      <t xml:space="preserve">Note 0: </t>
    </r>
    <r>
      <rPr>
        <sz val="11"/>
        <color theme="1"/>
        <rFont val="Calibri"/>
        <family val="2"/>
        <scheme val="minor"/>
      </rPr>
      <t xml:space="preserve">Catalogue de prix et de gabarits susceptible de changer
</t>
    </r>
    <r>
      <rPr>
        <b/>
        <sz val="11"/>
        <color theme="1"/>
        <rFont val="Calibri"/>
        <family val="2"/>
        <scheme val="minor"/>
      </rPr>
      <t xml:space="preserve">
Note 1</t>
    </r>
    <r>
      <rPr>
        <sz val="11"/>
        <color theme="1"/>
        <rFont val="Calibri"/>
        <family val="2"/>
        <scheme val="minor"/>
      </rPr>
      <t>: estimation du prix pour un mois de 730 heures, à savoir la durée moyenne d'un mois sur un an. La tarification de référence est la tarification à l'heure</t>
    </r>
  </si>
  <si>
    <t>200 Mbps</t>
  </si>
  <si>
    <t>500 Mbps</t>
  </si>
  <si>
    <t>Trafic privé</t>
  </si>
  <si>
    <t>Modification des paramétrages initiaux de Connexion Directe BGP et de Connexion Directe Privée vers VPN Galerie [28]</t>
  </si>
  <si>
    <t>Machines Virtuelles à l'usage</t>
  </si>
  <si>
    <t>Machines Virtuelles réservées</t>
  </si>
  <si>
    <t>Plan de souscription</t>
  </si>
  <si>
    <t>1 an avec frais initiaux</t>
  </si>
  <si>
    <t>1 an sans frais initiaux</t>
  </si>
  <si>
    <t>2 ans avec frais initiaux</t>
  </si>
  <si>
    <t>3 ans avec frais initiaux</t>
  </si>
  <si>
    <t>Frais initiaux</t>
  </si>
  <si>
    <t>Instance réservée 2 ans avec frais initiaux
€ / mois</t>
  </si>
  <si>
    <t>Instance réservée 3 ans avec frais initiaux
€ / mois</t>
  </si>
  <si>
    <t>Edition</t>
  </si>
  <si>
    <t>Facturé à la granularité de l'heure</t>
  </si>
  <si>
    <t>Cloud</t>
  </si>
  <si>
    <t>Total HT</t>
  </si>
  <si>
    <t>Total HT/mois</t>
  </si>
  <si>
    <t>Machine Virtuelle réservée</t>
  </si>
  <si>
    <t>Machine Virtuelle à l'usage</t>
  </si>
  <si>
    <t>Cloud à l'usage *</t>
  </si>
  <si>
    <t>Consommation à l'usage mensuelle</t>
  </si>
  <si>
    <t>What</t>
  </si>
  <si>
    <t>When</t>
  </si>
  <si>
    <t>€/mois 
base mensuelle [18]</t>
  </si>
  <si>
    <t>Product</t>
  </si>
  <si>
    <r>
      <rPr>
        <b/>
        <sz val="11"/>
        <color theme="1"/>
        <rFont val="Calibri"/>
        <family val="2"/>
        <scheme val="minor"/>
      </rPr>
      <t>Note 8</t>
    </r>
    <r>
      <rPr>
        <sz val="11"/>
        <color theme="1"/>
        <rFont val="Calibri"/>
        <family val="2"/>
        <scheme val="minor"/>
      </rPr>
      <t>: Calculé sur une base horaire en Go.h. La facturation est calculée à la granularité des Go.h de stockage bloc réservés.</t>
    </r>
  </si>
  <si>
    <t>Unit</t>
  </si>
  <si>
    <r>
      <rPr>
        <b/>
        <sz val="11"/>
        <color theme="1"/>
        <rFont val="Calibri"/>
        <family val="2"/>
        <scheme val="minor"/>
      </rPr>
      <t>Note #16</t>
    </r>
    <r>
      <rPr>
        <sz val="11"/>
        <color theme="1"/>
        <rFont val="Calibri"/>
        <family val="2"/>
        <scheme val="minor"/>
      </rPr>
      <t xml:space="preserve">: le plus grand des 2 montants est pris en compte dans la facturation
</t>
    </r>
  </si>
  <si>
    <t>Tranche de 1000</t>
  </si>
  <si>
    <t>Tranche de 10000</t>
  </si>
  <si>
    <t>excl tax Price/month</t>
  </si>
  <si>
    <t>Number of instances</t>
  </si>
  <si>
    <t>Monthly support</t>
  </si>
  <si>
    <t>On-demand virtual machines</t>
  </si>
  <si>
    <t>IP Address</t>
  </si>
  <si>
    <t>Setup fees</t>
  </si>
  <si>
    <t>Total Price</t>
  </si>
  <si>
    <t>Bandwidth</t>
  </si>
  <si>
    <t>Storage</t>
  </si>
  <si>
    <t>Discount</t>
  </si>
  <si>
    <t>Support Price</t>
  </si>
  <si>
    <t>Network</t>
  </si>
  <si>
    <t>Outgoing Object Storage traffic</t>
  </si>
  <si>
    <t>Number of Load Balancers</t>
  </si>
  <si>
    <t>Quantity</t>
  </si>
  <si>
    <t>Level</t>
  </si>
  <si>
    <t>Rate</t>
  </si>
  <si>
    <t>Excl tax Price / month</t>
  </si>
  <si>
    <t>Excl tax Price</t>
  </si>
  <si>
    <t>Monthly usage</t>
  </si>
  <si>
    <t>Network Setup fees</t>
  </si>
  <si>
    <t>Excl tax Total</t>
  </si>
  <si>
    <t>Excl tax Total/month</t>
  </si>
  <si>
    <t>Reserved virtual machines</t>
  </si>
  <si>
    <t>Network and Direct Connect</t>
  </si>
  <si>
    <t>Direct Connect Setup fees</t>
  </si>
  <si>
    <t>Subscription plan</t>
  </si>
  <si>
    <t>On-demand Cloud  *</t>
  </si>
  <si>
    <t>Add.  @IP</t>
  </si>
  <si>
    <t>VAT / month</t>
  </si>
  <si>
    <t>Total / month</t>
  </si>
  <si>
    <t>excl tax Total/month</t>
  </si>
  <si>
    <t>* Estimation according to the declared usage</t>
  </si>
  <si>
    <t>Volume of data</t>
  </si>
  <si>
    <t>Resulting transfer time</t>
  </si>
  <si>
    <t>Data transfer time calculator</t>
  </si>
  <si>
    <t>Period of validity :</t>
  </si>
  <si>
    <t>Expiration date :</t>
  </si>
  <si>
    <t>N° of Tariff estimate :</t>
  </si>
  <si>
    <t>Compagny name :</t>
  </si>
  <si>
    <t>Contact name :</t>
  </si>
  <si>
    <t>Address :</t>
  </si>
  <si>
    <t>ZIP code, City, Country :</t>
  </si>
  <si>
    <t>Routing of a subnet to a Client VPN</t>
  </si>
  <si>
    <t>MPLS Settings for a VPN Client</t>
  </si>
  <si>
    <t>Direct Connect setting update after initial setup</t>
  </si>
  <si>
    <t>excl tax Total</t>
  </si>
  <si>
    <t>VAT</t>
  </si>
  <si>
    <t>Total</t>
  </si>
  <si>
    <t>Usage rate</t>
  </si>
  <si>
    <r>
      <rPr>
        <b/>
        <sz val="11"/>
        <color theme="1"/>
        <rFont val="Calibri"/>
        <family val="2"/>
        <scheme val="minor"/>
      </rPr>
      <t>Note 31</t>
    </r>
    <r>
      <rPr>
        <sz val="11"/>
        <color theme="1"/>
        <rFont val="Calibri"/>
        <family val="2"/>
        <scheme val="minor"/>
      </rPr>
      <t>: Seule la distribution Linux (fourni par le service) est supportée</t>
    </r>
  </si>
  <si>
    <t>Bandwidth traffic - throughput</t>
  </si>
  <si>
    <t>Bandwidth traffic - corresponding IO volume traffic</t>
  </si>
  <si>
    <t>Volume IO traffic</t>
  </si>
  <si>
    <t>Bandwidth traffic - Usage</t>
  </si>
  <si>
    <t>[5bis] [18bis]</t>
  </si>
  <si>
    <t>VBS - Instantané de volumes</t>
  </si>
  <si>
    <t>EIP - Nombre d'adresses IP flottantes</t>
  </si>
  <si>
    <t>ELB - Load Balancer aaS [19]</t>
  </si>
  <si>
    <t>Licence SUSE Entreprise Linux SLES Basic (compute exclus)</t>
  </si>
  <si>
    <t>Licence RedHat OS image (compute exclus)</t>
  </si>
  <si>
    <r>
      <t xml:space="preserve">€/Heure </t>
    </r>
    <r>
      <rPr>
        <b/>
        <u/>
        <sz val="11"/>
        <color theme="1"/>
        <rFont val="Calibri"/>
        <family val="2"/>
        <scheme val="minor"/>
      </rPr>
      <t xml:space="preserve">en sus </t>
    </r>
    <r>
      <rPr>
        <sz val="11"/>
        <color theme="1"/>
        <rFont val="Calibri"/>
        <family val="2"/>
        <scheme val="minor"/>
      </rPr>
      <t>des Prix Linux
[5][5bis]</t>
    </r>
  </si>
  <si>
    <r>
      <t xml:space="preserve">€/mois </t>
    </r>
    <r>
      <rPr>
        <b/>
        <u/>
        <sz val="11"/>
        <color theme="1"/>
        <rFont val="Calibri"/>
        <family val="2"/>
        <scheme val="minor"/>
      </rPr>
      <t xml:space="preserve">en sus </t>
    </r>
    <r>
      <rPr>
        <sz val="11"/>
        <color theme="1"/>
        <rFont val="Calibri"/>
        <family val="2"/>
        <scheme val="minor"/>
      </rPr>
      <t>des Prix Linux
[18bis]</t>
    </r>
  </si>
  <si>
    <t>Features supplémentaires</t>
  </si>
  <si>
    <t>Mono-Région</t>
  </si>
  <si>
    <t>MRS - Hadoop</t>
  </si>
  <si>
    <t>OBS - Transfert de données sortantes depuis le stockage objet vers Internet ou une IP publique ou une connexion directe BGP</t>
  </si>
  <si>
    <t>Liste de prix Public MRS Hadoop, RDS DBaaS MySQL et Dedicated Cloud</t>
  </si>
  <si>
    <t>VBS - Snapshot sur volume Bloc</t>
  </si>
  <si>
    <t>OBS - Trafic sortant Stockage Objet</t>
  </si>
  <si>
    <t>ECS - Machines Virtuelles à l'usage</t>
  </si>
  <si>
    <t>ECS - Machines Virtuelles réservées</t>
  </si>
  <si>
    <t>EIP - Adresses IP</t>
  </si>
  <si>
    <t>ELB - Load Balancer</t>
  </si>
  <si>
    <t>EVS - Volume Block Storage</t>
  </si>
  <si>
    <t>VBS - Snapshot on Block volume storage</t>
  </si>
  <si>
    <t>OBS - HTTP Request to the Object Storage (Put/Get)</t>
  </si>
  <si>
    <t>OBS - Outgoing Object Storage traffic</t>
  </si>
  <si>
    <t>EIP - IP Address</t>
  </si>
  <si>
    <t>ECS - On-demand virtual machines</t>
  </si>
  <si>
    <t>ECS - Reserved Virtual machines</t>
  </si>
  <si>
    <t>RDS - MySQL</t>
  </si>
  <si>
    <t>Par LBaaS (€/h)</t>
  </si>
  <si>
    <r>
      <rPr>
        <b/>
        <sz val="11"/>
        <color theme="1"/>
        <rFont val="Calibri"/>
        <family val="2"/>
        <scheme val="minor"/>
      </rPr>
      <t>Note 19</t>
    </r>
    <r>
      <rPr>
        <sz val="11"/>
        <color theme="1"/>
        <rFont val="Calibri"/>
        <family val="2"/>
        <scheme val="minor"/>
      </rPr>
      <t>: Le prix indiqué est par Load Balancer</t>
    </r>
  </si>
  <si>
    <t>Instance réservée facturée à la granularité du mois</t>
  </si>
  <si>
    <r>
      <rPr>
        <b/>
        <sz val="11"/>
        <color theme="1"/>
        <rFont val="Calibri"/>
        <family val="2"/>
        <scheme val="minor"/>
      </rPr>
      <t>Note #16bis</t>
    </r>
    <r>
      <rPr>
        <sz val="11"/>
        <color theme="1"/>
        <rFont val="Calibri"/>
        <family val="2"/>
        <scheme val="minor"/>
      </rPr>
      <t xml:space="preserve">: il n'y a pas de remise applicable sur le support
</t>
    </r>
  </si>
  <si>
    <r>
      <t xml:space="preserve">Prix (€) </t>
    </r>
    <r>
      <rPr>
        <b/>
        <sz val="11"/>
        <rFont val="Calibri"/>
        <family val="2"/>
        <scheme val="minor"/>
      </rPr>
      <t>[16][16bis]</t>
    </r>
  </si>
  <si>
    <t>Facturé à la granularité de la seconde</t>
  </si>
  <si>
    <t>Standard</t>
  </si>
  <si>
    <t>Standard: offre de support conçue pour les clients développeurs dont l’usage des Services est destiné à des développements d’applications hors production.</t>
  </si>
  <si>
    <r>
      <rPr>
        <b/>
        <sz val="11"/>
        <color theme="1"/>
        <rFont val="Calibri"/>
        <family val="2"/>
        <scheme val="minor"/>
      </rPr>
      <t>Note 12</t>
    </r>
    <r>
      <rPr>
        <sz val="11"/>
        <color theme="1"/>
        <rFont val="Calibri"/>
        <family val="2"/>
        <scheme val="minor"/>
      </rPr>
      <t>: la facturation est calculée à la granularité des Go transférés. Les Go entamés sont facturés. Les prix indiqués sont par tranche et s'entendent en prix marginaux.</t>
    </r>
  </si>
  <si>
    <t>Frais de mise en service</t>
  </si>
  <si>
    <t>Note 17: instances avec OS windows server 2008, 2012. Microsoft n'autorise pas le "Bring Your Own Licence" pour les licences windows server. Les utilisateurs peuvent donc utiliser ces images mises à disposition par Orange Business Services. L'OS Windows n'est pas instalable sur les instances de taille t2.micro ou t2.small.</t>
  </si>
  <si>
    <t>Transfert de données sortantes depuis Orange Business Services Compute vers Internet ou une autre IP publique du cloud Orange Business Services ou vers une connexion directe BGP</t>
  </si>
  <si>
    <t>Support Orange Business Services</t>
  </si>
  <si>
    <t>MRS - Licence Orange Business Services Compute Hadoop (compute exclus) [31]</t>
  </si>
  <si>
    <t xml:space="preserve">Contacter OBS   </t>
  </si>
  <si>
    <t>Disque système sur EVS (Go) [non inclus dans le prix]</t>
  </si>
  <si>
    <t>entre 50000 et 150000 GB</t>
  </si>
  <si>
    <r>
      <t xml:space="preserve">Note 26: </t>
    </r>
    <r>
      <rPr>
        <sz val="11"/>
        <rFont val="Calibri"/>
        <family val="2"/>
        <scheme val="minor"/>
      </rPr>
      <t>L'offre de Orange Business Services - "Connexion directe vers VPN Galerie" - permet le routage depuis le tenant du client vers son réseau porté sur VPN Galerie. Ces prix s'entendent pour la partie Flexible Engine de la connexion à VPN Galerie. Le client doit souscrire au service VPN Galerie d'Orange indépendamment, signera 2 contrats distincts et recevra 2 factures. Le service inclut une redondance native. Le service est facturé à la bande passante provisionnée entre le tenant du client et le réseau VPN Galerie. Le prix correspond à un VPN Client. Un VPN Client est rattaché à une seul compte client sans limite du nombre de tenant pour les comptes multi-tenants.</t>
    </r>
  </si>
  <si>
    <t>Supported Bare Metal Servers</t>
  </si>
  <si>
    <t xml:space="preserve">CPU </t>
  </si>
  <si>
    <t xml:space="preserve">Memory(RAM in GB) </t>
  </si>
  <si>
    <t>Orange Business Services Bare Metal</t>
  </si>
  <si>
    <t>€/month</t>
  </si>
  <si>
    <t xml:space="preserve">Disk </t>
  </si>
  <si>
    <t>Intel Xeon E5-2667 v4 (3.2GHz/8-core/25MB/135W) Processor*2</t>
  </si>
  <si>
    <t>Pour que la formule marche, la valeur max a été remontée volontairement</t>
  </si>
  <si>
    <t>Licence SUSE Enterprise Linux Server for SAP Applications (compute exclus) [5bis]</t>
  </si>
  <si>
    <t>Suse SAP</t>
  </si>
  <si>
    <t>physical.o2.medium</t>
  </si>
  <si>
    <t>256GB</t>
  </si>
  <si>
    <t>2x 800GB SAS + 1,6 TB SSD NVMe</t>
  </si>
  <si>
    <t>Total price</t>
  </si>
  <si>
    <t>Trafic sortant Compute et stockage objet</t>
  </si>
  <si>
    <t>Outgoing compute and object storage traffic</t>
  </si>
  <si>
    <t>Bandwith / outgoing traffic convertor</t>
  </si>
  <si>
    <t>Nombre de serveurs</t>
  </si>
  <si>
    <t>Number of servers</t>
  </si>
  <si>
    <t>Frais initiaux instances réservées</t>
  </si>
  <si>
    <t>Upfront and setup fees</t>
  </si>
  <si>
    <t>Reserved instances upfront</t>
  </si>
  <si>
    <t>Reserved instances</t>
  </si>
  <si>
    <t>subscription plan</t>
  </si>
  <si>
    <t>Instances réservées frais initiaux</t>
  </si>
  <si>
    <t>Instances réservées</t>
  </si>
  <si>
    <t>Support 1er mois instances réservées</t>
  </si>
  <si>
    <t>Frais initiaux et de mise en service</t>
  </si>
  <si>
    <t>monthly</t>
  </si>
  <si>
    <t>upfront</t>
  </si>
  <si>
    <t>1st month support reserved inst.</t>
  </si>
  <si>
    <t>7,5% de la facture avant remise hors frais de mise en service avec un minimum de 69€/mois</t>
  </si>
  <si>
    <t>Cloud excl. Tax Total price before discount</t>
  </si>
  <si>
    <t>Reserved instances total upfront price before discount</t>
  </si>
  <si>
    <t>Total frais initiaux HT instances réservées avant remise</t>
  </si>
  <si>
    <t>Total Cloud à l'usage HT avant remise</t>
  </si>
  <si>
    <t>7,5% of the bill before discount excluding setup fees with a minimum of 69€/month</t>
  </si>
  <si>
    <t>10% of the bill before discount excluding setup fees with a minimum of 199€/month</t>
  </si>
  <si>
    <t>Facturé à la granularité de la minute</t>
  </si>
  <si>
    <t>Support 1er mois frais initiaux des inst. réservées</t>
  </si>
  <si>
    <t>1st month support corresponding to upfront of reserved inst.</t>
  </si>
  <si>
    <t>Facturé à la granularité au mois</t>
  </si>
  <si>
    <t>Red Hat Entreprise</t>
  </si>
  <si>
    <t>Suse Entreprise</t>
  </si>
  <si>
    <t>Connexion Directe (par mois) [26] [27]</t>
  </si>
  <si>
    <t>voir frais d'accès connexions réseau</t>
  </si>
  <si>
    <t>300 Mbps</t>
  </si>
  <si>
    <t>30 Mbps</t>
  </si>
  <si>
    <t>40 Mbps</t>
  </si>
  <si>
    <t>Bande passante</t>
  </si>
  <si>
    <t>Bandwith</t>
  </si>
  <si>
    <t>Frais d'accès connexions réseau [20] [21]</t>
  </si>
  <si>
    <t>Number of VPN</t>
  </si>
  <si>
    <t>Managed Applications</t>
  </si>
  <si>
    <t>Managed Applications : niveau de support à choisir pour la partie infrastructure dans le cas d'une solution managée par Orange Business Services</t>
  </si>
  <si>
    <t>5% de la facture avant remise hors frais de mise en service</t>
  </si>
  <si>
    <t>5% of the bill before discount excluding setup fees</t>
  </si>
  <si>
    <r>
      <t xml:space="preserve">Fill up the </t>
    </r>
    <r>
      <rPr>
        <b/>
        <sz val="11"/>
        <color rgb="FF4BB4E6"/>
        <rFont val="Helvetica 55 Roman"/>
        <family val="2"/>
      </rPr>
      <t>Blue</t>
    </r>
    <r>
      <rPr>
        <sz val="11"/>
        <color theme="1"/>
        <rFont val="Helvetica 55 Roman"/>
        <family val="2"/>
      </rPr>
      <t xml:space="preserve"> boxes to get your pricing estimate</t>
    </r>
  </si>
  <si>
    <t>Your estimate</t>
  </si>
  <si>
    <t>Compute</t>
  </si>
  <si>
    <t>1. Choose your Virtual Machines and OS</t>
  </si>
  <si>
    <t>2. Choose your storage and backup</t>
  </si>
  <si>
    <t>3. Estimate your outgoing traffic or choose your specific network connexion</t>
  </si>
  <si>
    <t>Level of support</t>
  </si>
  <si>
    <t>Pricing model</t>
  </si>
  <si>
    <t>Price/month (% of the total bill or €)</t>
  </si>
  <si>
    <t>OS/licences*</t>
  </si>
  <si>
    <t>Petits calculateurs pratiques pour vos estimations</t>
  </si>
  <si>
    <t>including</t>
  </si>
  <si>
    <t>Little useful calculators</t>
  </si>
  <si>
    <t>Votre estimation</t>
  </si>
  <si>
    <t>Serveurs</t>
  </si>
  <si>
    <t>dont</t>
  </si>
  <si>
    <t>1. Choisissez vos serveurs et vos OS</t>
  </si>
  <si>
    <t>2. Choisissez votre stockage et votre sauvegarde</t>
  </si>
  <si>
    <t>3. Estimez votre trafic sortant et rajoutez vos potentielles options de connexion</t>
  </si>
  <si>
    <t>Niveau de support</t>
  </si>
  <si>
    <t>Modèle tarifaire</t>
  </si>
  <si>
    <t>% ou €</t>
  </si>
  <si>
    <t>Flexible Engine</t>
  </si>
  <si>
    <t>Pricing Calculator</t>
  </si>
  <si>
    <t>Configure and estimate the costs of your Public Cloud project</t>
  </si>
  <si>
    <t>Help Center</t>
  </si>
  <si>
    <t>Weekly Webinars</t>
  </si>
  <si>
    <t>Website (EN)</t>
  </si>
  <si>
    <t>Red Hat Enterprise</t>
  </si>
  <si>
    <t>SUSE Enterprise</t>
  </si>
  <si>
    <t>Oracle Linux</t>
  </si>
  <si>
    <t>Trafic sortant vers Internet ou une @IP publique (hors connexion directe)</t>
  </si>
  <si>
    <t>Outgoing compute traffic to internet or public @IP  (excluding direct connect)</t>
  </si>
  <si>
    <t>unlimited</t>
  </si>
  <si>
    <t>P</t>
  </si>
  <si>
    <t>p</t>
  </si>
  <si>
    <t>Shared port (Gallery VPN, Equinix Cloud Exchange)</t>
  </si>
  <si>
    <t>SFS - Scalable File Service</t>
  </si>
  <si>
    <t>SFS - Scalable File Service [8]</t>
  </si>
  <si>
    <t>SFS - SATA</t>
  </si>
  <si>
    <t>Prix HT</t>
  </si>
  <si>
    <t>Simple Message Notification</t>
  </si>
  <si>
    <t>€/slice</t>
  </si>
  <si>
    <t>slice</t>
  </si>
  <si>
    <t>HTTP/HTTPS notifications - Until 100,000</t>
  </si>
  <si>
    <t>SMN requests - Until 1 Million</t>
  </si>
  <si>
    <t>SMN requests - More than 1 Million</t>
  </si>
  <si>
    <t>HTTP/HTTPS notifications - More than 100,000</t>
  </si>
  <si>
    <t>Email notifications - Until 1,000</t>
  </si>
  <si>
    <t>more</t>
  </si>
  <si>
    <t>Per slice of 1 million</t>
  </si>
  <si>
    <t>Per slice of 100000</t>
  </si>
  <si>
    <t xml:space="preserve"> Per slice of 1000</t>
  </si>
  <si>
    <t>Autres fonctionnalités</t>
  </si>
  <si>
    <t>Requêtes SMN - tranches de 1 million</t>
  </si>
  <si>
    <t>Notifications HTTP/HTTPS - tranches de 100 000</t>
  </si>
  <si>
    <t>Notifications Email - tranches de 1 000</t>
  </si>
  <si>
    <t>Other features</t>
  </si>
  <si>
    <t>Email notifications - More than 1,000</t>
  </si>
  <si>
    <t>SMN requests - slices of 1 million</t>
  </si>
  <si>
    <t>HTTP/HTTPS notifications - slices of 100 000</t>
  </si>
  <si>
    <t>Email notifications - slices of 1 000</t>
  </si>
  <si>
    <t>Synthèse de l'estimation tarifaire du Cloud Public Europe</t>
  </si>
  <si>
    <t>Estimation Tarifaire OBS</t>
  </si>
  <si>
    <t>OBS Tariff Estimate</t>
  </si>
  <si>
    <t>Synthesis of the Europe Public Cloud tariff estimate</t>
  </si>
  <si>
    <t>March ED1</t>
  </si>
  <si>
    <t xml:space="preserve">VAT = </t>
  </si>
  <si>
    <t>VAT =</t>
  </si>
  <si>
    <t>Total/ year</t>
  </si>
  <si>
    <t>TVA =</t>
  </si>
  <si>
    <t>Paris - Dec.Compute</t>
  </si>
  <si>
    <t>CPU</t>
  </si>
  <si>
    <t>12 * 4T SATA</t>
  </si>
  <si>
    <t>Usable Storage</t>
  </si>
  <si>
    <t>Disque système sur EVS (GB)</t>
  </si>
  <si>
    <t>Disque Data sur EVS (GB)</t>
  </si>
  <si>
    <t>Facturé au mois avec engagement minimum à l'année</t>
  </si>
  <si>
    <t>April ED1</t>
  </si>
  <si>
    <t>Facturé à la granularité de l'heure, prix OS inclus</t>
  </si>
  <si>
    <t>Number of vGPUs</t>
  </si>
  <si>
    <t>GPU Type</t>
  </si>
  <si>
    <t>GPU RAM</t>
  </si>
  <si>
    <t>Fixed price per month</t>
  </si>
  <si>
    <t>Price per hour</t>
  </si>
  <si>
    <t>Price per month</t>
  </si>
  <si>
    <t>-</t>
  </si>
  <si>
    <t>M60-1Q</t>
  </si>
  <si>
    <t>1  GB</t>
  </si>
  <si>
    <t>On-Demand</t>
  </si>
  <si>
    <t>Reserved 1 month</t>
  </si>
  <si>
    <t xml:space="preserve">Billing mode </t>
  </si>
  <si>
    <r>
      <rPr>
        <b/>
        <sz val="11"/>
        <color theme="1"/>
        <rFont val="Calibri"/>
        <family val="2"/>
        <scheme val="minor"/>
      </rPr>
      <t>Note 34</t>
    </r>
    <r>
      <rPr>
        <sz val="11"/>
        <color theme="1"/>
        <rFont val="Calibri"/>
        <family val="2"/>
        <scheme val="minor"/>
      </rPr>
      <t>: Le mode de facturation à la demande ou réservé 1 mois est activé par l'utilisateur au moment de la création de l'instance Workspace. Une fois le mode de facturation décidé, celui-ci perdure jusqu'à suppression de l'instance.</t>
    </r>
  </si>
  <si>
    <t>GB retrieved</t>
  </si>
  <si>
    <t>Tranche de 1</t>
  </si>
  <si>
    <t>Standard Retrieval : data access time of 3 to 5 hours</t>
  </si>
  <si>
    <t>Expedited Retrieval : data access time of 1 to 5 minutes</t>
  </si>
  <si>
    <t>Bulk Retrieval : data access time of 5 to 12 hours</t>
  </si>
  <si>
    <r>
      <rPr>
        <b/>
        <sz val="11"/>
        <color theme="1"/>
        <rFont val="Calibri"/>
        <family val="2"/>
        <scheme val="minor"/>
      </rPr>
      <t>Note 13</t>
    </r>
    <r>
      <rPr>
        <sz val="11"/>
        <color theme="1"/>
        <rFont val="Calibri"/>
        <family val="2"/>
        <scheme val="minor"/>
      </rPr>
      <t>: la durée minimum de stockage d'un Warm Storage est de 30 jours, celle du Cold Storage de 90 jours.</t>
    </r>
  </si>
  <si>
    <t>Mode de facturation</t>
  </si>
  <si>
    <t>à la demande</t>
  </si>
  <si>
    <t>au mois</t>
  </si>
  <si>
    <t>Equivalent per month</t>
  </si>
  <si>
    <t>Heures d'utilisation</t>
  </si>
  <si>
    <t>Warm Storage - Lifecycle Transition Requests (tranche de 1000)</t>
  </si>
  <si>
    <t>Cold Storage - Lifecycle Transition Requests (tranche de 1000)</t>
  </si>
  <si>
    <t>€/an
[5]</t>
  </si>
  <si>
    <t xml:space="preserve"> 2 * 14 Core CPU</t>
  </si>
  <si>
    <t>Paris - workspace.c2.large.win</t>
  </si>
  <si>
    <t>Paris - workspace.s1.large.win</t>
  </si>
  <si>
    <t>Paris - workspace.g1.2xlarge.win</t>
  </si>
  <si>
    <t>Prix par heure</t>
  </si>
  <si>
    <t>on demand</t>
  </si>
  <si>
    <t>Billing mode</t>
  </si>
  <si>
    <t>Hours of use</t>
  </si>
  <si>
    <t>Cold Storage - Expedited Data Retrievals</t>
  </si>
  <si>
    <t>Cold Storage - Standard Data Retrievals</t>
  </si>
  <si>
    <t>Cold Storage - Bulk Data Retrievals</t>
  </si>
  <si>
    <t>Cold OBS - Expedited Data Retrievals</t>
  </si>
  <si>
    <t>Warm OBS - Lifecycle Transition Requests (slice of 1000)</t>
  </si>
  <si>
    <t xml:space="preserve">Cold OBS - Lifecycle Transition Requests (slice of 1000) </t>
  </si>
  <si>
    <t xml:space="preserve">Object Storage Service - Warm Object Storage </t>
  </si>
  <si>
    <t>Object Storage Service - Cold Object Storage</t>
  </si>
  <si>
    <t>Object Storage Service - Requests and Lifecycle [13]</t>
  </si>
  <si>
    <t>Request to Warm Object Storage - PUT</t>
  </si>
  <si>
    <t>Request to Warm Object Storage - GET</t>
  </si>
  <si>
    <t>Lifecycle Transition Requests to Warm</t>
  </si>
  <si>
    <t>Request to Cold Object Storage - PUT</t>
  </si>
  <si>
    <t>Lifecycle Transition Requests to Cold</t>
  </si>
  <si>
    <t>Expedited Data Retrievals from Cold Storage</t>
  </si>
  <si>
    <t>Expedited Retrieval Requests from Cold Storage</t>
  </si>
  <si>
    <t>Object Storage Service - Data Retrieval</t>
  </si>
  <si>
    <t>Standard Data Retrievals from Cold Storage</t>
  </si>
  <si>
    <t>Standard Retrieval Requests from Cold Storage</t>
  </si>
  <si>
    <t>Bulk Data Retrievals from Cold Storage</t>
  </si>
  <si>
    <t>Bulk Retrieval Requests from Cold Storage</t>
  </si>
  <si>
    <t>FAB - Volume des données protégées</t>
  </si>
  <si>
    <t>Volume to add to Object Storage consumption</t>
  </si>
  <si>
    <t>price</t>
  </si>
  <si>
    <t>Object Storage [9bis]</t>
  </si>
  <si>
    <t>€/VM/mois</t>
  </si>
  <si>
    <t xml:space="preserve">€/Go/mois </t>
  </si>
  <si>
    <t>CSBS - Object Storage Data Consumed</t>
  </si>
  <si>
    <t>CSBS - Cloud Server Backup Service - BETA [29bis] [14]</t>
  </si>
  <si>
    <t>[14] le service CSBS est facturé par virtual machine sauvegardée au pro-rata temporis d'utilisation de la fonctionnalité sur le mois</t>
  </si>
  <si>
    <t>CSBS - Virtual Machines Backuped</t>
  </si>
  <si>
    <t>CSBS - Volume des sauvegardes</t>
  </si>
  <si>
    <t>CSBS - Machines Virtuelles Sauvegardées</t>
  </si>
  <si>
    <t>Prix</t>
  </si>
  <si>
    <t>Price</t>
  </si>
  <si>
    <t>€/mois</t>
  </si>
  <si>
    <t>RAM (Go)</t>
  </si>
  <si>
    <t>Cold OBS - Standard Data Retrievals</t>
  </si>
  <si>
    <t>Cold OBS - Bulk Data Retrievals</t>
  </si>
  <si>
    <t>Data retrieval from Warm Storage</t>
  </si>
  <si>
    <t>Warm Storage - Data Retrievals</t>
  </si>
  <si>
    <t>OBS - Data Retrieval</t>
  </si>
  <si>
    <r>
      <t xml:space="preserve">€/Heure </t>
    </r>
    <r>
      <rPr>
        <b/>
        <u/>
        <sz val="11"/>
        <color theme="1"/>
        <rFont val="Calibri"/>
        <family val="2"/>
        <scheme val="minor"/>
      </rPr>
      <t xml:space="preserve">en sus </t>
    </r>
    <r>
      <rPr>
        <sz val="11"/>
        <color theme="1"/>
        <rFont val="Calibri"/>
        <family val="2"/>
        <scheme val="minor"/>
      </rPr>
      <t>des Prix ECS, RDS, Microsoft Serveur
[5][5bis]</t>
    </r>
  </si>
  <si>
    <r>
      <t xml:space="preserve">€/Heure </t>
    </r>
    <r>
      <rPr>
        <b/>
        <u/>
        <sz val="11"/>
        <color theme="1"/>
        <rFont val="Calibri"/>
        <family val="2"/>
        <scheme val="minor"/>
      </rPr>
      <t xml:space="preserve">en sus </t>
    </r>
    <r>
      <rPr>
        <sz val="11"/>
        <color theme="1"/>
        <rFont val="Calibri"/>
        <family val="2"/>
        <scheme val="minor"/>
      </rPr>
      <t>des Prix ECS Linux
[5][5bis] [30]</t>
    </r>
  </si>
  <si>
    <r>
      <t xml:space="preserve">€/mois </t>
    </r>
    <r>
      <rPr>
        <b/>
        <u/>
        <sz val="11"/>
        <color theme="1"/>
        <rFont val="Calibri"/>
        <family val="2"/>
        <scheme val="minor"/>
      </rPr>
      <t xml:space="preserve">en sus </t>
    </r>
    <r>
      <rPr>
        <sz val="11"/>
        <color theme="1"/>
        <rFont val="Calibri"/>
        <family val="2"/>
        <scheme val="minor"/>
      </rPr>
      <t>des Prix ECS Linux
[18bis] [30]</t>
    </r>
  </si>
  <si>
    <t>Note 30 : les colones "en sus des prix Linux" sur la grille de prix des lices RDS MSQL indiquent l'estimation de prix pour l'ensemble des licences requises pour le déploiement d'une Base de donnée relationnelle (RDS) Microsoft SQL, soit licence RDS + Licence WIndows Server + Licence MSQL. Le prix de la licence MSQL seule est indiquée dans la colone "en sus des Prix ECS, RDS, Microsoft Serveur"</t>
  </si>
  <si>
    <r>
      <t xml:space="preserve">€/mois </t>
    </r>
    <r>
      <rPr>
        <b/>
        <u/>
        <sz val="11"/>
        <color theme="1"/>
        <rFont val="Calibri"/>
        <family val="2"/>
        <scheme val="minor"/>
      </rPr>
      <t xml:space="preserve">en sus </t>
    </r>
    <r>
      <rPr>
        <sz val="11"/>
        <color theme="1"/>
        <rFont val="Calibri"/>
        <family val="2"/>
        <scheme val="minor"/>
      </rPr>
      <t>des Prix ECS Linux
[18bis][30]</t>
    </r>
  </si>
  <si>
    <r>
      <t xml:space="preserve">€/Heure </t>
    </r>
    <r>
      <rPr>
        <b/>
        <u/>
        <sz val="11"/>
        <color theme="1"/>
        <rFont val="Calibri"/>
        <family val="2"/>
        <scheme val="minor"/>
      </rPr>
      <t xml:space="preserve">en sus </t>
    </r>
    <r>
      <rPr>
        <sz val="11"/>
        <color theme="1"/>
        <rFont val="Calibri"/>
        <family val="2"/>
        <scheme val="minor"/>
      </rPr>
      <t>des Prix Linux ECS
[5][5bis] [30]</t>
    </r>
  </si>
  <si>
    <t>1 year without upfront</t>
  </si>
  <si>
    <t>1 year with upfront</t>
  </si>
  <si>
    <t>2 years with upfront</t>
  </si>
  <si>
    <t>3 years with upfront</t>
  </si>
  <si>
    <t>Upfront</t>
  </si>
  <si>
    <t>Label</t>
  </si>
  <si>
    <t>DIS - Partition Time (1MB/second ingress, 2MB/second egress)</t>
  </si>
  <si>
    <t>DIS - Storage Retention</t>
  </si>
  <si>
    <t>million PUT / month</t>
  </si>
  <si>
    <t>GB/month</t>
  </si>
  <si>
    <t>DIS - PUT Payload Units</t>
  </si>
  <si>
    <t>activity/month</t>
  </si>
  <si>
    <t>DPS - Activities executed 0 times / month</t>
  </si>
  <si>
    <t>DPS - Activity executed from 1 to 30 times / month</t>
  </si>
  <si>
    <t>DPS - Activity executed  more than 30 times per month</t>
  </si>
  <si>
    <t>hour</t>
  </si>
  <si>
    <t>GB/Month</t>
  </si>
  <si>
    <t>MLS service</t>
  </si>
  <si>
    <t>MLS Service/ hour</t>
  </si>
  <si>
    <t>partition/hour</t>
  </si>
  <si>
    <t>Note 36 : l'utilisation des services DIS, DPS, DWS et MLS ne produit pas de facturation de ressource infrastructure supplémentaire (ECS, stockage). Le coût de ces derniers sont inclus dans le prix du service.</t>
  </si>
  <si>
    <t>Note 37 : les services DIS, DPS, DWS et MLS facturés à l'heure sont capés à 650h. Une facturation au mois équivaut donc au prix horaire *650.</t>
  </si>
  <si>
    <t>May ED1</t>
  </si>
  <si>
    <t>Hosted Zone - first 25 hosted Zones</t>
  </si>
  <si>
    <t>Hosted Zone / Month</t>
  </si>
  <si>
    <t>Hosted Zone - over 25 hosted Zones</t>
  </si>
  <si>
    <t>Intitullé</t>
  </si>
  <si>
    <t>Note 22: Une "hosted zone" est facturée en fonction des zones configurées le 1er jour de chaque mois. Pour permettre des besoins de test, une "hosted zone" supprimée dans les 12 heures après sa création n'est pas facturée, les requêtes sont elles facturées.</t>
  </si>
  <si>
    <t>Note 23: les requêtes sont facturées au prorata du nombre de requêtes.</t>
  </si>
  <si>
    <t>DIS - Partition Time</t>
  </si>
  <si>
    <t xml:space="preserve">DPS - Activity </t>
  </si>
  <si>
    <t>Nb d'activités</t>
  </si>
  <si>
    <t>Nb moyen d'exécutions</t>
  </si>
  <si>
    <t>Nb de services</t>
  </si>
  <si>
    <t>Nb de DWS</t>
  </si>
  <si>
    <t>MLS Service</t>
  </si>
  <si>
    <t>Average Nb of execution</t>
  </si>
  <si>
    <t>Nb of activities</t>
  </si>
  <si>
    <t>Nb of DWS</t>
  </si>
  <si>
    <t>DIS - PUT Payload Units - tranches de 1 million</t>
  </si>
  <si>
    <t>DNS - Nombre de Hosted Zones</t>
  </si>
  <si>
    <t>DNS - Standard Queries - tranches de 1 million</t>
  </si>
  <si>
    <t>MLS - Service</t>
  </si>
  <si>
    <t>DNS - Number of Hosted Zones</t>
  </si>
  <si>
    <t>DIS - PUT Payload Units - slices de 1 million</t>
  </si>
  <si>
    <t>Cold Storage - Expedited Retrieval Requests (tranche de 1)</t>
  </si>
  <si>
    <t>Cold Storage - Standard Retrieval Requests (tranche de 1000)</t>
  </si>
  <si>
    <t>Cold Storage - Bulk Retrieval Requests (tranche de 1000)</t>
  </si>
  <si>
    <t>Cold OBS - Expedited Retrieval Requests (slice of 1)</t>
  </si>
  <si>
    <t>Cold OBS - Standard Retrieval Requests (slice of 1000)</t>
  </si>
  <si>
    <t>Cold OBS - Bulk Retrieval Requests (slice of 1000)</t>
  </si>
  <si>
    <t>SMS- Simple Message Notification</t>
  </si>
  <si>
    <t>DNS - Domain Name Service</t>
  </si>
  <si>
    <t>DIS - Data Injection Service</t>
  </si>
  <si>
    <t>DPS - Data Pipeline Service</t>
  </si>
  <si>
    <t>MLS - Machine Learning Service</t>
  </si>
  <si>
    <t>Paris - s1.xlarge (4 vCPU, 16GB RAM)</t>
  </si>
  <si>
    <t>Paris - s1.4xlarge (16 vCPU, 64GB RAM)</t>
  </si>
  <si>
    <t>Paris - s1.8xlarge (32 vCPU, 128GB RAM)</t>
  </si>
  <si>
    <t>Paris - c2.xlarge (4 vCPU, 8GB RAM)</t>
  </si>
  <si>
    <t>Paris - c2.2xlarge (8 vCPU, 16GB RAM)</t>
  </si>
  <si>
    <t>1 GBps</t>
  </si>
  <si>
    <t>10 GBps</t>
  </si>
  <si>
    <t xml:space="preserve"> </t>
  </si>
  <si>
    <t>OBS - Warm Storage</t>
  </si>
  <si>
    <t>OBS Cold Storage</t>
  </si>
  <si>
    <t>OBS - Cold Storage</t>
  </si>
  <si>
    <t>192 GB</t>
  </si>
  <si>
    <t xml:space="preserve">  </t>
  </si>
  <si>
    <t>Licences Microsoft</t>
  </si>
  <si>
    <t>SAL RDS</t>
  </si>
  <si>
    <t>physical user/month</t>
  </si>
  <si>
    <t>KMS Key</t>
  </si>
  <si>
    <t>Note 38 : only CMK keys are charged</t>
  </si>
  <si>
    <t>key/month</t>
  </si>
  <si>
    <t>slice of 10000</t>
  </si>
  <si>
    <t>Key Management Service [38][39]</t>
  </si>
  <si>
    <t>Note 39 : Monthly charged and API requests are prorated according to the time of use and exact number of requests</t>
  </si>
  <si>
    <t>API requests - Until 20 000</t>
  </si>
  <si>
    <t>API requests - above 20 000</t>
  </si>
  <si>
    <t>Clé KMS</t>
  </si>
  <si>
    <t>Requêtes API - tranches de 10 000</t>
  </si>
  <si>
    <t>API requests - slices of 10 000</t>
  </si>
  <si>
    <t xml:space="preserve">Note 21: Les frais de mise en service incluent la configuration BGP côté Flexible Engine. Comprend la mise à disposition pour un tenant d'un port 1 GBps ou 10 GBps dans les localisations suivantes, sur l'équipement Orange Business Services :  Equinix PA3 et PA4.
Il est de la responsabilité du client de mettre en place cette liaison. Un minimum de 2 connexions sur 2 sites géographiques distincts est nécessaire pour obtenir le SLA réseau. Avec un seul lien, en cas de perte du lien, le client peut implémenter une bascule automatique du trafic sur internet. </t>
  </si>
  <si>
    <t>2 GBps - roadmap</t>
  </si>
  <si>
    <t>Paris - t2.small (1 vCPU, 2GB RAM)</t>
  </si>
  <si>
    <t>Paris - s3.medium.4 (1 vCPU, 4GB RAM)</t>
  </si>
  <si>
    <t>Paris - s3.large.2 (2 vCPU, 4GB RAM)</t>
  </si>
  <si>
    <t>Paris - s3.xlarge.2 (4 vCPU, 8GB RAM)</t>
  </si>
  <si>
    <t>Paris - s3.2xlarge.2 (8 vCPU, 16GB RAM)</t>
  </si>
  <si>
    <t>Paris - s3.4xlarge.2 (16 vCPU, 32GB RAM)</t>
  </si>
  <si>
    <t>Paris - s3.large.4 (2 vCPU, 8GB RAM)</t>
  </si>
  <si>
    <t>Paris - s3.xlarge.4 (4 vCPU, 16GB RAM)</t>
  </si>
  <si>
    <t>Paris - s3.2xlarge.4 (8 vCPU, 32GB RAM)</t>
  </si>
  <si>
    <t>Paris - s3.4xlarge.4 (16 vCPU, 64GB RAM)</t>
  </si>
  <si>
    <t>Paris - cc3.8xlarge.4 (32 vCPU, 128GB RAM)</t>
  </si>
  <si>
    <t>Paris - c3.8xlarge.2 (32 vCPU, 64GB RAM)</t>
  </si>
  <si>
    <t>Paris roadmap - e1.4xlarge (16 vCPU, 470GB RAM)</t>
  </si>
  <si>
    <t>Paris roadmap - e2.3xlarge (12 vCPU, 256GB RAM)</t>
  </si>
  <si>
    <t>Paris roadmap - e2.4xlarge (18 vCPU, 445GB RAM)</t>
  </si>
  <si>
    <t>Paris roadmap - e2.9xlarge (36 vCPU, 890GB RAM)</t>
  </si>
  <si>
    <t>Paris roadmap - e1.8xlarge (432vCPU, 940GB RAM)</t>
  </si>
  <si>
    <t>entre 0 et 15 GB (15 GB gratuit)</t>
  </si>
  <si>
    <t>Dedicated port (Equinix : 1GBps - 10 GBps)</t>
  </si>
  <si>
    <t>5 GBps  - roadmap</t>
  </si>
  <si>
    <t>2  x Intel Gold 5122 V5 (3.6GHz, 4 cores)</t>
  </si>
  <si>
    <t>256 GB</t>
  </si>
  <si>
    <t>Windows Server</t>
  </si>
  <si>
    <t>NAT type</t>
  </si>
  <si>
    <t>Small</t>
  </si>
  <si>
    <t>Medium</t>
  </si>
  <si>
    <t>Large</t>
  </si>
  <si>
    <t>Extra Large</t>
  </si>
  <si>
    <t>NATG / hour</t>
  </si>
  <si>
    <t>NATG - Network Address Translation Gateway [21]</t>
  </si>
  <si>
    <t>Type</t>
  </si>
  <si>
    <t>Maximum Number of SNAT connections</t>
  </si>
  <si>
    <t>Number of New SNAT connections per Second</t>
  </si>
  <si>
    <t>2*1.8T</t>
  </si>
  <si>
    <t>4*1.8T</t>
  </si>
  <si>
    <t>8*1.8T</t>
  </si>
  <si>
    <t>12*1.8T</t>
  </si>
  <si>
    <t>16*1.8T</t>
  </si>
  <si>
    <t>24*1.8T</t>
  </si>
  <si>
    <t>Key Management Service - Roadmap</t>
  </si>
  <si>
    <t>Key Management Service  - Roadmap</t>
  </si>
  <si>
    <t>MLS - Machine Learning Service [36][37]</t>
  </si>
  <si>
    <r>
      <rPr>
        <b/>
        <sz val="11"/>
        <color theme="1"/>
        <rFont val="Calibri"/>
        <family val="2"/>
        <scheme val="minor"/>
      </rPr>
      <t>Note 32</t>
    </r>
    <r>
      <rPr>
        <sz val="11"/>
        <color theme="1"/>
        <rFont val="Calibri"/>
        <family val="2"/>
        <scheme val="minor"/>
      </rPr>
      <t>: Les solutions Dedicated Cloud et Dedicated Storage Service comprennent nativement la triplication des données sur des baies de stockages dédiées distinctes.</t>
    </r>
  </si>
  <si>
    <r>
      <rPr>
        <b/>
        <sz val="11"/>
        <color theme="1"/>
        <rFont val="Calibri"/>
        <family val="2"/>
        <scheme val="minor"/>
      </rPr>
      <t>Note 33</t>
    </r>
    <r>
      <rPr>
        <sz val="11"/>
        <color theme="1"/>
        <rFont val="Calibri"/>
        <family val="2"/>
        <scheme val="minor"/>
      </rPr>
      <t>: Les solutions Dedicated Cloud et Dedicated Storage Service  sont réservés au minimum pour une année.</t>
    </r>
  </si>
  <si>
    <t>8 * 3.2T Nvme SSD</t>
  </si>
  <si>
    <t>Server Configuration</t>
  </si>
  <si>
    <t>Disks</t>
  </si>
  <si>
    <t>64 TB</t>
  </si>
  <si>
    <t>34 TB</t>
  </si>
  <si>
    <t>RH2288 with 2*8Core CPU,10*16GB RAM, 4*10GE NIC</t>
  </si>
  <si>
    <t>RH2288 with 2*12Core CPU,10*16GB RAM, 4*10GE NIC</t>
  </si>
  <si>
    <t>Redundancy</t>
  </si>
  <si>
    <t>3 copies</t>
  </si>
  <si>
    <t>Dedicated Storage Service - Limited Availiability [32][33]</t>
  </si>
  <si>
    <t>Dedicated Storage Service - Limited Availiability</t>
  </si>
  <si>
    <t>Nb Server</t>
  </si>
  <si>
    <t>16 TB</t>
  </si>
  <si>
    <t>8 TB</t>
  </si>
  <si>
    <r>
      <t>RH2288 with 2*8Core CPU,10*16GB RAM,</t>
    </r>
    <r>
      <rPr>
        <sz val="10.5"/>
        <color rgb="FF0070C0"/>
        <rFont val="Calibri"/>
        <family val="2"/>
      </rPr>
      <t xml:space="preserve"> </t>
    </r>
    <r>
      <rPr>
        <sz val="10.5"/>
        <color theme="1"/>
        <rFont val="Calibri"/>
        <family val="2"/>
      </rPr>
      <t>4*10GE NIC</t>
    </r>
  </si>
  <si>
    <r>
      <t>RH2288 with 2*12Core CPU,10*16GB RAM,</t>
    </r>
    <r>
      <rPr>
        <sz val="10.5"/>
        <color rgb="FF0070C0"/>
        <rFont val="Calibri"/>
        <family val="2"/>
      </rPr>
      <t xml:space="preserve"> </t>
    </r>
    <r>
      <rPr>
        <sz val="10.5"/>
        <color theme="1"/>
        <rFont val="Calibri"/>
        <family val="2"/>
      </rPr>
      <t>4*10GE NIC</t>
    </r>
  </si>
  <si>
    <r>
      <t xml:space="preserve">€/mois </t>
    </r>
    <r>
      <rPr>
        <b/>
        <u/>
        <sz val="11"/>
        <color theme="1"/>
        <rFont val="Calibri"/>
        <family val="2"/>
        <scheme val="minor"/>
      </rPr>
      <t xml:space="preserve">en sus </t>
    </r>
    <r>
      <rPr>
        <sz val="11"/>
        <color theme="1"/>
        <rFont val="Calibri"/>
        <family val="2"/>
        <scheme val="minor"/>
      </rPr>
      <t>des Prix ECS, RDS, Microsoft Sever
[18bis]</t>
    </r>
  </si>
  <si>
    <t>CSBS - Cloud Server Backup Service</t>
  </si>
  <si>
    <t>Config</t>
  </si>
  <si>
    <t>4 GB</t>
  </si>
  <si>
    <t xml:space="preserve">Workspace </t>
  </si>
  <si>
    <t>N/A</t>
  </si>
  <si>
    <t>Single</t>
  </si>
  <si>
    <t>Primary/Standby</t>
  </si>
  <si>
    <t>DB Instance Type</t>
  </si>
  <si>
    <t>Instance Name</t>
  </si>
  <si>
    <t>Instance price / hour</t>
  </si>
  <si>
    <t>cache.m1.medium</t>
  </si>
  <si>
    <t>cache.m1.large</t>
  </si>
  <si>
    <t>cache.m1.xlarge</t>
  </si>
  <si>
    <t>cache.m2.small</t>
  </si>
  <si>
    <t>cache.m2.medium</t>
  </si>
  <si>
    <t>cache.m2.large</t>
  </si>
  <si>
    <t>Nodes</t>
  </si>
  <si>
    <t>Nom de l'instance</t>
  </si>
  <si>
    <t>Note 40 : Pricing is per node-hour consumed, from the time a node is launched until it is terminated. Each partial node-hour consumed will be billed as a full hour.</t>
  </si>
  <si>
    <t>DNS - Domain Name Service [29bis][22] [23]</t>
  </si>
  <si>
    <t>DPS - Data Pipeline Service [36][37]</t>
  </si>
  <si>
    <t>CS - Stream Processing Unit</t>
  </si>
  <si>
    <t>SPU Service/ hour</t>
  </si>
  <si>
    <t>DWS - Data Wharehouse Service[36][37]</t>
  </si>
  <si>
    <t>SDRS - data transfert between FE AZ</t>
  </si>
  <si>
    <t>GB transféré</t>
  </si>
  <si>
    <t xml:space="preserve"> €</t>
  </si>
  <si>
    <t>SDRS - VM protection</t>
  </si>
  <si>
    <t>note 45 : In self-service, during the protection phase, the folowing services are billable : the protected volume (equal to the production volume), data transfert and protection of VM.  During the recovery phases all the unit of the recovered infrastructure are billable according to the standard FE price list (ie : storage, instances, ...)</t>
  </si>
  <si>
    <t>EVS - Elastic Volume Service</t>
  </si>
  <si>
    <t>EVS [46]</t>
  </si>
  <si>
    <t>Note 46 Protected backup is protected on the secondary Datacenter through Elastic Volume Services which is billable at the standard EVS price.</t>
  </si>
  <si>
    <t>note 45 : Pendant la phase de protection, les services suivants sont facturés : les données protégées sur le deuxième datacenter (volume égal au volume de production), le transfert de données et la protection des VM. Durant la phase de reprise d'activité, les services déployés sur le datacenter de secours sont facturés au prix standard des différents éléments consommés.</t>
  </si>
  <si>
    <t>VM protégée/mois</t>
  </si>
  <si>
    <t>Note 46 Le stockage protégé, l'est sous forme de stokage bloc et est facturé au prix standard du bloc EVS.</t>
  </si>
  <si>
    <t>GB de protection</t>
  </si>
  <si>
    <t>NB: Atlanta and French prices are the same but not  the list of features avaliable</t>
  </si>
  <si>
    <t>DWS - Data Wharehouse Service</t>
  </si>
  <si>
    <t>Nb de services (SPU)</t>
  </si>
  <si>
    <t>Nb of services</t>
  </si>
  <si>
    <t>Nb of services (SPU)</t>
  </si>
  <si>
    <t>SDRS - Volume des sauvegardes</t>
  </si>
  <si>
    <t>SDRS - transfert de données entre Zones de Disponbilités</t>
  </si>
  <si>
    <t>SDRS - VM protégées</t>
  </si>
  <si>
    <t>Volume to add to EVS Storage</t>
  </si>
  <si>
    <t>SDRS - Data transfert between AZ</t>
  </si>
  <si>
    <t>SDRS - Protected VM</t>
  </si>
  <si>
    <t>SDRS - Saved volume</t>
  </si>
  <si>
    <t>SMS notifications - More than 100</t>
  </si>
  <si>
    <t>SMS notifications - Until 100</t>
  </si>
  <si>
    <t>Paris and Amsterdam Datacenter Pricing calculator</t>
  </si>
  <si>
    <t>€/hour</t>
  </si>
  <si>
    <t>RDS - DBaaS Microsoft SQL server Entreprise (ECS excluded)</t>
  </si>
  <si>
    <t>RDS - MSQL- STD</t>
  </si>
  <si>
    <t>RDS - MSQL- ENT</t>
  </si>
  <si>
    <t>RDS - Postgre</t>
  </si>
  <si>
    <t>RDS - MSQL ENT</t>
  </si>
  <si>
    <t>RDS - MSQL - STD</t>
  </si>
  <si>
    <t>RDS - MSQL STD</t>
  </si>
  <si>
    <t>BSS validation</t>
  </si>
  <si>
    <t>EB</t>
  </si>
  <si>
    <t xml:space="preserve">Office Professional Plus </t>
  </si>
  <si>
    <t xml:space="preserve">Office Standard </t>
  </si>
  <si>
    <t>50 nodes</t>
  </si>
  <si>
    <t>200 nodes</t>
  </si>
  <si>
    <t>1000 nodes</t>
  </si>
  <si>
    <t>10 nodes</t>
  </si>
  <si>
    <t>100 nodes</t>
  </si>
  <si>
    <t>500 nodes</t>
  </si>
  <si>
    <t>Facturé à la granularité à la minute</t>
  </si>
  <si>
    <t>Paris - c3.15xlarge.2 (60 vCPU, 128GB RAM)</t>
  </si>
  <si>
    <t xml:space="preserve">Licence OS Bare Metal </t>
  </si>
  <si>
    <t>Cloud Container Engine</t>
  </si>
  <si>
    <t xml:space="preserve">Cloud Container Engine </t>
  </si>
  <si>
    <t>Paris - cc3.19xlarge.4 (76 vCPU, 304GB RAM)</t>
  </si>
  <si>
    <t>Type de cluster</t>
  </si>
  <si>
    <t>Virtual Machines cluster - 50 nodes</t>
  </si>
  <si>
    <t>Capacité du cluster</t>
  </si>
  <si>
    <t>Prix horaire par cluster</t>
  </si>
  <si>
    <t>Virtual Machines cluster - 200 nodes</t>
  </si>
  <si>
    <t>Virtual Machines cluster - 1000 nodes</t>
  </si>
  <si>
    <t>Virtual Machines cluster - High Availability - 50 nodes</t>
  </si>
  <si>
    <t>Virtual Machines cluster - High Availability - 200 nodes</t>
  </si>
  <si>
    <t>Virtual Machines cluster - High Availability  - 1000 nodes</t>
  </si>
  <si>
    <t>Baremetal cluster - 10 nodes</t>
  </si>
  <si>
    <t>Baremetal cluster  - 100 nodes</t>
  </si>
  <si>
    <t>Baremetal cluster - 500 nodes</t>
  </si>
  <si>
    <t>Baremetal cluster  - High Availability  - 10 nodes</t>
  </si>
  <si>
    <t>Baremetal cluster  - High Availability  - 100 nodes</t>
  </si>
  <si>
    <t>Baremetal cluster  - High Availability  - 500 nodes</t>
  </si>
  <si>
    <t>CS - Cloud Stream [29bis][36]</t>
  </si>
  <si>
    <t xml:space="preserve">SDRS - Storage Disaster Recovery Service </t>
  </si>
  <si>
    <t xml:space="preserve">NATG - Network Address Translation Gateway </t>
  </si>
  <si>
    <t xml:space="preserve">DNS - Domain Name Service </t>
  </si>
  <si>
    <t>CS - Cloud Stream -  ROADMAP</t>
  </si>
  <si>
    <t xml:space="preserve">CSBS - Cloud Server Backup Service </t>
  </si>
  <si>
    <t xml:space="preserve">SDRS - Storage Disaster Recovery Service  </t>
  </si>
  <si>
    <t xml:space="preserve">SMS- Simple Message Notification </t>
  </si>
  <si>
    <t xml:space="preserve">CS - Cloud Stream </t>
  </si>
  <si>
    <t>Storage Disaster Recovery Service  [29bis][45]</t>
  </si>
  <si>
    <t>RDS - Relational Database Service PostgreSQL (ECS exclus)  [35] [29bis]</t>
  </si>
  <si>
    <t>DIS - Data Injection Service  [29bis][36][37]</t>
  </si>
  <si>
    <t xml:space="preserve">Workspace  </t>
  </si>
  <si>
    <t xml:space="preserve">Microsoft Licenses </t>
  </si>
  <si>
    <t>xlarge (4 vCPU, 16GB RAM)</t>
  </si>
  <si>
    <t>2xlarge (8 vCPU, 32GB RAM)</t>
  </si>
  <si>
    <t>4xlarge (16 vCPU, 32 GB RAM)</t>
  </si>
  <si>
    <t>8xlarge (32 vCPU, 128GB RAM)</t>
  </si>
  <si>
    <t>15xlarge (60 vCPU, 128GB RAM)</t>
  </si>
  <si>
    <t>19xlarge (76 vCPU, 304GB RAM)</t>
  </si>
  <si>
    <t>[1] Tableau indicatif pour FABS</t>
  </si>
  <si>
    <t>384 GB</t>
  </si>
  <si>
    <t>FAB - On Premise</t>
  </si>
  <si>
    <t>FAB - Object Storage Back-End</t>
  </si>
  <si>
    <t>FAB - Object Storage Back-End Warm</t>
  </si>
  <si>
    <t>FAB - Object Storage</t>
  </si>
  <si>
    <t>DNS - Standard Queries - Slices of 1 million</t>
  </si>
  <si>
    <t>Million Queries/ Month</t>
  </si>
  <si>
    <t>Add</t>
  </si>
  <si>
    <t>Remove</t>
  </si>
  <si>
    <t>Modification</t>
  </si>
  <si>
    <t>Country</t>
  </si>
  <si>
    <t>Statut</t>
  </si>
  <si>
    <t>Pricelist cachée</t>
  </si>
  <si>
    <t xml:space="preserve">Price list public </t>
  </si>
  <si>
    <t>QuooteTool</t>
  </si>
  <si>
    <t>Devis</t>
  </si>
  <si>
    <t xml:space="preserve">WHO </t>
  </si>
  <si>
    <t>CA</t>
  </si>
  <si>
    <t>Beta</t>
  </si>
  <si>
    <t>July ED1</t>
  </si>
  <si>
    <t>DNS : modify</t>
  </si>
  <si>
    <t>all</t>
  </si>
  <si>
    <t>GA</t>
  </si>
  <si>
    <t>OK</t>
  </si>
  <si>
    <t>AMS</t>
  </si>
  <si>
    <t>SGP</t>
  </si>
  <si>
    <t>ATL</t>
  </si>
  <si>
    <t>PAR</t>
  </si>
  <si>
    <t>RDS Postgre : add note t2small, c2.2xlarge, S1.4xlarge : old flavors unaivalable for new customers in the console</t>
  </si>
  <si>
    <t>RDSmysql server : add notec2.2xlarge: old flavors unaivalable for new customers in the console</t>
  </si>
  <si>
    <t xml:space="preserve">RDS postgre : add s1.8xlarge, c2.8xlarge </t>
  </si>
  <si>
    <t>RDS MS SQL : add cc3.19xlarge.4, c3.8xlarge.2, c3.15xlarge.2</t>
  </si>
  <si>
    <t>DN</t>
  </si>
  <si>
    <t xml:space="preserve">Modify Price : Remote Desktop Services, Office Standard and Office Professional Plus </t>
  </si>
  <si>
    <t>July ED2</t>
  </si>
  <si>
    <t>RDS - Licence Orange Business Services Compute DBaaS MySQL - Mono AZ (compute exclus) [31][35]</t>
  </si>
  <si>
    <r>
      <rPr>
        <b/>
        <sz val="11"/>
        <color theme="1"/>
        <rFont val="Calibri"/>
        <family val="2"/>
        <scheme val="minor"/>
      </rPr>
      <t>Note 35</t>
    </r>
    <r>
      <rPr>
        <sz val="11"/>
        <color theme="1"/>
        <rFont val="Calibri"/>
        <family val="2"/>
        <scheme val="minor"/>
      </rPr>
      <t xml:space="preserve"> : Pour le service Relational Database Service MySQL, les flavors t2, m1, c2, s1 ne seront plus disponibles dans la console pour les nouveaux clients.</t>
    </r>
  </si>
  <si>
    <t>RDS MySQL : add note t2,m1,c2, s1 : old flavors unaivalable for new customers in the console</t>
  </si>
  <si>
    <t>RDS MS SQL : add note m1, s1, c2 : old flavors unaivalable for new customers in the console</t>
  </si>
  <si>
    <r>
      <rPr>
        <b/>
        <sz val="11"/>
        <color theme="1"/>
        <rFont val="Calibri"/>
        <family val="2"/>
        <scheme val="minor"/>
      </rPr>
      <t>Note 36</t>
    </r>
    <r>
      <rPr>
        <sz val="11"/>
        <color theme="1"/>
        <rFont val="Calibri"/>
        <family val="2"/>
        <scheme val="minor"/>
      </rPr>
      <t xml:space="preserve"> : Pour le service Relational Database Service Microsoft SQL, les flavors m1, s1, c2 ne seront plus disponibles dans la console pour les nouveaux clients.</t>
    </r>
  </si>
  <si>
    <t>RDS - DBaaS Microsoft SQL server Standard (ECS excluded) [36]</t>
  </si>
  <si>
    <t>RDS MySQL : remove flavors rouge (cc3.19xlarge.4, c3.8xlarge.2, c3.15xlarge.2)</t>
  </si>
  <si>
    <t>RDS MySQL : add note t2.small : old flavors unaivalable for new customers in the console</t>
  </si>
  <si>
    <t>RDS MySQL : add c2.8xlarge</t>
  </si>
  <si>
    <t>RDS MS SQL : add S1.8xlarge, c2.8xlarge</t>
  </si>
  <si>
    <t>RDS MySQL : add c3.8xlarge.2</t>
  </si>
  <si>
    <t>RDS Postgre : add c3.8xlarge.2,  c3.15xlarge.2</t>
  </si>
  <si>
    <t>NOK for c2.8xlarge</t>
  </si>
  <si>
    <t>Modify Price : EVS Public Prices list  : Standard Block Storage and Performant Block Storage</t>
  </si>
  <si>
    <t>NOK for cc3.19xlarge.4</t>
  </si>
  <si>
    <t>Standard Queries - first Million</t>
  </si>
  <si>
    <t>Standard Queries - over 1 Million</t>
  </si>
  <si>
    <t xml:space="preserve">ECS : Modify Price for the flavour g5.xlarge.2 </t>
  </si>
  <si>
    <t>August ED1</t>
  </si>
  <si>
    <t>Workspace : add the flavour workspace.g5.xlarge.win and the add the label "Controlled Availability"</t>
  </si>
  <si>
    <t>v100-1Q</t>
  </si>
  <si>
    <t>Workspace : add note "the flavour g5.xlarge.win is billed at the hour granularity, OS and Nvidia Grid license included."</t>
  </si>
  <si>
    <t>Workspace : add the RI pricing.</t>
  </si>
  <si>
    <t>Workspace :  add note</t>
  </si>
  <si>
    <r>
      <rPr>
        <b/>
        <sz val="11"/>
        <color theme="1"/>
        <rFont val="Calibri"/>
        <family val="2"/>
        <scheme val="minor"/>
      </rPr>
      <t>Note 38</t>
    </r>
    <r>
      <rPr>
        <sz val="11"/>
        <color theme="1"/>
        <rFont val="Calibri"/>
        <family val="2"/>
        <scheme val="minor"/>
      </rPr>
      <t xml:space="preserve"> :Mode Workspace On-demand : Mode Workspace On-demand : ce mode fournit une flexibilité importante avec les règles tarifaires du paiment à l'usage. Quand l'utilisateur démarre une instance workspace, il lui sera facturé des frais fixes mensuels et des frais par heures d'activation de l'instance de bureau. Lorsque l'instance de bureau est éteinte, seuls les frais fixes mensuels sont facturés. Lorsque l'instance de bureau est supprimée, il n'y a pas de frais horaires le mois de supression, et il n'y a pas de frais fixes le mois suivant.</t>
    </r>
  </si>
  <si>
    <t>Reserved 1 year</t>
  </si>
  <si>
    <t>Price per year</t>
  </si>
  <si>
    <t xml:space="preserve">Workspace [34] [37] [38] [39] </t>
  </si>
  <si>
    <r>
      <rPr>
        <b/>
        <sz val="11"/>
        <color theme="1"/>
        <rFont val="Calibri"/>
        <family val="2"/>
        <scheme val="minor"/>
      </rPr>
      <t>Note 39</t>
    </r>
    <r>
      <rPr>
        <sz val="11"/>
        <color theme="1"/>
        <rFont val="Calibri"/>
        <family val="2"/>
        <scheme val="minor"/>
      </rPr>
      <t xml:space="preserve"> :Chronologie du mode Instance Réservée : le mode Instance Réservée sera activé en Août. La souscription sera possible et la tarification mensuelle d'instance réservée sera applicable sur les usages du mois de Septembre. Pendant que nous implémentons l'instance réservée de bureau, les clients peuvent utiliser le service sans aucun abonnement. Les régles de tarification On-demand s'appliqueront (frais fixes mensuels + frais par heures d'activation de l'instance) mais l'utilisateur sera facturé au maximun du prix mensuel de l'instance réservée. Dans cet exemple avec 100 heures d'utilisation le client sera facturé 47 euros au lieu de 56 euros.</t>
    </r>
  </si>
  <si>
    <t>DDS : add this new service (hidden in the public pricelist &amp; displayed in the quotation tool with mention "in_roadmap")</t>
  </si>
  <si>
    <t xml:space="preserve">Prix par heure </t>
  </si>
  <si>
    <t>excl tax Total Price/month</t>
  </si>
  <si>
    <t>ALL</t>
  </si>
  <si>
    <t>DeC : add a minimum of 4 servers on the QuoteTool</t>
  </si>
  <si>
    <t>Total Prix HT/mois</t>
  </si>
  <si>
    <t>Dedicated Cloud [32] [33] [40]</t>
  </si>
  <si>
    <t>Licence : Modify Price for the Windows OS</t>
  </si>
  <si>
    <t>Licence : Modify Price for the Redhat OS</t>
  </si>
  <si>
    <t>Licence : Modify Price for the Suse OS</t>
  </si>
  <si>
    <t>Licence SUSE Entreprise Linux SLES pour SAP (compute exclus)</t>
  </si>
  <si>
    <t>ECS : modify price for the flavour g3.8xlarge.4</t>
  </si>
  <si>
    <t xml:space="preserve">ECS : modify price for the flavours : c1.large, c1.xlarge, c1.2xlarge, c1.4xlarge, c2.large, c2.xlarge, c2.2xlarge, p2.2xlarge.8, p2.4xlarge.8, pe.8xlarge.8, </t>
  </si>
  <si>
    <t>ECS : g5.xlarge.2 add note "to be announced note" on the public pricelist</t>
  </si>
  <si>
    <r>
      <rPr>
        <b/>
        <sz val="11"/>
        <color theme="1"/>
        <rFont val="Calibri"/>
        <family val="2"/>
        <scheme val="minor"/>
      </rPr>
      <t>Note</t>
    </r>
    <r>
      <rPr>
        <sz val="11"/>
        <color theme="1"/>
        <rFont val="Calibri"/>
        <family val="2"/>
        <scheme val="minor"/>
      </rPr>
      <t xml:space="preserve"> </t>
    </r>
    <r>
      <rPr>
        <b/>
        <sz val="11"/>
        <color theme="1"/>
        <rFont val="Calibri"/>
        <family val="2"/>
        <scheme val="minor"/>
      </rPr>
      <t>37</t>
    </r>
    <r>
      <rPr>
        <sz val="11"/>
        <color theme="1"/>
        <rFont val="Calibri"/>
        <family val="2"/>
        <scheme val="minor"/>
      </rPr>
      <t xml:space="preserve"> : Workspace : l'instance  g5.xlarge.win est facturée à la granularité de l'heure. L' OS et la license Nvidia Grid  sont inclus dans le prix.</t>
    </r>
  </si>
  <si>
    <t>ECS : add note for the RI 3 year without upfront in the hidden pricelist "these prices are available for managed application only"</t>
  </si>
  <si>
    <t xml:space="preserve">ECS - Orange Business Services Compute LINUX FREE </t>
  </si>
  <si>
    <t xml:space="preserve">DeH : add RI without upfront prices in the hidden pricelist </t>
  </si>
  <si>
    <t>Dedicated Host (DeH) - s3 server</t>
  </si>
  <si>
    <t xml:space="preserve">Dedicated Cloud (DeC) - s1 server </t>
  </si>
  <si>
    <t>44 HyperThread</t>
  </si>
  <si>
    <t>Provisionning</t>
  </si>
  <si>
    <t>Libre-service sur la console. La configuration initiale débute avec 1 node.</t>
  </si>
  <si>
    <t>Service à la demande via le centre d'assistance. La configuration initiale débute avec 4 nœuds.</t>
  </si>
  <si>
    <t>add OS prices for Dedicated Hypervisors (DeH &amp; DeC)</t>
  </si>
  <si>
    <t>Effective Monthly</t>
  </si>
  <si>
    <t xml:space="preserve">€/mois 
base mensuelle </t>
  </si>
  <si>
    <t>Paiement de l'upfront</t>
  </si>
  <si>
    <t>Base mensuelle</t>
  </si>
  <si>
    <t>Frais mensuel effectif</t>
  </si>
  <si>
    <t>Instance réservée 1 an - frais initiaux</t>
  </si>
  <si>
    <t>Instance réservée 1 an - sans frais initiaux</t>
  </si>
  <si>
    <t>ECS flavors</t>
  </si>
  <si>
    <t>s3.large.2</t>
  </si>
  <si>
    <t>s3.xlarge.2</t>
  </si>
  <si>
    <t>s3.2xlarge.2</t>
  </si>
  <si>
    <t>s3.4xlarge.2</t>
  </si>
  <si>
    <t>s3.medium.4</t>
  </si>
  <si>
    <t>s3.large.4</t>
  </si>
  <si>
    <t>s3.xlarge.4</t>
  </si>
  <si>
    <t>s3.2xlarge.4</t>
  </si>
  <si>
    <t>s3.4xlarge.4</t>
  </si>
  <si>
    <t>OS prices for Dedicated Hypervisors (DeH &amp; DeC)</t>
  </si>
  <si>
    <t>Nombre maximun d'ECS par serveur</t>
  </si>
  <si>
    <r>
      <t xml:space="preserve">Pour chaque </t>
    </r>
    <r>
      <rPr>
        <b/>
        <sz val="11"/>
        <color theme="1"/>
        <rFont val="Calibri"/>
        <family val="2"/>
        <scheme val="minor"/>
      </rPr>
      <t>serveur DeH</t>
    </r>
    <r>
      <rPr>
        <sz val="11"/>
        <color theme="1"/>
        <rFont val="Calibri"/>
        <family val="2"/>
        <scheme val="minor"/>
      </rPr>
      <t>, l'utilisateur peut créer les instances ECS ci-dessous jusqu'à un maximun de 144 vCPU (capacité totale du serveur)</t>
    </r>
  </si>
  <si>
    <r>
      <t>Pour</t>
    </r>
    <r>
      <rPr>
        <b/>
        <sz val="11"/>
        <color theme="1"/>
        <rFont val="Calibri"/>
        <family val="2"/>
        <scheme val="minor"/>
      </rPr>
      <t xml:space="preserve"> DeC</t>
    </r>
    <r>
      <rPr>
        <sz val="11"/>
        <color theme="1"/>
        <rFont val="Calibri"/>
        <family val="2"/>
        <scheme val="minor"/>
      </rPr>
      <t>, l'utilisateur peur configurer des serveurs ECS. Les flavors sont limitées aux séries s1, c1, c2 et m1.</t>
    </r>
  </si>
  <si>
    <r>
      <rPr>
        <b/>
        <sz val="11"/>
        <color theme="1"/>
        <rFont val="Calibri"/>
        <family val="2"/>
        <scheme val="minor"/>
      </rPr>
      <t>Note 40</t>
    </r>
    <r>
      <rPr>
        <sz val="11"/>
        <color theme="1"/>
        <rFont val="Calibri"/>
        <family val="2"/>
        <scheme val="minor"/>
      </rPr>
      <t xml:space="preserve"> : Pour ce service,  il faut ajouter un minimum de 4 instances.</t>
    </r>
  </si>
  <si>
    <t>DeC : add note "For this service, there is a minimum of 4 servers to add." in the pricelist</t>
  </si>
  <si>
    <t>Instance réservée 2 ans - frais initiaux</t>
  </si>
  <si>
    <t>Instance réservée 3 ans - frais initiaux</t>
  </si>
  <si>
    <t>Instance réservée 2 ans - sans frais initiaux</t>
  </si>
  <si>
    <t>Instance réservée 3 ans - sans frais initiaux</t>
  </si>
  <si>
    <r>
      <rPr>
        <b/>
        <sz val="11"/>
        <color theme="1"/>
        <rFont val="Calibri"/>
        <family val="2"/>
        <scheme val="minor"/>
      </rPr>
      <t>Note 42</t>
    </r>
    <r>
      <rPr>
        <sz val="11"/>
        <color theme="1"/>
        <rFont val="Calibri"/>
        <family val="2"/>
        <scheme val="minor"/>
      </rPr>
      <t xml:space="preserve"> : les prix des instances réservées 2 ans et 3 ans sans frais initiaux sont disponibles seulement pour les tenants managés.</t>
    </r>
  </si>
  <si>
    <t>Upfront payment</t>
  </si>
  <si>
    <t>Monthly fee</t>
  </si>
  <si>
    <t>1-Year RI 
Without Upfront</t>
  </si>
  <si>
    <t>3-Year RI With Upfront</t>
  </si>
  <si>
    <t>Dedicated Hypervisors (DeH &amp; DeC) [32][33][6][45][42]</t>
  </si>
  <si>
    <t>DeH : add PAYG RI  prices in the pricelist</t>
  </si>
  <si>
    <t>Licence Windows : add d2 prices</t>
  </si>
  <si>
    <t>Prix par mois</t>
  </si>
  <si>
    <t>2 à confirmer</t>
  </si>
  <si>
    <t>Prix du support (en %)</t>
  </si>
  <si>
    <t>Minimum</t>
  </si>
  <si>
    <t>CA min</t>
  </si>
  <si>
    <t>CA max</t>
  </si>
  <si>
    <t>Pour business</t>
  </si>
  <si>
    <t>Montant à payer support</t>
  </si>
  <si>
    <t>EVS prices for Document Database Service</t>
  </si>
  <si>
    <t>Cluster mode</t>
  </si>
  <si>
    <t>€/Go/heure</t>
  </si>
  <si>
    <t>Replica mode</t>
  </si>
  <si>
    <t>Config mode</t>
  </si>
  <si>
    <t>Jusqu'à 20 Go</t>
  </si>
  <si>
    <t>Au-delà de 20Go</t>
  </si>
  <si>
    <t>September ED1</t>
  </si>
  <si>
    <t>Document Database Service (ECS excluded)</t>
  </si>
  <si>
    <t>RDS : modify prices</t>
  </si>
  <si>
    <t>ECS : add the RI 3 years without upfront pricing in the hidden pricelist and in the quotation tool with the mention "For Managed Apps only"</t>
  </si>
  <si>
    <t>Instance réservée 3 ans sans frais initiaux  [41]€     / mois</t>
  </si>
  <si>
    <t>OBS for Document Database Service</t>
  </si>
  <si>
    <t>3 ans sans frais initiaux (Tenant managés uniquement)</t>
  </si>
  <si>
    <t>3 years without upfront (Managed Application only)</t>
  </si>
  <si>
    <t>October ED1</t>
  </si>
  <si>
    <t>MS SQL SERVER : add WINDOWS Server OS image 2016</t>
  </si>
  <si>
    <t>MS SQL SERVER : add WINDOWS Server OS image 2017</t>
  </si>
  <si>
    <t>MS SQL SERVER : add WINDOWS Server OS image 2018</t>
  </si>
  <si>
    <t>MS SQL SERVER : add SQL Server Standard &amp; Enterprise prices</t>
  </si>
  <si>
    <t>Licence WINDOWS Server OS image 2008, 2012, 2016  (compute exclus) [17]</t>
  </si>
  <si>
    <t xml:space="preserve">CCE - Cloud Container Engine </t>
  </si>
  <si>
    <t>Mark up pour flavors c6 (ci-dessous)</t>
  </si>
  <si>
    <t>Mark up pour flavors m6 (ci-dessous)</t>
  </si>
  <si>
    <t>November ED1</t>
  </si>
  <si>
    <t>ECS : Change the naming of the column F to "Data disk"</t>
  </si>
  <si>
    <t>ECS : add the wording "local SAS" or "local SSD" for some flavors</t>
  </si>
  <si>
    <t>Disque Data</t>
  </si>
  <si>
    <t>24*1.8T (local SAS)</t>
  </si>
  <si>
    <t>1*800Go (local SSD)</t>
  </si>
  <si>
    <t>2*800Go (local SSD)</t>
  </si>
  <si>
    <t xml:space="preserve">Disque Data </t>
  </si>
  <si>
    <t>4*800Go (localSSD)</t>
  </si>
  <si>
    <t>ECS : modify the naming on the flavors with data disk</t>
  </si>
  <si>
    <t>DDS : modify the pricing of the EVS for this service</t>
  </si>
  <si>
    <t>ECS : add c6 flavors on FE pricelist with mention "in roadmap, controlled Availability"</t>
  </si>
  <si>
    <t>ECS : add c6 flavors on AMCOR pricelist with mention "in roadmap, controlled Availability"</t>
  </si>
  <si>
    <t>Windows Licences : add c6 flavors with mention "in roadmap, controlled Availability"</t>
  </si>
  <si>
    <t>ECS : add m6 flavors on FE pricelist with mention "in roadmap, controlled Availability"</t>
  </si>
  <si>
    <t>ECS : add m6 flavors on AMCOR pricelist with mention "in roadmap, controlled Availability"</t>
  </si>
  <si>
    <t>Windows Licences : add m6 flavors with mention "in roadmap, controlled Availability"</t>
  </si>
  <si>
    <t>BMS : add s4 flavors with mention "in roadmap"</t>
  </si>
  <si>
    <t>ECS : add the mention "in roadmap" for the c3 flavors</t>
  </si>
  <si>
    <t>Workspace : change the naming of s3 flavors</t>
  </si>
  <si>
    <t>RDS Ms SQL Enterprise : displayed in the public pricelist</t>
  </si>
  <si>
    <r>
      <rPr>
        <b/>
        <sz val="11"/>
        <color theme="1"/>
        <rFont val="Calibri"/>
        <family val="2"/>
        <scheme val="minor"/>
      </rPr>
      <t xml:space="preserve">Note 41 </t>
    </r>
    <r>
      <rPr>
        <sz val="11"/>
        <color theme="1"/>
        <rFont val="Calibri"/>
        <family val="2"/>
        <scheme val="minor"/>
      </rPr>
      <t>: les prix des instances réservées 3 ans et 5ans sans upfront sont uniquement disponibles pour les tenants managés.</t>
    </r>
  </si>
  <si>
    <t>Instance réservée 5 ans sans frais initiaux  [41]€     / mois</t>
  </si>
  <si>
    <t>ECS : add the reserved instance 5 years without upfront pricing in the hidden pricelist</t>
  </si>
  <si>
    <t>ECS : add the reserved instance 5 years without upfront pricing in the quotetool with mention "Managed Application only"</t>
  </si>
  <si>
    <t>ECS : add the reserved instance 5 years without upfront pricing in the hidden pricelist (except c6,m6 and h1 flavors)</t>
  </si>
  <si>
    <t>5 ans sans frais initiaux (Tenant managés uniquement)</t>
  </si>
  <si>
    <t>5 years without upfront (Managed Application only)</t>
  </si>
  <si>
    <t>ECS : add the flavors i3</t>
  </si>
  <si>
    <t>Fichiers</t>
  </si>
  <si>
    <t>VMs</t>
  </si>
  <si>
    <t>1 semaine</t>
  </si>
  <si>
    <t>2 semaines</t>
  </si>
  <si>
    <t>3 mois</t>
  </si>
  <si>
    <t>6 mois</t>
  </si>
  <si>
    <t>1 an</t>
  </si>
  <si>
    <t>1Go</t>
  </si>
  <si>
    <t>Daily Change</t>
  </si>
  <si>
    <t>Bases de données</t>
  </si>
  <si>
    <t>Données sauvegardées (Mo)</t>
  </si>
  <si>
    <t>Files</t>
  </si>
  <si>
    <t>Database</t>
  </si>
  <si>
    <t>1 week</t>
  </si>
  <si>
    <t>2 weeks</t>
  </si>
  <si>
    <t>3 months</t>
  </si>
  <si>
    <t>6 months</t>
  </si>
  <si>
    <t>1 year</t>
  </si>
  <si>
    <t>FAB - File and Applicative Backup</t>
  </si>
  <si>
    <t>4 semaines</t>
  </si>
  <si>
    <t>4 weeks</t>
  </si>
  <si>
    <t>ECS : modify the pricing of the t2 flavors</t>
  </si>
  <si>
    <t>ECS : add s3 flavors</t>
  </si>
  <si>
    <t>3 ans</t>
  </si>
  <si>
    <t>December ED1</t>
  </si>
  <si>
    <t>Suse Basic prices : add m6 flavors with mention "in roadmap, controlled Availability"</t>
  </si>
  <si>
    <t>RedHat prices : add m6 flavors with mention "in roadmap, controlled Availability"</t>
  </si>
  <si>
    <t>Suse Basic prices : add c6 flavors with mention "in roadmap, controlled Availability"</t>
  </si>
  <si>
    <t>RedHat prices : add c6 flavors with mention "in roadmap, controlled Availability"</t>
  </si>
  <si>
    <t xml:space="preserve">Suse Basic prices : modify h flavors </t>
  </si>
  <si>
    <t>EVS : add high I/O type</t>
  </si>
  <si>
    <t>Windows prices : add new s3 flavors</t>
  </si>
  <si>
    <t>Suse Basic prices : add new s3 flavors</t>
  </si>
  <si>
    <t>RedHat : add new s3 flavors</t>
  </si>
  <si>
    <t>EVS - Stockage Bloc High I/O</t>
  </si>
  <si>
    <t xml:space="preserve">GB </t>
  </si>
  <si>
    <t>Traffic for cross-region replication</t>
  </si>
  <si>
    <t>OBS - Source and Destination storage (Paris and Amsterdam)</t>
  </si>
  <si>
    <t>Refer to OBS part</t>
  </si>
  <si>
    <t>OBS - Cross Region Replication</t>
  </si>
  <si>
    <t>OBS : add Cross Region Replication</t>
  </si>
  <si>
    <t>SUPPORT : add platinium support for CBG (Solution backup en attendant le lancement du support par palier)</t>
  </si>
  <si>
    <t>% Standard</t>
  </si>
  <si>
    <t>% Warm</t>
  </si>
  <si>
    <t>Suse for SAP prices : add c6 flavors with mention "in roadmap, controlled Availability" NOK côté BSS</t>
  </si>
  <si>
    <t>Suse for SAP prices : add m6 flavors with mention "in roadmap, controlled Availability" NOK côté BSS</t>
  </si>
  <si>
    <t>Suse for SAP : add new s3 flavors NOK côté BSS</t>
  </si>
  <si>
    <t>Paris - Physical.c6.6xlarge.cbg (Controlled Availability for "S" project only)</t>
  </si>
  <si>
    <t>Paris - Physical.c6ne.6xlarge.cbg (Controlled Availability for "S" project only)</t>
  </si>
  <si>
    <t>EVS + 2x 800GB SAS + 1,6 TB SSD NVMe</t>
  </si>
  <si>
    <t>price /month</t>
  </si>
  <si>
    <t xml:space="preserve">Monthly PAYG  </t>
  </si>
  <si>
    <t xml:space="preserve">1-YearRI With Upfront
</t>
  </si>
  <si>
    <t>3-Year RI 
Without Upfront</t>
  </si>
  <si>
    <t>GPU card</t>
  </si>
  <si>
    <t xml:space="preserve"> 8* NVIDIA T4 </t>
  </si>
  <si>
    <t xml:space="preserve"> 1*SDI2.2
(1*1822 + 2*10GE) </t>
  </si>
  <si>
    <t xml:space="preserve">  2*1822 
(4*25GE) </t>
  </si>
  <si>
    <t>EVS + 1*960 GB SAS SSD + 2*3.2 TB NVMe SSD</t>
  </si>
  <si>
    <t>EVS + 1*960 GB SAS SSD + 11*10 TB SATA HDD</t>
  </si>
  <si>
    <t>EVS + 2*1.2 TB SAS HDD + 4*1.6 TB NVMe SSD</t>
  </si>
  <si>
    <t xml:space="preserve">768 GB </t>
  </si>
  <si>
    <t xml:space="preserve">320 GB </t>
  </si>
  <si>
    <t xml:space="preserve"> 2*1822, 2*10 GE </t>
  </si>
  <si>
    <t>2*Cascade lake Gold 6266 (22 cores, 3.0 GHz)</t>
  </si>
  <si>
    <t>2*Cascade lake Gold 6278 (26 cores, 2.7 GHz)</t>
  </si>
  <si>
    <t>2* Skylake Gold 6151 (18 cores, 3.5GHz)</t>
  </si>
  <si>
    <t>2 x Intel Xeon Gold 5120 (2.2GHz, 14 cores)</t>
  </si>
  <si>
    <t>2 x Intel Xeon Gold 6161 (2.2GHz, 22 cores)</t>
  </si>
  <si>
    <t>2 x Intel Xeon E5-2667 v4 (3.2GHz, 8 cores)</t>
  </si>
  <si>
    <t>BMS : new flavors for CBG (comme que pour CBG, les notes n'ont pas été ajoutées)</t>
  </si>
  <si>
    <t>For highly business critical and large infrastructure, the Premium Plus level offers highly reactive support with very rapid response time and short resolution time. The SLA covers all infrastructure with high uptime commitment and penalties in case of downtime.</t>
  </si>
  <si>
    <t>EVS - Ultra-High I/IO - Latency optimized - roadmap</t>
  </si>
  <si>
    <t>EVS - Common I/O</t>
  </si>
  <si>
    <t>EVS - High I/O</t>
  </si>
  <si>
    <t>EVS - Ultra High I/O</t>
  </si>
  <si>
    <t>VBS - Snapshot sur Common I/O</t>
  </si>
  <si>
    <t>VBS - Snapshot sur Ultra-High I/O</t>
  </si>
  <si>
    <t>VBS - Snapshot sur High I/O</t>
  </si>
  <si>
    <t xml:space="preserve">VBS - Snapshot on Common I/O </t>
  </si>
  <si>
    <t xml:space="preserve">VBS - Snapshot on High I/O </t>
  </si>
  <si>
    <t xml:space="preserve">VBS - Snapshot on Ultra-High I/O </t>
  </si>
  <si>
    <t>Bare Metal à l'usage</t>
  </si>
  <si>
    <t>BMS - Instances Réservées</t>
  </si>
  <si>
    <t>Bare Metal - On-demand</t>
  </si>
  <si>
    <t>BMS - Reserved Instances</t>
  </si>
  <si>
    <t>Dedicated Host à l'usage</t>
  </si>
  <si>
    <t>Dedicated Cloud - Instances Réservées</t>
  </si>
  <si>
    <t>Dedicated Host - Instances Réservées</t>
  </si>
  <si>
    <t>Dedicated Host - On-demand</t>
  </si>
  <si>
    <t>Dedicated Cloud - Reserved Instances</t>
  </si>
  <si>
    <t>Dedicated Host - Reserved Instances</t>
  </si>
  <si>
    <t>Cloud dédié à l'usage</t>
  </si>
  <si>
    <t>Cloud dédié réservés</t>
  </si>
  <si>
    <t>Cloud Dédié à l'usage</t>
  </si>
  <si>
    <t>Cloud Dédié réservé</t>
  </si>
  <si>
    <t>On-demand Dedicated Cloud</t>
  </si>
  <si>
    <t>Reserved Dedicated Cloud</t>
  </si>
  <si>
    <t>Bare Metal réservé</t>
  </si>
  <si>
    <t>On-demand Bare Metal</t>
  </si>
  <si>
    <t>Reserved Bare Metal</t>
  </si>
  <si>
    <t>Percentage of the monthly usage (before discount, excluding setup fees) according to below volumes: 
4,5% for the first €0 to €1M
2% from  €1M to €2M
1,2% over €2M
With a minimum fee of 45,000€/month
The price includes a Service Delivery Management service (SDM).</t>
  </si>
  <si>
    <t>Platinium (Controlled Availability for "S" project only)</t>
  </si>
  <si>
    <t>Janvier ED1</t>
  </si>
  <si>
    <t>Storage : remove promotion and the note in the quotation tool</t>
  </si>
  <si>
    <t>Storage : add promotion (until Dec 31st, 2019) and add note on the quotation tool Europe</t>
  </si>
  <si>
    <t>ECS : m1.4xlarge.8 and s1.8xlarge repricing</t>
  </si>
  <si>
    <t>v100-2Q</t>
  </si>
  <si>
    <t>v100-8Q</t>
  </si>
  <si>
    <t>Workspace : add new flavors in Controlled Availability</t>
  </si>
  <si>
    <t>BMS : add o2 and o3 flavors (RI 3Y WU pour les tenants managés)</t>
  </si>
  <si>
    <t>Support : add the platinum level in Controlled Availability</t>
  </si>
  <si>
    <t>COMPUTE : promotion from January 1st until June 30th 2020 (modification on the PAYG s3 pricing)</t>
  </si>
  <si>
    <t>ECS : add new tiny flavors in GA : t2.large.2, t2.xlarge.2 and t2.2xlarge.2 (CA for the RI 3 years WU)</t>
  </si>
  <si>
    <t>2OK</t>
  </si>
  <si>
    <t>Instance réservée flexible facturée à la granularité du mois</t>
  </si>
  <si>
    <t>Instance réservée flexible 1 an sans frais initiaux
€ / mois</t>
  </si>
  <si>
    <r>
      <t xml:space="preserve">Instance réservée flexible 1 an  </t>
    </r>
    <r>
      <rPr>
        <b/>
        <sz val="11"/>
        <color theme="1"/>
        <rFont val="Calibri"/>
        <family val="2"/>
        <scheme val="minor"/>
      </rPr>
      <t>frais initiaux</t>
    </r>
  </si>
  <si>
    <t>Instance réservée flexible 1 an avec frais initiaux
€ / mois</t>
  </si>
  <si>
    <t>Equivalent par mois Instance réservée flexible 1 an avec frais initiaux
€ / mois [2]</t>
  </si>
  <si>
    <r>
      <t xml:space="preserve">Instance réservée flexible 2 ans  </t>
    </r>
    <r>
      <rPr>
        <b/>
        <sz val="11"/>
        <color theme="1"/>
        <rFont val="Calibri"/>
        <family val="2"/>
        <scheme val="minor"/>
      </rPr>
      <t>frais initiaux</t>
    </r>
  </si>
  <si>
    <t>Instance réservée flexible 2 ans avec frais initiaux
€ / mois</t>
  </si>
  <si>
    <t>Equivalent par mois Instance réservée flexible 2 ans avec frais initiaux
€ / mois  [2]</t>
  </si>
  <si>
    <r>
      <t xml:space="preserve">Instance réservée flexible 3 ans </t>
    </r>
    <r>
      <rPr>
        <b/>
        <sz val="11"/>
        <color theme="1"/>
        <rFont val="Calibri"/>
        <family val="2"/>
        <scheme val="minor"/>
      </rPr>
      <t xml:space="preserve"> frais initiaux</t>
    </r>
  </si>
  <si>
    <t>Instance réservée flexible 3 ans avec frais initiaux
€ / mois</t>
  </si>
  <si>
    <t>Equivalent par mois Instance réservée flexible 3 ans avec frais initiaux
€ / mois  [2]</t>
  </si>
  <si>
    <t>Instance réservée flexible 3 ans sans frais initiaux
€ / mois  [2] (pour les tenants managés uniquement)</t>
  </si>
  <si>
    <t>ECS - Machines Virtuelles réservées flexibles</t>
  </si>
  <si>
    <t>ECS - Flexible Reserved Virtual machines</t>
  </si>
  <si>
    <t>Instances réservées flexibles</t>
  </si>
  <si>
    <t>Machines Virtuelles réservées flexibles</t>
  </si>
  <si>
    <t>Machine Virtuelle réservée flexible</t>
  </si>
  <si>
    <t>Flexible Reserved instances</t>
  </si>
  <si>
    <t>Flexible Reserved virtual machines</t>
  </si>
  <si>
    <t>EVS - Stockage Volume Bloc</t>
  </si>
  <si>
    <t>OBS - HTTP Request vers le stockage Objet (Put/Get)</t>
  </si>
  <si>
    <t>OBS - Stockage Objet</t>
  </si>
  <si>
    <t xml:space="preserve">OBS - Object Storage </t>
  </si>
  <si>
    <t>Février ED1</t>
  </si>
  <si>
    <t>MRS : delete flavors</t>
  </si>
  <si>
    <t>MRS : add flavors</t>
  </si>
  <si>
    <t>MRS : modify prices for some flavors</t>
  </si>
  <si>
    <t>cache.m1.small</t>
  </si>
  <si>
    <t>cache.m1.2xlarge</t>
  </si>
  <si>
    <t>Harmonization of prices : OBS : Renaming Object Storage Service - Mono DC =&gt; Standard Mono AZ Storage</t>
  </si>
  <si>
    <t>Harmonization of prices : OBS WARM &amp; COLD : Deletion of bearings on EVS</t>
  </si>
  <si>
    <t>EVS - Common I/O (volumes) [8]</t>
  </si>
  <si>
    <t>EVS - Ultra-high I/O (volumes) [8]</t>
  </si>
  <si>
    <t>EVS - High I/O [8]</t>
  </si>
  <si>
    <t xml:space="preserve">EVS - Ultra-high I/O   </t>
  </si>
  <si>
    <t>EVS - Ultra-High I/IO - Latency optimized for BMS only- roadmap</t>
  </si>
  <si>
    <t>OBS - Standard Mono AZ Storage</t>
  </si>
  <si>
    <t>au-delà de 5GB</t>
  </si>
  <si>
    <t>Harmonization of prices : OBS Requests and Lifecycle renaming : Demande Put copy post list =&gt; Standard Demand Put copy post list &amp; Demande Get copy post list =&gt; Standard Demand Get copy post list</t>
  </si>
  <si>
    <t>Standard Demand Put copy post list</t>
  </si>
  <si>
    <t>Standard Demand Get copy post list</t>
  </si>
  <si>
    <r>
      <t xml:space="preserve">Harmonization of prices : EVS  </t>
    </r>
    <r>
      <rPr>
        <b/>
        <sz val="11"/>
        <color rgb="FFFF0000"/>
        <rFont val="Calibri"/>
        <family val="2"/>
        <scheme val="minor"/>
      </rPr>
      <t xml:space="preserve">Be careful to apply these modifications to all EVS-related services (DDS, Workspace, RDS...) </t>
    </r>
    <r>
      <rPr>
        <sz val="11"/>
        <color theme="1"/>
        <rFont val="Calibri"/>
        <family val="2"/>
        <scheme val="minor"/>
      </rPr>
      <t>: Renaming Stockage Bloc Standard =&gt; Common I/O and Stockage Bloc Performant =&gt; Ultra-high I/O</t>
    </r>
  </si>
  <si>
    <r>
      <t xml:space="preserve">Harmonization of prices : EVS </t>
    </r>
    <r>
      <rPr>
        <b/>
        <sz val="11"/>
        <color rgb="FFFF0000"/>
        <rFont val="Calibri"/>
        <family val="2"/>
        <scheme val="minor"/>
      </rPr>
      <t>Be careful to apply these modifications to all EVS-related services (DDS, Workspace, RDS...)</t>
    </r>
    <r>
      <rPr>
        <sz val="11"/>
        <color theme="1"/>
        <rFont val="Calibri"/>
        <family val="2"/>
        <scheme val="minor"/>
      </rPr>
      <t xml:space="preserve"> Common I/O : Deletion of bearings on EVS</t>
    </r>
  </si>
  <si>
    <t>Harmonization of prices : ELB : deletion of the versions in the invoice</t>
  </si>
  <si>
    <t xml:space="preserve">Harmonization of prices : Public adresses IP : renaming in the invoice : Public IP Addresses =&gt; Elastic IP </t>
  </si>
  <si>
    <t>Harmonization of prices : EIP : deletion of bearings</t>
  </si>
  <si>
    <t>By reserved floating IP</t>
  </si>
  <si>
    <t>BMS for CBG : add flavors</t>
  </si>
  <si>
    <t>Coût sur une période de 1 an</t>
  </si>
  <si>
    <t>Coût sur une période de 2 ans</t>
  </si>
  <si>
    <t>Coût sur une période de 3 ans</t>
  </si>
  <si>
    <t>Coût sur une période de 5 ans</t>
  </si>
  <si>
    <t>Cost over 1 year</t>
  </si>
  <si>
    <t>Cost over 2 years</t>
  </si>
  <si>
    <t>Cost over 3 years</t>
  </si>
  <si>
    <t>Cost over 5 years</t>
  </si>
  <si>
    <t>1OK</t>
  </si>
  <si>
    <t>DCS : new Proxy Cluster nodes type</t>
  </si>
  <si>
    <t>depends on the instances within the cluster</t>
  </si>
  <si>
    <t>Single-node</t>
  </si>
  <si>
    <t>Master/Standby</t>
  </si>
  <si>
    <t>Proxy Cluster</t>
  </si>
  <si>
    <t>Mars ED1</t>
  </si>
  <si>
    <t>DCS - Distributed Cache Service for Redis 3.0</t>
  </si>
  <si>
    <t>DCS - Distributed Cache Service for Redis 4.0 &amp; 5.0</t>
  </si>
  <si>
    <t>DCS - Distributed Cache Service for Memcached</t>
  </si>
  <si>
    <t>The flavors list name has changed for Redis 4/5 single, master/standby &amp; cluster modes</t>
  </si>
  <si>
    <t>redis.single.xu1.large.2</t>
  </si>
  <si>
    <t>redis.single.xu1.large.4</t>
  </si>
  <si>
    <t>redis.single.xu1.large.8</t>
  </si>
  <si>
    <t>redis.single.xu1.large.16</t>
  </si>
  <si>
    <t>redis.single.xu1.large.32</t>
  </si>
  <si>
    <t>redis.single.xu1.large.64</t>
  </si>
  <si>
    <t>redis.ha.xu1.large.r2.2</t>
  </si>
  <si>
    <t>redis.ha.xu1.large.r2.4</t>
  </si>
  <si>
    <t>redis.ha.xu1.large.r2.8</t>
  </si>
  <si>
    <t>redis.ha.xu1.large.r2.16</t>
  </si>
  <si>
    <t>redis.ha.xu1.large.r2.32</t>
  </si>
  <si>
    <t>redis.ha.xu1.large.r2.64</t>
  </si>
  <si>
    <t>redis.cluster.xu1.large.r2.32</t>
  </si>
  <si>
    <t>redis.cluster.xu1.large.r2.64</t>
  </si>
  <si>
    <t>redis.cluster.xu1.large.r2.128</t>
  </si>
  <si>
    <t>redis.cluster.xu1.large.r2.256</t>
  </si>
  <si>
    <t>redis.cluster.xu1.large.r2.512</t>
  </si>
  <si>
    <t>redis.cluster.xu1.large.r2.1024</t>
  </si>
  <si>
    <t>redis.cluster.xu1.large.r1.32</t>
  </si>
  <si>
    <t>redis.cluster.xu1.large.r1.64</t>
  </si>
  <si>
    <t>redis.cluster.xu1.large.r1.128</t>
  </si>
  <si>
    <t>redis.cluster.xu1.large.r1.256</t>
  </si>
  <si>
    <t>redis.cluster.xu1.large.r1.512</t>
  </si>
  <si>
    <t>redis.cluster.xu1.large.r1.1024</t>
  </si>
  <si>
    <t>For Master/Standby, the price has been multiplied by 2</t>
  </si>
  <si>
    <t>Avril ED1</t>
  </si>
  <si>
    <t>ECS : add two new g5 flavors</t>
  </si>
  <si>
    <t>ECS : add a promotion on 5 s3 flavors -(45% on PAYG pricing)</t>
  </si>
  <si>
    <t>DCS : renaming of flavor types and add new type</t>
  </si>
  <si>
    <t>ECS : add I03 flavors</t>
  </si>
  <si>
    <t xml:space="preserve">ECS : add new FRI prices </t>
  </si>
  <si>
    <t>ECS : modify cc3 and c3 RI prices</t>
  </si>
  <si>
    <t>Attention le client ne voit pas Mongos, Shard … donc ne pas afficher dans le deviseur</t>
  </si>
  <si>
    <t>Possible de prendre des ressources DDS sur la console et monter un point avec Richard ce qui est facturé etc.</t>
  </si>
  <si>
    <t xml:space="preserve">DDS - Cluster mode </t>
  </si>
  <si>
    <t>DDS - Cluster mode</t>
  </si>
  <si>
    <t>June ED1</t>
  </si>
  <si>
    <t xml:space="preserve">ECS : add new flavors: s1.medium &amp; s1.4xlarge </t>
  </si>
  <si>
    <t xml:space="preserve">RDS My SQL : add new flavors: s1.medium &amp; s1.4xlarge </t>
  </si>
  <si>
    <t>BMS : modify s4.3xlarge PAYG pricing</t>
  </si>
  <si>
    <t>BMS : add s4.3xlarge RI pricing</t>
  </si>
  <si>
    <t>CSS : add this new service</t>
  </si>
  <si>
    <t>Cloud Search Service</t>
  </si>
  <si>
    <t>Stockage minimal</t>
  </si>
  <si>
    <t>Stockage maximal</t>
  </si>
  <si>
    <t xml:space="preserve">€/Heure 
</t>
  </si>
  <si>
    <t>c6.xlarge.2</t>
  </si>
  <si>
    <t>c6.2xlarge.2</t>
  </si>
  <si>
    <t>c6.4xlarge.2</t>
  </si>
  <si>
    <t>c6.8xlarge.2</t>
  </si>
  <si>
    <t>m6.large.8</t>
  </si>
  <si>
    <t>m6.xlarge.8</t>
  </si>
  <si>
    <t>m6.2xlarge.8</t>
  </si>
  <si>
    <t>m6.4xlarge.8</t>
  </si>
  <si>
    <t>m6.8xlarge.8</t>
  </si>
  <si>
    <t>d3.xlarge.8</t>
  </si>
  <si>
    <t>d3.2xlarge.8</t>
  </si>
  <si>
    <t>d3.4xlarge.8</t>
  </si>
  <si>
    <t>d3.8xlarge.8</t>
  </si>
  <si>
    <t>Instance réservée 2 ans sans frais initiaux
€ / mois</t>
  </si>
  <si>
    <t>Flexible Elastic Cloud Server -  Compute [5]</t>
  </si>
  <si>
    <t>CSS - Cloud Search Service à l'usage</t>
  </si>
  <si>
    <t>CSS - Cloud Search Service réservées</t>
  </si>
  <si>
    <t>2 ans sans frais initiaux (Tenant managés uniquement)</t>
  </si>
  <si>
    <t>Autres fonctionnalités à l'usage</t>
  </si>
  <si>
    <t>Autres fonctionnalités réservées</t>
  </si>
  <si>
    <t>CSS - On Demand Cloud Search Service</t>
  </si>
  <si>
    <t>2 years without upfront (Managed Application only)</t>
  </si>
  <si>
    <t>On-demand Other features</t>
  </si>
  <si>
    <t>Reserved Other features</t>
  </si>
  <si>
    <t>DCS : add Redis 4.0/5.0</t>
  </si>
  <si>
    <t>July  ED1</t>
  </si>
  <si>
    <t>Add API Gateway</t>
  </si>
  <si>
    <t>ECS : modify m1.4xlarge PAYG and RI pricing</t>
  </si>
  <si>
    <r>
      <t xml:space="preserve">Remplissez les cases </t>
    </r>
    <r>
      <rPr>
        <b/>
        <sz val="11"/>
        <color theme="8"/>
        <rFont val="Helvetica 55 Roman"/>
        <family val="2"/>
      </rPr>
      <t>bleues</t>
    </r>
    <r>
      <rPr>
        <sz val="11"/>
        <color theme="1"/>
        <rFont val="Helvetica 55 Roman"/>
        <family val="2"/>
      </rPr>
      <t xml:space="preserve"> pour obtenir votre estimation de prix</t>
    </r>
  </si>
  <si>
    <t>Outil d'estimation tarifaire pour les datacenters Paris et Amsterdam</t>
  </si>
  <si>
    <t xml:space="preserve">CSS - Reserved Cloud Search Service </t>
  </si>
  <si>
    <t>Start with the quotation tool</t>
  </si>
  <si>
    <t>Understand the cloud features</t>
  </si>
  <si>
    <t>Connaître les prix des services</t>
  </si>
  <si>
    <t>Know the prices of services</t>
  </si>
  <si>
    <t>Comprendre la facturation des services</t>
  </si>
  <si>
    <t>Understand the services billing</t>
  </si>
  <si>
    <t>Configurez et estimez les coûts de votre projet de Cloud public</t>
  </si>
  <si>
    <t>Calculateur de prix</t>
  </si>
  <si>
    <t>1/ Prenez connaissance des documents :</t>
  </si>
  <si>
    <t>Comprendre les fonctionnalités cloud</t>
  </si>
  <si>
    <t>Débuter avec l'outil d'estimation tarifaire</t>
  </si>
  <si>
    <t>2/ Commencez votre estimation en sélectionnant la région d'hébergement du datacenter :</t>
  </si>
  <si>
    <t>1/ Take a look at the documents:</t>
  </si>
  <si>
    <t>2/ Start your estimation by selecting the region of hosting:</t>
  </si>
  <si>
    <t>Pour plus d'informations sur Flexible Engine :</t>
  </si>
  <si>
    <t>For more information on Flexible Engine:</t>
  </si>
  <si>
    <t>Centre d'aide</t>
  </si>
  <si>
    <t>Webinaires hebdomadaires</t>
  </si>
  <si>
    <t>Site web</t>
  </si>
  <si>
    <t>(Version anglaise plus bas)</t>
  </si>
  <si>
    <t>NB : Les prix à Atlanta et à Paris sont similaires mais la liste des fonctionnalités disponibles n'est pas la même</t>
  </si>
  <si>
    <t>COMPUTE : Extend for 1 month the promotion (from January 1st until June 30th 2020)</t>
  </si>
  <si>
    <t>Add SFS Turbo</t>
  </si>
  <si>
    <t>ECS : add new d3 flavors</t>
  </si>
  <si>
    <t>SFS - TURBO Standard</t>
  </si>
  <si>
    <t>SFS - TURBO Performance</t>
  </si>
  <si>
    <t>28*1.8T (local SAS)</t>
  </si>
  <si>
    <t>API Gateway - API Calls</t>
  </si>
  <si>
    <t>Number of API calls (per million)</t>
  </si>
  <si>
    <t>€</t>
  </si>
  <si>
    <t>≤ 1 million</t>
  </si>
  <si>
    <t>&gt; 1 million to ≤1 billion</t>
  </si>
  <si>
    <t>&gt; 1 billion to ≤5 billion</t>
  </si>
  <si>
    <t>&gt; 5 billion to ≤10 billion</t>
  </si>
  <si>
    <t>&gt; 10 billion</t>
  </si>
  <si>
    <t>API Gateway - Data transfer service</t>
  </si>
  <si>
    <t>Data transfer services per GB</t>
  </si>
  <si>
    <t xml:space="preserve"> Between 0 and 15 GB</t>
  </si>
  <si>
    <t xml:space="preserve"> Between 15 GB and 10 TB</t>
  </si>
  <si>
    <t xml:space="preserve"> Between 10 TB and 50 TB</t>
  </si>
  <si>
    <t xml:space="preserve"> Between 50 TB and 150 TB</t>
  </si>
  <si>
    <t xml:space="preserve"> Between 150 TB and 500 TB</t>
  </si>
  <si>
    <t>Paris - c6.xlarge.2 (4 vCPU, 8GB RAM)</t>
  </si>
  <si>
    <t>Paris - c6.2xlarge.2 (8 vCPU, 16GB RAM)</t>
  </si>
  <si>
    <t>Paris - c6.3xlarge.2 (12 vCPU, 24GB RAM)</t>
  </si>
  <si>
    <t>Paris - c6.4xlarge.2 (16 vCPU, 32GB RAM)</t>
  </si>
  <si>
    <t>Paris - c6.6xlarge.2 (24 vCPU, 48GB RAM)</t>
  </si>
  <si>
    <t>Paris - c6.8xlarge.2 (32 vCPU, 64GB RAM)</t>
  </si>
  <si>
    <t>Paris - c6.16xlarge.2 (64 vCPU, 128GB RAM)</t>
  </si>
  <si>
    <t>Paris - c6.large.4 (2 vCPU, 8GB RAM)</t>
  </si>
  <si>
    <t>Paris - c6.xlarge.4 (4 vCPU, 16GB RAM)</t>
  </si>
  <si>
    <t>Paris - c6.2xlarge.4 (8 vCPU, 32GB RAM)</t>
  </si>
  <si>
    <t>Paris - c6.3xlarge.4 (12 vCPU, 48GB RAM)</t>
  </si>
  <si>
    <t>Paris - c6.4xlarge.4 (16 vCPU, 64GB RAM)</t>
  </si>
  <si>
    <t>Paris - c6.6xlarge.4 (24 vCPU, 96GB RAM)</t>
  </si>
  <si>
    <t>Paris - c6.8xlarge.4 (32 vCPU, 128GB RAM)</t>
  </si>
  <si>
    <t>Paris - c6.16xlarge.4 (64 vCPU, 256GB RAM)</t>
  </si>
  <si>
    <t>Paris - m6.large.8 (2 vCPU, 16GB RAM)</t>
  </si>
  <si>
    <t>Paris - m6.xlarge.8 (4 vCPU, 32GB RAM)</t>
  </si>
  <si>
    <t>Paris - m6.2xlarge.8 (8 vCPU, 64GB RAM)</t>
  </si>
  <si>
    <t>Paris - m6.4xlarge.8 (16 vCPU, 128GB RAM)</t>
  </si>
  <si>
    <t>Paris - m6.8xlarge.8 (32 vCPU, 256GB RAM)</t>
  </si>
  <si>
    <t>Paris - m6.16xlarge.8 (64 vCPU, 512GB RAM)</t>
  </si>
  <si>
    <t>ECS : m6 and c6 flavors in GA</t>
  </si>
  <si>
    <t>API Gateway</t>
  </si>
  <si>
    <t>Nombre d'appels API</t>
  </si>
  <si>
    <t>Nombre de données transférées (Go)</t>
  </si>
  <si>
    <t>Number of API calls</t>
  </si>
  <si>
    <t>Number of data transferred (GB)</t>
  </si>
  <si>
    <t>DCS - Distributed Cache Service - Redis 3.0</t>
  </si>
  <si>
    <t>DCS - Distributed Cache Service -  Redis 4.0 &amp; 5.0</t>
  </si>
  <si>
    <t>DCS - Distributed Cache Service - Memcached</t>
  </si>
  <si>
    <t>CSS : add notes</t>
  </si>
  <si>
    <t>100 GBps</t>
  </si>
  <si>
    <t>Connexion Directe Premium (par mois) [26] [27]</t>
  </si>
  <si>
    <t>FRI : add in the quotation tool</t>
  </si>
  <si>
    <t xml:space="preserve">Direct Connect Premium : add in the quotation tool </t>
  </si>
  <si>
    <t>lien</t>
  </si>
  <si>
    <t>link</t>
  </si>
  <si>
    <t>Nombre</t>
  </si>
  <si>
    <t>September  ED1</t>
  </si>
  <si>
    <t>ECS : FRI ATLANTA 3 ans all flavors / cc3.8xlarge / RI 3 ans c3 &amp; cc3 / RI 5 ans c3</t>
  </si>
  <si>
    <t>GR</t>
  </si>
  <si>
    <t>ECS : RI &amp; FRI 6 mois s3</t>
  </si>
  <si>
    <t xml:space="preserve">ECS : add new p2s flavor </t>
  </si>
  <si>
    <t>ECS : Extension of the PAYG promotion</t>
  </si>
  <si>
    <t>no local disk</t>
  </si>
  <si>
    <t>Prix HT/mois - Instances Mongos</t>
  </si>
  <si>
    <t>Prix HT/mois - Instances Shard</t>
  </si>
  <si>
    <t>excl tax Price/month - Mongos Instances</t>
  </si>
  <si>
    <t>excl tax Price/month - Shard Instances</t>
  </si>
  <si>
    <t>DDS Modification de la logique</t>
  </si>
  <si>
    <t>October  ED1</t>
  </si>
  <si>
    <t>ECS : add s6 pricing</t>
  </si>
  <si>
    <t>ECS : add s6 pricing for gaming program</t>
  </si>
  <si>
    <t>ECS : Managed App catalog (3 and 5 years without upfront)</t>
  </si>
  <si>
    <t>Workspace : missing prices</t>
  </si>
  <si>
    <t>RDS : Missing My SQL, Postgre prices</t>
  </si>
  <si>
    <t>Outbound Trafic : specific pricing for TGI</t>
  </si>
  <si>
    <t>From 0 to 1 GB</t>
  </si>
  <si>
    <t>From 1 to 350 000 GB</t>
  </si>
  <si>
    <t>Above 350,000 GB</t>
  </si>
  <si>
    <t>€/GB</t>
  </si>
  <si>
    <t>GAMING PROGRAM</t>
  </si>
  <si>
    <t>Instance réservée 6 mois sans frais initiaux
€ / mois</t>
  </si>
  <si>
    <t>Instance réservée flexible 6 mois sans frais initiaux
€ / mois</t>
  </si>
  <si>
    <t>ECS Licences are missing : t2 Redhat and Win</t>
  </si>
  <si>
    <t>ECS Licences are missing : g5xlarge.2 Redhat</t>
  </si>
  <si>
    <t>NOK</t>
  </si>
  <si>
    <t xml:space="preserve">AMS </t>
  </si>
  <si>
    <t>Outbound Trafic Volume (GB) - Specific for TGI</t>
  </si>
  <si>
    <t>OBS - Demande Get Head (tranche de 10000)</t>
  </si>
  <si>
    <t>Warm Storage - Demande Get Head (tranche de 10000)</t>
  </si>
  <si>
    <t>OBS - Demand Get Head (slice of 10000)</t>
  </si>
  <si>
    <t>Warm OBS - Demand Get Head (slice of 10000)</t>
  </si>
  <si>
    <t>OS licences for ECS: add Windows prices for d3 flavors</t>
  </si>
  <si>
    <t>OS licences for ECS: add Windows prices for s6 flavors</t>
  </si>
  <si>
    <t>November  ED1</t>
  </si>
  <si>
    <t xml:space="preserve">ECS : new flavors (pi.2) </t>
  </si>
  <si>
    <t>2* Cascade lake Xeon Gold 6278
(26 cores, 2.6GHz)</t>
  </si>
  <si>
    <t xml:space="preserve"> 2*Hi1822 
(4*25GE)</t>
  </si>
  <si>
    <t>8* NVIDIA T4</t>
  </si>
  <si>
    <t>EVS + 2*480 GB SATA SSD + 4*1600GB NVMe SSD</t>
  </si>
  <si>
    <t>BMS : new flavors (pi.6) CA for S project</t>
  </si>
  <si>
    <t>BMS : modify the monthly prices for c6 et c6ne</t>
  </si>
  <si>
    <t>RDS : Missing SQL and Postgre prices</t>
  </si>
  <si>
    <t>RDS : Missing Postgre prices</t>
  </si>
  <si>
    <t>ECS : repricing of some flavors</t>
  </si>
  <si>
    <t>OS for ECS : Missing Windows prices</t>
  </si>
  <si>
    <t>OS for ECS : Missing Suse prices</t>
  </si>
  <si>
    <t>OS for ECS : Missing Redhat prices</t>
  </si>
  <si>
    <t>ECS : End of the promotion</t>
  </si>
  <si>
    <t>CCE - Cloud Container Engine</t>
  </si>
  <si>
    <t>December  ED1</t>
  </si>
  <si>
    <t>ECS : repricing of m6 and c6 flavors for RI prices</t>
  </si>
  <si>
    <t>ECS : repricing of m6 and c6 flavors for FRI prices</t>
  </si>
  <si>
    <t>OS Windows for ECS : capping 650h to be more competitive</t>
  </si>
  <si>
    <t>Add Windows OS for ECS i3</t>
  </si>
  <si>
    <t>Connexion Hébergée redondée (Galerie ou ECX) - Bande passante provisionnée</t>
  </si>
  <si>
    <t>Connexion Standard (port dédié) - Bande passante provisionnée</t>
  </si>
  <si>
    <t>Connexion Directe Premium</t>
  </si>
  <si>
    <t>Connexion Hébergée Premium  redondée (Galerie ou ECX) - Bande passante provisionnée</t>
  </si>
  <si>
    <t>Connexion Standard Premium (port dédié) - Bande passante provisionnée</t>
  </si>
  <si>
    <t>Direct Connect Legacy</t>
  </si>
  <si>
    <t>Direct Connect Premium</t>
  </si>
  <si>
    <t>Direct Connect Hosted Connexion redundant (Galerie or ECX)</t>
  </si>
  <si>
    <t>Direct Connect Standard Connexion (dedicated port)</t>
  </si>
  <si>
    <t>Direct Connect Premium Hosted Connexion redundant (Galerie or ECX)</t>
  </si>
  <si>
    <t>Direct Connect Premium Standard Connexion  (dedicated port)</t>
  </si>
  <si>
    <t>Distribute Message Service for Kafka</t>
  </si>
  <si>
    <t>100 MB/s</t>
  </si>
  <si>
    <t>300 MB/s</t>
  </si>
  <si>
    <t>600 MB/s</t>
  </si>
  <si>
    <t>1200 MB/s</t>
  </si>
  <si>
    <t>pb direct connect</t>
  </si>
  <si>
    <t>pb remise</t>
  </si>
  <si>
    <t>ajout DMS Kafka</t>
  </si>
  <si>
    <t xml:space="preserve">renaming object storage </t>
  </si>
  <si>
    <t>OBS - Demand Put Post (slice of 1000)</t>
  </si>
  <si>
    <t>OBS - Demande Put Post (tranche de 1000)</t>
  </si>
  <si>
    <t>Warm Storage - Demande Put Post (tranche de 1000)</t>
  </si>
  <si>
    <t>Warm OBS - Demand Put Post (slice of 1000)</t>
  </si>
  <si>
    <t>Cold OBS - Demand Put Post (slice of 1000)</t>
  </si>
  <si>
    <t>Cold Storage - Demande Put Post (tranche de 1000)</t>
  </si>
  <si>
    <t>OK deviseur mais pas pricelist</t>
  </si>
  <si>
    <t>400 Mbps</t>
  </si>
  <si>
    <t>DMS for Kafka</t>
  </si>
  <si>
    <t>January ED1</t>
  </si>
  <si>
    <t xml:space="preserve">RDS : support PostgreSQL enhancement </t>
  </si>
  <si>
    <t xml:space="preserve">DDS - Replica Set </t>
  </si>
  <si>
    <t>February ED1</t>
  </si>
  <si>
    <t>DDS : add General Enhanced II pricing</t>
  </si>
  <si>
    <t>c6.large.4</t>
  </si>
  <si>
    <t>c6.xlarge.4</t>
  </si>
  <si>
    <t>c6.2xlarge.4</t>
  </si>
  <si>
    <t>c6.4xlarge.4</t>
  </si>
  <si>
    <t>c6.large.2</t>
  </si>
  <si>
    <t>RDS : add new c6 flavors</t>
  </si>
  <si>
    <t>Paris - c6.large.2 (2 vCPU, 4GB RAM)</t>
  </si>
  <si>
    <t>ECS : repricing of c3 flavors (PAYG/RI and FRI)</t>
  </si>
  <si>
    <t>ECS : repricing of c6 flavors (PAYG/RI and FRI)</t>
  </si>
  <si>
    <t>ECS : repricing of pi2 flavors (PAYG/RI)</t>
  </si>
  <si>
    <t>Image Processing</t>
  </si>
  <si>
    <t>FunctionGraph Service</t>
  </si>
  <si>
    <t>€ per 1 million requests</t>
  </si>
  <si>
    <t>Function Requests</t>
  </si>
  <si>
    <t xml:space="preserve">  ≤1 million</t>
  </si>
  <si>
    <t>&gt;1 million</t>
  </si>
  <si>
    <t>Function Metering duration</t>
  </si>
  <si>
    <t>FGS : new service pricing</t>
  </si>
  <si>
    <t>5. Finalisez votre offre grâce aux fonctionnalités avancées de la solution</t>
  </si>
  <si>
    <t>Base de données</t>
  </si>
  <si>
    <t>RDS - instance à l'usage</t>
  </si>
  <si>
    <t>Instance ECS correspondante</t>
  </si>
  <si>
    <t>Type d'instance DB</t>
  </si>
  <si>
    <t>Moteur DB</t>
  </si>
  <si>
    <t>MySQL</t>
  </si>
  <si>
    <t>MSQL- STD</t>
  </si>
  <si>
    <t>MSQL- ENT</t>
  </si>
  <si>
    <t>Postgre</t>
  </si>
  <si>
    <t>RDS Version 1 - 1 vCPU, 2GB RAM</t>
  </si>
  <si>
    <t>General Enhanced - 1vCPU, 4GB RAM</t>
  </si>
  <si>
    <t>General Enhanced - 2vCPU, 4GB RAM</t>
  </si>
  <si>
    <t>General Enhanced - 2vCPU, 8GB RAM</t>
  </si>
  <si>
    <t>General Enhanced - 4vCPU, 8GB RAM</t>
  </si>
  <si>
    <t>General Enhanced - 4vCPU, 16GB RAM</t>
  </si>
  <si>
    <t>General Enhanced - 8vCPU, 16GB RAM</t>
  </si>
  <si>
    <t>General Enhanced - 8vCPU, 32GB RAM</t>
  </si>
  <si>
    <t>General Enhanced - 16vCPU, 32GB RAM</t>
  </si>
  <si>
    <t>General Enhanced - 16vCPU, 64GB RAM</t>
  </si>
  <si>
    <t>General Enhanced - 32vCPU, 64GB RAM</t>
  </si>
  <si>
    <t>General Enhanced - 32vCPU, 128GB RAM</t>
  </si>
  <si>
    <t>General Enhanced - 60vCPU, 128GB RAM</t>
  </si>
  <si>
    <t>General Enhanced - 76vCPU, 304GB RAM</t>
  </si>
  <si>
    <t>General Enhanced II - 16 vCPU, 64GB RAM</t>
  </si>
  <si>
    <t>General Enhanced II - 32 vCPU, 128GB RAM</t>
  </si>
  <si>
    <t>General Enhanced II - 2vCPU, 8GB RAM</t>
  </si>
  <si>
    <t>General Enhanced II - 4vCPU, 8GB RAM</t>
  </si>
  <si>
    <t>General Enhanced II - 4vCPU, 16GB RAM</t>
  </si>
  <si>
    <t>General Enhanced II - 8vCPU, 16GB RAM</t>
  </si>
  <si>
    <t>General Enhanced II - 8vCPU, 32GB RAM</t>
  </si>
  <si>
    <t>General Enhanced II - 16 vCPU, 32GB RAM</t>
  </si>
  <si>
    <t>General Enhanced II - 32 vCPU, 64GB RAM</t>
  </si>
  <si>
    <t>General Enhanced II - 64 vCPU, 128GB RAM</t>
  </si>
  <si>
    <t>General Enhanced II - 64 vCPU, 256GB RAM</t>
  </si>
  <si>
    <t>Base de données à l'usage</t>
  </si>
  <si>
    <t>Base de données réservées</t>
  </si>
  <si>
    <t>Bases de données à l'usage</t>
  </si>
  <si>
    <t>Bases de données réservées</t>
  </si>
  <si>
    <t>RDS -  On-demand instances</t>
  </si>
  <si>
    <t>Matching ECS flavors</t>
  </si>
  <si>
    <t>DB Engine</t>
  </si>
  <si>
    <t>On-demand Database</t>
  </si>
  <si>
    <t>Reserved Database</t>
  </si>
  <si>
    <t>Nombre de nœuds Mongos</t>
  </si>
  <si>
    <t>Enhanced - 1vCPU| 4GB (s3.medium.4)</t>
  </si>
  <si>
    <t>Enhanced - 2vCPU| 4GB (s3.large.2)</t>
  </si>
  <si>
    <t>Enhanced - 4vCPU| 8GB (s3.xlarge.2)</t>
  </si>
  <si>
    <t>Enhanced - 8vCPU| 16GB (s3.2xlarge.2)</t>
  </si>
  <si>
    <t>Enhanced - 2vCPU| 8GB (s3.large.4)</t>
  </si>
  <si>
    <t>Enhanced - 4vCPU| 16GB (s3.xlarge.4)</t>
  </si>
  <si>
    <t>Enhanced - 8vCPU| 32GB (s3.2xlarge.4)</t>
  </si>
  <si>
    <t>Enhanced - 16vCPU| 64GB (s3.4xlarge.4)</t>
  </si>
  <si>
    <t>Enhanced II - 2vCPU | 8GB (c6.large.4)</t>
  </si>
  <si>
    <t>Enhanced II - 4vCPU | 16GB (c6.xlarge.4)</t>
  </si>
  <si>
    <t>Enhanced II - 8vCPU | 32GB (c6.2xlarge.4)</t>
  </si>
  <si>
    <t>Enhanced II - 16vCPU | 64GB (c6.4xlarge.4)</t>
  </si>
  <si>
    <t>Enhanced II - 2vCPU | 4GB (c6.large.2)</t>
  </si>
  <si>
    <t>Enhanced II - 4vCPU | 8GB (c6.xlarge.2)</t>
  </si>
  <si>
    <t>Enhanced II - 8vCPU | 16GB (c6.2xlarge.2)</t>
  </si>
  <si>
    <t>Enhanced II - 16vCPU | 32GB (c6.4xlarge.2)</t>
  </si>
  <si>
    <t>Espace de stockage Shard</t>
  </si>
  <si>
    <t xml:space="preserve">Reporter ce volume dans la partie EVS Ultra High I/O </t>
  </si>
  <si>
    <t>Espace de stockage Mongos</t>
  </si>
  <si>
    <t xml:space="preserve">Reporter ce volume dans la partie EVS Common I/O </t>
  </si>
  <si>
    <t>Nombre de nœuds Shard (3 instances pour chaque nœud Shard)</t>
  </si>
  <si>
    <t xml:space="preserve"> Replica Set (Classe de nœuds)</t>
  </si>
  <si>
    <t>Mongos (Classe de nœuds)</t>
  </si>
  <si>
    <t>Shard (Classe de nœuds)</t>
  </si>
  <si>
    <t>Number of  Mongos Nodes</t>
  </si>
  <si>
    <t>Mongos (Node Class)</t>
  </si>
  <si>
    <t>Shard (Node Class)</t>
  </si>
  <si>
    <t>Number of Shard node (3 instances  for each shard node)</t>
  </si>
  <si>
    <t>Replica Set (Node class)</t>
  </si>
  <si>
    <t xml:space="preserve">Please refer to this volume in the EVS Common I/O section. </t>
  </si>
  <si>
    <t>Mongos storage space</t>
  </si>
  <si>
    <t>Shard storage space</t>
  </si>
  <si>
    <t xml:space="preserve">Please refer to this volume in the EVS Ultra-High I/O section. </t>
  </si>
  <si>
    <t>5. Finalize your solution with Flexible Engine advanced features</t>
  </si>
  <si>
    <t>6. Choose your support plan</t>
  </si>
  <si>
    <t>6. Choisissez votre niveau de support</t>
  </si>
  <si>
    <t>FGS - FunctionGraph Service</t>
  </si>
  <si>
    <t>Function Requests (pour chaque million de requêtes)</t>
  </si>
  <si>
    <t>1-2000</t>
  </si>
  <si>
    <t>2001-5000</t>
  </si>
  <si>
    <t>Requests</t>
  </si>
  <si>
    <t>€ per million</t>
  </si>
  <si>
    <t>5001-999999999999</t>
  </si>
  <si>
    <t>Function Requests (per 1 million requests)</t>
  </si>
  <si>
    <t>ECS / heure</t>
  </si>
  <si>
    <t>Config s3</t>
  </si>
  <si>
    <t>Config c6</t>
  </si>
  <si>
    <t>4. Choisissez vos bases de données</t>
  </si>
  <si>
    <t>4. Choose your databases</t>
  </si>
  <si>
    <t>Pour le stockage associé au service RDS, veuillez reporter le volume de stockage dans la partie EVS Common I/O ou EVS Ultra High I/O.</t>
  </si>
  <si>
    <t>Read Replicat</t>
  </si>
  <si>
    <t>For storage associated with the RDS service, please refer to the storage volume in the EVS Common I/O or EVS Ultra High I/O section.</t>
  </si>
  <si>
    <t>ECS /hour</t>
  </si>
  <si>
    <t>WAF - Web Application Firewall</t>
  </si>
  <si>
    <t>WAF - Service</t>
  </si>
  <si>
    <t>€ per GB-hour</t>
  </si>
  <si>
    <t>≤100 GB-hour</t>
  </si>
  <si>
    <t>&gt;100 GB-hour</t>
  </si>
  <si>
    <t>Function Metering duration (par Go par heures)</t>
  </si>
  <si>
    <t>Function Metering duration (per GB-heures)</t>
  </si>
  <si>
    <t>Server backup vault</t>
  </si>
  <si>
    <t>Database server backup vault</t>
  </si>
  <si>
    <t>Disk backup vault</t>
  </si>
  <si>
    <t>SFS Turbo normal vault</t>
  </si>
  <si>
    <t xml:space="preserve">€ per GB per month </t>
  </si>
  <si>
    <t xml:space="preserve">Cloud Backup and Recovery </t>
  </si>
  <si>
    <t xml:space="preserve">Prix Total </t>
  </si>
  <si>
    <t>Nombre GB</t>
  </si>
  <si>
    <t>FAB : modify prices</t>
  </si>
  <si>
    <t>MC</t>
  </si>
  <si>
    <t>CBR : add prices</t>
  </si>
  <si>
    <t>WAF : add prices</t>
  </si>
  <si>
    <t>Models Arts : new service pricing</t>
  </si>
  <si>
    <t>Instance ma.c6.large.4 - 2 vCPU, 8GB RAM</t>
  </si>
  <si>
    <t>Instance ma.c6.large.4 - 2 vCPU, 8GB RAM (ExeML)</t>
  </si>
  <si>
    <t>Instance ma.c6.2xlarge.4 - 8 vCPU, 32GB RAM</t>
  </si>
  <si>
    <t>Instance ma.c6.2xlarge.4 - 8 vCPU, 32GB RAM (Inference)</t>
  </si>
  <si>
    <t>Instance ma.p2s.2xlarge.8 - 8 vCPU, 64GB RAM, 32GB GPU V100 Nvidia</t>
  </si>
  <si>
    <t>Instance ma.p2s.2xlarge.8 - 8 vCPU, 64GB RAM, 32GB GPU V100 Nvidia (ExeML)</t>
  </si>
  <si>
    <t>Instance ma.p2s.8xlarge.8 - 32 vCPU , 256GB RAM, 4 x 32GB GPU V100 Nvidia  </t>
  </si>
  <si>
    <t>Instance ma.pi2.2xlarge.4 - 8 vCPU, 32GB RAM, 1 x 16GB GPU T4 Nvidia</t>
  </si>
  <si>
    <t>Instance ma.pi2.2xlarge.4 - 8 vCPU, 32GB RAM, 1 x 16GB GPU T4 Nvidia (ExeML)</t>
  </si>
  <si>
    <t>Instance ma.pi2.4xlarge.4 - 16 vCPU, 64GB RAM, 2 x 16GB T4 Nvidia </t>
  </si>
  <si>
    <t>Instance ma.pi2.8xlarge.4 - 32 vCPU, 128GB RAM, 4 x 32GB T4 Nvidia</t>
  </si>
  <si>
    <t xml:space="preserve">Model Arts </t>
  </si>
  <si>
    <t xml:space="preserve">€ per hour </t>
  </si>
  <si>
    <t>C6 DDS</t>
  </si>
  <si>
    <t>C6 RDS</t>
  </si>
  <si>
    <t>Amsterdam - c6.xlarge.2 (4 vCPU, 8GB RAM)</t>
  </si>
  <si>
    <t>Amsterdam - c6.2xlarge.2 (8 vCPU, 16GB RAM)</t>
  </si>
  <si>
    <t>Amsterdam - c6.8xlarge.2 (32 vCPU, 64GB RAM)</t>
  </si>
  <si>
    <t>Amsterdam - c6.16xlarge.2 (64 vCPU, 128GB RAM)</t>
  </si>
  <si>
    <t>Amsterdam - c6.xlarge.4 (4 vCPU, 16GB RAM)</t>
  </si>
  <si>
    <t>Amsterdam - c6.2xlarge.4 (8 vCPU, 32GB RAM)</t>
  </si>
  <si>
    <t>Amsterdam - c6.4xlarge.4 (16 vCPU, 64GB RAM)</t>
  </si>
  <si>
    <t>Amsterdam - c6.8xlarge.4 (32 vCPU, 128GB RAM)</t>
  </si>
  <si>
    <t>Amsterdam - c6.16xlarge.4 (64 vCPU, 256GB RAM)</t>
  </si>
  <si>
    <t>Amsterdam - c6.4xlarge.2 (16 vCPU, 32GB RAM)</t>
  </si>
  <si>
    <t>Amsterdam - c6.large.4 (2 vCPU, 8GB RAM)</t>
  </si>
  <si>
    <t>Amsterdam - c6.large.2 (2 vCPU, 4GB RAM)</t>
  </si>
  <si>
    <t>C6 ECS</t>
  </si>
  <si>
    <t>Nb d'heure</t>
  </si>
  <si>
    <t>Prix HT/heure</t>
  </si>
  <si>
    <t xml:space="preserve">Prix total </t>
  </si>
  <si>
    <t xml:space="preserve">Nb of hours </t>
  </si>
  <si>
    <t>excl tax Price/Hour</t>
  </si>
  <si>
    <t>General Enhanced II - 2vCPU, 4GB RAM - Amsterdam</t>
  </si>
  <si>
    <t>General Enhanced II - 2vCPU, 8GB RAM - Amsterdam</t>
  </si>
  <si>
    <t>General Enhanced II - 4vCPU, 8GB RAM - Amsterdam</t>
  </si>
  <si>
    <t>General Enhanced II - 4vCPU, 16GB RAM -Amsterdam</t>
  </si>
  <si>
    <t>General Enhanced II - 8vCPU, 16GB RAM - Amsterdam</t>
  </si>
  <si>
    <t>General Enhanced II - 8vCPU, 32GB RAM - Amsterdam</t>
  </si>
  <si>
    <t>General Enhanced II - 16 vCPU, 32GB RAM - Amsterdam</t>
  </si>
  <si>
    <t>General Enhanced II - 16 vCPU, 64GB RAM - Amsterdam</t>
  </si>
  <si>
    <t>General Enhanced II - 32 vCPU, 64GB RAM - Amsterdam</t>
  </si>
  <si>
    <t>General Enhanced II - 32 vCPU, 128GB RAM - Amsterdam</t>
  </si>
  <si>
    <t>General Enhanced II - 64 vCPU, 128GB RAM - Amsterdam</t>
  </si>
  <si>
    <t>General Enhanced II - 64 vCPU, 256GB RAM - Amsterdam</t>
  </si>
  <si>
    <t xml:space="preserve">Multi AZ storage </t>
  </si>
  <si>
    <t>min</t>
  </si>
  <si>
    <t>max</t>
  </si>
  <si>
    <t xml:space="preserve">Object Storage Service </t>
  </si>
  <si>
    <t>OBS - Standard 3AZ Storage</t>
  </si>
  <si>
    <t>12% de la facture avec un minimum de 899€/mois</t>
  </si>
  <si>
    <t>12% of the bill before discount excluding setup fees with a minimum of 899€/month</t>
  </si>
  <si>
    <t>7,5% de la facture avec un minimum de 69€/mois</t>
  </si>
  <si>
    <t>10% de la facture avec un minimum de 199€/mois</t>
  </si>
  <si>
    <t xml:space="preserve">Support Premium </t>
  </si>
  <si>
    <t xml:space="preserve">Distributed Database Middleware </t>
  </si>
  <si>
    <t>ddm.c6.8xlarge.2 - 32 VPCU, 64 GB</t>
  </si>
  <si>
    <t>ddm.c6.4xlarge.2 - 16 VCPU, 32 GB</t>
  </si>
  <si>
    <t>ddm.c6.2xlarge.2 - 8 VCPU, 16 GB</t>
  </si>
  <si>
    <t>ddm.c6.xlarge.2 - 4 VCPU, 8 GB</t>
  </si>
  <si>
    <t>€ per hour</t>
  </si>
  <si>
    <t>[DDM] Distributed Database Middleware</t>
  </si>
  <si>
    <t>S6 - ECS - FRI</t>
  </si>
  <si>
    <t>S6 - Licence SUSE Entreprise Linux SLES Basic (compute exclus)</t>
  </si>
  <si>
    <t>S6 - Licence SUSE Entreprise Linux SLES pour SAP (compute exclus)</t>
  </si>
  <si>
    <t>S6 - Licence RedHat OS image (compute exclus)</t>
  </si>
  <si>
    <t>M6 - ECS - RI</t>
  </si>
  <si>
    <t>M6 - ECS - FRI</t>
  </si>
  <si>
    <t>M6 - Licence WINDOWS Server OS image 2008, 2012, 2016  (compute exclus) [17]</t>
  </si>
  <si>
    <t>M6 - Licence SUSE Entreprise Linux SLES Basic (compute exclus)</t>
  </si>
  <si>
    <t>M6 - Licence SUSE Entreprise Linux SLES pour SAP (compute exclus)</t>
  </si>
  <si>
    <t>M6 - Licence RedHat OS image (compute exclus)</t>
  </si>
  <si>
    <t>FAB</t>
  </si>
  <si>
    <t xml:space="preserve">FAB </t>
  </si>
  <si>
    <t>Amsterdam - m6.xlarge.8 (4 vCPU, 32GB RAM)</t>
  </si>
  <si>
    <t>Amsterdam - m6.2xlarge.8 (8 vCPU, 64GB RAM)</t>
  </si>
  <si>
    <t>Amsterdam - m6.4xlarge.8 (16 vCPU, 128GB RAM)</t>
  </si>
  <si>
    <t>Amsterdam - m6.8xlarge.8 (32 vCPU, 256GB RAM)</t>
  </si>
  <si>
    <t>Amsterdam - m6.16xlarge.8 (64 vCPU, 512GB RAM)</t>
  </si>
  <si>
    <t xml:space="preserve">FAB - Cloud Application </t>
  </si>
  <si>
    <t>Utilisateur</t>
  </si>
  <si>
    <t xml:space="preserve">FAB - Application, file server </t>
  </si>
  <si>
    <t xml:space="preserve">Données protégées </t>
  </si>
  <si>
    <t>entre 0 et 1000 GB (1TB)</t>
  </si>
  <si>
    <t>entre 1000 et 5000 GB (5TB)</t>
  </si>
  <si>
    <t>entre 50000 et 10000 GB (10TB)</t>
  </si>
  <si>
    <t>entre 10000 et 15000 GB (15TB)</t>
  </si>
  <si>
    <t xml:space="preserve">au dela de 15000 GB (15TB) </t>
  </si>
  <si>
    <t>entre 0 et 50</t>
  </si>
  <si>
    <t>entre 50 et 100</t>
  </si>
  <si>
    <t xml:space="preserve">entre100 et 200 </t>
  </si>
  <si>
    <t xml:space="preserve">entre 200 et 500 </t>
  </si>
  <si>
    <t xml:space="preserve">au dela de 500 </t>
  </si>
  <si>
    <t>Prix € par utilisateur par mois</t>
  </si>
  <si>
    <t>User</t>
  </si>
  <si>
    <t xml:space="preserve">FAB - File and Applicative Backup </t>
  </si>
  <si>
    <t>Prix €/GB / mois</t>
  </si>
  <si>
    <t xml:space="preserve">FAB - Données stockées </t>
  </si>
  <si>
    <t xml:space="preserve">Total price </t>
  </si>
  <si>
    <t>3 month</t>
  </si>
  <si>
    <t>6 month</t>
  </si>
  <si>
    <t xml:space="preserve">Change rate </t>
  </si>
  <si>
    <t>Change Rate</t>
  </si>
  <si>
    <t>Durée de rétention - Data</t>
  </si>
  <si>
    <t>Durée de rétention O365</t>
  </si>
  <si>
    <t>Coef multiplicateur</t>
  </si>
  <si>
    <t xml:space="preserve">FAB - File and Applicative Backup - Usage Data </t>
  </si>
  <si>
    <t>Volume de données à sauvegarder (GO)</t>
  </si>
  <si>
    <t>Prix données stockées</t>
  </si>
  <si>
    <t xml:space="preserve">Durée de rétention </t>
  </si>
  <si>
    <t>Grille tarifaire</t>
  </si>
  <si>
    <t>Palier (unité To)</t>
  </si>
  <si>
    <t>&gt;15</t>
  </si>
  <si>
    <t>Palier (unité Go)</t>
  </si>
  <si>
    <t>&gt;15000</t>
  </si>
  <si>
    <t>Prix données sauvegardées par Go/mois</t>
  </si>
  <si>
    <t>Nombre d'utilisateurs</t>
  </si>
  <si>
    <t xml:space="preserve">Volume moyen par utilisateur (en GO) </t>
  </si>
  <si>
    <t>Prix total boites / mois</t>
  </si>
  <si>
    <t>Prix total données stockées /mois</t>
  </si>
  <si>
    <t>Total / mois</t>
  </si>
  <si>
    <t xml:space="preserve">FAB - File and Applicative Backup - Cloud application </t>
  </si>
  <si>
    <t xml:space="preserve">Volume données </t>
  </si>
  <si>
    <t>Taux de variation</t>
  </si>
  <si>
    <t xml:space="preserve">Durée en semaine </t>
  </si>
  <si>
    <t xml:space="preserve">Hypothèse réduction Commvault </t>
  </si>
  <si>
    <t xml:space="preserve">First full </t>
  </si>
  <si>
    <t xml:space="preserve">Seq Full </t>
  </si>
  <si>
    <t xml:space="preserve">Inc </t>
  </si>
  <si>
    <t xml:space="preserve">Daily Change </t>
  </si>
  <si>
    <t>Volumétrie</t>
  </si>
  <si>
    <t>Nombre de semaine +1</t>
  </si>
  <si>
    <t>Nombre de full</t>
  </si>
  <si>
    <t xml:space="preserve">Nombre d'INC </t>
  </si>
  <si>
    <t xml:space="preserve">Saisie Cloud App </t>
  </si>
  <si>
    <t>Volume données stockées (Go)</t>
  </si>
  <si>
    <t xml:space="preserve">Volume données protégées (Go) </t>
  </si>
  <si>
    <t xml:space="preserve">1 semaine </t>
  </si>
  <si>
    <t xml:space="preserve">2 semaines </t>
  </si>
  <si>
    <t xml:space="preserve">4 semaines </t>
  </si>
  <si>
    <t xml:space="preserve">3 mois </t>
  </si>
  <si>
    <t xml:space="preserve">6 mois </t>
  </si>
  <si>
    <t>Taille de la 1° Full</t>
  </si>
  <si>
    <t xml:space="preserve">Tailles Full Suivantes </t>
  </si>
  <si>
    <t>Taille INC</t>
  </si>
  <si>
    <t xml:space="preserve">Job Size </t>
  </si>
  <si>
    <t xml:space="preserve">Disk Size </t>
  </si>
  <si>
    <t xml:space="preserve">Prix données sauvegardées </t>
  </si>
  <si>
    <t>Palier (Nombre utilisateurs)</t>
  </si>
  <si>
    <t>&gt;500</t>
  </si>
  <si>
    <t>Prix par utilsateur / mois</t>
  </si>
  <si>
    <t>Durée en semaine</t>
  </si>
  <si>
    <t>First full</t>
  </si>
  <si>
    <t>Inc</t>
  </si>
  <si>
    <t>Nombre d'INC</t>
  </si>
  <si>
    <t>Saisie Cloud App</t>
  </si>
  <si>
    <t>Taille de la 1°full</t>
  </si>
  <si>
    <t>Tailles Full Suivantes</t>
  </si>
  <si>
    <t xml:space="preserve">Job size </t>
  </si>
  <si>
    <t>Disk size</t>
  </si>
  <si>
    <t>FAB -  File and Applicative Backup - Data Usage</t>
  </si>
  <si>
    <t xml:space="preserve">FAB - File and Applicative Backup - Cloud Application </t>
  </si>
  <si>
    <t xml:space="preserve">Users number </t>
  </si>
  <si>
    <t>Average volume per user</t>
  </si>
  <si>
    <t>Retention duration</t>
  </si>
  <si>
    <t xml:space="preserve">Total price stored data / month </t>
  </si>
  <si>
    <t xml:space="preserve">Total price box / month </t>
  </si>
  <si>
    <t xml:space="preserve">Total price / month </t>
  </si>
  <si>
    <t xml:space="preserve">Data volume to save </t>
  </si>
  <si>
    <t xml:space="preserve">Retention duration </t>
  </si>
  <si>
    <t>Data volume</t>
  </si>
  <si>
    <t xml:space="preserve">Saved data price </t>
  </si>
  <si>
    <t>Stored data price</t>
  </si>
  <si>
    <t xml:space="preserve">Durée de retention </t>
  </si>
  <si>
    <t>Seq Full</t>
  </si>
  <si>
    <t xml:space="preserve">Daily change </t>
  </si>
  <si>
    <t>Tailles Full suivante</t>
  </si>
  <si>
    <t xml:space="preserve">Taille INC </t>
  </si>
  <si>
    <t>Job Size</t>
  </si>
  <si>
    <t>Change rate</t>
  </si>
  <si>
    <t xml:space="preserve">3 month </t>
  </si>
  <si>
    <t xml:space="preserve">6 month </t>
  </si>
  <si>
    <t xml:space="preserve">1 year </t>
  </si>
  <si>
    <t xml:space="preserve">3 years </t>
  </si>
  <si>
    <t xml:space="preserve">Hypothèse commvault </t>
  </si>
  <si>
    <t xml:space="preserve">Volumétrie </t>
  </si>
  <si>
    <t xml:space="preserve">Nombre d'inc </t>
  </si>
  <si>
    <t xml:space="preserve">Saisie Cloud app </t>
  </si>
  <si>
    <t xml:space="preserve">Change Rate </t>
  </si>
  <si>
    <t>Taille de la 1° full</t>
  </si>
  <si>
    <t>Tailles full suivantes</t>
  </si>
  <si>
    <t xml:space="preserve">Disk size </t>
  </si>
  <si>
    <t xml:space="preserve">durée en semaine </t>
  </si>
  <si>
    <t xml:space="preserve">Protected Data volume (GB) </t>
  </si>
  <si>
    <t>Stored data volume (GB)</t>
  </si>
  <si>
    <t>durée de rétention</t>
  </si>
  <si>
    <t xml:space="preserve">taux de rétention </t>
  </si>
  <si>
    <t>Total Hardware</t>
  </si>
  <si>
    <t>Total devices</t>
  </si>
  <si>
    <t>VAT Hardware</t>
  </si>
  <si>
    <t>Firewalls</t>
  </si>
  <si>
    <t>Total Hardware excl tax</t>
  </si>
  <si>
    <t>Convergence Switches</t>
  </si>
  <si>
    <t>Hardware Maintenance(3 years)</t>
  </si>
  <si>
    <t>TOR Switches</t>
  </si>
  <si>
    <t>Hardware Installation</t>
  </si>
  <si>
    <t>Core Switches</t>
  </si>
  <si>
    <t>Service nodes</t>
  </si>
  <si>
    <t>X86 servers</t>
  </si>
  <si>
    <t>Management &amp; Network Hardware</t>
  </si>
  <si>
    <t>Hardware List</t>
  </si>
  <si>
    <t xml:space="preserve">Your Estimate Hardware Pricing </t>
  </si>
  <si>
    <t>Optional Services</t>
  </si>
  <si>
    <t>Hardware Price
excl tax</t>
  </si>
  <si>
    <t>Capacity of OBS
TB</t>
  </si>
  <si>
    <t>Number of LVS</t>
  </si>
  <si>
    <t>Number of Servers</t>
  </si>
  <si>
    <t>Requirement of OBS (TB)</t>
  </si>
  <si>
    <t>OBS  Nodes</t>
  </si>
  <si>
    <t>SSD1</t>
  </si>
  <si>
    <t>SATA1</t>
  </si>
  <si>
    <t>Capacity of EVS
TB</t>
  </si>
  <si>
    <t>Requiremet of EVS
TB</t>
  </si>
  <si>
    <t>EVS model</t>
  </si>
  <si>
    <t>EVS Nodes</t>
  </si>
  <si>
    <t>c6</t>
  </si>
  <si>
    <t>s6</t>
  </si>
  <si>
    <t>Number of vCPU</t>
  </si>
  <si>
    <t>Requirement of vCPU</t>
  </si>
  <si>
    <t>Flavor</t>
  </si>
  <si>
    <t>Computing Nodes</t>
  </si>
  <si>
    <t>Storatge TOR</t>
  </si>
  <si>
    <t>computing TOR</t>
  </si>
  <si>
    <t>BMC TOR</t>
  </si>
  <si>
    <t>BMC convergence</t>
  </si>
  <si>
    <t>Combination of three walls</t>
  </si>
  <si>
    <t>Network TOR</t>
  </si>
  <si>
    <t>Management TOR</t>
  </si>
  <si>
    <t>Trnasist TOR</t>
  </si>
  <si>
    <t>Network Nodes</t>
  </si>
  <si>
    <t xml:space="preserve">These nodes don't need to add more resources until the computing nodes are more than 100:
Network Nodes   
Core Switches   
Transit TOR   
Management TOR   
Network TOR   
Combination of three walls   
BMC convergence   
BMC TOR </t>
  </si>
  <si>
    <t>Num</t>
  </si>
  <si>
    <t>Model</t>
  </si>
  <si>
    <t>Network Components</t>
  </si>
  <si>
    <t>NV642.0.5.a</t>
  </si>
  <si>
    <t>Management Nodes</t>
  </si>
  <si>
    <t>AZ choice</t>
  </si>
  <si>
    <t>FE Stack Quotation Tool</t>
  </si>
  <si>
    <t>OCB M.</t>
  </si>
  <si>
    <t>33~42</t>
  </si>
  <si>
    <t>27~32</t>
  </si>
  <si>
    <t>17~26</t>
  </si>
  <si>
    <t>11~16</t>
  </si>
  <si>
    <t>&lt;=10</t>
  </si>
  <si>
    <t>LVS Servers</t>
  </si>
  <si>
    <t>OBS Servers</t>
  </si>
  <si>
    <t>2*5220R CPU,24*32GB DDR4,3*960GB SATA SSD,1*480GB SATA SSD,1*3.2TB NVME,8*4TB SATA HDD,2*10GE+8*25GE</t>
  </si>
  <si>
    <t>Management HW unit price</t>
  </si>
  <si>
    <t>Management HW configuration</t>
  </si>
  <si>
    <t>management Model</t>
  </si>
  <si>
    <t>CE6865-48S8CQ-EI Switch(48-Port 25GE SFP28,8*100GE QSFP28,2*AC Power Module,2*FAN Box,Port-side Intake)</t>
  </si>
  <si>
    <t>S5735-S48T4X (48*10/100/1000BASE-T ports, 4*10GE SFP+ ports, without power module)</t>
  </si>
  <si>
    <t>CE6881-48S6CQ-B switch (48*10G SFP+, 6*100G QSFP28, 2*AC power modules, 4*fan modules, port-side intake)</t>
  </si>
  <si>
    <t>USG6655E AC Host(16*GE RJ45 + 12*10GE SFP+ + 2*40GE QSFP+,32G Memory,2 AC POWER)</t>
  </si>
  <si>
    <t>CE8850-64CQ-EI Switch(64-Port 100GE QSFP28,2*AC Power Module,3*FAN Box,Port-side Intake)</t>
  </si>
  <si>
    <t>HV655 Configuration (2*6266 CPU,12*32GB DIMM,1*480GB SATA SSD,12*25GE,2*900W AC POWER)</t>
  </si>
  <si>
    <t>unit price (Euros)</t>
  </si>
  <si>
    <t>model</t>
  </si>
  <si>
    <t>Network component</t>
  </si>
  <si>
    <t>LVS</t>
  </si>
  <si>
    <t>SV665: 2*4210R, 10Core@2.4Ghz,8*16GB,12*4TB SATA</t>
  </si>
  <si>
    <t>OBS</t>
  </si>
  <si>
    <r>
      <t>SV646: 2*5220R, 24Core@2.2GHz,</t>
    </r>
    <r>
      <rPr>
        <sz val="10"/>
        <color rgb="FFFF0000"/>
        <rFont val="Arial"/>
        <family val="2"/>
      </rPr>
      <t>12*16GB,12*7.68TB NVME</t>
    </r>
  </si>
  <si>
    <t>SSD2</t>
  </si>
  <si>
    <t>SV648: 2*4214R, 12Core@2.4GHz,4*16GB,4*3.2TB NVME</t>
  </si>
  <si>
    <t>SV644: 2*4214R 12 Core@2.4Ghz,10*16GB,12*10TB SATA HDD,1*480GB SATA SSD,4*3.2TB NVME</t>
  </si>
  <si>
    <t>SATA2</t>
  </si>
  <si>
    <t>SV665.0.1.0: 2*4214R 12 Core@2.4Ghz,8*16GB,12*4TB SATA HDD,1*480GB SATA SSD,2*1.6TB NVME</t>
  </si>
  <si>
    <t>Unit capacity Price
(€/TB)</t>
  </si>
  <si>
    <t>Unit server Price (€)</t>
  </si>
  <si>
    <t>Hardware</t>
  </si>
  <si>
    <t>Storage Nodes</t>
  </si>
  <si>
    <t>1:1</t>
  </si>
  <si>
    <t>HV601: 2*6266, 22Core-3.0GHz, 12*32GB</t>
  </si>
  <si>
    <t>Dedicated general-purpose</t>
  </si>
  <si>
    <t>1:3</t>
  </si>
  <si>
    <t>NV601.0.3.h: 2*6278, 26Core-2.6GHz, 12*32GB+12*16GB</t>
  </si>
  <si>
    <t>General Purpose</t>
  </si>
  <si>
    <t>Unit vCPU Price
€</t>
  </si>
  <si>
    <t>MEM per  VM(G)</t>
  </si>
  <si>
    <t>vCPU per VM</t>
  </si>
  <si>
    <t>CPU Over commit</t>
  </si>
  <si>
    <t>Flavors</t>
  </si>
  <si>
    <t>6 mois sans frais initiaux</t>
  </si>
  <si>
    <t>Hi1616 CPU （64 Core，2.4GHz）</t>
  </si>
  <si>
    <t>4*Kunpeng 920</t>
  </si>
  <si>
    <t>768 GiB</t>
  </si>
  <si>
    <t>2*1.2TB SAS+800GB SSD</t>
  </si>
  <si>
    <t>3*1.6TB NVMe PCIe SSD</t>
  </si>
  <si>
    <t>4*10GE</t>
  </si>
  <si>
    <t>8*100GE</t>
  </si>
  <si>
    <t>3*WX5100</t>
  </si>
  <si>
    <t>8*Ascend 910 AI card</t>
  </si>
  <si>
    <t xml:space="preserve">RDS </t>
  </si>
  <si>
    <t xml:space="preserve">RDS (c3° à supprimer) </t>
  </si>
  <si>
    <t xml:space="preserve">PAR </t>
  </si>
  <si>
    <t xml:space="preserve">BMS - Physical.rx1.xlarge  </t>
  </si>
  <si>
    <t>BMS - Physical.kat1.6xlarge.2 - CA for Huawei only</t>
  </si>
  <si>
    <t>MRS</t>
  </si>
  <si>
    <t>BMS - Physical.kat1.6xlarge.2 - CA for Huawei only : Remettre le prix en PayAsYouGo côté BSS</t>
  </si>
  <si>
    <t xml:space="preserve">RI 6 mois </t>
  </si>
  <si>
    <t xml:space="preserve">m6 ok </t>
  </si>
  <si>
    <t xml:space="preserve">[DLI] Data Lake Insight </t>
  </si>
  <si>
    <t xml:space="preserve">16 Compute unit specification </t>
  </si>
  <si>
    <t xml:space="preserve">64 Compute unit specification </t>
  </si>
  <si>
    <t xml:space="preserve">256 Compute unit specification </t>
  </si>
  <si>
    <t xml:space="preserve">512 Compute unit specification </t>
  </si>
  <si>
    <t>DWS</t>
  </si>
  <si>
    <t>DLI</t>
  </si>
  <si>
    <t xml:space="preserve">Nb d'heure </t>
  </si>
  <si>
    <t>SMS notifications - slices of 100</t>
  </si>
  <si>
    <t>Notification SMS - tranches de 100</t>
  </si>
  <si>
    <t xml:space="preserve">Per slice of 100 </t>
  </si>
  <si>
    <t>Per slice of 100</t>
  </si>
  <si>
    <t xml:space="preserve">D3 FRI </t>
  </si>
  <si>
    <t xml:space="preserve">Total Price </t>
  </si>
  <si>
    <t>Nb of hours</t>
  </si>
  <si>
    <r>
      <rPr>
        <b/>
        <sz val="11"/>
        <color rgb="FFFF0000"/>
        <rFont val="Calibri"/>
        <family val="2"/>
        <scheme val="minor"/>
      </rPr>
      <t>en cours</t>
    </r>
    <r>
      <rPr>
        <sz val="11"/>
        <color theme="1"/>
        <rFont val="Calibri"/>
        <family val="2"/>
        <scheme val="minor"/>
      </rPr>
      <t xml:space="preserve"> - en attente d'Anthony pour publication </t>
    </r>
  </si>
  <si>
    <t xml:space="preserve">en attente des autres d3 pour intégration </t>
  </si>
  <si>
    <t xml:space="preserve">Non car prix controlled availability </t>
  </si>
  <si>
    <t xml:space="preserve">ECS s3.8xlarge.2 RI ET FRI à retirer côté BSS si ce n'est pas déjà fait </t>
  </si>
  <si>
    <t xml:space="preserve">ECS - Orange Business Services Compute Windows Server </t>
  </si>
  <si>
    <t>Monthly billing</t>
  </si>
  <si>
    <t>,</t>
  </si>
  <si>
    <t>Reserced Windows license 1Y without Upfront (monthly)</t>
  </si>
  <si>
    <t xml:space="preserve">General Enhanced II - 2vCPU, 4GB RAM </t>
  </si>
  <si>
    <t>redis.single.xu1.tiny.128</t>
  </si>
  <si>
    <t>redis.single.xu1.tiny.256</t>
  </si>
  <si>
    <t>redis.single.xu1.tiny.512</t>
  </si>
  <si>
    <t>redis.single.xu1.large.1</t>
  </si>
  <si>
    <t>redis.single.xu1.large.24</t>
  </si>
  <si>
    <t>redis.single.xu1.large.48</t>
  </si>
  <si>
    <t>Master/Standby 2 Replicas</t>
  </si>
  <si>
    <t>redis.ha.xu1.tiny.r2.128</t>
  </si>
  <si>
    <t>redis.ha.xu1.tiny.r2.256</t>
  </si>
  <si>
    <t>redis.ha.xu1.tiny.r2.512</t>
  </si>
  <si>
    <t>redis.ha.xu1.large.r2.1</t>
  </si>
  <si>
    <t>redis.ha.xu1.large.r2.24</t>
  </si>
  <si>
    <t>redis.ha.xu1.large.r2.48</t>
  </si>
  <si>
    <t>Master/Standby 3 Replicas</t>
  </si>
  <si>
    <t>redis.ha.xu1.tiny.r3.128</t>
  </si>
  <si>
    <t>redis.ha.xu1.tiny.r3.256</t>
  </si>
  <si>
    <t>redis.ha.xu1.tiny.r3.512</t>
  </si>
  <si>
    <t>redis.ha.xu1.large.r3.1</t>
  </si>
  <si>
    <t>redis.ha.xu1.large.r3.2</t>
  </si>
  <si>
    <t>redis.ha.xu1.large.r3.4</t>
  </si>
  <si>
    <t>redis.ha.xu1.large.r3.8</t>
  </si>
  <si>
    <t>redis.ha.xu1.large.r3.16</t>
  </si>
  <si>
    <t>redis.ha.xu1.large.r3.24</t>
  </si>
  <si>
    <t>redis.ha.xu1.large.r3.32</t>
  </si>
  <si>
    <t>redis.ha.xu1.large.r3.48</t>
  </si>
  <si>
    <t>redis.ha.xu1.large.r3.64</t>
  </si>
  <si>
    <t>Master/Standby 4 Replicas</t>
  </si>
  <si>
    <t>redis.ha.xu1.tiny.r4.128</t>
  </si>
  <si>
    <t>redis.ha.xu1.tiny.r4.256</t>
  </si>
  <si>
    <t>redis.ha.xu1.tiny.r4.512</t>
  </si>
  <si>
    <t>redis.ha.xu1.large.r4.1</t>
  </si>
  <si>
    <t>redis.ha.xu1.large.r4.2</t>
  </si>
  <si>
    <t>redis.ha.xu1.large.r4.4</t>
  </si>
  <si>
    <t>redis.ha.xu1.large.r4.8</t>
  </si>
  <si>
    <t>redis.ha.xu1.large.r4.16</t>
  </si>
  <si>
    <t>redis.ha.xu1.large.r4.24</t>
  </si>
  <si>
    <t>redis.ha.xu1.large.r4.32</t>
  </si>
  <si>
    <t>redis.ha.xu1.large.r4.48</t>
  </si>
  <si>
    <t>redis.ha.xu1.large.r4.64</t>
  </si>
  <si>
    <t>Master/Standby 5 Replicas</t>
  </si>
  <si>
    <t>redis.ha.xu1.tiny.r5.128</t>
  </si>
  <si>
    <t>redis.ha.xu1.tiny.r5.256</t>
  </si>
  <si>
    <t>redis.ha.xu1.tiny.r5.512</t>
  </si>
  <si>
    <t>redis.ha.xu1.large.r5.1</t>
  </si>
  <si>
    <t>redis.ha.xu1.large.r5.2</t>
  </si>
  <si>
    <t>redis.ha.xu1.large.r5.4</t>
  </si>
  <si>
    <t>redis.ha.xu1.large.r5.8</t>
  </si>
  <si>
    <t>redis.ha.xu1.large.r5.16</t>
  </si>
  <si>
    <t>redis.ha.xu1.large.r5.24</t>
  </si>
  <si>
    <t>redis.ha.xu1.large.r5.32</t>
  </si>
  <si>
    <t>redis.ha.xu1.large.r5.48</t>
  </si>
  <si>
    <t>redis.ha.xu1.large.r5.64</t>
  </si>
  <si>
    <t>Redis Cluster 1 Replicas</t>
  </si>
  <si>
    <t>redis.cluster.xu1.large.r1.4</t>
  </si>
  <si>
    <t>redis.cluster.xu1.large.r1.8</t>
  </si>
  <si>
    <t>redis.cluster.xu1.large.r1.16</t>
  </si>
  <si>
    <t>redis.cluster.xu1.large.r1.24</t>
  </si>
  <si>
    <t>redis.cluster.xu1.large.r1.48</t>
  </si>
  <si>
    <t>redis.cluster.xu1.large.r1.96</t>
  </si>
  <si>
    <t>redis.cluster.xu1.large.r1.192</t>
  </si>
  <si>
    <t>redis.cluster.xu1.large.r1.384</t>
  </si>
  <si>
    <t>redis.cluster.xu1.large.r1.768</t>
  </si>
  <si>
    <t>Redis Cluster 2 Replicas</t>
  </si>
  <si>
    <t>redis.cluster.xu1.large.r2.4</t>
  </si>
  <si>
    <t>redis.cluster.xu1.large.r2.8</t>
  </si>
  <si>
    <t>redis.cluster.xu1.large.r2.16</t>
  </si>
  <si>
    <t>redis.cluster.xu1.large.r2.24</t>
  </si>
  <si>
    <t>redis.cluster.xu1.large.r2.48</t>
  </si>
  <si>
    <t>redis.cluster.xu1.large.r2.96</t>
  </si>
  <si>
    <t>redis.cluster.xu1.large.r2.192</t>
  </si>
  <si>
    <t>redis.cluster.xu1.large.r2.384</t>
  </si>
  <si>
    <t>redis.cluster.xu1.large.r2.768</t>
  </si>
  <si>
    <t>Redis Cluster 3 Replicas</t>
  </si>
  <si>
    <t>redis.cluster.xu1.large.r3.4</t>
  </si>
  <si>
    <t>redis.cluster.xu1.large.r3.8</t>
  </si>
  <si>
    <t>redis.cluster.xu1.large.r3.16</t>
  </si>
  <si>
    <t>redis.cluster.xu1.large.r3.24</t>
  </si>
  <si>
    <t>redis.cluster.xu1.large.r3.32</t>
  </si>
  <si>
    <t>redis.cluster.xu1.large.r3.48</t>
  </si>
  <si>
    <t>redis.cluster.xu1.large.r3.64</t>
  </si>
  <si>
    <t>redis.cluster.xu1.large.r3.96</t>
  </si>
  <si>
    <t>redis.cluster.xu1.large.r3.128</t>
  </si>
  <si>
    <t>redis.cluster.xu1.large.r3.192</t>
  </si>
  <si>
    <t>redis.cluster.xu1.large.r3.256</t>
  </si>
  <si>
    <t>redis.cluster.xu1.large.r3.384</t>
  </si>
  <si>
    <t>redis.cluster.xu1.large.r3.512</t>
  </si>
  <si>
    <t>redis.cluster.xu1.large.r3.768</t>
  </si>
  <si>
    <t>redis.cluster.xu1.large.r3.1024</t>
  </si>
  <si>
    <t>Redis Cluster 4 Replicas</t>
  </si>
  <si>
    <t>redis.cluster.xu1.large.r4.4</t>
  </si>
  <si>
    <t>redis.cluster.xu1.large.r4.8</t>
  </si>
  <si>
    <t>redis.cluster.xu1.large.r4.16</t>
  </si>
  <si>
    <t>redis.cluster.xu1.large.r4.24</t>
  </si>
  <si>
    <t>redis.cluster.xu1.large.r4.32</t>
  </si>
  <si>
    <t>redis.cluster.xu1.large.r4.48</t>
  </si>
  <si>
    <t>redis.cluster.xu1.large.r4.64</t>
  </si>
  <si>
    <t>redis.cluster.xu1.large.r4.96</t>
  </si>
  <si>
    <t>redis.cluster.xu1.large.r4.128</t>
  </si>
  <si>
    <t>redis.cluster.xu1.large.r4.192</t>
  </si>
  <si>
    <t>redis.cluster.xu1.large.r4.256</t>
  </si>
  <si>
    <t>redis.cluster.xu1.large.r4.384</t>
  </si>
  <si>
    <t>redis.cluster.xu1.large.r4.512</t>
  </si>
  <si>
    <t>redis.cluster.xu1.large.r4.768</t>
  </si>
  <si>
    <t>redis.cluster.xu1.large.r4.1024</t>
  </si>
  <si>
    <t>Redis Cluster 5 Replicas</t>
  </si>
  <si>
    <t>redis.cluster.xu1.large.r5.4</t>
  </si>
  <si>
    <t>redis.cluster.xu1.large.r5.8</t>
  </si>
  <si>
    <t>redis.cluster.xu1.large.r5.16</t>
  </si>
  <si>
    <t>redis.cluster.xu1.large.r5.24</t>
  </si>
  <si>
    <t>redis.cluster.xu1.large.r5.32</t>
  </si>
  <si>
    <t>redis.cluster.xu1.large.r5.48</t>
  </si>
  <si>
    <t>redis.cluster.xu1.large.r5.64</t>
  </si>
  <si>
    <t>redis.cluster.xu1.large.r5.96</t>
  </si>
  <si>
    <t>redis.cluster.xu1.large.r5.128</t>
  </si>
  <si>
    <t>redis.cluster.xu1.large.r5.192</t>
  </si>
  <si>
    <t>redis.cluster.xu1.large.r5.256</t>
  </si>
  <si>
    <t>redis.cluster.xu1.large.r5.384</t>
  </si>
  <si>
    <t>redis.cluster.xu1.large.r5.512</t>
  </si>
  <si>
    <t>redis.cluster.xu1.large.r5.768</t>
  </si>
  <si>
    <t>redis.cluster.xu1.large.r5.1024</t>
  </si>
  <si>
    <t>Bases de données réservées flexible</t>
  </si>
  <si>
    <t>Redis Cluster Replica 1</t>
  </si>
  <si>
    <t>Redis Cluster Replica 2</t>
  </si>
  <si>
    <t>Redis Cluster Replica 3</t>
  </si>
  <si>
    <t>Redis Cluster Replica 4</t>
  </si>
  <si>
    <t>Redis Cluster Replica 5</t>
  </si>
  <si>
    <t xml:space="preserve">usage / licences / pay as you go à retirer </t>
  </si>
  <si>
    <t xml:space="preserve">MRS C6 </t>
  </si>
  <si>
    <t>OBS - Standard  AZ Storage</t>
  </si>
  <si>
    <t>OBS - Standard AZ Storage</t>
  </si>
  <si>
    <t>New Workspace</t>
  </si>
  <si>
    <t>ECS</t>
  </si>
  <si>
    <t xml:space="preserve">DCS new flavors </t>
  </si>
  <si>
    <t>New VDI instances Name</t>
  </si>
  <si>
    <t>vGPU (GB)</t>
  </si>
  <si>
    <t>System and data disks</t>
  </si>
  <si>
    <t>Hourly</t>
  </si>
  <si>
    <t>100/h</t>
  </si>
  <si>
    <t>Dedicated Instances : one user on one instance</t>
  </si>
  <si>
    <t>Paris - s3v.medium.4 (1 vCPU, 4GB RAM)</t>
  </si>
  <si>
    <t>Paris - s3v.large.4 (2 vCPU, 8GB RAM)</t>
  </si>
  <si>
    <t>Paris - s3v.large.2 (2 vCPU, 4GB RAM)</t>
  </si>
  <si>
    <t>Paris - s3v.xlarge.2 (4 vCPU, 8GB RAM)</t>
  </si>
  <si>
    <t>Paris - s3v.2xlarge.2 (8 vCPU, 16GB RAM)</t>
  </si>
  <si>
    <t>Amsterdam - s3v.large.2 (2 vCPU, 4GB RAM)</t>
  </si>
  <si>
    <t>Amsterdam - s3v.xlarge.2 (4 vCPU, 8GB RAM)</t>
  </si>
  <si>
    <t>Amsterdam - s3v.2xlarge.2 (8 vCPU, 16GB RAM)</t>
  </si>
  <si>
    <t>Paris - g1v.xlarge (4 vCPU, 8GB RAM, 1GB GPU)</t>
  </si>
  <si>
    <t>Paris - g1v.2xlarge (8 vCPU, 16GB RAM, 1GB GPU)</t>
  </si>
  <si>
    <t>Paris - g1v.4xlarge (16 vCPU, 32GB RAM, 4GB GPU)</t>
  </si>
  <si>
    <t>M60-4Q</t>
  </si>
  <si>
    <t>Amsterdam - g5v.xlarge (4 vCPU, 8GB RAM, 1GB GPU)</t>
  </si>
  <si>
    <t>Amsterdam - g5v.2xlarge (8 vCPU, 16GB RAM, 2GB GPU)</t>
  </si>
  <si>
    <t>Amsterdam - g5v.4xlarge (16 vCPU, 64GB RAM, 8GB GPU)</t>
  </si>
  <si>
    <t>ECS price</t>
  </si>
  <si>
    <t>Windows License</t>
  </si>
  <si>
    <t>Total VM (ECS + Win)</t>
  </si>
  <si>
    <t>PAYG</t>
  </si>
  <si>
    <t>PAYG - Full Month</t>
  </si>
  <si>
    <t>Oneclick licences</t>
  </si>
  <si>
    <t xml:space="preserve">Description </t>
  </si>
  <si>
    <t xml:space="preserve">Commitment </t>
  </si>
  <si>
    <t>Yearly</t>
  </si>
  <si>
    <t>Monthly</t>
  </si>
  <si>
    <t>App</t>
  </si>
  <si>
    <t>DeH c6</t>
  </si>
  <si>
    <t>ok</t>
  </si>
  <si>
    <t>Dedicated Host (DeH) - c6 server</t>
  </si>
  <si>
    <t xml:space="preserve">Nombre d'instances </t>
  </si>
  <si>
    <t xml:space="preserve">Heures d'utilisation </t>
  </si>
  <si>
    <t xml:space="preserve">OS </t>
  </si>
  <si>
    <t xml:space="preserve">Windows </t>
  </si>
  <si>
    <t xml:space="preserve">Yearly - oneclick User Professional (pay-per-license) </t>
  </si>
  <si>
    <t>Monthly - oneclick User Professional (pay-per-license)</t>
  </si>
  <si>
    <t>Yearly - oneclick User Professional (pay-per-pool)</t>
  </si>
  <si>
    <t>Monthly - oneclick User Professional (pay-per-pool)</t>
  </si>
  <si>
    <t>Yearly - oneclick User Professional (pay-per-use)</t>
  </si>
  <si>
    <t>Monthly - oneclick User Professional (pay-per-use)</t>
  </si>
  <si>
    <t>Yearly - oneclick High Performance App (pay-per-license)</t>
  </si>
  <si>
    <t>Monthly - oneclick High Performance App (pay-per-pool)</t>
  </si>
  <si>
    <t>Monthly - oneclick High Performance App (pay-per-license)</t>
  </si>
  <si>
    <t>Yearly - oneclick High Performance App (pay-per-pool)</t>
  </si>
  <si>
    <t>Yearly - oneclick High Performance App (pay-per-use)</t>
  </si>
  <si>
    <t>Monthly - oneclick High Performance App (pay-per-use)</t>
  </si>
  <si>
    <t>Windows Server for DeH and DeC</t>
  </si>
  <si>
    <t>Licence WINDOWS Server OS image 2008, 2012, 2016</t>
  </si>
  <si>
    <t>Licences DeH c6</t>
  </si>
  <si>
    <t xml:space="preserve">Licences RDS standard / entreprise </t>
  </si>
  <si>
    <t xml:space="preserve">VDI oneclick </t>
  </si>
  <si>
    <t>    0,1540 €</t>
  </si>
  <si>
    <t>        28,00 €</t>
  </si>
  <si>
    <t>d3m</t>
  </si>
  <si>
    <t>CBR</t>
  </si>
  <si>
    <t xml:space="preserve">€ per GB </t>
  </si>
  <si>
    <t>Transfered outgoing data from CBR</t>
  </si>
  <si>
    <t xml:space="preserve">Cloud Backup and Recovery Cross Region </t>
  </si>
  <si>
    <t>GB</t>
  </si>
  <si>
    <t>excl tax Price</t>
  </si>
  <si>
    <t>oneclick User Basic (pay-per-license)</t>
  </si>
  <si>
    <t>oneclick User Basic (pay-per-pool)</t>
  </si>
  <si>
    <t>oneclick User Basic (pay-per-use)</t>
  </si>
  <si>
    <t>oneclick 1GB Hybrid Drive</t>
  </si>
  <si>
    <t>Yearly/Monthly</t>
  </si>
  <si>
    <t>oneclick Standard App (pay-per-license)</t>
  </si>
  <si>
    <t>oneclick Standard App (pay-per-pool)</t>
  </si>
  <si>
    <t>oneclick Standard App (pay-per-use)</t>
  </si>
  <si>
    <t>User Add-On</t>
  </si>
  <si>
    <t>oneclick Standard App Managed VDI (pay-per-license)</t>
  </si>
  <si>
    <t>oneclick Standard App Managed VDI (pay-per-pool)</t>
  </si>
  <si>
    <t>oneclick Standard App Managed VDI (pay-per-use)</t>
  </si>
  <si>
    <t>oneclick High Performance App Managed VDI (pay-per-license)</t>
  </si>
  <si>
    <t>oneclick High Performance App Managed VDI (pay-per-pool)</t>
  </si>
  <si>
    <t>oneclick High Performance App Managed VDI (pay-per-use)</t>
  </si>
  <si>
    <t>oneclick Multi-Monitor for High-Performance App (+3)</t>
  </si>
  <si>
    <t>oneclick Multi-Monitor for Standard App (+1)</t>
  </si>
  <si>
    <t>Customeradmin</t>
  </si>
  <si>
    <t>Managed Backup</t>
  </si>
  <si>
    <t>Managed Security</t>
  </si>
  <si>
    <t>Managed Service</t>
  </si>
  <si>
    <t>App Add-On</t>
  </si>
  <si>
    <t>Adminuser</t>
  </si>
  <si>
    <t>Dedicated Host (DeH) - c6_pro server</t>
  </si>
  <si>
    <t>Windows license for Paris - DeH c6 (74 vCPU, 148 GB RAM)</t>
  </si>
  <si>
    <t>Suse SLES license for Paris - DeH c6 (74 vCPU, 148 GB RAM)</t>
  </si>
  <si>
    <t>Suse SLES for SAP license for Paris - DeH c6 (74 vCPU, 148 GB RAM)</t>
  </si>
  <si>
    <t>RedHat RHEL license for Paris - DeH c6 (74 vCPU, 148 GB RAM)</t>
  </si>
  <si>
    <t>Windows license for Paris - DeH c6_pro (74 vCPU, 296 GB RAM)</t>
  </si>
  <si>
    <t>Suse SLES license for Paris - DeH c6_pro (74 vCPU, 296 GB RAM)</t>
  </si>
  <si>
    <t>Suse SLES for SAP license for Paris - DeH c6_pro (74 vCPU, 296 GB RAM)</t>
  </si>
  <si>
    <t>RedHat RHEL license for Paris - DeH c6_pro (74 vCPU, 296 GB RAM)</t>
  </si>
  <si>
    <t>€/Heure en sus des Prix ECS, RDS, Microsoft Serveur
[5][5bis]</t>
  </si>
  <si>
    <t>€/mois en sus des Prix ECS, RDS, Microsoft Sever
[18bis]</t>
  </si>
  <si>
    <t xml:space="preserve">MSSQL Web Edition </t>
  </si>
  <si>
    <t xml:space="preserve">MSSQL WEB EDITION </t>
  </si>
  <si>
    <t xml:space="preserve">DEH C6 </t>
  </si>
  <si>
    <t>DEH C6 PRO</t>
  </si>
  <si>
    <t xml:space="preserve">CBR CROSS REGION </t>
  </si>
  <si>
    <t xml:space="preserve">HSS (prix à 0 pour avril, billed à partir de mai) </t>
  </si>
  <si>
    <t>Free package</t>
  </si>
  <si>
    <t>Enterprise</t>
  </si>
  <si>
    <t>Enterprise package</t>
  </si>
  <si>
    <t>Premium Package</t>
  </si>
  <si>
    <t>WTP</t>
  </si>
  <si>
    <t>WTP package</t>
  </si>
  <si>
    <t xml:space="preserve">€/ per hour per VM </t>
  </si>
  <si>
    <t xml:space="preserve">HSS - Host Security Service </t>
  </si>
  <si>
    <t xml:space="preserve">Nombre de VM </t>
  </si>
  <si>
    <t>Prix HT/Heure</t>
  </si>
  <si>
    <t xml:space="preserve">Edition type </t>
  </si>
  <si>
    <t xml:space="preserve">HSS implémentation des prix donnés en avril </t>
  </si>
  <si>
    <t xml:space="preserve">EVS high IO </t>
  </si>
  <si>
    <t xml:space="preserve">VDI (s3v) </t>
  </si>
  <si>
    <t>May ED2</t>
  </si>
  <si>
    <t xml:space="preserve">FRI I3 : Paris et AMS </t>
  </si>
  <si>
    <t xml:space="preserve">June </t>
  </si>
  <si>
    <t xml:space="preserve">catalogue spécifique storage </t>
  </si>
  <si>
    <t xml:space="preserve">catalogue spécifique compute </t>
  </si>
  <si>
    <t>€/ per hour</t>
  </si>
  <si>
    <t xml:space="preserve">VPC Endpoint </t>
  </si>
  <si>
    <t>VPC ENDPOINT PARIS AMS ATL</t>
  </si>
  <si>
    <t xml:space="preserve">Nbre d'heure </t>
  </si>
  <si>
    <t xml:space="preserve">Nb hour </t>
  </si>
  <si>
    <t>excl tax Price/hour</t>
  </si>
  <si>
    <t xml:space="preserve">DeH c6 et c6 pro mensualité sans upfront  2 et 3 ans </t>
  </si>
  <si>
    <t>type de user licence : user pro</t>
  </si>
  <si>
    <t xml:space="preserve">type d'app licence : high perf </t>
  </si>
  <si>
    <t xml:space="preserve">type de user licence user basic </t>
  </si>
  <si>
    <t xml:space="preserve">type d'app licence : standard </t>
  </si>
  <si>
    <t xml:space="preserve">type d'add on </t>
  </si>
  <si>
    <t xml:space="preserve">Nombre de user </t>
  </si>
  <si>
    <t xml:space="preserve">Type de user licence </t>
  </si>
  <si>
    <t xml:space="preserve">Type d'app license </t>
  </si>
  <si>
    <t xml:space="preserve">VDI Oneclick quotation </t>
  </si>
  <si>
    <t xml:space="preserve">Nombre d'add on </t>
  </si>
  <si>
    <t xml:space="preserve">Type d'add on </t>
  </si>
  <si>
    <t xml:space="preserve">Total </t>
  </si>
  <si>
    <t xml:space="preserve">CBR a 0 </t>
  </si>
  <si>
    <t xml:space="preserve">Total VDI Oneclick Prix HT / mois </t>
  </si>
  <si>
    <t xml:space="preserve">Licence user type </t>
  </si>
  <si>
    <t xml:space="preserve">App licence type </t>
  </si>
  <si>
    <t xml:space="preserve">Add on type </t>
  </si>
  <si>
    <t xml:space="preserve">Number of users </t>
  </si>
  <si>
    <t xml:space="preserve">Number of add on </t>
  </si>
  <si>
    <t xml:space="preserve">Total VDI Oneclick excl tax Price/month </t>
  </si>
  <si>
    <t>Instance réservée flexible 2 ans sans frais initiaux
€ / mois</t>
  </si>
  <si>
    <t>Instance réservée flexible 5 ans sans frais initiaux
€ / mois  [2] (pour les tenants managés uniquement)</t>
  </si>
  <si>
    <t>Dedicated Host (DeH) - m6 server</t>
  </si>
  <si>
    <t>Windows license for Paris - DeH m6 (76 vCPU, 608 GB RAM)</t>
  </si>
  <si>
    <t>Suse SLES license for Paris - DeH m6 (76 vCPU, 608 GB RAM)</t>
  </si>
  <si>
    <t>Suse SLES for SAP license for Paris - DeH m6 (76 vCPU, 608 GB RAM)</t>
  </si>
  <si>
    <t>RedHat RHEL license for Paris - DeH m6 (76 vCPU, 608 GB RAM)</t>
  </si>
  <si>
    <t>Memory Optimized</t>
  </si>
  <si>
    <t xml:space="preserve">2 ans sans frais initiaux </t>
  </si>
  <si>
    <t>RDS - DBaaS Microsoft SQL server WEB (ECS excluded)</t>
  </si>
  <si>
    <t>TOTAL hourly (new price)</t>
  </si>
  <si>
    <t>Total montlhy (new price)</t>
  </si>
  <si>
    <t>2 years without upfront</t>
  </si>
  <si>
    <t xml:space="preserve">legacy : end of sales </t>
  </si>
  <si>
    <t xml:space="preserve">hosted </t>
  </si>
  <si>
    <t>                                                 -   €</t>
  </si>
  <si>
    <t>lcu</t>
  </si>
  <si>
    <t>Dedicated Load Balancer  - L4 - Small I - 1AZ - ELB v3</t>
  </si>
  <si>
    <t>Dedicated Load Balancer  - L4 - Small II - 1AZ - ELB v3</t>
  </si>
  <si>
    <t>Dedicated Load Balancer  - L4 - Medium I - 1AZ - ELB v3</t>
  </si>
  <si>
    <t>Dedicated Load Balancer  - L4 - Medium II - 1AZ - ELB v3</t>
  </si>
  <si>
    <t>Dedicated Load Balancer  - L4 - Large I - 1AZ - ELB v3</t>
  </si>
  <si>
    <t>Dedicated Load Balancer  - L4 - Large II - 1AZ - ELB v3</t>
  </si>
  <si>
    <t>Dedicated Load Balancer  - L4 - Small I - 2AZ - ELB v3</t>
  </si>
  <si>
    <t>Dedicated Load Balancer  - L4 - Small II - 2AZ - ELB v3</t>
  </si>
  <si>
    <t>Dedicated Load Balancer  - L4 - Medium I - 2AZ - ELB v3</t>
  </si>
  <si>
    <t>Dedicated Load Balancer  - L4 - Medium II - 2AZ - ELB v3</t>
  </si>
  <si>
    <t>Dedicated Load Balancer  - L4 - Large I - 2AZ - ELB v3</t>
  </si>
  <si>
    <t>Dedicated Load Balancer  - L4 - Large II - 2AZ - ELB v3</t>
  </si>
  <si>
    <t>Dedicated Load Balancer  - L7 - Small I - 1AZ - ELB v3</t>
  </si>
  <si>
    <t>Dedicated Load Balancer  - L7 - Small II - 1AZ - ELB v3</t>
  </si>
  <si>
    <t>Dedicated Load Balancer  - L7 - Medium I - 1AZ - ELB v3</t>
  </si>
  <si>
    <t>Dedicated Load Balancer  - L7 - Medium II - 1AZ - ELB v3</t>
  </si>
  <si>
    <t>Dedicated Load Balancer  - L7 - Large I - 1AZ - ELB v3</t>
  </si>
  <si>
    <t>Dedicated Load Balancer  - L7 - Large II - 1AZ - ELB v3</t>
  </si>
  <si>
    <t>Dedicated Load Balancer  - L7 - Small I - 2AZ - ELB v3</t>
  </si>
  <si>
    <t>Dedicated Load Balancer  - L7 - Small II - 2AZ - ELB v3</t>
  </si>
  <si>
    <t>Dedicated Load Balancer  - L7 - Medium I - 2AZ - ELB v3</t>
  </si>
  <si>
    <t>Dedicated Load Balancer  - L7 - Medium II - 2AZ - ELB v3</t>
  </si>
  <si>
    <t>Dedicated Load Balancer  - L7 - Large I - 2AZ - ELB v3</t>
  </si>
  <si>
    <t>Dedicated Load Balancer  - L7 - Large II - 2AZ - ELB v3</t>
  </si>
  <si>
    <t>Data Lake Governance Center</t>
  </si>
  <si>
    <t>vCPUs | Memory</t>
  </si>
  <si>
    <t>Data integration</t>
  </si>
  <si>
    <t>cdm.large</t>
  </si>
  <si>
    <t>8 vCPUs | 16 GB</t>
  </si>
  <si>
    <t>cdm.xlarge</t>
  </si>
  <si>
    <t>16 vCPUs | 32 GB</t>
  </si>
  <si>
    <t>cdm.4xlarge</t>
  </si>
  <si>
    <t>64 vCPUs | 128 GB</t>
  </si>
  <si>
    <t xml:space="preserve">Data development </t>
  </si>
  <si>
    <t xml:space="preserve">Starter </t>
  </si>
  <si>
    <t>Graph Size</t>
  </si>
  <si>
    <t>Million Edge</t>
  </si>
  <si>
    <t>Ten Million Edge</t>
  </si>
  <si>
    <t>Hundred Million Edge</t>
  </si>
  <si>
    <t>Billion Edge</t>
  </si>
  <si>
    <t>Billion Edge Pro</t>
  </si>
  <si>
    <t>Ten Billion Edge</t>
  </si>
  <si>
    <t xml:space="preserve">Product </t>
  </si>
  <si>
    <t xml:space="preserve">€/month </t>
  </si>
  <si>
    <t>Professional  WI-100</t>
  </si>
  <si>
    <t xml:space="preserve">0.847 </t>
  </si>
  <si>
    <t>Enterprise  WI-500</t>
  </si>
  <si>
    <t>proxy cluster redis 4.0/5.0 instance</t>
  </si>
  <si>
    <t>redis.proxy.xu1.large.4</t>
  </si>
  <si>
    <t>redis.proxy.xu1.large.8</t>
  </si>
  <si>
    <t>redis.proxy.xu1.large.16</t>
  </si>
  <si>
    <t>redis.proxy.xu1.large.24</t>
  </si>
  <si>
    <t>redis.proxy.xu1.large.32</t>
  </si>
  <si>
    <t>redis.proxy.xu1.large.48</t>
  </si>
  <si>
    <t>redis.proxy.xu1.large.64</t>
  </si>
  <si>
    <t>redis.proxy.xu1.large.96</t>
  </si>
  <si>
    <t>redis.proxy.xu1.large.128</t>
  </si>
  <si>
    <t>redis.proxy.xu1.large.192</t>
  </si>
  <si>
    <t>redis.proxy.xu1.large.256</t>
  </si>
  <si>
    <t>redis.proxy.xu1.large.384</t>
  </si>
  <si>
    <t>redis.proxy.xu1.large.512</t>
  </si>
  <si>
    <t>redis.proxy.xu1.large.768</t>
  </si>
  <si>
    <t>redis.proxy.xu1.large.1024</t>
  </si>
  <si>
    <t>995 € </t>
  </si>
  <si>
    <t>CSE</t>
  </si>
  <si>
    <t>flavor (Name)</t>
  </si>
  <si>
    <t xml:space="preserve">price per hour </t>
  </si>
  <si>
    <t>cse.s1.small</t>
  </si>
  <si>
    <t>cse.s1.large</t>
  </si>
  <si>
    <t>cse.s1.xlarge</t>
  </si>
  <si>
    <t>Memory(GB)</t>
  </si>
  <si>
    <t>RocketMQ Flavor</t>
    <phoneticPr fontId="1" type="noConversion"/>
  </si>
  <si>
    <t>Broker Number</t>
    <phoneticPr fontId="1" type="noConversion"/>
  </si>
  <si>
    <t>Total Billing Unit</t>
    <phoneticPr fontId="1" type="noConversion"/>
  </si>
  <si>
    <t>FE Flavor Name</t>
  </si>
  <si>
    <t>Brokers</t>
  </si>
  <si>
    <t>Brokers Spec</t>
  </si>
  <si>
    <t>Pricing(€/hour) FE</t>
  </si>
  <si>
    <t>rocketmq.4u8g.cluster.small</t>
  </si>
  <si>
    <t>rocketmq.4u8g.cluster.small.1</t>
  </si>
  <si>
    <t>4 vCPU - 8Go RAM</t>
  </si>
  <si>
    <t>rocketmq.4u8g.cluster.small.2</t>
  </si>
  <si>
    <t>rocketmq.4u8g.cluster</t>
  </si>
  <si>
    <t>rocketmq.4u8g.cluster.1</t>
  </si>
  <si>
    <t>rocketmq.4u8g.cluster.2</t>
  </si>
  <si>
    <t>rocketmq.4u8g.cluster.3</t>
  </si>
  <si>
    <t>rocketmq.4u8g.cluster.4</t>
  </si>
  <si>
    <t>rocketmq.4u8g.cluster.5</t>
  </si>
  <si>
    <t>rocketmq.4u8g.cluster.6</t>
  </si>
  <si>
    <t>rocketmq.4u8g.cluster.7</t>
  </si>
  <si>
    <t>rocketmq.4u8g.cluster.8</t>
  </si>
  <si>
    <t>rocketmq.4u8g.cluster.9</t>
  </si>
  <si>
    <t>rocketmq.4u8g.cluster.10</t>
  </si>
  <si>
    <t>rocketmq.8u16g.cluster</t>
  </si>
  <si>
    <t>rocketmq.8u16g.cluster.1</t>
  </si>
  <si>
    <t>8 vCPU - 16Go RAM</t>
  </si>
  <si>
    <t>rocketmq.8u16g.cluster.2</t>
  </si>
  <si>
    <t>rocketmq.8u16g.cluster.3</t>
  </si>
  <si>
    <t>rocketmq.8u16g.cluster.4</t>
  </si>
  <si>
    <t>rocketmq.8u16g.cluster.5</t>
  </si>
  <si>
    <t>rocketmq.8u16g.cluster.6</t>
  </si>
  <si>
    <t>rocketmq.8u16g.cluster.7</t>
  </si>
  <si>
    <t>rocketmq.8u16g.cluster.8</t>
  </si>
  <si>
    <t>rocketmq.8u16g.cluster.9</t>
  </si>
  <si>
    <t>rocketmq.8u16g.cluster.10</t>
  </si>
  <si>
    <t>rocketmq.12u24g.cluster</t>
  </si>
  <si>
    <t>rocketmq.12u24g.cluster.1</t>
  </si>
  <si>
    <t>12 vCPU - 24Go RAM</t>
  </si>
  <si>
    <t>rocketmq.12u24g.cluster.2</t>
  </si>
  <si>
    <t>rocketmq.12u24g.cluster.3</t>
  </si>
  <si>
    <t>rocketmq.12u24g.cluster.4</t>
  </si>
  <si>
    <t>rocketmq.12u24g.cluster.5</t>
  </si>
  <si>
    <t>rocketmq.12u24g.cluster.6</t>
  </si>
  <si>
    <t>rocketmq.12u24g.cluster.7</t>
  </si>
  <si>
    <t>rocketmq.12u24g.cluster.8</t>
  </si>
  <si>
    <t>rocketmq.12u24g.cluster.9</t>
  </si>
  <si>
    <t>rocketmq.12u24g.cluster.10</t>
  </si>
  <si>
    <t>rocketmq.16u32g.cluster</t>
  </si>
  <si>
    <t>rocketmq.16u32g.cluster.1</t>
  </si>
  <si>
    <t>16 vCPU - 32Go RAM</t>
  </si>
  <si>
    <t>rocketmq.16u32g.cluster.2</t>
  </si>
  <si>
    <t>rocketmq.16u32g.cluster.3</t>
  </si>
  <si>
    <t>rocketmq.16u32g.cluster.4</t>
  </si>
  <si>
    <t>rocketmq.16u32g.cluster.5</t>
  </si>
  <si>
    <t>rocketmq.16u32g.cluster.6</t>
  </si>
  <si>
    <t>rocketmq.16u32g.cluster.7</t>
  </si>
  <si>
    <t>rocketmq.16u32g.cluster.8</t>
  </si>
  <si>
    <t>rocketmq.16u32g.cluster.9</t>
  </si>
  <si>
    <t>rocketmq.16u32g.cluster.10</t>
  </si>
  <si>
    <t>DMS RocketMQ Service</t>
  </si>
  <si>
    <t xml:space="preserve">Prix HT/mois </t>
  </si>
  <si>
    <t>Coef inflation</t>
  </si>
  <si>
    <t>Prix/h avant inflat°</t>
  </si>
  <si>
    <t>16xlarge (64 vCPU, 128GB RAM)</t>
  </si>
  <si>
    <t>3xlarge (12 vCPU, 32GB RAM)</t>
  </si>
  <si>
    <t>19xlarge (76vCPU</t>
  </si>
  <si>
    <t>12x large</t>
  </si>
  <si>
    <t>6xlarge (24vCPU</t>
  </si>
  <si>
    <t>32xlarge (128 vCPU, 304GB RAM)</t>
  </si>
  <si>
    <t>GaussDB storage</t>
  </si>
  <si>
    <t>gaussdb.influxdb.dfvpool.3az.ultrahigh</t>
  </si>
  <si>
    <t>gaussdb.cassandra.dfvpool.3az.ultrahigh</t>
  </si>
  <si>
    <t>gaussdb.influxdb.backup.space.dfv</t>
  </si>
  <si>
    <t>gaussdb.cassandra.backup.space.dfv</t>
  </si>
  <si>
    <t>GaussDB backup</t>
  </si>
  <si>
    <t>API Gateway - Dedicated Version</t>
  </si>
  <si>
    <t>264 vCPU</t>
  </si>
  <si>
    <t>Dedicated Host (DeH) - s6 server</t>
  </si>
  <si>
    <t>144 vCPU</t>
  </si>
  <si>
    <t>Dedicated Host (DeH) - s6_pro server</t>
  </si>
  <si>
    <t>Backup</t>
  </si>
  <si>
    <t>geminidb.influxdb.xlarge.4 - 4vCPU, 16GB</t>
  </si>
  <si>
    <t>geminidb.influxdb.2xlarge.4 - 8vCPU, 32GB</t>
  </si>
  <si>
    <t>geminidb.influxdb.4xlarge.4 - 16vCPU, 64GB</t>
  </si>
  <si>
    <t>geminidb.influxdb.8xlarge.4 - 32vCPU, 128GB</t>
  </si>
  <si>
    <t>geminidb.cassandra.xlarge.4 - 4vCPU, 16GB</t>
  </si>
  <si>
    <t>geminidb.cassandra..2xlarge.4 - 8vCPU, 32GB</t>
  </si>
  <si>
    <t>geminidb.cassandra.4xlarge.4 - 16vCPU, 64GB</t>
  </si>
  <si>
    <t>geminidb.cassandra..8xlarge.4 - 32vCPU, 128GB</t>
  </si>
  <si>
    <t>Nb de GB</t>
  </si>
  <si>
    <t>Nb of GB</t>
  </si>
  <si>
    <t>excl tax Price/Month</t>
  </si>
  <si>
    <t>Edition</t>
    <phoneticPr fontId="1" type="noConversion"/>
  </si>
  <si>
    <t>Hourly price(€)</t>
    <phoneticPr fontId="1" type="noConversion"/>
  </si>
  <si>
    <t>Trafic Bande passante</t>
  </si>
  <si>
    <t>Up to 20 Mbps</t>
  </si>
  <si>
    <t>From 21 Mbps to 50 Mbps</t>
  </si>
  <si>
    <t>From 51 Mbps to 200 Mbps</t>
  </si>
  <si>
    <t>From 201 Mbps to 500 Mbps</t>
  </si>
  <si>
    <t>From 501 Mbps to 750 Mbps</t>
  </si>
  <si>
    <t>From 751 Mbps to 1000 Mbps</t>
  </si>
  <si>
    <t>From 1001 Mpbs to 2000 Mbps</t>
  </si>
  <si>
    <t>Above</t>
  </si>
  <si>
    <t>Bandwidth trafic</t>
  </si>
  <si>
    <t>Price / Mbps / month</t>
  </si>
  <si>
    <t>Basic - (2000 transactions per secondes max.)</t>
  </si>
  <si>
    <t>Professional - (4000 transactions per secondes max.)</t>
  </si>
  <si>
    <t>Enterprise - (6000 transactions per secondes max.)</t>
  </si>
  <si>
    <t>Platinum - (10000 transactions per secondes max.)</t>
  </si>
  <si>
    <t>Bandwidth (optional)</t>
  </si>
  <si>
    <t>Refers to bandwidth prices)</t>
  </si>
  <si>
    <t>GaussDB instances</t>
  </si>
  <si>
    <t>March 2023</t>
  </si>
  <si>
    <t>API Gateway dedicaterd : ajout du service dans la liste de prix + deviseurs (ligne 1547)</t>
  </si>
  <si>
    <t>Trafic : Ajout des prix du traffic au modèle Bande Passante à la liste de prix + deviseurs (ligne 1341)</t>
  </si>
  <si>
    <t>Databases : Ajout des flavors pour le stockage et le backup de GaussDB à la liste des prix + deviseurs (ligne 2718-26, mais cachés dans le deviseur)</t>
  </si>
  <si>
    <r>
      <t xml:space="preserve">DeH : ajout des flavors </t>
    </r>
    <r>
      <rPr>
        <i/>
        <sz val="11"/>
        <color theme="1"/>
        <rFont val="Calibri"/>
        <family val="2"/>
        <scheme val="minor"/>
      </rPr>
      <t>s6 server</t>
    </r>
    <r>
      <rPr>
        <sz val="11"/>
        <color theme="1"/>
        <rFont val="Calibri"/>
        <family val="2"/>
        <scheme val="minor"/>
      </rPr>
      <t xml:space="preserve"> &amp; </t>
    </r>
    <r>
      <rPr>
        <i/>
        <sz val="11"/>
        <color theme="1"/>
        <rFont val="Calibri"/>
        <family val="2"/>
        <scheme val="minor"/>
      </rPr>
      <t>s6_pro server</t>
    </r>
    <r>
      <rPr>
        <sz val="11"/>
        <color theme="1"/>
        <rFont val="Calibri"/>
        <family val="2"/>
        <scheme val="minor"/>
      </rPr>
      <t xml:space="preserve"> en PAYGO à la liste des prix + deviseurs (ligne 2296)</t>
    </r>
  </si>
  <si>
    <t>REPRISE GDU</t>
  </si>
  <si>
    <t>Trafic en bande passante</t>
  </si>
  <si>
    <r>
      <rPr>
        <b/>
        <sz val="11"/>
        <color theme="1"/>
        <rFont val="Calibri"/>
        <family val="2"/>
        <scheme val="minor"/>
      </rPr>
      <t>Basic</t>
    </r>
    <r>
      <rPr>
        <sz val="11"/>
        <color theme="1"/>
        <rFont val="Calibri"/>
        <family val="2"/>
        <scheme val="minor"/>
      </rPr>
      <t xml:space="preserve"> - (2000 transactions per secondes max.)</t>
    </r>
  </si>
  <si>
    <r>
      <rPr>
        <b/>
        <sz val="11"/>
        <color theme="1"/>
        <rFont val="Calibri"/>
        <family val="2"/>
        <scheme val="minor"/>
      </rPr>
      <t>Professiona</t>
    </r>
    <r>
      <rPr>
        <sz val="11"/>
        <color theme="1"/>
        <rFont val="Calibri"/>
        <family val="2"/>
        <scheme val="minor"/>
      </rPr>
      <t>l - (4000 transactions per secondes max.)</t>
    </r>
  </si>
  <si>
    <r>
      <rPr>
        <b/>
        <sz val="11"/>
        <color theme="1"/>
        <rFont val="Calibri"/>
        <family val="2"/>
        <scheme val="minor"/>
      </rPr>
      <t>Enterprise -</t>
    </r>
    <r>
      <rPr>
        <sz val="11"/>
        <color theme="1"/>
        <rFont val="Calibri"/>
        <family val="2"/>
        <scheme val="minor"/>
      </rPr>
      <t xml:space="preserve"> (6000 transactions per secondes max.)</t>
    </r>
  </si>
  <si>
    <r>
      <rPr>
        <b/>
        <sz val="11"/>
        <color theme="1"/>
        <rFont val="Calibri"/>
        <family val="2"/>
        <scheme val="minor"/>
      </rPr>
      <t>Platinum</t>
    </r>
    <r>
      <rPr>
        <sz val="11"/>
        <color theme="1"/>
        <rFont val="Calibri"/>
        <family val="2"/>
        <scheme val="minor"/>
      </rPr>
      <t xml:space="preserve"> - (10000 transactions per secondes max.)</t>
    </r>
  </si>
  <si>
    <t>Anciens prix avant mise à 0€ le 01/03/2023 (vu avec Nicolas &amp; Richard)</t>
  </si>
  <si>
    <t>BMS C6 cbg : passage à 0€ en CA</t>
  </si>
  <si>
    <t>Remplacement de "Graphic" par "Graph" pour le service GES</t>
  </si>
  <si>
    <t>Graph Engine Service</t>
  </si>
  <si>
    <t>Web Application Firewall</t>
  </si>
  <si>
    <t>Nb d'heures totales (somme des heures sur chaque domaine)</t>
  </si>
  <si>
    <t>Sum of hours of protection on all domains</t>
  </si>
  <si>
    <t xml:space="preserve">Dedicated WAF (for a project only, independent of the number of domains) </t>
  </si>
  <si>
    <t>Nb of requests</t>
  </si>
  <si>
    <t>Nb de requêtes</t>
  </si>
  <si>
    <r>
      <t xml:space="preserve">Dedicated WAF - Dedicated Web Application Firewall </t>
    </r>
    <r>
      <rPr>
        <b/>
        <i/>
        <sz val="8"/>
        <color theme="1"/>
        <rFont val="Calibri"/>
        <family val="2"/>
        <scheme val="minor"/>
      </rPr>
      <t>(independent of the number of domains)</t>
    </r>
  </si>
  <si>
    <r>
      <t xml:space="preserve">Dedicated WAF - Dedicated Web Application Firewall </t>
    </r>
    <r>
      <rPr>
        <b/>
        <i/>
        <sz val="8"/>
        <color theme="1"/>
        <rFont val="Calibri"/>
        <family val="2"/>
        <scheme val="minor"/>
      </rPr>
      <t>(indépendant du nombre de domaines)</t>
    </r>
  </si>
  <si>
    <t>Europe</t>
  </si>
  <si>
    <t xml:space="preserve">17% la facture avec un minimum de 2000€/mois </t>
  </si>
  <si>
    <t>17% of the bill before discount excluding setup fees with a minimum of 2000€/month</t>
  </si>
  <si>
    <t>Europe : offre de support conçue pour les clients qui veulent être surs que leurs données ne sont pas transférées ou accessibles en dehors de l'UE</t>
  </si>
  <si>
    <t>April 2023</t>
  </si>
  <si>
    <t>Ajout du niveau de support Europe dans liste de prix (l.1580) et les deviseurs</t>
  </si>
  <si>
    <t>3 ans sans frais initiaux</t>
  </si>
  <si>
    <t>Deviseur : modification des RI3Y sans ufront : passage de "Managed Applications Only" à disponible pour tous les clients</t>
  </si>
  <si>
    <t>3 years without upfront</t>
  </si>
  <si>
    <t>Deviseur : ajout du service Dedicated WAF dans les deviseurs (l.461)</t>
  </si>
  <si>
    <t>Trafic Bandwidth</t>
  </si>
  <si>
    <t>Pricelist : modification prix stockage EVS sur service DWS (0,1150€ au lieu de 0,2240€) (l.2480)</t>
  </si>
  <si>
    <t>Pricelist : suppression de ligne "storage" sur le service DWS qui était un doublon (l.2482)</t>
  </si>
  <si>
    <t>Hourly PAYG</t>
  </si>
  <si>
    <t>€/hourly</t>
  </si>
  <si>
    <t>Pricelist : passage à la facturation horaire pour les BMS en GA (l.437)</t>
  </si>
  <si>
    <t>Prix /heure</t>
  </si>
  <si>
    <t>Pricelist : passage à la facturation horaire pour les DeH et DeC (l.2291)</t>
  </si>
  <si>
    <t>Nb d'instances</t>
  </si>
  <si>
    <t>Nb of instances</t>
  </si>
  <si>
    <t>Broker number</t>
  </si>
  <si>
    <t>Flavor name</t>
  </si>
  <si>
    <t>Broker spec</t>
  </si>
  <si>
    <t>Nombre de clusters</t>
  </si>
  <si>
    <t>Number of clusters</t>
  </si>
  <si>
    <t>[APIGD] API Gateway Dedicated</t>
  </si>
  <si>
    <t>API Gateway Dedicated</t>
  </si>
  <si>
    <t>[DB] GaussDB No SQL - Instances</t>
  </si>
  <si>
    <t>[DB] GaussDB No SQL - Stockage et Backup</t>
  </si>
  <si>
    <t>[DB] GaussDB No SQL - Storage et Backup</t>
  </si>
  <si>
    <t>MRS -  On-demand instances</t>
  </si>
  <si>
    <t>s3.xlarge.4 (4 vCPU, 16GB RAM)</t>
  </si>
  <si>
    <t>s3.2xlarge.4 (8 vCPU, 32GB RAM)</t>
  </si>
  <si>
    <t>s3.4xlarge.4 (16 vCPU, 64GB RAM)</t>
  </si>
  <si>
    <t>d1.xlarge (6 vCPU, 55GB RAM, 3*1.8TB)</t>
  </si>
  <si>
    <t>d1.2xlarge (12 vCPU, 110GB RAM, 6*1.8TB)</t>
  </si>
  <si>
    <t>d1.4xlarge (24 vCPU, 220GB RAM, 12*1.8TB)</t>
  </si>
  <si>
    <t>d1.8xlarge (48 vCPU, 440GB RAM, 24*1.8TB)</t>
  </si>
  <si>
    <t>d2.xlarge.8 (4 vCPU, 32GB RAM, 2*1.8TB)</t>
  </si>
  <si>
    <t>d2.2xlarge.8 (8 vCPU, 64GB RAM, 4*1.8TB)</t>
  </si>
  <si>
    <t>cc3.xlarge.4 (4 vCPU, 16GB RAM)</t>
  </si>
  <si>
    <t>cc3.2xlarge.4 (8 vCPU, 32GB RAM)</t>
  </si>
  <si>
    <t>cc3.4xlarge.4 (16 vCPU, 64GB RAM)</t>
  </si>
  <si>
    <t>cc3.8xlarge.4 (32 vCPU, 128GB RAM)</t>
  </si>
  <si>
    <t>d3.xlarge.8 (4 vCPU, 32GB RAM, 2*1.8TB)</t>
  </si>
  <si>
    <t>d3.2xlarge.8 (8 vCPU, 64GB RAM, 4*1.8TB)</t>
  </si>
  <si>
    <t>i3.2xlarge.8 (8 vCPU, 64GB RAM, 1*1.8TB)</t>
  </si>
  <si>
    <t>i3.8xlarge.8 (32vCPU, 256GB RAM, 4*1.8TB)</t>
  </si>
  <si>
    <t>m6.2xlarge.8 (8 vCPU, 64GB RAM)</t>
  </si>
  <si>
    <t>m6.4xlarge.8 (16 vCPU, 128GB RAM)</t>
  </si>
  <si>
    <t>m6.8xlarge.8 (32 vCPU, 256GB RAM)</t>
  </si>
  <si>
    <t>m6.16xlarge.8 (64 vCPU, 512GB RAM)</t>
  </si>
  <si>
    <t>c3.4xlarge.2 (16 vCPU, 32GB RAM)</t>
  </si>
  <si>
    <t>c6.4xlarge.2 (16 vCPU, 32GB RAM)</t>
  </si>
  <si>
    <t>c6.4xlarge.4 (16 vCPU, 64GB RAM)</t>
  </si>
  <si>
    <t>c6.6xlarge.4 (24 vCPU, 96GB RAM)</t>
  </si>
  <si>
    <t>c6.8xlarge.4 (32 vCPU, 128GB RAM)</t>
  </si>
  <si>
    <t>c6.16xlarge.4 (64 vCPU, 256GB RAM)</t>
  </si>
  <si>
    <t>s3.4xlarge.2 (16 vCPU, 32GB RAM)</t>
  </si>
  <si>
    <t>s3.large.2 (2 vCPU, 4GB RAM)</t>
  </si>
  <si>
    <t>s3.xlarge.2 (4 vCPU, 8GB RAM)</t>
  </si>
  <si>
    <t>s3.2xlarge.2 (8 vCPU, 16GB RAM)</t>
  </si>
  <si>
    <t>d2.4xlarge.8 (16 vCPU, 128GB RAM, 8*1.8TB)</t>
  </si>
  <si>
    <t>d2.8xlarge.8 (32 vCPU, 256GB RAM, 16*1.8TB)</t>
  </si>
  <si>
    <t>d3.4xlarge.8 (16 vCPU, 128GB RAM, 8*1.8TB)</t>
  </si>
  <si>
    <t>d3.6xlarge.8 (24 vCPU, 192GB RAM, 12*1.8TB)</t>
  </si>
  <si>
    <t>d3.8xlarge.8 (32 vCPU, 256GB RAM, 16*1.8TB)</t>
  </si>
  <si>
    <t>d3.12xlarge.8 (48 vCPU, 384GB RAM, 24*1.8TB)</t>
  </si>
  <si>
    <t>d3.14xlarge.10 (56 vCPU, 560GB RAM, 28*1.8TB)</t>
  </si>
  <si>
    <t>i3.4xlarge.8 (16 vCPU, 128GB RAM, 2*1.8TB)</t>
  </si>
  <si>
    <t>i3.12xlarge.8 (48 vCPU, 384GB RAM, 6*1.8TB)</t>
  </si>
  <si>
    <t>i3.15xlarge.8 (60 vCPU, 512GB RAM, 12.60TB)</t>
  </si>
  <si>
    <t>MRS service</t>
  </si>
  <si>
    <t>ECS service</t>
  </si>
  <si>
    <t>c3.2xlarge.2 (8 vCPU, 16GB RAM)</t>
  </si>
  <si>
    <t>Service ECS</t>
  </si>
  <si>
    <t>Service MRS</t>
  </si>
  <si>
    <t>Nb d'heures</t>
  </si>
  <si>
    <t>Flavor ECS correspondante</t>
  </si>
  <si>
    <t>Facturé à la granularité à l'heure</t>
  </si>
  <si>
    <t>€/heure en sus des Prix Linux
[18bis]</t>
  </si>
  <si>
    <t>Ajout MRS au quotetool</t>
  </si>
  <si>
    <t>Passage prix Licences BMS à l'heure (l.1275)</t>
  </si>
  <si>
    <t>physical.s4.3xlarge (Controlled Availability for "G" project only) - Weytop</t>
  </si>
  <si>
    <t>physical.g6.26xlarge.8 (Controlled Availability for "G" project only) - Weytop</t>
  </si>
  <si>
    <t>€/heure
base horaire</t>
  </si>
  <si>
    <t>May 2023</t>
  </si>
  <si>
    <t>2*7.4T</t>
  </si>
  <si>
    <t>4*7.4T</t>
  </si>
  <si>
    <t>8*7.4T</t>
  </si>
  <si>
    <t>12*7.4T</t>
  </si>
  <si>
    <t>16*7.4T</t>
  </si>
  <si>
    <t>24*7.4T</t>
  </si>
  <si>
    <t>32*7.4T</t>
  </si>
  <si>
    <t>36*7.4T</t>
  </si>
  <si>
    <t>EVS - General SSD</t>
  </si>
  <si>
    <t>EVS - Extreme SSD</t>
  </si>
  <si>
    <t>EVS - SSD</t>
  </si>
  <si>
    <t>EVS : Ajout prix EVS SSD sur Paris (l.1325)</t>
  </si>
  <si>
    <t xml:space="preserve">CGS - Container Guard Service </t>
  </si>
  <si>
    <t>CGS : Ajout prix CGS sur Paris (l.2678)</t>
  </si>
  <si>
    <t>Ten Thousand Edge</t>
  </si>
  <si>
    <t>GES : Ajout du prix Ten Thousand Edge (l.2727)</t>
  </si>
  <si>
    <t>Delete</t>
  </si>
  <si>
    <t>OBS : Ajout de la ligne "Delete" gratuite (l.1475)</t>
  </si>
  <si>
    <t>m6.3xlarge.8 (12 vCPU, 96GB RAM)</t>
  </si>
  <si>
    <t>m6.6xlarge.8 (24 vCPU, 192GB RAM)</t>
  </si>
  <si>
    <t>c6.8xlarge.2 (32 vCPU, 64GB RAM)</t>
  </si>
  <si>
    <t>c6.16xlarge.2 (64 vCPU, 128GB RAM)</t>
  </si>
  <si>
    <t>Paris - dws.d1.xlarge</t>
  </si>
  <si>
    <t>Paris - dws.volume.ultrahigh</t>
  </si>
  <si>
    <t>DWS : Ajout de prix à Amsterdam + modification prix Paris (l.2526)</t>
  </si>
  <si>
    <t>1 mois = 730 heures</t>
  </si>
  <si>
    <t>MRS : Modification des prix mensuels pour qu'ils correspondent à 730 heures + Ajout de prix à Paris et Amsterdam (l.1624)</t>
  </si>
  <si>
    <t>DMS for Kafka (new billing method)</t>
  </si>
  <si>
    <t>kafka.4u8g.cluster</t>
  </si>
  <si>
    <t>kafka.8u16g.cluster</t>
  </si>
  <si>
    <t>kafka.12u24g.cluster</t>
  </si>
  <si>
    <t>DMS for Kafka - Stockage</t>
  </si>
  <si>
    <t>dms.physical.storage.ultra.v2.reliability</t>
  </si>
  <si>
    <t>dms.physical.storage.high.v2.reliability</t>
  </si>
  <si>
    <t>€/G/mois</t>
  </si>
  <si>
    <t>€/G/heure</t>
  </si>
  <si>
    <t>kafka.2u4g.cluster</t>
    <phoneticPr fontId="1" type="noConversion"/>
  </si>
  <si>
    <t>DMS for Kafka: Ajout des prix + stockage (l.2840)</t>
  </si>
  <si>
    <t>ECS : Ajout des flavors d6 sur Paris (l.114)</t>
  </si>
  <si>
    <r>
      <t xml:space="preserve">ECS : Ajout des licences d6 </t>
    </r>
    <r>
      <rPr>
        <sz val="11"/>
        <rFont val="Calibri"/>
        <family val="2"/>
        <scheme val="minor"/>
      </rPr>
      <t>Windows</t>
    </r>
    <r>
      <rPr>
        <sz val="11"/>
        <color theme="1"/>
        <rFont val="Calibri"/>
        <family val="2"/>
        <scheme val="minor"/>
      </rPr>
      <t>, Suse, Redhat</t>
    </r>
  </si>
  <si>
    <t>ECS s6.4xlarge.4 : licences Windows, Suse, Redhat (sauf SUSE SAP) ajoutées. Manquantes auparavant</t>
  </si>
  <si>
    <t>BMS : Modification prix PAYGO Monthly pour BMS Aspiegel + Ajout prix RI1Y w/o upfront pour BMS Aspiegel  (l.450)</t>
  </si>
  <si>
    <t>Volume a rajouter au Stockage Objet</t>
  </si>
  <si>
    <t>Volume a rajouter au Stockage EVS</t>
  </si>
  <si>
    <t>Free of charge</t>
  </si>
  <si>
    <t>Delete Requests</t>
  </si>
  <si>
    <t>Delete Request</t>
  </si>
  <si>
    <t>Gratuit</t>
  </si>
  <si>
    <t>€/ per month per VM</t>
  </si>
  <si>
    <t xml:space="preserve">€/ per month per VM </t>
  </si>
  <si>
    <t>GES - Graph Engine Service</t>
  </si>
  <si>
    <t>kafka.16u32g.cluster</t>
  </si>
  <si>
    <t>Nombre de brokers</t>
  </si>
  <si>
    <t>DMS for Kafka - Storage</t>
  </si>
  <si>
    <t>Nombre de Go</t>
  </si>
  <si>
    <t>Heures d'utilisation totale</t>
  </si>
  <si>
    <t>Number de Go</t>
  </si>
  <si>
    <t>DWS - Storage</t>
  </si>
  <si>
    <t>Nb de Go</t>
  </si>
  <si>
    <t xml:space="preserve">Dedicated load balancer </t>
  </si>
  <si>
    <t>Cloud excl tax Total price</t>
  </si>
  <si>
    <t>Total estimated monthly price excl tax</t>
  </si>
  <si>
    <t>Reserved instances total upfront price</t>
  </si>
  <si>
    <t>Setup fees Total price</t>
  </si>
  <si>
    <t>Reseved instances total upfront price</t>
  </si>
  <si>
    <t>Stopped Incremental Package Instance</t>
  </si>
  <si>
    <t>cdm.offline</t>
  </si>
  <si>
    <t>DLG : Ajout du cdm online (l.2758)</t>
  </si>
  <si>
    <t>2 ans sans frais initiaux</t>
  </si>
  <si>
    <t>June 2023</t>
  </si>
  <si>
    <t>SFS : Ajout des prix SFS Turbo sur AMS (l.1375)</t>
  </si>
  <si>
    <t>Instances Réservées pour S3/S6 booster</t>
  </si>
  <si>
    <t>Instance Réservée 6 mois sans frais initiaux</t>
  </si>
  <si>
    <t>Instance Réservée 1 mois sans frais initiaux</t>
  </si>
  <si>
    <t>1 mois sans frais initiaux</t>
  </si>
  <si>
    <t>1 month witout upfront</t>
  </si>
  <si>
    <t>6 months without upfront</t>
  </si>
  <si>
    <t>Connexion Directe Legacy (end of sales)</t>
  </si>
  <si>
    <t>Number of agents</t>
  </si>
  <si>
    <t>Nombre d'agents</t>
  </si>
  <si>
    <t>OBS : Le service OBS 3AZ n'est plus disponible pour Amsterdam, il reste seulement disponible pour Paris (l.1438)</t>
  </si>
  <si>
    <t>ECS : Ajout des prix promotionnés pour S3/S6 en RI 6mois et 1an (temporaire jusqu'au 31/12/2023) (l.5, colonne W), seulement sur Paris</t>
  </si>
  <si>
    <t>ECS S6 : Ajout des prix des RI pour DeH S6 et S6_pro (l.2367)</t>
  </si>
  <si>
    <t>Nouveaux supports HDS : Ajout des nouveaux de support Business HDS et Premium HDS (l.1632)</t>
  </si>
  <si>
    <t>Business support with HDS certification</t>
  </si>
  <si>
    <t>Premium support with HDS certification</t>
  </si>
  <si>
    <t>Only selected by the ADV in STORM and not by the customer himself in Cloud Store</t>
  </si>
  <si>
    <t>Dedicated ELB : modification prix Dedicated Load Balancer – L4 – Large I – 1AZ – ELB v3 200 suite demande Henry</t>
  </si>
  <si>
    <t>CSE - Cloud Service Engine</t>
  </si>
  <si>
    <t>heure</t>
  </si>
  <si>
    <t>mois</t>
  </si>
  <si>
    <t>VM</t>
  </si>
  <si>
    <t>General Enhanced II - 2vCPU, 16GB RAM</t>
  </si>
  <si>
    <t>General Enhanced II - 4vCPU, 32GB RAM</t>
  </si>
  <si>
    <t>General Enhanced II - 8vCPU, 64GB RAM</t>
  </si>
  <si>
    <t>General Enhanced II - 16 vCPU, 128GB RAM</t>
  </si>
  <si>
    <t>General Enhanced II - 32 vCPU, 256GB RAM</t>
  </si>
  <si>
    <t>General Enhanced II - 64 vCPU, 512GB RAM</t>
  </si>
  <si>
    <t>General Enhanced II - 4vCPU, 32GB RAM -Amsterdam</t>
  </si>
  <si>
    <t>General Enhanced II - 8vCPU, 64GB RAM - Amsterdam</t>
  </si>
  <si>
    <t>General Enhanced II - 16 vCPU, 128GB RAM - Amsterdam</t>
  </si>
  <si>
    <t>General Enhanced II - 32 vCPU, 256GB RAM - Amsterdam</t>
  </si>
  <si>
    <t>General Enhanced II - 64 vCPU, 512GB RAM - Amsterdam</t>
  </si>
  <si>
    <t>July 2023</t>
  </si>
  <si>
    <t>August 2023</t>
  </si>
  <si>
    <t>ECS : ajout des prix ECS G6 + prix de leurs licences (lignes 142, 369, 567, 836, 1235)</t>
  </si>
  <si>
    <t>DeC on KVM</t>
  </si>
  <si>
    <t>DEC - PRIX UNITAIRES 3 ANS</t>
  </si>
  <si>
    <t>Unité de vente</t>
  </si>
  <si>
    <t> Prix catalogue / mois / Unité (contrat 3 ans)</t>
  </si>
  <si>
    <t>Object storage (OBS)</t>
  </si>
  <si>
    <t>TiB x month</t>
  </si>
  <si>
    <t>36 mois</t>
  </si>
  <si>
    <t>Dedicated compute (DCC) - c6</t>
  </si>
  <si>
    <t>Server x month</t>
  </si>
  <si>
    <t>Dedicated compute (DCC) - m6</t>
  </si>
  <si>
    <t>Dedicated compute (DCC) - s6</t>
  </si>
  <si>
    <t>Dedicated storage (DSS) - ultra high IO</t>
  </si>
  <si>
    <t>Dedicated storage (DSS) - high IO</t>
  </si>
  <si>
    <t>Durée engagement obligatoire</t>
  </si>
  <si>
    <t>§Dedicated compute : 3 nodes (2 + 1 HA) / flavor</t>
  </si>
  <si>
    <t>§Dedicated block storage : 24 TB (high IO) / 16 TB (ultra high IO)</t>
  </si>
  <si>
    <t>§Dedicate object storage : 1022 TB</t>
  </si>
  <si>
    <t>General availability but not in self service</t>
  </si>
  <si>
    <t>Minimum order quantity on the resource services :</t>
  </si>
  <si>
    <t>DeC : nouveau produit 'Dec on KVM' (ligne 2396)</t>
  </si>
  <si>
    <t>Dedicated ELB : modification prix Dedicated Load Balancer –  L4 - Medium II - 2AZ - ELB v3 (ligne 2769)</t>
  </si>
  <si>
    <t>Total Cloud à l'usage HT après Support</t>
  </si>
  <si>
    <t>Total frais initiaux HT instances réservées</t>
  </si>
  <si>
    <t>Total Frais de mise en service</t>
  </si>
  <si>
    <t>Total Cloud à l'usage HT</t>
  </si>
  <si>
    <t>October 2023</t>
  </si>
  <si>
    <t>Pricelist - ECS : Ajout des licences RedHat pour les flavors d3</t>
  </si>
  <si>
    <t>Professional Database Audit</t>
  </si>
  <si>
    <t>Advanced Database Audit</t>
  </si>
  <si>
    <t>dbss.bypassaudit.medium</t>
    <phoneticPr fontId="1" type="noConversion"/>
  </si>
  <si>
    <t>dbss.bypassaudit.high</t>
    <phoneticPr fontId="1" type="noConversion"/>
  </si>
  <si>
    <t>€/heure</t>
  </si>
  <si>
    <t>DBSS - Database Security Service</t>
  </si>
  <si>
    <t>Nombre d'heures</t>
  </si>
  <si>
    <t>Hours</t>
  </si>
  <si>
    <t>Stockage et Sécurité</t>
  </si>
  <si>
    <t>Storage and Security</t>
  </si>
  <si>
    <t>OBS : Correction deviseur : bug formule HTTP Request vers stockage objet</t>
  </si>
  <si>
    <t>Pricelist - DBSS : Ajout des prix (l.3102)</t>
  </si>
  <si>
    <t>redis.proxy.xu1.large.4096</t>
  </si>
  <si>
    <t xml:space="preserve">Private NATG - Private Network Address Translation Gateway </t>
  </si>
  <si>
    <t>Private NATG - Private Network Address Translation Gateway</t>
  </si>
  <si>
    <t>Pricelist - Private NATG : Ajout des prix (l.1448)</t>
  </si>
  <si>
    <t>Nb de GTW</t>
  </si>
  <si>
    <t>cbh Standard 50</t>
  </si>
  <si>
    <t>cbh Standard 100</t>
  </si>
  <si>
    <t>cbh Standard 200</t>
  </si>
  <si>
    <t>cbh Standard 500</t>
  </si>
  <si>
    <t>cbh Standard 1000</t>
  </si>
  <si>
    <t>cbh Standard 2000</t>
  </si>
  <si>
    <t>cbh Standard 5000</t>
  </si>
  <si>
    <t>cbh Professional 100</t>
  </si>
  <si>
    <t>cbh Professional 200</t>
  </si>
  <si>
    <t>cbh Professional 500</t>
  </si>
  <si>
    <t>cbh Professional 1000</t>
  </si>
  <si>
    <t>cbh Professional 2000</t>
  </si>
  <si>
    <t>cbh Professional 5000</t>
  </si>
  <si>
    <t>CBH - Cloud Bastion Host</t>
  </si>
  <si>
    <t>CGS - Container Guard Service</t>
  </si>
  <si>
    <t>Number</t>
  </si>
  <si>
    <t>Pricelist - Cloud Bastion Host : Ajout des prix (l.2767)</t>
  </si>
  <si>
    <t>Pricelist - ECS : Passage en N/A pour les abonnements des flavors XEN (t2large, s1, c1, c2, m1, g1, g2)</t>
  </si>
  <si>
    <t>Pricelist - ECS : Passage en N/A pour les abonnements sur AMS</t>
  </si>
  <si>
    <t>Pricelist - Ajout flavor DCS (redis.proxy.xu1.large.4096)</t>
  </si>
  <si>
    <t>November 2023</t>
  </si>
  <si>
    <t>s6.small.1 (1 vCPU, 1GB RAM)</t>
  </si>
  <si>
    <t>s6.medium.2 (1 vCPU, 2GB RAM)</t>
  </si>
  <si>
    <t>s6.large.2 (2 vCPU, 4GB RAM)</t>
  </si>
  <si>
    <t>s6.xlarge.2 (4 vCPU, 8GB RAM)</t>
  </si>
  <si>
    <t>s6.2xlarge.2 (8 vCPU, 16GB RAM)</t>
  </si>
  <si>
    <t>s6.4xlarge.2 (16 vCPU, 32GB RAM)</t>
  </si>
  <si>
    <t>s6.medium.4 (1 vCPU, 4GB RAM)</t>
  </si>
  <si>
    <t>s6.large.4 (2 vCPU, 8GB RAM)</t>
  </si>
  <si>
    <t>s6.xlarge.4 (4 vCPU, 16GB RAM)</t>
  </si>
  <si>
    <t>s6.2xlarge.4 (8 vCPU, 32GB RAM)</t>
  </si>
  <si>
    <t>s6.4xlarge.4 (16 vCPU, 64GB RAM)</t>
  </si>
  <si>
    <t>s3.small.1 (1vCPU, 1GB RAM)</t>
  </si>
  <si>
    <t>s3.medium.2 (1 vCPU, 2GB RAM)</t>
  </si>
  <si>
    <t>s3.medium.4 (1 vCPU, 4GB RAM)</t>
  </si>
  <si>
    <t>s3.large.4 (2 vCPU, 8GB RAM)</t>
  </si>
  <si>
    <t>t2.micro (1 vCPU, 1GB RAM)</t>
  </si>
  <si>
    <t>t2.small (1 vCPU, 2GB RAM)</t>
  </si>
  <si>
    <t>t2.large.2 (2 vCPU, 4GB RAM)</t>
  </si>
  <si>
    <t>t2.xlarge.2 (4 vCPU, 8GB RAM)</t>
  </si>
  <si>
    <t>t2.2xlarge.2 (8 vCPU, 16GB RAM)</t>
  </si>
  <si>
    <t>s1.medium (1 vCPU, 4GB RAM)</t>
  </si>
  <si>
    <t>s1.large (2 vCPU, 8GB RAM)</t>
  </si>
  <si>
    <t>s1.xlarge (4 vCPU, 16GB RAM)</t>
  </si>
  <si>
    <t>s1.2xlarge (8 vCPU, 32GB RAM)</t>
  </si>
  <si>
    <t>s1.4xlarge (16 vCPU, 64GB RAM)</t>
  </si>
  <si>
    <t>s1.8xlarge (32 vCPU, 128GB RAM)</t>
  </si>
  <si>
    <t>c1.large (2 vCPU, 2GB RAM)</t>
  </si>
  <si>
    <t>c1.xlarge (4vCPU, 4GB RAM)</t>
  </si>
  <si>
    <t>c1.2xlarge (8vCPU, 8GB RAM)</t>
  </si>
  <si>
    <t>c1.4xlarge (16vCPU, 16GB RAM)</t>
  </si>
  <si>
    <t>c2.large (2 vCPU, 4GB RAM)</t>
  </si>
  <si>
    <t>c2.xlarge (4 vCPU, 8GB RAM)</t>
  </si>
  <si>
    <t>c2.2xlarge (8 vCPU, 16GB RAM)</t>
  </si>
  <si>
    <t>c6.large.2 (2 vCPU, 4GB RAM)</t>
  </si>
  <si>
    <t>c6.xlarge.2 (4 vCPU, 8GB RAM)</t>
  </si>
  <si>
    <t>c6.2xlarge.2 (8 vCPU, 16GB RAM)</t>
  </si>
  <si>
    <t>c6.3xlarge.2 (12 vCPU, 24GB RAM)</t>
  </si>
  <si>
    <t>c6.6xlarge.2 (24 vCPU, 48GB RAM)</t>
  </si>
  <si>
    <t>c6.large.4 (2 vCPU, 8GB RAM)</t>
  </si>
  <si>
    <t>c6.xlarge.4 (4 vCPU, 16GB RAM)</t>
  </si>
  <si>
    <t>c6.2xlarge.4 (8 vCPU, 32GB RAM)</t>
  </si>
  <si>
    <t>c6.3xlarge.4 (12 vCPU, 48GB RAM)</t>
  </si>
  <si>
    <t>c3.large.2 (2 vCPU, 4GB RAM)</t>
  </si>
  <si>
    <t>c3.xlarge.2 (4 vCPU, 8GB RAM)</t>
  </si>
  <si>
    <t>c3.8xlarge.2 (32 vCPU, 64GB RAM)</t>
  </si>
  <si>
    <t>c3.15xlarge.2 (60 vCPU, 128GB RAM)</t>
  </si>
  <si>
    <t>cc3.large.4 (2 vCPU, 8GB RAM)</t>
  </si>
  <si>
    <t>cc3.18xlarge.4 (72 vCPU, 288GB RAM)</t>
  </si>
  <si>
    <t>cc3.19xlarge.4 (76 vCPU, 304GB RAM)</t>
  </si>
  <si>
    <t>m6.large.8 (2 vCPU, 16GB RAM)</t>
  </si>
  <si>
    <t>m6.xlarge.8 (4 vCPU, 32GB RAM)</t>
  </si>
  <si>
    <t>m2.large.8 (2 vCPU, 16GB RAM)</t>
  </si>
  <si>
    <t>m2.xlarge.8 (4 vCPU, 32GB RAM)</t>
  </si>
  <si>
    <t>m2.2xlarge.8 (8 vCPU, 64GB RAM)</t>
  </si>
  <si>
    <t>m2.4xlarge.8 (16 vCPU, 128GB RAM)</t>
  </si>
  <si>
    <t>m2.8xlarge.8 (32 vCPU, 256GB RAM)</t>
  </si>
  <si>
    <t>m1.large (2 vCPU, 16GB RAM)</t>
  </si>
  <si>
    <t>m1.xlarge (4 vCPU, 32GB RAM)</t>
  </si>
  <si>
    <t>m1.2xlarge (8 vCPU, 64GB RAM)</t>
  </si>
  <si>
    <t>m1.4xlarge (16 vCPU, 128GB RAM)</t>
  </si>
  <si>
    <t>d3m.xlarge.8 (4 vCPU, 32GB RAM, 2*1.8TB)</t>
  </si>
  <si>
    <t>d3m.2xlarge.8 (8 vCPU, 64GB RAM, 4*1.8TB)</t>
  </si>
  <si>
    <t>d3m.4xlarge.8 (16 vCPU, 128GB RAM, 8*1.8TB)</t>
  </si>
  <si>
    <t>d3m.6xlarge.8 (24 vCPU, 192GB RAM, 12*1.8TB)</t>
  </si>
  <si>
    <t>d3m.8xlarge.8 (32 vCPU, 256GB RAM, 16*1.8TB)</t>
  </si>
  <si>
    <t>d3m.14xlarge.10 (56 vCPU, 560GB RAM, 24*1.8TB)</t>
  </si>
  <si>
    <t>d2.6xlarge.8 (24 vCPU, 192GB RAM, 12*1.8TB)</t>
  </si>
  <si>
    <t>d2.12xlarge.8 (48 vCPU, 384GB RAM, 24*1.8TB)</t>
  </si>
  <si>
    <t>d6.xlarge.4 (4 vCPU, 16GB RAM, 2*7.4TB)</t>
  </si>
  <si>
    <t>d6.2xlarge.4 (8 vCPU, 32GB RAM, 4*7.4TB)</t>
  </si>
  <si>
    <t>d6.4xlarge.4 (16 vCPU, 64GB RAM, 8*7.4TB)</t>
  </si>
  <si>
    <t>d6.6xlarge.4 (24 vCPU, 96GB RAM, 12*7.4TB)</t>
  </si>
  <si>
    <t>d6.8xlarge.4 (32 vCPU, 128GB RAM, 16*7.4TB)</t>
  </si>
  <si>
    <t>d6.12xlarge.4 (48 vCPU, 192GB RAM, 24*7.4TB)</t>
  </si>
  <si>
    <t>d6.16xlarge.4 (64 vCPU, 256GB RAM, 32*7.4TB)</t>
  </si>
  <si>
    <t>d6.18xlarge.4 (72 vCPU, 288GB RAM, 36*7.4TB)</t>
  </si>
  <si>
    <t>i3.4xlarge.16 (16 vCPU, 256GB RAM, 2*1.8TB)</t>
  </si>
  <si>
    <t>p2s.2xlarge.8 (GPU, 8vCPU, 64GB RAM)</t>
  </si>
  <si>
    <t>p2s.4xlarge.8 (GPU, 16vCPU, 128GB RAM)</t>
  </si>
  <si>
    <t>p2s.8xlarge.8 (GPU, 32vCPU, 256GB RAM)</t>
  </si>
  <si>
    <t>p2s.16xlarge.8 (GPU, 64vCPU, 512GB RAM)</t>
  </si>
  <si>
    <t>pi2.2xlarge.4 (GPU, 8vCPU, 32GB RAM)</t>
  </si>
  <si>
    <t>pi2.4xlarge.4 (GPU, 16vCPU, 64GB RAM)</t>
  </si>
  <si>
    <t>pi2.8xlarge.4 (GPU, 32vCPU, 128GB RAM)</t>
  </si>
  <si>
    <t>p2.2xlarge.8 (GPU, 8vCPU, 64GB RAM, 1*800GB)</t>
  </si>
  <si>
    <t>p2.4xlarge.8 (GPU, 16vCPU, 128GB RAM, 2*800GB)</t>
  </si>
  <si>
    <t>p2.8xlarge.8 (GPU, 32vCPU, 256GB RAM, 4*800GB)</t>
  </si>
  <si>
    <t>g1.xlarge (GPU, 4 vCPU, 8GB RAM)</t>
  </si>
  <si>
    <t>g1.2xlarge (GPU, 8 vCPU, 16GB RAM)</t>
  </si>
  <si>
    <t>g1.4xlarge (GPU, 16vCPU, 32GB RAM)</t>
  </si>
  <si>
    <t>g2.2xlarge  (GPU, 8vCPU, 64GB RAM)</t>
  </si>
  <si>
    <t>ai1.large.4 (2 vCPU, 8GB RAM)</t>
  </si>
  <si>
    <t>ai1.xlarge.4 (4 vCPU, 16GB RAM)</t>
  </si>
  <si>
    <t>ai1.2xlarge.4 (8 vCPU, 32GB RAM)</t>
  </si>
  <si>
    <t>ai1.4xlarge.4 (16 vCPU, 64GB RAM)</t>
  </si>
  <si>
    <t>ai1.8xlarge.4 (32 vCPU, 128GB RAM)</t>
  </si>
  <si>
    <t>h1.large.2 (2 vCPU, 4GB RAM)</t>
  </si>
  <si>
    <t>h1.xlarge.2 (4 vCPU, 8GB RAM)</t>
  </si>
  <si>
    <t>h1.2xlarge.2 (8vCPU, 16GB RAM)</t>
  </si>
  <si>
    <t>h1.4xlarge.2 (16 vCPU, 32GB RAM)</t>
  </si>
  <si>
    <t>h1.8xlarge.2 (32 vCPU, 64GB RAM)</t>
  </si>
  <si>
    <t>h1.large.4 (2 vCPU, 8GB RAM)</t>
  </si>
  <si>
    <t>h1.xlarge.4 (4 vCPU, 16GB RAM)</t>
  </si>
  <si>
    <t>h1.2xlarge.4 (8 vCPU, 32GB RAM)</t>
  </si>
  <si>
    <t>h1.4xlarge.4 (16 vCPU, 64GB RAM)</t>
  </si>
  <si>
    <t>h1.8xlarge.4 (32 vCPU, 128GB RAM)</t>
  </si>
  <si>
    <t>h1.4xlarge.8  (16 vCPU, 128GB RAM)</t>
  </si>
  <si>
    <t>g6.xlarge.4 (4 vCPU, 16GB RAM)</t>
  </si>
  <si>
    <t>g6.4xlarge.4(16 vCPU, 64GB RAM)</t>
  </si>
  <si>
    <t>g6.6xlarge.4(24 vCPU, 96GB RAM)</t>
  </si>
  <si>
    <t>g6.9xlarge.7(36 vCPU, 252GB RAM)</t>
  </si>
  <si>
    <t>g6.18xlarge.7(72 vCPU, 504GB RAM)</t>
  </si>
  <si>
    <t>g3.4xlarge.4 (8GPU, 16vCPU, 64 GB RAM)</t>
  </si>
  <si>
    <t>g3.8xlarge.4 (16GPU, 32vCPU, 128GB RAM)</t>
  </si>
  <si>
    <t>g5.xlarge.2 (1/16GPU, 4vCPU, 8GB RAM)</t>
  </si>
  <si>
    <t>g5.2xlarge.2 (1/8GPU, 8vCPU, 16GB RAM)</t>
  </si>
  <si>
    <t>g5.4xlarge.4 (1/2GPU, 16vCPU, 64GB RAM)</t>
  </si>
  <si>
    <t>cc3.18xlarge.4 (76 vCPU, 304GB RAM)</t>
  </si>
  <si>
    <t>Physical.o2.medium</t>
  </si>
  <si>
    <t>Physical.o3.small</t>
  </si>
  <si>
    <t xml:space="preserve">Physical.rg1.xlarge </t>
  </si>
  <si>
    <t>Physical.s4.3xlarge (Controlled Availability)</t>
  </si>
  <si>
    <t>Physical.c6.6xlarge.cbg (Controlled Availability)</t>
  </si>
  <si>
    <t>Physical.c6ne.6xlarge.cbg (Controlled Availability)</t>
  </si>
  <si>
    <t>Physical.d6ne.6xlarge.cbg (Controlled Availability)</t>
  </si>
  <si>
    <t>Physical.pi2.3xlarge.cbg (Controlled Availability)</t>
  </si>
  <si>
    <t>Physical.pi6.3xlarge.8.cbg (Controlled Availability)</t>
  </si>
  <si>
    <t xml:space="preserve">Physical.kat1.6xlarge.2 (Controlled Availability for HF only) </t>
  </si>
  <si>
    <t>Physical.s4.xlarge  in roadmap</t>
  </si>
  <si>
    <t>t2.large.2 (2 vCPU, 4GB RAM) in roadmap</t>
  </si>
  <si>
    <t>t2.xlarge.2 (4 vCPU, 8GB RAM) in roadmap</t>
  </si>
  <si>
    <t>t2.2xlarge.2 (8 vCPU, 16GB RAM) in roadmap</t>
  </si>
  <si>
    <t>s3.8xlarge.2 (32 vCPU, 64GB RAM)</t>
  </si>
  <si>
    <t>s3.8xlarge.4 (32 vCPU, 128GB RAM)</t>
  </si>
  <si>
    <t xml:space="preserve"> d2.6xlarge.8 (24 vCPU, 192GB RAM, 12*1.8TB)</t>
  </si>
  <si>
    <t>d3m.14xlarge.10 (56 vCPU, 560GB RAM, 28*1.8TB)</t>
  </si>
  <si>
    <t>el2.6xlarge.8 (24vCPU, 384GB RAM)</t>
  </si>
  <si>
    <t>el2.12xlarge.4 (48vCPU, 768GB RAM)</t>
  </si>
  <si>
    <t>el2.24xlarge.2 (96vCPU, 1536GB RAM)</t>
  </si>
  <si>
    <t>el2.48xlarge.1 (192vCPU, 3072GB RAM)</t>
  </si>
  <si>
    <t>Hana 2TB (24vCPU, 288GB RAM)</t>
  </si>
  <si>
    <t>Hana 2TB (48vCPU, 576GB RAM)</t>
  </si>
  <si>
    <t>Hana 2TB (96vCPU, 1024GB RAM)</t>
  </si>
  <si>
    <t>Hana 2TB (192vCPU, 2048GB RAM)</t>
  </si>
  <si>
    <t xml:space="preserve">s3.medium.4 (1 vCPU, 4GB RAM) </t>
  </si>
  <si>
    <t>hl2.8xlarge.8 (32vCPU, 256GB RAM)</t>
  </si>
  <si>
    <t>hl2.8xlarge.10 (32vCPU, 320GB RAM)</t>
  </si>
  <si>
    <t>g5.xlarge.2 (1GPU, 4vCPU, 8GB RAM)</t>
  </si>
  <si>
    <t>g3.8xlarge.4  (16GPU, 32vCPU, 128GB RAM)</t>
  </si>
  <si>
    <t>p2.2xlarge.8  (GPU, 8vCPU, 64GB RAM)</t>
  </si>
  <si>
    <t>p2.4xlarge.8  (GPU, 16vCPU, 128GB RAM)</t>
  </si>
  <si>
    <t>p2.8xlarge.8  (GPU, 32vCPU, 256GB RAM)</t>
  </si>
  <si>
    <t>Ded.Storage.Standard (12 * 4T SATA)</t>
  </si>
  <si>
    <t>Ded.Storage.Performant (8 * 3.2T Nvme SSD)</t>
  </si>
  <si>
    <t>Ded.Storage.Standard.expansion (16 * 4T SATA)</t>
  </si>
  <si>
    <t>Ded.Storage.Performant.expansion (8 * 3.2T Nvme SSD)</t>
  </si>
  <si>
    <t>c2.4xlarge</t>
  </si>
  <si>
    <t>m6.4xlarge.8 (16 vCPU, 128GB RAM) - Reserved 1y</t>
  </si>
  <si>
    <t xml:space="preserve">c6.large.2 (2 vCPU, 4GB RAM) - Enhancement </t>
  </si>
  <si>
    <t>c6.large.4 (2 vCPU, 8GB RAM) - Enhancement</t>
  </si>
  <si>
    <t>c6.xlarge.2 (4 vCPU, 8GB RAM) - Enhancement</t>
  </si>
  <si>
    <t>c6.xlarge.4 (4 vCPU, 16GB RAM) - Enhancement</t>
  </si>
  <si>
    <t>c6.2xlarge.2 (8 vCPU, 16GB RAM) - Enhancement</t>
  </si>
  <si>
    <t>c6.2xlarge.4 (8 vCPU, 32GB RAM) - Enhancement</t>
  </si>
  <si>
    <t>c6.4xlarge.2 (16 vCPU, 32GB RAM) - Enhancement</t>
  </si>
  <si>
    <t>c6.4xlarge.4 (16 vCPU, 64GB RAM) - Enhancement</t>
  </si>
  <si>
    <t>c6.8xlarge.2 (32 vCPU, 64GB RAM) - Enhancement</t>
  </si>
  <si>
    <t>c6.8xlarge.4 (32 vCPU, 128GB RAM) - Enhancement</t>
  </si>
  <si>
    <t>c6.16xlarge.2 (64 vCPU, 128GB RAM) - Enhancement</t>
  </si>
  <si>
    <t>c6.16xlarge.4 (64 vCPU, 256GB RAM) - Enhancement</t>
  </si>
  <si>
    <t>m6.xlarge.8 (2 vCPU, 16 GB RAM)</t>
  </si>
  <si>
    <t>workspace.c2.large.win</t>
  </si>
  <si>
    <t>workspace.c2.xlarge.win</t>
  </si>
  <si>
    <t>workspace.c2.2xlarge.win</t>
  </si>
  <si>
    <t>workspace.s1.medium.win</t>
  </si>
  <si>
    <t>workspace.s1.large.win</t>
  </si>
  <si>
    <t>workspace.g1.xlarge.win</t>
  </si>
  <si>
    <t>workspace.g1.2xlarge.win</t>
  </si>
  <si>
    <t>workspace.g1.4xlarge.win</t>
  </si>
  <si>
    <t>s3v.medium.4 (1 vCPU, 4GB RAM)</t>
  </si>
  <si>
    <t>s3v.large.4 (2 vCPU, 8GB RAM)</t>
  </si>
  <si>
    <t>s3v.large.2 (2 vCPU, 4GB RAM)</t>
  </si>
  <si>
    <t>s3v.xlarge.2 (4 vCPU, 8GB RAM)</t>
  </si>
  <si>
    <t>s3v.xlarge.4 (4vCPU, 16GB RAM)</t>
  </si>
  <si>
    <t>s3v.2xlarge.2 (8 vCPU, 16GB RAM)</t>
  </si>
  <si>
    <t>g1v.xlarge (4 vCPU, 8GB RAM, 1GB GPU)</t>
  </si>
  <si>
    <t>g1v.2xlarge (8 vCPU, 16GB RAM, 1GB GPU)</t>
  </si>
  <si>
    <t>g1v.4xlarge (16 vCPU, 32GB RAM, 4GB GPU)</t>
  </si>
  <si>
    <t>g5v.xlarge (4 vCPU, 8GB RAM, 1GB GPU)</t>
  </si>
  <si>
    <t>g5v.2xlarge (8 vCPU, 16GB RAM, 2GB GPU)</t>
  </si>
  <si>
    <t>g5v.4xlarge (16 vCPU, 64GB RAM, 8GB GPU)</t>
  </si>
  <si>
    <t>dws.d1.xlarge</t>
  </si>
  <si>
    <t>dws.m1.xlarge.ultrahigh</t>
  </si>
  <si>
    <t>dws2.m6.4xlarge.8</t>
  </si>
  <si>
    <t>dws2.m6.8xlarge.8</t>
  </si>
  <si>
    <t>dws2.m6.16xlarge.8</t>
  </si>
  <si>
    <t>dwsx2.xlarge</t>
  </si>
  <si>
    <t>dwsx2.2xlarge</t>
  </si>
  <si>
    <t>dwsx2.8xlarge</t>
  </si>
  <si>
    <t>dwsx2.16xlarge</t>
  </si>
  <si>
    <t>dws.volume.ultrahigh</t>
  </si>
  <si>
    <t>dws.storage.snapshot</t>
  </si>
  <si>
    <t>m6.large.16 (2 vCPU, 32GB RAM)</t>
  </si>
  <si>
    <t>m6.xlarge.16 (4 vCPU, 64GB RAM)</t>
  </si>
  <si>
    <t>m6.2xlarge.16 (8 vCPU, 128GB RAM)</t>
  </si>
  <si>
    <t>m6.3xlarge.16 (12 vCPU, 192GB RAM)</t>
  </si>
  <si>
    <t>m6.4xlarge.16 (16 vCPU, 256GB RAM)</t>
  </si>
  <si>
    <t>m6.6xlarge.16 (24 vCPU, 384GB RAM)</t>
  </si>
  <si>
    <t>m6.8xlarge.16 (32 vCPU, 512GB RAM)</t>
  </si>
  <si>
    <t>Pricelist - Alignement des prix des services d'Amsterdam sur les prix des services de Paris. Suppression des préfixes "Paris -" dans le nom des produits</t>
  </si>
  <si>
    <t>Pricelist - Suppression des lignes de produits Amsterdam (tous les produits sur Amsterdam avaient un équivalent sur Paris)</t>
  </si>
  <si>
    <t>Pricelist - ECS : Ajout des flavors m6 1:16 + licences</t>
  </si>
  <si>
    <t>RDS - Reserved model</t>
  </si>
  <si>
    <t>1Y RESERVED - €/Heure en sus des Prix Linux
[5][5bis]</t>
  </si>
  <si>
    <t>1Y RESERVED - €/mois en sus des Prix Linux
[18bis]</t>
  </si>
  <si>
    <t>m6.large.8 (2 vCPU, 16 GB RAM)</t>
  </si>
  <si>
    <t>Postgre SQL</t>
  </si>
  <si>
    <t>1Y RESERVED - €/Heure des licences Windows OS pour RDS
[5][5bis]</t>
  </si>
  <si>
    <t>1Y RESERVED - €/mois des licences Windows OS pour RDS
[18bis]</t>
  </si>
  <si>
    <t>Pricelist - RDS au modèle réservé : Ajout des prix des instances RDS MySQL &amp; Postgre, des licences Windows OS Server</t>
  </si>
  <si>
    <t>16xlarge.2 (64 vCPU, 128GB RAM)</t>
  </si>
  <si>
    <t>15xlarge.2 (60 vCPU, 128GB RAM)</t>
  </si>
  <si>
    <t>Pricelist - RDS : ajout des gabarits manquants pour les licences MS SQL server standard &amp; web</t>
  </si>
  <si>
    <t>Licences Windows OS Server pour RDS RI 1Y only</t>
  </si>
  <si>
    <t>Pricelist - MRS : ajout de la flavor s6.4Xlarge.4</t>
  </si>
  <si>
    <t>Flavors RDS Réservés</t>
  </si>
  <si>
    <t>Instance RDS</t>
  </si>
  <si>
    <t>Règles de Calcul</t>
  </si>
  <si>
    <t>My SQL</t>
  </si>
  <si>
    <t>Instance RDS Mysql 1Y RI</t>
  </si>
  <si>
    <t>x Nbr instances RDS MySQL</t>
  </si>
  <si>
    <t>+ Instance ECS associée (cf deviseur partie ECS)</t>
  </si>
  <si>
    <t>Flavor RDS</t>
  </si>
  <si>
    <t>Prix flavor RDS</t>
  </si>
  <si>
    <t>au prix PAYGO</t>
  </si>
  <si>
    <t>Instance RDS Postgre 1Y RI</t>
  </si>
  <si>
    <t>x Nbr instances RDS Postgre</t>
  </si>
  <si>
    <t>On top of Linux</t>
  </si>
  <si>
    <t>MS SQL</t>
  </si>
  <si>
    <t>Web</t>
  </si>
  <si>
    <t>Entreprise</t>
  </si>
  <si>
    <t>Instance RDS My sql 1Y RI</t>
  </si>
  <si>
    <t>+ OS Windows pour RDS réservé only (optionnel)</t>
  </si>
  <si>
    <t>+ Licences MS Server SQL (au prix PAYGO / "xlarge8, 4xlarge…"</t>
  </si>
  <si>
    <t>COUCHE RDS</t>
  </si>
  <si>
    <t>COUCHE ECS</t>
  </si>
  <si>
    <t>COUCHE OS WINDOWS FOR ECS</t>
  </si>
  <si>
    <t>ECS au prix PAYGO</t>
  </si>
  <si>
    <t>ECS au prix réservé 1 an</t>
  </si>
  <si>
    <t>Prix flavor RDS (-18%)</t>
  </si>
  <si>
    <t>Licence standard</t>
  </si>
  <si>
    <t>Licence 
Entreprise</t>
  </si>
  <si>
    <t>Licence
Web</t>
  </si>
  <si>
    <t>COUCHE Licence RDS MS SQL</t>
  </si>
  <si>
    <t>Licence Windows OS 
au prix réservé 1 an (-18%)</t>
  </si>
  <si>
    <t>MS SQL standard</t>
  </si>
  <si>
    <t>MS SQL entreprise</t>
  </si>
  <si>
    <t>MS SQL web edition</t>
  </si>
  <si>
    <t>à l'usage (PAYG)</t>
  </si>
  <si>
    <t>Instance réservée</t>
  </si>
  <si>
    <t>Instance réservée flexible</t>
  </si>
  <si>
    <t>Mode de facturation de l'instance ECS associée</t>
  </si>
  <si>
    <t>RI au prix réservé 1 an</t>
  </si>
  <si>
    <t>FRI au prix réservé 1 an</t>
  </si>
  <si>
    <t>Instance ECS associée</t>
  </si>
  <si>
    <t>OS Windows associée</t>
  </si>
  <si>
    <t>ReadReplicat</t>
  </si>
  <si>
    <t>Oui</t>
  </si>
  <si>
    <t>Non</t>
  </si>
  <si>
    <t>RDS MySQL ou Postgre - instance réservée - 1 an sans upfront</t>
  </si>
  <si>
    <t>RDS MS SQL - instance réservée - 1 an sans upfront</t>
  </si>
  <si>
    <t>RDS MySQL ou Postgre - reserved instances - 1 year without upfront</t>
  </si>
  <si>
    <t>RDS MS SQL - reserved instances - 1 year without upfront</t>
  </si>
  <si>
    <t>RDS instance</t>
  </si>
  <si>
    <t>Matching ECS flavor</t>
  </si>
  <si>
    <t>Billing mode for the associated ECS instance</t>
  </si>
  <si>
    <t>DB Instance type</t>
  </si>
  <si>
    <t>Associated OS Windows</t>
  </si>
  <si>
    <t>Licence MS SQL (optionnel)</t>
  </si>
  <si>
    <t>MS SQL licences</t>
  </si>
  <si>
    <t>December 2023</t>
  </si>
  <si>
    <t>Pricelist - Ajout des prix du RDS proxy</t>
  </si>
  <si>
    <t>RDS Proxy</t>
  </si>
  <si>
    <t>Proxy flavor</t>
  </si>
  <si>
    <t>ResourceSpecCode</t>
    <phoneticPr fontId="1" type="noConversion"/>
  </si>
  <si>
    <t>Hourly price</t>
  </si>
  <si>
    <t>2U4G</t>
  </si>
  <si>
    <t>rds.proxy.large.2</t>
    <phoneticPr fontId="1" type="noConversion"/>
  </si>
  <si>
    <t>4U8G</t>
    <phoneticPr fontId="1" type="noConversion"/>
  </si>
  <si>
    <t>rds.proxy.xlarge.2</t>
    <phoneticPr fontId="1" type="noConversion"/>
  </si>
  <si>
    <t>8U16G</t>
    <phoneticPr fontId="1" type="noConversion"/>
  </si>
  <si>
    <t>rds.proxy.2xarge.2</t>
    <phoneticPr fontId="1" type="noConversion"/>
  </si>
  <si>
    <t>i3.2xlarge.8 (8 vCPU, 64GB RAM, 1*1.6TB)</t>
  </si>
  <si>
    <t>i3.4xlarge.8 (16 vCPU, 128GB RAM, 2*1.6TB)</t>
  </si>
  <si>
    <t>i3.8xlarge.8 (32vCPU, 256GB RAM, 4*1.6TB)</t>
  </si>
  <si>
    <t>i3.4xlarge.16 (16 vCPU, 256GB RAM, 2*1.6TB)</t>
  </si>
  <si>
    <t>i3.12xlarge.8 (48 vCPU, 384GB RAM, 6*1.6TB)</t>
  </si>
  <si>
    <t>i3.15xlarge.8 (60 vCPU, 512GB RAM, 7*1.6TB)</t>
  </si>
  <si>
    <t>1*1.6 TB NVME SSD</t>
  </si>
  <si>
    <t>2*1.6 TB NVME SSD</t>
  </si>
  <si>
    <t>4*1.6 TB NVME SSD</t>
  </si>
  <si>
    <t>6*1.6 TB NVME SSD</t>
  </si>
  <si>
    <t>7*1.6 TB NVME SSD</t>
  </si>
  <si>
    <t>Pricelist - MàJ Data Disk pour flavor i3</t>
  </si>
  <si>
    <t>Pay-As-You-Go</t>
  </si>
  <si>
    <t>Reserved Instance</t>
  </si>
  <si>
    <t>Flexible Reserved Instance</t>
  </si>
  <si>
    <t>Yes</t>
  </si>
  <si>
    <t>No</t>
  </si>
  <si>
    <t>Nb hour</t>
  </si>
  <si>
    <r>
      <t xml:space="preserve">Liste des Prix des Produits cloud Flexible Engine - December 2023 - EUROPE  </t>
    </r>
    <r>
      <rPr>
        <b/>
        <sz val="10"/>
        <color theme="1"/>
        <rFont val="Calibri"/>
        <family val="2"/>
        <scheme val="minor"/>
      </rPr>
      <t xml:space="preserve">               </t>
    </r>
    <r>
      <rPr>
        <sz val="10"/>
        <color theme="1"/>
        <rFont val="Calibri"/>
        <family val="2"/>
        <scheme val="minor"/>
      </rPr>
      <t xml:space="preserve"> [Note 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</si>
</sst>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6">
    <numFmt numFmtId="6" formatCode="#,##0\ &quot;€&quot;;[Red]\-#,##0\ &quot;€&quot;"/>
    <numFmt numFmtId="8" formatCode="#,##0.00\ &quot;€&quot;;[Red]\-#,##0.00\ &quot;€&quot;"/>
    <numFmt numFmtId="44" formatCode="_-* #,##0.00\ &quot;€&quot;_-;\-* #,##0.00\ &quot;€&quot;_-;_-* &quot;-&quot;??\ &quot;€&quot;_-;_-@_-"/>
    <numFmt numFmtId="164" formatCode="_(&quot;€&quot;* #,##0.00_);_(&quot;€&quot;* \(#,##0.00\);_(&quot;€&quot;* &quot;-&quot;??_);_(@_)"/>
    <numFmt numFmtId="165" formatCode="&quot;€&quot;#,##0_);[Red]\(&quot;€&quot;#,##0\)"/>
    <numFmt numFmtId="166" formatCode="&quot;€&quot;#,##0.00_);[Red]\(&quot;€&quot;#,##0.00\)"/>
    <numFmt numFmtId="167" formatCode="_(* #,##0.00_);_(* \(#,##0.00\);_(* &quot;-&quot;??_);_(@_)"/>
    <numFmt numFmtId="168" formatCode="_(&quot;€&quot;* #,##0_);_(&quot;€&quot;* \(#,##0\);_(&quot;€&quot;* &quot;-&quot;_);_(@_)"/>
    <numFmt numFmtId="169" formatCode="_ * #,##0.00_)\ &quot;€&quot;_ ;_ * \(#,##0.00\)\ &quot;€&quot;_ ;_ * &quot;-&quot;??_)\ &quot;€&quot;_ ;_ @_ "/>
    <numFmt numFmtId="170" formatCode="_-* #,##0.000\ &quot;€&quot;_-;\-* #,##0.000\ &quot;€&quot;_-;_-* &quot;-&quot;??\ &quot;€&quot;_-;_-@_-"/>
    <numFmt numFmtId="171" formatCode="_-* #,##0.000\ &quot;€&quot;_-;\-* #,##0.000\ &quot;€&quot;_-;_-* &quot;-&quot;???\ &quot;€&quot;_-;_-@_-"/>
    <numFmt numFmtId="172" formatCode="_-* #,##0.0000\ &quot;€&quot;_-;\-* #,##0.0000\ &quot;€&quot;_-;_-* &quot;-&quot;??\ &quot;€&quot;_-;_-@_-"/>
    <numFmt numFmtId="173" formatCode="_-* #,##0\ &quot;€&quot;_-;\-* #,##0\ &quot;€&quot;_-;_-* &quot;-&quot;??\ &quot;€&quot;_-;_-@_-"/>
    <numFmt numFmtId="174" formatCode="_(* #,##0.00_);_(* \(#,##0.00\);_(* \-??_);_(@_)"/>
    <numFmt numFmtId="175" formatCode="_(\$* #,##0.00_);_(\$* \(#,##0.00\);_(\$* \-??_);_(@_)"/>
    <numFmt numFmtId="176" formatCode="_-* #,##0.00\ _F_-;\-* #,##0.00\ _F_-;_-* &quot;-&quot;??\ _F_-;_-@_-"/>
    <numFmt numFmtId="177" formatCode="_-* #,##0.00\ [$€-1]_-;\-* #,##0.00\ [$€-1]_-;_-* &quot;-&quot;??\ [$€-1]_-"/>
    <numFmt numFmtId="178" formatCode="#,##0.000\ &quot;€&quot;;[Red]\-#,##0.000\ &quot;€&quot;"/>
    <numFmt numFmtId="179" formatCode="#&quot; Mbps&quot;"/>
    <numFmt numFmtId="180" formatCode="0.0%"/>
    <numFmt numFmtId="181" formatCode="_-* #,##0.0000\ &quot;€&quot;_-;\-* #,##0.0000\ &quot;€&quot;_-;_-* &quot;-&quot;???\ &quot;€&quot;_-;_-@_-"/>
    <numFmt numFmtId="182" formatCode="_-* #,##0.0000000\ &quot;€&quot;_-;\-* #,##0.0000000\ &quot;€&quot;_-;_-* &quot;-&quot;??\ &quot;€&quot;_-;_-@_-"/>
    <numFmt numFmtId="183" formatCode="_(&quot;$&quot;* #,##0.00_);_(&quot;$&quot;* \(#,##0.00\);_(&quot;$&quot;* &quot;-&quot;??_);_(@_)"/>
    <numFmt numFmtId="184" formatCode="_-* #,##0\ _€_-;\-* #,##0\ _€_-;_-* &quot;-&quot;??\ _€_-;_-@_-"/>
    <numFmt numFmtId="185" formatCode="#,##0&quot; Jours&quot;"/>
    <numFmt numFmtId="186" formatCode="###,###&quot; Go&quot;"/>
    <numFmt numFmtId="187" formatCode="#&quot; intervention(s)&quot;"/>
    <numFmt numFmtId="188" formatCode="###,###&quot; sec&quot;"/>
    <numFmt numFmtId="189" formatCode="_-* #,##0.00000\ &quot;€&quot;_-;\-* #,##0.00000\ &quot;€&quot;_-;_-* &quot;-&quot;?????\ &quot;€&quot;_-;_-@_-"/>
    <numFmt numFmtId="190" formatCode="#&quot; instance(s)&quot;"/>
    <numFmt numFmtId="191" formatCode="###,###&quot; tranches&quot;"/>
    <numFmt numFmtId="192" formatCode="_-[$$-409]* #,##0.00_ ;_-[$$-409]* \-#,##0.00\ ;_-[$$-409]* &quot;-&quot;??_ ;_-@_ "/>
    <numFmt numFmtId="193" formatCode="#,##0.00_ ;\-#,##0.00\ "/>
    <numFmt numFmtId="194" formatCode="_-[$$-409]* #,##0_ ;_-[$$-409]* \-#,##0\ ;_-[$$-409]* &quot;-&quot;_ ;_-@_ "/>
    <numFmt numFmtId="195" formatCode="###,###&quot; slices&quot;"/>
    <numFmt numFmtId="196" formatCode="m/d/yyyy;@"/>
    <numFmt numFmtId="197" formatCode="#,##0&quot; Days&quot;"/>
    <numFmt numFmtId="198" formatCode="###,###&quot; Gb&quot;"/>
    <numFmt numFmtId="199" formatCode="_-* #,##0.00\ [$€-40C]_-;\-* #,##0.00\ [$€-40C]_-;_-* &quot;-&quot;??\ [$€-40C]_-;_-@_-"/>
    <numFmt numFmtId="200" formatCode="#,##0.0000\ &quot;€&quot;;[Red]\-#,##0.0000\ &quot;€&quot;"/>
    <numFmt numFmtId="201" formatCode="#,##0.00\ &quot;€&quot;"/>
    <numFmt numFmtId="202" formatCode="_(* #,##0_);_(* \(#,##0\);_(* &quot;-&quot;??_);_(@_)"/>
    <numFmt numFmtId="203" formatCode="_-* #,##0.00\ [$€-40C]_-;\-* #,##0.00\ [$€-40C]_-;_-* &quot;-&quot;\ [$€-40C]_-;_-@_-"/>
    <numFmt numFmtId="204" formatCode="0.0000"/>
    <numFmt numFmtId="205" formatCode="_-* #,##0.0000\ [$€-40C]_-;\-* #,##0.0000\ [$€-40C]_-;_-* &quot;-&quot;\ [$€-40C]_-;_-@_-"/>
    <numFmt numFmtId="206" formatCode="_ &quot;¥&quot;* #,##0.00_ ;_ &quot;¥&quot;* \-#,##0.00_ ;_ &quot;¥&quot;* &quot;-&quot;??_ ;_ @_ "/>
    <numFmt numFmtId="207" formatCode="###,###&quot; VM&quot;"/>
    <numFmt numFmtId="208" formatCode="_(&quot;€&quot;* #,##0.000_);_(&quot;€&quot;* \(#,##0.000\);_(&quot;€&quot;* &quot;-&quot;??_);_(@_)"/>
    <numFmt numFmtId="209" formatCode="_(&quot;€&quot;* #,##0.0000_);_(&quot;€&quot;* \(#,##0.0000\);_(&quot;€&quot;* &quot;-&quot;??_);_(@_)"/>
    <numFmt numFmtId="210" formatCode="#&quot; partition(s)&quot;"/>
    <numFmt numFmtId="211" formatCode="#&quot; activité(s)&quot;"/>
    <numFmt numFmtId="212" formatCode="_-* #,##0.0000\ [$€-40C]_-;\-* #,##0.0000\ [$€-40C]_-;_-* &quot;-&quot;??\ [$€-40C]_-;_-@_-"/>
    <numFmt numFmtId="213" formatCode="_-* #,##0\ [$€-40C]_-;\-* #,##0\ [$€-40C]_-;_-* &quot;-&quot;??\ [$€-40C]_-;_-@_-"/>
    <numFmt numFmtId="214" formatCode="###,###&quot; GB transférées&quot;"/>
    <numFmt numFmtId="215" formatCode="_-* #,##0.0000\ [$€-40C]_-;\-* #,##0.0000\ [$€-40C]_-;_-* &quot;-&quot;????\ [$€-40C]_-;_-@_-"/>
    <numFmt numFmtId="216" formatCode="_-* #,##0.0000\ &quot;€&quot;_-;\-* #,##0.0000\ &quot;€&quot;_-;_-* &quot;-&quot;????\ &quot;€&quot;_-;_-@_-"/>
    <numFmt numFmtId="217" formatCode="###,###&quot; GB&quot;"/>
    <numFmt numFmtId="218" formatCode="_-* #,##0.000\ [$€-40C]_-;\-* #,##0.000\ [$€-40C]_-;_-* &quot;-&quot;??\ [$€-40C]_-;_-@_-"/>
    <numFmt numFmtId="219" formatCode="_-* #,##0.0000000\ [$€-40C]_-;\-* #,##0.0000000\ [$€-40C]_-;_-* &quot;-&quot;??\ [$€-40C]_-;_-@_-"/>
    <numFmt numFmtId="220" formatCode="_-* #,##0.0000000\ &quot;€&quot;_-;\-* #,##0.0000000\ &quot;€&quot;_-;_-* &quot;-&quot;????\ &quot;€&quot;_-;_-@_-"/>
    <numFmt numFmtId="221" formatCode="0.00000000000"/>
    <numFmt numFmtId="222" formatCode="[$€-2]\ #,##0.00;[Red]\-[$€-2]\ #,##0.00"/>
    <numFmt numFmtId="223" formatCode="0.00000000"/>
    <numFmt numFmtId="224" formatCode="#&quot; Requêtes&quot;"/>
    <numFmt numFmtId="225" formatCode="#&quot; Requests&quot;"/>
    <numFmt numFmtId="226" formatCode="_(&quot;€&quot;* #,##0.00000_);_(&quot;€&quot;* \(#,##0.00000\);_(&quot;€&quot;* &quot;-&quot;??_);_(@_)"/>
    <numFmt numFmtId="227" formatCode="#,##0.0000\ &quot;€&quot;"/>
    <numFmt numFmtId="228" formatCode="#,##0.000\ &quot;€&quot;"/>
    <numFmt numFmtId="229" formatCode="[$€-2]\ #,##0.00"/>
    <numFmt numFmtId="230" formatCode="#,##0.0"/>
    <numFmt numFmtId="231" formatCode="0.0"/>
    <numFmt numFmtId="232" formatCode="#,##0.000000000\ &quot;€&quot;"/>
    <numFmt numFmtId="233" formatCode="#,##0.000000\ &quot;€&quot;"/>
    <numFmt numFmtId="234" formatCode="_(&quot;€&quot;* #,##0.000000_);_(&quot;€&quot;* \(#,##0.000000\);_(&quot;€&quot;* &quot;-&quot;??_);_(@_)"/>
    <numFmt numFmtId="235" formatCode="###,###&quot; Mbps&quot;"/>
    <numFmt numFmtId="236" formatCode="#,##0.000000\ &quot;€&quot;;[Red]\-#,##0.000000\ &quot;€&quot;"/>
  </numFmts>
  <fonts count="127">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20"/>
      <color theme="1"/>
      <name val="Calibri"/>
      <family val="2"/>
      <scheme val="minor"/>
    </font>
    <font>
      <b/>
      <sz val="14"/>
      <color theme="1"/>
      <name val="Calibri"/>
      <family val="2"/>
      <scheme val="minor"/>
    </font>
    <font>
      <b/>
      <sz val="11"/>
      <name val="Calibri"/>
      <family val="2"/>
      <scheme val="minor"/>
    </font>
    <font>
      <sz val="11"/>
      <name val="Calibri"/>
      <family val="2"/>
      <scheme val="minor"/>
    </font>
    <font>
      <sz val="12"/>
      <color theme="1"/>
      <name val="Calibri"/>
      <family val="2"/>
      <scheme val="minor"/>
    </font>
    <font>
      <sz val="10"/>
      <name val="Arial"/>
      <family val="2"/>
    </font>
    <font>
      <b/>
      <sz val="18"/>
      <name val="Arial"/>
      <family val="2"/>
    </font>
    <font>
      <u/>
      <sz val="10"/>
      <color indexed="48"/>
      <name val="Arial"/>
      <family val="2"/>
    </font>
    <font>
      <sz val="11"/>
      <color indexed="17"/>
      <name val="Calibri"/>
      <family val="2"/>
    </font>
    <font>
      <b/>
      <sz val="11"/>
      <color indexed="9"/>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8"/>
      <name val="Calibri"/>
      <family val="2"/>
      <scheme val="minor"/>
    </font>
    <font>
      <b/>
      <sz val="10"/>
      <name val="Calibri"/>
      <family val="2"/>
      <scheme val="minor"/>
    </font>
    <font>
      <sz val="10"/>
      <color theme="1"/>
      <name val="Calibri"/>
      <family val="2"/>
      <scheme val="minor"/>
    </font>
    <font>
      <b/>
      <sz val="10"/>
      <color theme="1"/>
      <name val="Calibri"/>
      <family val="2"/>
      <scheme val="minor"/>
    </font>
    <font>
      <sz val="10"/>
      <name val="Calibri"/>
      <family val="2"/>
      <scheme val="minor"/>
    </font>
    <font>
      <i/>
      <sz val="10"/>
      <color theme="1"/>
      <name val="Calibri"/>
      <family val="2"/>
      <scheme val="minor"/>
    </font>
    <font>
      <sz val="9"/>
      <color indexed="81"/>
      <name val="Tahoma"/>
      <family val="2"/>
    </font>
    <font>
      <b/>
      <sz val="10"/>
      <color theme="0"/>
      <name val="Calibri"/>
      <family val="2"/>
      <scheme val="minor"/>
    </font>
    <font>
      <b/>
      <sz val="11"/>
      <color rgb="FFFF0000"/>
      <name val="Calibri"/>
      <family val="2"/>
      <scheme val="minor"/>
    </font>
    <font>
      <sz val="11"/>
      <color rgb="FFFF0000"/>
      <name val="Calibri"/>
      <family val="2"/>
      <scheme val="minor"/>
    </font>
    <font>
      <b/>
      <sz val="11"/>
      <color rgb="FF000000"/>
      <name val="Calibri"/>
      <family val="2"/>
    </font>
    <font>
      <sz val="11"/>
      <color rgb="FF000000"/>
      <name val="Calibri"/>
      <family val="2"/>
    </font>
    <font>
      <b/>
      <sz val="9"/>
      <color indexed="81"/>
      <name val="Tahoma"/>
      <family val="2"/>
    </font>
    <font>
      <b/>
      <sz val="14"/>
      <color theme="0"/>
      <name val="Calibri"/>
      <family val="2"/>
      <scheme val="minor"/>
    </font>
    <font>
      <b/>
      <sz val="14"/>
      <name val="Calibri"/>
      <family val="2"/>
      <scheme val="minor"/>
    </font>
    <font>
      <sz val="11"/>
      <color theme="1"/>
      <name val="Arial"/>
      <family val="2"/>
    </font>
    <font>
      <b/>
      <sz val="20"/>
      <color theme="1"/>
      <name val="Arial"/>
      <family val="2"/>
    </font>
    <font>
      <b/>
      <sz val="11"/>
      <color theme="1"/>
      <name val="Arial"/>
      <family val="2"/>
    </font>
    <font>
      <sz val="11"/>
      <color rgb="FFFF0000"/>
      <name val="Arial"/>
      <family val="2"/>
    </font>
    <font>
      <b/>
      <sz val="11"/>
      <color theme="0"/>
      <name val="Arial"/>
      <family val="2"/>
    </font>
    <font>
      <sz val="14"/>
      <color theme="0"/>
      <name val="Calibri"/>
      <family val="2"/>
      <scheme val="minor"/>
    </font>
    <font>
      <sz val="14"/>
      <color rgb="FFFF0000"/>
      <name val="Calibri"/>
      <family val="2"/>
      <scheme val="minor"/>
    </font>
    <font>
      <sz val="14"/>
      <color theme="1"/>
      <name val="Calibri"/>
      <family val="2"/>
      <scheme val="minor"/>
    </font>
    <font>
      <sz val="8"/>
      <color theme="1"/>
      <name val="Calibri"/>
      <family val="2"/>
      <scheme val="minor"/>
    </font>
    <font>
      <sz val="10"/>
      <color theme="1"/>
      <name val="Arial"/>
      <family val="2"/>
    </font>
    <font>
      <sz val="10"/>
      <color rgb="FFFF0000"/>
      <name val="Arial"/>
      <family val="2"/>
    </font>
    <font>
      <b/>
      <sz val="10"/>
      <color theme="0"/>
      <name val="Arial"/>
      <family val="2"/>
    </font>
    <font>
      <sz val="10"/>
      <color theme="0"/>
      <name val="Arial"/>
      <family val="2"/>
    </font>
    <font>
      <b/>
      <sz val="14"/>
      <name val="Arial"/>
      <family val="2"/>
    </font>
    <font>
      <sz val="10"/>
      <color rgb="FFFF0000"/>
      <name val="Calibri"/>
      <family val="2"/>
      <scheme val="minor"/>
    </font>
    <font>
      <i/>
      <sz val="8"/>
      <color theme="1"/>
      <name val="Arial"/>
      <family val="2"/>
    </font>
    <font>
      <sz val="10"/>
      <color rgb="FF000000"/>
      <name val="Arial"/>
      <family val="2"/>
    </font>
    <font>
      <b/>
      <sz val="11"/>
      <color theme="0"/>
      <name val="Calibri"/>
      <family val="2"/>
      <scheme val="minor"/>
    </font>
    <font>
      <b/>
      <sz val="12"/>
      <color theme="0"/>
      <name val="Arial"/>
      <family val="2"/>
    </font>
    <font>
      <sz val="11"/>
      <color theme="0"/>
      <name val="Arial"/>
      <family val="2"/>
    </font>
    <font>
      <b/>
      <u/>
      <sz val="11"/>
      <color theme="1"/>
      <name val="Calibri"/>
      <family val="2"/>
      <scheme val="minor"/>
    </font>
    <font>
      <sz val="11"/>
      <color rgb="FF000000"/>
      <name val="Calibri"/>
      <family val="2"/>
      <scheme val="minor"/>
    </font>
    <font>
      <sz val="11"/>
      <color theme="0" tint="-0.499984740745262"/>
      <name val="Calibri"/>
      <family val="2"/>
      <scheme val="minor"/>
    </font>
    <font>
      <sz val="9"/>
      <color theme="1"/>
      <name val="Arial"/>
      <family val="2"/>
    </font>
    <font>
      <sz val="9"/>
      <name val="Arial"/>
      <family val="2"/>
    </font>
    <font>
      <sz val="9"/>
      <color rgb="FFFF0000"/>
      <name val="Arial"/>
      <family val="2"/>
    </font>
    <font>
      <sz val="9"/>
      <color theme="1"/>
      <name val="Calibri"/>
      <family val="2"/>
      <scheme val="minor"/>
    </font>
    <font>
      <sz val="11"/>
      <name val="Calibri"/>
      <family val="2"/>
      <charset val="134"/>
      <scheme val="minor"/>
    </font>
    <font>
      <u/>
      <sz val="11"/>
      <color theme="10"/>
      <name val="Calibri"/>
      <family val="2"/>
      <scheme val="minor"/>
    </font>
    <font>
      <sz val="18"/>
      <color theme="1"/>
      <name val="Helvetica 75 Bold"/>
      <family val="2"/>
    </font>
    <font>
      <sz val="11"/>
      <color theme="1"/>
      <name val="Helvetica 55 Roman"/>
      <family val="2"/>
    </font>
    <font>
      <b/>
      <sz val="11"/>
      <color rgb="FF4BB4E6"/>
      <name val="Helvetica 55 Roman"/>
      <family val="2"/>
    </font>
    <font>
      <b/>
      <sz val="18"/>
      <color theme="1"/>
      <name val="Calibri"/>
      <family val="2"/>
      <scheme val="minor"/>
    </font>
    <font>
      <sz val="10"/>
      <color theme="0"/>
      <name val="Calibri"/>
      <family val="2"/>
      <scheme val="minor"/>
    </font>
    <font>
      <sz val="9"/>
      <color theme="0"/>
      <name val="Arial"/>
      <family val="2"/>
    </font>
    <font>
      <sz val="48"/>
      <color theme="1"/>
      <name val="Helvetica 75 Bold"/>
      <family val="2"/>
    </font>
    <font>
      <sz val="48"/>
      <color theme="1"/>
      <name val="Helvetica 55 Roman"/>
      <family val="2"/>
    </font>
    <font>
      <sz val="11"/>
      <color theme="4" tint="-0.249977111117893"/>
      <name val="Calibri"/>
      <family val="2"/>
      <scheme val="minor"/>
    </font>
    <font>
      <sz val="12"/>
      <name val="宋体"/>
      <charset val="134"/>
    </font>
    <font>
      <sz val="11"/>
      <color theme="1"/>
      <name val="Calibri"/>
      <family val="2"/>
      <charset val="134"/>
      <scheme val="minor"/>
    </font>
    <font>
      <sz val="11"/>
      <color rgb="FF9C6500"/>
      <name val="Calibri"/>
      <family val="2"/>
      <charset val="134"/>
      <scheme val="minor"/>
    </font>
    <font>
      <u/>
      <sz val="12"/>
      <color theme="10"/>
      <name val="宋体"/>
      <family val="3"/>
      <charset val="134"/>
    </font>
    <font>
      <b/>
      <sz val="11"/>
      <color rgb="FF3F3F3F"/>
      <name val="Calibri"/>
      <family val="2"/>
      <charset val="134"/>
      <scheme val="minor"/>
    </font>
    <font>
      <sz val="11"/>
      <name val="Calibri"/>
      <family val="2"/>
    </font>
    <font>
      <sz val="10.5"/>
      <color rgb="FF0070C0"/>
      <name val="Calibri"/>
      <family val="2"/>
    </font>
    <font>
      <sz val="10.5"/>
      <color theme="1"/>
      <name val="Calibri"/>
      <family val="2"/>
    </font>
    <font>
      <i/>
      <sz val="9"/>
      <name val="Arial"/>
      <family val="2"/>
    </font>
    <font>
      <b/>
      <sz val="12"/>
      <color theme="1"/>
      <name val="Calibri"/>
      <family val="2"/>
      <scheme val="minor"/>
    </font>
    <font>
      <b/>
      <sz val="12"/>
      <color theme="0"/>
      <name val="Calibri"/>
      <family val="2"/>
      <scheme val="minor"/>
    </font>
    <font>
      <sz val="11"/>
      <color theme="1"/>
      <name val="Calibri"/>
      <family val="2"/>
    </font>
    <font>
      <b/>
      <sz val="11"/>
      <name val="Calibri"/>
      <family val="2"/>
    </font>
    <font>
      <b/>
      <sz val="15"/>
      <color theme="3"/>
      <name val="Calibri"/>
      <family val="2"/>
      <charset val="134"/>
      <scheme val="minor"/>
    </font>
    <font>
      <sz val="11"/>
      <color rgb="FF006100"/>
      <name val="Calibri"/>
      <family val="2"/>
      <charset val="134"/>
      <scheme val="minor"/>
    </font>
    <font>
      <sz val="11"/>
      <color rgb="FF9C0006"/>
      <name val="Calibri"/>
      <family val="2"/>
      <charset val="134"/>
      <scheme val="minor"/>
    </font>
    <font>
      <b/>
      <sz val="10"/>
      <name val="Arial"/>
      <family val="2"/>
    </font>
    <font>
      <sz val="12"/>
      <color theme="0"/>
      <name val="Calibri"/>
      <family val="2"/>
      <scheme val="minor"/>
    </font>
    <font>
      <b/>
      <sz val="11"/>
      <color theme="1"/>
      <name val="Helvetica 55 Roman"/>
      <family val="2"/>
    </font>
    <font>
      <b/>
      <sz val="11"/>
      <color theme="8"/>
      <name val="Helvetica 55 Roman"/>
      <family val="2"/>
    </font>
    <font>
      <i/>
      <sz val="11"/>
      <color theme="1"/>
      <name val="Helvetica 55 Roman"/>
      <family val="2"/>
    </font>
    <font>
      <u/>
      <sz val="11"/>
      <name val="Helvetica 55 Roman"/>
      <family val="2"/>
    </font>
    <font>
      <sz val="11"/>
      <name val="Helvetica 55 Roman"/>
      <family val="2"/>
    </font>
    <font>
      <u/>
      <sz val="11"/>
      <color theme="10"/>
      <name val="Helvetica 55 Roman"/>
      <family val="2"/>
    </font>
    <font>
      <u/>
      <sz val="11"/>
      <color theme="1"/>
      <name val="Helvetica 55 Roman"/>
      <family val="2"/>
    </font>
    <font>
      <b/>
      <u/>
      <sz val="11"/>
      <name val="Helvetica 55 Roman"/>
      <family val="2"/>
    </font>
    <font>
      <b/>
      <sz val="11"/>
      <name val="Helvetica 55 Roman"/>
      <family val="2"/>
    </font>
    <font>
      <b/>
      <u/>
      <sz val="11"/>
      <color theme="1"/>
      <name val="Helvetica 55 Roman"/>
      <family val="2"/>
    </font>
    <font>
      <strike/>
      <sz val="11"/>
      <color rgb="FFFF0000"/>
      <name val="Calibri"/>
      <family val="2"/>
      <scheme val="minor"/>
    </font>
    <font>
      <strike/>
      <sz val="11"/>
      <color theme="1"/>
      <name val="Calibri"/>
      <family val="2"/>
      <scheme val="minor"/>
    </font>
    <font>
      <sz val="12"/>
      <color theme="1"/>
      <name val="Times New Roman"/>
      <family val="1"/>
    </font>
    <font>
      <b/>
      <sz val="11"/>
      <color rgb="FF92D050"/>
      <name val="Calibri"/>
      <family val="2"/>
      <scheme val="minor"/>
    </font>
    <font>
      <b/>
      <sz val="11"/>
      <color theme="6"/>
      <name val="Calibri"/>
      <family val="2"/>
      <scheme val="minor"/>
    </font>
    <font>
      <b/>
      <sz val="11"/>
      <name val="Arial"/>
      <family val="2"/>
    </font>
    <font>
      <b/>
      <sz val="12"/>
      <name val="Arial"/>
      <family val="2"/>
    </font>
    <font>
      <sz val="10"/>
      <name val="Times New Roman"/>
      <family val="1"/>
    </font>
    <font>
      <b/>
      <sz val="11"/>
      <name val="Times New Roman"/>
      <family val="1"/>
    </font>
    <font>
      <sz val="11"/>
      <name val="Arial"/>
      <family val="2"/>
    </font>
    <font>
      <sz val="11"/>
      <color rgb="FFFF6600"/>
      <name val="Calibri"/>
      <family val="2"/>
      <scheme val="minor"/>
    </font>
    <font>
      <strike/>
      <sz val="11"/>
      <color rgb="FF000000"/>
      <name val="Calibri"/>
      <family val="2"/>
      <scheme val="minor"/>
    </font>
    <font>
      <sz val="7"/>
      <color rgb="FFFFFFFF"/>
      <name val="Segoe UI"/>
      <family val="2"/>
    </font>
    <font>
      <sz val="7"/>
      <name val="Segoe UI"/>
      <family val="2"/>
    </font>
    <font>
      <b/>
      <sz val="11"/>
      <color theme="0" tint="-0.34998626667073579"/>
      <name val="Arial"/>
      <family val="2"/>
    </font>
    <font>
      <sz val="10"/>
      <color rgb="FF252B3A"/>
      <name val="Arial"/>
      <family val="2"/>
    </font>
    <font>
      <sz val="11"/>
      <color theme="0" tint="-0.34998626667073579"/>
      <name val="Arial"/>
      <family val="2"/>
    </font>
    <font>
      <sz val="11"/>
      <color theme="1" tint="0.499984740745262"/>
      <name val="Calibri"/>
      <family val="2"/>
      <scheme val="minor"/>
    </font>
    <font>
      <b/>
      <sz val="11"/>
      <color rgb="FF172B4D"/>
      <name val="Calibri"/>
      <family val="2"/>
      <scheme val="minor"/>
    </font>
    <font>
      <sz val="9"/>
      <name val="Calibri"/>
      <family val="2"/>
      <scheme val="minor"/>
    </font>
    <font>
      <i/>
      <sz val="11"/>
      <color theme="1"/>
      <name val="Calibri"/>
      <family val="2"/>
      <scheme val="minor"/>
    </font>
    <font>
      <b/>
      <i/>
      <sz val="11"/>
      <color theme="1"/>
      <name val="Calibri"/>
      <family val="2"/>
      <scheme val="minor"/>
    </font>
    <font>
      <b/>
      <i/>
      <sz val="11"/>
      <color rgb="FF000000"/>
      <name val="Calibri"/>
      <family val="2"/>
      <scheme val="minor"/>
    </font>
    <font>
      <b/>
      <i/>
      <sz val="8"/>
      <color theme="1"/>
      <name val="Calibri"/>
      <family val="2"/>
      <scheme val="minor"/>
    </font>
    <font>
      <sz val="11"/>
      <color rgb="FF92D050"/>
      <name val="Calibri"/>
      <family val="2"/>
      <scheme val="minor"/>
    </font>
    <font>
      <sz val="10.5"/>
      <name val="Arial"/>
      <family val="2"/>
    </font>
    <font>
      <b/>
      <sz val="11"/>
      <color theme="1"/>
      <name val="Calibri"/>
      <family val="2"/>
    </font>
    <font>
      <b/>
      <sz val="9"/>
      <color indexed="81"/>
      <name val="Tahoma"/>
      <charset val="1"/>
    </font>
  </fonts>
  <fills count="56">
    <fill>
      <patternFill patternType="none"/>
    </fill>
    <fill>
      <patternFill patternType="gray125"/>
    </fill>
    <fill>
      <patternFill patternType="solid">
        <fgColor rgb="FF0070C0"/>
        <bgColor indexed="64"/>
      </patternFill>
    </fill>
    <fill>
      <patternFill patternType="solid">
        <fgColor indexed="42"/>
      </patternFill>
    </fill>
    <fill>
      <patternFill patternType="solid">
        <fgColor indexed="26"/>
      </patternFill>
    </fill>
    <fill>
      <patternFill patternType="solid">
        <fgColor indexed="55"/>
      </patternFill>
    </fill>
    <fill>
      <patternFill patternType="solid">
        <fgColor theme="0" tint="-0.14999847407452621"/>
        <bgColor indexed="64"/>
      </patternFill>
    </fill>
    <fill>
      <patternFill patternType="solid">
        <fgColor rgb="FF00B0F0"/>
        <bgColor indexed="64"/>
      </patternFill>
    </fill>
    <fill>
      <patternFill patternType="solid">
        <fgColor theme="0"/>
        <bgColor indexed="64"/>
      </patternFill>
    </fill>
    <fill>
      <patternFill patternType="solid">
        <fgColor theme="2" tint="-9.9978637043366805E-2"/>
        <bgColor indexed="64"/>
      </patternFill>
    </fill>
    <fill>
      <patternFill patternType="solid">
        <fgColor rgb="FF97E4FF"/>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rgb="FF4BB4E6"/>
        <bgColor indexed="64"/>
      </patternFill>
    </fill>
    <fill>
      <patternFill patternType="solid">
        <fgColor rgb="FFFF6600"/>
        <bgColor indexed="64"/>
      </patternFill>
    </fill>
    <fill>
      <patternFill patternType="solid">
        <fgColor theme="7" tint="0.79998168889431442"/>
        <bgColor indexed="64"/>
      </patternFill>
    </fill>
    <fill>
      <patternFill patternType="solid">
        <fgColor theme="1"/>
        <bgColor indexed="64"/>
      </patternFill>
    </fill>
    <fill>
      <patternFill patternType="solid">
        <fgColor theme="1" tint="0.249977111117893"/>
        <bgColor indexed="64"/>
      </patternFill>
    </fill>
    <fill>
      <patternFill patternType="solid">
        <fgColor rgb="FF92D05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A885D8"/>
        <bgColor indexed="64"/>
      </patternFill>
    </fill>
    <fill>
      <patternFill patternType="solid">
        <fgColor rgb="FFBDEEFF"/>
        <bgColor indexed="64"/>
      </patternFill>
    </fill>
    <fill>
      <patternFill patternType="solid">
        <fgColor rgb="FFFFD200"/>
        <bgColor indexed="64"/>
      </patternFill>
    </fill>
    <fill>
      <patternFill patternType="solid">
        <fgColor rgb="FFFFFF00"/>
        <bgColor indexed="64"/>
      </patternFill>
    </fill>
    <fill>
      <patternFill patternType="solid">
        <fgColor theme="0"/>
        <bgColor rgb="FF000000"/>
      </patternFill>
    </fill>
    <fill>
      <patternFill patternType="solid">
        <fgColor rgb="FFFFEB9C"/>
      </patternFill>
    </fill>
    <fill>
      <patternFill patternType="solid">
        <fgColor rgb="FFF2F2F2"/>
      </patternFill>
    </fill>
    <fill>
      <patternFill patternType="solid">
        <fgColor rgb="FFFFFF99"/>
        <bgColor indexed="64"/>
      </patternFill>
    </fill>
    <fill>
      <patternFill patternType="solid">
        <fgColor rgb="FFFF0000"/>
        <bgColor indexed="64"/>
      </patternFill>
    </fill>
    <fill>
      <patternFill patternType="solid">
        <fgColor rgb="FFFF66FF"/>
        <bgColor indexed="64"/>
      </patternFill>
    </fill>
    <fill>
      <patternFill patternType="solid">
        <fgColor rgb="FFC6EFCE"/>
      </patternFill>
    </fill>
    <fill>
      <patternFill patternType="solid">
        <fgColor rgb="FFFFC7CE"/>
      </patternFill>
    </fill>
    <fill>
      <patternFill patternType="solid">
        <fgColor rgb="FF00B050"/>
        <bgColor indexed="64"/>
      </patternFill>
    </fill>
    <fill>
      <patternFill patternType="solid">
        <fgColor theme="8"/>
        <bgColor indexed="64"/>
      </patternFill>
    </fill>
    <fill>
      <patternFill patternType="solid">
        <fgColor theme="2"/>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bgColor indexed="64"/>
      </patternFill>
    </fill>
    <fill>
      <patternFill patternType="solid">
        <fgColor theme="9" tint="-0.249977111117893"/>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3" tint="0.39997558519241921"/>
        <bgColor indexed="64"/>
      </patternFill>
    </fill>
    <fill>
      <patternFill patternType="solid">
        <fgColor theme="6"/>
        <bgColor indexed="64"/>
      </patternFill>
    </fill>
    <fill>
      <patternFill patternType="solid">
        <fgColor theme="5"/>
        <bgColor indexed="64"/>
      </patternFill>
    </fill>
    <fill>
      <patternFill patternType="solid">
        <fgColor theme="4"/>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rgb="FF4BB4E6"/>
        <bgColor rgb="FF000000"/>
      </patternFill>
    </fill>
    <fill>
      <patternFill patternType="solid">
        <fgColor rgb="FFD0CECE"/>
        <bgColor rgb="FF000000"/>
      </patternFill>
    </fill>
  </fills>
  <borders count="121">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auto="1"/>
      </left>
      <right/>
      <top/>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right/>
      <top/>
      <bottom style="thin">
        <color auto="1"/>
      </bottom>
      <diagonal/>
    </border>
    <border>
      <left style="thin">
        <color auto="1"/>
      </left>
      <right/>
      <top/>
      <bottom style="thin">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auto="1"/>
      </left>
      <right/>
      <top style="thin">
        <color auto="1"/>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style="medium">
        <color auto="1"/>
      </left>
      <right style="medium">
        <color auto="1"/>
      </right>
      <top/>
      <bottom style="hair">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indexed="64"/>
      </left>
      <right style="thick">
        <color indexed="64"/>
      </right>
      <top style="thin">
        <color indexed="64"/>
      </top>
      <bottom style="thin">
        <color indexed="64"/>
      </bottom>
      <diagonal/>
    </border>
    <border>
      <left/>
      <right/>
      <top style="medium">
        <color indexed="64"/>
      </top>
      <bottom style="medium">
        <color indexed="64"/>
      </bottom>
      <diagonal/>
    </border>
    <border>
      <left/>
      <right style="medium">
        <color auto="1"/>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auto="1"/>
      </right>
      <top style="thin">
        <color indexed="64"/>
      </top>
      <bottom style="medium">
        <color auto="1"/>
      </bottom>
      <diagonal/>
    </border>
    <border>
      <left/>
      <right style="medium">
        <color indexed="64"/>
      </right>
      <top style="thin">
        <color auto="1"/>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auto="1"/>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auto="1"/>
      </left>
      <right style="thin">
        <color indexed="64"/>
      </right>
      <top style="medium">
        <color auto="1"/>
      </top>
      <bottom style="thin">
        <color indexed="64"/>
      </bottom>
      <diagonal/>
    </border>
    <border>
      <left/>
      <right/>
      <top style="thin">
        <color indexed="64"/>
      </top>
      <bottom style="medium">
        <color auto="1"/>
      </bottom>
      <diagonal/>
    </border>
    <border>
      <left style="medium">
        <color auto="1"/>
      </left>
      <right/>
      <top style="thin">
        <color auto="1"/>
      </top>
      <bottom style="medium">
        <color indexed="64"/>
      </bottom>
      <diagonal/>
    </border>
    <border>
      <left/>
      <right/>
      <top style="medium">
        <color auto="1"/>
      </top>
      <bottom style="thin">
        <color indexed="64"/>
      </bottom>
      <diagonal/>
    </border>
    <border>
      <left style="medium">
        <color auto="1"/>
      </left>
      <right/>
      <top style="medium">
        <color auto="1"/>
      </top>
      <bottom style="thin">
        <color indexed="64"/>
      </bottom>
      <diagonal/>
    </border>
    <border>
      <left style="medium">
        <color indexed="64"/>
      </left>
      <right style="thin">
        <color auto="1"/>
      </right>
      <top/>
      <bottom style="medium">
        <color indexed="64"/>
      </bottom>
      <diagonal/>
    </border>
    <border>
      <left style="thin">
        <color auto="1"/>
      </left>
      <right/>
      <top/>
      <bottom style="medium">
        <color indexed="64"/>
      </bottom>
      <diagonal/>
    </border>
    <border>
      <left/>
      <right/>
      <top style="thin">
        <color theme="5"/>
      </top>
      <bottom/>
      <diagonal/>
    </border>
  </borders>
  <cellStyleXfs count="60870">
    <xf numFmtId="0" fontId="0" fillId="0" borderId="0"/>
    <xf numFmtId="164"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8" fillId="0" borderId="0"/>
    <xf numFmtId="169" fontId="8" fillId="0" borderId="0" applyFont="0" applyFill="0" applyBorder="0" applyAlignment="0" applyProtection="0"/>
    <xf numFmtId="9" fontId="8" fillId="0" borderId="0" applyFont="0" applyFill="0" applyBorder="0" applyAlignment="0" applyProtection="0"/>
    <xf numFmtId="167" fontId="8" fillId="0" borderId="0" applyFont="0" applyFill="0" applyBorder="0" applyAlignment="0" applyProtection="0"/>
    <xf numFmtId="0" fontId="1" fillId="0" borderId="0"/>
    <xf numFmtId="167" fontId="1" fillId="0" borderId="0" applyFont="0" applyFill="0" applyBorder="0" applyAlignment="0" applyProtection="0"/>
    <xf numFmtId="164" fontId="8" fillId="0" borderId="0" applyFont="0" applyFill="0" applyBorder="0" applyAlignment="0" applyProtection="0"/>
    <xf numFmtId="3" fontId="9" fillId="0" borderId="0" applyFill="0" applyBorder="0" applyAlignment="0" applyProtection="0"/>
    <xf numFmtId="0" fontId="11" fillId="0" borderId="0" applyNumberFormat="0" applyFill="0" applyBorder="0" applyAlignment="0" applyProtection="0"/>
    <xf numFmtId="0" fontId="9" fillId="0" borderId="0"/>
    <xf numFmtId="174" fontId="9" fillId="0" borderId="0" applyFill="0" applyBorder="0" applyAlignment="0" applyProtection="0"/>
    <xf numFmtId="175" fontId="9" fillId="0" borderId="0" applyFill="0" applyBorder="0" applyAlignment="0" applyProtection="0"/>
    <xf numFmtId="0" fontId="9" fillId="0" borderId="0"/>
    <xf numFmtId="0" fontId="10" fillId="0" borderId="0" applyNumberFormat="0" applyFill="0" applyBorder="0" applyAlignment="0" applyProtection="0"/>
    <xf numFmtId="0" fontId="9" fillId="0" borderId="0"/>
    <xf numFmtId="0" fontId="12" fillId="3" borderId="0" applyNumberFormat="0" applyBorder="0" applyAlignment="0" applyProtection="0"/>
    <xf numFmtId="177" fontId="9" fillId="0" borderId="0" applyFont="0" applyFill="0" applyBorder="0" applyAlignment="0" applyProtection="0"/>
    <xf numFmtId="176" fontId="9" fillId="0" borderId="0" applyFont="0" applyFill="0" applyBorder="0" applyAlignment="0" applyProtection="0"/>
    <xf numFmtId="0" fontId="9" fillId="4" borderId="10" applyNumberFormat="0" applyFont="0" applyAlignment="0" applyProtection="0"/>
    <xf numFmtId="0" fontId="14" fillId="0" borderId="11" applyNumberFormat="0" applyFill="0" applyAlignment="0" applyProtection="0"/>
    <xf numFmtId="0" fontId="15" fillId="0" borderId="12" applyNumberFormat="0" applyFill="0" applyAlignment="0" applyProtection="0"/>
    <xf numFmtId="0" fontId="16" fillId="0" borderId="13"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3" fillId="5" borderId="14" applyNumberForma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8" applyNumberFormat="0" applyFont="0" applyAlignment="0" applyProtection="0"/>
    <xf numFmtId="0" fontId="9" fillId="4" borderId="18" applyNumberFormat="0" applyFont="0" applyAlignment="0" applyProtection="0"/>
    <xf numFmtId="0" fontId="9" fillId="4" borderId="18" applyNumberFormat="0" applyFont="0" applyAlignment="0" applyProtection="0"/>
    <xf numFmtId="0" fontId="9" fillId="4" borderId="18" applyNumberFormat="0" applyFont="0" applyAlignment="0" applyProtection="0"/>
    <xf numFmtId="0" fontId="9" fillId="4" borderId="18" applyNumberFormat="0" applyFont="0" applyAlignment="0" applyProtection="0"/>
    <xf numFmtId="0" fontId="9" fillId="4" borderId="18" applyNumberFormat="0" applyFont="0" applyAlignment="0" applyProtection="0"/>
    <xf numFmtId="0" fontId="9" fillId="4" borderId="18" applyNumberFormat="0" applyFont="0" applyAlignment="0" applyProtection="0"/>
    <xf numFmtId="0" fontId="9" fillId="4" borderId="18" applyNumberFormat="0" applyFont="0" applyAlignment="0" applyProtection="0"/>
    <xf numFmtId="0" fontId="9" fillId="4" borderId="18" applyNumberFormat="0" applyFont="0" applyAlignment="0" applyProtection="0"/>
    <xf numFmtId="0" fontId="9" fillId="4" borderId="18" applyNumberFormat="0" applyFont="0" applyAlignment="0" applyProtection="0"/>
    <xf numFmtId="0" fontId="9" fillId="4" borderId="18" applyNumberFormat="0" applyFont="0" applyAlignment="0" applyProtection="0"/>
    <xf numFmtId="0" fontId="9" fillId="4" borderId="18" applyNumberFormat="0" applyFont="0" applyAlignment="0" applyProtection="0"/>
    <xf numFmtId="0" fontId="9" fillId="4" borderId="18" applyNumberFormat="0" applyFont="0" applyAlignment="0" applyProtection="0"/>
    <xf numFmtId="0" fontId="9" fillId="4" borderId="18" applyNumberFormat="0" applyFont="0" applyAlignment="0" applyProtection="0"/>
    <xf numFmtId="0" fontId="9" fillId="4" borderId="18" applyNumberFormat="0" applyFont="0" applyAlignment="0" applyProtection="0"/>
    <xf numFmtId="0" fontId="9" fillId="4" borderId="18" applyNumberFormat="0" applyFont="0" applyAlignment="0" applyProtection="0"/>
    <xf numFmtId="0" fontId="9" fillId="4" borderId="18" applyNumberFormat="0" applyFont="0" applyAlignment="0" applyProtection="0"/>
    <xf numFmtId="0" fontId="9" fillId="4" borderId="18" applyNumberFormat="0" applyFont="0" applyAlignment="0" applyProtection="0"/>
    <xf numFmtId="0" fontId="9" fillId="4" borderId="18" applyNumberFormat="0" applyFont="0" applyAlignment="0" applyProtection="0"/>
    <xf numFmtId="0" fontId="9" fillId="4" borderId="18" applyNumberFormat="0" applyFont="0" applyAlignment="0" applyProtection="0"/>
    <xf numFmtId="0" fontId="9" fillId="4" borderId="18" applyNumberFormat="0" applyFont="0" applyAlignment="0" applyProtection="0"/>
    <xf numFmtId="0" fontId="9" fillId="4" borderId="18" applyNumberFormat="0" applyFont="0" applyAlignment="0" applyProtection="0"/>
    <xf numFmtId="0" fontId="9" fillId="4" borderId="18" applyNumberFormat="0" applyFont="0" applyAlignment="0" applyProtection="0"/>
    <xf numFmtId="0" fontId="9" fillId="4" borderId="19" applyNumberFormat="0" applyFont="0" applyAlignment="0" applyProtection="0"/>
    <xf numFmtId="0" fontId="9" fillId="4" borderId="19" applyNumberFormat="0" applyFont="0" applyAlignment="0" applyProtection="0"/>
    <xf numFmtId="0" fontId="9" fillId="4" borderId="19" applyNumberFormat="0" applyFont="0" applyAlignment="0" applyProtection="0"/>
    <xf numFmtId="0" fontId="9" fillId="4" borderId="19" applyNumberFormat="0" applyFont="0" applyAlignment="0" applyProtection="0"/>
    <xf numFmtId="0" fontId="9" fillId="4" borderId="19" applyNumberFormat="0" applyFont="0" applyAlignment="0" applyProtection="0"/>
    <xf numFmtId="0" fontId="9" fillId="4" borderId="19" applyNumberFormat="0" applyFont="0" applyAlignment="0" applyProtection="0"/>
    <xf numFmtId="0" fontId="9" fillId="4" borderId="19" applyNumberFormat="0" applyFont="0" applyAlignment="0" applyProtection="0"/>
    <xf numFmtId="0" fontId="9" fillId="4" borderId="19" applyNumberFormat="0" applyFont="0" applyAlignment="0" applyProtection="0"/>
    <xf numFmtId="0" fontId="9" fillId="4" borderId="19" applyNumberFormat="0" applyFont="0" applyAlignment="0" applyProtection="0"/>
    <xf numFmtId="0" fontId="9" fillId="4" borderId="19" applyNumberFormat="0" applyFont="0" applyAlignment="0" applyProtection="0"/>
    <xf numFmtId="0" fontId="9" fillId="4" borderId="19" applyNumberFormat="0" applyFont="0" applyAlignment="0" applyProtection="0"/>
    <xf numFmtId="0" fontId="9" fillId="4" borderId="19" applyNumberFormat="0" applyFont="0" applyAlignment="0" applyProtection="0"/>
    <xf numFmtId="0" fontId="9" fillId="4" borderId="19" applyNumberFormat="0" applyFont="0" applyAlignment="0" applyProtection="0"/>
    <xf numFmtId="0" fontId="9" fillId="4" borderId="19" applyNumberFormat="0" applyFont="0" applyAlignment="0" applyProtection="0"/>
    <xf numFmtId="0" fontId="9" fillId="4" borderId="19" applyNumberFormat="0" applyFont="0" applyAlignment="0" applyProtection="0"/>
    <xf numFmtId="0" fontId="9" fillId="4" borderId="19" applyNumberFormat="0" applyFont="0" applyAlignment="0" applyProtection="0"/>
    <xf numFmtId="0" fontId="9" fillId="4" borderId="19"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0" applyNumberFormat="0" applyFont="0" applyAlignment="0" applyProtection="0"/>
    <xf numFmtId="0" fontId="9" fillId="4" borderId="20" applyNumberFormat="0" applyFont="0" applyAlignment="0" applyProtection="0"/>
    <xf numFmtId="0" fontId="9" fillId="4" borderId="22" applyNumberFormat="0" applyFont="0" applyAlignment="0" applyProtection="0"/>
    <xf numFmtId="0" fontId="9" fillId="4" borderId="22"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5" applyNumberFormat="0" applyFont="0" applyAlignment="0" applyProtection="0"/>
    <xf numFmtId="0" fontId="9" fillId="4" borderId="25" applyNumberFormat="0" applyFont="0" applyAlignment="0" applyProtection="0"/>
    <xf numFmtId="0" fontId="9" fillId="4" borderId="25" applyNumberFormat="0" applyFont="0" applyAlignment="0" applyProtection="0"/>
    <xf numFmtId="0" fontId="9" fillId="4" borderId="25" applyNumberFormat="0" applyFont="0" applyAlignment="0" applyProtection="0"/>
    <xf numFmtId="0" fontId="9" fillId="4" borderId="25" applyNumberFormat="0" applyFont="0" applyAlignment="0" applyProtection="0"/>
    <xf numFmtId="0" fontId="9" fillId="4" borderId="25" applyNumberFormat="0" applyFont="0" applyAlignment="0" applyProtection="0"/>
    <xf numFmtId="0" fontId="9" fillId="4" borderId="25" applyNumberFormat="0" applyFont="0" applyAlignment="0" applyProtection="0"/>
    <xf numFmtId="0" fontId="9" fillId="4" borderId="25" applyNumberFormat="0" applyFont="0" applyAlignment="0" applyProtection="0"/>
    <xf numFmtId="0" fontId="9" fillId="4" borderId="25" applyNumberFormat="0" applyFont="0" applyAlignment="0" applyProtection="0"/>
    <xf numFmtId="0" fontId="9" fillId="4" borderId="25" applyNumberFormat="0" applyFont="0" applyAlignment="0" applyProtection="0"/>
    <xf numFmtId="0" fontId="9" fillId="4" borderId="25" applyNumberFormat="0" applyFont="0" applyAlignment="0" applyProtection="0"/>
    <xf numFmtId="0" fontId="9" fillId="4" borderId="25" applyNumberFormat="0" applyFont="0" applyAlignment="0" applyProtection="0"/>
    <xf numFmtId="0" fontId="9" fillId="4" borderId="25" applyNumberFormat="0" applyFont="0" applyAlignment="0" applyProtection="0"/>
    <xf numFmtId="0" fontId="9" fillId="4" borderId="25" applyNumberFormat="0" applyFont="0" applyAlignment="0" applyProtection="0"/>
    <xf numFmtId="0" fontId="9" fillId="4" borderId="25" applyNumberFormat="0" applyFont="0" applyAlignment="0" applyProtection="0"/>
    <xf numFmtId="0" fontId="9" fillId="4" borderId="25" applyNumberFormat="0" applyFont="0" applyAlignment="0" applyProtection="0"/>
    <xf numFmtId="0" fontId="9" fillId="4" borderId="25" applyNumberFormat="0" applyFont="0" applyAlignment="0" applyProtection="0"/>
    <xf numFmtId="0" fontId="9" fillId="4" borderId="25" applyNumberFormat="0" applyFont="0" applyAlignment="0" applyProtection="0"/>
    <xf numFmtId="0" fontId="9" fillId="4" borderId="25" applyNumberFormat="0" applyFont="0" applyAlignment="0" applyProtection="0"/>
    <xf numFmtId="0" fontId="9" fillId="4" borderId="25" applyNumberFormat="0" applyFont="0" applyAlignment="0" applyProtection="0"/>
    <xf numFmtId="0" fontId="9" fillId="4" borderId="25" applyNumberFormat="0" applyFont="0" applyAlignment="0" applyProtection="0"/>
    <xf numFmtId="0" fontId="9" fillId="4" borderId="25" applyNumberFormat="0" applyFont="0" applyAlignment="0" applyProtection="0"/>
    <xf numFmtId="0" fontId="9" fillId="4" borderId="25"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30"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0" fontId="9" fillId="4" borderId="26" applyNumberFormat="0" applyFont="0" applyAlignment="0" applyProtection="0"/>
    <xf numFmtId="183" fontId="1" fillId="0" borderId="0" applyFont="0" applyFill="0" applyBorder="0" applyAlignment="0" applyProtection="0"/>
    <xf numFmtId="0" fontId="49"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0" fontId="61" fillId="0" borderId="0" applyNumberFormat="0" applyFill="0" applyBorder="0" applyAlignment="0" applyProtection="0"/>
    <xf numFmtId="167" fontId="1" fillId="0" borderId="0" applyFont="0" applyFill="0" applyBorder="0" applyAlignment="0" applyProtection="0"/>
    <xf numFmtId="0" fontId="71" fillId="0" borderId="0">
      <alignment vertical="center"/>
    </xf>
    <xf numFmtId="0" fontId="73" fillId="28" borderId="0" applyNumberFormat="0" applyBorder="0" applyAlignment="0" applyProtection="0">
      <alignment vertical="center"/>
    </xf>
    <xf numFmtId="0" fontId="74" fillId="0" borderId="0" applyNumberFormat="0" applyFill="0" applyBorder="0" applyAlignment="0" applyProtection="0">
      <alignment vertical="center"/>
    </xf>
    <xf numFmtId="177" fontId="72" fillId="0" borderId="0">
      <alignment vertical="center"/>
    </xf>
    <xf numFmtId="164" fontId="71" fillId="0" borderId="0" applyFont="0" applyFill="0" applyBorder="0" applyAlignment="0" applyProtection="0"/>
    <xf numFmtId="9" fontId="71" fillId="0" borderId="0" applyFont="0" applyFill="0" applyBorder="0" applyAlignment="0" applyProtection="0"/>
    <xf numFmtId="0" fontId="72" fillId="0" borderId="0">
      <alignment vertical="center"/>
    </xf>
    <xf numFmtId="206" fontId="72" fillId="0" borderId="0" applyFont="0" applyFill="0" applyBorder="0" applyAlignment="0" applyProtection="0">
      <alignment vertical="center"/>
    </xf>
    <xf numFmtId="0" fontId="75" fillId="29" borderId="81" applyNumberFormat="0" applyAlignment="0" applyProtection="0">
      <alignment vertical="center"/>
    </xf>
    <xf numFmtId="0" fontId="1" fillId="0" borderId="0"/>
    <xf numFmtId="0" fontId="61" fillId="0" borderId="0" applyNumberFormat="0" applyFill="0" applyBorder="0" applyAlignment="0" applyProtection="0"/>
    <xf numFmtId="167" fontId="7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0" fontId="84" fillId="0" borderId="88" applyNumberFormat="0" applyFill="0" applyAlignment="0" applyProtection="0"/>
    <xf numFmtId="0" fontId="85" fillId="33" borderId="0" applyNumberFormat="0" applyBorder="0" applyAlignment="0" applyProtection="0"/>
    <xf numFmtId="0" fontId="86" fillId="34" borderId="0" applyNumberFormat="0" applyBorder="0" applyAlignment="0" applyProtection="0"/>
    <xf numFmtId="0" fontId="73" fillId="28" borderId="0" applyNumberFormat="0" applyBorder="0" applyAlignment="0" applyProtection="0"/>
    <xf numFmtId="167" fontId="1" fillId="0" borderId="0" applyFont="0" applyFill="0" applyBorder="0" applyAlignment="0" applyProtection="0"/>
    <xf numFmtId="164" fontId="1" fillId="0" borderId="0" applyFont="0" applyFill="0" applyBorder="0" applyAlignment="0" applyProtection="0"/>
    <xf numFmtId="9" fontId="72" fillId="0" borderId="0" applyFont="0" applyFill="0" applyBorder="0" applyAlignment="0" applyProtection="0">
      <alignment vertical="center"/>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08" fillId="0" borderId="0">
      <alignment vertical="center"/>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2248">
    <xf numFmtId="0" fontId="0" fillId="0" borderId="0" xfId="0"/>
    <xf numFmtId="0" fontId="4" fillId="0" borderId="0" xfId="0" applyFont="1" applyFill="1" applyBorder="1" applyAlignment="1" applyProtection="1">
      <alignment vertical="center"/>
    </xf>
    <xf numFmtId="0" fontId="4" fillId="0" borderId="0" xfId="0" applyFont="1" applyFill="1" applyBorder="1" applyAlignment="1" applyProtection="1">
      <alignment vertical="center" wrapText="1"/>
    </xf>
    <xf numFmtId="0" fontId="0" fillId="0" borderId="0" xfId="0"/>
    <xf numFmtId="0" fontId="0" fillId="0" borderId="0" xfId="0" applyFill="1" applyBorder="1" applyProtection="1"/>
    <xf numFmtId="0" fontId="0" fillId="0" borderId="0" xfId="0" applyFont="1" applyBorder="1" applyProtection="1"/>
    <xf numFmtId="170" fontId="0" fillId="0" borderId="0" xfId="1" applyNumberFormat="1" applyFont="1" applyFill="1" applyBorder="1" applyProtection="1"/>
    <xf numFmtId="0" fontId="0" fillId="0" borderId="5" xfId="0" applyBorder="1"/>
    <xf numFmtId="0" fontId="0" fillId="0" borderId="0" xfId="0" applyFont="1" applyFill="1" applyBorder="1" applyProtection="1"/>
    <xf numFmtId="0" fontId="0" fillId="0" borderId="5" xfId="0" applyFont="1" applyBorder="1" applyProtection="1"/>
    <xf numFmtId="0" fontId="0" fillId="0" borderId="0" xfId="0" applyBorder="1" applyProtection="1"/>
    <xf numFmtId="9" fontId="0" fillId="0" borderId="0" xfId="0" applyNumberFormat="1" applyFont="1" applyBorder="1" applyAlignment="1" applyProtection="1"/>
    <xf numFmtId="170" fontId="7" fillId="0" borderId="0" xfId="1" applyNumberFormat="1" applyFont="1" applyBorder="1" applyProtection="1"/>
    <xf numFmtId="0" fontId="2" fillId="0" borderId="0" xfId="0" applyFont="1" applyBorder="1" applyAlignment="1" applyProtection="1"/>
    <xf numFmtId="9" fontId="0" fillId="0" borderId="0" xfId="0" applyNumberFormat="1" applyFont="1" applyFill="1" applyBorder="1" applyAlignment="1" applyProtection="1"/>
    <xf numFmtId="0" fontId="0" fillId="0" borderId="5" xfId="0" applyBorder="1" applyProtection="1"/>
    <xf numFmtId="0" fontId="0" fillId="0" borderId="4" xfId="0" applyBorder="1" applyProtection="1"/>
    <xf numFmtId="0" fontId="0" fillId="0" borderId="5" xfId="0" applyFont="1" applyFill="1" applyBorder="1" applyProtection="1"/>
    <xf numFmtId="170" fontId="2" fillId="0" borderId="0" xfId="1" applyNumberFormat="1" applyFont="1" applyBorder="1" applyAlignment="1" applyProtection="1">
      <alignment vertical="center"/>
    </xf>
    <xf numFmtId="170" fontId="1" fillId="0" borderId="0" xfId="1" applyNumberFormat="1" applyFont="1" applyBorder="1" applyAlignment="1" applyProtection="1">
      <alignment vertical="center"/>
    </xf>
    <xf numFmtId="0" fontId="2" fillId="0" borderId="5" xfId="0" applyFont="1" applyBorder="1" applyAlignment="1" applyProtection="1"/>
    <xf numFmtId="0" fontId="2" fillId="0" borderId="5" xfId="0" applyFont="1" applyFill="1" applyBorder="1" applyAlignment="1" applyProtection="1">
      <alignment wrapText="1"/>
    </xf>
    <xf numFmtId="9" fontId="0" fillId="0" borderId="5" xfId="0" applyNumberFormat="1" applyFont="1" applyFill="1" applyBorder="1" applyAlignment="1" applyProtection="1"/>
    <xf numFmtId="171" fontId="0" fillId="0" borderId="5" xfId="0" applyNumberFormat="1" applyFont="1" applyBorder="1" applyAlignment="1" applyProtection="1">
      <alignment vertical="top" wrapText="1"/>
    </xf>
    <xf numFmtId="0" fontId="0" fillId="0" borderId="0" xfId="0" applyFont="1" applyBorder="1" applyAlignment="1" applyProtection="1">
      <alignment wrapText="1"/>
    </xf>
    <xf numFmtId="0" fontId="0" fillId="0" borderId="5" xfId="0" applyFont="1" applyBorder="1" applyAlignment="1" applyProtection="1">
      <alignment wrapText="1"/>
    </xf>
    <xf numFmtId="0" fontId="2" fillId="0" borderId="0" xfId="0" applyFont="1" applyFill="1" applyBorder="1" applyProtection="1"/>
    <xf numFmtId="0" fontId="0" fillId="0" borderId="0" xfId="0" applyAlignment="1" applyProtection="1">
      <alignment horizontal="right"/>
    </xf>
    <xf numFmtId="0" fontId="20" fillId="0" borderId="0" xfId="0" applyFont="1"/>
    <xf numFmtId="0" fontId="20" fillId="0" borderId="0" xfId="0" applyFont="1" applyBorder="1"/>
    <xf numFmtId="164" fontId="0" fillId="0" borderId="0" xfId="0" applyNumberFormat="1"/>
    <xf numFmtId="0" fontId="0" fillId="0" borderId="0" xfId="0" applyNumberFormat="1" applyFont="1" applyFill="1" applyBorder="1" applyAlignment="1" applyProtection="1"/>
    <xf numFmtId="0" fontId="5" fillId="0" borderId="0" xfId="0" applyFont="1" applyFill="1" applyAlignment="1" applyProtection="1">
      <alignment horizontal="center" vertical="center" wrapText="1"/>
    </xf>
    <xf numFmtId="0" fontId="0" fillId="0" borderId="0" xfId="0"/>
    <xf numFmtId="0" fontId="0" fillId="0" borderId="0" xfId="0" applyProtection="1"/>
    <xf numFmtId="166" fontId="0" fillId="0" borderId="0" xfId="0" applyNumberFormat="1" applyFill="1" applyBorder="1" applyProtection="1"/>
    <xf numFmtId="171" fontId="0" fillId="0" borderId="0" xfId="0" applyNumberFormat="1" applyFont="1" applyBorder="1" applyAlignment="1" applyProtection="1">
      <alignment horizontal="center" vertical="top" wrapText="1"/>
    </xf>
    <xf numFmtId="0" fontId="0" fillId="0" borderId="0" xfId="0" applyBorder="1" applyAlignment="1" applyProtection="1">
      <alignment horizontal="center" wrapText="1"/>
    </xf>
    <xf numFmtId="171" fontId="0" fillId="0" borderId="0" xfId="0" applyNumberFormat="1" applyFont="1" applyBorder="1" applyAlignment="1" applyProtection="1">
      <alignment horizontal="left" vertical="top" wrapText="1"/>
    </xf>
    <xf numFmtId="0" fontId="0" fillId="0" borderId="0" xfId="0"/>
    <xf numFmtId="0" fontId="0" fillId="0" borderId="4" xfId="0" applyFont="1" applyBorder="1" applyProtection="1"/>
    <xf numFmtId="0" fontId="0" fillId="0" borderId="0" xfId="0" applyFont="1" applyBorder="1" applyAlignment="1" applyProtection="1">
      <alignment wrapText="1"/>
    </xf>
    <xf numFmtId="0" fontId="0" fillId="0" borderId="0" xfId="0" applyFont="1" applyFill="1" applyBorder="1" applyProtection="1"/>
    <xf numFmtId="0" fontId="0" fillId="0" borderId="0" xfId="0" applyFont="1" applyFill="1" applyBorder="1" applyAlignment="1" applyProtection="1"/>
    <xf numFmtId="0" fontId="0" fillId="0" borderId="0" xfId="0" applyBorder="1"/>
    <xf numFmtId="178" fontId="0" fillId="0" borderId="0" xfId="0" applyNumberFormat="1" applyFont="1" applyFill="1" applyBorder="1" applyProtection="1"/>
    <xf numFmtId="0" fontId="0" fillId="0" borderId="31" xfId="0" applyFont="1" applyFill="1" applyBorder="1" applyProtection="1"/>
    <xf numFmtId="0" fontId="19" fillId="0" borderId="0" xfId="0" applyFont="1" applyFill="1" applyBorder="1" applyAlignment="1">
      <alignment horizontal="center" vertical="center"/>
    </xf>
    <xf numFmtId="171" fontId="0" fillId="0" borderId="0" xfId="0" applyNumberFormat="1" applyFont="1" applyBorder="1" applyAlignment="1" applyProtection="1">
      <alignment horizontal="center" vertical="top" wrapText="1"/>
    </xf>
    <xf numFmtId="170" fontId="20" fillId="0" borderId="0" xfId="1" applyNumberFormat="1" applyFont="1" applyBorder="1" applyAlignment="1" applyProtection="1">
      <alignment vertical="center"/>
    </xf>
    <xf numFmtId="170" fontId="7" fillId="0" borderId="32" xfId="1" applyNumberFormat="1" applyFont="1" applyBorder="1" applyProtection="1"/>
    <xf numFmtId="9" fontId="0" fillId="0" borderId="32" xfId="0" applyNumberFormat="1" applyFont="1" applyBorder="1" applyAlignment="1" applyProtection="1"/>
    <xf numFmtId="0" fontId="0" fillId="0" borderId="32" xfId="0" applyBorder="1"/>
    <xf numFmtId="0" fontId="0" fillId="0" borderId="4" xfId="0" applyBorder="1"/>
    <xf numFmtId="0" fontId="0" fillId="0" borderId="36" xfId="0" applyBorder="1"/>
    <xf numFmtId="0" fontId="0" fillId="0" borderId="37" xfId="0" applyBorder="1"/>
    <xf numFmtId="171" fontId="0" fillId="0" borderId="0" xfId="0" applyNumberFormat="1" applyFont="1" applyBorder="1" applyAlignment="1" applyProtection="1">
      <alignment horizontal="center" vertical="top" wrapText="1"/>
    </xf>
    <xf numFmtId="0" fontId="7" fillId="0" borderId="0" xfId="0" applyFont="1" applyFill="1" applyBorder="1" applyProtection="1"/>
    <xf numFmtId="171" fontId="7" fillId="0" borderId="0" xfId="0" applyNumberFormat="1" applyFont="1" applyFill="1" applyBorder="1" applyProtection="1"/>
    <xf numFmtId="0" fontId="7" fillId="0" borderId="0" xfId="0" applyFont="1" applyBorder="1" applyProtection="1"/>
    <xf numFmtId="170" fontId="7" fillId="0" borderId="0" xfId="1" applyNumberFormat="1" applyFont="1" applyFill="1" applyBorder="1" applyProtection="1"/>
    <xf numFmtId="172" fontId="0" fillId="0" borderId="33" xfId="1" applyNumberFormat="1" applyFont="1" applyFill="1" applyBorder="1" applyProtection="1"/>
    <xf numFmtId="172" fontId="7" fillId="0" borderId="0" xfId="1" applyNumberFormat="1" applyFont="1" applyFill="1" applyBorder="1" applyProtection="1"/>
    <xf numFmtId="0" fontId="0" fillId="0" borderId="33" xfId="0" applyFill="1" applyBorder="1" applyProtection="1"/>
    <xf numFmtId="0" fontId="20" fillId="0" borderId="0" xfId="0" applyFont="1" applyFill="1" applyBorder="1"/>
    <xf numFmtId="173" fontId="20" fillId="0" borderId="0" xfId="0" applyNumberFormat="1" applyFont="1" applyFill="1" applyBorder="1"/>
    <xf numFmtId="0" fontId="0" fillId="0" borderId="5" xfId="0" applyFill="1" applyBorder="1"/>
    <xf numFmtId="164" fontId="22" fillId="0" borderId="0" xfId="1" applyNumberFormat="1" applyFont="1" applyFill="1" applyBorder="1"/>
    <xf numFmtId="0" fontId="20" fillId="0" borderId="0" xfId="0" applyFont="1" applyFill="1" applyBorder="1" applyAlignment="1">
      <alignment vertical="center" wrapText="1"/>
    </xf>
    <xf numFmtId="173" fontId="23" fillId="0" borderId="0" xfId="1" applyNumberFormat="1" applyFont="1" applyFill="1" applyBorder="1"/>
    <xf numFmtId="0" fontId="23" fillId="0" borderId="0" xfId="0" applyFont="1" applyFill="1" applyBorder="1"/>
    <xf numFmtId="171" fontId="0" fillId="0" borderId="4" xfId="0" applyNumberFormat="1" applyFont="1" applyBorder="1" applyProtection="1"/>
    <xf numFmtId="0" fontId="0" fillId="0" borderId="4" xfId="0" applyFont="1" applyBorder="1" applyAlignment="1" applyProtection="1">
      <alignment wrapText="1"/>
    </xf>
    <xf numFmtId="171" fontId="0" fillId="0" borderId="4" xfId="0" applyNumberFormat="1" applyFont="1" applyBorder="1" applyAlignment="1" applyProtection="1">
      <alignment horizontal="left" vertical="top" wrapText="1"/>
    </xf>
    <xf numFmtId="171" fontId="0" fillId="0" borderId="4" xfId="0" applyNumberFormat="1" applyFont="1" applyBorder="1" applyAlignment="1" applyProtection="1">
      <alignment horizontal="center" vertical="top" wrapText="1"/>
    </xf>
    <xf numFmtId="0" fontId="0" fillId="0" borderId="5" xfId="0" applyBorder="1" applyAlignment="1" applyProtection="1">
      <alignment wrapText="1"/>
    </xf>
    <xf numFmtId="0" fontId="0" fillId="0" borderId="4" xfId="0" applyBorder="1" applyAlignment="1" applyProtection="1">
      <alignment horizontal="center" wrapText="1"/>
    </xf>
    <xf numFmtId="0" fontId="0" fillId="0" borderId="4" xfId="0" applyFont="1" applyFill="1" applyBorder="1" applyAlignment="1" applyProtection="1">
      <alignment vertical="center" wrapText="1"/>
    </xf>
    <xf numFmtId="0" fontId="0" fillId="0" borderId="35" xfId="0" applyBorder="1"/>
    <xf numFmtId="0" fontId="33" fillId="0" borderId="0" xfId="0" applyFont="1"/>
    <xf numFmtId="0" fontId="34" fillId="0" borderId="0" xfId="0" applyFont="1" applyAlignment="1">
      <alignment horizontal="center" vertical="top"/>
    </xf>
    <xf numFmtId="0" fontId="34" fillId="0" borderId="0" xfId="0" applyFont="1" applyAlignment="1">
      <alignment horizontal="left" vertical="top"/>
    </xf>
    <xf numFmtId="0" fontId="33" fillId="0" borderId="0" xfId="0" applyFont="1" applyBorder="1" applyAlignment="1">
      <alignment horizontal="right"/>
    </xf>
    <xf numFmtId="0" fontId="36" fillId="0" borderId="0" xfId="0" applyFont="1"/>
    <xf numFmtId="0" fontId="33" fillId="0" borderId="0" xfId="0" applyFont="1" applyFill="1" applyBorder="1"/>
    <xf numFmtId="164" fontId="33" fillId="0" borderId="0" xfId="0" applyNumberFormat="1" applyFont="1" applyFill="1" applyBorder="1" applyAlignment="1"/>
    <xf numFmtId="164" fontId="33" fillId="0" borderId="8" xfId="0" applyNumberFormat="1" applyFont="1" applyBorder="1"/>
    <xf numFmtId="164" fontId="33" fillId="0" borderId="9" xfId="0" applyNumberFormat="1" applyFont="1" applyFill="1" applyBorder="1"/>
    <xf numFmtId="164" fontId="33" fillId="0" borderId="9" xfId="1" applyFont="1" applyFill="1" applyBorder="1"/>
    <xf numFmtId="0" fontId="27" fillId="0" borderId="0" xfId="0" applyFont="1" applyFill="1" applyBorder="1" applyProtection="1"/>
    <xf numFmtId="0" fontId="27" fillId="0" borderId="0" xfId="0" applyFont="1" applyProtection="1"/>
    <xf numFmtId="0" fontId="27" fillId="0" borderId="5" xfId="0" applyFont="1" applyBorder="1" applyProtection="1"/>
    <xf numFmtId="0" fontId="27" fillId="0" borderId="0" xfId="0" applyFont="1" applyBorder="1"/>
    <xf numFmtId="0" fontId="27" fillId="0" borderId="5" xfId="0" applyFont="1" applyFill="1" applyBorder="1" applyProtection="1"/>
    <xf numFmtId="0" fontId="27" fillId="0" borderId="5" xfId="0" applyFont="1" applyBorder="1" applyAlignment="1" applyProtection="1">
      <alignment wrapText="1"/>
    </xf>
    <xf numFmtId="171" fontId="27" fillId="0" borderId="5" xfId="0" applyNumberFormat="1" applyFont="1" applyBorder="1" applyAlignment="1" applyProtection="1">
      <alignment vertical="top" wrapText="1"/>
    </xf>
    <xf numFmtId="0" fontId="26" fillId="0" borderId="5" xfId="0" applyFont="1" applyBorder="1" applyAlignment="1" applyProtection="1"/>
    <xf numFmtId="0" fontId="26" fillId="0" borderId="5" xfId="0" applyFont="1" applyFill="1" applyBorder="1" applyAlignment="1" applyProtection="1">
      <alignment wrapText="1"/>
    </xf>
    <xf numFmtId="9" fontId="27" fillId="0" borderId="5" xfId="0" applyNumberFormat="1" applyFont="1" applyFill="1" applyBorder="1" applyAlignment="1" applyProtection="1"/>
    <xf numFmtId="0" fontId="27" fillId="0" borderId="5" xfId="0" applyFont="1" applyBorder="1"/>
    <xf numFmtId="0" fontId="27" fillId="0" borderId="0" xfId="0" applyFont="1"/>
    <xf numFmtId="0" fontId="36" fillId="0" borderId="0" xfId="0" applyFont="1" applyBorder="1" applyAlignment="1">
      <alignment horizontal="left" wrapText="1"/>
    </xf>
    <xf numFmtId="0" fontId="36" fillId="0" borderId="0" xfId="0" applyFont="1" applyBorder="1" applyAlignment="1">
      <alignment horizontal="left"/>
    </xf>
    <xf numFmtId="0" fontId="0" fillId="0" borderId="0" xfId="0" applyFont="1" applyFill="1" applyBorder="1" applyAlignment="1" applyProtection="1">
      <alignment wrapText="1"/>
    </xf>
    <xf numFmtId="0" fontId="0" fillId="0" borderId="0" xfId="0" applyFill="1"/>
    <xf numFmtId="0" fontId="0" fillId="0" borderId="4" xfId="0" applyFont="1" applyFill="1" applyBorder="1" applyAlignment="1" applyProtection="1">
      <alignment wrapText="1"/>
    </xf>
    <xf numFmtId="166" fontId="0" fillId="0" borderId="33" xfId="1" applyNumberFormat="1" applyFont="1" applyFill="1" applyBorder="1" applyProtection="1"/>
    <xf numFmtId="0" fontId="0" fillId="0" borderId="0" xfId="0" applyFont="1" applyFill="1" applyBorder="1" applyAlignment="1" applyProtection="1">
      <alignment horizontal="left" vertical="center" wrapText="1"/>
    </xf>
    <xf numFmtId="0" fontId="0" fillId="9" borderId="31" xfId="0" applyFont="1" applyFill="1" applyBorder="1" applyAlignment="1" applyProtection="1">
      <alignment horizontal="center" vertical="center" wrapText="1"/>
    </xf>
    <xf numFmtId="0" fontId="0" fillId="9" borderId="33" xfId="0" applyFont="1" applyFill="1" applyBorder="1" applyAlignment="1" applyProtection="1">
      <alignment horizontal="center" wrapText="1"/>
    </xf>
    <xf numFmtId="0" fontId="0" fillId="9" borderId="33" xfId="0" applyFont="1" applyFill="1" applyBorder="1" applyProtection="1"/>
    <xf numFmtId="170" fontId="7" fillId="9" borderId="33" xfId="1" applyNumberFormat="1" applyFont="1" applyFill="1" applyBorder="1" applyProtection="1"/>
    <xf numFmtId="182" fontId="0" fillId="9" borderId="33" xfId="1" applyNumberFormat="1" applyFont="1" applyFill="1" applyBorder="1"/>
    <xf numFmtId="0" fontId="7" fillId="9" borderId="33" xfId="0" applyFont="1" applyFill="1" applyBorder="1" applyProtection="1"/>
    <xf numFmtId="0" fontId="0" fillId="9" borderId="31" xfId="0" applyFont="1" applyFill="1" applyBorder="1" applyProtection="1"/>
    <xf numFmtId="0" fontId="0" fillId="9" borderId="28" xfId="0" applyFont="1" applyFill="1" applyBorder="1" applyAlignment="1" applyProtection="1">
      <alignment horizontal="left"/>
    </xf>
    <xf numFmtId="0" fontId="0" fillId="9" borderId="33" xfId="0" applyFont="1" applyFill="1" applyBorder="1"/>
    <xf numFmtId="171" fontId="0" fillId="0" borderId="0" xfId="0" applyNumberFormat="1" applyFont="1" applyBorder="1" applyAlignment="1" applyProtection="1">
      <alignment horizontal="left" vertical="top" wrapText="1"/>
    </xf>
    <xf numFmtId="0" fontId="0" fillId="0" borderId="4" xfId="0" applyBorder="1" applyAlignment="1"/>
    <xf numFmtId="0" fontId="38" fillId="2" borderId="2" xfId="0" applyFont="1" applyFill="1" applyBorder="1" applyProtection="1"/>
    <xf numFmtId="0" fontId="39" fillId="2" borderId="3" xfId="0" applyFont="1" applyFill="1" applyBorder="1" applyProtection="1"/>
    <xf numFmtId="0" fontId="40" fillId="0" borderId="0" xfId="0" applyFont="1" applyFill="1" applyBorder="1" applyProtection="1"/>
    <xf numFmtId="0" fontId="40" fillId="0" borderId="0" xfId="0" applyFont="1"/>
    <xf numFmtId="0" fontId="38" fillId="2" borderId="3" xfId="0" applyFont="1" applyFill="1" applyBorder="1" applyProtection="1"/>
    <xf numFmtId="171" fontId="0" fillId="0" borderId="0" xfId="0" applyNumberFormat="1" applyFont="1" applyBorder="1" applyAlignment="1" applyProtection="1">
      <alignment horizontal="left" vertical="top" wrapText="1"/>
    </xf>
    <xf numFmtId="0" fontId="0" fillId="0" borderId="4" xfId="0" applyBorder="1" applyAlignment="1">
      <alignment horizontal="center"/>
    </xf>
    <xf numFmtId="0" fontId="0" fillId="0" borderId="0" xfId="0" applyFont="1" applyBorder="1" applyAlignment="1" applyProtection="1">
      <alignment horizontal="left" wrapText="1"/>
    </xf>
    <xf numFmtId="0" fontId="0" fillId="0" borderId="0" xfId="0" applyFont="1" applyFill="1" applyBorder="1" applyAlignment="1" applyProtection="1">
      <alignment horizontal="left" vertical="center" wrapText="1"/>
    </xf>
    <xf numFmtId="9" fontId="27" fillId="0" borderId="0" xfId="0" applyNumberFormat="1" applyFont="1" applyFill="1" applyBorder="1"/>
    <xf numFmtId="180" fontId="27" fillId="0" borderId="0" xfId="0" applyNumberFormat="1" applyFont="1" applyFill="1" applyBorder="1"/>
    <xf numFmtId="0" fontId="27" fillId="0" borderId="37" xfId="0" applyFont="1" applyBorder="1"/>
    <xf numFmtId="0" fontId="38" fillId="2" borderId="1" xfId="0" applyFont="1" applyFill="1" applyBorder="1" applyProtection="1"/>
    <xf numFmtId="0" fontId="0" fillId="0" borderId="0" xfId="0" applyFont="1" applyFill="1" applyBorder="1" applyAlignment="1" applyProtection="1">
      <alignment vertical="top" wrapText="1"/>
    </xf>
    <xf numFmtId="0" fontId="31" fillId="2" borderId="2" xfId="0" applyFont="1" applyFill="1" applyBorder="1" applyProtection="1"/>
    <xf numFmtId="0" fontId="2" fillId="7" borderId="27" xfId="0" applyFont="1" applyFill="1" applyBorder="1" applyAlignment="1" applyProtection="1"/>
    <xf numFmtId="0" fontId="20" fillId="0" borderId="0" xfId="0" applyFont="1" applyBorder="1" applyAlignment="1">
      <alignment vertical="center"/>
    </xf>
    <xf numFmtId="0" fontId="7" fillId="0" borderId="36" xfId="0" applyFont="1" applyBorder="1" applyProtection="1"/>
    <xf numFmtId="0" fontId="2" fillId="7" borderId="33" xfId="0" applyFont="1" applyFill="1" applyBorder="1" applyProtection="1"/>
    <xf numFmtId="9" fontId="0" fillId="9" borderId="33" xfId="2" applyFont="1" applyFill="1" applyBorder="1" applyAlignment="1" applyProtection="1">
      <alignment horizontal="left" vertical="center" wrapText="1"/>
    </xf>
    <xf numFmtId="0" fontId="7" fillId="9" borderId="7" xfId="0" applyFont="1" applyFill="1" applyBorder="1" applyAlignment="1" applyProtection="1"/>
    <xf numFmtId="0" fontId="0" fillId="9" borderId="33" xfId="0" applyFill="1" applyBorder="1" applyProtection="1"/>
    <xf numFmtId="0" fontId="0" fillId="0" borderId="4" xfId="0" applyFill="1" applyBorder="1"/>
    <xf numFmtId="0" fontId="40" fillId="2" borderId="1" xfId="0" applyFont="1" applyFill="1" applyBorder="1"/>
    <xf numFmtId="0" fontId="2" fillId="7" borderId="28" xfId="0" applyFont="1" applyFill="1" applyBorder="1" applyAlignment="1" applyProtection="1"/>
    <xf numFmtId="0" fontId="7" fillId="0" borderId="0" xfId="0" applyFont="1" applyProtection="1"/>
    <xf numFmtId="9" fontId="0" fillId="0" borderId="36" xfId="0" applyNumberFormat="1" applyFont="1" applyBorder="1" applyAlignment="1" applyProtection="1"/>
    <xf numFmtId="14" fontId="35" fillId="0" borderId="0" xfId="0" applyNumberFormat="1" applyFont="1" applyFill="1" applyBorder="1" applyAlignment="1">
      <alignment horizontal="left"/>
    </xf>
    <xf numFmtId="185" fontId="35" fillId="0" borderId="0" xfId="0" applyNumberFormat="1" applyFont="1" applyFill="1" applyBorder="1" applyAlignment="1" applyProtection="1">
      <alignment horizontal="left"/>
      <protection locked="0"/>
    </xf>
    <xf numFmtId="1" fontId="35" fillId="0" borderId="0" xfId="0" applyNumberFormat="1" applyFont="1" applyAlignment="1">
      <alignment horizontal="left"/>
    </xf>
    <xf numFmtId="0" fontId="33" fillId="0" borderId="0" xfId="0" applyFont="1" applyFill="1" applyBorder="1" applyAlignment="1">
      <alignment horizontal="right"/>
    </xf>
    <xf numFmtId="3" fontId="0" fillId="0" borderId="33" xfId="0" applyNumberFormat="1" applyFill="1" applyBorder="1" applyProtection="1"/>
    <xf numFmtId="0" fontId="0" fillId="0" borderId="0" xfId="0" applyFont="1" applyFill="1" applyBorder="1" applyAlignment="1" applyProtection="1">
      <alignment horizontal="left" vertical="top" wrapText="1"/>
    </xf>
    <xf numFmtId="0" fontId="28" fillId="9" borderId="34" xfId="0" applyFont="1" applyFill="1" applyBorder="1" applyAlignment="1">
      <alignment horizontal="left" wrapText="1" readingOrder="1"/>
    </xf>
    <xf numFmtId="0" fontId="33" fillId="0" borderId="0" xfId="0" applyFont="1" applyFill="1" applyBorder="1" applyAlignment="1">
      <alignment horizontal="center" vertical="center"/>
    </xf>
    <xf numFmtId="0" fontId="0" fillId="0" borderId="28" xfId="0" applyFill="1" applyBorder="1"/>
    <xf numFmtId="0" fontId="42" fillId="0" borderId="0" xfId="0" applyFont="1" applyBorder="1" applyAlignment="1">
      <alignment horizontal="right"/>
    </xf>
    <xf numFmtId="9" fontId="42" fillId="0" borderId="0" xfId="2" applyFont="1" applyBorder="1" applyAlignment="1"/>
    <xf numFmtId="0" fontId="42" fillId="0" borderId="0" xfId="0" applyFont="1" applyBorder="1"/>
    <xf numFmtId="0" fontId="34" fillId="0" borderId="0" xfId="0" applyFont="1" applyAlignment="1">
      <alignment horizontal="right" vertical="top"/>
    </xf>
    <xf numFmtId="0" fontId="7" fillId="0" borderId="0" xfId="0" applyFont="1" applyFill="1"/>
    <xf numFmtId="0" fontId="46" fillId="0" borderId="0" xfId="0" applyFont="1" applyFill="1"/>
    <xf numFmtId="0" fontId="9" fillId="0" borderId="6" xfId="0" applyFont="1" applyFill="1" applyBorder="1" applyAlignment="1"/>
    <xf numFmtId="0" fontId="33" fillId="0" borderId="0" xfId="0" applyFont="1" applyBorder="1"/>
    <xf numFmtId="0" fontId="0" fillId="0" borderId="0" xfId="0"/>
    <xf numFmtId="166" fontId="0" fillId="0" borderId="0" xfId="1" applyNumberFormat="1" applyFont="1" applyFill="1" applyBorder="1" applyProtection="1"/>
    <xf numFmtId="164" fontId="0" fillId="0" borderId="0" xfId="1" applyNumberFormat="1" applyFont="1" applyFill="1" applyBorder="1" applyProtection="1"/>
    <xf numFmtId="0" fontId="20" fillId="0" borderId="24" xfId="0" applyFont="1" applyBorder="1"/>
    <xf numFmtId="0" fontId="20" fillId="0" borderId="29" xfId="0" applyFont="1" applyBorder="1"/>
    <xf numFmtId="0" fontId="20" fillId="0" borderId="16" xfId="0" applyFont="1" applyBorder="1"/>
    <xf numFmtId="0" fontId="20" fillId="0" borderId="9" xfId="0" applyFont="1" applyBorder="1"/>
    <xf numFmtId="9" fontId="33" fillId="0" borderId="0" xfId="0" applyNumberFormat="1" applyFont="1"/>
    <xf numFmtId="0" fontId="0" fillId="0" borderId="0" xfId="0" applyFont="1"/>
    <xf numFmtId="0" fontId="0" fillId="0" borderId="0" xfId="0" applyFont="1" applyFill="1" applyBorder="1"/>
    <xf numFmtId="0" fontId="0" fillId="0" borderId="0" xfId="0" applyFont="1" applyBorder="1"/>
    <xf numFmtId="2" fontId="0" fillId="0" borderId="0" xfId="0" applyNumberFormat="1"/>
    <xf numFmtId="0" fontId="0" fillId="0" borderId="0" xfId="0" applyFill="1" applyAlignment="1">
      <alignment horizontal="left" wrapText="1"/>
    </xf>
    <xf numFmtId="179" fontId="20" fillId="10" borderId="34" xfId="0" applyNumberFormat="1" applyFont="1" applyFill="1" applyBorder="1" applyProtection="1">
      <protection locked="0"/>
    </xf>
    <xf numFmtId="0" fontId="44" fillId="0" borderId="0" xfId="0" applyFont="1" applyFill="1" applyBorder="1" applyAlignment="1"/>
    <xf numFmtId="164" fontId="42" fillId="0" borderId="0" xfId="0" applyNumberFormat="1" applyFont="1" applyFill="1" applyBorder="1"/>
    <xf numFmtId="0" fontId="43" fillId="0" borderId="0" xfId="0" applyFont="1" applyFill="1" applyBorder="1"/>
    <xf numFmtId="0" fontId="43" fillId="0" borderId="0" xfId="0" applyFont="1" applyBorder="1"/>
    <xf numFmtId="0" fontId="36" fillId="11" borderId="0" xfId="0" applyFont="1" applyFill="1" applyBorder="1"/>
    <xf numFmtId="0" fontId="44" fillId="13" borderId="0" xfId="0" applyFont="1" applyFill="1" applyBorder="1" applyAlignment="1">
      <alignment horizontal="right"/>
    </xf>
    <xf numFmtId="0" fontId="37" fillId="11" borderId="0" xfId="0" applyFont="1" applyFill="1" applyBorder="1" applyAlignment="1">
      <alignment horizontal="right"/>
    </xf>
    <xf numFmtId="0" fontId="0" fillId="0" borderId="39" xfId="0" applyBorder="1"/>
    <xf numFmtId="0" fontId="37" fillId="11" borderId="6" xfId="0" applyFont="1" applyFill="1" applyBorder="1" applyAlignment="1">
      <alignment horizontal="left"/>
    </xf>
    <xf numFmtId="0" fontId="9" fillId="0" borderId="6" xfId="0" applyFont="1" applyFill="1" applyBorder="1" applyAlignment="1">
      <alignment horizontal="left"/>
    </xf>
    <xf numFmtId="164" fontId="42" fillId="0" borderId="8" xfId="0" applyNumberFormat="1" applyFont="1" applyFill="1" applyBorder="1"/>
    <xf numFmtId="0" fontId="36" fillId="0" borderId="39" xfId="0" applyFont="1" applyBorder="1"/>
    <xf numFmtId="0" fontId="9" fillId="0" borderId="6" xfId="0" applyFont="1" applyFill="1" applyBorder="1"/>
    <xf numFmtId="180" fontId="9" fillId="0" borderId="0" xfId="0" applyNumberFormat="1" applyFont="1" applyBorder="1"/>
    <xf numFmtId="0" fontId="36" fillId="0" borderId="0" xfId="0" applyFont="1" applyBorder="1"/>
    <xf numFmtId="0" fontId="33" fillId="0" borderId="8" xfId="0" applyFont="1" applyBorder="1"/>
    <xf numFmtId="0" fontId="0" fillId="0" borderId="8" xfId="0" applyBorder="1"/>
    <xf numFmtId="0" fontId="0" fillId="0" borderId="6" xfId="0" applyBorder="1"/>
    <xf numFmtId="0" fontId="45" fillId="11" borderId="8" xfId="0" applyFont="1" applyFill="1" applyBorder="1" applyAlignment="1">
      <alignment horizontal="right"/>
    </xf>
    <xf numFmtId="0" fontId="48" fillId="0" borderId="0" xfId="0" applyFont="1" applyBorder="1"/>
    <xf numFmtId="0" fontId="0" fillId="0" borderId="0" xfId="0" applyFont="1" applyFill="1" applyBorder="1" applyAlignment="1" applyProtection="1">
      <alignment horizontal="left" vertical="top" wrapText="1"/>
    </xf>
    <xf numFmtId="0" fontId="0" fillId="0" borderId="0" xfId="0" applyFont="1" applyFill="1" applyBorder="1" applyAlignment="1" applyProtection="1">
      <alignment vertical="top" wrapText="1"/>
    </xf>
    <xf numFmtId="0" fontId="2" fillId="7" borderId="28" xfId="0" applyFont="1" applyFill="1" applyBorder="1" applyAlignment="1" applyProtection="1"/>
    <xf numFmtId="0" fontId="37" fillId="11" borderId="0" xfId="0" applyFont="1" applyFill="1" applyBorder="1" applyAlignment="1">
      <alignment horizontal="left"/>
    </xf>
    <xf numFmtId="0" fontId="21" fillId="0" borderId="0" xfId="0" applyFont="1" applyBorder="1" applyAlignment="1">
      <alignment horizontal="left"/>
    </xf>
    <xf numFmtId="0" fontId="32" fillId="8" borderId="0" xfId="0" applyFont="1" applyFill="1" applyBorder="1" applyAlignment="1">
      <alignment horizontal="center" vertical="center"/>
    </xf>
    <xf numFmtId="0" fontId="37" fillId="11" borderId="44" xfId="0" applyFont="1" applyFill="1" applyBorder="1" applyAlignment="1">
      <alignment horizontal="left"/>
    </xf>
    <xf numFmtId="0" fontId="37" fillId="11" borderId="43" xfId="0" applyFont="1" applyFill="1" applyBorder="1" applyAlignment="1">
      <alignment horizontal="left"/>
    </xf>
    <xf numFmtId="0" fontId="36" fillId="11" borderId="43" xfId="0" applyFont="1" applyFill="1" applyBorder="1"/>
    <xf numFmtId="164" fontId="42" fillId="0" borderId="15" xfId="1" applyFont="1" applyBorder="1" applyAlignment="1">
      <alignment horizontal="center"/>
    </xf>
    <xf numFmtId="0" fontId="36" fillId="11" borderId="45" xfId="0" applyFont="1" applyFill="1" applyBorder="1"/>
    <xf numFmtId="0" fontId="7" fillId="9" borderId="41" xfId="0" applyFont="1" applyFill="1" applyBorder="1" applyAlignment="1" applyProtection="1">
      <alignment horizontal="center"/>
    </xf>
    <xf numFmtId="0" fontId="20" fillId="0" borderId="41" xfId="0" applyFont="1" applyFill="1" applyBorder="1"/>
    <xf numFmtId="0" fontId="44" fillId="13" borderId="0" xfId="0" applyFont="1" applyFill="1" applyBorder="1" applyAlignment="1">
      <alignment horizontal="center"/>
    </xf>
    <xf numFmtId="0" fontId="20" fillId="0" borderId="41" xfId="0" applyFont="1" applyBorder="1"/>
    <xf numFmtId="180" fontId="42" fillId="0" borderId="15" xfId="2" applyNumberFormat="1" applyFont="1" applyBorder="1" applyAlignment="1">
      <alignment horizontal="center"/>
    </xf>
    <xf numFmtId="180" fontId="9" fillId="0" borderId="0" xfId="0" applyNumberFormat="1" applyFont="1" applyBorder="1" applyAlignment="1">
      <alignment horizontal="center"/>
    </xf>
    <xf numFmtId="180" fontId="42" fillId="0" borderId="15" xfId="2" applyNumberFormat="1" applyFont="1" applyBorder="1" applyAlignment="1">
      <alignment horizontal="left"/>
    </xf>
    <xf numFmtId="0" fontId="21" fillId="12" borderId="34" xfId="0" applyFont="1" applyFill="1" applyBorder="1" applyAlignment="1">
      <alignment horizontal="center"/>
    </xf>
    <xf numFmtId="9" fontId="20" fillId="10" borderId="34" xfId="0" applyNumberFormat="1" applyFont="1" applyFill="1" applyBorder="1" applyProtection="1">
      <protection locked="0"/>
    </xf>
    <xf numFmtId="186" fontId="20" fillId="8" borderId="34" xfId="0" applyNumberFormat="1" applyFont="1" applyFill="1" applyBorder="1" applyProtection="1">
      <protection locked="0"/>
    </xf>
    <xf numFmtId="0" fontId="0" fillId="0" borderId="0" xfId="0" applyFont="1" applyFill="1" applyBorder="1" applyAlignment="1" applyProtection="1">
      <alignment vertical="top" wrapText="1"/>
    </xf>
    <xf numFmtId="0" fontId="0" fillId="0" borderId="46" xfId="0" applyFill="1" applyBorder="1" applyProtection="1"/>
    <xf numFmtId="9" fontId="2" fillId="9" borderId="33" xfId="2" applyFont="1" applyFill="1" applyBorder="1" applyAlignment="1" applyProtection="1">
      <alignment horizontal="left" vertical="center" wrapText="1"/>
    </xf>
    <xf numFmtId="0" fontId="2" fillId="9" borderId="31" xfId="0" applyFont="1" applyFill="1" applyBorder="1" applyAlignment="1" applyProtection="1">
      <alignment horizontal="center" vertical="center" wrapText="1"/>
    </xf>
    <xf numFmtId="172" fontId="0" fillId="0" borderId="0" xfId="1" applyNumberFormat="1" applyFont="1" applyFill="1" applyBorder="1" applyProtection="1"/>
    <xf numFmtId="170" fontId="0" fillId="0" borderId="0" xfId="1" applyNumberFormat="1" applyFont="1" applyFill="1" applyBorder="1" applyAlignment="1" applyProtection="1">
      <alignment vertical="center"/>
    </xf>
    <xf numFmtId="3" fontId="0" fillId="0" borderId="0" xfId="0" applyNumberFormat="1" applyFill="1" applyBorder="1" applyProtection="1"/>
    <xf numFmtId="0" fontId="44" fillId="13" borderId="6" xfId="0" applyFont="1" applyFill="1" applyBorder="1" applyAlignment="1">
      <alignment horizontal="left"/>
    </xf>
    <xf numFmtId="0" fontId="44" fillId="13" borderId="0" xfId="0" applyFont="1" applyFill="1" applyBorder="1" applyAlignment="1">
      <alignment horizontal="left"/>
    </xf>
    <xf numFmtId="170" fontId="1" fillId="8" borderId="33" xfId="1" applyNumberFormat="1" applyFont="1" applyFill="1" applyBorder="1" applyAlignment="1" applyProtection="1">
      <alignment vertical="center"/>
    </xf>
    <xf numFmtId="0" fontId="0" fillId="8" borderId="31" xfId="0" applyFont="1" applyFill="1" applyBorder="1" applyProtection="1"/>
    <xf numFmtId="0" fontId="0" fillId="0" borderId="17" xfId="0" applyFill="1" applyBorder="1"/>
    <xf numFmtId="0" fontId="0" fillId="15" borderId="33" xfId="0" applyFont="1" applyFill="1" applyBorder="1" applyAlignment="1" applyProtection="1">
      <alignment horizontal="center" wrapText="1"/>
    </xf>
    <xf numFmtId="173" fontId="29" fillId="0" borderId="33" xfId="1" applyNumberFormat="1" applyFont="1" applyFill="1" applyBorder="1" applyAlignment="1">
      <alignment horizontal="right" wrapText="1" readingOrder="1"/>
    </xf>
    <xf numFmtId="164" fontId="3" fillId="0" borderId="0" xfId="1" applyNumberFormat="1" applyFont="1" applyFill="1" applyBorder="1" applyProtection="1"/>
    <xf numFmtId="0" fontId="42" fillId="0" borderId="0" xfId="0" applyFont="1" applyBorder="1" applyAlignment="1">
      <alignment horizontal="left"/>
    </xf>
    <xf numFmtId="0" fontId="37" fillId="11" borderId="44" xfId="0" applyFont="1" applyFill="1" applyBorder="1" applyAlignment="1">
      <alignment horizontal="left"/>
    </xf>
    <xf numFmtId="0" fontId="37" fillId="11" borderId="43" xfId="0" applyFont="1" applyFill="1" applyBorder="1" applyAlignment="1">
      <alignment horizontal="left"/>
    </xf>
    <xf numFmtId="164" fontId="42" fillId="0" borderId="0" xfId="1" applyFont="1" applyBorder="1" applyAlignment="1">
      <alignment horizontal="center"/>
    </xf>
    <xf numFmtId="0" fontId="44" fillId="13" borderId="0" xfId="0" applyFont="1" applyFill="1" applyBorder="1" applyAlignment="1">
      <alignment horizontal="left"/>
    </xf>
    <xf numFmtId="0" fontId="28" fillId="9" borderId="7" xfId="0" applyFont="1" applyFill="1" applyBorder="1" applyAlignment="1">
      <alignment horizontal="left" wrapText="1" readingOrder="1"/>
    </xf>
    <xf numFmtId="0" fontId="9" fillId="0" borderId="0" xfId="0" applyFont="1" applyBorder="1"/>
    <xf numFmtId="0" fontId="37" fillId="16" borderId="0" xfId="0" applyFont="1" applyFill="1" applyBorder="1" applyAlignment="1">
      <alignment horizontal="left"/>
    </xf>
    <xf numFmtId="0" fontId="37" fillId="16" borderId="16" xfId="0" applyFont="1" applyFill="1" applyBorder="1" applyAlignment="1">
      <alignment horizontal="left"/>
    </xf>
    <xf numFmtId="0" fontId="37" fillId="16" borderId="15" xfId="0" applyFont="1" applyFill="1" applyBorder="1" applyAlignment="1">
      <alignment horizontal="left"/>
    </xf>
    <xf numFmtId="0" fontId="46" fillId="0" borderId="44" xfId="0" applyFont="1" applyFill="1" applyBorder="1"/>
    <xf numFmtId="0" fontId="33" fillId="0" borderId="45" xfId="0" applyFont="1" applyBorder="1"/>
    <xf numFmtId="0" fontId="36" fillId="0" borderId="6" xfId="0" applyFont="1" applyBorder="1"/>
    <xf numFmtId="0" fontId="37" fillId="16" borderId="6" xfId="0" applyFont="1" applyFill="1" applyBorder="1" applyAlignment="1">
      <alignment horizontal="left"/>
    </xf>
    <xf numFmtId="0" fontId="51" fillId="16" borderId="6" xfId="0" applyFont="1" applyFill="1" applyBorder="1" applyAlignment="1">
      <alignment horizontal="left"/>
    </xf>
    <xf numFmtId="0" fontId="3" fillId="16" borderId="0" xfId="0" applyFont="1" applyFill="1" applyBorder="1"/>
    <xf numFmtId="0" fontId="37" fillId="16" borderId="0" xfId="0" applyFont="1" applyFill="1" applyBorder="1" applyAlignment="1">
      <alignment horizontal="right"/>
    </xf>
    <xf numFmtId="0" fontId="37" fillId="16" borderId="8" xfId="0" applyFont="1" applyFill="1" applyBorder="1" applyAlignment="1">
      <alignment horizontal="right"/>
    </xf>
    <xf numFmtId="0" fontId="52" fillId="16" borderId="0" xfId="0" applyFont="1" applyFill="1" applyBorder="1"/>
    <xf numFmtId="164" fontId="35" fillId="6" borderId="45" xfId="0" applyNumberFormat="1" applyFont="1" applyFill="1" applyBorder="1"/>
    <xf numFmtId="164" fontId="42" fillId="0" borderId="40" xfId="1" applyFont="1" applyBorder="1" applyAlignment="1">
      <alignment horizontal="center"/>
    </xf>
    <xf numFmtId="180" fontId="42" fillId="0" borderId="0" xfId="2" applyNumberFormat="1" applyFont="1" applyBorder="1" applyAlignment="1">
      <alignment horizontal="center"/>
    </xf>
    <xf numFmtId="180" fontId="42" fillId="0" borderId="0" xfId="2" applyNumberFormat="1" applyFont="1" applyBorder="1" applyAlignment="1">
      <alignment horizontal="left"/>
    </xf>
    <xf numFmtId="0" fontId="0" fillId="0" borderId="0" xfId="0" applyFill="1" applyBorder="1"/>
    <xf numFmtId="0" fontId="2" fillId="0" borderId="41" xfId="0" applyFont="1" applyFill="1" applyBorder="1" applyAlignment="1" applyProtection="1">
      <alignment horizontal="center" vertical="center"/>
    </xf>
    <xf numFmtId="14" fontId="0" fillId="0" borderId="0" xfId="0" applyNumberFormat="1" applyFill="1" applyAlignment="1" applyProtection="1">
      <alignment horizontal="right"/>
    </xf>
    <xf numFmtId="0" fontId="37" fillId="11" borderId="0" xfId="0" applyFont="1" applyFill="1" applyBorder="1" applyAlignment="1">
      <alignment horizontal="center"/>
    </xf>
    <xf numFmtId="0" fontId="44" fillId="13" borderId="8" xfId="0" applyFont="1" applyFill="1" applyBorder="1" applyAlignment="1">
      <alignment horizontal="center"/>
    </xf>
    <xf numFmtId="164" fontId="42" fillId="0" borderId="0" xfId="1" applyFont="1" applyBorder="1" applyAlignment="1">
      <alignment horizontal="center"/>
    </xf>
    <xf numFmtId="0" fontId="37" fillId="11" borderId="0" xfId="0" applyFont="1" applyFill="1" applyBorder="1" applyAlignment="1"/>
    <xf numFmtId="0" fontId="37" fillId="11" borderId="8" xfId="0" applyFont="1" applyFill="1" applyBorder="1" applyAlignment="1"/>
    <xf numFmtId="0" fontId="44" fillId="13" borderId="0" xfId="0" applyFont="1" applyFill="1" applyBorder="1" applyAlignment="1"/>
    <xf numFmtId="0" fontId="37" fillId="11" borderId="49" xfId="0" applyFont="1" applyFill="1" applyBorder="1" applyAlignment="1"/>
    <xf numFmtId="0" fontId="37" fillId="11" borderId="50" xfId="0" applyFont="1" applyFill="1" applyBorder="1" applyAlignment="1"/>
    <xf numFmtId="0" fontId="44" fillId="13" borderId="6" xfId="0" applyFont="1" applyFill="1" applyBorder="1" applyAlignment="1"/>
    <xf numFmtId="0" fontId="37" fillId="11" borderId="48" xfId="0" applyFont="1" applyFill="1" applyBorder="1" applyAlignment="1"/>
    <xf numFmtId="164" fontId="42" fillId="0" borderId="15" xfId="1" applyFont="1" applyBorder="1" applyAlignment="1"/>
    <xf numFmtId="0" fontId="35" fillId="6" borderId="48" xfId="0" applyFont="1" applyFill="1" applyBorder="1" applyAlignment="1"/>
    <xf numFmtId="0" fontId="35" fillId="6" borderId="49" xfId="0" applyFont="1" applyFill="1" applyBorder="1" applyAlignment="1"/>
    <xf numFmtId="0" fontId="33" fillId="0" borderId="6" xfId="0" applyFont="1" applyFill="1" applyBorder="1" applyAlignment="1"/>
    <xf numFmtId="0" fontId="33" fillId="0" borderId="0" xfId="0" applyFont="1" applyFill="1" applyBorder="1" applyAlignment="1"/>
    <xf numFmtId="0" fontId="33" fillId="0" borderId="16" xfId="0" applyFont="1" applyFill="1" applyBorder="1" applyAlignment="1"/>
    <xf numFmtId="0" fontId="33" fillId="0" borderId="15" xfId="0" applyFont="1" applyFill="1" applyBorder="1" applyAlignment="1"/>
    <xf numFmtId="192" fontId="20" fillId="0" borderId="34" xfId="1" applyNumberFormat="1" applyFont="1" applyFill="1" applyBorder="1"/>
    <xf numFmtId="0" fontId="44" fillId="13" borderId="8" xfId="0" applyFont="1" applyFill="1" applyBorder="1" applyAlignment="1">
      <alignment horizontal="right"/>
    </xf>
    <xf numFmtId="196" fontId="35" fillId="0" borderId="0" xfId="0" applyNumberFormat="1" applyFont="1" applyFill="1" applyBorder="1" applyAlignment="1">
      <alignment horizontal="left"/>
    </xf>
    <xf numFmtId="197" fontId="35" fillId="0" borderId="0" xfId="0" applyNumberFormat="1" applyFont="1" applyFill="1" applyBorder="1" applyAlignment="1" applyProtection="1">
      <alignment horizontal="left"/>
      <protection locked="0"/>
    </xf>
    <xf numFmtId="0" fontId="0" fillId="0" borderId="4" xfId="0" applyFont="1" applyFill="1" applyBorder="1" applyProtection="1"/>
    <xf numFmtId="2" fontId="0" fillId="0" borderId="0" xfId="0" applyNumberFormat="1" applyFill="1"/>
    <xf numFmtId="193" fontId="0" fillId="0" borderId="0" xfId="0" applyNumberFormat="1" applyFont="1" applyFill="1" applyBorder="1" applyAlignment="1" applyProtection="1">
      <alignment horizontal="left" vertical="top" wrapText="1"/>
    </xf>
    <xf numFmtId="171" fontId="0" fillId="0" borderId="0" xfId="0" applyNumberFormat="1" applyFont="1" applyFill="1" applyBorder="1" applyAlignment="1" applyProtection="1">
      <alignment horizontal="left" vertical="top" wrapText="1"/>
    </xf>
    <xf numFmtId="189" fontId="0" fillId="0" borderId="0" xfId="0" applyNumberFormat="1" applyFill="1"/>
    <xf numFmtId="0" fontId="20" fillId="0" borderId="41" xfId="0" applyFont="1" applyFill="1" applyBorder="1" applyAlignment="1">
      <alignment wrapText="1"/>
    </xf>
    <xf numFmtId="0" fontId="44" fillId="13" borderId="0" xfId="0" applyFont="1" applyFill="1" applyBorder="1" applyAlignment="1">
      <alignment horizontal="right" indent="2"/>
    </xf>
    <xf numFmtId="0" fontId="0" fillId="9" borderId="56" xfId="0" applyFont="1" applyFill="1" applyBorder="1" applyAlignment="1" applyProtection="1">
      <alignment horizontal="center" vertical="center" wrapText="1"/>
    </xf>
    <xf numFmtId="0" fontId="0" fillId="9" borderId="57" xfId="0" applyFont="1" applyFill="1" applyBorder="1" applyAlignment="1" applyProtection="1">
      <alignment horizontal="center" vertical="center" wrapText="1"/>
    </xf>
    <xf numFmtId="0" fontId="0" fillId="9" borderId="58" xfId="0" applyFont="1" applyFill="1" applyBorder="1" applyAlignment="1" applyProtection="1">
      <alignment horizontal="center" vertical="center" wrapText="1"/>
    </xf>
    <xf numFmtId="9" fontId="0" fillId="9" borderId="55" xfId="2" applyFont="1" applyFill="1" applyBorder="1" applyAlignment="1" applyProtection="1">
      <alignment horizontal="left" vertical="center" wrapText="1"/>
    </xf>
    <xf numFmtId="0" fontId="0" fillId="9" borderId="55" xfId="0" applyFont="1" applyFill="1" applyBorder="1" applyAlignment="1" applyProtection="1">
      <alignment horizontal="center" vertical="center" wrapText="1"/>
    </xf>
    <xf numFmtId="2" fontId="0" fillId="0" borderId="0" xfId="0" applyNumberFormat="1" applyBorder="1"/>
    <xf numFmtId="2" fontId="0" fillId="0" borderId="0" xfId="0" applyNumberFormat="1" applyFill="1" applyBorder="1"/>
    <xf numFmtId="0" fontId="0" fillId="0" borderId="55" xfId="0" applyFill="1" applyBorder="1" applyProtection="1"/>
    <xf numFmtId="0" fontId="0" fillId="8" borderId="0" xfId="0" applyFill="1" applyBorder="1"/>
    <xf numFmtId="0" fontId="0" fillId="0" borderId="0" xfId="0" applyFont="1" applyFill="1" applyBorder="1" applyAlignment="1" applyProtection="1">
      <alignment horizontal="left" vertical="top" wrapText="1"/>
    </xf>
    <xf numFmtId="9" fontId="0" fillId="9" borderId="55" xfId="2" applyFont="1" applyFill="1" applyBorder="1" applyAlignment="1" applyProtection="1">
      <alignment horizontal="center" vertical="center" wrapText="1"/>
    </xf>
    <xf numFmtId="164" fontId="20" fillId="0" borderId="0" xfId="0" applyNumberFormat="1" applyFont="1" applyFill="1" applyBorder="1"/>
    <xf numFmtId="0" fontId="0" fillId="0" borderId="0" xfId="0" applyFont="1" applyBorder="1" applyAlignment="1" applyProtection="1">
      <alignment horizontal="left" indent="2"/>
    </xf>
    <xf numFmtId="0" fontId="0" fillId="0" borderId="0" xfId="0" applyFont="1" applyBorder="1" applyAlignment="1" applyProtection="1">
      <alignment horizontal="left" wrapText="1" indent="2"/>
    </xf>
    <xf numFmtId="0" fontId="0" fillId="19" borderId="0" xfId="0" applyFont="1" applyFill="1" applyBorder="1" applyProtection="1"/>
    <xf numFmtId="171" fontId="0" fillId="19" borderId="0" xfId="0" applyNumberFormat="1" applyFont="1" applyFill="1" applyBorder="1" applyAlignment="1" applyProtection="1">
      <alignment horizontal="center" vertical="top" wrapText="1"/>
    </xf>
    <xf numFmtId="0" fontId="0" fillId="8" borderId="60" xfId="0" applyFill="1" applyBorder="1"/>
    <xf numFmtId="166" fontId="0" fillId="8" borderId="0" xfId="1" applyNumberFormat="1" applyFont="1" applyFill="1" applyBorder="1" applyProtection="1"/>
    <xf numFmtId="0" fontId="0" fillId="8" borderId="0" xfId="0" applyFont="1" applyFill="1" applyBorder="1" applyProtection="1"/>
    <xf numFmtId="0" fontId="0" fillId="8" borderId="55" xfId="0" applyFont="1" applyFill="1" applyBorder="1" applyProtection="1"/>
    <xf numFmtId="0" fontId="0" fillId="20" borderId="60" xfId="0" applyFont="1" applyFill="1" applyBorder="1" applyProtection="1"/>
    <xf numFmtId="0" fontId="0" fillId="20" borderId="56" xfId="0" applyFont="1" applyFill="1" applyBorder="1" applyProtection="1"/>
    <xf numFmtId="0" fontId="0" fillId="20" borderId="57" xfId="0" applyFont="1" applyFill="1" applyBorder="1" applyProtection="1"/>
    <xf numFmtId="0" fontId="0" fillId="20" borderId="58" xfId="0" applyFont="1" applyFill="1" applyBorder="1" applyProtection="1"/>
    <xf numFmtId="0" fontId="0" fillId="6" borderId="55" xfId="0" applyFill="1" applyBorder="1" applyProtection="1"/>
    <xf numFmtId="0" fontId="44" fillId="13" borderId="6" xfId="0" applyFont="1" applyFill="1" applyBorder="1" applyAlignment="1">
      <alignment horizontal="left"/>
    </xf>
    <xf numFmtId="0" fontId="44" fillId="13" borderId="0" xfId="0" applyFont="1" applyFill="1" applyBorder="1" applyAlignment="1">
      <alignment horizontal="left"/>
    </xf>
    <xf numFmtId="0" fontId="33" fillId="0" borderId="0" xfId="0" applyFont="1" applyFill="1" applyBorder="1" applyAlignment="1">
      <alignment horizontal="center" vertical="center"/>
    </xf>
    <xf numFmtId="0" fontId="42" fillId="0" borderId="6" xfId="0" applyFont="1" applyBorder="1" applyAlignment="1">
      <alignment horizontal="left"/>
    </xf>
    <xf numFmtId="0" fontId="42" fillId="0" borderId="0" xfId="0" applyFont="1" applyBorder="1" applyAlignment="1">
      <alignment horizontal="left"/>
    </xf>
    <xf numFmtId="0" fontId="44" fillId="13" borderId="0" xfId="0" applyFont="1" applyFill="1" applyBorder="1" applyAlignment="1">
      <alignment horizontal="left"/>
    </xf>
    <xf numFmtId="0" fontId="42" fillId="0" borderId="15" xfId="0" applyFont="1" applyBorder="1" applyAlignment="1">
      <alignment horizontal="left"/>
    </xf>
    <xf numFmtId="164" fontId="25" fillId="14" borderId="0" xfId="0" applyNumberFormat="1" applyFont="1" applyFill="1" applyBorder="1"/>
    <xf numFmtId="0" fontId="56" fillId="0" borderId="15" xfId="0" applyFont="1" applyBorder="1" applyAlignment="1">
      <alignment horizontal="left"/>
    </xf>
    <xf numFmtId="198" fontId="20" fillId="10" borderId="34" xfId="0" applyNumberFormat="1" applyFont="1" applyFill="1" applyBorder="1" applyProtection="1">
      <protection locked="0"/>
    </xf>
    <xf numFmtId="164" fontId="20" fillId="0" borderId="0" xfId="0" applyNumberFormat="1" applyFont="1" applyBorder="1"/>
    <xf numFmtId="167" fontId="33" fillId="0" borderId="0" xfId="3" applyFont="1" applyBorder="1" applyAlignment="1">
      <alignment horizontal="right"/>
    </xf>
    <xf numFmtId="0" fontId="57" fillId="0" borderId="0" xfId="0" applyFont="1"/>
    <xf numFmtId="0" fontId="58" fillId="0" borderId="0" xfId="0" applyFont="1"/>
    <xf numFmtId="0" fontId="59" fillId="0" borderId="0" xfId="0" applyFont="1"/>
    <xf numFmtId="0" fontId="56" fillId="0" borderId="0" xfId="0" applyFont="1" applyBorder="1" applyAlignment="1">
      <alignment horizontal="right"/>
    </xf>
    <xf numFmtId="0" fontId="20" fillId="0" borderId="0" xfId="0" applyFont="1" applyBorder="1" applyAlignment="1"/>
    <xf numFmtId="0" fontId="56" fillId="0" borderId="6" xfId="0" applyFont="1" applyBorder="1" applyAlignment="1"/>
    <xf numFmtId="0" fontId="27" fillId="8" borderId="0" xfId="0" applyFont="1" applyFill="1" applyBorder="1"/>
    <xf numFmtId="0" fontId="0" fillId="0" borderId="0" xfId="0" applyFill="1"/>
    <xf numFmtId="0" fontId="0" fillId="0" borderId="0" xfId="0" applyFont="1" applyFill="1" applyBorder="1" applyAlignment="1" applyProtection="1">
      <alignment horizontal="left" vertical="top" wrapText="1"/>
    </xf>
    <xf numFmtId="0" fontId="0" fillId="0" borderId="0" xfId="0"/>
    <xf numFmtId="0" fontId="0" fillId="0" borderId="0" xfId="0" applyFont="1"/>
    <xf numFmtId="173" fontId="0" fillId="0" borderId="0" xfId="0" applyNumberFormat="1" applyBorder="1" applyProtection="1"/>
    <xf numFmtId="0" fontId="21" fillId="0" borderId="0" xfId="0" applyFont="1" applyBorder="1" applyAlignment="1">
      <alignment horizontal="right"/>
    </xf>
    <xf numFmtId="0" fontId="44" fillId="13" borderId="0" xfId="0" applyFont="1" applyFill="1" applyBorder="1" applyAlignment="1">
      <alignment horizontal="left"/>
    </xf>
    <xf numFmtId="0" fontId="56" fillId="0" borderId="6" xfId="0" applyFont="1" applyBorder="1" applyAlignment="1">
      <alignment horizontal="left"/>
    </xf>
    <xf numFmtId="0" fontId="56" fillId="0" borderId="0" xfId="0" applyFont="1" applyBorder="1" applyAlignment="1">
      <alignment horizontal="left"/>
    </xf>
    <xf numFmtId="181" fontId="0" fillId="0" borderId="0" xfId="0" applyNumberFormat="1" applyFont="1" applyFill="1" applyBorder="1" applyProtection="1"/>
    <xf numFmtId="0" fontId="2" fillId="0" borderId="67" xfId="0" applyFont="1" applyFill="1" applyBorder="1" applyAlignment="1" applyProtection="1">
      <alignment horizontal="center" vertical="center"/>
    </xf>
    <xf numFmtId="0" fontId="47" fillId="22" borderId="5" xfId="0" applyFont="1" applyFill="1" applyBorder="1" applyProtection="1"/>
    <xf numFmtId="0" fontId="65" fillId="23" borderId="4" xfId="0" applyFont="1" applyFill="1" applyBorder="1" applyAlignment="1" applyProtection="1">
      <alignment vertical="center"/>
    </xf>
    <xf numFmtId="0" fontId="20" fillId="23" borderId="0" xfId="0" applyFont="1" applyFill="1" applyBorder="1" applyProtection="1"/>
    <xf numFmtId="0" fontId="66" fillId="23" borderId="0" xfId="0" applyFont="1" applyFill="1" applyBorder="1" applyAlignment="1" applyProtection="1">
      <alignment vertical="center"/>
    </xf>
    <xf numFmtId="0" fontId="21" fillId="23" borderId="0" xfId="0" applyFont="1" applyFill="1" applyBorder="1" applyAlignment="1" applyProtection="1">
      <alignment horizontal="right"/>
    </xf>
    <xf numFmtId="164" fontId="25" fillId="23" borderId="0" xfId="0" applyNumberFormat="1" applyFont="1" applyFill="1" applyBorder="1" applyProtection="1"/>
    <xf numFmtId="0" fontId="47" fillId="23" borderId="5" xfId="0" applyFont="1" applyFill="1" applyBorder="1" applyProtection="1"/>
    <xf numFmtId="0" fontId="0" fillId="23" borderId="0" xfId="0" applyFont="1" applyFill="1" applyBorder="1" applyAlignment="1" applyProtection="1">
      <alignment vertical="center"/>
    </xf>
    <xf numFmtId="0" fontId="3" fillId="23" borderId="0" xfId="0" applyFont="1" applyFill="1" applyBorder="1" applyAlignment="1" applyProtection="1">
      <alignment vertical="center"/>
    </xf>
    <xf numFmtId="0" fontId="47" fillId="23" borderId="5" xfId="0" applyFont="1" applyFill="1" applyBorder="1" applyAlignment="1" applyProtection="1">
      <alignment vertical="center"/>
    </xf>
    <xf numFmtId="0" fontId="65" fillId="23" borderId="4" xfId="0" applyFont="1" applyFill="1" applyBorder="1" applyProtection="1"/>
    <xf numFmtId="0" fontId="21" fillId="21" borderId="68" xfId="0" applyFont="1" applyFill="1" applyBorder="1" applyAlignment="1" applyProtection="1">
      <alignment horizontal="center" vertical="center"/>
    </xf>
    <xf numFmtId="0" fontId="21" fillId="21" borderId="68" xfId="0" applyFont="1" applyFill="1" applyBorder="1" applyAlignment="1" applyProtection="1">
      <alignment horizontal="center" vertical="center" wrapText="1"/>
    </xf>
    <xf numFmtId="0" fontId="20" fillId="0" borderId="0" xfId="0" applyFont="1" applyFill="1" applyBorder="1" applyAlignment="1"/>
    <xf numFmtId="0" fontId="19" fillId="0" borderId="0" xfId="0" applyFont="1" applyFill="1" applyBorder="1" applyAlignment="1" applyProtection="1">
      <alignment horizontal="right" vertical="center"/>
    </xf>
    <xf numFmtId="0" fontId="22" fillId="8" borderId="0" xfId="0" applyFont="1" applyFill="1" applyBorder="1" applyAlignment="1">
      <alignment horizontal="center"/>
    </xf>
    <xf numFmtId="164" fontId="22" fillId="8" borderId="0" xfId="0" applyNumberFormat="1" applyFont="1" applyFill="1" applyBorder="1"/>
    <xf numFmtId="0" fontId="22" fillId="8" borderId="0" xfId="0" applyFont="1" applyFill="1" applyBorder="1" applyAlignment="1">
      <alignment horizontal="left"/>
    </xf>
    <xf numFmtId="0" fontId="47" fillId="0" borderId="0" xfId="0" applyFont="1" applyBorder="1"/>
    <xf numFmtId="9" fontId="21" fillId="0" borderId="0" xfId="2" applyFont="1" applyBorder="1" applyProtection="1">
      <protection locked="0"/>
    </xf>
    <xf numFmtId="0" fontId="0" fillId="0" borderId="5" xfId="0" applyFont="1" applyBorder="1"/>
    <xf numFmtId="0" fontId="0" fillId="0" borderId="4" xfId="0" applyFont="1" applyBorder="1"/>
    <xf numFmtId="0" fontId="20" fillId="0" borderId="4" xfId="0" applyFont="1" applyFill="1" applyBorder="1" applyAlignment="1"/>
    <xf numFmtId="0" fontId="33" fillId="0" borderId="5" xfId="0" applyFont="1" applyBorder="1"/>
    <xf numFmtId="0" fontId="20" fillId="0" borderId="4" xfId="0" applyFont="1" applyBorder="1" applyAlignment="1">
      <alignment horizontal="right"/>
    </xf>
    <xf numFmtId="0" fontId="19" fillId="0" borderId="4" xfId="0" applyFont="1" applyFill="1" applyBorder="1" applyAlignment="1">
      <alignment horizontal="center" vertical="center"/>
    </xf>
    <xf numFmtId="0" fontId="21" fillId="21" borderId="68" xfId="0" applyFont="1" applyFill="1" applyBorder="1" applyAlignment="1">
      <alignment horizontal="center"/>
    </xf>
    <xf numFmtId="0" fontId="20" fillId="0" borderId="72" xfId="0" applyFont="1" applyFill="1" applyBorder="1"/>
    <xf numFmtId="184" fontId="21" fillId="0" borderId="68" xfId="3" applyNumberFormat="1" applyFont="1" applyFill="1" applyBorder="1"/>
    <xf numFmtId="164" fontId="20" fillId="0" borderId="68" xfId="1" applyFont="1" applyFill="1" applyBorder="1"/>
    <xf numFmtId="0" fontId="23" fillId="0" borderId="4" xfId="0" applyFont="1" applyFill="1" applyBorder="1"/>
    <xf numFmtId="190" fontId="21" fillId="8" borderId="68" xfId="0" applyNumberFormat="1" applyFont="1" applyFill="1" applyBorder="1" applyAlignment="1" applyProtection="1">
      <alignment horizontal="center" vertical="center"/>
      <protection locked="0"/>
    </xf>
    <xf numFmtId="9" fontId="21" fillId="8" borderId="68" xfId="0" applyNumberFormat="1" applyFont="1" applyFill="1" applyBorder="1" applyProtection="1">
      <protection locked="0"/>
    </xf>
    <xf numFmtId="0" fontId="21" fillId="8" borderId="68" xfId="0" applyFont="1" applyFill="1" applyBorder="1" applyProtection="1">
      <protection locked="0"/>
    </xf>
    <xf numFmtId="0" fontId="20" fillId="0" borderId="4" xfId="0" applyFont="1" applyFill="1" applyBorder="1"/>
    <xf numFmtId="0" fontId="20" fillId="0" borderId="68" xfId="0" applyFont="1" applyFill="1" applyBorder="1"/>
    <xf numFmtId="164" fontId="20" fillId="0" borderId="68" xfId="0" applyNumberFormat="1" applyFont="1" applyFill="1" applyBorder="1"/>
    <xf numFmtId="9" fontId="20" fillId="8" borderId="68" xfId="0" applyNumberFormat="1" applyFont="1" applyFill="1" applyBorder="1" applyProtection="1">
      <protection locked="0"/>
    </xf>
    <xf numFmtId="186" fontId="20" fillId="10" borderId="68" xfId="0" applyNumberFormat="1" applyFont="1" applyFill="1" applyBorder="1" applyProtection="1">
      <protection locked="0"/>
    </xf>
    <xf numFmtId="164" fontId="20" fillId="0" borderId="68" xfId="1" applyNumberFormat="1" applyFont="1" applyFill="1" applyBorder="1"/>
    <xf numFmtId="164" fontId="22" fillId="0" borderId="68" xfId="1" applyNumberFormat="1" applyFont="1" applyFill="1" applyBorder="1"/>
    <xf numFmtId="164" fontId="20" fillId="0" borderId="68" xfId="1" applyNumberFormat="1" applyFont="1" applyFill="1" applyBorder="1" applyAlignment="1">
      <alignment horizontal="center" vertical="center"/>
    </xf>
    <xf numFmtId="0" fontId="21" fillId="6" borderId="68" xfId="0" applyFont="1" applyFill="1" applyBorder="1" applyAlignment="1">
      <alignment horizontal="center"/>
    </xf>
    <xf numFmtId="164" fontId="20" fillId="0" borderId="68" xfId="1" applyFont="1" applyFill="1" applyBorder="1" applyAlignment="1">
      <alignment vertical="center"/>
    </xf>
    <xf numFmtId="0" fontId="21" fillId="21" borderId="72" xfId="0" applyFont="1" applyFill="1" applyBorder="1" applyAlignment="1"/>
    <xf numFmtId="0" fontId="21" fillId="21" borderId="71" xfId="0" applyFont="1" applyFill="1" applyBorder="1" applyAlignment="1"/>
    <xf numFmtId="0" fontId="21" fillId="21" borderId="71" xfId="0" applyFont="1" applyFill="1" applyBorder="1" applyAlignment="1">
      <alignment horizontal="center"/>
    </xf>
    <xf numFmtId="173" fontId="20" fillId="0" borderId="68" xfId="1" applyNumberFormat="1" applyFont="1" applyFill="1" applyBorder="1" applyAlignment="1"/>
    <xf numFmtId="0" fontId="0" fillId="0" borderId="4" xfId="0" applyFont="1" applyFill="1" applyBorder="1"/>
    <xf numFmtId="0" fontId="21" fillId="21" borderId="72" xfId="0" applyFont="1" applyFill="1" applyBorder="1" applyAlignment="1">
      <alignment horizontal="left"/>
    </xf>
    <xf numFmtId="0" fontId="21" fillId="21" borderId="71" xfId="0" applyFont="1" applyFill="1" applyBorder="1" applyAlignment="1">
      <alignment horizontal="left"/>
    </xf>
    <xf numFmtId="168" fontId="22" fillId="0" borderId="68" xfId="1" applyNumberFormat="1" applyFont="1" applyFill="1" applyBorder="1"/>
    <xf numFmtId="0" fontId="65" fillId="8" borderId="4" xfId="0" applyFont="1" applyFill="1" applyBorder="1" applyProtection="1"/>
    <xf numFmtId="0" fontId="20" fillId="0" borderId="72" xfId="0" applyFont="1" applyFill="1" applyBorder="1" applyAlignment="1"/>
    <xf numFmtId="0" fontId="20" fillId="0" borderId="4" xfId="0" applyFont="1" applyBorder="1"/>
    <xf numFmtId="179" fontId="20" fillId="10" borderId="68" xfId="0" applyNumberFormat="1" applyFont="1" applyFill="1" applyBorder="1" applyProtection="1">
      <protection locked="0"/>
    </xf>
    <xf numFmtId="186" fontId="20" fillId="8" borderId="68" xfId="0" applyNumberFormat="1" applyFont="1" applyFill="1" applyBorder="1" applyProtection="1">
      <protection locked="0"/>
    </xf>
    <xf numFmtId="0" fontId="20" fillId="0" borderId="59" xfId="0" applyFont="1" applyBorder="1"/>
    <xf numFmtId="0" fontId="20" fillId="0" borderId="64" xfId="0" applyFont="1" applyBorder="1"/>
    <xf numFmtId="188" fontId="20" fillId="0" borderId="68" xfId="0" applyNumberFormat="1" applyFont="1" applyFill="1" applyBorder="1" applyProtection="1"/>
    <xf numFmtId="0" fontId="0" fillId="0" borderId="36" xfId="0" applyFont="1" applyBorder="1"/>
    <xf numFmtId="164" fontId="22" fillId="8" borderId="5" xfId="0" applyNumberFormat="1" applyFont="1" applyFill="1" applyBorder="1"/>
    <xf numFmtId="0" fontId="47" fillId="0" borderId="5" xfId="0" applyFont="1" applyBorder="1"/>
    <xf numFmtId="164" fontId="20" fillId="0" borderId="75" xfId="1" applyFont="1" applyFill="1" applyBorder="1"/>
    <xf numFmtId="0" fontId="21" fillId="8" borderId="75" xfId="0" applyFont="1" applyFill="1" applyBorder="1" applyProtection="1">
      <protection locked="0"/>
    </xf>
    <xf numFmtId="164" fontId="20" fillId="0" borderId="75" xfId="0" applyNumberFormat="1" applyFont="1" applyFill="1" applyBorder="1"/>
    <xf numFmtId="0" fontId="47" fillId="8" borderId="5" xfId="0" applyFont="1" applyFill="1" applyBorder="1" applyProtection="1"/>
    <xf numFmtId="0" fontId="19" fillId="0" borderId="36" xfId="0" applyFont="1" applyFill="1" applyBorder="1" applyAlignment="1">
      <alignment horizontal="center" vertical="center"/>
    </xf>
    <xf numFmtId="0" fontId="33" fillId="0" borderId="36" xfId="0" applyFont="1" applyBorder="1"/>
    <xf numFmtId="0" fontId="20" fillId="0" borderId="36" xfId="0" applyFont="1" applyBorder="1" applyAlignment="1"/>
    <xf numFmtId="0" fontId="47" fillId="0" borderId="37" xfId="0" applyFont="1" applyBorder="1"/>
    <xf numFmtId="0" fontId="5" fillId="11" borderId="0" xfId="0" applyFont="1" applyFill="1" applyBorder="1" applyAlignment="1"/>
    <xf numFmtId="0" fontId="20" fillId="0" borderId="69" xfId="0" applyFont="1" applyBorder="1"/>
    <xf numFmtId="0" fontId="20" fillId="24" borderId="68" xfId="0" applyFont="1" applyFill="1" applyBorder="1" applyAlignment="1" applyProtection="1">
      <alignment horizontal="center" vertical="center"/>
      <protection locked="0"/>
    </xf>
    <xf numFmtId="9" fontId="20" fillId="24" borderId="68" xfId="0" applyNumberFormat="1" applyFont="1" applyFill="1" applyBorder="1" applyProtection="1">
      <protection locked="0"/>
    </xf>
    <xf numFmtId="0" fontId="20" fillId="24" borderId="68" xfId="0" applyFont="1" applyFill="1" applyBorder="1" applyProtection="1">
      <protection locked="0"/>
    </xf>
    <xf numFmtId="0" fontId="20" fillId="24" borderId="68" xfId="0" quotePrefix="1" applyFont="1" applyFill="1" applyBorder="1" applyAlignment="1" applyProtection="1">
      <alignment horizontal="center" vertical="center"/>
      <protection locked="0"/>
    </xf>
    <xf numFmtId="186" fontId="20" fillId="24" borderId="68" xfId="0" applyNumberFormat="1" applyFont="1" applyFill="1" applyBorder="1" applyProtection="1">
      <protection locked="0"/>
    </xf>
    <xf numFmtId="191" fontId="20" fillId="24" borderId="68" xfId="0" applyNumberFormat="1" applyFont="1" applyFill="1" applyBorder="1" applyProtection="1">
      <protection locked="0"/>
    </xf>
    <xf numFmtId="179" fontId="20" fillId="24" borderId="68" xfId="0" applyNumberFormat="1" applyFont="1" applyFill="1" applyBorder="1" applyProtection="1">
      <protection locked="0"/>
    </xf>
    <xf numFmtId="0" fontId="20" fillId="0" borderId="0" xfId="0" applyFont="1" applyBorder="1" applyAlignment="1" applyProtection="1">
      <alignment horizontal="right"/>
    </xf>
    <xf numFmtId="0" fontId="32" fillId="8" borderId="4" xfId="0" applyFont="1" applyFill="1" applyBorder="1" applyAlignment="1">
      <alignment horizontal="center" vertical="center"/>
    </xf>
    <xf numFmtId="0" fontId="23" fillId="8" borderId="0" xfId="0" applyFont="1" applyFill="1" applyBorder="1"/>
    <xf numFmtId="195" fontId="20" fillId="24" borderId="68" xfId="0" applyNumberFormat="1" applyFont="1" applyFill="1" applyBorder="1" applyProtection="1">
      <protection locked="0"/>
    </xf>
    <xf numFmtId="0" fontId="20" fillId="8" borderId="0" xfId="0" applyFont="1" applyFill="1" applyBorder="1"/>
    <xf numFmtId="201" fontId="20" fillId="0" borderId="68" xfId="0" applyNumberFormat="1" applyFont="1" applyFill="1" applyBorder="1" applyAlignment="1">
      <alignment horizontal="center" vertical="center"/>
    </xf>
    <xf numFmtId="164" fontId="55" fillId="8" borderId="0" xfId="1" applyFont="1" applyFill="1" applyBorder="1" applyProtection="1"/>
    <xf numFmtId="0" fontId="56" fillId="0" borderId="0" xfId="0" applyFont="1" applyBorder="1" applyAlignment="1"/>
    <xf numFmtId="9" fontId="56" fillId="0" borderId="0" xfId="2" applyFont="1" applyBorder="1" applyAlignment="1"/>
    <xf numFmtId="164" fontId="56" fillId="0" borderId="0" xfId="1" applyFont="1" applyBorder="1" applyAlignment="1">
      <alignment horizontal="center"/>
    </xf>
    <xf numFmtId="164" fontId="56" fillId="0" borderId="0" xfId="1" applyFont="1" applyBorder="1" applyAlignment="1"/>
    <xf numFmtId="0" fontId="59" fillId="0" borderId="0" xfId="0" applyFont="1" applyBorder="1"/>
    <xf numFmtId="164" fontId="56" fillId="0" borderId="0" xfId="1" applyFont="1" applyBorder="1" applyAlignment="1">
      <alignment horizontal="right"/>
    </xf>
    <xf numFmtId="164" fontId="42" fillId="0" borderId="8" xfId="0" applyNumberFormat="1" applyFont="1" applyFill="1" applyBorder="1"/>
    <xf numFmtId="164" fontId="37" fillId="11" borderId="8" xfId="0" applyNumberFormat="1" applyFont="1" applyFill="1" applyBorder="1" applyAlignment="1">
      <alignment horizontal="center"/>
    </xf>
    <xf numFmtId="164" fontId="44" fillId="16" borderId="8" xfId="0" applyNumberFormat="1" applyFont="1" applyFill="1" applyBorder="1"/>
    <xf numFmtId="164" fontId="45" fillId="11" borderId="8" xfId="0" applyNumberFormat="1" applyFont="1" applyFill="1" applyBorder="1" applyAlignment="1">
      <alignment horizontal="right"/>
    </xf>
    <xf numFmtId="164" fontId="0" fillId="0" borderId="8" xfId="0" applyNumberFormat="1" applyBorder="1"/>
    <xf numFmtId="164" fontId="44" fillId="16" borderId="9" xfId="0" applyNumberFormat="1" applyFont="1" applyFill="1" applyBorder="1"/>
    <xf numFmtId="164" fontId="56" fillId="0" borderId="8" xfId="1" applyNumberFormat="1" applyFont="1" applyBorder="1" applyAlignment="1"/>
    <xf numFmtId="164" fontId="56" fillId="0" borderId="8" xfId="1" applyNumberFormat="1" applyFont="1" applyBorder="1" applyAlignment="1">
      <alignment horizontal="center"/>
    </xf>
    <xf numFmtId="164" fontId="56" fillId="0" borderId="8" xfId="1" applyNumberFormat="1" applyFont="1" applyBorder="1" applyAlignment="1">
      <alignment horizontal="left" indent="1"/>
    </xf>
    <xf numFmtId="164" fontId="42" fillId="0" borderId="8" xfId="1" applyNumberFormat="1" applyFont="1" applyBorder="1" applyAlignment="1"/>
    <xf numFmtId="164" fontId="42" fillId="0" borderId="8" xfId="1" applyNumberFormat="1" applyFont="1" applyBorder="1" applyAlignment="1">
      <alignment horizontal="center"/>
    </xf>
    <xf numFmtId="164" fontId="42" fillId="0" borderId="0" xfId="1" applyNumberFormat="1" applyFont="1" applyBorder="1" applyAlignment="1"/>
    <xf numFmtId="164" fontId="42" fillId="0" borderId="15" xfId="1" applyNumberFormat="1" applyFont="1" applyBorder="1" applyAlignment="1"/>
    <xf numFmtId="0" fontId="56" fillId="0" borderId="0" xfId="0" applyFont="1" applyBorder="1" applyAlignment="1">
      <alignment horizontal="center"/>
    </xf>
    <xf numFmtId="0" fontId="0" fillId="0" borderId="0" xfId="0" applyAlignment="1">
      <alignment horizontal="center"/>
    </xf>
    <xf numFmtId="3" fontId="56" fillId="0" borderId="0" xfId="0" applyNumberFormat="1" applyFont="1" applyFill="1" applyBorder="1" applyAlignment="1">
      <alignment horizontal="center"/>
    </xf>
    <xf numFmtId="0" fontId="42" fillId="0" borderId="0" xfId="0" applyFont="1" applyBorder="1" applyAlignment="1">
      <alignment horizontal="center"/>
    </xf>
    <xf numFmtId="9" fontId="42" fillId="0" borderId="0" xfId="2" applyFont="1" applyBorder="1" applyAlignment="1">
      <alignment horizontal="center"/>
    </xf>
    <xf numFmtId="0" fontId="44" fillId="13" borderId="0" xfId="0" applyFont="1" applyFill="1" applyBorder="1" applyAlignment="1">
      <alignment horizontal="center" vertical="center"/>
    </xf>
    <xf numFmtId="0" fontId="59" fillId="0" borderId="0" xfId="0" applyFont="1" applyAlignment="1">
      <alignment horizontal="center"/>
    </xf>
    <xf numFmtId="9" fontId="56" fillId="0" borderId="0" xfId="2" applyFont="1" applyBorder="1" applyAlignment="1">
      <alignment horizontal="center"/>
    </xf>
    <xf numFmtId="0" fontId="59" fillId="0" borderId="0" xfId="0" applyFont="1" applyBorder="1" applyAlignment="1">
      <alignment horizontal="center"/>
    </xf>
    <xf numFmtId="0" fontId="37" fillId="11" borderId="43" xfId="0" applyFont="1" applyFill="1" applyBorder="1" applyAlignment="1">
      <alignment horizontal="center"/>
    </xf>
    <xf numFmtId="0" fontId="36" fillId="11" borderId="43" xfId="0" applyFont="1" applyFill="1" applyBorder="1" applyAlignment="1">
      <alignment horizontal="center"/>
    </xf>
    <xf numFmtId="0" fontId="37" fillId="11" borderId="49" xfId="0" applyFont="1" applyFill="1" applyBorder="1" applyAlignment="1">
      <alignment horizontal="center"/>
    </xf>
    <xf numFmtId="0" fontId="59" fillId="0" borderId="0" xfId="0" applyFont="1" applyAlignment="1">
      <alignment horizontal="left"/>
    </xf>
    <xf numFmtId="164" fontId="56" fillId="0" borderId="8" xfId="1" applyNumberFormat="1" applyFont="1" applyFill="1" applyBorder="1" applyAlignment="1"/>
    <xf numFmtId="0" fontId="56" fillId="0" borderId="6" xfId="0" applyFont="1" applyFill="1" applyBorder="1" applyAlignment="1"/>
    <xf numFmtId="0" fontId="56" fillId="0" borderId="0" xfId="0" applyFont="1" applyFill="1" applyBorder="1" applyAlignment="1"/>
    <xf numFmtId="0" fontId="67" fillId="0" borderId="0" xfId="0" applyFont="1" applyFill="1" applyBorder="1" applyAlignment="1">
      <alignment horizontal="center"/>
    </xf>
    <xf numFmtId="9" fontId="56" fillId="0" borderId="0" xfId="2" applyFont="1" applyBorder="1" applyAlignment="1">
      <alignment horizontal="right"/>
    </xf>
    <xf numFmtId="0" fontId="56" fillId="0" borderId="0" xfId="0" applyFont="1" applyFill="1" applyBorder="1" applyAlignment="1">
      <alignment horizontal="center"/>
    </xf>
    <xf numFmtId="0" fontId="56" fillId="0" borderId="6" xfId="0" applyFont="1" applyFill="1" applyBorder="1" applyAlignment="1">
      <alignment horizontal="left"/>
    </xf>
    <xf numFmtId="0" fontId="56" fillId="0" borderId="0" xfId="0" applyFont="1" applyFill="1" applyBorder="1" applyAlignment="1">
      <alignment horizontal="left"/>
    </xf>
    <xf numFmtId="9" fontId="56" fillId="0" borderId="0" xfId="2" applyFont="1" applyFill="1" applyBorder="1" applyAlignment="1">
      <alignment horizontal="right"/>
    </xf>
    <xf numFmtId="164" fontId="56" fillId="0" borderId="8" xfId="1" applyNumberFormat="1" applyFont="1" applyFill="1" applyBorder="1" applyAlignment="1">
      <alignment horizontal="center"/>
    </xf>
    <xf numFmtId="9" fontId="56" fillId="0" borderId="0" xfId="2" applyFont="1" applyBorder="1" applyAlignment="1">
      <alignment horizontal="center" vertical="center"/>
    </xf>
    <xf numFmtId="9" fontId="56" fillId="0" borderId="0" xfId="2" applyFont="1" applyBorder="1" applyAlignment="1">
      <alignment horizontal="right" indent="2"/>
    </xf>
    <xf numFmtId="0" fontId="56" fillId="0" borderId="16" xfId="0" applyFont="1" applyBorder="1" applyAlignment="1">
      <alignment horizontal="left"/>
    </xf>
    <xf numFmtId="0" fontId="56" fillId="0" borderId="15" xfId="0" applyFont="1" applyBorder="1" applyAlignment="1">
      <alignment horizontal="right"/>
    </xf>
    <xf numFmtId="164" fontId="56" fillId="0" borderId="15" xfId="1" applyFont="1" applyBorder="1" applyAlignment="1">
      <alignment horizontal="center"/>
    </xf>
    <xf numFmtId="164" fontId="56" fillId="0" borderId="9" xfId="1" applyNumberFormat="1" applyFont="1" applyBorder="1" applyAlignment="1">
      <alignment horizontal="center"/>
    </xf>
    <xf numFmtId="180" fontId="9" fillId="0" borderId="0" xfId="0" applyNumberFormat="1" applyFont="1" applyBorder="1" applyAlignment="1">
      <alignment horizontal="left"/>
    </xf>
    <xf numFmtId="167" fontId="56" fillId="0" borderId="0" xfId="3" applyFont="1" applyBorder="1" applyAlignment="1">
      <alignment horizontal="right"/>
    </xf>
    <xf numFmtId="180" fontId="9" fillId="0" borderId="0" xfId="0" applyNumberFormat="1" applyFont="1" applyBorder="1" applyAlignment="1"/>
    <xf numFmtId="180" fontId="9" fillId="0" borderId="0" xfId="0" applyNumberFormat="1" applyFont="1" applyBorder="1" applyAlignment="1">
      <alignment horizontal="right"/>
    </xf>
    <xf numFmtId="164" fontId="42" fillId="0" borderId="0" xfId="0" applyNumberFormat="1" applyFont="1" applyFill="1" applyBorder="1"/>
    <xf numFmtId="164" fontId="44" fillId="16" borderId="15" xfId="0" applyNumberFormat="1" applyFont="1" applyFill="1" applyBorder="1"/>
    <xf numFmtId="164" fontId="44" fillId="16" borderId="0" xfId="0" applyNumberFormat="1" applyFont="1" applyFill="1" applyBorder="1"/>
    <xf numFmtId="164" fontId="35" fillId="6" borderId="45" xfId="0" applyNumberFormat="1" applyFont="1" applyFill="1" applyBorder="1"/>
    <xf numFmtId="164" fontId="33" fillId="0" borderId="8" xfId="0" applyNumberFormat="1" applyFont="1" applyBorder="1"/>
    <xf numFmtId="164" fontId="33" fillId="0" borderId="9" xfId="0" applyNumberFormat="1" applyFont="1" applyFill="1" applyBorder="1"/>
    <xf numFmtId="201" fontId="56" fillId="0" borderId="8" xfId="1" applyNumberFormat="1" applyFont="1" applyBorder="1" applyAlignment="1"/>
    <xf numFmtId="164" fontId="33" fillId="0" borderId="9" xfId="1" applyNumberFormat="1" applyFont="1" applyFill="1" applyBorder="1"/>
    <xf numFmtId="0" fontId="0" fillId="0" borderId="0" xfId="0" applyBorder="1" applyAlignment="1">
      <alignment horizontal="center"/>
    </xf>
    <xf numFmtId="180" fontId="56" fillId="0" borderId="0" xfId="2" applyNumberFormat="1" applyFont="1" applyBorder="1" applyAlignment="1">
      <alignment horizontal="center"/>
    </xf>
    <xf numFmtId="180" fontId="56" fillId="0" borderId="0" xfId="2" applyNumberFormat="1" applyFont="1" applyBorder="1" applyAlignment="1">
      <alignment horizontal="left"/>
    </xf>
    <xf numFmtId="164" fontId="56" fillId="0" borderId="0" xfId="1" applyNumberFormat="1" applyFont="1" applyBorder="1" applyAlignment="1"/>
    <xf numFmtId="180" fontId="56" fillId="0" borderId="15" xfId="2" applyNumberFormat="1" applyFont="1" applyBorder="1" applyAlignment="1">
      <alignment horizontal="center"/>
    </xf>
    <xf numFmtId="180" fontId="56" fillId="0" borderId="15" xfId="2" applyNumberFormat="1" applyFont="1" applyBorder="1" applyAlignment="1">
      <alignment horizontal="left"/>
    </xf>
    <xf numFmtId="164" fontId="56" fillId="0" borderId="15" xfId="1" applyFont="1" applyBorder="1" applyAlignment="1"/>
    <xf numFmtId="164" fontId="56" fillId="0" borderId="15" xfId="1" applyNumberFormat="1" applyFont="1" applyBorder="1" applyAlignment="1"/>
    <xf numFmtId="164" fontId="56" fillId="0" borderId="0" xfId="1" applyFont="1" applyFill="1" applyBorder="1" applyAlignment="1"/>
    <xf numFmtId="164" fontId="56" fillId="0" borderId="0" xfId="1" applyFont="1" applyFill="1" applyBorder="1" applyAlignment="1">
      <alignment horizontal="center"/>
    </xf>
    <xf numFmtId="4" fontId="56" fillId="0" borderId="0" xfId="0" applyNumberFormat="1" applyFont="1" applyBorder="1" applyAlignment="1">
      <alignment horizontal="right"/>
    </xf>
    <xf numFmtId="0" fontId="63" fillId="0" borderId="0" xfId="0" applyFont="1"/>
    <xf numFmtId="9" fontId="20" fillId="24" borderId="0" xfId="0" applyNumberFormat="1" applyFont="1" applyFill="1" applyBorder="1" applyAlignment="1" applyProtection="1">
      <alignment horizontal="right"/>
      <protection locked="0"/>
    </xf>
    <xf numFmtId="0" fontId="20" fillId="24" borderId="68" xfId="0" applyFont="1" applyFill="1" applyBorder="1" applyAlignment="1" applyProtection="1">
      <alignment horizontal="right"/>
      <protection locked="0"/>
    </xf>
    <xf numFmtId="187" fontId="20" fillId="24" borderId="68" xfId="0" applyNumberFormat="1" applyFont="1" applyFill="1" applyBorder="1" applyAlignment="1" applyProtection="1">
      <protection locked="0"/>
    </xf>
    <xf numFmtId="10" fontId="20" fillId="24" borderId="68" xfId="0" applyNumberFormat="1" applyFont="1" applyFill="1" applyBorder="1" applyAlignment="1" applyProtection="1">
      <alignment horizontal="center" vertical="center"/>
      <protection locked="0"/>
    </xf>
    <xf numFmtId="9" fontId="0" fillId="6" borderId="78" xfId="2" applyFont="1" applyFill="1" applyBorder="1" applyAlignment="1" applyProtection="1">
      <alignment horizontal="left" vertical="center" wrapText="1"/>
    </xf>
    <xf numFmtId="0" fontId="0" fillId="0" borderId="78" xfId="0" applyFont="1" applyFill="1" applyBorder="1" applyProtection="1"/>
    <xf numFmtId="0" fontId="0" fillId="0" borderId="78" xfId="0" applyFill="1" applyBorder="1" applyAlignment="1">
      <alignment horizontal="center" vertical="center" wrapText="1"/>
    </xf>
    <xf numFmtId="164" fontId="9" fillId="0" borderId="0" xfId="0" applyNumberFormat="1" applyFont="1" applyBorder="1" applyAlignment="1">
      <alignment horizontal="right"/>
    </xf>
    <xf numFmtId="0" fontId="0" fillId="0" borderId="0" xfId="0" applyFont="1" applyFill="1" applyBorder="1" applyAlignment="1" applyProtection="1">
      <alignment horizontal="left" vertical="top" wrapText="1"/>
    </xf>
    <xf numFmtId="0" fontId="0" fillId="6" borderId="78" xfId="0" applyFont="1" applyFill="1" applyBorder="1" applyProtection="1"/>
    <xf numFmtId="0" fontId="0" fillId="0" borderId="78" xfId="0" applyFill="1" applyBorder="1" applyProtection="1"/>
    <xf numFmtId="166" fontId="0" fillId="0" borderId="78" xfId="1" applyNumberFormat="1" applyFont="1" applyFill="1" applyBorder="1" applyProtection="1"/>
    <xf numFmtId="0" fontId="0" fillId="8" borderId="60" xfId="0" applyFont="1" applyFill="1" applyBorder="1" applyProtection="1"/>
    <xf numFmtId="199" fontId="0" fillId="8" borderId="60" xfId="0" applyNumberFormat="1" applyFill="1" applyBorder="1"/>
    <xf numFmtId="0" fontId="0" fillId="8" borderId="78" xfId="0" applyFont="1" applyFill="1" applyBorder="1" applyProtection="1"/>
    <xf numFmtId="164" fontId="0" fillId="8" borderId="78" xfId="1" applyNumberFormat="1" applyFont="1" applyFill="1" applyBorder="1" applyProtection="1"/>
    <xf numFmtId="0" fontId="0" fillId="8" borderId="78" xfId="0" applyFill="1" applyBorder="1"/>
    <xf numFmtId="0" fontId="20" fillId="0" borderId="80" xfId="0" applyFont="1" applyFill="1" applyBorder="1"/>
    <xf numFmtId="0" fontId="0" fillId="0" borderId="76" xfId="0" applyBorder="1"/>
    <xf numFmtId="0" fontId="70" fillId="0" borderId="0" xfId="0" applyFont="1"/>
    <xf numFmtId="0" fontId="28" fillId="7" borderId="76" xfId="0" applyFont="1" applyFill="1" applyBorder="1" applyAlignment="1">
      <alignment wrapText="1" readingOrder="1"/>
    </xf>
    <xf numFmtId="0" fontId="28" fillId="7" borderId="70" xfId="0" applyFont="1" applyFill="1" applyBorder="1" applyAlignment="1">
      <alignment wrapText="1" readingOrder="1"/>
    </xf>
    <xf numFmtId="9" fontId="2" fillId="9" borderId="71" xfId="2" applyFont="1" applyFill="1" applyBorder="1" applyAlignment="1" applyProtection="1">
      <alignment horizontal="left" vertical="center" wrapText="1"/>
    </xf>
    <xf numFmtId="9" fontId="2" fillId="9" borderId="76" xfId="2" applyFont="1" applyFill="1" applyBorder="1" applyAlignment="1" applyProtection="1">
      <alignment horizontal="left" vertical="center" wrapText="1"/>
    </xf>
    <xf numFmtId="1" fontId="0" fillId="0" borderId="71" xfId="0" applyNumberFormat="1" applyBorder="1"/>
    <xf numFmtId="9" fontId="2" fillId="9" borderId="78" xfId="2" applyFont="1" applyFill="1" applyBorder="1" applyAlignment="1" applyProtection="1">
      <alignment horizontal="left" vertical="center" wrapText="1"/>
    </xf>
    <xf numFmtId="0" fontId="2" fillId="9" borderId="78" xfId="0" applyFont="1" applyFill="1" applyBorder="1" applyAlignment="1" applyProtection="1">
      <alignment horizontal="center" vertical="center" wrapText="1"/>
    </xf>
    <xf numFmtId="0" fontId="0" fillId="0" borderId="71" xfId="0" applyBorder="1"/>
    <xf numFmtId="0" fontId="0" fillId="0" borderId="76" xfId="0" applyFill="1" applyBorder="1"/>
    <xf numFmtId="202" fontId="0" fillId="0" borderId="78" xfId="3" applyNumberFormat="1" applyFont="1" applyBorder="1"/>
    <xf numFmtId="9" fontId="2" fillId="9" borderId="76" xfId="2" applyFont="1" applyFill="1" applyBorder="1" applyAlignment="1" applyProtection="1">
      <alignment horizontal="center" vertical="center" wrapText="1"/>
    </xf>
    <xf numFmtId="9" fontId="2" fillId="9" borderId="71" xfId="2" applyFont="1" applyFill="1" applyBorder="1" applyAlignment="1" applyProtection="1">
      <alignment horizontal="center" vertical="center" wrapText="1"/>
    </xf>
    <xf numFmtId="203" fontId="29" fillId="8" borderId="65" xfId="0" applyNumberFormat="1" applyFont="1" applyFill="1" applyBorder="1" applyAlignment="1">
      <alignment horizontal="left" vertical="center"/>
    </xf>
    <xf numFmtId="0" fontId="0" fillId="0" borderId="78" xfId="0" applyBorder="1"/>
    <xf numFmtId="172" fontId="0" fillId="0" borderId="0" xfId="0" applyNumberFormat="1" applyFont="1" applyBorder="1" applyProtection="1"/>
    <xf numFmtId="204" fontId="0" fillId="0" borderId="0" xfId="0" applyNumberFormat="1" applyFont="1" applyBorder="1" applyProtection="1"/>
    <xf numFmtId="173" fontId="29" fillId="18" borderId="33" xfId="1" applyNumberFormat="1" applyFont="1" applyFill="1" applyBorder="1" applyAlignment="1">
      <alignment horizontal="right" wrapText="1" readingOrder="1"/>
    </xf>
    <xf numFmtId="0" fontId="0" fillId="8" borderId="78" xfId="0" applyFill="1" applyBorder="1" applyProtection="1"/>
    <xf numFmtId="9" fontId="7" fillId="6" borderId="78" xfId="2" applyFont="1" applyFill="1" applyBorder="1" applyAlignment="1" applyProtection="1">
      <alignment horizontal="left" vertical="top" wrapText="1"/>
    </xf>
    <xf numFmtId="9" fontId="0" fillId="6" borderId="78" xfId="2" applyFont="1" applyFill="1" applyBorder="1" applyAlignment="1" applyProtection="1">
      <alignment horizontal="center" vertical="center" wrapText="1"/>
    </xf>
    <xf numFmtId="170" fontId="7" fillId="6" borderId="78" xfId="1" applyNumberFormat="1" applyFont="1" applyFill="1" applyBorder="1" applyProtection="1"/>
    <xf numFmtId="0" fontId="7" fillId="8" borderId="78" xfId="0" applyFont="1" applyFill="1" applyBorder="1" applyProtection="1"/>
    <xf numFmtId="170" fontId="7" fillId="8" borderId="78" xfId="1" applyNumberFormat="1" applyFont="1" applyFill="1" applyBorder="1" applyProtection="1"/>
    <xf numFmtId="0" fontId="2" fillId="6" borderId="78" xfId="0" applyFont="1" applyFill="1" applyBorder="1" applyAlignment="1" applyProtection="1">
      <alignment horizontal="center" vertical="center" wrapText="1"/>
    </xf>
    <xf numFmtId="203" fontId="29" fillId="8" borderId="78" xfId="0" applyNumberFormat="1" applyFont="1" applyFill="1" applyBorder="1" applyAlignment="1">
      <alignment horizontal="left" vertical="center"/>
    </xf>
    <xf numFmtId="0" fontId="0" fillId="25" borderId="0" xfId="0" applyFill="1"/>
    <xf numFmtId="164" fontId="0" fillId="0" borderId="0" xfId="0" applyNumberFormat="1" applyFont="1" applyBorder="1" applyProtection="1"/>
    <xf numFmtId="9" fontId="0" fillId="9" borderId="78" xfId="2" applyFont="1" applyFill="1" applyBorder="1" applyAlignment="1" applyProtection="1">
      <alignment horizontal="left" vertical="center" wrapText="1"/>
    </xf>
    <xf numFmtId="0" fontId="0" fillId="8" borderId="0" xfId="0" applyFont="1" applyFill="1" applyBorder="1" applyAlignment="1" applyProtection="1">
      <alignment wrapText="1"/>
    </xf>
    <xf numFmtId="164" fontId="0" fillId="8" borderId="0" xfId="1" applyFont="1" applyFill="1" applyBorder="1" applyProtection="1"/>
    <xf numFmtId="9" fontId="0" fillId="0" borderId="0" xfId="0" applyNumberFormat="1"/>
    <xf numFmtId="0" fontId="42" fillId="0" borderId="0" xfId="2" applyNumberFormat="1" applyFont="1" applyBorder="1" applyAlignment="1">
      <alignment horizontal="center"/>
    </xf>
    <xf numFmtId="9" fontId="57" fillId="0" borderId="0" xfId="0" applyNumberFormat="1" applyFont="1"/>
    <xf numFmtId="173" fontId="29" fillId="8" borderId="33" xfId="1" applyNumberFormat="1" applyFont="1" applyFill="1" applyBorder="1" applyAlignment="1">
      <alignment horizontal="right" wrapText="1" readingOrder="1"/>
    </xf>
    <xf numFmtId="164" fontId="0" fillId="0" borderId="0" xfId="0" applyNumberFormat="1" applyFont="1" applyBorder="1" applyProtection="1"/>
    <xf numFmtId="0" fontId="0" fillId="0" borderId="0" xfId="0" applyFont="1" applyFill="1" applyBorder="1" applyAlignment="1" applyProtection="1">
      <alignment horizontal="left" vertical="top" wrapText="1"/>
    </xf>
    <xf numFmtId="0" fontId="21" fillId="0" borderId="4" xfId="0" applyFont="1" applyBorder="1" applyAlignment="1">
      <alignment horizontal="right"/>
    </xf>
    <xf numFmtId="0" fontId="20" fillId="8" borderId="72" xfId="0" applyFont="1" applyFill="1" applyBorder="1" applyAlignment="1" applyProtection="1">
      <alignment horizontal="center"/>
      <protection locked="0"/>
    </xf>
    <xf numFmtId="0" fontId="21" fillId="21" borderId="72" xfId="0" applyFont="1" applyFill="1" applyBorder="1" applyAlignment="1">
      <alignment horizontal="left"/>
    </xf>
    <xf numFmtId="172" fontId="0" fillId="8" borderId="33" xfId="1" applyNumberFormat="1" applyFont="1" applyFill="1" applyBorder="1" applyProtection="1"/>
    <xf numFmtId="164" fontId="0" fillId="8" borderId="33" xfId="1" applyNumberFormat="1" applyFont="1" applyFill="1" applyBorder="1" applyProtection="1"/>
    <xf numFmtId="164" fontId="0" fillId="8" borderId="33" xfId="1" applyFont="1" applyFill="1" applyBorder="1" applyProtection="1"/>
    <xf numFmtId="164" fontId="0" fillId="8" borderId="78" xfId="1" applyFont="1" applyFill="1" applyBorder="1" applyProtection="1"/>
    <xf numFmtId="182" fontId="0" fillId="8" borderId="33" xfId="1" applyNumberFormat="1" applyFont="1" applyFill="1" applyBorder="1"/>
    <xf numFmtId="205" fontId="29" fillId="8" borderId="65" xfId="0" applyNumberFormat="1" applyFont="1" applyFill="1" applyBorder="1" applyAlignment="1">
      <alignment horizontal="left" vertical="center"/>
    </xf>
    <xf numFmtId="0" fontId="21" fillId="21" borderId="72" xfId="0" applyFont="1" applyFill="1" applyBorder="1" applyAlignment="1">
      <alignment horizontal="left"/>
    </xf>
    <xf numFmtId="0" fontId="0" fillId="9" borderId="33" xfId="0" applyFont="1" applyFill="1" applyBorder="1" applyAlignment="1" applyProtection="1">
      <alignment horizontal="center" vertical="center" wrapText="1"/>
    </xf>
    <xf numFmtId="0" fontId="21" fillId="0" borderId="0" xfId="0" applyFont="1" applyBorder="1" applyAlignment="1">
      <alignment horizontal="center"/>
    </xf>
    <xf numFmtId="182" fontId="1" fillId="0" borderId="0" xfId="1" applyNumberFormat="1" applyFont="1" applyFill="1" applyBorder="1" applyAlignment="1" applyProtection="1">
      <alignment vertical="center"/>
    </xf>
    <xf numFmtId="172" fontId="7" fillId="8" borderId="0" xfId="1" applyNumberFormat="1" applyFont="1" applyFill="1" applyBorder="1" applyProtection="1"/>
    <xf numFmtId="0" fontId="0" fillId="6" borderId="76" xfId="0" applyFill="1" applyBorder="1" applyAlignment="1" applyProtection="1"/>
    <xf numFmtId="0" fontId="0" fillId="6" borderId="70" xfId="0" applyFill="1" applyBorder="1" applyAlignment="1" applyProtection="1"/>
    <xf numFmtId="0" fontId="0" fillId="6" borderId="71" xfId="0" applyFill="1" applyBorder="1" applyAlignment="1" applyProtection="1"/>
    <xf numFmtId="0" fontId="2" fillId="7" borderId="41" xfId="0" applyFont="1" applyFill="1" applyBorder="1" applyAlignment="1" applyProtection="1">
      <alignment horizontal="left"/>
    </xf>
    <xf numFmtId="0" fontId="2" fillId="7" borderId="40" xfId="0" applyFont="1" applyFill="1" applyBorder="1" applyAlignment="1" applyProtection="1">
      <alignment horizontal="left"/>
    </xf>
    <xf numFmtId="0" fontId="2" fillId="7" borderId="42" xfId="0" applyFont="1" applyFill="1" applyBorder="1" applyAlignment="1" applyProtection="1">
      <alignment horizontal="left"/>
    </xf>
    <xf numFmtId="1" fontId="20" fillId="24" borderId="68" xfId="0" applyNumberFormat="1" applyFont="1" applyFill="1" applyBorder="1" applyProtection="1">
      <protection locked="0"/>
    </xf>
    <xf numFmtId="172" fontId="1" fillId="8" borderId="0" xfId="1" applyNumberFormat="1" applyFont="1" applyFill="1" applyBorder="1" applyAlignment="1" applyProtection="1">
      <alignment vertical="center"/>
    </xf>
    <xf numFmtId="172" fontId="7" fillId="8" borderId="33" xfId="1" applyNumberFormat="1" applyFont="1" applyFill="1" applyBorder="1" applyProtection="1"/>
    <xf numFmtId="0" fontId="21" fillId="21" borderId="72" xfId="0" applyFont="1" applyFill="1" applyBorder="1" applyAlignment="1">
      <alignment horizontal="left"/>
    </xf>
    <xf numFmtId="0" fontId="20" fillId="8" borderId="72" xfId="0" applyFont="1" applyFill="1" applyBorder="1" applyAlignment="1" applyProtection="1">
      <alignment horizontal="center"/>
      <protection locked="0"/>
    </xf>
    <xf numFmtId="0" fontId="21" fillId="0" borderId="4" xfId="0" applyFont="1" applyBorder="1" applyAlignment="1" applyProtection="1">
      <alignment horizontal="right"/>
    </xf>
    <xf numFmtId="0" fontId="20" fillId="0" borderId="72" xfId="0" applyFont="1" applyFill="1" applyBorder="1" applyAlignment="1">
      <alignment horizontal="left" vertical="top" wrapText="1"/>
    </xf>
    <xf numFmtId="205" fontId="29" fillId="8" borderId="78" xfId="0" applyNumberFormat="1" applyFont="1" applyFill="1" applyBorder="1" applyAlignment="1">
      <alignment horizontal="left" vertical="center"/>
    </xf>
    <xf numFmtId="0" fontId="20" fillId="24" borderId="72" xfId="0" applyFont="1" applyFill="1" applyBorder="1" applyAlignment="1" applyProtection="1">
      <alignment horizontal="left"/>
      <protection locked="0"/>
    </xf>
    <xf numFmtId="0" fontId="20" fillId="8" borderId="72" xfId="0" applyFont="1" applyFill="1" applyBorder="1" applyAlignment="1" applyProtection="1">
      <alignment horizontal="center"/>
      <protection locked="0"/>
    </xf>
    <xf numFmtId="0" fontId="44" fillId="13" borderId="0" xfId="0" applyFont="1" applyFill="1" applyBorder="1" applyAlignment="1">
      <alignment horizontal="left"/>
    </xf>
    <xf numFmtId="0" fontId="56" fillId="0" borderId="6" xfId="0" applyFont="1" applyBorder="1" applyAlignment="1">
      <alignment horizontal="left"/>
    </xf>
    <xf numFmtId="0" fontId="56" fillId="0" borderId="0" xfId="0" applyFont="1" applyBorder="1" applyAlignment="1">
      <alignment horizontal="left"/>
    </xf>
    <xf numFmtId="0" fontId="20" fillId="8" borderId="72" xfId="0" applyFont="1" applyFill="1" applyBorder="1"/>
    <xf numFmtId="0" fontId="20" fillId="24" borderId="78" xfId="0" applyFont="1" applyFill="1" applyBorder="1" applyProtection="1">
      <protection locked="0"/>
    </xf>
    <xf numFmtId="0" fontId="57" fillId="0" borderId="0" xfId="0" applyFont="1" applyFill="1" applyBorder="1" applyAlignment="1">
      <alignment horizontal="center"/>
    </xf>
    <xf numFmtId="0" fontId="0" fillId="8" borderId="0" xfId="0" applyFill="1"/>
    <xf numFmtId="0" fontId="0" fillId="9" borderId="78" xfId="0" applyFont="1" applyFill="1" applyBorder="1" applyProtection="1"/>
    <xf numFmtId="170" fontId="7" fillId="9" borderId="78" xfId="1" applyNumberFormat="1" applyFont="1" applyFill="1" applyBorder="1" applyProtection="1"/>
    <xf numFmtId="164" fontId="0" fillId="8" borderId="33" xfId="1" applyNumberFormat="1" applyFont="1" applyFill="1" applyBorder="1"/>
    <xf numFmtId="207" fontId="20" fillId="24" borderId="68" xfId="0" applyNumberFormat="1" applyFont="1" applyFill="1" applyBorder="1" applyProtection="1">
      <protection locked="0"/>
    </xf>
    <xf numFmtId="164" fontId="7" fillId="8" borderId="78" xfId="1" applyNumberFormat="1" applyFont="1" applyFill="1" applyBorder="1" applyProtection="1"/>
    <xf numFmtId="170" fontId="7" fillId="8" borderId="78" xfId="1" applyNumberFormat="1" applyFont="1" applyFill="1" applyBorder="1" applyAlignment="1" applyProtection="1">
      <alignment wrapText="1"/>
    </xf>
    <xf numFmtId="166" fontId="0" fillId="0" borderId="0" xfId="1" applyNumberFormat="1" applyFont="1" applyFill="1" applyBorder="1" applyAlignment="1" applyProtection="1">
      <alignment wrapText="1"/>
    </xf>
    <xf numFmtId="164" fontId="55" fillId="8" borderId="0" xfId="1" applyFont="1" applyFill="1" applyBorder="1" applyAlignment="1" applyProtection="1">
      <alignment wrapText="1"/>
    </xf>
    <xf numFmtId="166" fontId="0" fillId="8" borderId="0" xfId="1" applyNumberFormat="1" applyFont="1" applyFill="1" applyBorder="1" applyAlignment="1" applyProtection="1">
      <alignment wrapText="1"/>
    </xf>
    <xf numFmtId="0" fontId="0" fillId="0" borderId="82" xfId="0" applyBorder="1"/>
    <xf numFmtId="199" fontId="0" fillId="0" borderId="0" xfId="0" applyNumberFormat="1" applyFill="1" applyBorder="1" applyProtection="1"/>
    <xf numFmtId="9" fontId="0" fillId="8" borderId="55" xfId="2" applyFont="1" applyFill="1" applyBorder="1" applyProtection="1"/>
    <xf numFmtId="2" fontId="0" fillId="8" borderId="33" xfId="1" applyNumberFormat="1" applyFont="1" applyFill="1" applyBorder="1" applyAlignment="1" applyProtection="1">
      <alignment horizontal="left" indent="2"/>
    </xf>
    <xf numFmtId="0" fontId="56" fillId="0" borderId="6" xfId="0" applyFont="1" applyBorder="1" applyAlignment="1">
      <alignment horizontal="left"/>
    </xf>
    <xf numFmtId="0" fontId="56" fillId="0" borderId="0" xfId="0" applyFont="1" applyBorder="1" applyAlignment="1">
      <alignment horizontal="left"/>
    </xf>
    <xf numFmtId="208" fontId="0" fillId="8" borderId="33" xfId="1" applyNumberFormat="1" applyFont="1" applyFill="1" applyBorder="1" applyProtection="1"/>
    <xf numFmtId="9" fontId="0" fillId="8" borderId="78" xfId="2" applyFont="1" applyFill="1" applyBorder="1" applyProtection="1"/>
    <xf numFmtId="164" fontId="0" fillId="8" borderId="0" xfId="1" applyNumberFormat="1" applyFont="1" applyFill="1" applyBorder="1" applyProtection="1"/>
    <xf numFmtId="0" fontId="0" fillId="8" borderId="0" xfId="0" applyFill="1" applyBorder="1" applyProtection="1"/>
    <xf numFmtId="0" fontId="0" fillId="0" borderId="0" xfId="0"/>
    <xf numFmtId="0" fontId="22" fillId="8" borderId="78" xfId="0" applyFont="1" applyFill="1" applyBorder="1" applyAlignment="1">
      <alignment wrapText="1"/>
    </xf>
    <xf numFmtId="0" fontId="22" fillId="8" borderId="78" xfId="0" applyFont="1" applyFill="1" applyBorder="1"/>
    <xf numFmtId="0" fontId="22" fillId="8" borderId="78" xfId="0" applyFont="1" applyFill="1" applyBorder="1" applyAlignment="1">
      <alignment vertical="center" wrapText="1"/>
    </xf>
    <xf numFmtId="201" fontId="0" fillId="0" borderId="0" xfId="2" applyNumberFormat="1" applyFont="1" applyFill="1" applyBorder="1" applyProtection="1"/>
    <xf numFmtId="172" fontId="7" fillId="8" borderId="78" xfId="1" applyNumberFormat="1" applyFont="1" applyFill="1" applyBorder="1" applyAlignment="1" applyProtection="1">
      <alignment wrapText="1"/>
    </xf>
    <xf numFmtId="0" fontId="20" fillId="0" borderId="78" xfId="0" applyFont="1" applyFill="1" applyBorder="1"/>
    <xf numFmtId="0" fontId="21" fillId="21" borderId="78" xfId="0" applyFont="1" applyFill="1" applyBorder="1" applyAlignment="1">
      <alignment horizontal="left"/>
    </xf>
    <xf numFmtId="0" fontId="21" fillId="21" borderId="78" xfId="0" applyFont="1" applyFill="1" applyBorder="1" applyAlignment="1">
      <alignment horizontal="center"/>
    </xf>
    <xf numFmtId="210" fontId="20" fillId="24" borderId="68" xfId="0" applyNumberFormat="1" applyFont="1" applyFill="1" applyBorder="1" applyAlignment="1" applyProtection="1">
      <protection locked="0"/>
    </xf>
    <xf numFmtId="0" fontId="20" fillId="6" borderId="74" xfId="0" applyFont="1" applyFill="1" applyBorder="1"/>
    <xf numFmtId="0" fontId="20" fillId="6" borderId="7" xfId="0" applyFont="1" applyFill="1" applyBorder="1"/>
    <xf numFmtId="164" fontId="20" fillId="0" borderId="68" xfId="1" applyNumberFormat="1" applyFont="1" applyFill="1" applyBorder="1" applyAlignment="1"/>
    <xf numFmtId="0" fontId="20" fillId="6" borderId="78" xfId="0" applyFont="1" applyFill="1" applyBorder="1"/>
    <xf numFmtId="0" fontId="20" fillId="24" borderId="78" xfId="0" applyFont="1" applyFill="1" applyBorder="1" applyAlignment="1" applyProtection="1">
      <alignment horizontal="left"/>
      <protection locked="0"/>
    </xf>
    <xf numFmtId="0" fontId="20" fillId="24" borderId="78" xfId="0" applyFont="1" applyFill="1" applyBorder="1" applyAlignment="1" applyProtection="1">
      <alignment horizontal="center" vertical="center"/>
      <protection locked="0"/>
    </xf>
    <xf numFmtId="1" fontId="20" fillId="24" borderId="78" xfId="0" applyNumberFormat="1" applyFont="1" applyFill="1" applyBorder="1" applyProtection="1">
      <protection locked="0"/>
    </xf>
    <xf numFmtId="186" fontId="20" fillId="24" borderId="78" xfId="0" applyNumberFormat="1" applyFont="1" applyFill="1" applyBorder="1" applyProtection="1">
      <protection locked="0"/>
    </xf>
    <xf numFmtId="0" fontId="2" fillId="13" borderId="15" xfId="0" applyFont="1" applyFill="1" applyBorder="1" applyAlignment="1" applyProtection="1"/>
    <xf numFmtId="211" fontId="20" fillId="24" borderId="68" xfId="0" applyNumberFormat="1" applyFont="1" applyFill="1" applyBorder="1" applyAlignment="1" applyProtection="1">
      <protection locked="0"/>
    </xf>
    <xf numFmtId="0" fontId="0" fillId="0" borderId="0" xfId="0" applyFont="1" applyFill="1" applyBorder="1" applyAlignment="1" applyProtection="1">
      <alignment horizontal="left" vertical="top" wrapText="1"/>
    </xf>
    <xf numFmtId="172" fontId="7" fillId="8" borderId="78" xfId="1" applyNumberFormat="1" applyFont="1" applyFill="1" applyBorder="1" applyProtection="1"/>
    <xf numFmtId="209" fontId="0" fillId="8" borderId="33" xfId="1" applyNumberFormat="1" applyFont="1" applyFill="1" applyBorder="1" applyProtection="1"/>
    <xf numFmtId="0" fontId="76" fillId="8" borderId="78" xfId="0" applyFont="1" applyFill="1" applyBorder="1" applyAlignment="1">
      <alignment vertical="center"/>
    </xf>
    <xf numFmtId="0" fontId="76" fillId="8" borderId="78" xfId="0" applyFont="1" applyFill="1" applyBorder="1" applyAlignment="1">
      <alignment vertical="center" wrapText="1"/>
    </xf>
    <xf numFmtId="0" fontId="21" fillId="21" borderId="72" xfId="0" applyFont="1" applyFill="1" applyBorder="1" applyAlignment="1">
      <alignment horizontal="left"/>
    </xf>
    <xf numFmtId="0" fontId="56" fillId="0" borderId="0" xfId="0" applyFont="1" applyBorder="1" applyAlignment="1">
      <alignment horizontal="left"/>
    </xf>
    <xf numFmtId="0" fontId="20" fillId="24" borderId="78" xfId="0" applyFont="1" applyFill="1" applyBorder="1" applyAlignment="1" applyProtection="1">
      <alignment horizontal="right" vertical="center"/>
      <protection locked="0"/>
    </xf>
    <xf numFmtId="164" fontId="20" fillId="0" borderId="78" xfId="1" applyFont="1" applyFill="1" applyBorder="1"/>
    <xf numFmtId="0" fontId="21" fillId="21" borderId="72" xfId="0" applyFont="1" applyFill="1" applyBorder="1" applyAlignment="1">
      <alignment horizontal="left"/>
    </xf>
    <xf numFmtId="0" fontId="56" fillId="0" borderId="6" xfId="0" applyFont="1" applyBorder="1" applyAlignment="1">
      <alignment horizontal="left"/>
    </xf>
    <xf numFmtId="0" fontId="56" fillId="0" borderId="0" xfId="0" applyFont="1" applyBorder="1" applyAlignment="1">
      <alignment horizontal="left"/>
    </xf>
    <xf numFmtId="0" fontId="0" fillId="0" borderId="0" xfId="0" applyFont="1" applyFill="1" applyBorder="1" applyAlignment="1" applyProtection="1">
      <alignment horizontal="left" vertical="top" wrapText="1"/>
    </xf>
    <xf numFmtId="0" fontId="0" fillId="8" borderId="79" xfId="0" applyFont="1" applyFill="1" applyBorder="1" applyProtection="1"/>
    <xf numFmtId="0" fontId="0" fillId="9" borderId="78" xfId="0" applyFont="1" applyFill="1" applyBorder="1" applyAlignment="1" applyProtection="1">
      <alignment vertical="top"/>
    </xf>
    <xf numFmtId="170" fontId="7" fillId="9" borderId="78" xfId="1" applyNumberFormat="1" applyFont="1" applyFill="1" applyBorder="1" applyAlignment="1" applyProtection="1">
      <alignment vertical="top" wrapText="1"/>
    </xf>
    <xf numFmtId="182" fontId="0" fillId="9" borderId="33" xfId="1" applyNumberFormat="1" applyFont="1" applyFill="1" applyBorder="1" applyAlignment="1">
      <alignment vertical="top" wrapText="1"/>
    </xf>
    <xf numFmtId="170" fontId="7" fillId="9" borderId="78" xfId="1" applyNumberFormat="1" applyFont="1" applyFill="1" applyBorder="1" applyAlignment="1" applyProtection="1">
      <alignment vertical="top"/>
    </xf>
    <xf numFmtId="182" fontId="0" fillId="9" borderId="33" xfId="1" applyNumberFormat="1" applyFont="1" applyFill="1" applyBorder="1" applyAlignment="1">
      <alignment vertical="top"/>
    </xf>
    <xf numFmtId="0" fontId="21" fillId="21" borderId="76" xfId="0" applyFont="1" applyFill="1" applyBorder="1" applyAlignment="1"/>
    <xf numFmtId="0" fontId="21" fillId="21" borderId="78" xfId="0" applyFont="1" applyFill="1" applyBorder="1" applyAlignment="1"/>
    <xf numFmtId="0" fontId="21" fillId="21" borderId="72" xfId="0" applyFont="1" applyFill="1" applyBorder="1" applyAlignment="1">
      <alignment horizontal="left"/>
    </xf>
    <xf numFmtId="0" fontId="21" fillId="21" borderId="76" xfId="0" applyFont="1" applyFill="1" applyBorder="1" applyAlignment="1">
      <alignment horizontal="center"/>
    </xf>
    <xf numFmtId="0" fontId="21" fillId="21" borderId="77" xfId="0" applyFont="1" applyFill="1" applyBorder="1" applyAlignment="1">
      <alignment horizontal="center"/>
    </xf>
    <xf numFmtId="9" fontId="20" fillId="8" borderId="76" xfId="0" applyNumberFormat="1" applyFont="1" applyFill="1" applyBorder="1" applyProtection="1">
      <protection locked="0"/>
    </xf>
    <xf numFmtId="0" fontId="20" fillId="0" borderId="77" xfId="0" applyFont="1" applyFill="1" applyBorder="1"/>
    <xf numFmtId="0" fontId="21" fillId="21" borderId="79" xfId="0" applyFont="1" applyFill="1" applyBorder="1" applyAlignment="1">
      <alignment horizontal="center"/>
    </xf>
    <xf numFmtId="0" fontId="20" fillId="0" borderId="79" xfId="0" applyFont="1" applyFill="1" applyBorder="1"/>
    <xf numFmtId="0" fontId="0" fillId="9" borderId="78" xfId="0" applyFont="1" applyFill="1" applyBorder="1" applyAlignment="1" applyProtection="1">
      <alignment vertical="center" wrapText="1"/>
    </xf>
    <xf numFmtId="0" fontId="0" fillId="8" borderId="78" xfId="0" applyFill="1" applyBorder="1" applyAlignment="1" applyProtection="1">
      <alignment vertical="top" wrapText="1"/>
    </xf>
    <xf numFmtId="0" fontId="0" fillId="8" borderId="77" xfId="0" applyFill="1" applyBorder="1" applyAlignment="1" applyProtection="1">
      <alignment horizontal="center" vertical="top" wrapText="1"/>
    </xf>
    <xf numFmtId="0" fontId="0" fillId="8" borderId="78" xfId="0" applyFont="1" applyFill="1" applyBorder="1" applyAlignment="1" applyProtection="1">
      <alignment vertical="top"/>
    </xf>
    <xf numFmtId="165" fontId="0" fillId="8" borderId="78" xfId="1" applyNumberFormat="1" applyFont="1" applyFill="1" applyBorder="1" applyAlignment="1" applyProtection="1">
      <alignment vertical="top"/>
    </xf>
    <xf numFmtId="0" fontId="0" fillId="8" borderId="78" xfId="0" applyFont="1" applyFill="1" applyBorder="1" applyAlignment="1" applyProtection="1">
      <alignment vertical="top" wrapText="1"/>
    </xf>
    <xf numFmtId="0" fontId="0" fillId="8" borderId="78" xfId="0" applyFill="1" applyBorder="1" applyAlignment="1" applyProtection="1">
      <alignment horizontal="center" vertical="top" wrapText="1"/>
    </xf>
    <xf numFmtId="213" fontId="0" fillId="8" borderId="78" xfId="1" applyNumberFormat="1" applyFont="1" applyFill="1" applyBorder="1" applyAlignment="1" applyProtection="1">
      <alignment vertical="top"/>
    </xf>
    <xf numFmtId="0" fontId="27" fillId="0" borderId="0" xfId="0" applyFont="1" applyBorder="1" applyProtection="1"/>
    <xf numFmtId="164" fontId="0" fillId="8" borderId="78" xfId="1" applyNumberFormat="1" applyFont="1" applyFill="1" applyBorder="1" applyProtection="1"/>
    <xf numFmtId="0" fontId="54" fillId="8" borderId="78" xfId="0" applyFont="1" applyFill="1" applyBorder="1"/>
    <xf numFmtId="199" fontId="0" fillId="8" borderId="78" xfId="0" applyNumberFormat="1" applyFill="1" applyBorder="1"/>
    <xf numFmtId="0" fontId="0" fillId="8" borderId="78" xfId="0" applyFill="1" applyBorder="1" applyAlignment="1" applyProtection="1"/>
    <xf numFmtId="173" fontId="0" fillId="8" borderId="78" xfId="1" applyNumberFormat="1" applyFont="1" applyFill="1" applyBorder="1" applyProtection="1"/>
    <xf numFmtId="208" fontId="0" fillId="8" borderId="78" xfId="1" applyNumberFormat="1" applyFont="1" applyFill="1" applyBorder="1" applyProtection="1"/>
    <xf numFmtId="195" fontId="20" fillId="24" borderId="78" xfId="0" applyNumberFormat="1" applyFont="1" applyFill="1" applyBorder="1" applyProtection="1">
      <protection locked="0"/>
    </xf>
    <xf numFmtId="0" fontId="79" fillId="0" borderId="0" xfId="0" applyFont="1" applyBorder="1"/>
    <xf numFmtId="0" fontId="0" fillId="8" borderId="5" xfId="0" applyFill="1" applyBorder="1"/>
    <xf numFmtId="0" fontId="0" fillId="8" borderId="4" xfId="0" applyFill="1" applyBorder="1"/>
    <xf numFmtId="0" fontId="0" fillId="8" borderId="78" xfId="0" applyFill="1" applyBorder="1" applyAlignment="1">
      <alignment horizontal="center" vertical="center" wrapText="1"/>
    </xf>
    <xf numFmtId="0" fontId="0" fillId="0" borderId="0" xfId="0" applyBorder="1" applyAlignment="1">
      <alignment horizontal="center" vertical="center" wrapText="1"/>
    </xf>
    <xf numFmtId="0" fontId="2" fillId="0" borderId="0" xfId="0" applyFont="1"/>
    <xf numFmtId="0" fontId="0" fillId="0" borderId="78" xfId="0" applyBorder="1" applyAlignment="1">
      <alignment vertical="center" wrapText="1"/>
    </xf>
    <xf numFmtId="0" fontId="3" fillId="16" borderId="0" xfId="0" applyFont="1" applyFill="1"/>
    <xf numFmtId="0" fontId="7" fillId="8" borderId="0" xfId="0" applyFont="1" applyFill="1"/>
    <xf numFmtId="0" fontId="2" fillId="0" borderId="78" xfId="0" applyFont="1" applyBorder="1"/>
    <xf numFmtId="0" fontId="21" fillId="21" borderId="68" xfId="0" applyFont="1" applyFill="1" applyBorder="1" applyAlignment="1">
      <alignment horizontal="left"/>
    </xf>
    <xf numFmtId="0" fontId="56" fillId="0" borderId="0" xfId="0" applyFont="1" applyBorder="1" applyAlignment="1">
      <alignment horizontal="left"/>
    </xf>
    <xf numFmtId="0" fontId="81" fillId="16" borderId="0" xfId="0" applyFont="1" applyFill="1"/>
    <xf numFmtId="0" fontId="0" fillId="20" borderId="78" xfId="0" applyFill="1" applyBorder="1"/>
    <xf numFmtId="0" fontId="0" fillId="20" borderId="78" xfId="0" applyFill="1" applyBorder="1" applyAlignment="1">
      <alignment wrapText="1"/>
    </xf>
    <xf numFmtId="199" fontId="20" fillId="0" borderId="78" xfId="0" applyNumberFormat="1" applyFont="1" applyFill="1" applyBorder="1"/>
    <xf numFmtId="164" fontId="0" fillId="0" borderId="0" xfId="1" applyNumberFormat="1" applyFont="1" applyFill="1" applyBorder="1" applyProtection="1"/>
    <xf numFmtId="0" fontId="2" fillId="13" borderId="47" xfId="0" applyFont="1" applyFill="1" applyBorder="1" applyProtection="1"/>
    <xf numFmtId="0" fontId="2" fillId="13" borderId="28" xfId="0" applyFont="1" applyFill="1" applyBorder="1" applyAlignment="1" applyProtection="1"/>
    <xf numFmtId="0" fontId="56" fillId="0" borderId="0" xfId="0" applyFont="1" applyBorder="1" applyAlignment="1">
      <alignment horizontal="left"/>
    </xf>
    <xf numFmtId="0" fontId="0" fillId="26" borderId="0" xfId="0" applyFill="1"/>
    <xf numFmtId="199" fontId="0" fillId="8" borderId="78" xfId="1" applyNumberFormat="1" applyFont="1" applyFill="1" applyBorder="1" applyProtection="1"/>
    <xf numFmtId="0" fontId="27" fillId="8" borderId="5" xfId="0" applyFont="1" applyFill="1" applyBorder="1" applyProtection="1"/>
    <xf numFmtId="214" fontId="20" fillId="24" borderId="68" xfId="0" applyNumberFormat="1" applyFont="1" applyFill="1" applyBorder="1" applyProtection="1">
      <protection locked="0"/>
    </xf>
    <xf numFmtId="0" fontId="0" fillId="8" borderId="76" xfId="0" applyFill="1" applyBorder="1"/>
    <xf numFmtId="1" fontId="0" fillId="8" borderId="77" xfId="0" applyNumberFormat="1" applyFill="1" applyBorder="1"/>
    <xf numFmtId="202" fontId="0" fillId="8" borderId="78" xfId="3" applyNumberFormat="1" applyFont="1" applyFill="1" applyBorder="1"/>
    <xf numFmtId="0" fontId="0" fillId="8" borderId="77" xfId="0" applyFill="1" applyBorder="1"/>
    <xf numFmtId="1" fontId="0" fillId="8" borderId="71" xfId="0" applyNumberFormat="1" applyFill="1" applyBorder="1"/>
    <xf numFmtId="0" fontId="0" fillId="8" borderId="71" xfId="0" applyFill="1" applyBorder="1"/>
    <xf numFmtId="0" fontId="0" fillId="8" borderId="78" xfId="0" applyFont="1" applyFill="1" applyBorder="1" applyAlignment="1" applyProtection="1">
      <alignment wrapText="1"/>
    </xf>
    <xf numFmtId="0" fontId="2" fillId="8" borderId="0" xfId="0" applyFont="1" applyFill="1" applyBorder="1" applyAlignment="1" applyProtection="1"/>
    <xf numFmtId="0" fontId="0" fillId="8" borderId="0" xfId="0" applyFont="1" applyFill="1" applyBorder="1" applyAlignment="1" applyProtection="1"/>
    <xf numFmtId="0" fontId="0" fillId="8" borderId="0" xfId="0" applyFill="1" applyBorder="1" applyAlignment="1" applyProtection="1"/>
    <xf numFmtId="0" fontId="0" fillId="8" borderId="79" xfId="0" applyFill="1" applyBorder="1"/>
    <xf numFmtId="0" fontId="0" fillId="8" borderId="7" xfId="0" applyFill="1" applyBorder="1"/>
    <xf numFmtId="0" fontId="0" fillId="8" borderId="74" xfId="0" applyFill="1" applyBorder="1"/>
    <xf numFmtId="172" fontId="0" fillId="8" borderId="0" xfId="1" applyNumberFormat="1" applyFont="1" applyFill="1" applyBorder="1" applyProtection="1"/>
    <xf numFmtId="199" fontId="0" fillId="8" borderId="78" xfId="2" applyNumberFormat="1" applyFont="1" applyFill="1" applyBorder="1" applyAlignment="1" applyProtection="1">
      <alignment horizontal="left"/>
    </xf>
    <xf numFmtId="0" fontId="0" fillId="18" borderId="0" xfId="0" applyFill="1"/>
    <xf numFmtId="0" fontId="0" fillId="31" borderId="0" xfId="0" applyFill="1"/>
    <xf numFmtId="9" fontId="0" fillId="0" borderId="78" xfId="0" applyNumberFormat="1" applyFill="1" applyBorder="1" applyAlignment="1">
      <alignment horizontal="center" vertical="center" wrapText="1"/>
    </xf>
    <xf numFmtId="215" fontId="0" fillId="0" borderId="0" xfId="0" applyNumberFormat="1" applyFill="1" applyBorder="1" applyProtection="1"/>
    <xf numFmtId="0" fontId="0" fillId="8" borderId="77" xfId="0" applyFont="1" applyFill="1" applyBorder="1" applyProtection="1"/>
    <xf numFmtId="0" fontId="28" fillId="8" borderId="0" xfId="0" applyFont="1" applyFill="1" applyBorder="1" applyProtection="1"/>
    <xf numFmtId="0" fontId="82" fillId="8" borderId="0" xfId="0" applyFont="1" applyFill="1" applyBorder="1"/>
    <xf numFmtId="181" fontId="0" fillId="8" borderId="0" xfId="0" applyNumberFormat="1" applyFont="1" applyFill="1" applyBorder="1" applyProtection="1"/>
    <xf numFmtId="0" fontId="0" fillId="8" borderId="82" xfId="0" applyFill="1" applyBorder="1"/>
    <xf numFmtId="204" fontId="0" fillId="0" borderId="0" xfId="0" applyNumberFormat="1"/>
    <xf numFmtId="0" fontId="0" fillId="0" borderId="0" xfId="0" applyFont="1" applyFill="1" applyBorder="1" applyAlignment="1" applyProtection="1">
      <alignment horizontal="left" vertical="top" wrapText="1"/>
    </xf>
    <xf numFmtId="171" fontId="27" fillId="0" borderId="0" xfId="0" applyNumberFormat="1" applyFont="1" applyBorder="1" applyAlignment="1" applyProtection="1">
      <alignment horizontal="center" vertical="top" wrapText="1"/>
    </xf>
    <xf numFmtId="9" fontId="27" fillId="0" borderId="0" xfId="0" applyNumberFormat="1" applyFont="1" applyBorder="1" applyAlignment="1" applyProtection="1"/>
    <xf numFmtId="0" fontId="0" fillId="32" borderId="0" xfId="0" applyFill="1"/>
    <xf numFmtId="0" fontId="0" fillId="8" borderId="0" xfId="0" applyFont="1" applyFill="1" applyBorder="1" applyAlignment="1" applyProtection="1">
      <alignment vertical="top" wrapText="1"/>
    </xf>
    <xf numFmtId="0" fontId="4" fillId="8" borderId="0" xfId="0" applyFont="1" applyFill="1" applyBorder="1" applyAlignment="1" applyProtection="1">
      <alignment vertical="center"/>
    </xf>
    <xf numFmtId="9" fontId="0" fillId="8" borderId="0" xfId="2" applyFont="1" applyFill="1" applyBorder="1" applyProtection="1"/>
    <xf numFmtId="0" fontId="0" fillId="0" borderId="0" xfId="0" applyFill="1" applyBorder="1" applyAlignment="1" applyProtection="1">
      <alignment wrapText="1"/>
    </xf>
    <xf numFmtId="0" fontId="56" fillId="0" borderId="0" xfId="0" applyFont="1" applyBorder="1" applyAlignment="1">
      <alignment horizontal="left"/>
    </xf>
    <xf numFmtId="2" fontId="0" fillId="8" borderId="78" xfId="1" applyNumberFormat="1" applyFont="1" applyFill="1" applyBorder="1" applyAlignment="1" applyProtection="1">
      <alignment horizontal="left" indent="2"/>
    </xf>
    <xf numFmtId="170" fontId="0" fillId="8" borderId="0" xfId="1" applyNumberFormat="1" applyFont="1" applyFill="1" applyBorder="1" applyProtection="1"/>
    <xf numFmtId="199" fontId="0" fillId="8" borderId="0" xfId="0" applyNumberFormat="1" applyFill="1" applyBorder="1"/>
    <xf numFmtId="0" fontId="0" fillId="8" borderId="0" xfId="0" applyFont="1" applyFill="1"/>
    <xf numFmtId="0" fontId="0" fillId="18" borderId="78" xfId="0" applyFill="1" applyBorder="1"/>
    <xf numFmtId="0" fontId="0" fillId="0" borderId="0" xfId="0" applyFont="1" applyFill="1" applyBorder="1" applyAlignment="1" applyProtection="1">
      <alignment horizontal="left" vertical="top" wrapText="1"/>
    </xf>
    <xf numFmtId="0" fontId="44" fillId="13" borderId="0" xfId="0" applyFont="1" applyFill="1" applyBorder="1" applyAlignment="1">
      <alignment horizontal="left"/>
    </xf>
    <xf numFmtId="0" fontId="56" fillId="0" borderId="6" xfId="0" applyFont="1" applyBorder="1" applyAlignment="1">
      <alignment horizontal="left"/>
    </xf>
    <xf numFmtId="0" fontId="56" fillId="0" borderId="0" xfId="0" applyFont="1" applyBorder="1" applyAlignment="1">
      <alignment horizontal="left"/>
    </xf>
    <xf numFmtId="217" fontId="20" fillId="10" borderId="34" xfId="0" applyNumberFormat="1" applyFont="1" applyFill="1" applyBorder="1" applyProtection="1">
      <protection locked="0"/>
    </xf>
    <xf numFmtId="0" fontId="33" fillId="8" borderId="78" xfId="0" applyFont="1" applyFill="1" applyBorder="1"/>
    <xf numFmtId="0" fontId="56" fillId="0" borderId="6" xfId="0" applyFont="1" applyBorder="1" applyAlignment="1">
      <alignment horizontal="left"/>
    </xf>
    <xf numFmtId="0" fontId="56" fillId="0" borderId="0" xfId="0" applyFont="1" applyBorder="1" applyAlignment="1">
      <alignment horizontal="left"/>
    </xf>
    <xf numFmtId="0" fontId="0" fillId="8" borderId="0" xfId="0" applyFill="1" applyBorder="1" applyAlignment="1" applyProtection="1">
      <alignment wrapText="1"/>
    </xf>
    <xf numFmtId="0" fontId="0" fillId="0" borderId="0" xfId="0" applyFill="1" applyBorder="1" applyAlignment="1" applyProtection="1"/>
    <xf numFmtId="164" fontId="0" fillId="0" borderId="0" xfId="1" applyNumberFormat="1" applyFont="1" applyFill="1" applyBorder="1" applyAlignment="1" applyProtection="1">
      <alignment horizontal="left" wrapText="1"/>
    </xf>
    <xf numFmtId="0" fontId="0" fillId="6" borderId="78" xfId="0" applyFill="1" applyBorder="1" applyAlignment="1" applyProtection="1">
      <alignment vertical="center" wrapText="1"/>
    </xf>
    <xf numFmtId="0" fontId="0" fillId="6" borderId="78" xfId="0" applyFill="1" applyBorder="1" applyAlignment="1" applyProtection="1">
      <alignment vertical="center"/>
    </xf>
    <xf numFmtId="0" fontId="0" fillId="6" borderId="78" xfId="0" applyFont="1" applyFill="1" applyBorder="1" applyAlignment="1" applyProtection="1">
      <alignment vertical="center" wrapText="1"/>
    </xf>
    <xf numFmtId="217" fontId="20" fillId="24" borderId="68" xfId="0" applyNumberFormat="1" applyFont="1" applyFill="1" applyBorder="1" applyProtection="1">
      <protection locked="0"/>
    </xf>
    <xf numFmtId="0" fontId="21" fillId="21" borderId="80" xfId="0" applyFont="1" applyFill="1" applyBorder="1" applyAlignment="1"/>
    <xf numFmtId="0" fontId="21" fillId="21" borderId="77" xfId="0" applyFont="1" applyFill="1" applyBorder="1" applyAlignment="1"/>
    <xf numFmtId="164" fontId="20" fillId="0" borderId="78" xfId="0" applyNumberFormat="1" applyFont="1" applyFill="1" applyBorder="1"/>
    <xf numFmtId="0" fontId="0" fillId="0" borderId="0" xfId="0" applyFont="1" applyFill="1" applyBorder="1" applyAlignment="1" applyProtection="1">
      <alignment horizontal="left" vertical="top" wrapText="1"/>
    </xf>
    <xf numFmtId="0" fontId="0" fillId="8" borderId="4" xfId="0" applyFont="1" applyFill="1" applyBorder="1" applyProtection="1"/>
    <xf numFmtId="0" fontId="0" fillId="8" borderId="0" xfId="0" applyFont="1" applyFill="1" applyBorder="1" applyAlignment="1" applyProtection="1">
      <alignment horizontal="left" vertical="top" wrapText="1"/>
    </xf>
    <xf numFmtId="0" fontId="27" fillId="8" borderId="0" xfId="0" applyFont="1" applyFill="1" applyBorder="1" applyProtection="1"/>
    <xf numFmtId="173" fontId="20" fillId="0" borderId="0" xfId="1" applyNumberFormat="1" applyFont="1" applyFill="1" applyBorder="1" applyAlignment="1"/>
    <xf numFmtId="0" fontId="0" fillId="0" borderId="0" xfId="0" applyFill="1" applyAlignment="1">
      <alignment horizontal="left" wrapText="1"/>
    </xf>
    <xf numFmtId="0" fontId="7" fillId="8" borderId="0" xfId="0" applyFont="1" applyFill="1" applyBorder="1" applyProtection="1"/>
    <xf numFmtId="170" fontId="7" fillId="8" borderId="0" xfId="1" applyNumberFormat="1" applyFont="1" applyFill="1" applyBorder="1" applyProtection="1"/>
    <xf numFmtId="0" fontId="0" fillId="9" borderId="78" xfId="0" applyFont="1" applyFill="1" applyBorder="1" applyAlignment="1" applyProtection="1">
      <alignment horizontal="left"/>
    </xf>
    <xf numFmtId="186" fontId="20" fillId="8" borderId="0" xfId="0" applyNumberFormat="1" applyFont="1" applyFill="1" applyBorder="1" applyAlignment="1" applyProtection="1">
      <alignment horizontal="center"/>
      <protection locked="0"/>
    </xf>
    <xf numFmtId="199" fontId="20" fillId="8" borderId="0" xfId="0" applyNumberFormat="1" applyFont="1" applyFill="1" applyBorder="1" applyAlignment="1" applyProtection="1">
      <alignment horizontal="center"/>
      <protection locked="0"/>
    </xf>
    <xf numFmtId="2" fontId="0" fillId="8" borderId="0" xfId="0" applyNumberFormat="1" applyFill="1"/>
    <xf numFmtId="0" fontId="0" fillId="8" borderId="4" xfId="0" applyFont="1" applyFill="1" applyBorder="1" applyAlignment="1" applyProtection="1">
      <alignment wrapText="1"/>
    </xf>
    <xf numFmtId="189" fontId="0" fillId="8" borderId="0" xfId="0" applyNumberFormat="1" applyFill="1"/>
    <xf numFmtId="171" fontId="0" fillId="8" borderId="0" xfId="0" applyNumberFormat="1" applyFont="1" applyFill="1" applyBorder="1" applyAlignment="1" applyProtection="1">
      <alignment horizontal="left" vertical="top" wrapText="1"/>
    </xf>
    <xf numFmtId="212" fontId="0" fillId="8" borderId="0" xfId="0" applyNumberFormat="1" applyFill="1" applyBorder="1" applyProtection="1"/>
    <xf numFmtId="216" fontId="0" fillId="8" borderId="0" xfId="0" applyNumberFormat="1" applyFill="1" applyBorder="1" applyProtection="1"/>
    <xf numFmtId="0" fontId="3" fillId="17" borderId="78" xfId="0" applyFont="1" applyFill="1" applyBorder="1"/>
    <xf numFmtId="0" fontId="0" fillId="32" borderId="78" xfId="0" applyFill="1" applyBorder="1"/>
    <xf numFmtId="14" fontId="0" fillId="0" borderId="78" xfId="0" applyNumberFormat="1" applyBorder="1"/>
    <xf numFmtId="0" fontId="0" fillId="31" borderId="78" xfId="0" applyFill="1" applyBorder="1"/>
    <xf numFmtId="0" fontId="27" fillId="18" borderId="78" xfId="0" applyFont="1" applyFill="1" applyBorder="1"/>
    <xf numFmtId="0" fontId="27" fillId="0" borderId="78" xfId="0" applyFont="1" applyBorder="1"/>
    <xf numFmtId="14" fontId="0" fillId="0" borderId="78" xfId="0" applyNumberFormat="1" applyBorder="1" applyAlignment="1">
      <alignment vertical="center"/>
    </xf>
    <xf numFmtId="0" fontId="0" fillId="0" borderId="78" xfId="0" applyBorder="1" applyAlignment="1">
      <alignment vertical="center"/>
    </xf>
    <xf numFmtId="0" fontId="0" fillId="0" borderId="84" xfId="0" applyBorder="1"/>
    <xf numFmtId="0" fontId="0" fillId="0" borderId="83" xfId="0" applyBorder="1"/>
    <xf numFmtId="0" fontId="56" fillId="0" borderId="0" xfId="0" applyFont="1" applyBorder="1" applyAlignment="1">
      <alignment horizontal="left"/>
    </xf>
    <xf numFmtId="209" fontId="0" fillId="0" borderId="78" xfId="1" applyNumberFormat="1" applyFont="1" applyFill="1" applyBorder="1" applyProtection="1"/>
    <xf numFmtId="164" fontId="20" fillId="0" borderId="0" xfId="1" applyNumberFormat="1" applyFont="1" applyFill="1" applyBorder="1" applyAlignment="1"/>
    <xf numFmtId="0" fontId="21" fillId="21" borderId="68" xfId="0" applyFont="1" applyFill="1" applyBorder="1" applyAlignment="1">
      <alignment horizontal="center" wrapText="1"/>
    </xf>
    <xf numFmtId="0" fontId="56" fillId="0" borderId="0" xfId="0" applyFont="1" applyBorder="1" applyAlignment="1">
      <alignment horizontal="left"/>
    </xf>
    <xf numFmtId="0" fontId="0" fillId="8" borderId="0" xfId="0" applyFill="1" applyBorder="1" applyAlignment="1">
      <alignment vertical="top" wrapText="1"/>
    </xf>
    <xf numFmtId="0" fontId="50" fillId="16" borderId="76" xfId="0" applyFont="1" applyFill="1" applyBorder="1" applyAlignment="1" applyProtection="1">
      <alignment horizontal="left"/>
    </xf>
    <xf numFmtId="0" fontId="50" fillId="16" borderId="79" xfId="0" applyFont="1" applyFill="1" applyBorder="1" applyAlignment="1" applyProtection="1">
      <alignment horizontal="left"/>
    </xf>
    <xf numFmtId="0" fontId="50" fillId="16" borderId="77" xfId="0" applyFont="1" applyFill="1" applyBorder="1" applyAlignment="1" applyProtection="1">
      <alignment horizontal="left"/>
    </xf>
    <xf numFmtId="0" fontId="50" fillId="16" borderId="0" xfId="0" applyFont="1" applyFill="1" applyBorder="1" applyAlignment="1" applyProtection="1">
      <alignment wrapText="1"/>
    </xf>
    <xf numFmtId="14" fontId="7" fillId="8" borderId="78" xfId="0" applyNumberFormat="1" applyFont="1" applyFill="1" applyBorder="1" applyAlignment="1">
      <alignment vertical="center"/>
    </xf>
    <xf numFmtId="0" fontId="7" fillId="8" borderId="78" xfId="0" applyFont="1" applyFill="1" applyBorder="1" applyAlignment="1">
      <alignment vertical="center" wrapText="1"/>
    </xf>
    <xf numFmtId="0" fontId="7" fillId="8" borderId="78" xfId="0" applyFont="1" applyFill="1" applyBorder="1" applyAlignment="1">
      <alignment vertical="center"/>
    </xf>
    <xf numFmtId="0" fontId="21" fillId="21" borderId="72" xfId="0" applyFont="1" applyFill="1" applyBorder="1" applyAlignment="1">
      <alignment horizontal="left"/>
    </xf>
    <xf numFmtId="216" fontId="0" fillId="0" borderId="0" xfId="0" applyNumberFormat="1" applyFill="1" applyBorder="1" applyAlignment="1" applyProtection="1">
      <alignment wrapText="1"/>
    </xf>
    <xf numFmtId="164" fontId="0" fillId="0" borderId="0" xfId="0" applyNumberFormat="1" applyFont="1" applyFill="1" applyBorder="1" applyAlignment="1" applyProtection="1">
      <alignment wrapText="1"/>
    </xf>
    <xf numFmtId="0" fontId="21" fillId="21" borderId="72" xfId="0" applyFont="1" applyFill="1" applyBorder="1" applyAlignment="1">
      <alignment horizontal="left"/>
    </xf>
    <xf numFmtId="0" fontId="56" fillId="0" borderId="6" xfId="0" applyFont="1" applyBorder="1" applyAlignment="1">
      <alignment horizontal="left"/>
    </xf>
    <xf numFmtId="0" fontId="56" fillId="0" borderId="0" xfId="0" applyFont="1" applyBorder="1" applyAlignment="1">
      <alignment horizontal="left"/>
    </xf>
    <xf numFmtId="0" fontId="20" fillId="26" borderId="0" xfId="0" applyFont="1" applyFill="1" applyBorder="1"/>
    <xf numFmtId="164" fontId="20" fillId="0" borderId="5" xfId="0" applyNumberFormat="1" applyFont="1" applyFill="1" applyBorder="1"/>
    <xf numFmtId="0" fontId="56" fillId="0" borderId="0" xfId="0" applyFont="1" applyBorder="1" applyAlignment="1">
      <alignment horizontal="left"/>
    </xf>
    <xf numFmtId="0" fontId="27" fillId="0" borderId="83" xfId="0" applyFont="1" applyBorder="1"/>
    <xf numFmtId="218" fontId="0" fillId="8" borderId="78" xfId="0" applyNumberFormat="1" applyFill="1" applyBorder="1"/>
    <xf numFmtId="0" fontId="22" fillId="8" borderId="0" xfId="0" applyFont="1" applyFill="1" applyBorder="1" applyAlignment="1">
      <alignment vertical="center" wrapText="1"/>
    </xf>
    <xf numFmtId="209" fontId="0" fillId="0" borderId="0" xfId="1" applyNumberFormat="1" applyFont="1" applyFill="1" applyBorder="1" applyProtection="1"/>
    <xf numFmtId="0" fontId="2" fillId="0" borderId="78" xfId="0" applyFont="1" applyBorder="1" applyAlignment="1">
      <alignment horizontal="center"/>
    </xf>
    <xf numFmtId="219" fontId="0" fillId="8" borderId="78" xfId="0" applyNumberFormat="1" applyFill="1" applyBorder="1"/>
    <xf numFmtId="164" fontId="0" fillId="8" borderId="78" xfId="1" applyNumberFormat="1" applyFont="1" applyFill="1" applyBorder="1" applyProtection="1"/>
    <xf numFmtId="0" fontId="7" fillId="0" borderId="0" xfId="0" applyFont="1" applyFill="1" applyBorder="1" applyProtection="1"/>
    <xf numFmtId="0" fontId="7" fillId="8" borderId="78" xfId="0" applyFont="1" applyFill="1" applyBorder="1" applyProtection="1"/>
    <xf numFmtId="0" fontId="0" fillId="0" borderId="78" xfId="0" applyFont="1" applyFill="1" applyBorder="1" applyProtection="1"/>
    <xf numFmtId="0" fontId="0" fillId="0" borderId="78" xfId="0" applyFill="1" applyBorder="1"/>
    <xf numFmtId="0" fontId="0" fillId="0" borderId="0" xfId="0" applyBorder="1"/>
    <xf numFmtId="0" fontId="22" fillId="8" borderId="76" xfId="0" applyFont="1" applyFill="1" applyBorder="1" applyAlignment="1">
      <alignment vertical="center" wrapText="1"/>
    </xf>
    <xf numFmtId="0" fontId="50" fillId="8" borderId="77" xfId="0" applyFont="1" applyFill="1" applyBorder="1" applyAlignment="1" applyProtection="1">
      <alignment horizontal="left"/>
    </xf>
    <xf numFmtId="0" fontId="0" fillId="0" borderId="0" xfId="0" applyFont="1" applyFill="1" applyBorder="1" applyAlignment="1" applyProtection="1">
      <alignment horizontal="left" vertical="top" wrapText="1"/>
    </xf>
    <xf numFmtId="164" fontId="20" fillId="0" borderId="68" xfId="1" applyNumberFormat="1" applyFont="1" applyFill="1" applyBorder="1" applyAlignment="1"/>
    <xf numFmtId="0" fontId="2" fillId="23" borderId="0" xfId="0" applyFont="1" applyFill="1" applyBorder="1" applyAlignment="1" applyProtection="1">
      <alignment horizontal="left" vertical="top" wrapText="1"/>
    </xf>
    <xf numFmtId="9" fontId="2" fillId="23" borderId="89" xfId="0" applyNumberFormat="1" applyFont="1" applyFill="1" applyBorder="1" applyAlignment="1" applyProtection="1">
      <alignment horizontal="left" vertical="top" wrapText="1"/>
    </xf>
    <xf numFmtId="0" fontId="2" fillId="36" borderId="0" xfId="0" applyFont="1" applyFill="1" applyBorder="1" applyAlignment="1" applyProtection="1">
      <alignment horizontal="left" vertical="top" wrapText="1"/>
    </xf>
    <xf numFmtId="9" fontId="2" fillId="36" borderId="89" xfId="0" applyNumberFormat="1" applyFont="1" applyFill="1" applyBorder="1" applyAlignment="1" applyProtection="1">
      <alignment horizontal="left" vertical="top" wrapText="1"/>
    </xf>
    <xf numFmtId="0" fontId="50" fillId="0" borderId="0" xfId="0" applyFont="1" applyProtection="1"/>
    <xf numFmtId="0" fontId="26" fillId="0" borderId="0" xfId="0" applyFont="1" applyProtection="1"/>
    <xf numFmtId="9" fontId="31" fillId="0" borderId="0" xfId="2" applyFont="1" applyFill="1" applyAlignment="1" applyProtection="1">
      <alignment horizontal="center" vertical="center" wrapText="1"/>
    </xf>
    <xf numFmtId="9" fontId="50" fillId="0" borderId="0" xfId="2" applyFont="1" applyProtection="1"/>
    <xf numFmtId="0" fontId="2" fillId="8" borderId="33" xfId="0" applyFont="1" applyFill="1" applyBorder="1" applyProtection="1"/>
    <xf numFmtId="0" fontId="0" fillId="0" borderId="78" xfId="0" quotePrefix="1" applyBorder="1"/>
    <xf numFmtId="0" fontId="0" fillId="0" borderId="0" xfId="0" applyFont="1" applyFill="1" applyBorder="1" applyAlignment="1" applyProtection="1">
      <alignment horizontal="left" vertical="top" wrapText="1"/>
    </xf>
    <xf numFmtId="0" fontId="32" fillId="22" borderId="0" xfId="0" applyFont="1" applyFill="1" applyBorder="1" applyAlignment="1" applyProtection="1">
      <alignment horizontal="center" vertical="center"/>
    </xf>
    <xf numFmtId="0" fontId="22" fillId="8" borderId="0" xfId="0" applyFont="1" applyFill="1" applyBorder="1" applyAlignment="1">
      <alignment horizontal="left"/>
    </xf>
    <xf numFmtId="0" fontId="5" fillId="11" borderId="0" xfId="0" applyFont="1" applyFill="1" applyBorder="1" applyAlignment="1">
      <alignment horizontal="center"/>
    </xf>
    <xf numFmtId="0" fontId="21" fillId="21" borderId="68" xfId="0" applyFont="1" applyFill="1" applyBorder="1" applyAlignment="1">
      <alignment horizontal="center" vertical="center"/>
    </xf>
    <xf numFmtId="0" fontId="0" fillId="8" borderId="0" xfId="0" applyFont="1" applyFill="1" applyBorder="1" applyAlignment="1" applyProtection="1">
      <alignment horizontal="left" vertical="top" wrapText="1"/>
    </xf>
    <xf numFmtId="9" fontId="0" fillId="24" borderId="78" xfId="2" applyFont="1" applyFill="1" applyBorder="1" applyAlignment="1">
      <alignment horizontal="center"/>
    </xf>
    <xf numFmtId="164" fontId="20" fillId="0" borderId="0" xfId="0" applyNumberFormat="1" applyFont="1" applyFill="1" applyBorder="1"/>
    <xf numFmtId="0" fontId="21" fillId="21" borderId="0" xfId="0" applyFont="1" applyFill="1" applyBorder="1" applyAlignment="1">
      <alignment horizontal="center"/>
    </xf>
    <xf numFmtId="164" fontId="20" fillId="0" borderId="0" xfId="1" applyFont="1" applyFill="1" applyBorder="1"/>
    <xf numFmtId="201" fontId="20" fillId="0" borderId="0" xfId="0" applyNumberFormat="1" applyFont="1" applyFill="1" applyBorder="1" applyAlignment="1">
      <alignment horizontal="center" vertical="center"/>
    </xf>
    <xf numFmtId="0" fontId="33" fillId="0" borderId="82" xfId="0" applyFont="1" applyBorder="1"/>
    <xf numFmtId="0" fontId="25" fillId="8" borderId="0" xfId="0" applyFont="1" applyFill="1" applyBorder="1" applyAlignment="1">
      <alignment horizontal="center" vertical="center" wrapText="1"/>
    </xf>
    <xf numFmtId="0" fontId="21" fillId="8" borderId="0" xfId="0" applyFont="1" applyFill="1" applyBorder="1" applyAlignment="1">
      <alignment horizontal="center"/>
    </xf>
    <xf numFmtId="0" fontId="21" fillId="8" borderId="0" xfId="0" applyFont="1" applyFill="1" applyBorder="1" applyAlignment="1" applyProtection="1">
      <alignment horizontal="center" vertical="center" wrapText="1"/>
    </xf>
    <xf numFmtId="0" fontId="0" fillId="0" borderId="82" xfId="0" applyFont="1" applyBorder="1"/>
    <xf numFmtId="164" fontId="20" fillId="0" borderId="97" xfId="0" applyNumberFormat="1" applyFont="1" applyFill="1" applyBorder="1"/>
    <xf numFmtId="164" fontId="20" fillId="8" borderId="0" xfId="0" applyNumberFormat="1" applyFont="1" applyFill="1" applyBorder="1"/>
    <xf numFmtId="0" fontId="47" fillId="8" borderId="0" xfId="0" applyFont="1" applyFill="1" applyBorder="1"/>
    <xf numFmtId="2" fontId="3" fillId="8" borderId="0" xfId="0" applyNumberFormat="1" applyFont="1" applyFill="1" applyBorder="1" applyAlignment="1">
      <alignment horizontal="center"/>
    </xf>
    <xf numFmtId="220" fontId="0" fillId="8" borderId="0" xfId="0" applyNumberFormat="1" applyFill="1"/>
    <xf numFmtId="9" fontId="20" fillId="24" borderId="78" xfId="0" applyNumberFormat="1" applyFont="1" applyFill="1" applyBorder="1" applyProtection="1">
      <protection locked="0"/>
    </xf>
    <xf numFmtId="221" fontId="0" fillId="0" borderId="0" xfId="0" applyNumberFormat="1" applyFont="1" applyFill="1" applyBorder="1"/>
    <xf numFmtId="0" fontId="20" fillId="0" borderId="4" xfId="0" applyFont="1" applyFill="1" applyBorder="1" applyAlignment="1">
      <alignment vertical="center"/>
    </xf>
    <xf numFmtId="0" fontId="20" fillId="0" borderId="0" xfId="0" applyFont="1" applyFill="1" applyBorder="1" applyAlignment="1">
      <alignment vertical="center"/>
    </xf>
    <xf numFmtId="0" fontId="0" fillId="0" borderId="0" xfId="0" applyFont="1" applyFill="1" applyBorder="1" applyAlignment="1">
      <alignment vertical="center"/>
    </xf>
    <xf numFmtId="0" fontId="20" fillId="0" borderId="72" xfId="0" applyFont="1" applyFill="1" applyBorder="1" applyAlignment="1">
      <alignment vertical="center"/>
    </xf>
    <xf numFmtId="186" fontId="20" fillId="24" borderId="68" xfId="0" applyNumberFormat="1" applyFont="1" applyFill="1" applyBorder="1" applyAlignment="1" applyProtection="1">
      <alignment vertical="center"/>
      <protection locked="0"/>
    </xf>
    <xf numFmtId="164" fontId="22" fillId="0" borderId="68" xfId="1" applyNumberFormat="1" applyFont="1" applyFill="1" applyBorder="1" applyAlignment="1">
      <alignment vertical="center"/>
    </xf>
    <xf numFmtId="164" fontId="22" fillId="0" borderId="71" xfId="1" applyNumberFormat="1" applyFont="1" applyFill="1" applyBorder="1" applyAlignment="1">
      <alignment vertical="center"/>
    </xf>
    <xf numFmtId="0" fontId="20" fillId="0" borderId="68" xfId="0" applyFont="1" applyFill="1" applyBorder="1" applyAlignment="1">
      <alignment vertical="center"/>
    </xf>
    <xf numFmtId="164" fontId="20" fillId="0" borderId="68" xfId="0" applyNumberFormat="1" applyFont="1" applyFill="1" applyBorder="1" applyAlignment="1">
      <alignment vertical="center"/>
    </xf>
    <xf numFmtId="186" fontId="20" fillId="8" borderId="0" xfId="0" applyNumberFormat="1" applyFont="1" applyFill="1" applyBorder="1" applyAlignment="1" applyProtection="1">
      <alignment horizontal="center" vertical="center"/>
      <protection locked="0"/>
    </xf>
    <xf numFmtId="9" fontId="0" fillId="9" borderId="7" xfId="2" applyFont="1" applyFill="1" applyBorder="1" applyAlignment="1" applyProtection="1">
      <alignment horizontal="center" vertical="center" wrapText="1"/>
    </xf>
    <xf numFmtId="0" fontId="2" fillId="0" borderId="89" xfId="0" applyFont="1" applyFill="1" applyBorder="1" applyAlignment="1" applyProtection="1">
      <alignment horizontal="center" vertical="center"/>
    </xf>
    <xf numFmtId="0" fontId="2" fillId="0" borderId="89" xfId="0" applyFont="1" applyFill="1" applyBorder="1" applyAlignment="1" applyProtection="1">
      <alignment vertical="center" wrapText="1"/>
    </xf>
    <xf numFmtId="172" fontId="0" fillId="8" borderId="0" xfId="0" applyNumberFormat="1" applyFill="1"/>
    <xf numFmtId="217" fontId="20" fillId="24" borderId="78" xfId="0" applyNumberFormat="1" applyFont="1" applyFill="1" applyBorder="1" applyProtection="1">
      <protection locked="0"/>
    </xf>
    <xf numFmtId="0" fontId="44" fillId="13" borderId="0" xfId="0" applyFont="1" applyFill="1" applyBorder="1" applyAlignment="1">
      <alignment horizontal="left"/>
    </xf>
    <xf numFmtId="0" fontId="56" fillId="0" borderId="0" xfId="0" applyFont="1" applyBorder="1" applyAlignment="1">
      <alignment horizontal="left"/>
    </xf>
    <xf numFmtId="0" fontId="0" fillId="8" borderId="66" xfId="0" applyFill="1" applyBorder="1"/>
    <xf numFmtId="170" fontId="0" fillId="0" borderId="0" xfId="0" applyNumberFormat="1" applyFont="1" applyBorder="1" applyProtection="1"/>
    <xf numFmtId="0" fontId="44" fillId="13" borderId="0" xfId="0" applyFont="1" applyFill="1" applyBorder="1" applyAlignment="1">
      <alignment horizontal="left"/>
    </xf>
    <xf numFmtId="0" fontId="56" fillId="0" borderId="0" xfId="0" applyFont="1" applyBorder="1" applyAlignment="1">
      <alignment horizontal="left"/>
    </xf>
    <xf numFmtId="164" fontId="20" fillId="8" borderId="68" xfId="1" applyFont="1" applyFill="1" applyBorder="1"/>
    <xf numFmtId="164" fontId="20" fillId="8" borderId="75" xfId="1" applyFont="1" applyFill="1" applyBorder="1"/>
    <xf numFmtId="9" fontId="56" fillId="0" borderId="0" xfId="2" applyFont="1" applyBorder="1" applyAlignment="1">
      <alignment horizontal="left"/>
    </xf>
    <xf numFmtId="0" fontId="0" fillId="31" borderId="33" xfId="0" applyFont="1" applyFill="1" applyBorder="1" applyProtection="1"/>
    <xf numFmtId="0" fontId="0" fillId="31" borderId="33" xfId="0" applyFill="1" applyBorder="1" applyProtection="1"/>
    <xf numFmtId="0" fontId="0" fillId="31" borderId="31" xfId="0" applyFont="1" applyFill="1" applyBorder="1" applyProtection="1"/>
    <xf numFmtId="172" fontId="0" fillId="31" borderId="54" xfId="1" applyNumberFormat="1" applyFont="1" applyFill="1" applyBorder="1" applyProtection="1"/>
    <xf numFmtId="166" fontId="0" fillId="31" borderId="54" xfId="1" applyNumberFormat="1" applyFont="1" applyFill="1" applyBorder="1" applyProtection="1"/>
    <xf numFmtId="0" fontId="0" fillId="31" borderId="53" xfId="0" applyFill="1" applyBorder="1" applyProtection="1"/>
    <xf numFmtId="0" fontId="2" fillId="8" borderId="78" xfId="0" applyFont="1" applyFill="1" applyBorder="1" applyAlignment="1" applyProtection="1">
      <alignment horizontal="center" vertical="center"/>
    </xf>
    <xf numFmtId="0" fontId="0" fillId="8" borderId="78" xfId="0" quotePrefix="1" applyFill="1" applyBorder="1" applyAlignment="1">
      <alignment horizontal="center" vertical="center" wrapText="1"/>
    </xf>
    <xf numFmtId="0" fontId="0" fillId="8" borderId="0" xfId="0" applyFill="1" applyBorder="1" applyAlignment="1">
      <alignment horizontal="center" vertical="center" wrapText="1"/>
    </xf>
    <xf numFmtId="212" fontId="0" fillId="8" borderId="78" xfId="1" applyNumberFormat="1" applyFont="1" applyFill="1" applyBorder="1" applyAlignment="1" applyProtection="1">
      <alignment horizontal="left" indent="1"/>
    </xf>
    <xf numFmtId="164" fontId="45" fillId="16" borderId="8" xfId="0" applyNumberFormat="1" applyFont="1" applyFill="1" applyBorder="1"/>
    <xf numFmtId="212" fontId="0" fillId="8" borderId="0" xfId="0" applyNumberFormat="1" applyFill="1" applyBorder="1"/>
    <xf numFmtId="3" fontId="0" fillId="31" borderId="33" xfId="0" applyNumberFormat="1" applyFill="1" applyBorder="1" applyProtection="1"/>
    <xf numFmtId="172" fontId="1" fillId="31" borderId="7" xfId="1" applyNumberFormat="1" applyFont="1" applyFill="1" applyBorder="1" applyAlignment="1" applyProtection="1">
      <alignment vertical="center"/>
    </xf>
    <xf numFmtId="0" fontId="0" fillId="8" borderId="78" xfId="0" applyFill="1" applyBorder="1" applyAlignment="1">
      <alignment wrapText="1"/>
    </xf>
    <xf numFmtId="0" fontId="0" fillId="39" borderId="0" xfId="0" applyFill="1"/>
    <xf numFmtId="0" fontId="81" fillId="40" borderId="0" xfId="0" applyFont="1" applyFill="1"/>
    <xf numFmtId="0" fontId="80" fillId="40" borderId="0" xfId="0" applyFont="1" applyFill="1"/>
    <xf numFmtId="0" fontId="80" fillId="39" borderId="0" xfId="0" applyFont="1" applyFill="1"/>
    <xf numFmtId="0" fontId="80" fillId="39" borderId="0" xfId="0" applyFont="1" applyFill="1" applyAlignment="1">
      <alignment horizontal="center"/>
    </xf>
    <xf numFmtId="164" fontId="87" fillId="39" borderId="0" xfId="0" applyNumberFormat="1" applyFont="1" applyFill="1" applyBorder="1" applyAlignment="1">
      <alignment horizontal="center"/>
    </xf>
    <xf numFmtId="164" fontId="44" fillId="40" borderId="15" xfId="0" applyNumberFormat="1" applyFont="1" applyFill="1" applyBorder="1" applyAlignment="1">
      <alignment horizontal="center"/>
    </xf>
    <xf numFmtId="0" fontId="25" fillId="40" borderId="0" xfId="0" applyFont="1" applyFill="1"/>
    <xf numFmtId="200" fontId="0" fillId="0" borderId="0" xfId="0" applyNumberFormat="1" applyFill="1" applyBorder="1" applyProtection="1"/>
    <xf numFmtId="223" fontId="0" fillId="0" borderId="0" xfId="0" applyNumberFormat="1" applyFill="1" applyBorder="1" applyProtection="1"/>
    <xf numFmtId="0" fontId="56" fillId="0" borderId="0" xfId="0" applyFont="1" applyBorder="1" applyAlignment="1">
      <alignment horizontal="left"/>
    </xf>
    <xf numFmtId="172" fontId="0" fillId="41" borderId="0" xfId="1" applyNumberFormat="1" applyFont="1" applyFill="1" applyBorder="1" applyProtection="1"/>
    <xf numFmtId="166" fontId="0" fillId="41" borderId="0" xfId="1" applyNumberFormat="1" applyFont="1" applyFill="1" applyBorder="1" applyProtection="1"/>
    <xf numFmtId="164" fontId="0" fillId="41" borderId="0" xfId="1" applyNumberFormat="1" applyFont="1" applyFill="1" applyBorder="1" applyProtection="1"/>
    <xf numFmtId="0" fontId="0" fillId="41" borderId="0" xfId="0" applyFill="1" applyBorder="1" applyProtection="1"/>
    <xf numFmtId="172" fontId="0" fillId="42" borderId="0" xfId="1" applyNumberFormat="1" applyFont="1" applyFill="1" applyBorder="1" applyProtection="1"/>
    <xf numFmtId="166" fontId="0" fillId="42" borderId="0" xfId="1" applyNumberFormat="1" applyFont="1" applyFill="1" applyBorder="1" applyProtection="1"/>
    <xf numFmtId="164" fontId="0" fillId="42" borderId="0" xfId="1" applyNumberFormat="1" applyFont="1" applyFill="1" applyBorder="1" applyProtection="1"/>
    <xf numFmtId="0" fontId="25" fillId="43" borderId="72" xfId="0" applyFont="1" applyFill="1" applyBorder="1" applyAlignment="1">
      <alignment horizontal="left"/>
    </xf>
    <xf numFmtId="0" fontId="25" fillId="43" borderId="68" xfId="0" applyFont="1" applyFill="1" applyBorder="1" applyAlignment="1">
      <alignment horizontal="center"/>
    </xf>
    <xf numFmtId="0" fontId="25" fillId="43" borderId="75" xfId="0" applyFont="1" applyFill="1" applyBorder="1" applyAlignment="1">
      <alignment horizontal="center"/>
    </xf>
    <xf numFmtId="0" fontId="2" fillId="8" borderId="76" xfId="0" applyFont="1" applyFill="1" applyBorder="1"/>
    <xf numFmtId="164" fontId="20" fillId="0" borderId="0" xfId="0" applyNumberFormat="1" applyFont="1" applyFill="1" applyBorder="1"/>
    <xf numFmtId="0" fontId="0" fillId="8" borderId="0" xfId="0" applyFill="1" applyBorder="1" applyAlignment="1">
      <alignment horizontal="left" vertical="top" wrapText="1"/>
    </xf>
    <xf numFmtId="164" fontId="29" fillId="8" borderId="33" xfId="1" applyNumberFormat="1" applyFont="1" applyFill="1" applyBorder="1" applyAlignment="1">
      <alignment horizontal="right" wrapText="1" readingOrder="1"/>
    </xf>
    <xf numFmtId="0" fontId="88" fillId="23" borderId="0" xfId="0" applyFont="1" applyFill="1" applyBorder="1" applyAlignment="1" applyProtection="1">
      <alignment vertical="center"/>
    </xf>
    <xf numFmtId="0" fontId="21" fillId="21" borderId="72" xfId="0" applyFont="1" applyFill="1" applyBorder="1" applyAlignment="1">
      <alignment horizontal="left"/>
    </xf>
    <xf numFmtId="0" fontId="21" fillId="21" borderId="72" xfId="0" applyFont="1" applyFill="1" applyBorder="1" applyAlignment="1">
      <alignment horizontal="left"/>
    </xf>
    <xf numFmtId="0" fontId="56" fillId="0" borderId="0" xfId="0" applyFont="1" applyBorder="1" applyAlignment="1">
      <alignment horizontal="left"/>
    </xf>
    <xf numFmtId="0" fontId="56" fillId="0" borderId="6" xfId="0" applyFont="1" applyBorder="1" applyAlignment="1">
      <alignment horizontal="left"/>
    </xf>
    <xf numFmtId="0" fontId="56" fillId="8" borderId="6" xfId="0" applyFont="1" applyFill="1" applyBorder="1" applyAlignment="1"/>
    <xf numFmtId="0" fontId="56" fillId="8" borderId="0" xfId="0" applyFont="1" applyFill="1" applyBorder="1" applyAlignment="1">
      <alignment horizontal="left"/>
    </xf>
    <xf numFmtId="9" fontId="56" fillId="8" borderId="0" xfId="2" applyFont="1" applyFill="1" applyBorder="1" applyAlignment="1"/>
    <xf numFmtId="0" fontId="56" fillId="8" borderId="0" xfId="0" applyFont="1" applyFill="1" applyBorder="1" applyAlignment="1">
      <alignment horizontal="center"/>
    </xf>
    <xf numFmtId="0" fontId="59" fillId="8" borderId="0" xfId="0" applyFont="1" applyFill="1" applyAlignment="1">
      <alignment horizontal="center"/>
    </xf>
    <xf numFmtId="0" fontId="59" fillId="8" borderId="0" xfId="0" applyFont="1" applyFill="1" applyBorder="1" applyAlignment="1">
      <alignment horizontal="center"/>
    </xf>
    <xf numFmtId="9" fontId="56" fillId="8" borderId="0" xfId="2" applyFont="1" applyFill="1" applyBorder="1" applyAlignment="1">
      <alignment horizontal="center"/>
    </xf>
    <xf numFmtId="164" fontId="56" fillId="8" borderId="8" xfId="1" applyNumberFormat="1" applyFont="1" applyFill="1" applyBorder="1" applyAlignment="1"/>
    <xf numFmtId="164" fontId="56" fillId="8" borderId="0" xfId="1" applyFont="1" applyFill="1" applyBorder="1" applyAlignment="1">
      <alignment horizontal="center"/>
    </xf>
    <xf numFmtId="0" fontId="56" fillId="8" borderId="0" xfId="0" applyFont="1" applyFill="1" applyBorder="1" applyAlignment="1"/>
    <xf numFmtId="0" fontId="0" fillId="37" borderId="0" xfId="0" applyFill="1"/>
    <xf numFmtId="0" fontId="0" fillId="37" borderId="5" xfId="0" applyFill="1" applyBorder="1"/>
    <xf numFmtId="0" fontId="0" fillId="11" borderId="0" xfId="0" applyFill="1"/>
    <xf numFmtId="0" fontId="0" fillId="0" borderId="0" xfId="0" applyFont="1" applyFill="1" applyBorder="1" applyAlignment="1" applyProtection="1">
      <alignment horizontal="left" vertical="top" wrapText="1"/>
    </xf>
    <xf numFmtId="0" fontId="2" fillId="0" borderId="0" xfId="0" applyFont="1" applyFill="1" applyAlignment="1">
      <alignment horizontal="left" wrapText="1"/>
    </xf>
    <xf numFmtId="0" fontId="25" fillId="11" borderId="72" xfId="0" applyFont="1" applyFill="1" applyBorder="1" applyAlignment="1">
      <alignment horizontal="left"/>
    </xf>
    <xf numFmtId="0" fontId="25" fillId="11" borderId="68" xfId="0" applyFont="1" applyFill="1" applyBorder="1" applyAlignment="1">
      <alignment horizontal="center"/>
    </xf>
    <xf numFmtId="0" fontId="25" fillId="11" borderId="75" xfId="0" applyFont="1" applyFill="1" applyBorder="1" applyAlignment="1">
      <alignment horizontal="center"/>
    </xf>
    <xf numFmtId="0" fontId="0" fillId="11" borderId="2" xfId="0" applyFont="1" applyFill="1" applyBorder="1"/>
    <xf numFmtId="0" fontId="0" fillId="11" borderId="0" xfId="0" applyFont="1" applyFill="1" applyBorder="1"/>
    <xf numFmtId="0" fontId="0" fillId="11" borderId="0" xfId="0" applyFont="1" applyFill="1"/>
    <xf numFmtId="0" fontId="33" fillId="11" borderId="0" xfId="0" applyFont="1" applyFill="1"/>
    <xf numFmtId="0" fontId="33" fillId="11" borderId="0" xfId="0" applyFont="1" applyFill="1" applyBorder="1"/>
    <xf numFmtId="0" fontId="2" fillId="11" borderId="41" xfId="0" applyFont="1" applyFill="1" applyBorder="1" applyAlignment="1" applyProtection="1">
      <alignment horizontal="left"/>
    </xf>
    <xf numFmtId="180" fontId="0" fillId="11" borderId="46" xfId="0" applyNumberFormat="1" applyFill="1" applyBorder="1" applyAlignment="1">
      <alignment horizontal="right"/>
    </xf>
    <xf numFmtId="194" fontId="22" fillId="11" borderId="34" xfId="1" applyNumberFormat="1" applyFont="1" applyFill="1" applyBorder="1"/>
    <xf numFmtId="192" fontId="20" fillId="11" borderId="34" xfId="1" applyNumberFormat="1" applyFont="1" applyFill="1" applyBorder="1"/>
    <xf numFmtId="0" fontId="2" fillId="11" borderId="76" xfId="0" applyFont="1" applyFill="1" applyBorder="1" applyAlignment="1" applyProtection="1">
      <alignment horizontal="left"/>
    </xf>
    <xf numFmtId="9" fontId="33" fillId="11" borderId="78" xfId="0" applyNumberFormat="1" applyFont="1" applyFill="1" applyBorder="1" applyAlignment="1">
      <alignment horizontal="center"/>
    </xf>
    <xf numFmtId="0" fontId="33" fillId="11" borderId="78" xfId="0" applyFont="1" applyFill="1" applyBorder="1"/>
    <xf numFmtId="0" fontId="33" fillId="11" borderId="78" xfId="0" applyFont="1" applyFill="1" applyBorder="1" applyAlignment="1">
      <alignment horizontal="center"/>
    </xf>
    <xf numFmtId="164" fontId="33" fillId="11" borderId="78" xfId="0" applyNumberFormat="1" applyFont="1" applyFill="1" applyBorder="1" applyAlignment="1">
      <alignment horizontal="center"/>
    </xf>
    <xf numFmtId="9" fontId="33" fillId="11" borderId="0" xfId="2" applyFont="1" applyFill="1"/>
    <xf numFmtId="164" fontId="22" fillId="11" borderId="34" xfId="1" applyNumberFormat="1" applyFont="1" applyFill="1" applyBorder="1"/>
    <xf numFmtId="164" fontId="33" fillId="11" borderId="0" xfId="0" applyNumberFormat="1" applyFont="1" applyFill="1"/>
    <xf numFmtId="180" fontId="33" fillId="11" borderId="78" xfId="0" applyNumberFormat="1" applyFont="1" applyFill="1" applyBorder="1" applyAlignment="1">
      <alignment horizontal="center"/>
    </xf>
    <xf numFmtId="165" fontId="33" fillId="11" borderId="78" xfId="0" applyNumberFormat="1" applyFont="1" applyFill="1" applyBorder="1" applyAlignment="1">
      <alignment horizontal="center"/>
    </xf>
    <xf numFmtId="165" fontId="33" fillId="11" borderId="78" xfId="0" applyNumberFormat="1" applyFont="1" applyFill="1" applyBorder="1"/>
    <xf numFmtId="0" fontId="2" fillId="11" borderId="0" xfId="0" applyFont="1" applyFill="1" applyBorder="1" applyAlignment="1" applyProtection="1">
      <alignment horizontal="left"/>
    </xf>
    <xf numFmtId="180" fontId="0" fillId="11" borderId="0" xfId="0" applyNumberFormat="1" applyFill="1" applyBorder="1" applyAlignment="1">
      <alignment horizontal="right"/>
    </xf>
    <xf numFmtId="164" fontId="22" fillId="11" borderId="0" xfId="1" applyNumberFormat="1" applyFont="1" applyFill="1" applyBorder="1"/>
    <xf numFmtId="9" fontId="33" fillId="11" borderId="0" xfId="0" applyNumberFormat="1" applyFont="1" applyFill="1"/>
    <xf numFmtId="0" fontId="26" fillId="11" borderId="0" xfId="0" quotePrefix="1" applyFont="1" applyFill="1" applyBorder="1"/>
    <xf numFmtId="0" fontId="65" fillId="11" borderId="4" xfId="0" applyFont="1" applyFill="1" applyBorder="1" applyProtection="1"/>
    <xf numFmtId="0" fontId="21" fillId="11" borderId="68" xfId="0" applyFont="1" applyFill="1" applyBorder="1" applyAlignment="1" applyProtection="1">
      <alignment horizontal="center" vertical="center"/>
    </xf>
    <xf numFmtId="0" fontId="21" fillId="11" borderId="68" xfId="0" applyFont="1" applyFill="1" applyBorder="1" applyAlignment="1" applyProtection="1">
      <alignment horizontal="center" vertical="center" wrapText="1"/>
    </xf>
    <xf numFmtId="0" fontId="20" fillId="11" borderId="72" xfId="0" applyFont="1" applyFill="1" applyBorder="1" applyAlignment="1"/>
    <xf numFmtId="10" fontId="20" fillId="11" borderId="68" xfId="0" applyNumberFormat="1" applyFont="1" applyFill="1" applyBorder="1" applyAlignment="1" applyProtection="1">
      <alignment horizontal="center" vertical="center"/>
      <protection locked="0"/>
    </xf>
    <xf numFmtId="201" fontId="20" fillId="11" borderId="68" xfId="0" applyNumberFormat="1" applyFont="1" applyFill="1" applyBorder="1" applyAlignment="1">
      <alignment horizontal="center" vertical="center"/>
    </xf>
    <xf numFmtId="164" fontId="0" fillId="11" borderId="0" xfId="1" applyFont="1" applyFill="1" applyBorder="1"/>
    <xf numFmtId="164" fontId="0" fillId="11" borderId="0" xfId="0" applyNumberFormat="1" applyFont="1" applyFill="1"/>
    <xf numFmtId="0" fontId="21" fillId="11" borderId="90" xfId="0" applyFont="1" applyFill="1" applyBorder="1" applyAlignment="1">
      <alignment horizontal="center" vertical="center"/>
    </xf>
    <xf numFmtId="0" fontId="0" fillId="11" borderId="95" xfId="0" applyFill="1" applyBorder="1"/>
    <xf numFmtId="0" fontId="0" fillId="11" borderId="95" xfId="0" applyFont="1" applyFill="1" applyBorder="1"/>
    <xf numFmtId="1" fontId="7" fillId="11" borderId="5" xfId="0" applyNumberFormat="1" applyFont="1" applyFill="1" applyBorder="1" applyAlignment="1">
      <alignment horizontal="center"/>
    </xf>
    <xf numFmtId="2" fontId="7" fillId="11" borderId="5" xfId="0" applyNumberFormat="1" applyFont="1" applyFill="1" applyBorder="1" applyAlignment="1">
      <alignment horizontal="center"/>
    </xf>
    <xf numFmtId="0" fontId="0" fillId="11" borderId="90" xfId="0" applyFill="1" applyBorder="1" applyAlignment="1">
      <alignment horizontal="center"/>
    </xf>
    <xf numFmtId="0" fontId="0" fillId="11" borderId="90" xfId="0" applyFill="1" applyBorder="1"/>
    <xf numFmtId="9" fontId="0" fillId="11" borderId="91" xfId="0" applyNumberFormat="1" applyFill="1" applyBorder="1" applyAlignment="1">
      <alignment horizontal="center"/>
    </xf>
    <xf numFmtId="0" fontId="0" fillId="11" borderId="91" xfId="0" applyFill="1" applyBorder="1" applyAlignment="1">
      <alignment horizontal="center"/>
    </xf>
    <xf numFmtId="9" fontId="0" fillId="11" borderId="92" xfId="0" applyNumberFormat="1" applyFill="1" applyBorder="1" applyAlignment="1">
      <alignment horizontal="center"/>
    </xf>
    <xf numFmtId="0" fontId="0" fillId="11" borderId="92" xfId="0" applyFill="1" applyBorder="1" applyAlignment="1">
      <alignment horizontal="center"/>
    </xf>
    <xf numFmtId="9" fontId="0" fillId="11" borderId="93" xfId="0" applyNumberFormat="1" applyFill="1" applyBorder="1" applyAlignment="1">
      <alignment horizontal="center"/>
    </xf>
    <xf numFmtId="0" fontId="0" fillId="11" borderId="93" xfId="0" applyFill="1" applyBorder="1" applyAlignment="1">
      <alignment horizontal="center"/>
    </xf>
    <xf numFmtId="9" fontId="0" fillId="11" borderId="94" xfId="0" applyNumberFormat="1" applyFill="1" applyBorder="1" applyAlignment="1">
      <alignment horizontal="center"/>
    </xf>
    <xf numFmtId="0" fontId="0" fillId="11" borderId="94" xfId="0" applyFill="1" applyBorder="1" applyAlignment="1">
      <alignment horizontal="center"/>
    </xf>
    <xf numFmtId="10" fontId="0" fillId="11" borderId="91" xfId="2" applyNumberFormat="1" applyFont="1" applyFill="1" applyBorder="1" applyAlignment="1">
      <alignment horizontal="center"/>
    </xf>
    <xf numFmtId="10" fontId="33" fillId="11" borderId="0" xfId="2" applyNumberFormat="1" applyFont="1" applyFill="1"/>
    <xf numFmtId="164" fontId="41" fillId="11" borderId="0" xfId="0" applyNumberFormat="1" applyFont="1" applyFill="1"/>
    <xf numFmtId="0" fontId="0" fillId="11" borderId="7" xfId="0" applyFill="1" applyBorder="1"/>
    <xf numFmtId="0" fontId="0" fillId="11" borderId="78" xfId="0" applyFill="1" applyBorder="1"/>
    <xf numFmtId="0" fontId="0" fillId="11" borderId="74" xfId="0" applyFill="1" applyBorder="1"/>
    <xf numFmtId="0" fontId="27" fillId="11" borderId="0" xfId="0" applyFont="1" applyFill="1"/>
    <xf numFmtId="0" fontId="47" fillId="0" borderId="3" xfId="0" applyFont="1" applyBorder="1"/>
    <xf numFmtId="0" fontId="5" fillId="11" borderId="5" xfId="0" applyFont="1" applyFill="1" applyBorder="1" applyAlignment="1"/>
    <xf numFmtId="0" fontId="26" fillId="11" borderId="0" xfId="0" quotePrefix="1" applyFont="1" applyFill="1"/>
    <xf numFmtId="0" fontId="3" fillId="11" borderId="0" xfId="0" applyFont="1" applyFill="1" applyBorder="1" applyAlignment="1">
      <alignment horizontal="center"/>
    </xf>
    <xf numFmtId="0" fontId="3" fillId="11" borderId="0" xfId="0" applyFont="1" applyFill="1" applyBorder="1"/>
    <xf numFmtId="9" fontId="3" fillId="11" borderId="0" xfId="0" applyNumberFormat="1" applyFont="1" applyFill="1" applyBorder="1" applyAlignment="1">
      <alignment horizontal="center"/>
    </xf>
    <xf numFmtId="10" fontId="0" fillId="11" borderId="91" xfId="0" applyNumberFormat="1" applyFill="1" applyBorder="1" applyAlignment="1">
      <alignment horizontal="center"/>
    </xf>
    <xf numFmtId="20" fontId="33" fillId="11" borderId="0" xfId="0" applyNumberFormat="1" applyFont="1" applyFill="1"/>
    <xf numFmtId="200" fontId="33" fillId="11" borderId="0" xfId="0" applyNumberFormat="1" applyFont="1" applyFill="1"/>
    <xf numFmtId="0" fontId="20" fillId="0" borderId="76" xfId="0" applyFont="1" applyBorder="1"/>
    <xf numFmtId="188" fontId="20" fillId="0" borderId="78" xfId="0" applyNumberFormat="1" applyFont="1" applyFill="1" applyBorder="1" applyProtection="1"/>
    <xf numFmtId="0" fontId="33" fillId="0" borderId="3" xfId="0" applyFont="1" applyBorder="1"/>
    <xf numFmtId="0" fontId="5" fillId="11" borderId="5" xfId="0" applyFont="1" applyFill="1" applyBorder="1" applyAlignment="1">
      <alignment horizontal="center"/>
    </xf>
    <xf numFmtId="0" fontId="0" fillId="11" borderId="0" xfId="0" applyFill="1" applyBorder="1"/>
    <xf numFmtId="0" fontId="91" fillId="0" borderId="0" xfId="0" applyFont="1" applyAlignment="1">
      <alignment wrapText="1"/>
    </xf>
    <xf numFmtId="0" fontId="63" fillId="0" borderId="5" xfId="0" applyFont="1" applyBorder="1"/>
    <xf numFmtId="0" fontId="63" fillId="8" borderId="0" xfId="0" applyFont="1" applyFill="1"/>
    <xf numFmtId="0" fontId="92" fillId="8" borderId="0" xfId="0" applyFont="1" applyFill="1"/>
    <xf numFmtId="0" fontId="63" fillId="8" borderId="5" xfId="0" applyFont="1" applyFill="1" applyBorder="1"/>
    <xf numFmtId="0" fontId="93" fillId="8" borderId="0" xfId="0" applyFont="1" applyFill="1"/>
    <xf numFmtId="0" fontId="94" fillId="0" borderId="0" xfId="60828" applyFont="1"/>
    <xf numFmtId="0" fontId="95" fillId="0" borderId="0" xfId="0" applyFont="1"/>
    <xf numFmtId="0" fontId="63" fillId="8" borderId="82" xfId="0" applyFont="1" applyFill="1" applyBorder="1"/>
    <xf numFmtId="0" fontId="63" fillId="8" borderId="83" xfId="0" applyFont="1" applyFill="1" applyBorder="1"/>
    <xf numFmtId="0" fontId="63" fillId="37" borderId="0" xfId="0" applyFont="1" applyFill="1"/>
    <xf numFmtId="0" fontId="63" fillId="37" borderId="5" xfId="0" applyFont="1" applyFill="1" applyBorder="1"/>
    <xf numFmtId="0" fontId="63" fillId="0" borderId="82" xfId="0" applyFont="1" applyBorder="1"/>
    <xf numFmtId="0" fontId="63" fillId="0" borderId="83" xfId="0" applyFont="1" applyBorder="1"/>
    <xf numFmtId="0" fontId="63" fillId="11" borderId="0" xfId="0" applyFont="1" applyFill="1"/>
    <xf numFmtId="0" fontId="63" fillId="11" borderId="2" xfId="0" applyFont="1" applyFill="1" applyBorder="1"/>
    <xf numFmtId="0" fontId="63" fillId="11" borderId="0" xfId="0" applyFont="1" applyFill="1" applyBorder="1"/>
    <xf numFmtId="0" fontId="96" fillId="8" borderId="0" xfId="0" applyFont="1" applyFill="1"/>
    <xf numFmtId="0" fontId="89" fillId="0" borderId="0" xfId="0" applyFont="1"/>
    <xf numFmtId="0" fontId="91" fillId="0" borderId="5" xfId="0" applyFont="1" applyBorder="1"/>
    <xf numFmtId="0" fontId="97" fillId="8" borderId="0" xfId="0" applyFont="1" applyFill="1"/>
    <xf numFmtId="0" fontId="89" fillId="8" borderId="0" xfId="0" applyFont="1" applyFill="1"/>
    <xf numFmtId="0" fontId="98" fillId="0" borderId="0" xfId="0" applyFont="1"/>
    <xf numFmtId="0" fontId="91" fillId="0" borderId="0" xfId="0" applyFont="1" applyAlignment="1"/>
    <xf numFmtId="209" fontId="20" fillId="0" borderId="0" xfId="0" applyNumberFormat="1" applyFont="1" applyFill="1" applyBorder="1"/>
    <xf numFmtId="0" fontId="0" fillId="8" borderId="78" xfId="0" quotePrefix="1" applyFill="1" applyBorder="1"/>
    <xf numFmtId="0" fontId="21" fillId="0" borderId="72" xfId="0" applyFont="1" applyFill="1" applyBorder="1"/>
    <xf numFmtId="0" fontId="21" fillId="21" borderId="68" xfId="0" applyFont="1" applyFill="1" applyBorder="1" applyAlignment="1">
      <alignment horizontal="left"/>
    </xf>
    <xf numFmtId="0" fontId="56" fillId="0" borderId="0" xfId="0" applyFont="1" applyBorder="1" applyAlignment="1">
      <alignment horizontal="left"/>
    </xf>
    <xf numFmtId="0" fontId="3" fillId="0" borderId="5" xfId="0" applyFont="1" applyBorder="1"/>
    <xf numFmtId="0" fontId="20" fillId="24" borderId="68" xfId="0" applyNumberFormat="1" applyFont="1" applyFill="1" applyBorder="1" applyProtection="1">
      <protection locked="0"/>
    </xf>
    <xf numFmtId="164" fontId="56" fillId="0" borderId="0" xfId="1" applyNumberFormat="1" applyFont="1" applyFill="1" applyBorder="1" applyAlignment="1"/>
    <xf numFmtId="199" fontId="20" fillId="0" borderId="0" xfId="0" applyNumberFormat="1" applyFont="1" applyFill="1" applyBorder="1"/>
    <xf numFmtId="0" fontId="7" fillId="0" borderId="0" xfId="0" applyFont="1" applyFill="1" applyBorder="1" applyAlignment="1" applyProtection="1">
      <alignment vertical="top" wrapText="1"/>
    </xf>
    <xf numFmtId="0" fontId="21" fillId="21" borderId="71" xfId="0" applyFont="1" applyFill="1" applyBorder="1" applyAlignment="1">
      <alignment horizontal="center"/>
    </xf>
    <xf numFmtId="0" fontId="21" fillId="21" borderId="71" xfId="0" applyFont="1" applyFill="1" applyBorder="1" applyAlignment="1">
      <alignment horizontal="center"/>
    </xf>
    <xf numFmtId="0" fontId="56" fillId="0" borderId="0" xfId="0" applyFont="1" applyBorder="1" applyAlignment="1">
      <alignment horizontal="left"/>
    </xf>
    <xf numFmtId="0" fontId="56" fillId="0" borderId="6" xfId="0" applyFont="1" applyBorder="1" applyAlignment="1">
      <alignment horizontal="left"/>
    </xf>
    <xf numFmtId="173" fontId="20" fillId="8" borderId="68" xfId="1" applyNumberFormat="1" applyFont="1" applyFill="1" applyBorder="1" applyAlignment="1"/>
    <xf numFmtId="0" fontId="61" fillId="0" borderId="0" xfId="60828"/>
    <xf numFmtId="0" fontId="0" fillId="8" borderId="0" xfId="0" applyFont="1" applyFill="1" applyBorder="1" applyAlignment="1" applyProtection="1">
      <alignment horizontal="left" vertical="top" wrapText="1"/>
    </xf>
    <xf numFmtId="3" fontId="0" fillId="8" borderId="0" xfId="0" applyNumberFormat="1" applyFill="1" applyBorder="1" applyProtection="1"/>
    <xf numFmtId="0" fontId="20" fillId="8" borderId="78" xfId="0" applyFont="1" applyFill="1" applyBorder="1"/>
    <xf numFmtId="164" fontId="22" fillId="0" borderId="78" xfId="1" applyNumberFormat="1" applyFont="1" applyFill="1" applyBorder="1"/>
    <xf numFmtId="0" fontId="20" fillId="0" borderId="76" xfId="0" applyFont="1" applyFill="1" applyBorder="1"/>
    <xf numFmtId="0" fontId="21" fillId="8" borderId="5" xfId="0" applyFont="1" applyFill="1" applyBorder="1" applyProtection="1">
      <protection locked="0"/>
    </xf>
    <xf numFmtId="0" fontId="21" fillId="21" borderId="78" xfId="0" applyFont="1" applyFill="1" applyBorder="1" applyAlignment="1">
      <alignment horizontal="center" wrapText="1"/>
    </xf>
    <xf numFmtId="0" fontId="0" fillId="0" borderId="0" xfId="0" applyFont="1" applyFill="1" applyBorder="1" applyAlignment="1" applyProtection="1">
      <alignment horizontal="left" vertical="top" wrapText="1"/>
    </xf>
    <xf numFmtId="0" fontId="2" fillId="7" borderId="28" xfId="0" applyFont="1" applyFill="1" applyBorder="1" applyAlignment="1">
      <alignment vertical="center"/>
    </xf>
    <xf numFmtId="0" fontId="2" fillId="7" borderId="27" xfId="0" applyFont="1" applyFill="1" applyBorder="1" applyAlignment="1">
      <alignment vertical="center"/>
    </xf>
    <xf numFmtId="0" fontId="2" fillId="44" borderId="0" xfId="0" applyFont="1" applyFill="1"/>
    <xf numFmtId="0" fontId="0" fillId="21" borderId="78" xfId="0" applyFill="1" applyBorder="1"/>
    <xf numFmtId="0" fontId="0" fillId="21" borderId="78" xfId="0" applyFill="1" applyBorder="1" applyAlignment="1">
      <alignment wrapText="1"/>
    </xf>
    <xf numFmtId="0" fontId="0" fillId="21" borderId="78" xfId="0" applyFill="1" applyBorder="1" applyAlignment="1" applyProtection="1">
      <alignment wrapText="1"/>
    </xf>
    <xf numFmtId="0" fontId="26" fillId="0" borderId="78" xfId="0" quotePrefix="1" applyFont="1" applyBorder="1"/>
    <xf numFmtId="0" fontId="0" fillId="8" borderId="0" xfId="0" applyFont="1" applyFill="1" applyBorder="1" applyAlignment="1" applyProtection="1">
      <alignment horizontal="left" vertical="top" wrapText="1"/>
    </xf>
    <xf numFmtId="200" fontId="0" fillId="8" borderId="78" xfId="0" applyNumberFormat="1" applyFill="1" applyBorder="1"/>
    <xf numFmtId="222" fontId="0" fillId="8" borderId="78" xfId="0" applyNumberFormat="1" applyFill="1" applyBorder="1"/>
    <xf numFmtId="222" fontId="0" fillId="8" borderId="78" xfId="0" applyNumberFormat="1" applyFill="1" applyBorder="1" applyProtection="1"/>
    <xf numFmtId="200" fontId="0" fillId="8" borderId="78" xfId="0" applyNumberFormat="1" applyFill="1" applyBorder="1" applyProtection="1"/>
    <xf numFmtId="8" fontId="0" fillId="8" borderId="78" xfId="0" applyNumberFormat="1" applyFill="1" applyBorder="1" applyProtection="1"/>
    <xf numFmtId="0" fontId="2" fillId="0" borderId="0" xfId="0" applyFont="1" applyFill="1" applyAlignment="1">
      <alignment horizontal="left" wrapText="1"/>
    </xf>
    <xf numFmtId="0" fontId="20" fillId="0" borderId="72" xfId="0" applyFont="1" applyFill="1" applyBorder="1" applyAlignment="1">
      <alignment wrapText="1"/>
    </xf>
    <xf numFmtId="200" fontId="0" fillId="0" borderId="78" xfId="0" applyNumberFormat="1" applyBorder="1"/>
    <xf numFmtId="44" fontId="47" fillId="0" borderId="5" xfId="0" applyNumberFormat="1" applyFont="1" applyBorder="1"/>
    <xf numFmtId="0" fontId="7" fillId="0" borderId="0" xfId="0" applyFont="1" applyFill="1" applyBorder="1" applyAlignment="1" applyProtection="1">
      <alignment vertical="top" wrapText="1"/>
    </xf>
    <xf numFmtId="0" fontId="21" fillId="21" borderId="77" xfId="0" applyFont="1" applyFill="1" applyBorder="1" applyAlignment="1">
      <alignment horizontal="center"/>
    </xf>
    <xf numFmtId="0" fontId="21" fillId="21" borderId="80" xfId="0" applyFont="1" applyFill="1" applyBorder="1" applyAlignment="1">
      <alignment horizontal="left"/>
    </xf>
    <xf numFmtId="212" fontId="7" fillId="8" borderId="78" xfId="1" applyNumberFormat="1" applyFont="1" applyFill="1" applyBorder="1" applyProtection="1"/>
    <xf numFmtId="14" fontId="100" fillId="0" borderId="78" xfId="0" applyNumberFormat="1" applyFont="1" applyBorder="1"/>
    <xf numFmtId="0" fontId="100" fillId="8" borderId="78" xfId="0" applyFont="1" applyFill="1" applyBorder="1"/>
    <xf numFmtId="0" fontId="100" fillId="0" borderId="78" xfId="0" applyFont="1" applyBorder="1"/>
    <xf numFmtId="0" fontId="100" fillId="0" borderId="78" xfId="0" quotePrefix="1" applyFont="1" applyBorder="1"/>
    <xf numFmtId="0" fontId="100" fillId="8" borderId="78" xfId="0" quotePrefix="1" applyFont="1" applyFill="1" applyBorder="1"/>
    <xf numFmtId="199" fontId="7" fillId="8" borderId="78" xfId="1" applyNumberFormat="1" applyFont="1" applyFill="1" applyBorder="1" applyProtection="1"/>
    <xf numFmtId="0" fontId="21" fillId="21" borderId="72" xfId="0" applyFont="1" applyFill="1" applyBorder="1" applyAlignment="1">
      <alignment horizontal="left"/>
    </xf>
    <xf numFmtId="218" fontId="7" fillId="8" borderId="78" xfId="1" applyNumberFormat="1" applyFont="1" applyFill="1" applyBorder="1" applyProtection="1"/>
    <xf numFmtId="209" fontId="20" fillId="11" borderId="68" xfId="1" applyNumberFormat="1" applyFont="1" applyFill="1" applyBorder="1" applyAlignment="1"/>
    <xf numFmtId="9" fontId="0" fillId="11" borderId="33" xfId="2" applyFont="1" applyFill="1" applyBorder="1" applyAlignment="1" applyProtection="1">
      <alignment horizontal="left" vertical="center"/>
    </xf>
    <xf numFmtId="0" fontId="0" fillId="11" borderId="31" xfId="0" applyFont="1" applyFill="1" applyBorder="1" applyAlignment="1" applyProtection="1">
      <alignment horizontal="center" vertical="center"/>
    </xf>
    <xf numFmtId="0" fontId="0" fillId="11" borderId="55" xfId="0" applyFont="1" applyFill="1" applyBorder="1" applyAlignment="1" applyProtection="1">
      <alignment horizontal="center" vertical="center"/>
    </xf>
    <xf numFmtId="0" fontId="22" fillId="11" borderId="78" xfId="0" applyFont="1" applyFill="1" applyBorder="1" applyAlignment="1">
      <alignment vertical="center"/>
    </xf>
    <xf numFmtId="0" fontId="0" fillId="11" borderId="31" xfId="0" applyFont="1" applyFill="1" applyBorder="1" applyAlignment="1" applyProtection="1"/>
    <xf numFmtId="0" fontId="0" fillId="11" borderId="78" xfId="0" applyFont="1" applyFill="1" applyBorder="1" applyAlignment="1" applyProtection="1"/>
    <xf numFmtId="0" fontId="20" fillId="24" borderId="78" xfId="0" applyFont="1" applyFill="1" applyBorder="1" applyAlignment="1" applyProtection="1">
      <alignment horizontal="left" wrapText="1"/>
      <protection locked="0"/>
    </xf>
    <xf numFmtId="0" fontId="20" fillId="8" borderId="78" xfId="0" applyFont="1" applyFill="1" applyBorder="1" applyAlignment="1" applyProtection="1">
      <alignment horizontal="left" wrapText="1"/>
      <protection locked="0"/>
    </xf>
    <xf numFmtId="1" fontId="20" fillId="24" borderId="78" xfId="0" applyNumberFormat="1" applyFont="1" applyFill="1" applyBorder="1" applyAlignment="1" applyProtection="1">
      <alignment horizontal="center"/>
      <protection locked="0"/>
    </xf>
    <xf numFmtId="0" fontId="20" fillId="24" borderId="78" xfId="0" applyFont="1" applyFill="1" applyBorder="1" applyAlignment="1" applyProtection="1">
      <alignment horizontal="center"/>
      <protection locked="0"/>
    </xf>
    <xf numFmtId="0" fontId="27" fillId="11" borderId="0" xfId="0" applyFont="1" applyFill="1" applyBorder="1"/>
    <xf numFmtId="0" fontId="47" fillId="0" borderId="0" xfId="0" applyFont="1" applyFill="1" applyBorder="1"/>
    <xf numFmtId="0" fontId="49" fillId="0" borderId="0" xfId="0" applyFont="1" applyAlignment="1">
      <alignment vertical="center"/>
    </xf>
    <xf numFmtId="0" fontId="21" fillId="21" borderId="78" xfId="0" applyFont="1" applyFill="1" applyBorder="1" applyAlignment="1">
      <alignment horizontal="left"/>
    </xf>
    <xf numFmtId="0" fontId="67" fillId="8" borderId="0" xfId="0" applyFont="1" applyFill="1" applyBorder="1" applyAlignment="1">
      <alignment horizontal="center"/>
    </xf>
    <xf numFmtId="3" fontId="56" fillId="8" borderId="0" xfId="0" applyNumberFormat="1" applyFont="1" applyFill="1" applyBorder="1" applyAlignment="1">
      <alignment horizontal="center"/>
    </xf>
    <xf numFmtId="0" fontId="9" fillId="8" borderId="6" xfId="0" applyFont="1" applyFill="1" applyBorder="1" applyAlignment="1"/>
    <xf numFmtId="0" fontId="44" fillId="8" borderId="0" xfId="0" applyFont="1" applyFill="1" applyBorder="1" applyAlignment="1"/>
    <xf numFmtId="0" fontId="43" fillId="8" borderId="0" xfId="0" applyFont="1" applyFill="1" applyBorder="1"/>
    <xf numFmtId="164" fontId="42" fillId="8" borderId="0" xfId="0" applyNumberFormat="1" applyFont="1" applyFill="1" applyBorder="1"/>
    <xf numFmtId="164" fontId="42" fillId="8" borderId="8" xfId="0" applyNumberFormat="1" applyFont="1" applyFill="1" applyBorder="1"/>
    <xf numFmtId="172" fontId="0" fillId="11" borderId="33" xfId="1" applyNumberFormat="1" applyFont="1" applyFill="1" applyBorder="1" applyAlignment="1" applyProtection="1"/>
    <xf numFmtId="172" fontId="0" fillId="11" borderId="78" xfId="1" applyNumberFormat="1" applyFont="1" applyFill="1" applyBorder="1" applyAlignment="1" applyProtection="1"/>
    <xf numFmtId="164" fontId="56" fillId="8" borderId="0" xfId="1" applyNumberFormat="1" applyFont="1" applyFill="1" applyBorder="1" applyAlignment="1"/>
    <xf numFmtId="201" fontId="56" fillId="8" borderId="8" xfId="1" applyNumberFormat="1" applyFont="1" applyFill="1" applyBorder="1" applyAlignment="1"/>
    <xf numFmtId="44" fontId="27" fillId="0" borderId="5" xfId="0" applyNumberFormat="1" applyFont="1" applyBorder="1"/>
    <xf numFmtId="224" fontId="20" fillId="24" borderId="78" xfId="0" applyNumberFormat="1" applyFont="1" applyFill="1" applyBorder="1" applyAlignment="1" applyProtection="1">
      <alignment horizontal="right" vertical="center"/>
      <protection locked="0"/>
    </xf>
    <xf numFmtId="164" fontId="20" fillId="0" borderId="0" xfId="1" applyNumberFormat="1" applyFont="1" applyFill="1" applyBorder="1" applyAlignment="1">
      <alignment horizontal="left" indent="2"/>
    </xf>
    <xf numFmtId="225" fontId="20" fillId="24" borderId="68" xfId="0" applyNumberFormat="1" applyFont="1" applyFill="1" applyBorder="1" applyProtection="1">
      <protection locked="0"/>
    </xf>
    <xf numFmtId="226" fontId="20" fillId="11" borderId="68" xfId="1" applyNumberFormat="1" applyFont="1" applyFill="1" applyBorder="1" applyAlignment="1"/>
    <xf numFmtId="0" fontId="50" fillId="23" borderId="0" xfId="0" applyFont="1" applyFill="1" applyBorder="1" applyAlignment="1" applyProtection="1">
      <alignment vertical="center"/>
    </xf>
    <xf numFmtId="0" fontId="21" fillId="0" borderId="4" xfId="0" applyFont="1" applyFill="1" applyBorder="1"/>
    <xf numFmtId="0" fontId="21" fillId="21" borderId="78" xfId="0" applyFont="1" applyFill="1" applyBorder="1" applyAlignment="1">
      <alignment horizontal="left"/>
    </xf>
    <xf numFmtId="0" fontId="21" fillId="21" borderId="72" xfId="0" applyFont="1" applyFill="1" applyBorder="1" applyAlignment="1">
      <alignment horizontal="left"/>
    </xf>
    <xf numFmtId="0" fontId="21" fillId="21" borderId="78" xfId="0" applyFont="1" applyFill="1" applyBorder="1" applyAlignment="1">
      <alignment horizontal="left"/>
    </xf>
    <xf numFmtId="0" fontId="101" fillId="0" borderId="0" xfId="0" applyFont="1" applyAlignment="1">
      <alignment vertical="center"/>
    </xf>
    <xf numFmtId="0" fontId="0" fillId="9" borderId="74" xfId="0" applyFont="1" applyFill="1" applyBorder="1" applyProtection="1"/>
    <xf numFmtId="0" fontId="8" fillId="0" borderId="78" xfId="0" applyFont="1" applyBorder="1" applyAlignment="1">
      <alignment vertical="center" wrapText="1"/>
    </xf>
    <xf numFmtId="0" fontId="102" fillId="0" borderId="78" xfId="0" quotePrefix="1" applyFont="1" applyBorder="1"/>
    <xf numFmtId="0" fontId="2" fillId="0" borderId="0" xfId="0" applyFont="1" applyFill="1" applyBorder="1"/>
    <xf numFmtId="0" fontId="102" fillId="8" borderId="78" xfId="0" quotePrefix="1" applyFont="1" applyFill="1" applyBorder="1"/>
    <xf numFmtId="164" fontId="20" fillId="0" borderId="68" xfId="1" applyNumberFormat="1" applyFont="1" applyFill="1" applyBorder="1" applyAlignment="1">
      <alignment horizontal="center" vertical="center"/>
    </xf>
    <xf numFmtId="0" fontId="8" fillId="0" borderId="0" xfId="0" applyFont="1" applyBorder="1" applyAlignment="1">
      <alignment vertical="center" wrapText="1"/>
    </xf>
    <xf numFmtId="186" fontId="20" fillId="24" borderId="68" xfId="0" quotePrefix="1" applyNumberFormat="1" applyFont="1" applyFill="1" applyBorder="1" applyProtection="1">
      <protection locked="0"/>
    </xf>
    <xf numFmtId="0" fontId="21" fillId="21" borderId="72" xfId="0" applyFont="1" applyFill="1" applyBorder="1" applyAlignment="1">
      <alignment horizontal="left"/>
    </xf>
    <xf numFmtId="0" fontId="21" fillId="21" borderId="78" xfId="0" applyFont="1" applyFill="1" applyBorder="1" applyAlignment="1">
      <alignment horizontal="left"/>
    </xf>
    <xf numFmtId="164" fontId="20" fillId="0" borderId="77" xfId="0" applyNumberFormat="1" applyFont="1" applyFill="1" applyBorder="1"/>
    <xf numFmtId="0" fontId="103" fillId="0" borderId="78" xfId="0" quotePrefix="1" applyFont="1" applyBorder="1"/>
    <xf numFmtId="0" fontId="21" fillId="21" borderId="78" xfId="0" applyFont="1" applyFill="1" applyBorder="1" applyAlignment="1">
      <alignment horizontal="left"/>
    </xf>
    <xf numFmtId="0" fontId="20" fillId="8" borderId="0" xfId="0" applyFont="1" applyFill="1" applyBorder="1" applyAlignment="1" applyProtection="1">
      <alignment horizontal="center" vertical="center"/>
      <protection locked="0"/>
    </xf>
    <xf numFmtId="1" fontId="20" fillId="8" borderId="0" xfId="0" applyNumberFormat="1" applyFont="1" applyFill="1" applyBorder="1" applyProtection="1">
      <protection locked="0"/>
    </xf>
    <xf numFmtId="0" fontId="33" fillId="11" borderId="15" xfId="0" applyFont="1" applyFill="1" applyBorder="1"/>
    <xf numFmtId="0" fontId="0" fillId="0" borderId="78" xfId="0" applyFont="1" applyBorder="1" applyAlignment="1">
      <alignment vertical="center" wrapText="1"/>
    </xf>
    <xf numFmtId="1" fontId="20" fillId="24" borderId="78" xfId="0" applyNumberFormat="1" applyFont="1" applyFill="1" applyBorder="1" applyAlignment="1" applyProtection="1">
      <alignment horizontal="center" vertical="center"/>
      <protection locked="0"/>
    </xf>
    <xf numFmtId="218" fontId="7" fillId="8" borderId="78" xfId="1" applyNumberFormat="1" applyFont="1" applyFill="1" applyBorder="1" applyAlignment="1" applyProtection="1">
      <alignment horizontal="right"/>
    </xf>
    <xf numFmtId="0" fontId="0" fillId="0" borderId="0" xfId="0" applyFont="1" applyBorder="1" applyAlignment="1">
      <alignment vertical="center" wrapText="1"/>
    </xf>
    <xf numFmtId="1" fontId="20" fillId="8" borderId="78" xfId="0" applyNumberFormat="1" applyFont="1" applyFill="1" applyBorder="1" applyAlignment="1" applyProtection="1">
      <alignment horizontal="left" vertical="center"/>
      <protection locked="0"/>
    </xf>
    <xf numFmtId="0" fontId="21" fillId="21" borderId="78" xfId="0" applyFont="1" applyFill="1" applyBorder="1" applyAlignment="1">
      <alignment horizontal="left"/>
    </xf>
    <xf numFmtId="164" fontId="20" fillId="0" borderId="78" xfId="1" applyNumberFormat="1" applyFont="1" applyFill="1" applyBorder="1" applyAlignment="1"/>
    <xf numFmtId="0" fontId="20" fillId="0" borderId="78" xfId="0" applyFont="1" applyFill="1" applyBorder="1" applyAlignment="1">
      <alignment horizontal="center" vertical="center" wrapText="1"/>
    </xf>
    <xf numFmtId="0" fontId="21" fillId="0" borderId="0" xfId="0" applyFont="1" applyBorder="1" applyAlignment="1">
      <alignment horizontal="center"/>
    </xf>
    <xf numFmtId="0" fontId="21" fillId="0" borderId="0" xfId="0" applyFont="1" applyBorder="1" applyAlignment="1">
      <alignment horizontal="center"/>
    </xf>
    <xf numFmtId="0" fontId="0" fillId="0" borderId="0" xfId="0" applyFont="1" applyFill="1" applyBorder="1" applyAlignment="1" applyProtection="1">
      <alignment horizontal="left" vertical="top" wrapText="1"/>
    </xf>
    <xf numFmtId="164" fontId="0" fillId="0" borderId="33" xfId="1" applyNumberFormat="1" applyFont="1" applyFill="1" applyBorder="1" applyProtection="1"/>
    <xf numFmtId="0" fontId="22" fillId="0" borderId="78" xfId="0" applyFont="1" applyFill="1" applyBorder="1" applyAlignment="1">
      <alignment vertical="center" wrapText="1"/>
    </xf>
    <xf numFmtId="0" fontId="27" fillId="32" borderId="78" xfId="0" applyFont="1" applyFill="1" applyBorder="1"/>
    <xf numFmtId="14" fontId="0" fillId="0" borderId="76" xfId="0" applyNumberFormat="1" applyBorder="1"/>
    <xf numFmtId="0" fontId="56" fillId="8" borderId="0" xfId="0" applyFont="1" applyFill="1" applyBorder="1" applyAlignment="1">
      <alignment horizontal="left"/>
    </xf>
    <xf numFmtId="0" fontId="104" fillId="0" borderId="0" xfId="0" applyFont="1" applyBorder="1" applyAlignment="1">
      <alignment vertical="center" wrapText="1"/>
    </xf>
    <xf numFmtId="218" fontId="7" fillId="8" borderId="0" xfId="1" applyNumberFormat="1" applyFont="1" applyFill="1" applyBorder="1" applyAlignment="1" applyProtection="1">
      <alignment horizontal="right"/>
    </xf>
    <xf numFmtId="172" fontId="0" fillId="0" borderId="78" xfId="1" applyNumberFormat="1" applyFont="1" applyBorder="1" applyAlignment="1">
      <alignment horizontal="right" wrapText="1"/>
    </xf>
    <xf numFmtId="1" fontId="20" fillId="8" borderId="0" xfId="0" applyNumberFormat="1" applyFont="1" applyFill="1" applyBorder="1" applyAlignment="1" applyProtection="1">
      <alignment horizontal="left" vertical="center"/>
      <protection locked="0"/>
    </xf>
    <xf numFmtId="0" fontId="0" fillId="0" borderId="0" xfId="0" applyFont="1" applyFill="1" applyBorder="1" applyAlignment="1" applyProtection="1">
      <alignment horizontal="left" vertical="top" wrapText="1"/>
    </xf>
    <xf numFmtId="0" fontId="0" fillId="8" borderId="78" xfId="0" applyFill="1" applyBorder="1"/>
    <xf numFmtId="0" fontId="27" fillId="0" borderId="5" xfId="0" applyFont="1" applyFill="1" applyBorder="1" applyProtection="1"/>
    <xf numFmtId="0" fontId="0" fillId="0" borderId="0" xfId="0" applyFont="1" applyFill="1" applyBorder="1" applyProtection="1"/>
    <xf numFmtId="0" fontId="0" fillId="0" borderId="0" xfId="0" applyFont="1" applyFill="1" applyBorder="1" applyAlignment="1" applyProtection="1">
      <alignment vertical="top" wrapText="1"/>
    </xf>
    <xf numFmtId="0" fontId="0" fillId="0" borderId="0" xfId="0" applyFont="1" applyBorder="1" applyProtection="1"/>
    <xf numFmtId="0" fontId="0" fillId="8" borderId="78" xfId="0" applyFont="1" applyFill="1" applyBorder="1"/>
    <xf numFmtId="0" fontId="0" fillId="0" borderId="0" xfId="0" applyFont="1" applyBorder="1" applyAlignment="1" applyProtection="1">
      <alignment wrapText="1"/>
    </xf>
    <xf numFmtId="0" fontId="0" fillId="0" borderId="4" xfId="0" applyFont="1" applyFill="1" applyBorder="1" applyProtection="1"/>
    <xf numFmtId="212" fontId="0" fillId="8" borderId="0" xfId="60854" applyNumberFormat="1" applyFont="1" applyFill="1" applyBorder="1" applyAlignment="1" applyProtection="1">
      <alignment horizontal="left" indent="1"/>
    </xf>
    <xf numFmtId="0" fontId="0" fillId="0" borderId="0" xfId="0"/>
    <xf numFmtId="0" fontId="0" fillId="0" borderId="4" xfId="0" applyBorder="1"/>
    <xf numFmtId="0" fontId="27" fillId="0" borderId="5" xfId="0" applyFont="1" applyFill="1" applyBorder="1" applyProtection="1"/>
    <xf numFmtId="0" fontId="0" fillId="0" borderId="0" xfId="0" applyFont="1" applyBorder="1" applyProtection="1"/>
    <xf numFmtId="0" fontId="0" fillId="0" borderId="0" xfId="0" applyFont="1" applyFill="1" applyBorder="1" applyProtection="1"/>
    <xf numFmtId="0" fontId="0" fillId="0" borderId="0" xfId="0" applyFont="1" applyFill="1" applyBorder="1" applyAlignment="1" applyProtection="1">
      <alignment vertical="top" wrapText="1"/>
    </xf>
    <xf numFmtId="199" fontId="0" fillId="8" borderId="0" xfId="60854" applyNumberFormat="1" applyFont="1" applyFill="1" applyBorder="1" applyProtection="1"/>
    <xf numFmtId="199" fontId="0" fillId="0" borderId="0" xfId="60854" applyNumberFormat="1" applyFont="1" applyFill="1" applyBorder="1" applyProtection="1"/>
    <xf numFmtId="199" fontId="0" fillId="30" borderId="0" xfId="60854" applyNumberFormat="1" applyFont="1" applyFill="1" applyBorder="1" applyProtection="1"/>
    <xf numFmtId="199" fontId="55" fillId="21" borderId="0" xfId="60854" applyNumberFormat="1" applyFont="1" applyFill="1" applyBorder="1" applyProtection="1"/>
    <xf numFmtId="44" fontId="0" fillId="8" borderId="0" xfId="60854" applyNumberFormat="1" applyFont="1" applyFill="1" applyBorder="1" applyProtection="1"/>
    <xf numFmtId="199" fontId="55" fillId="8" borderId="0" xfId="60854" applyNumberFormat="1" applyFont="1" applyFill="1" applyBorder="1" applyProtection="1"/>
    <xf numFmtId="9" fontId="0" fillId="8" borderId="76" xfId="2" applyFont="1" applyFill="1" applyBorder="1" applyProtection="1"/>
    <xf numFmtId="0" fontId="0" fillId="0" borderId="0" xfId="0"/>
    <xf numFmtId="0" fontId="0" fillId="0" borderId="4" xfId="0" applyBorder="1"/>
    <xf numFmtId="0" fontId="0" fillId="0" borderId="5" xfId="0" applyBorder="1"/>
    <xf numFmtId="0" fontId="0" fillId="0" borderId="0" xfId="0" applyFont="1" applyBorder="1" applyAlignment="1" applyProtection="1">
      <alignment wrapText="1"/>
    </xf>
    <xf numFmtId="0" fontId="0" fillId="0" borderId="4" xfId="0" applyFont="1" applyBorder="1" applyAlignment="1" applyProtection="1">
      <alignment wrapText="1"/>
    </xf>
    <xf numFmtId="0" fontId="27" fillId="0" borderId="5" xfId="0" applyFont="1" applyFill="1" applyBorder="1" applyProtection="1"/>
    <xf numFmtId="0" fontId="0" fillId="0" borderId="0" xfId="0" applyFont="1" applyFill="1" applyBorder="1" applyProtection="1"/>
    <xf numFmtId="0" fontId="0" fillId="0" borderId="0" xfId="0" applyFont="1" applyFill="1" applyBorder="1" applyAlignment="1" applyProtection="1">
      <alignment vertical="top" wrapText="1"/>
    </xf>
    <xf numFmtId="0" fontId="0" fillId="0" borderId="5" xfId="0" applyFill="1" applyBorder="1"/>
    <xf numFmtId="0" fontId="6" fillId="8" borderId="0" xfId="0" applyFont="1" applyFill="1" applyBorder="1" applyAlignment="1" applyProtection="1"/>
    <xf numFmtId="0" fontId="7" fillId="9" borderId="78" xfId="0" applyFont="1" applyFill="1" applyBorder="1" applyAlignment="1" applyProtection="1"/>
    <xf numFmtId="0" fontId="20" fillId="8" borderId="4" xfId="0" applyFont="1" applyFill="1" applyBorder="1"/>
    <xf numFmtId="0" fontId="21" fillId="0" borderId="0" xfId="0" applyFont="1" applyFill="1" applyBorder="1"/>
    <xf numFmtId="201" fontId="22" fillId="8" borderId="0" xfId="1" applyNumberFormat="1" applyFont="1" applyFill="1" applyBorder="1"/>
    <xf numFmtId="164" fontId="21" fillId="0" borderId="0" xfId="1" applyNumberFormat="1" applyFont="1" applyFill="1" applyBorder="1"/>
    <xf numFmtId="186" fontId="20" fillId="8" borderId="0" xfId="0" applyNumberFormat="1" applyFont="1" applyFill="1" applyBorder="1" applyProtection="1">
      <protection locked="0"/>
    </xf>
    <xf numFmtId="217" fontId="20" fillId="8" borderId="0" xfId="0" applyNumberFormat="1" applyFont="1" applyFill="1" applyBorder="1" applyProtection="1">
      <protection locked="0"/>
    </xf>
    <xf numFmtId="0" fontId="0" fillId="8" borderId="0" xfId="0" applyFont="1" applyFill="1" applyBorder="1"/>
    <xf numFmtId="221" fontId="0" fillId="8" borderId="0" xfId="0" applyNumberFormat="1" applyFont="1" applyFill="1" applyBorder="1"/>
    <xf numFmtId="164" fontId="22" fillId="8" borderId="0" xfId="1" applyNumberFormat="1" applyFont="1" applyFill="1" applyBorder="1"/>
    <xf numFmtId="0" fontId="21" fillId="8" borderId="0" xfId="0" applyFont="1" applyFill="1" applyBorder="1"/>
    <xf numFmtId="0" fontId="32" fillId="22" borderId="0" xfId="0" applyFont="1" applyFill="1" applyBorder="1" applyAlignment="1" applyProtection="1">
      <alignment horizontal="center" vertical="center"/>
    </xf>
    <xf numFmtId="0" fontId="22" fillId="8" borderId="0" xfId="0" applyFont="1" applyFill="1" applyBorder="1" applyAlignment="1">
      <alignment horizontal="left"/>
    </xf>
    <xf numFmtId="0" fontId="5" fillId="11" borderId="0" xfId="0" applyFont="1" applyFill="1" applyBorder="1" applyAlignment="1">
      <alignment horizontal="center"/>
    </xf>
    <xf numFmtId="2" fontId="0" fillId="0" borderId="100" xfId="0" applyNumberFormat="1" applyBorder="1"/>
    <xf numFmtId="9" fontId="0" fillId="0" borderId="0" xfId="2" applyFont="1"/>
    <xf numFmtId="2" fontId="0" fillId="0" borderId="97" xfId="0" applyNumberFormat="1" applyBorder="1" applyAlignment="1">
      <alignment vertical="center"/>
    </xf>
    <xf numFmtId="2" fontId="0" fillId="0" borderId="97" xfId="0" applyNumberFormat="1" applyFont="1" applyFill="1" applyBorder="1" applyAlignment="1">
      <alignment horizontal="right" vertical="center"/>
    </xf>
    <xf numFmtId="0" fontId="21" fillId="21" borderId="78" xfId="0" applyFont="1" applyFill="1" applyBorder="1" applyAlignment="1">
      <alignment horizontal="center" vertical="center"/>
    </xf>
    <xf numFmtId="0" fontId="25" fillId="43" borderId="5" xfId="0" applyFont="1" applyFill="1" applyBorder="1" applyAlignment="1">
      <alignment horizontal="center"/>
    </xf>
    <xf numFmtId="164" fontId="20" fillId="0" borderId="5" xfId="1" applyFont="1" applyFill="1" applyBorder="1"/>
    <xf numFmtId="0" fontId="21" fillId="8" borderId="0" xfId="0" applyFont="1" applyFill="1" applyBorder="1" applyAlignment="1">
      <alignment horizontal="center" vertical="center" wrapText="1"/>
    </xf>
    <xf numFmtId="0" fontId="21" fillId="8" borderId="0" xfId="0" applyFont="1" applyFill="1" applyBorder="1" applyAlignment="1">
      <alignment horizontal="center" vertical="center"/>
    </xf>
    <xf numFmtId="0" fontId="21" fillId="21" borderId="78" xfId="0" applyFont="1" applyFill="1" applyBorder="1" applyAlignment="1">
      <alignment horizontal="left" vertical="center"/>
    </xf>
    <xf numFmtId="0" fontId="21" fillId="21" borderId="78" xfId="0" applyFont="1" applyFill="1" applyBorder="1" applyAlignment="1">
      <alignment horizontal="center" vertical="center" wrapText="1"/>
    </xf>
    <xf numFmtId="0" fontId="61" fillId="11" borderId="0" xfId="60828" applyFill="1" applyBorder="1"/>
    <xf numFmtId="0" fontId="2" fillId="6" borderId="78" xfId="0" applyFont="1" applyFill="1" applyBorder="1" applyAlignment="1">
      <alignment horizontal="center" vertical="center" wrapText="1"/>
    </xf>
    <xf numFmtId="1" fontId="2" fillId="6" borderId="78" xfId="0" quotePrefix="1" applyNumberFormat="1" applyFont="1" applyFill="1" applyBorder="1" applyAlignment="1">
      <alignment horizontal="center" vertical="center"/>
    </xf>
    <xf numFmtId="0" fontId="2" fillId="6" borderId="78" xfId="0" quotePrefix="1" applyFont="1" applyFill="1" applyBorder="1" applyAlignment="1">
      <alignment horizontal="center" vertical="center"/>
    </xf>
    <xf numFmtId="0" fontId="2" fillId="6" borderId="78" xfId="0" applyFont="1" applyFill="1" applyBorder="1" applyAlignment="1">
      <alignment horizontal="center" vertical="center"/>
    </xf>
    <xf numFmtId="0" fontId="2" fillId="0" borderId="78" xfId="0" applyFont="1" applyBorder="1" applyAlignment="1">
      <alignment wrapText="1"/>
    </xf>
    <xf numFmtId="228" fontId="0" fillId="0" borderId="78" xfId="0" applyNumberFormat="1" applyBorder="1" applyAlignment="1">
      <alignment horizontal="center" vertical="center"/>
    </xf>
    <xf numFmtId="201" fontId="20" fillId="8" borderId="68" xfId="0" applyNumberFormat="1" applyFont="1" applyFill="1" applyBorder="1" applyProtection="1">
      <protection locked="0"/>
    </xf>
    <xf numFmtId="0" fontId="0" fillId="37" borderId="0" xfId="0" applyFont="1" applyFill="1"/>
    <xf numFmtId="201" fontId="0" fillId="0" borderId="78" xfId="0" applyNumberFormat="1" applyBorder="1"/>
    <xf numFmtId="0" fontId="21" fillId="21" borderId="72" xfId="0" applyFont="1" applyFill="1" applyBorder="1" applyAlignment="1">
      <alignment horizontal="left" vertical="center"/>
    </xf>
    <xf numFmtId="2" fontId="0" fillId="0" borderId="76" xfId="0" applyNumberFormat="1" applyBorder="1"/>
    <xf numFmtId="2" fontId="0" fillId="8" borderId="76" xfId="0" applyNumberFormat="1" applyFill="1" applyBorder="1" applyAlignment="1">
      <alignment vertical="center"/>
    </xf>
    <xf numFmtId="0" fontId="2" fillId="37" borderId="0" xfId="0" applyFont="1" applyFill="1"/>
    <xf numFmtId="9" fontId="0" fillId="8" borderId="78" xfId="0" applyNumberFormat="1" applyFont="1" applyFill="1" applyBorder="1"/>
    <xf numFmtId="0" fontId="2" fillId="8" borderId="78" xfId="0" applyFont="1" applyFill="1" applyBorder="1"/>
    <xf numFmtId="9" fontId="0" fillId="8" borderId="78" xfId="2" applyFont="1" applyFill="1" applyBorder="1"/>
    <xf numFmtId="0" fontId="0" fillId="8" borderId="78" xfId="0" applyFont="1" applyFill="1" applyBorder="1" applyAlignment="1">
      <alignment vertical="center"/>
    </xf>
    <xf numFmtId="0" fontId="0" fillId="26" borderId="78" xfId="0" applyFont="1" applyFill="1" applyBorder="1"/>
    <xf numFmtId="0" fontId="20" fillId="8" borderId="68" xfId="0" applyNumberFormat="1" applyFont="1" applyFill="1" applyBorder="1" applyProtection="1">
      <protection locked="0"/>
    </xf>
    <xf numFmtId="201" fontId="20" fillId="0" borderId="78" xfId="0" applyNumberFormat="1" applyFont="1" applyFill="1" applyBorder="1"/>
    <xf numFmtId="0" fontId="2" fillId="6" borderId="78" xfId="0" applyFont="1" applyFill="1" applyBorder="1" applyAlignment="1">
      <alignment horizontal="center" wrapText="1"/>
    </xf>
    <xf numFmtId="201" fontId="0" fillId="0" borderId="78" xfId="0" applyNumberFormat="1" applyBorder="1" applyAlignment="1">
      <alignment horizontal="center" vertical="center"/>
    </xf>
    <xf numFmtId="201" fontId="0" fillId="0" borderId="78" xfId="0" applyNumberFormat="1" applyFill="1" applyBorder="1" applyAlignment="1">
      <alignment horizontal="center" vertical="center"/>
    </xf>
    <xf numFmtId="2" fontId="0" fillId="0" borderId="78" xfId="0" applyNumberFormat="1" applyBorder="1"/>
    <xf numFmtId="1" fontId="0" fillId="0" borderId="78" xfId="0" applyNumberFormat="1" applyBorder="1"/>
    <xf numFmtId="1" fontId="0" fillId="8" borderId="78" xfId="0" applyNumberFormat="1" applyFont="1" applyFill="1" applyBorder="1"/>
    <xf numFmtId="0" fontId="20" fillId="24" borderId="68" xfId="0" applyNumberFormat="1" applyFont="1" applyFill="1" applyBorder="1" applyAlignment="1" applyProtection="1">
      <alignment horizontal="center" vertical="center"/>
      <protection locked="0"/>
    </xf>
    <xf numFmtId="186" fontId="20" fillId="8" borderId="68" xfId="0" applyNumberFormat="1" applyFont="1" applyFill="1" applyBorder="1" applyAlignment="1" applyProtection="1">
      <alignment horizontal="center"/>
      <protection locked="0"/>
    </xf>
    <xf numFmtId="0" fontId="2" fillId="8" borderId="47" xfId="0" applyFont="1" applyFill="1" applyBorder="1"/>
    <xf numFmtId="44" fontId="0" fillId="0" borderId="78" xfId="0" applyNumberFormat="1" applyFont="1" applyFill="1" applyBorder="1"/>
    <xf numFmtId="164" fontId="20" fillId="0" borderId="78" xfId="1" applyNumberFormat="1" applyFont="1" applyFill="1" applyBorder="1"/>
    <xf numFmtId="201" fontId="20" fillId="0" borderId="78" xfId="1" applyNumberFormat="1" applyFont="1" applyFill="1" applyBorder="1"/>
    <xf numFmtId="49" fontId="21" fillId="21" borderId="72" xfId="0" applyNumberFormat="1" applyFont="1" applyFill="1" applyBorder="1" applyAlignment="1">
      <alignment horizontal="center" vertical="center" wrapText="1"/>
    </xf>
    <xf numFmtId="0" fontId="21" fillId="21" borderId="0" xfId="0" applyFont="1" applyFill="1" applyBorder="1" applyAlignment="1">
      <alignment horizontal="center" vertical="center"/>
    </xf>
    <xf numFmtId="49" fontId="21" fillId="21" borderId="80" xfId="0" applyNumberFormat="1" applyFont="1" applyFill="1" applyBorder="1" applyAlignment="1">
      <alignment horizontal="center" vertical="center" wrapText="1"/>
    </xf>
    <xf numFmtId="164" fontId="22" fillId="0" borderId="76" xfId="1" applyNumberFormat="1" applyFont="1" applyFill="1" applyBorder="1"/>
    <xf numFmtId="49" fontId="21" fillId="21" borderId="78" xfId="0" applyNumberFormat="1" applyFont="1" applyFill="1" applyBorder="1" applyAlignment="1">
      <alignment horizontal="center" vertical="center" wrapText="1"/>
    </xf>
    <xf numFmtId="9" fontId="0" fillId="11" borderId="0" xfId="0" applyNumberFormat="1" applyFill="1" applyBorder="1" applyAlignment="1">
      <alignment horizontal="center"/>
    </xf>
    <xf numFmtId="0" fontId="0" fillId="11" borderId="0" xfId="0" applyFill="1" applyBorder="1" applyAlignment="1">
      <alignment horizontal="center"/>
    </xf>
    <xf numFmtId="0" fontId="0" fillId="11" borderId="0" xfId="0" applyFill="1" applyBorder="1" applyAlignment="1">
      <alignment horizontal="center" vertical="center"/>
    </xf>
    <xf numFmtId="0" fontId="0" fillId="8" borderId="78" xfId="0" applyFill="1" applyBorder="1" applyAlignment="1">
      <alignment horizontal="center" vertical="center"/>
    </xf>
    <xf numFmtId="9" fontId="20" fillId="24" borderId="75" xfId="2" applyFont="1" applyFill="1" applyBorder="1" applyProtection="1">
      <protection locked="0"/>
    </xf>
    <xf numFmtId="0" fontId="0" fillId="24" borderId="78" xfId="2" applyNumberFormat="1" applyFont="1" applyFill="1" applyBorder="1" applyAlignment="1">
      <alignment horizontal="center"/>
    </xf>
    <xf numFmtId="44" fontId="0" fillId="0" borderId="78" xfId="0" applyNumberFormat="1" applyFont="1" applyBorder="1"/>
    <xf numFmtId="0" fontId="0" fillId="8" borderId="47" xfId="0" applyFont="1" applyFill="1" applyBorder="1"/>
    <xf numFmtId="0" fontId="20" fillId="24" borderId="75" xfId="0" applyNumberFormat="1" applyFont="1" applyFill="1" applyBorder="1" applyAlignment="1" applyProtection="1">
      <alignment horizontal="center"/>
      <protection locked="0"/>
    </xf>
    <xf numFmtId="186" fontId="0" fillId="8" borderId="78" xfId="0" applyNumberFormat="1" applyFont="1" applyFill="1" applyBorder="1"/>
    <xf numFmtId="0" fontId="0" fillId="6" borderId="78" xfId="0" applyFont="1" applyFill="1" applyBorder="1"/>
    <xf numFmtId="0" fontId="33" fillId="6" borderId="78" xfId="0" applyFont="1" applyFill="1" applyBorder="1"/>
    <xf numFmtId="44" fontId="22" fillId="0" borderId="78" xfId="0" applyNumberFormat="1" applyFont="1" applyBorder="1"/>
    <xf numFmtId="1" fontId="20" fillId="8" borderId="68" xfId="0" applyNumberFormat="1" applyFont="1" applyFill="1" applyBorder="1" applyAlignment="1" applyProtection="1">
      <alignment horizontal="center"/>
      <protection locked="0"/>
    </xf>
    <xf numFmtId="2" fontId="0" fillId="8" borderId="78" xfId="0" applyNumberFormat="1" applyFont="1" applyFill="1" applyBorder="1"/>
    <xf numFmtId="0" fontId="56" fillId="0" borderId="0" xfId="0" applyNumberFormat="1" applyFont="1" applyFill="1" applyBorder="1" applyAlignment="1">
      <alignment horizontal="center"/>
    </xf>
    <xf numFmtId="1" fontId="20" fillId="8" borderId="68" xfId="0" applyNumberFormat="1" applyFont="1" applyFill="1" applyBorder="1" applyProtection="1">
      <protection locked="0"/>
    </xf>
    <xf numFmtId="0" fontId="7" fillId="8" borderId="78" xfId="0" applyFont="1" applyFill="1" applyBorder="1"/>
    <xf numFmtId="0" fontId="9" fillId="8" borderId="0" xfId="16" applyFill="1"/>
    <xf numFmtId="9" fontId="9" fillId="8" borderId="0" xfId="16" applyNumberFormat="1" applyFill="1" applyAlignment="1">
      <alignment horizontal="center"/>
    </xf>
    <xf numFmtId="229" fontId="42" fillId="8" borderId="0" xfId="16" applyNumberFormat="1" applyFont="1" applyFill="1"/>
    <xf numFmtId="0" fontId="9" fillId="8" borderId="0" xfId="16" applyFill="1" applyAlignment="1">
      <alignment horizontal="center"/>
    </xf>
    <xf numFmtId="0" fontId="9" fillId="0" borderId="103" xfId="16" applyBorder="1"/>
    <xf numFmtId="0" fontId="9" fillId="0" borderId="73" xfId="16" applyBorder="1"/>
    <xf numFmtId="3" fontId="9" fillId="8" borderId="101" xfId="16" applyNumberFormat="1" applyFill="1" applyBorder="1" applyAlignment="1">
      <alignment horizontal="center"/>
    </xf>
    <xf numFmtId="229" fontId="42" fillId="8" borderId="104" xfId="16" applyNumberFormat="1" applyFont="1" applyFill="1" applyBorder="1"/>
    <xf numFmtId="0" fontId="9" fillId="8" borderId="75" xfId="16" applyFill="1" applyBorder="1" applyAlignment="1">
      <alignment horizontal="center"/>
    </xf>
    <xf numFmtId="229" fontId="42" fillId="8" borderId="77" xfId="16" applyNumberFormat="1" applyFont="1" applyFill="1" applyBorder="1"/>
    <xf numFmtId="0" fontId="9" fillId="8" borderId="77" xfId="16" applyFill="1" applyBorder="1"/>
    <xf numFmtId="3" fontId="9" fillId="8" borderId="75" xfId="16" applyNumberFormat="1" applyFill="1" applyBorder="1" applyAlignment="1">
      <alignment horizontal="center"/>
    </xf>
    <xf numFmtId="0" fontId="9" fillId="0" borderId="106" xfId="16" applyBorder="1"/>
    <xf numFmtId="0" fontId="9" fillId="8" borderId="5" xfId="16" applyFill="1" applyBorder="1"/>
    <xf numFmtId="0" fontId="9" fillId="8" borderId="4" xfId="16" applyFill="1" applyBorder="1"/>
    <xf numFmtId="0" fontId="9" fillId="0" borderId="75" xfId="16" applyBorder="1"/>
    <xf numFmtId="0" fontId="9" fillId="0" borderId="78" xfId="16" applyBorder="1"/>
    <xf numFmtId="0" fontId="9" fillId="0" borderId="5" xfId="16" applyBorder="1"/>
    <xf numFmtId="0" fontId="9" fillId="0" borderId="0" xfId="16"/>
    <xf numFmtId="0" fontId="9" fillId="0" borderId="4" xfId="16" applyBorder="1"/>
    <xf numFmtId="229" fontId="9" fillId="26" borderId="75" xfId="16" applyNumberFormat="1" applyFill="1" applyBorder="1" applyAlignment="1">
      <alignment horizontal="center" vertical="center"/>
    </xf>
    <xf numFmtId="230" fontId="9" fillId="6" borderId="78" xfId="16" applyNumberFormat="1" applyFill="1" applyBorder="1" applyAlignment="1">
      <alignment horizontal="center" vertical="center"/>
    </xf>
    <xf numFmtId="0" fontId="9" fillId="6" borderId="78" xfId="16" applyFill="1" applyBorder="1" applyAlignment="1">
      <alignment horizontal="center" vertical="center"/>
    </xf>
    <xf numFmtId="0" fontId="9" fillId="6" borderId="73" xfId="16" applyFill="1" applyBorder="1" applyAlignment="1">
      <alignment horizontal="center" vertical="center"/>
    </xf>
    <xf numFmtId="0" fontId="9" fillId="12" borderId="75" xfId="16" applyFill="1" applyBorder="1" applyAlignment="1">
      <alignment horizontal="center" vertical="center" wrapText="1"/>
    </xf>
    <xf numFmtId="0" fontId="9" fillId="12" borderId="78" xfId="16" applyFill="1" applyBorder="1" applyAlignment="1">
      <alignment horizontal="center" vertical="center" wrapText="1"/>
    </xf>
    <xf numFmtId="0" fontId="9" fillId="12" borderId="78" xfId="16" applyFill="1" applyBorder="1" applyAlignment="1">
      <alignment horizontal="center" vertical="center"/>
    </xf>
    <xf numFmtId="0" fontId="9" fillId="26" borderId="73" xfId="16" applyFill="1" applyBorder="1" applyAlignment="1">
      <alignment horizontal="center" vertical="center"/>
    </xf>
    <xf numFmtId="0" fontId="9" fillId="0" borderId="5" xfId="16" applyBorder="1" applyAlignment="1">
      <alignment vertical="center"/>
    </xf>
    <xf numFmtId="0" fontId="9" fillId="0" borderId="0" xfId="16" applyAlignment="1">
      <alignment vertical="center"/>
    </xf>
    <xf numFmtId="0" fontId="9" fillId="0" borderId="4" xfId="16" applyBorder="1" applyAlignment="1">
      <alignment vertical="center"/>
    </xf>
    <xf numFmtId="231" fontId="9" fillId="6" borderId="78" xfId="16" applyNumberFormat="1" applyFill="1" applyBorder="1" applyAlignment="1">
      <alignment horizontal="center" vertical="center"/>
    </xf>
    <xf numFmtId="0" fontId="9" fillId="26" borderId="78" xfId="16" applyFill="1" applyBorder="1" applyAlignment="1">
      <alignment horizontal="center" vertical="center" wrapText="1"/>
    </xf>
    <xf numFmtId="0" fontId="9" fillId="12" borderId="73" xfId="16" applyFill="1" applyBorder="1" applyAlignment="1">
      <alignment horizontal="center" vertical="center"/>
    </xf>
    <xf numFmtId="0" fontId="9" fillId="8" borderId="5" xfId="16" applyFill="1" applyBorder="1" applyAlignment="1">
      <alignment vertical="center"/>
    </xf>
    <xf numFmtId="0" fontId="9" fillId="8" borderId="0" xfId="16" applyFill="1" applyAlignment="1">
      <alignment vertical="center"/>
    </xf>
    <xf numFmtId="0" fontId="9" fillId="8" borderId="4" xfId="16" applyFill="1" applyBorder="1" applyAlignment="1">
      <alignment vertical="center"/>
    </xf>
    <xf numFmtId="229" fontId="9" fillId="6" borderId="101" xfId="16" applyNumberFormat="1" applyFill="1" applyBorder="1" applyAlignment="1">
      <alignment horizontal="center" vertical="center"/>
    </xf>
    <xf numFmtId="3" fontId="9" fillId="6" borderId="102" xfId="16" applyNumberFormat="1" applyFill="1" applyBorder="1" applyAlignment="1">
      <alignment horizontal="center" vertical="center"/>
    </xf>
    <xf numFmtId="0" fontId="9" fillId="6" borderId="103" xfId="16" applyFill="1" applyBorder="1" applyAlignment="1">
      <alignment horizontal="center" vertical="center"/>
    </xf>
    <xf numFmtId="229" fontId="9" fillId="6" borderId="75" xfId="16" applyNumberFormat="1" applyFill="1" applyBorder="1" applyAlignment="1">
      <alignment horizontal="center" vertical="center"/>
    </xf>
    <xf numFmtId="3" fontId="9" fillId="6" borderId="78" xfId="16" applyNumberFormat="1" applyFill="1" applyBorder="1" applyAlignment="1">
      <alignment horizontal="center" vertical="center"/>
    </xf>
    <xf numFmtId="0" fontId="9" fillId="26" borderId="78" xfId="16" applyFill="1" applyBorder="1" applyAlignment="1">
      <alignment horizontal="center" vertical="center"/>
    </xf>
    <xf numFmtId="0" fontId="105" fillId="6" borderId="102" xfId="16" applyFont="1" applyFill="1" applyBorder="1" applyAlignment="1">
      <alignment horizontal="center" vertical="center"/>
    </xf>
    <xf numFmtId="0" fontId="105" fillId="6" borderId="78" xfId="16" applyFont="1" applyFill="1" applyBorder="1" applyAlignment="1">
      <alignment horizontal="center" vertical="center"/>
    </xf>
    <xf numFmtId="0" fontId="9" fillId="12" borderId="107" xfId="16" applyFill="1" applyBorder="1" applyAlignment="1">
      <alignment horizontal="center" vertical="center" wrapText="1"/>
    </xf>
    <xf numFmtId="0" fontId="9" fillId="12" borderId="112" xfId="16" applyFill="1" applyBorder="1" applyAlignment="1">
      <alignment horizontal="center" vertical="center"/>
    </xf>
    <xf numFmtId="0" fontId="106" fillId="0" borderId="0" xfId="16" applyFont="1" applyAlignment="1">
      <alignment horizontal="center" vertical="center" wrapText="1"/>
    </xf>
    <xf numFmtId="0" fontId="106" fillId="0" borderId="83" xfId="16" applyFont="1" applyBorder="1" applyAlignment="1">
      <alignment horizontal="center" vertical="center" wrapText="1"/>
    </xf>
    <xf numFmtId="0" fontId="106" fillId="0" borderId="96" xfId="16" applyFont="1" applyBorder="1" applyAlignment="1">
      <alignment horizontal="center" vertical="center" wrapText="1"/>
    </xf>
    <xf numFmtId="0" fontId="106" fillId="0" borderId="86" xfId="16" applyFont="1" applyBorder="1" applyAlignment="1">
      <alignment horizontal="center" vertical="center" wrapText="1"/>
    </xf>
    <xf numFmtId="0" fontId="106" fillId="0" borderId="89" xfId="16" applyFont="1" applyBorder="1" applyAlignment="1">
      <alignment horizontal="center" vertical="center" wrapText="1"/>
    </xf>
    <xf numFmtId="229" fontId="9" fillId="6" borderId="78" xfId="16" applyNumberFormat="1" applyFill="1" applyBorder="1" applyAlignment="1">
      <alignment horizontal="center" vertical="center"/>
    </xf>
    <xf numFmtId="229" fontId="9" fillId="8" borderId="78" xfId="16" applyNumberFormat="1" applyFill="1" applyBorder="1" applyAlignment="1">
      <alignment vertical="center"/>
    </xf>
    <xf numFmtId="0" fontId="9" fillId="0" borderId="78" xfId="16" applyBorder="1" applyAlignment="1">
      <alignment horizontal="center" vertical="center"/>
    </xf>
    <xf numFmtId="0" fontId="9" fillId="0" borderId="78" xfId="16" applyBorder="1" applyAlignment="1">
      <alignment vertical="center"/>
    </xf>
    <xf numFmtId="229" fontId="9" fillId="6" borderId="47" xfId="16" applyNumberFormat="1" applyFill="1" applyBorder="1" applyAlignment="1">
      <alignment horizontal="center" vertical="center"/>
    </xf>
    <xf numFmtId="0" fontId="9" fillId="0" borderId="47" xfId="16" applyBorder="1" applyAlignment="1">
      <alignment vertical="center"/>
    </xf>
    <xf numFmtId="229" fontId="9" fillId="6" borderId="78" xfId="16" applyNumberFormat="1" applyFill="1" applyBorder="1"/>
    <xf numFmtId="49" fontId="9" fillId="0" borderId="78" xfId="16" applyNumberFormat="1" applyBorder="1" applyAlignment="1">
      <alignment horizontal="center" vertical="center"/>
    </xf>
    <xf numFmtId="0" fontId="9" fillId="0" borderId="78" xfId="16" applyBorder="1" applyAlignment="1">
      <alignment vertical="center" wrapText="1"/>
    </xf>
    <xf numFmtId="0" fontId="107" fillId="20" borderId="66" xfId="16" applyFont="1" applyFill="1" applyBorder="1" applyAlignment="1">
      <alignment horizontal="center" vertical="center" wrapText="1"/>
    </xf>
    <xf numFmtId="0" fontId="107" fillId="20" borderId="47" xfId="16" applyFont="1" applyFill="1" applyBorder="1" applyAlignment="1">
      <alignment horizontal="center" vertical="center" wrapText="1"/>
    </xf>
    <xf numFmtId="0" fontId="0" fillId="15" borderId="0" xfId="0" applyFont="1" applyFill="1" applyBorder="1" applyAlignment="1" applyProtection="1">
      <alignment horizontal="center" wrapText="1"/>
    </xf>
    <xf numFmtId="0" fontId="0" fillId="0" borderId="0" xfId="0" applyFont="1" applyFill="1" applyBorder="1" applyAlignment="1" applyProtection="1">
      <alignment horizontal="left" vertical="top" wrapText="1"/>
    </xf>
    <xf numFmtId="199" fontId="0" fillId="8" borderId="0" xfId="0" applyNumberFormat="1" applyFill="1" applyBorder="1" applyProtection="1"/>
    <xf numFmtId="215" fontId="0" fillId="8" borderId="0" xfId="0" applyNumberFormat="1" applyFill="1" applyBorder="1" applyProtection="1"/>
    <xf numFmtId="0" fontId="2" fillId="32" borderId="78" xfId="0" applyFont="1" applyFill="1" applyBorder="1"/>
    <xf numFmtId="0" fontId="2" fillId="32" borderId="78" xfId="0" applyFont="1" applyFill="1" applyBorder="1" applyAlignment="1">
      <alignment vertical="center"/>
    </xf>
    <xf numFmtId="0" fontId="27" fillId="31" borderId="78" xfId="0" applyFont="1" applyFill="1" applyBorder="1"/>
    <xf numFmtId="0" fontId="99" fillId="18" borderId="78" xfId="0" applyFont="1" applyFill="1" applyBorder="1"/>
    <xf numFmtId="0" fontId="3" fillId="17" borderId="76" xfId="0" applyFont="1" applyFill="1" applyBorder="1"/>
    <xf numFmtId="0" fontId="3" fillId="17" borderId="79" xfId="0" applyFont="1" applyFill="1" applyBorder="1"/>
    <xf numFmtId="0" fontId="3" fillId="17" borderId="77" xfId="0" applyFont="1" applyFill="1" applyBorder="1"/>
    <xf numFmtId="0" fontId="2" fillId="0" borderId="0" xfId="0" applyFont="1" applyBorder="1"/>
    <xf numFmtId="0" fontId="21" fillId="21" borderId="78" xfId="0" applyFont="1" applyFill="1" applyBorder="1" applyAlignment="1">
      <alignment horizontal="left"/>
    </xf>
    <xf numFmtId="164" fontId="20" fillId="8" borderId="0" xfId="1" applyNumberFormat="1" applyFont="1" applyFill="1" applyBorder="1" applyAlignment="1"/>
    <xf numFmtId="0" fontId="8" fillId="8" borderId="78" xfId="0" applyFont="1" applyFill="1" applyBorder="1" applyAlignment="1" applyProtection="1">
      <alignment vertical="center" wrapText="1"/>
    </xf>
    <xf numFmtId="199" fontId="20" fillId="8" borderId="78" xfId="1" applyNumberFormat="1" applyFont="1" applyFill="1" applyBorder="1" applyAlignment="1"/>
    <xf numFmtId="199" fontId="20" fillId="8" borderId="78" xfId="0" applyNumberFormat="1" applyFont="1" applyFill="1" applyBorder="1"/>
    <xf numFmtId="0" fontId="8" fillId="8" borderId="0" xfId="0" applyFont="1" applyFill="1" applyBorder="1" applyAlignment="1" applyProtection="1">
      <alignment vertical="center" wrapText="1"/>
    </xf>
    <xf numFmtId="0" fontId="2" fillId="8" borderId="41" xfId="0" applyFont="1" applyFill="1" applyBorder="1" applyAlignment="1" applyProtection="1">
      <alignment horizontal="center" vertical="center"/>
    </xf>
    <xf numFmtId="0" fontId="27" fillId="8" borderId="5" xfId="0" applyFont="1" applyFill="1" applyBorder="1"/>
    <xf numFmtId="0" fontId="0" fillId="8" borderId="4" xfId="0" applyFill="1" applyBorder="1" applyProtection="1"/>
    <xf numFmtId="9" fontId="0" fillId="8" borderId="5" xfId="0" applyNumberFormat="1" applyFont="1" applyFill="1" applyBorder="1" applyAlignment="1" applyProtection="1"/>
    <xf numFmtId="0" fontId="2" fillId="8" borderId="7" xfId="0" applyFont="1" applyFill="1" applyBorder="1"/>
    <xf numFmtId="0" fontId="0" fillId="0" borderId="16" xfId="0" applyBorder="1"/>
    <xf numFmtId="0" fontId="21" fillId="21" borderId="78" xfId="0" applyFont="1" applyFill="1" applyBorder="1" applyAlignment="1">
      <alignment horizontal="left"/>
    </xf>
    <xf numFmtId="0" fontId="56" fillId="8" borderId="0" xfId="0" applyFont="1" applyFill="1" applyBorder="1" applyAlignment="1">
      <alignment horizontal="left"/>
    </xf>
    <xf numFmtId="0" fontId="0" fillId="8" borderId="15" xfId="0" applyFont="1" applyFill="1" applyBorder="1" applyProtection="1"/>
    <xf numFmtId="0" fontId="0" fillId="8" borderId="15" xfId="0" applyFill="1" applyBorder="1" applyProtection="1"/>
    <xf numFmtId="172" fontId="0" fillId="8" borderId="15" xfId="60857" applyNumberFormat="1" applyFont="1" applyFill="1" applyBorder="1" applyProtection="1"/>
    <xf numFmtId="199" fontId="0" fillId="8" borderId="0" xfId="60857" applyNumberFormat="1" applyFont="1" applyFill="1" applyBorder="1" applyProtection="1"/>
    <xf numFmtId="216" fontId="0" fillId="8" borderId="0" xfId="0" applyNumberFormat="1" applyFill="1" applyBorder="1"/>
    <xf numFmtId="0" fontId="2" fillId="7" borderId="78" xfId="8" applyFont="1" applyFill="1" applyBorder="1" applyProtection="1"/>
    <xf numFmtId="0" fontId="2" fillId="0" borderId="0" xfId="8" applyFont="1" applyFill="1" applyBorder="1" applyProtection="1"/>
    <xf numFmtId="0" fontId="1" fillId="0" borderId="0" xfId="8" applyFont="1" applyBorder="1" applyProtection="1"/>
    <xf numFmtId="0" fontId="1" fillId="0" borderId="0" xfId="8"/>
    <xf numFmtId="9" fontId="0" fillId="9" borderId="78" xfId="6" applyFont="1" applyFill="1" applyBorder="1" applyAlignment="1" applyProtection="1">
      <alignment horizontal="left" vertical="center" wrapText="1"/>
    </xf>
    <xf numFmtId="0" fontId="1" fillId="9" borderId="78" xfId="8" applyFont="1" applyFill="1" applyBorder="1" applyAlignment="1" applyProtection="1">
      <alignment horizontal="center" vertical="center" wrapText="1"/>
    </xf>
    <xf numFmtId="0" fontId="0" fillId="15" borderId="78" xfId="8" applyFont="1" applyFill="1" applyBorder="1" applyAlignment="1" applyProtection="1">
      <alignment horizontal="center" wrapText="1"/>
    </xf>
    <xf numFmtId="0" fontId="0" fillId="8" borderId="78" xfId="0" applyFont="1" applyFill="1" applyBorder="1" applyAlignment="1" applyProtection="1"/>
    <xf numFmtId="0" fontId="0" fillId="8" borderId="78" xfId="0" applyFill="1" applyBorder="1" applyAlignment="1"/>
    <xf numFmtId="0" fontId="56" fillId="0" borderId="0" xfId="0" applyFont="1" applyBorder="1" applyAlignment="1">
      <alignment horizontal="left"/>
    </xf>
    <xf numFmtId="0" fontId="56" fillId="8" borderId="0" xfId="0" applyFont="1" applyFill="1" applyBorder="1" applyAlignment="1">
      <alignment horizontal="left"/>
    </xf>
    <xf numFmtId="0" fontId="0" fillId="8" borderId="63" xfId="0" applyFill="1" applyBorder="1"/>
    <xf numFmtId="0" fontId="2" fillId="8" borderId="80" xfId="0" applyFont="1" applyFill="1" applyBorder="1"/>
    <xf numFmtId="0" fontId="2" fillId="18" borderId="76" xfId="0" applyFont="1" applyFill="1" applyBorder="1"/>
    <xf numFmtId="0" fontId="2" fillId="18" borderId="80" xfId="0" applyFont="1" applyFill="1" applyBorder="1"/>
    <xf numFmtId="0" fontId="2" fillId="18" borderId="78" xfId="0" applyFont="1" applyFill="1" applyBorder="1"/>
    <xf numFmtId="0" fontId="0" fillId="0" borderId="0" xfId="0" applyFont="1" applyFill="1" applyBorder="1" applyAlignment="1" applyProtection="1">
      <alignment horizontal="left" vertical="top" wrapText="1"/>
    </xf>
    <xf numFmtId="2" fontId="0" fillId="8" borderId="0" xfId="1" applyNumberFormat="1" applyFont="1" applyFill="1" applyBorder="1" applyAlignment="1" applyProtection="1">
      <alignment horizontal="left" indent="2"/>
    </xf>
    <xf numFmtId="0" fontId="2" fillId="35" borderId="78" xfId="0" applyFont="1" applyFill="1" applyBorder="1"/>
    <xf numFmtId="0" fontId="0" fillId="0" borderId="0" xfId="0"/>
    <xf numFmtId="9" fontId="0" fillId="6" borderId="78" xfId="2" applyFont="1" applyFill="1" applyBorder="1" applyAlignment="1" applyProtection="1">
      <alignment horizontal="center" vertical="center" wrapText="1"/>
    </xf>
    <xf numFmtId="0" fontId="0" fillId="0" borderId="0" xfId="0"/>
    <xf numFmtId="0" fontId="2" fillId="35" borderId="78" xfId="0" applyFont="1" applyFill="1" applyBorder="1" applyAlignment="1">
      <alignment wrapText="1"/>
    </xf>
    <xf numFmtId="0" fontId="2" fillId="35" borderId="78" xfId="0" applyFont="1" applyFill="1" applyBorder="1" applyProtection="1"/>
    <xf numFmtId="0" fontId="0" fillId="0" borderId="0" xfId="0"/>
    <xf numFmtId="9" fontId="0" fillId="6" borderId="78" xfId="2" applyFont="1" applyFill="1" applyBorder="1" applyAlignment="1" applyProtection="1">
      <alignment horizontal="center" vertical="center" wrapText="1"/>
    </xf>
    <xf numFmtId="0" fontId="0" fillId="6" borderId="78" xfId="2" applyNumberFormat="1" applyFont="1" applyFill="1" applyBorder="1" applyAlignment="1" applyProtection="1">
      <alignment horizontal="center" vertical="center" wrapText="1"/>
    </xf>
    <xf numFmtId="0" fontId="2" fillId="8" borderId="78" xfId="0" applyFont="1" applyFill="1" applyBorder="1" applyAlignment="1">
      <alignment vertical="center"/>
    </xf>
    <xf numFmtId="0" fontId="44" fillId="46" borderId="7" xfId="0" applyFont="1" applyFill="1" applyBorder="1" applyAlignment="1" applyProtection="1">
      <alignment horizontal="center" vertical="center"/>
      <protection locked="0"/>
    </xf>
    <xf numFmtId="9" fontId="0" fillId="8" borderId="78" xfId="2" applyFont="1" applyFill="1" applyBorder="1" applyAlignment="1" applyProtection="1">
      <alignment horizontal="center" vertical="center" wrapText="1"/>
    </xf>
    <xf numFmtId="9" fontId="0" fillId="47" borderId="78" xfId="2" applyFont="1" applyFill="1" applyBorder="1" applyAlignment="1" applyProtection="1">
      <alignment horizontal="center" vertical="center" wrapText="1"/>
    </xf>
    <xf numFmtId="9" fontId="2" fillId="8" borderId="78" xfId="2" applyFont="1" applyFill="1" applyBorder="1" applyAlignment="1" applyProtection="1">
      <alignment horizontal="left" vertical="center" wrapText="1"/>
    </xf>
    <xf numFmtId="9" fontId="0" fillId="6" borderId="76" xfId="2" applyFont="1" applyFill="1" applyBorder="1" applyAlignment="1" applyProtection="1">
      <alignment horizontal="center" vertical="center" wrapText="1"/>
    </xf>
    <xf numFmtId="9" fontId="0" fillId="8" borderId="76" xfId="2" applyFont="1" applyFill="1" applyBorder="1" applyAlignment="1" applyProtection="1">
      <alignment horizontal="center" vertical="center" wrapText="1"/>
    </xf>
    <xf numFmtId="0" fontId="2" fillId="45" borderId="78" xfId="0" applyFont="1" applyFill="1" applyBorder="1" applyAlignment="1" applyProtection="1">
      <alignment horizontal="center" vertical="center" wrapText="1"/>
    </xf>
    <xf numFmtId="0" fontId="0" fillId="0" borderId="0" xfId="0"/>
    <xf numFmtId="0" fontId="0" fillId="8" borderId="78" xfId="0" applyFill="1" applyBorder="1"/>
    <xf numFmtId="0" fontId="0" fillId="0" borderId="0" xfId="0" applyFont="1" applyBorder="1" applyAlignment="1" applyProtection="1">
      <alignment wrapText="1"/>
    </xf>
    <xf numFmtId="0" fontId="0" fillId="0" borderId="0" xfId="0" applyFont="1" applyFill="1" applyBorder="1" applyAlignment="1" applyProtection="1">
      <alignment wrapText="1"/>
    </xf>
    <xf numFmtId="181" fontId="54" fillId="27" borderId="78" xfId="0" applyNumberFormat="1" applyFont="1" applyFill="1" applyBorder="1"/>
    <xf numFmtId="0" fontId="0" fillId="26" borderId="78" xfId="0" applyFill="1" applyBorder="1"/>
    <xf numFmtId="231" fontId="0" fillId="26" borderId="78" xfId="0" applyNumberFormat="1" applyFill="1" applyBorder="1"/>
    <xf numFmtId="0" fontId="2" fillId="8" borderId="0" xfId="0" applyFont="1" applyFill="1" applyBorder="1"/>
    <xf numFmtId="0" fontId="0" fillId="48" borderId="78" xfId="0" applyFill="1" applyBorder="1"/>
    <xf numFmtId="0" fontId="2" fillId="8" borderId="78" xfId="0" applyFont="1" applyFill="1" applyBorder="1" applyAlignment="1">
      <alignment horizontal="center" wrapText="1"/>
    </xf>
    <xf numFmtId="0" fontId="2" fillId="8" borderId="78" xfId="0" applyFont="1" applyFill="1" applyBorder="1" applyAlignment="1">
      <alignment horizontal="center" vertical="center" wrapText="1"/>
    </xf>
    <xf numFmtId="0" fontId="0" fillId="8" borderId="78" xfId="0" applyFill="1" applyBorder="1" applyAlignment="1">
      <alignment horizontal="center" wrapText="1"/>
    </xf>
    <xf numFmtId="44" fontId="0" fillId="8" borderId="78" xfId="0" applyNumberFormat="1" applyFill="1" applyBorder="1" applyAlignment="1">
      <alignment horizontal="center"/>
    </xf>
    <xf numFmtId="173" fontId="0" fillId="8" borderId="78" xfId="0" applyNumberFormat="1" applyFill="1" applyBorder="1" applyAlignment="1">
      <alignment horizontal="center"/>
    </xf>
    <xf numFmtId="44" fontId="0" fillId="8" borderId="78" xfId="0" applyNumberFormat="1" applyFill="1" applyBorder="1" applyAlignment="1">
      <alignment horizontal="right"/>
    </xf>
    <xf numFmtId="173" fontId="0" fillId="8" borderId="78" xfId="0" applyNumberFormat="1" applyFill="1" applyBorder="1" applyAlignment="1">
      <alignment horizontal="right"/>
    </xf>
    <xf numFmtId="0" fontId="0" fillId="0" borderId="0" xfId="0" applyFont="1" applyFill="1" applyBorder="1" applyAlignment="1" applyProtection="1">
      <alignment horizontal="left" vertical="top" wrapText="1"/>
    </xf>
    <xf numFmtId="0" fontId="21" fillId="21" borderId="72" xfId="0" applyFont="1" applyFill="1" applyBorder="1" applyAlignment="1">
      <alignment horizontal="left"/>
    </xf>
    <xf numFmtId="0" fontId="21" fillId="21" borderId="78" xfId="0" applyFont="1" applyFill="1" applyBorder="1" applyAlignment="1">
      <alignment horizontal="left"/>
    </xf>
    <xf numFmtId="0" fontId="22" fillId="8" borderId="0" xfId="0" applyFont="1" applyFill="1" applyBorder="1" applyAlignment="1">
      <alignment wrapText="1"/>
    </xf>
    <xf numFmtId="199" fontId="7" fillId="8" borderId="0" xfId="1" applyNumberFormat="1" applyFont="1" applyFill="1" applyBorder="1" applyProtection="1"/>
    <xf numFmtId="0" fontId="2" fillId="48" borderId="78" xfId="0" applyFont="1" applyFill="1" applyBorder="1" applyAlignment="1">
      <alignment vertical="center"/>
    </xf>
    <xf numFmtId="0" fontId="6" fillId="48" borderId="78" xfId="0" applyFont="1" applyFill="1" applyBorder="1" applyAlignment="1">
      <alignment vertical="center"/>
    </xf>
    <xf numFmtId="0" fontId="21" fillId="21" borderId="72" xfId="0" applyFont="1" applyFill="1" applyBorder="1" applyAlignment="1">
      <alignment horizontal="left"/>
    </xf>
    <xf numFmtId="0" fontId="21" fillId="21" borderId="78" xfId="0" applyFont="1" applyFill="1" applyBorder="1" applyAlignment="1">
      <alignment horizontal="left"/>
    </xf>
    <xf numFmtId="231" fontId="0" fillId="8" borderId="78" xfId="0" applyNumberFormat="1" applyFill="1" applyBorder="1"/>
    <xf numFmtId="201" fontId="0" fillId="8" borderId="0" xfId="0" applyNumberFormat="1" applyFill="1" applyBorder="1" applyAlignment="1">
      <alignment horizontal="left"/>
    </xf>
    <xf numFmtId="201" fontId="0" fillId="8" borderId="0" xfId="0" applyNumberFormat="1" applyFill="1" applyBorder="1" applyAlignment="1">
      <alignment horizontal="left" vertical="top"/>
    </xf>
    <xf numFmtId="0" fontId="0" fillId="18" borderId="0" xfId="0" applyFill="1" applyBorder="1"/>
    <xf numFmtId="0" fontId="0" fillId="9" borderId="78" xfId="0" applyFont="1" applyFill="1" applyBorder="1" applyAlignment="1">
      <alignment horizontal="center" vertical="center" wrapText="1"/>
    </xf>
    <xf numFmtId="0" fontId="0" fillId="18" borderId="78" xfId="0" applyFont="1" applyFill="1" applyBorder="1" applyAlignment="1">
      <alignment vertical="center" wrapText="1"/>
    </xf>
    <xf numFmtId="0" fontId="0" fillId="8" borderId="78" xfId="0" applyFont="1" applyFill="1" applyBorder="1" applyAlignment="1">
      <alignment vertical="center" wrapText="1"/>
    </xf>
    <xf numFmtId="0" fontId="20" fillId="24" borderId="68" xfId="0" quotePrefix="1" applyNumberFormat="1" applyFont="1" applyFill="1" applyBorder="1" applyProtection="1">
      <protection locked="0"/>
    </xf>
    <xf numFmtId="0" fontId="21" fillId="21" borderId="72" xfId="0" applyFont="1" applyFill="1" applyBorder="1" applyAlignment="1">
      <alignment horizontal="left"/>
    </xf>
    <xf numFmtId="0" fontId="21" fillId="21" borderId="72" xfId="0" applyFont="1" applyFill="1" applyBorder="1" applyAlignment="1">
      <alignment horizontal="left"/>
    </xf>
    <xf numFmtId="0" fontId="0" fillId="8" borderId="78" xfId="0" applyFill="1" applyBorder="1" applyAlignment="1">
      <alignment vertical="center" wrapText="1"/>
    </xf>
    <xf numFmtId="44" fontId="0" fillId="8" borderId="78" xfId="0" applyNumberFormat="1" applyFill="1" applyBorder="1" applyAlignment="1">
      <alignment vertical="center" wrapText="1"/>
    </xf>
    <xf numFmtId="0" fontId="2" fillId="49" borderId="78" xfId="0" applyFont="1" applyFill="1" applyBorder="1" applyAlignment="1">
      <alignment vertical="center"/>
    </xf>
    <xf numFmtId="0" fontId="0" fillId="49" borderId="78" xfId="0" applyFill="1" applyBorder="1" applyAlignment="1">
      <alignment horizontal="center" vertical="center"/>
    </xf>
    <xf numFmtId="0" fontId="2" fillId="49" borderId="78" xfId="0" applyFont="1" applyFill="1" applyBorder="1" applyAlignment="1">
      <alignment horizontal="center" vertical="center"/>
    </xf>
    <xf numFmtId="201" fontId="2" fillId="49" borderId="78" xfId="0" applyNumberFormat="1" applyFont="1" applyFill="1" applyBorder="1" applyAlignment="1">
      <alignment horizontal="center" vertical="center"/>
    </xf>
    <xf numFmtId="0" fontId="0" fillId="49" borderId="0" xfId="0" applyFill="1"/>
    <xf numFmtId="0" fontId="2" fillId="25" borderId="78" xfId="0" applyFont="1" applyFill="1" applyBorder="1" applyAlignment="1">
      <alignment vertical="center"/>
    </xf>
    <xf numFmtId="0" fontId="0" fillId="25" borderId="78" xfId="0" applyFill="1" applyBorder="1" applyAlignment="1">
      <alignment horizontal="center" vertical="center"/>
    </xf>
    <xf numFmtId="0" fontId="2" fillId="25" borderId="78" xfId="0" applyFont="1" applyFill="1" applyBorder="1" applyAlignment="1">
      <alignment horizontal="center" vertical="center"/>
    </xf>
    <xf numFmtId="201" fontId="2" fillId="25" borderId="78" xfId="0" applyNumberFormat="1" applyFont="1" applyFill="1" applyBorder="1" applyAlignment="1">
      <alignment horizontal="center" vertical="center"/>
    </xf>
    <xf numFmtId="0" fontId="2" fillId="50" borderId="78" xfId="0" applyFont="1" applyFill="1" applyBorder="1" applyAlignment="1">
      <alignment vertical="center"/>
    </xf>
    <xf numFmtId="0" fontId="0" fillId="50" borderId="78" xfId="0" applyFill="1" applyBorder="1" applyAlignment="1">
      <alignment horizontal="center" vertical="center"/>
    </xf>
    <xf numFmtId="0" fontId="2" fillId="50" borderId="78" xfId="0" applyFont="1" applyFill="1" applyBorder="1" applyAlignment="1">
      <alignment horizontal="center" vertical="center"/>
    </xf>
    <xf numFmtId="201" fontId="2" fillId="50" borderId="78" xfId="0" applyNumberFormat="1" applyFont="1" applyFill="1" applyBorder="1" applyAlignment="1">
      <alignment horizontal="center" vertical="center"/>
    </xf>
    <xf numFmtId="0" fontId="0" fillId="50" borderId="0" xfId="0" applyFill="1"/>
    <xf numFmtId="0" fontId="6" fillId="32" borderId="78" xfId="0" applyFont="1" applyFill="1" applyBorder="1" applyAlignment="1">
      <alignment vertical="center"/>
    </xf>
    <xf numFmtId="0" fontId="6" fillId="25" borderId="78" xfId="0" applyFont="1" applyFill="1" applyBorder="1" applyAlignment="1">
      <alignment vertical="center"/>
    </xf>
    <xf numFmtId="0" fontId="20" fillId="24" borderId="47" xfId="0" applyFont="1" applyFill="1" applyBorder="1" applyAlignment="1" applyProtection="1">
      <alignment horizontal="center" vertical="center"/>
      <protection locked="0"/>
    </xf>
    <xf numFmtId="164" fontId="20" fillId="0" borderId="77" xfId="1" applyFont="1" applyFill="1" applyBorder="1"/>
    <xf numFmtId="0" fontId="20" fillId="8" borderId="68" xfId="0" applyFont="1" applyFill="1" applyBorder="1" applyAlignment="1" applyProtection="1">
      <alignment horizontal="left" vertical="center"/>
      <protection locked="0"/>
    </xf>
    <xf numFmtId="0" fontId="20" fillId="0" borderId="7" xfId="0" applyFont="1" applyFill="1" applyBorder="1"/>
    <xf numFmtId="0" fontId="0" fillId="0" borderId="0" xfId="0" applyFont="1" applyFill="1" applyBorder="1" applyAlignment="1" applyProtection="1">
      <alignment horizontal="left" vertical="top" wrapText="1"/>
    </xf>
    <xf numFmtId="0" fontId="0" fillId="9" borderId="78" xfId="0" applyFont="1" applyFill="1" applyBorder="1" applyAlignment="1" applyProtection="1">
      <alignment horizontal="center" wrapText="1"/>
    </xf>
    <xf numFmtId="0" fontId="2" fillId="7" borderId="78" xfId="0" applyFont="1" applyFill="1" applyBorder="1"/>
    <xf numFmtId="216" fontId="0" fillId="0" borderId="0" xfId="0" applyNumberFormat="1"/>
    <xf numFmtId="0" fontId="0" fillId="9" borderId="78" xfId="0" applyFill="1" applyBorder="1" applyAlignment="1">
      <alignment horizontal="center" vertical="center" wrapText="1"/>
    </xf>
    <xf numFmtId="0" fontId="0" fillId="9" borderId="78" xfId="0" applyFill="1" applyBorder="1" applyAlignment="1">
      <alignment horizontal="center" wrapText="1"/>
    </xf>
    <xf numFmtId="0" fontId="0" fillId="52" borderId="78" xfId="0" applyFill="1" applyBorder="1" applyAlignment="1">
      <alignment horizontal="center" wrapText="1"/>
    </xf>
    <xf numFmtId="0" fontId="0" fillId="15" borderId="78" xfId="0" applyFill="1" applyBorder="1" applyAlignment="1">
      <alignment horizontal="center" wrapText="1"/>
    </xf>
    <xf numFmtId="0" fontId="7" fillId="6" borderId="78" xfId="0" applyFont="1" applyFill="1" applyBorder="1" applyAlignment="1">
      <alignment horizontal="center" vertical="top" wrapText="1"/>
    </xf>
    <xf numFmtId="0" fontId="7" fillId="53" borderId="78" xfId="0" applyFont="1" applyFill="1" applyBorder="1" applyAlignment="1">
      <alignment horizontal="center" vertical="top" wrapText="1"/>
    </xf>
    <xf numFmtId="0" fontId="7" fillId="38" borderId="78" xfId="0" applyFont="1" applyFill="1" applyBorder="1" applyAlignment="1">
      <alignment horizontal="center" vertical="top" wrapText="1"/>
    </xf>
    <xf numFmtId="0" fontId="110" fillId="8" borderId="78" xfId="0" applyFont="1" applyFill="1" applyBorder="1"/>
    <xf numFmtId="0" fontId="0" fillId="8" borderId="47" xfId="0" applyFill="1" applyBorder="1" applyAlignment="1">
      <alignment wrapText="1"/>
    </xf>
    <xf numFmtId="0" fontId="0" fillId="8" borderId="89" xfId="0" applyFill="1" applyBorder="1" applyAlignment="1">
      <alignment wrapText="1"/>
    </xf>
    <xf numFmtId="0" fontId="0" fillId="0" borderId="77" xfId="0" applyBorder="1"/>
    <xf numFmtId="181" fontId="0" fillId="8" borderId="78" xfId="0" applyNumberFormat="1" applyFill="1" applyBorder="1"/>
    <xf numFmtId="166" fontId="0" fillId="8" borderId="78" xfId="60852" applyNumberFormat="1" applyFont="1" applyFill="1" applyBorder="1" applyProtection="1"/>
    <xf numFmtId="164" fontId="0" fillId="8" borderId="78" xfId="0" applyNumberFormat="1" applyFont="1" applyFill="1" applyBorder="1" applyAlignment="1" applyProtection="1">
      <alignment wrapText="1"/>
    </xf>
    <xf numFmtId="0" fontId="0" fillId="9" borderId="47" xfId="0" applyFont="1" applyFill="1" applyBorder="1" applyAlignment="1" applyProtection="1">
      <alignment horizontal="center" vertical="center" wrapText="1"/>
    </xf>
    <xf numFmtId="0" fontId="0" fillId="0" borderId="0" xfId="0" applyFill="1"/>
    <xf numFmtId="0" fontId="0" fillId="8" borderId="0" xfId="0" applyFill="1" applyBorder="1" applyProtection="1"/>
    <xf numFmtId="0" fontId="0" fillId="8" borderId="0" xfId="0" applyFill="1" applyBorder="1" applyProtection="1"/>
    <xf numFmtId="0" fontId="0" fillId="8" borderId="0" xfId="0" applyFill="1"/>
    <xf numFmtId="0" fontId="0" fillId="8" borderId="0" xfId="0" applyFill="1" applyBorder="1" applyProtection="1"/>
    <xf numFmtId="0" fontId="0" fillId="8" borderId="0" xfId="0" applyFill="1"/>
    <xf numFmtId="199" fontId="0" fillId="8" borderId="78" xfId="2" applyNumberFormat="1" applyFont="1" applyFill="1" applyBorder="1" applyAlignment="1" applyProtection="1">
      <alignment horizontal="left"/>
    </xf>
    <xf numFmtId="0" fontId="0" fillId="8" borderId="78" xfId="0" applyFont="1" applyFill="1" applyBorder="1" applyProtection="1"/>
    <xf numFmtId="0" fontId="0" fillId="0" borderId="0" xfId="0"/>
    <xf numFmtId="0" fontId="0" fillId="0" borderId="0" xfId="0" applyFill="1" applyBorder="1" applyProtection="1"/>
    <xf numFmtId="0" fontId="0" fillId="0" borderId="4" xfId="0" applyBorder="1"/>
    <xf numFmtId="0" fontId="0" fillId="0" borderId="0" xfId="0" applyFont="1" applyFill="1" applyBorder="1" applyAlignment="1" applyProtection="1">
      <alignment vertical="top" wrapText="1"/>
    </xf>
    <xf numFmtId="0" fontId="0" fillId="0" borderId="5" xfId="0" applyBorder="1"/>
    <xf numFmtId="0" fontId="2" fillId="8" borderId="80" xfId="0" applyFont="1" applyFill="1" applyBorder="1"/>
    <xf numFmtId="0" fontId="0" fillId="8" borderId="64" xfId="0" applyFill="1" applyBorder="1"/>
    <xf numFmtId="0" fontId="0" fillId="8" borderId="78" xfId="0" applyFill="1" applyBorder="1"/>
    <xf numFmtId="0" fontId="0" fillId="8" borderId="0" xfId="0" applyFill="1" applyBorder="1"/>
    <xf numFmtId="0" fontId="0" fillId="0" borderId="0" xfId="0" applyFill="1"/>
    <xf numFmtId="0" fontId="28" fillId="54" borderId="15" xfId="0" applyFont="1" applyFill="1" applyBorder="1"/>
    <xf numFmtId="0" fontId="28" fillId="0" borderId="0" xfId="0" applyFont="1"/>
    <xf numFmtId="9" fontId="82" fillId="55" borderId="78" xfId="2" applyFont="1" applyFill="1" applyBorder="1" applyAlignment="1" applyProtection="1">
      <alignment horizontal="left" vertical="center" wrapText="1"/>
    </xf>
    <xf numFmtId="0" fontId="82" fillId="55" borderId="78" xfId="0" applyFont="1" applyFill="1" applyBorder="1" applyAlignment="1">
      <alignment horizontal="center" vertical="center" wrapText="1"/>
    </xf>
    <xf numFmtId="0" fontId="82" fillId="55" borderId="76" xfId="0" applyFont="1" applyFill="1" applyBorder="1" applyAlignment="1">
      <alignment horizontal="center" vertical="center" wrapText="1"/>
    </xf>
    <xf numFmtId="0" fontId="0" fillId="26" borderId="0" xfId="0" applyFill="1" applyBorder="1" applyProtection="1"/>
    <xf numFmtId="0" fontId="2" fillId="26" borderId="0" xfId="0" applyFont="1" applyFill="1" applyBorder="1" applyProtection="1"/>
    <xf numFmtId="0" fontId="0" fillId="26" borderId="4" xfId="0" applyFill="1" applyBorder="1"/>
    <xf numFmtId="9" fontId="27" fillId="26" borderId="5" xfId="0" applyNumberFormat="1" applyFont="1" applyFill="1" applyBorder="1" applyAlignment="1" applyProtection="1"/>
    <xf numFmtId="0" fontId="0" fillId="26" borderId="4" xfId="0" applyFill="1" applyBorder="1" applyProtection="1"/>
    <xf numFmtId="9" fontId="0" fillId="26" borderId="5" xfId="0" applyNumberFormat="1" applyFont="1" applyFill="1" applyBorder="1" applyAlignment="1" applyProtection="1"/>
    <xf numFmtId="0" fontId="0" fillId="26" borderId="0" xfId="0" applyFill="1" applyBorder="1"/>
    <xf numFmtId="2" fontId="0" fillId="0" borderId="0" xfId="0" applyNumberFormat="1" applyFill="1" applyBorder="1" applyProtection="1"/>
    <xf numFmtId="0" fontId="0" fillId="0" borderId="0" xfId="0" applyNumberFormat="1" applyFont="1" applyBorder="1" applyAlignment="1" applyProtection="1"/>
    <xf numFmtId="201" fontId="0" fillId="0" borderId="78" xfId="0" applyNumberFormat="1" applyFont="1" applyBorder="1" applyAlignment="1" applyProtection="1"/>
    <xf numFmtId="0" fontId="0" fillId="8" borderId="16" xfId="0" applyFill="1" applyBorder="1"/>
    <xf numFmtId="0" fontId="0" fillId="8" borderId="85" xfId="0" applyFill="1" applyBorder="1"/>
    <xf numFmtId="0" fontId="0" fillId="20" borderId="76" xfId="0" applyFill="1" applyBorder="1"/>
    <xf numFmtId="0" fontId="0" fillId="0" borderId="0" xfId="0" applyNumberFormat="1" applyFill="1" applyBorder="1" applyProtection="1"/>
    <xf numFmtId="227" fontId="0" fillId="0" borderId="78" xfId="0" applyNumberFormat="1" applyBorder="1"/>
    <xf numFmtId="201" fontId="0" fillId="0" borderId="78" xfId="0" applyNumberFormat="1" applyFill="1" applyBorder="1" applyAlignment="1" applyProtection="1">
      <alignment wrapText="1"/>
    </xf>
    <xf numFmtId="201" fontId="0" fillId="0" borderId="78" xfId="0" applyNumberFormat="1" applyBorder="1" applyAlignment="1">
      <alignment horizontal="right" vertical="top"/>
    </xf>
    <xf numFmtId="201" fontId="0" fillId="0" borderId="78" xfId="0" applyNumberFormat="1" applyBorder="1" applyAlignment="1">
      <alignment horizontal="right" vertical="top" wrapText="1"/>
    </xf>
    <xf numFmtId="164" fontId="20" fillId="14" borderId="0" xfId="0" applyNumberFormat="1" applyFont="1" applyFill="1" applyBorder="1"/>
    <xf numFmtId="181" fontId="0" fillId="20" borderId="78" xfId="0" applyNumberFormat="1" applyFill="1" applyBorder="1"/>
    <xf numFmtId="166" fontId="0" fillId="20" borderId="78" xfId="1" applyNumberFormat="1" applyFont="1" applyFill="1" applyBorder="1" applyProtection="1"/>
    <xf numFmtId="166" fontId="0" fillId="0" borderId="78" xfId="60852" applyNumberFormat="1" applyFont="1" applyFill="1" applyBorder="1" applyProtection="1"/>
    <xf numFmtId="0" fontId="111" fillId="0" borderId="0" xfId="0" applyFont="1" applyAlignment="1">
      <alignment vertical="center" wrapText="1"/>
    </xf>
    <xf numFmtId="0" fontId="0" fillId="0" borderId="0" xfId="0" applyBorder="1" applyAlignment="1">
      <alignment vertical="center" wrapText="1"/>
    </xf>
    <xf numFmtId="8" fontId="0" fillId="0" borderId="0" xfId="0" applyNumberFormat="1" applyBorder="1" applyAlignment="1">
      <alignment vertical="center" wrapText="1"/>
    </xf>
    <xf numFmtId="200" fontId="0" fillId="0" borderId="78" xfId="0" applyNumberFormat="1" applyBorder="1" applyAlignment="1">
      <alignment vertical="center" wrapText="1"/>
    </xf>
    <xf numFmtId="0" fontId="0" fillId="0" borderId="0" xfId="0" applyFont="1" applyFill="1" applyBorder="1" applyAlignment="1" applyProtection="1">
      <alignment horizontal="left" vertical="top" wrapText="1"/>
    </xf>
    <xf numFmtId="9" fontId="27" fillId="8" borderId="5" xfId="0" applyNumberFormat="1" applyFont="1" applyFill="1" applyBorder="1" applyAlignment="1" applyProtection="1"/>
    <xf numFmtId="0" fontId="21" fillId="21" borderId="78" xfId="0" applyFont="1" applyFill="1" applyBorder="1" applyAlignment="1">
      <alignment horizontal="left"/>
    </xf>
    <xf numFmtId="0" fontId="104" fillId="51" borderId="78" xfId="0" applyFont="1" applyFill="1" applyBorder="1" applyAlignment="1">
      <alignment vertical="center" wrapText="1"/>
    </xf>
    <xf numFmtId="0" fontId="113" fillId="51" borderId="78" xfId="0" applyFont="1" applyFill="1" applyBorder="1" applyAlignment="1">
      <alignment vertical="center" wrapText="1"/>
    </xf>
    <xf numFmtId="0" fontId="2" fillId="51" borderId="78" xfId="0" applyFont="1" applyFill="1" applyBorder="1"/>
    <xf numFmtId="0" fontId="108" fillId="0" borderId="78" xfId="0" applyFont="1" applyBorder="1" applyAlignment="1">
      <alignment horizontal="center" vertical="center" wrapText="1"/>
    </xf>
    <xf numFmtId="0" fontId="115" fillId="0" borderId="78" xfId="0" applyFont="1" applyBorder="1" applyAlignment="1">
      <alignment horizontal="center" vertical="center" wrapText="1"/>
    </xf>
    <xf numFmtId="0" fontId="20" fillId="24" borderId="78" xfId="0" applyFont="1" applyFill="1" applyBorder="1"/>
    <xf numFmtId="164" fontId="20" fillId="0" borderId="78" xfId="1" applyFont="1" applyFill="1" applyBorder="1" applyAlignment="1"/>
    <xf numFmtId="0" fontId="20" fillId="0" borderId="78" xfId="0" applyFont="1" applyBorder="1"/>
    <xf numFmtId="227" fontId="0" fillId="0" borderId="0" xfId="0" applyNumberFormat="1" applyFill="1" applyBorder="1" applyProtection="1"/>
    <xf numFmtId="227" fontId="0" fillId="0" borderId="78" xfId="0" applyNumberFormat="1" applyFill="1" applyBorder="1" applyAlignment="1" applyProtection="1">
      <alignment wrapText="1"/>
    </xf>
    <xf numFmtId="0" fontId="116" fillId="0" borderId="0" xfId="0" applyFont="1" applyFill="1" applyBorder="1" applyAlignment="1" applyProtection="1">
      <alignment horizontal="right" wrapText="1"/>
    </xf>
    <xf numFmtId="209" fontId="116" fillId="0" borderId="0" xfId="1" applyNumberFormat="1" applyFont="1" applyFill="1" applyBorder="1" applyAlignment="1" applyProtection="1">
      <alignment horizontal="left" wrapText="1"/>
    </xf>
    <xf numFmtId="0" fontId="116" fillId="0" borderId="0" xfId="0" applyFont="1" applyFill="1" applyBorder="1" applyAlignment="1" applyProtection="1">
      <alignment wrapText="1"/>
    </xf>
    <xf numFmtId="227" fontId="116" fillId="0" borderId="0" xfId="0" applyNumberFormat="1" applyFont="1" applyFill="1" applyBorder="1" applyAlignment="1" applyProtection="1">
      <alignment wrapText="1"/>
    </xf>
    <xf numFmtId="3" fontId="0" fillId="8" borderId="33" xfId="0" applyNumberFormat="1" applyFill="1" applyBorder="1" applyProtection="1"/>
    <xf numFmtId="201" fontId="0" fillId="8" borderId="78" xfId="0" quotePrefix="1" applyNumberFormat="1" applyFill="1" applyBorder="1" applyAlignment="1">
      <alignment horizontal="right" vertical="center" wrapText="1"/>
    </xf>
    <xf numFmtId="227" fontId="0" fillId="8" borderId="78" xfId="0" applyNumberFormat="1" applyFill="1" applyBorder="1" applyAlignment="1">
      <alignment vertical="center" wrapText="1"/>
    </xf>
    <xf numFmtId="170" fontId="0" fillId="8" borderId="31" xfId="1" applyNumberFormat="1" applyFont="1" applyFill="1" applyBorder="1" applyAlignment="1" applyProtection="1">
      <alignment vertical="center"/>
    </xf>
    <xf numFmtId="164" fontId="20" fillId="0" borderId="68" xfId="1" applyNumberFormat="1" applyFont="1" applyFill="1" applyBorder="1" applyAlignment="1">
      <alignment horizontal="center" vertical="center"/>
    </xf>
    <xf numFmtId="186" fontId="20" fillId="24" borderId="68" xfId="0" applyNumberFormat="1" applyFont="1" applyFill="1" applyBorder="1" applyAlignment="1" applyProtection="1">
      <alignment horizontal="center" vertical="center"/>
      <protection locked="0"/>
    </xf>
    <xf numFmtId="164" fontId="20" fillId="0" borderId="68" xfId="0" applyNumberFormat="1" applyFont="1" applyFill="1" applyBorder="1" applyAlignment="1">
      <alignment horizontal="center" vertical="center"/>
    </xf>
    <xf numFmtId="9" fontId="20" fillId="24" borderId="68" xfId="0" applyNumberFormat="1" applyFont="1" applyFill="1" applyBorder="1" applyAlignment="1" applyProtection="1">
      <alignment horizontal="center" vertical="center"/>
      <protection locked="0"/>
    </xf>
    <xf numFmtId="0" fontId="2" fillId="0" borderId="0" xfId="0" applyFont="1" applyFill="1" applyAlignment="1">
      <alignment horizontal="left" wrapText="1"/>
    </xf>
    <xf numFmtId="227" fontId="0" fillId="0" borderId="0" xfId="0" applyNumberFormat="1"/>
    <xf numFmtId="199" fontId="29" fillId="27" borderId="78" xfId="1" applyNumberFormat="1" applyFont="1" applyFill="1" applyBorder="1" applyAlignment="1">
      <alignment horizontal="right" wrapText="1" readingOrder="1"/>
    </xf>
    <xf numFmtId="0" fontId="100" fillId="8" borderId="78" xfId="0" applyFont="1" applyFill="1" applyBorder="1" applyAlignment="1">
      <alignment wrapText="1"/>
    </xf>
    <xf numFmtId="0" fontId="0" fillId="8" borderId="77" xfId="0" applyFill="1" applyBorder="1" applyAlignment="1">
      <alignment horizontal="left"/>
    </xf>
    <xf numFmtId="199" fontId="29" fillId="27" borderId="47" xfId="1" applyNumberFormat="1" applyFont="1" applyFill="1" applyBorder="1" applyAlignment="1">
      <alignment horizontal="right" wrapText="1" readingOrder="1"/>
    </xf>
    <xf numFmtId="6" fontId="112" fillId="8" borderId="78" xfId="0" applyNumberFormat="1" applyFont="1" applyFill="1" applyBorder="1" applyAlignment="1">
      <alignment vertical="center" wrapText="1"/>
    </xf>
    <xf numFmtId="0" fontId="7" fillId="8" borderId="78" xfId="0" applyFont="1" applyFill="1" applyBorder="1" applyAlignment="1">
      <alignment horizontal="center" wrapText="1"/>
    </xf>
    <xf numFmtId="0" fontId="7" fillId="8" borderId="78" xfId="0" applyFont="1" applyFill="1" applyBorder="1" applyAlignment="1">
      <alignment wrapText="1"/>
    </xf>
    <xf numFmtId="199" fontId="76" fillId="27" borderId="78" xfId="1" applyNumberFormat="1" applyFont="1" applyFill="1" applyBorder="1" applyAlignment="1">
      <alignment horizontal="right" wrapText="1" readingOrder="1"/>
    </xf>
    <xf numFmtId="0" fontId="7" fillId="8" borderId="78" xfId="0" applyFont="1" applyFill="1" applyBorder="1" applyAlignment="1" applyProtection="1"/>
    <xf numFmtId="0" fontId="7" fillId="8" borderId="33" xfId="0" applyFont="1" applyFill="1" applyBorder="1" applyProtection="1"/>
    <xf numFmtId="170" fontId="7" fillId="8" borderId="33" xfId="1" applyNumberFormat="1" applyFont="1" applyFill="1" applyBorder="1" applyProtection="1"/>
    <xf numFmtId="0" fontId="0" fillId="8" borderId="33" xfId="0" applyFont="1" applyFill="1" applyBorder="1" applyProtection="1"/>
    <xf numFmtId="182" fontId="0" fillId="8" borderId="78" xfId="1" applyNumberFormat="1" applyFont="1" applyFill="1" applyBorder="1"/>
    <xf numFmtId="232" fontId="0" fillId="8" borderId="78" xfId="0" applyNumberFormat="1" applyFont="1" applyFill="1" applyBorder="1" applyAlignment="1" applyProtection="1"/>
    <xf numFmtId="209" fontId="7" fillId="8" borderId="78" xfId="1" applyNumberFormat="1" applyFont="1" applyFill="1" applyBorder="1" applyProtection="1"/>
    <xf numFmtId="3" fontId="0" fillId="8" borderId="78" xfId="0" applyNumberFormat="1" applyFill="1" applyBorder="1" applyProtection="1"/>
    <xf numFmtId="227" fontId="0" fillId="8" borderId="78" xfId="0" applyNumberFormat="1" applyFill="1" applyBorder="1" applyAlignment="1">
      <alignment horizontal="right" vertical="top" wrapText="1"/>
    </xf>
    <xf numFmtId="201" fontId="0" fillId="8" borderId="78" xfId="0" applyNumberFormat="1" applyFill="1" applyBorder="1" applyAlignment="1">
      <alignment vertical="center" wrapText="1"/>
    </xf>
    <xf numFmtId="9" fontId="0" fillId="8" borderId="78" xfId="0" applyNumberFormat="1" applyFont="1" applyFill="1" applyBorder="1" applyAlignment="1" applyProtection="1"/>
    <xf numFmtId="201" fontId="0" fillId="8" borderId="78" xfId="0" applyNumberFormat="1" applyFill="1" applyBorder="1"/>
    <xf numFmtId="172" fontId="7" fillId="8" borderId="78" xfId="0" applyNumberFormat="1" applyFont="1" applyFill="1" applyBorder="1" applyAlignment="1" applyProtection="1"/>
    <xf numFmtId="0" fontId="27" fillId="8" borderId="0" xfId="0" applyNumberFormat="1" applyFont="1" applyFill="1" applyBorder="1" applyAlignment="1" applyProtection="1"/>
    <xf numFmtId="9" fontId="27" fillId="8" borderId="0" xfId="0" applyNumberFormat="1" applyFont="1" applyFill="1" applyBorder="1" applyAlignment="1" applyProtection="1"/>
    <xf numFmtId="182" fontId="1" fillId="8" borderId="33" xfId="1" applyNumberFormat="1" applyFont="1" applyFill="1" applyBorder="1" applyAlignment="1" applyProtection="1">
      <alignment vertical="center"/>
    </xf>
    <xf numFmtId="182" fontId="1" fillId="8" borderId="78" xfId="1" applyNumberFormat="1" applyFont="1" applyFill="1" applyBorder="1" applyAlignment="1" applyProtection="1">
      <alignment vertical="center"/>
    </xf>
    <xf numFmtId="172" fontId="1" fillId="8" borderId="78" xfId="1" applyNumberFormat="1" applyFont="1" applyFill="1" applyBorder="1" applyAlignment="1" applyProtection="1">
      <alignment vertical="center"/>
    </xf>
    <xf numFmtId="172" fontId="1" fillId="8" borderId="7" xfId="1" applyNumberFormat="1" applyFont="1" applyFill="1" applyBorder="1" applyAlignment="1" applyProtection="1">
      <alignment vertical="center"/>
    </xf>
    <xf numFmtId="0" fontId="0" fillId="8" borderId="46" xfId="0" applyFill="1" applyBorder="1" applyProtection="1"/>
    <xf numFmtId="1" fontId="7" fillId="8" borderId="33" xfId="1" applyNumberFormat="1" applyFont="1" applyFill="1" applyBorder="1" applyProtection="1"/>
    <xf numFmtId="227" fontId="7" fillId="8" borderId="78" xfId="1" applyNumberFormat="1" applyFont="1" applyFill="1" applyBorder="1" applyProtection="1"/>
    <xf numFmtId="2" fontId="7" fillId="8" borderId="33" xfId="1" applyNumberFormat="1" applyFont="1" applyFill="1" applyBorder="1" applyProtection="1"/>
    <xf numFmtId="170" fontId="0" fillId="8" borderId="33" xfId="1" applyNumberFormat="1" applyFont="1" applyFill="1" applyBorder="1" applyAlignment="1" applyProtection="1">
      <alignment horizontal="left"/>
    </xf>
    <xf numFmtId="227" fontId="0" fillId="8" borderId="78" xfId="0" applyNumberFormat="1" applyFont="1" applyFill="1" applyBorder="1" applyAlignment="1" applyProtection="1"/>
    <xf numFmtId="0" fontId="0" fillId="8" borderId="34" xfId="0" applyFill="1" applyBorder="1"/>
    <xf numFmtId="201" fontId="0" fillId="8" borderId="78" xfId="0" applyNumberFormat="1" applyFill="1" applyBorder="1" applyProtection="1"/>
    <xf numFmtId="0" fontId="0" fillId="8" borderId="65" xfId="0" applyFill="1" applyBorder="1"/>
    <xf numFmtId="1" fontId="0" fillId="8" borderId="34" xfId="0" applyNumberFormat="1" applyFill="1" applyBorder="1"/>
    <xf numFmtId="170" fontId="29" fillId="8" borderId="33" xfId="1" applyNumberFormat="1" applyFont="1" applyFill="1" applyBorder="1" applyAlignment="1">
      <alignment horizontal="right" wrapText="1" readingOrder="1"/>
    </xf>
    <xf numFmtId="227" fontId="0" fillId="8" borderId="78" xfId="0" applyNumberFormat="1" applyFill="1" applyBorder="1" applyProtection="1"/>
    <xf numFmtId="227" fontId="0" fillId="8" borderId="78" xfId="0" applyNumberFormat="1" applyFill="1" applyBorder="1"/>
    <xf numFmtId="0" fontId="0" fillId="8" borderId="33" xfId="0" applyFill="1" applyBorder="1" applyProtection="1"/>
    <xf numFmtId="0" fontId="0" fillId="8" borderId="106" xfId="0" applyFill="1" applyBorder="1"/>
    <xf numFmtId="0" fontId="0" fillId="8" borderId="70" xfId="0" applyFill="1" applyBorder="1"/>
    <xf numFmtId="0" fontId="0" fillId="8" borderId="118" xfId="0" applyFill="1" applyBorder="1"/>
    <xf numFmtId="0" fontId="0" fillId="8" borderId="119" xfId="0" applyFill="1" applyBorder="1"/>
    <xf numFmtId="9" fontId="0" fillId="8" borderId="78" xfId="2" applyFont="1" applyFill="1" applyBorder="1" applyAlignment="1" applyProtection="1">
      <alignment horizontal="left" vertical="center" wrapText="1"/>
    </xf>
    <xf numFmtId="44" fontId="0" fillId="8" borderId="78" xfId="2" applyNumberFormat="1" applyFont="1" applyFill="1" applyBorder="1" applyAlignment="1" applyProtection="1">
      <alignment horizontal="left" vertical="center" wrapText="1"/>
    </xf>
    <xf numFmtId="0" fontId="0" fillId="8" borderId="78" xfId="0" applyFill="1" applyBorder="1" applyAlignment="1" applyProtection="1">
      <alignment wrapText="1"/>
    </xf>
    <xf numFmtId="165" fontId="82" fillId="27" borderId="78" xfId="0" applyNumberFormat="1" applyFont="1" applyFill="1" applyBorder="1"/>
    <xf numFmtId="0" fontId="8" fillId="8" borderId="78" xfId="0" applyFont="1" applyFill="1" applyBorder="1" applyAlignment="1">
      <alignment vertical="center" wrapText="1"/>
    </xf>
    <xf numFmtId="170" fontId="7" fillId="9" borderId="78" xfId="1" applyNumberFormat="1" applyFont="1" applyFill="1" applyBorder="1" applyAlignment="1" applyProtection="1">
      <alignment horizontal="center" vertical="center"/>
    </xf>
    <xf numFmtId="170" fontId="29" fillId="8" borderId="0" xfId="1" applyNumberFormat="1" applyFont="1" applyFill="1" applyBorder="1" applyAlignment="1">
      <alignment horizontal="right" wrapText="1" readingOrder="1"/>
    </xf>
    <xf numFmtId="0" fontId="82" fillId="27" borderId="0" xfId="0" applyFont="1" applyFill="1" applyBorder="1" applyAlignment="1">
      <alignment horizontal="right"/>
    </xf>
    <xf numFmtId="165" fontId="82" fillId="27" borderId="0" xfId="0" applyNumberFormat="1" applyFont="1" applyFill="1" applyBorder="1"/>
    <xf numFmtId="0" fontId="117" fillId="0" borderId="0" xfId="0" applyFont="1" applyAlignment="1">
      <alignment vertical="center" wrapText="1"/>
    </xf>
    <xf numFmtId="1" fontId="0" fillId="8" borderId="78" xfId="2" applyNumberFormat="1" applyFont="1" applyFill="1" applyBorder="1" applyAlignment="1" applyProtection="1">
      <alignment horizontal="right" vertical="center" wrapText="1"/>
    </xf>
    <xf numFmtId="0" fontId="0" fillId="8" borderId="78" xfId="0" applyFill="1" applyBorder="1" applyAlignment="1" applyProtection="1">
      <alignment horizontal="right"/>
    </xf>
    <xf numFmtId="0" fontId="0" fillId="8" borderId="0" xfId="0" applyFill="1" applyBorder="1" applyAlignment="1" applyProtection="1">
      <alignment horizontal="right"/>
    </xf>
    <xf numFmtId="1" fontId="20" fillId="8" borderId="0" xfId="0" applyNumberFormat="1" applyFont="1" applyFill="1" applyBorder="1" applyAlignment="1" applyProtection="1">
      <alignment horizontal="center" vertical="center"/>
      <protection locked="0"/>
    </xf>
    <xf numFmtId="0" fontId="7" fillId="0" borderId="78" xfId="60856" applyFont="1" applyBorder="1" applyAlignment="1">
      <alignment horizontal="left" vertical="center" wrapText="1"/>
    </xf>
    <xf numFmtId="0" fontId="7" fillId="0" borderId="78" xfId="60856" applyFont="1" applyBorder="1" applyAlignment="1">
      <alignment horizontal="center" vertical="center" wrapText="1"/>
    </xf>
    <xf numFmtId="227" fontId="7" fillId="8" borderId="78" xfId="60856" applyNumberFormat="1" applyFont="1" applyFill="1" applyBorder="1" applyAlignment="1">
      <alignment horizontal="center" vertical="center" wrapText="1"/>
    </xf>
    <xf numFmtId="164" fontId="20" fillId="8" borderId="78" xfId="1" applyNumberFormat="1" applyFont="1" applyFill="1" applyBorder="1" applyAlignment="1"/>
    <xf numFmtId="164" fontId="20" fillId="0" borderId="0" xfId="1" applyNumberFormat="1" applyFont="1" applyFill="1" applyBorder="1" applyAlignment="1">
      <alignment horizontal="center" vertical="center"/>
    </xf>
    <xf numFmtId="170" fontId="0" fillId="8" borderId="0" xfId="1" applyNumberFormat="1" applyFont="1" applyFill="1" applyBorder="1" applyAlignment="1" applyProtection="1">
      <alignment vertical="center"/>
    </xf>
    <xf numFmtId="9" fontId="2" fillId="9" borderId="78" xfId="2" applyFont="1" applyFill="1" applyBorder="1" applyAlignment="1" applyProtection="1">
      <alignment horizontal="center" vertical="center" wrapText="1"/>
    </xf>
    <xf numFmtId="0" fontId="120" fillId="37" borderId="0" xfId="0" applyFont="1" applyFill="1"/>
    <xf numFmtId="0" fontId="20" fillId="8" borderId="72" xfId="0" applyFont="1" applyFill="1" applyBorder="1" applyAlignment="1"/>
    <xf numFmtId="0" fontId="0" fillId="8" borderId="76" xfId="0" applyFont="1" applyFill="1" applyBorder="1"/>
    <xf numFmtId="0" fontId="121" fillId="8" borderId="78" xfId="0" applyFont="1" applyFill="1" applyBorder="1"/>
    <xf numFmtId="3" fontId="20" fillId="24" borderId="78" xfId="0" applyNumberFormat="1" applyFont="1" applyFill="1" applyBorder="1" applyAlignment="1" applyProtection="1">
      <alignment horizontal="center" vertical="center"/>
      <protection locked="0"/>
    </xf>
    <xf numFmtId="10" fontId="20" fillId="24" borderId="68" xfId="0" applyNumberFormat="1" applyFont="1" applyFill="1" applyBorder="1" applyAlignment="1" applyProtection="1">
      <alignment horizontal="center"/>
      <protection locked="0"/>
    </xf>
    <xf numFmtId="235" fontId="20" fillId="24" borderId="68" xfId="0" applyNumberFormat="1" applyFont="1" applyFill="1" applyBorder="1" applyProtection="1">
      <protection locked="0"/>
    </xf>
    <xf numFmtId="164" fontId="20" fillId="0" borderId="68" xfId="1" applyNumberFormat="1" applyFont="1" applyFill="1" applyBorder="1" applyAlignment="1">
      <alignment horizontal="center" vertical="center"/>
    </xf>
    <xf numFmtId="0" fontId="20" fillId="8" borderId="80" xfId="0" applyFont="1" applyFill="1" applyBorder="1"/>
    <xf numFmtId="235" fontId="20" fillId="24" borderId="78" xfId="0" applyNumberFormat="1" applyFont="1" applyFill="1" applyBorder="1" applyProtection="1">
      <protection locked="0"/>
    </xf>
    <xf numFmtId="0" fontId="21" fillId="21" borderId="80" xfId="0" applyFont="1" applyFill="1" applyBorder="1"/>
    <xf numFmtId="164" fontId="22" fillId="0" borderId="78" xfId="1" applyFont="1" applyFill="1" applyBorder="1"/>
    <xf numFmtId="164" fontId="20" fillId="0" borderId="78" xfId="0" applyNumberFormat="1" applyFont="1" applyBorder="1"/>
    <xf numFmtId="0" fontId="2" fillId="6" borderId="78" xfId="0" applyFont="1" applyFill="1" applyBorder="1" applyAlignment="1" applyProtection="1">
      <alignment horizontal="center" vertical="center" wrapText="1"/>
    </xf>
    <xf numFmtId="172" fontId="54" fillId="8" borderId="33" xfId="1" applyNumberFormat="1" applyFont="1" applyFill="1" applyBorder="1" applyAlignment="1">
      <alignment horizontal="right" wrapText="1" readingOrder="1"/>
    </xf>
    <xf numFmtId="0" fontId="118" fillId="8" borderId="78" xfId="0" applyFont="1" applyFill="1" applyBorder="1" applyAlignment="1">
      <alignment vertical="top" wrapText="1"/>
    </xf>
    <xf numFmtId="0" fontId="123" fillId="18" borderId="78" xfId="0" applyFont="1" applyFill="1" applyBorder="1"/>
    <xf numFmtId="14" fontId="0" fillId="0" borderId="0" xfId="0" applyNumberFormat="1" applyBorder="1"/>
    <xf numFmtId="0" fontId="2" fillId="0" borderId="87" xfId="0" applyFont="1" applyFill="1" applyBorder="1" applyAlignment="1" applyProtection="1">
      <alignment vertical="center" wrapText="1"/>
    </xf>
    <xf numFmtId="0" fontId="2" fillId="0" borderId="98" xfId="0" applyFont="1" applyFill="1" applyBorder="1" applyAlignment="1" applyProtection="1">
      <alignment vertical="center" wrapText="1"/>
    </xf>
    <xf numFmtId="0" fontId="2" fillId="0" borderId="86" xfId="0" applyFont="1" applyFill="1" applyBorder="1" applyAlignment="1" applyProtection="1">
      <alignment vertical="center" wrapText="1"/>
    </xf>
    <xf numFmtId="0" fontId="2" fillId="0" borderId="87" xfId="0" applyFont="1" applyFill="1" applyBorder="1" applyAlignment="1" applyProtection="1">
      <alignment vertical="center"/>
    </xf>
    <xf numFmtId="0" fontId="2" fillId="0" borderId="98" xfId="0" applyFont="1" applyFill="1" applyBorder="1" applyAlignment="1" applyProtection="1">
      <alignment vertical="center"/>
    </xf>
    <xf numFmtId="0" fontId="2" fillId="0" borderId="86" xfId="0" applyFont="1" applyFill="1" applyBorder="1" applyAlignment="1" applyProtection="1">
      <alignment vertical="center"/>
    </xf>
    <xf numFmtId="0" fontId="123" fillId="32" borderId="78" xfId="0" applyFont="1" applyFill="1" applyBorder="1"/>
    <xf numFmtId="199" fontId="76" fillId="27" borderId="78" xfId="0" applyNumberFormat="1" applyFont="1" applyFill="1" applyBorder="1"/>
    <xf numFmtId="0" fontId="2" fillId="6" borderId="76" xfId="0" applyFont="1" applyFill="1" applyBorder="1" applyAlignment="1" applyProtection="1">
      <alignment vertical="center"/>
    </xf>
    <xf numFmtId="0" fontId="2" fillId="6" borderId="79" xfId="0" applyFont="1" applyFill="1" applyBorder="1" applyAlignment="1" applyProtection="1">
      <alignment vertical="center"/>
    </xf>
    <xf numFmtId="0" fontId="2" fillId="6" borderId="77" xfId="0" applyFont="1" applyFill="1" applyBorder="1" applyAlignment="1" applyProtection="1">
      <alignment vertical="center"/>
    </xf>
    <xf numFmtId="0" fontId="2" fillId="6" borderId="78" xfId="0" applyFont="1" applyFill="1" applyBorder="1" applyAlignment="1" applyProtection="1">
      <alignment vertical="center"/>
    </xf>
    <xf numFmtId="0" fontId="2" fillId="6" borderId="70" xfId="0" applyFont="1" applyFill="1" applyBorder="1" applyAlignment="1" applyProtection="1">
      <alignment vertical="center"/>
    </xf>
    <xf numFmtId="0" fontId="2" fillId="6" borderId="71" xfId="0" applyFont="1" applyFill="1" applyBorder="1" applyAlignment="1" applyProtection="1">
      <alignment vertical="center"/>
    </xf>
    <xf numFmtId="0" fontId="6" fillId="50" borderId="78" xfId="0" applyFont="1" applyFill="1" applyBorder="1" applyAlignment="1">
      <alignment vertical="center"/>
    </xf>
    <xf numFmtId="0" fontId="56" fillId="0" borderId="0" xfId="0" applyFont="1" applyBorder="1" applyAlignment="1">
      <alignment horizontal="left"/>
    </xf>
    <xf numFmtId="164" fontId="22" fillId="8" borderId="68" xfId="1" applyNumberFormat="1" applyFont="1" applyFill="1" applyBorder="1"/>
    <xf numFmtId="0" fontId="20" fillId="24" borderId="68" xfId="0" applyFont="1" applyFill="1" applyBorder="1" applyAlignment="1">
      <alignment horizontal="center" vertical="center"/>
    </xf>
    <xf numFmtId="164" fontId="20" fillId="8" borderId="68" xfId="0" applyNumberFormat="1" applyFont="1" applyFill="1" applyBorder="1"/>
    <xf numFmtId="164" fontId="20" fillId="8" borderId="68" xfId="1" applyNumberFormat="1" applyFont="1" applyFill="1" applyBorder="1"/>
    <xf numFmtId="0" fontId="56" fillId="0" borderId="0" xfId="0" applyFont="1" applyBorder="1" applyAlignment="1">
      <alignment horizontal="left"/>
    </xf>
    <xf numFmtId="0" fontId="21" fillId="21" borderId="80" xfId="0" applyFont="1" applyFill="1" applyBorder="1" applyAlignment="1">
      <alignment horizontal="left"/>
    </xf>
    <xf numFmtId="0" fontId="21" fillId="21" borderId="72" xfId="0" applyFont="1" applyFill="1" applyBorder="1" applyAlignment="1">
      <alignment horizontal="left"/>
    </xf>
    <xf numFmtId="2" fontId="20" fillId="0" borderId="78" xfId="0" applyNumberFormat="1" applyFont="1" applyFill="1" applyBorder="1" applyAlignment="1">
      <alignment horizontal="center" vertical="center" wrapText="1"/>
    </xf>
    <xf numFmtId="1" fontId="20" fillId="24" borderId="68" xfId="0" applyNumberFormat="1" applyFont="1" applyFill="1" applyBorder="1" applyAlignment="1" applyProtection="1">
      <alignment horizontal="center" vertical="center"/>
      <protection locked="0"/>
    </xf>
    <xf numFmtId="0" fontId="2" fillId="6" borderId="78" xfId="0" applyFont="1" applyFill="1" applyBorder="1" applyAlignment="1" applyProtection="1">
      <alignment horizontal="center" vertical="center" wrapText="1"/>
    </xf>
    <xf numFmtId="0" fontId="0" fillId="0" borderId="0" xfId="0" applyFont="1" applyFill="1" applyBorder="1" applyAlignment="1" applyProtection="1">
      <alignment horizontal="left" vertical="top" wrapText="1"/>
    </xf>
    <xf numFmtId="0" fontId="0" fillId="8" borderId="78" xfId="0" applyFill="1" applyBorder="1" applyAlignment="1">
      <alignment vertical="top" wrapText="1"/>
    </xf>
    <xf numFmtId="0" fontId="109" fillId="8" borderId="78" xfId="0" applyFont="1" applyFill="1" applyBorder="1" applyAlignment="1">
      <alignment wrapText="1"/>
    </xf>
    <xf numFmtId="0" fontId="2" fillId="8" borderId="89" xfId="0" applyFont="1" applyFill="1" applyBorder="1" applyAlignment="1" applyProtection="1">
      <alignment horizontal="center" vertical="center"/>
    </xf>
    <xf numFmtId="172" fontId="29" fillId="27" borderId="78" xfId="1" applyNumberFormat="1" applyFont="1" applyFill="1" applyBorder="1" applyAlignment="1">
      <alignment horizontal="right" wrapText="1" readingOrder="1"/>
    </xf>
    <xf numFmtId="215" fontId="29" fillId="27" borderId="47" xfId="1" applyNumberFormat="1" applyFont="1" applyFill="1" applyBorder="1" applyAlignment="1">
      <alignment horizontal="right" wrapText="1" readingOrder="1"/>
    </xf>
    <xf numFmtId="0" fontId="0" fillId="8" borderId="47" xfId="0" applyFill="1" applyBorder="1" applyAlignment="1">
      <alignment vertical="top" wrapText="1"/>
    </xf>
    <xf numFmtId="0" fontId="0" fillId="8" borderId="47" xfId="0" applyFill="1" applyBorder="1"/>
    <xf numFmtId="0" fontId="2" fillId="8" borderId="0" xfId="0" applyFont="1" applyFill="1" applyBorder="1" applyProtection="1"/>
    <xf numFmtId="212" fontId="0" fillId="8" borderId="78" xfId="0" applyNumberFormat="1" applyFill="1" applyBorder="1"/>
    <xf numFmtId="0" fontId="2" fillId="8" borderId="76" xfId="0" applyFont="1" applyFill="1" applyBorder="1" applyAlignment="1" applyProtection="1">
      <alignment horizontal="center" vertical="center"/>
    </xf>
    <xf numFmtId="44" fontId="82" fillId="27" borderId="78" xfId="0" applyNumberFormat="1" applyFont="1" applyFill="1" applyBorder="1" applyAlignment="1">
      <alignment horizontal="right"/>
    </xf>
    <xf numFmtId="0" fontId="2" fillId="45" borderId="78" xfId="0" applyFont="1" applyFill="1" applyBorder="1" applyAlignment="1">
      <alignment horizontal="center" vertical="center"/>
    </xf>
    <xf numFmtId="0" fontId="2" fillId="45" borderId="78" xfId="0" applyFont="1" applyFill="1" applyBorder="1" applyAlignment="1">
      <alignment horizontal="center" vertical="center" wrapText="1"/>
    </xf>
    <xf numFmtId="0" fontId="104" fillId="7" borderId="78" xfId="0" applyFont="1" applyFill="1" applyBorder="1" applyAlignment="1">
      <alignment horizontal="left" vertical="center" wrapText="1"/>
    </xf>
    <xf numFmtId="0" fontId="7" fillId="8" borderId="78" xfId="60856" applyFont="1" applyFill="1" applyBorder="1" applyAlignment="1">
      <alignment horizontal="left" vertical="center" wrapText="1"/>
    </xf>
    <xf numFmtId="234" fontId="0" fillId="8" borderId="78" xfId="1" applyNumberFormat="1" applyFont="1" applyFill="1" applyBorder="1" applyProtection="1"/>
    <xf numFmtId="233" fontId="7" fillId="8" borderId="78" xfId="60856" applyNumberFormat="1" applyFont="1" applyFill="1" applyBorder="1" applyAlignment="1">
      <alignment vertical="center" wrapText="1"/>
    </xf>
    <xf numFmtId="0" fontId="0" fillId="0" borderId="0" xfId="0" applyAlignment="1">
      <alignment horizontal="left" vertical="center" wrapText="1"/>
    </xf>
    <xf numFmtId="0" fontId="0" fillId="0" borderId="0" xfId="0" applyAlignment="1">
      <alignment wrapText="1"/>
    </xf>
    <xf numFmtId="182" fontId="0" fillId="8" borderId="0" xfId="1" applyNumberFormat="1" applyFont="1" applyFill="1" applyBorder="1"/>
    <xf numFmtId="0" fontId="7" fillId="8" borderId="76" xfId="0" applyFont="1" applyFill="1" applyBorder="1" applyProtection="1"/>
    <xf numFmtId="170" fontId="7" fillId="8" borderId="70" xfId="1" applyNumberFormat="1" applyFont="1" applyFill="1" applyBorder="1" applyProtection="1"/>
    <xf numFmtId="227" fontId="0" fillId="0" borderId="78" xfId="0" applyNumberFormat="1" applyBorder="1" applyAlignment="1">
      <alignment vertical="center" wrapText="1"/>
    </xf>
    <xf numFmtId="227" fontId="108" fillId="0" borderId="78" xfId="0" applyNumberFormat="1" applyFont="1" applyBorder="1" applyAlignment="1">
      <alignment vertical="center"/>
    </xf>
    <xf numFmtId="0" fontId="0" fillId="0" borderId="0" xfId="0" applyFont="1" applyFill="1" applyBorder="1" applyAlignment="1" applyProtection="1">
      <alignment horizontal="left" vertical="top" wrapText="1"/>
    </xf>
    <xf numFmtId="0" fontId="104" fillId="7" borderId="47" xfId="0" applyFont="1" applyFill="1" applyBorder="1" applyAlignment="1">
      <alignment horizontal="left" vertical="center" wrapText="1"/>
    </xf>
    <xf numFmtId="0" fontId="2" fillId="51" borderId="78" xfId="0" applyFont="1" applyFill="1" applyBorder="1" applyAlignment="1">
      <alignment horizontal="center" vertical="center"/>
    </xf>
    <xf numFmtId="0" fontId="21" fillId="21" borderId="72" xfId="0" applyFont="1" applyFill="1" applyBorder="1" applyAlignment="1">
      <alignment horizontal="left"/>
    </xf>
    <xf numFmtId="189" fontId="0" fillId="0" borderId="0" xfId="0" applyNumberFormat="1"/>
    <xf numFmtId="171" fontId="0" fillId="0" borderId="0" xfId="0" applyNumberFormat="1" applyAlignment="1">
      <alignment horizontal="left" vertical="top" wrapText="1"/>
    </xf>
    <xf numFmtId="164" fontId="0" fillId="0" borderId="0" xfId="1" applyFont="1" applyFill="1" applyBorder="1" applyProtection="1"/>
    <xf numFmtId="0" fontId="0" fillId="0" borderId="0" xfId="0" applyAlignment="1">
      <alignment vertical="top" wrapText="1"/>
    </xf>
    <xf numFmtId="0" fontId="21" fillId="21" borderId="68" xfId="0" applyFont="1" applyFill="1" applyBorder="1" applyAlignment="1">
      <alignment horizontal="left"/>
    </xf>
    <xf numFmtId="0" fontId="0" fillId="8" borderId="15" xfId="0" applyFont="1" applyFill="1" applyBorder="1"/>
    <xf numFmtId="1" fontId="0" fillId="8" borderId="15" xfId="0" applyNumberFormat="1" applyFont="1" applyFill="1" applyBorder="1"/>
    <xf numFmtId="191" fontId="20" fillId="24" borderId="78" xfId="0" applyNumberFormat="1" applyFont="1" applyFill="1" applyBorder="1" applyProtection="1">
      <protection locked="0"/>
    </xf>
    <xf numFmtId="0" fontId="0" fillId="8" borderId="76" xfId="0" applyFill="1" applyBorder="1" applyAlignment="1">
      <alignment horizontal="left" wrapText="1"/>
    </xf>
    <xf numFmtId="0" fontId="56" fillId="0" borderId="0" xfId="0" applyFont="1" applyBorder="1" applyAlignment="1">
      <alignment horizontal="left"/>
    </xf>
    <xf numFmtId="164" fontId="20" fillId="0" borderId="78" xfId="1" applyFont="1" applyBorder="1"/>
    <xf numFmtId="164" fontId="20" fillId="0" borderId="77" xfId="1" applyFont="1" applyBorder="1"/>
    <xf numFmtId="164" fontId="20" fillId="6" borderId="47" xfId="0" applyNumberFormat="1" applyFont="1" applyFill="1" applyBorder="1"/>
    <xf numFmtId="164" fontId="20" fillId="6" borderId="66" xfId="0" applyNumberFormat="1" applyFont="1" applyFill="1" applyBorder="1"/>
    <xf numFmtId="164" fontId="20" fillId="6" borderId="7" xfId="0" applyNumberFormat="1" applyFont="1" applyFill="1" applyBorder="1"/>
    <xf numFmtId="164" fontId="20" fillId="0" borderId="0" xfId="1" applyFont="1" applyFill="1" applyBorder="1" applyAlignment="1"/>
    <xf numFmtId="164" fontId="20" fillId="0" borderId="0" xfId="1" applyFont="1" applyBorder="1"/>
    <xf numFmtId="0" fontId="20" fillId="6" borderId="78" xfId="0" applyFont="1" applyFill="1" applyBorder="1" applyAlignment="1"/>
    <xf numFmtId="0" fontId="0" fillId="24" borderId="78" xfId="0" applyFont="1" applyFill="1" applyBorder="1" applyAlignment="1">
      <alignment vertical="center" wrapText="1"/>
    </xf>
    <xf numFmtId="0" fontId="21" fillId="21" borderId="72" xfId="0" applyFont="1" applyFill="1" applyBorder="1" applyAlignment="1">
      <alignment horizontal="center"/>
    </xf>
    <xf numFmtId="201" fontId="0" fillId="8" borderId="120" xfId="0" applyNumberFormat="1" applyFill="1" applyBorder="1"/>
    <xf numFmtId="228" fontId="7" fillId="8" borderId="33" xfId="1" applyNumberFormat="1" applyFont="1" applyFill="1" applyBorder="1" applyProtection="1"/>
    <xf numFmtId="0" fontId="7" fillId="8" borderId="7" xfId="0" applyFont="1" applyFill="1" applyBorder="1" applyAlignment="1" applyProtection="1"/>
    <xf numFmtId="0" fontId="0" fillId="8" borderId="28" xfId="0" applyFont="1" applyFill="1" applyBorder="1" applyAlignment="1" applyProtection="1">
      <alignment horizontal="left"/>
    </xf>
    <xf numFmtId="0" fontId="108" fillId="8" borderId="78" xfId="0" applyFont="1" applyFill="1" applyBorder="1" applyAlignment="1">
      <alignment horizontal="center" vertical="center" wrapText="1"/>
    </xf>
    <xf numFmtId="0" fontId="115" fillId="8" borderId="78" xfId="0" applyFont="1" applyFill="1" applyBorder="1" applyAlignment="1">
      <alignment horizontal="center" vertical="center" wrapText="1"/>
    </xf>
    <xf numFmtId="227" fontId="0" fillId="8" borderId="0" xfId="0" applyNumberFormat="1" applyFill="1" applyBorder="1" applyProtection="1"/>
    <xf numFmtId="0" fontId="124" fillId="8" borderId="78" xfId="0" applyFont="1" applyFill="1" applyBorder="1" applyAlignment="1">
      <alignment vertical="center"/>
    </xf>
    <xf numFmtId="172" fontId="0" fillId="8" borderId="78" xfId="0" applyNumberFormat="1" applyFill="1" applyBorder="1"/>
    <xf numFmtId="200" fontId="7" fillId="8" borderId="78" xfId="0" applyNumberFormat="1" applyFont="1" applyFill="1" applyBorder="1" applyAlignment="1">
      <alignment vertical="center"/>
    </xf>
    <xf numFmtId="236" fontId="7" fillId="8" borderId="78" xfId="0" applyNumberFormat="1" applyFont="1" applyFill="1" applyBorder="1" applyAlignment="1">
      <alignment vertical="center"/>
    </xf>
    <xf numFmtId="0" fontId="0" fillId="52" borderId="76" xfId="0" applyFill="1" applyBorder="1" applyAlignment="1">
      <alignment horizontal="center" wrapText="1"/>
    </xf>
    <xf numFmtId="164" fontId="20" fillId="0" borderId="68" xfId="1" applyFont="1" applyFill="1" applyBorder="1" applyAlignment="1">
      <alignment wrapText="1"/>
    </xf>
    <xf numFmtId="0" fontId="22" fillId="0" borderId="4" xfId="0" applyFont="1" applyFill="1" applyBorder="1" applyAlignment="1"/>
    <xf numFmtId="0" fontId="7" fillId="0" borderId="0" xfId="0" applyFont="1" applyBorder="1"/>
    <xf numFmtId="0" fontId="21" fillId="0" borderId="0" xfId="0" applyFont="1" applyAlignment="1">
      <alignment horizontal="right"/>
    </xf>
    <xf numFmtId="0" fontId="22" fillId="0" borderId="35" xfId="0" applyFont="1" applyBorder="1" applyAlignment="1">
      <alignment horizontal="right"/>
    </xf>
    <xf numFmtId="164" fontId="22" fillId="0" borderId="36" xfId="0" applyNumberFormat="1" applyFont="1" applyBorder="1"/>
    <xf numFmtId="201" fontId="0" fillId="8" borderId="78" xfId="0" applyNumberFormat="1" applyFill="1" applyBorder="1" applyAlignment="1">
      <alignment horizontal="right" vertical="center" wrapText="1"/>
    </xf>
    <xf numFmtId="236" fontId="7" fillId="8" borderId="78" xfId="0" applyNumberFormat="1" applyFont="1" applyFill="1" applyBorder="1"/>
    <xf numFmtId="1" fontId="20" fillId="24" borderId="78" xfId="0" applyNumberFormat="1" applyFont="1" applyFill="1" applyBorder="1" applyAlignment="1" applyProtection="1">
      <alignment horizontal="left" vertical="center"/>
      <protection locked="0"/>
    </xf>
    <xf numFmtId="199" fontId="20" fillId="8" borderId="0" xfId="0" applyNumberFormat="1" applyFont="1" applyFill="1" applyBorder="1"/>
    <xf numFmtId="0" fontId="27" fillId="0" borderId="78" xfId="0" applyFont="1" applyFill="1" applyBorder="1" applyProtection="1"/>
    <xf numFmtId="0" fontId="26" fillId="6" borderId="6" xfId="0" applyFont="1" applyFill="1" applyBorder="1" applyAlignment="1" applyProtection="1">
      <alignment horizontal="center" vertical="center" wrapText="1"/>
    </xf>
    <xf numFmtId="0" fontId="0" fillId="0" borderId="0" xfId="0" applyFont="1" applyFill="1" applyBorder="1" applyAlignment="1" applyProtection="1">
      <alignment horizontal="left" vertical="top" wrapText="1"/>
    </xf>
    <xf numFmtId="186" fontId="20" fillId="24" borderId="68" xfId="0" applyNumberFormat="1" applyFont="1" applyFill="1" applyBorder="1" applyAlignment="1" applyProtection="1">
      <alignment horizontal="center"/>
      <protection locked="0"/>
    </xf>
    <xf numFmtId="9" fontId="20" fillId="24" borderId="68" xfId="0" applyNumberFormat="1" applyFont="1" applyFill="1" applyBorder="1" applyAlignment="1" applyProtection="1">
      <alignment horizontal="center"/>
      <protection locked="0"/>
    </xf>
    <xf numFmtId="44" fontId="82" fillId="27" borderId="0" xfId="0" applyNumberFormat="1" applyFont="1" applyFill="1" applyBorder="1" applyAlignment="1">
      <alignment horizontal="right"/>
    </xf>
    <xf numFmtId="0" fontId="0" fillId="37" borderId="0" xfId="0" applyFill="1" applyAlignment="1">
      <alignment vertical="center" wrapText="1"/>
    </xf>
    <xf numFmtId="0" fontId="0" fillId="0" borderId="0" xfId="0" applyAlignment="1">
      <alignment vertical="center" wrapText="1"/>
    </xf>
    <xf numFmtId="8" fontId="0" fillId="0" borderId="0" xfId="0" applyNumberFormat="1" applyAlignment="1">
      <alignment horizontal="center" vertical="center" wrapText="1"/>
    </xf>
    <xf numFmtId="0" fontId="0" fillId="0" borderId="0" xfId="0" applyAlignment="1">
      <alignment horizontal="left" vertical="center" indent="2"/>
    </xf>
    <xf numFmtId="165" fontId="125" fillId="27" borderId="0" xfId="0" applyNumberFormat="1" applyFont="1" applyFill="1" applyBorder="1"/>
    <xf numFmtId="0" fontId="2" fillId="0" borderId="0" xfId="0" applyFont="1" applyFill="1"/>
    <xf numFmtId="164" fontId="20" fillId="0" borderId="68" xfId="1" applyNumberFormat="1" applyFont="1" applyFill="1" applyBorder="1" applyAlignment="1">
      <alignment horizontal="center" vertical="center"/>
    </xf>
    <xf numFmtId="164" fontId="22" fillId="0" borderId="68" xfId="1" quotePrefix="1" applyNumberFormat="1" applyFont="1" applyFill="1" applyBorder="1"/>
    <xf numFmtId="0" fontId="21" fillId="21" borderId="72" xfId="0" applyFont="1" applyFill="1" applyBorder="1" applyAlignment="1">
      <alignment horizontal="left"/>
    </xf>
    <xf numFmtId="0" fontId="0" fillId="0" borderId="78" xfId="0" applyFill="1" applyBorder="1" applyAlignment="1">
      <alignment vertical="center" wrapText="1"/>
    </xf>
    <xf numFmtId="227" fontId="0" fillId="0" borderId="78" xfId="0" applyNumberFormat="1" applyFill="1" applyBorder="1" applyProtection="1"/>
    <xf numFmtId="0" fontId="20" fillId="24" borderId="68" xfId="0" quotePrefix="1" applyNumberFormat="1" applyFont="1" applyFill="1" applyBorder="1" applyAlignment="1" applyProtection="1">
      <alignment horizontal="center"/>
      <protection locked="0"/>
    </xf>
    <xf numFmtId="0" fontId="2" fillId="0" borderId="78" xfId="0" applyFont="1" applyFill="1" applyBorder="1" applyAlignment="1">
      <alignment vertical="center" wrapText="1"/>
    </xf>
    <xf numFmtId="0" fontId="2" fillId="0" borderId="78" xfId="0" applyFont="1" applyFill="1" applyBorder="1" applyAlignment="1">
      <alignment horizontal="center" vertical="center" wrapText="1"/>
    </xf>
    <xf numFmtId="8" fontId="0" fillId="0" borderId="78" xfId="0" applyNumberFormat="1" applyFill="1" applyBorder="1" applyAlignment="1">
      <alignment horizontal="center" vertical="center" wrapText="1"/>
    </xf>
    <xf numFmtId="0" fontId="21" fillId="21" borderId="72" xfId="0" applyFont="1" applyFill="1" applyBorder="1" applyAlignment="1">
      <alignment horizontal="left"/>
    </xf>
    <xf numFmtId="164" fontId="22" fillId="0" borderId="0" xfId="0" applyNumberFormat="1" applyFont="1" applyFill="1" applyBorder="1"/>
    <xf numFmtId="0" fontId="22" fillId="0" borderId="35" xfId="0" applyFont="1" applyBorder="1"/>
    <xf numFmtId="0" fontId="22" fillId="0" borderId="36" xfId="0" applyFont="1" applyBorder="1"/>
    <xf numFmtId="1" fontId="7" fillId="8" borderId="0" xfId="1" applyNumberFormat="1" applyFont="1" applyFill="1" applyBorder="1" applyProtection="1"/>
    <xf numFmtId="1" fontId="0" fillId="8" borderId="0" xfId="1" applyNumberFormat="1" applyFont="1" applyFill="1" applyBorder="1"/>
    <xf numFmtId="172" fontId="7" fillId="8" borderId="0" xfId="0" applyNumberFormat="1" applyFont="1" applyFill="1" applyBorder="1" applyAlignment="1" applyProtection="1"/>
    <xf numFmtId="1" fontId="7" fillId="8" borderId="78" xfId="1" applyNumberFormat="1" applyFont="1" applyFill="1" applyBorder="1" applyAlignment="1" applyProtection="1">
      <alignment horizontal="center"/>
    </xf>
    <xf numFmtId="1" fontId="0" fillId="8" borderId="33" xfId="1" applyNumberFormat="1" applyFont="1" applyFill="1" applyBorder="1" applyAlignment="1">
      <alignment horizontal="center"/>
    </xf>
    <xf numFmtId="0" fontId="21" fillId="21" borderId="73" xfId="0" applyFont="1" applyFill="1" applyBorder="1" applyAlignment="1"/>
    <xf numFmtId="0" fontId="21" fillId="21" borderId="68" xfId="0" applyFont="1" applyFill="1" applyBorder="1" applyAlignment="1"/>
    <xf numFmtId="44" fontId="20" fillId="0" borderId="68" xfId="1" applyNumberFormat="1" applyFont="1" applyFill="1" applyBorder="1" applyAlignment="1"/>
    <xf numFmtId="0" fontId="0" fillId="8" borderId="0" xfId="0" applyFont="1" applyFill="1" applyBorder="1" applyAlignment="1">
      <alignment vertical="center" wrapText="1"/>
    </xf>
    <xf numFmtId="0" fontId="0" fillId="8" borderId="0" xfId="0" applyFill="1" applyBorder="1" applyAlignment="1">
      <alignment vertical="center" wrapText="1"/>
    </xf>
    <xf numFmtId="227" fontId="0" fillId="8" borderId="0" xfId="0" applyNumberFormat="1" applyFill="1" applyBorder="1" applyAlignment="1">
      <alignment vertical="center" wrapText="1"/>
    </xf>
    <xf numFmtId="201" fontId="0" fillId="8" borderId="0" xfId="0" applyNumberFormat="1" applyFill="1" applyBorder="1" applyAlignment="1">
      <alignment vertical="center" wrapText="1"/>
    </xf>
    <xf numFmtId="215" fontId="0" fillId="0" borderId="78" xfId="0" applyNumberFormat="1" applyFill="1" applyBorder="1"/>
    <xf numFmtId="0" fontId="7" fillId="50" borderId="95" xfId="0" applyFont="1" applyFill="1" applyBorder="1" applyAlignment="1" applyProtection="1">
      <alignment horizontal="center" vertical="center" wrapText="1"/>
    </xf>
    <xf numFmtId="0" fontId="7" fillId="50" borderId="5" xfId="0" applyFont="1" applyFill="1" applyBorder="1" applyAlignment="1" applyProtection="1">
      <alignment horizontal="center" vertical="center" wrapText="1"/>
    </xf>
    <xf numFmtId="199" fontId="76" fillId="0" borderId="78" xfId="1" applyNumberFormat="1" applyFont="1" applyFill="1" applyBorder="1" applyAlignment="1" applyProtection="1">
      <alignment horizontal="left" indent="1"/>
    </xf>
    <xf numFmtId="2" fontId="0" fillId="0" borderId="78" xfId="0" applyNumberFormat="1" applyFill="1" applyBorder="1"/>
    <xf numFmtId="172" fontId="0" fillId="0" borderId="78" xfId="0" applyNumberFormat="1" applyFill="1" applyBorder="1" applyAlignment="1">
      <alignment horizontal="right"/>
    </xf>
    <xf numFmtId="44" fontId="0" fillId="0" borderId="78" xfId="0" applyNumberFormat="1" applyFill="1" applyBorder="1" applyAlignment="1">
      <alignment horizontal="right"/>
    </xf>
    <xf numFmtId="216" fontId="0" fillId="0" borderId="78" xfId="0" applyNumberFormat="1" applyFill="1" applyBorder="1"/>
    <xf numFmtId="181" fontId="54" fillId="0" borderId="78" xfId="0" applyNumberFormat="1" applyFont="1" applyFill="1" applyBorder="1"/>
    <xf numFmtId="181" fontId="0" fillId="0" borderId="78" xfId="0" applyNumberFormat="1" applyFill="1" applyBorder="1"/>
    <xf numFmtId="0" fontId="0" fillId="0" borderId="0" xfId="0" applyFont="1" applyFill="1" applyBorder="1" applyAlignment="1" applyProtection="1">
      <alignment horizontal="left" vertical="top" wrapText="1"/>
    </xf>
    <xf numFmtId="181" fontId="0" fillId="0" borderId="78" xfId="0" applyNumberFormat="1" applyFill="1" applyBorder="1" applyAlignment="1">
      <alignment horizontal="right"/>
    </xf>
    <xf numFmtId="8" fontId="0" fillId="0" borderId="78" xfId="60862" applyNumberFormat="1" applyFont="1" applyFill="1" applyBorder="1" applyAlignment="1" applyProtection="1">
      <alignment horizontal="right"/>
    </xf>
    <xf numFmtId="0" fontId="7" fillId="0" borderId="78" xfId="0" applyFont="1" applyFill="1" applyBorder="1" applyProtection="1"/>
    <xf numFmtId="0" fontId="0" fillId="0" borderId="78" xfId="0" applyFill="1" applyBorder="1" applyAlignment="1">
      <alignment horizontal="center"/>
    </xf>
    <xf numFmtId="170" fontId="7" fillId="0" borderId="78" xfId="1" applyNumberFormat="1" applyFont="1" applyFill="1" applyBorder="1" applyProtection="1"/>
    <xf numFmtId="172" fontId="7" fillId="0" borderId="78" xfId="0" applyNumberFormat="1" applyFont="1" applyFill="1" applyBorder="1" applyAlignment="1" applyProtection="1"/>
    <xf numFmtId="227" fontId="0" fillId="0" borderId="78" xfId="0" applyNumberFormat="1" applyFill="1" applyBorder="1"/>
    <xf numFmtId="49" fontId="7" fillId="0" borderId="78" xfId="0" applyNumberFormat="1" applyFont="1" applyFill="1" applyBorder="1"/>
    <xf numFmtId="227" fontId="7" fillId="0" borderId="78" xfId="0" applyNumberFormat="1" applyFont="1" applyFill="1" applyBorder="1" applyAlignment="1">
      <alignment horizontal="right" vertical="center"/>
    </xf>
    <xf numFmtId="0" fontId="124" fillId="0" borderId="78" xfId="0" applyFont="1" applyFill="1" applyBorder="1" applyAlignment="1">
      <alignment vertical="center"/>
    </xf>
    <xf numFmtId="227" fontId="0" fillId="0" borderId="78" xfId="0" applyNumberFormat="1" applyFill="1" applyBorder="1" applyAlignment="1">
      <alignment horizontal="center" vertical="center"/>
    </xf>
    <xf numFmtId="0" fontId="0" fillId="0" borderId="79" xfId="0" applyFill="1" applyBorder="1"/>
    <xf numFmtId="0" fontId="0" fillId="0" borderId="77" xfId="0" applyFill="1" applyBorder="1"/>
    <xf numFmtId="0" fontId="2" fillId="7" borderId="16" xfId="0" applyFont="1" applyFill="1" applyBorder="1" applyAlignment="1">
      <alignment horizontal="center"/>
    </xf>
    <xf numFmtId="0" fontId="2" fillId="7" borderId="16" xfId="0" applyFont="1" applyFill="1" applyBorder="1" applyAlignment="1">
      <alignment horizontal="center" vertical="center"/>
    </xf>
    <xf numFmtId="0" fontId="104" fillId="8" borderId="6" xfId="0" applyFont="1" applyFill="1" applyBorder="1" applyAlignment="1">
      <alignment horizontal="center" vertical="center" wrapText="1"/>
    </xf>
    <xf numFmtId="0" fontId="104" fillId="8" borderId="0" xfId="0" applyFont="1" applyFill="1" applyBorder="1" applyAlignment="1">
      <alignment horizontal="center" vertical="center" wrapText="1"/>
    </xf>
    <xf numFmtId="9" fontId="0" fillId="48" borderId="78" xfId="2" applyFont="1" applyFill="1" applyBorder="1" applyProtection="1"/>
    <xf numFmtId="172" fontId="0" fillId="48" borderId="78" xfId="0" applyNumberFormat="1" applyFill="1" applyBorder="1" applyAlignment="1">
      <alignment horizontal="right" wrapText="1"/>
    </xf>
    <xf numFmtId="0" fontId="0" fillId="0" borderId="0" xfId="0"/>
    <xf numFmtId="0" fontId="0" fillId="0" borderId="4" xfId="0" applyBorder="1"/>
    <xf numFmtId="164" fontId="20" fillId="0" borderId="0" xfId="0" applyNumberFormat="1" applyFont="1" applyFill="1" applyBorder="1" applyAlignment="1">
      <alignment horizontal="center" vertical="center"/>
    </xf>
    <xf numFmtId="0" fontId="21" fillId="21" borderId="72" xfId="0" applyFont="1" applyFill="1" applyBorder="1" applyAlignment="1">
      <alignment horizontal="center" vertical="center"/>
    </xf>
    <xf numFmtId="164" fontId="22" fillId="0" borderId="68" xfId="1" applyNumberFormat="1" applyFont="1" applyFill="1" applyBorder="1" applyAlignment="1">
      <alignment horizontal="center" vertical="center"/>
    </xf>
    <xf numFmtId="0" fontId="20" fillId="0" borderId="68" xfId="0" applyFont="1" applyFill="1" applyBorder="1" applyAlignment="1">
      <alignment horizontal="center" vertical="center"/>
    </xf>
    <xf numFmtId="0" fontId="0" fillId="45" borderId="0" xfId="0" applyFill="1"/>
    <xf numFmtId="0" fontId="0" fillId="37" borderId="0" xfId="0" quotePrefix="1" applyFill="1"/>
    <xf numFmtId="201" fontId="0" fillId="0" borderId="0" xfId="0" applyNumberFormat="1"/>
    <xf numFmtId="0" fontId="0" fillId="37" borderId="78" xfId="0" applyFont="1" applyFill="1" applyBorder="1"/>
    <xf numFmtId="201" fontId="0" fillId="37" borderId="78" xfId="0" applyNumberFormat="1" applyFill="1" applyBorder="1"/>
    <xf numFmtId="0" fontId="2" fillId="37" borderId="78" xfId="0" applyFont="1" applyFill="1" applyBorder="1"/>
    <xf numFmtId="201" fontId="0" fillId="37" borderId="78" xfId="0" applyNumberFormat="1" applyFont="1" applyFill="1" applyBorder="1"/>
    <xf numFmtId="0" fontId="0" fillId="0" borderId="0" xfId="0" quotePrefix="1" applyAlignment="1">
      <alignment horizontal="left"/>
    </xf>
    <xf numFmtId="0" fontId="0" fillId="0" borderId="0" xfId="0" quotePrefix="1"/>
    <xf numFmtId="0" fontId="2" fillId="37" borderId="66" xfId="0" applyFont="1" applyFill="1" applyBorder="1" applyAlignment="1" applyProtection="1">
      <alignment wrapText="1"/>
    </xf>
    <xf numFmtId="0" fontId="2" fillId="37" borderId="78" xfId="0" applyFont="1" applyFill="1" applyBorder="1" applyAlignment="1">
      <alignment wrapText="1"/>
    </xf>
    <xf numFmtId="0" fontId="20" fillId="0" borderId="0" xfId="0" applyFont="1" applyFill="1" applyBorder="1" applyAlignment="1">
      <alignment horizontal="center" vertical="center"/>
    </xf>
    <xf numFmtId="186" fontId="20" fillId="24" borderId="68" xfId="0" applyNumberFormat="1" applyFont="1" applyFill="1" applyBorder="1" applyAlignment="1" applyProtection="1">
      <alignment horizontal="center" vertical="center" wrapText="1"/>
      <protection locked="0"/>
    </xf>
    <xf numFmtId="0" fontId="21" fillId="21" borderId="72" xfId="0" applyFont="1" applyFill="1" applyBorder="1" applyAlignment="1">
      <alignment horizontal="center" vertical="center" wrapText="1"/>
    </xf>
    <xf numFmtId="0" fontId="0" fillId="31" borderId="15" xfId="0" applyFill="1" applyBorder="1" applyAlignment="1"/>
    <xf numFmtId="0" fontId="0" fillId="31" borderId="0" xfId="0" applyFill="1" applyBorder="1" applyAlignment="1"/>
    <xf numFmtId="164" fontId="22" fillId="0" borderId="0" xfId="1" applyNumberFormat="1" applyFont="1" applyFill="1" applyBorder="1" applyAlignment="1">
      <alignment horizontal="center" vertical="center"/>
    </xf>
    <xf numFmtId="0" fontId="21" fillId="21" borderId="68" xfId="0" applyFont="1" applyFill="1" applyBorder="1" applyAlignment="1">
      <alignment horizontal="center" vertical="center" wrapText="1"/>
    </xf>
    <xf numFmtId="0" fontId="21" fillId="21" borderId="76" xfId="0" applyFont="1" applyFill="1" applyBorder="1" applyAlignment="1">
      <alignment horizontal="center"/>
    </xf>
    <xf numFmtId="0" fontId="5" fillId="11" borderId="0" xfId="0" applyFont="1" applyFill="1" applyBorder="1" applyAlignment="1">
      <alignment horizontal="center"/>
    </xf>
    <xf numFmtId="0" fontId="47" fillId="22" borderId="0" xfId="0" applyFont="1" applyFill="1" applyBorder="1" applyProtection="1"/>
    <xf numFmtId="0" fontId="47" fillId="23" borderId="0" xfId="0" applyFont="1" applyFill="1" applyBorder="1" applyProtection="1"/>
    <xf numFmtId="0" fontId="47" fillId="23" borderId="0" xfId="0" applyFont="1" applyFill="1" applyBorder="1" applyAlignment="1" applyProtection="1">
      <alignment vertical="center"/>
    </xf>
    <xf numFmtId="164" fontId="20" fillId="0" borderId="82" xfId="0" applyNumberFormat="1" applyFont="1" applyFill="1" applyBorder="1"/>
    <xf numFmtId="1" fontId="20" fillId="8" borderId="76" xfId="0" applyNumberFormat="1" applyFont="1" applyFill="1" applyBorder="1" applyAlignment="1" applyProtection="1">
      <alignment horizontal="left" vertical="center"/>
      <protection locked="0"/>
    </xf>
    <xf numFmtId="0" fontId="27" fillId="0" borderId="4" xfId="0" applyFont="1" applyBorder="1"/>
    <xf numFmtId="44" fontId="0" fillId="0" borderId="76" xfId="0" applyNumberFormat="1" applyFont="1" applyBorder="1"/>
    <xf numFmtId="0" fontId="21" fillId="21" borderId="76" xfId="0" applyFont="1" applyFill="1" applyBorder="1" applyAlignment="1">
      <alignment horizontal="center" vertical="center"/>
    </xf>
    <xf numFmtId="0" fontId="0" fillId="32" borderId="76" xfId="0" applyFill="1" applyBorder="1"/>
    <xf numFmtId="0" fontId="0" fillId="18" borderId="76" xfId="0" applyFill="1" applyBorder="1"/>
    <xf numFmtId="9" fontId="76" fillId="0" borderId="78" xfId="2" applyFont="1" applyFill="1" applyBorder="1" applyProtection="1"/>
    <xf numFmtId="0" fontId="76" fillId="0" borderId="78" xfId="0" applyFont="1" applyFill="1" applyBorder="1"/>
    <xf numFmtId="212" fontId="76" fillId="0" borderId="78" xfId="1" applyNumberFormat="1" applyFont="1" applyFill="1" applyBorder="1" applyAlignment="1" applyProtection="1">
      <alignment horizontal="left" indent="1"/>
    </xf>
    <xf numFmtId="227" fontId="76" fillId="0" borderId="78" xfId="0" applyNumberFormat="1" applyFont="1" applyFill="1" applyBorder="1"/>
    <xf numFmtId="201" fontId="76" fillId="0" borderId="78" xfId="0" applyNumberFormat="1" applyFont="1" applyFill="1" applyBorder="1"/>
    <xf numFmtId="199" fontId="7" fillId="0" borderId="78" xfId="1" applyNumberFormat="1" applyFont="1" applyFill="1" applyBorder="1" applyAlignment="1" applyProtection="1">
      <alignment horizontal="left" indent="1"/>
    </xf>
    <xf numFmtId="0" fontId="7" fillId="0" borderId="78" xfId="0" applyFont="1" applyFill="1" applyBorder="1"/>
    <xf numFmtId="212" fontId="76" fillId="0" borderId="78" xfId="60867" applyNumberFormat="1" applyFont="1" applyFill="1" applyBorder="1" applyAlignment="1" applyProtection="1">
      <alignment horizontal="left" indent="1"/>
    </xf>
    <xf numFmtId="199" fontId="76" fillId="0" borderId="78" xfId="60867" applyNumberFormat="1" applyFont="1" applyFill="1" applyBorder="1" applyAlignment="1" applyProtection="1">
      <alignment horizontal="left" indent="1"/>
    </xf>
    <xf numFmtId="9" fontId="0" fillId="0" borderId="78" xfId="2" applyFont="1" applyFill="1" applyBorder="1" applyProtection="1"/>
    <xf numFmtId="0" fontId="1" fillId="0" borderId="78" xfId="0" applyFont="1" applyFill="1" applyBorder="1" applyAlignment="1">
      <alignment horizontal="center" vertical="center" wrapText="1"/>
    </xf>
    <xf numFmtId="172" fontId="1" fillId="0" borderId="78" xfId="0" applyNumberFormat="1" applyFont="1" applyFill="1" applyBorder="1" applyAlignment="1">
      <alignment horizontal="right" vertical="center" wrapText="1"/>
    </xf>
    <xf numFmtId="44" fontId="1" fillId="0" borderId="78" xfId="0" applyNumberFormat="1" applyFont="1" applyFill="1" applyBorder="1" applyAlignment="1">
      <alignment horizontal="right" vertical="center" wrapText="1"/>
    </xf>
    <xf numFmtId="9" fontId="2" fillId="0" borderId="78" xfId="60825" applyFont="1" applyFill="1" applyBorder="1" applyAlignment="1" applyProtection="1">
      <alignment horizontal="center"/>
    </xf>
    <xf numFmtId="0" fontId="2" fillId="0" borderId="78" xfId="60824" applyFont="1" applyFill="1" applyBorder="1" applyAlignment="1">
      <alignment horizontal="center"/>
    </xf>
    <xf numFmtId="199" fontId="0" fillId="0" borderId="78" xfId="0" applyNumberFormat="1" applyFill="1" applyBorder="1"/>
    <xf numFmtId="0" fontId="60" fillId="0" borderId="78" xfId="60824" applyFont="1" applyFill="1" applyBorder="1" applyAlignment="1">
      <alignment horizontal="center"/>
    </xf>
    <xf numFmtId="0" fontId="0" fillId="0" borderId="78" xfId="0" applyFill="1" applyBorder="1" applyAlignment="1">
      <alignment wrapText="1"/>
    </xf>
    <xf numFmtId="172" fontId="0" fillId="0" borderId="78" xfId="0" applyNumberFormat="1" applyFill="1" applyBorder="1" applyAlignment="1">
      <alignment horizontal="right" wrapText="1"/>
    </xf>
    <xf numFmtId="44" fontId="0" fillId="0" borderId="78" xfId="0" applyNumberFormat="1" applyFill="1" applyBorder="1" applyAlignment="1">
      <alignment horizontal="right" wrapText="1"/>
    </xf>
    <xf numFmtId="9" fontId="0" fillId="0" borderId="76" xfId="0" applyNumberFormat="1" applyFill="1" applyBorder="1"/>
    <xf numFmtId="172" fontId="0" fillId="0" borderId="78" xfId="60852" applyNumberFormat="1" applyFont="1" applyFill="1" applyBorder="1" applyAlignment="1" applyProtection="1">
      <alignment horizontal="right"/>
    </xf>
    <xf numFmtId="0" fontId="0" fillId="0" borderId="76" xfId="0" applyFill="1" applyBorder="1" applyAlignment="1">
      <alignment wrapText="1"/>
    </xf>
    <xf numFmtId="166" fontId="0" fillId="0" borderId="78" xfId="60862" applyNumberFormat="1" applyFont="1" applyFill="1" applyBorder="1" applyProtection="1"/>
    <xf numFmtId="8" fontId="0" fillId="0" borderId="78" xfId="60854" applyNumberFormat="1" applyFont="1" applyFill="1" applyBorder="1" applyProtection="1"/>
    <xf numFmtId="8" fontId="0" fillId="0" borderId="78" xfId="60855" applyNumberFormat="1" applyFont="1" applyFill="1" applyBorder="1" applyProtection="1"/>
    <xf numFmtId="181" fontId="0" fillId="0" borderId="76" xfId="0" applyNumberFormat="1" applyFill="1" applyBorder="1"/>
    <xf numFmtId="0" fontId="0" fillId="0" borderId="78" xfId="0" applyFill="1" applyBorder="1" applyAlignment="1" applyProtection="1">
      <alignment vertical="top"/>
    </xf>
    <xf numFmtId="201" fontId="0" fillId="0" borderId="78" xfId="0" applyNumberFormat="1" applyFill="1" applyBorder="1" applyProtection="1"/>
    <xf numFmtId="0" fontId="0" fillId="0" borderId="46" xfId="0" applyFill="1" applyBorder="1"/>
    <xf numFmtId="0" fontId="0" fillId="0" borderId="46" xfId="0" applyFont="1" applyFill="1" applyBorder="1" applyProtection="1"/>
    <xf numFmtId="0" fontId="0" fillId="0" borderId="38" xfId="0" applyFont="1" applyFill="1" applyBorder="1" applyProtection="1"/>
    <xf numFmtId="201" fontId="0" fillId="0" borderId="78" xfId="0" applyNumberFormat="1" applyFill="1" applyBorder="1"/>
    <xf numFmtId="227" fontId="0" fillId="0" borderId="78" xfId="0" applyNumberFormat="1" applyFont="1" applyFill="1" applyBorder="1"/>
    <xf numFmtId="0" fontId="2" fillId="0" borderId="78" xfId="0" applyFont="1" applyFill="1" applyBorder="1" applyProtection="1"/>
    <xf numFmtId="172" fontId="0" fillId="0" borderId="78" xfId="60857" applyNumberFormat="1" applyFont="1" applyFill="1" applyBorder="1" applyProtection="1"/>
    <xf numFmtId="172" fontId="0" fillId="0" borderId="78" xfId="1" applyNumberFormat="1" applyFont="1" applyFill="1" applyBorder="1" applyProtection="1"/>
    <xf numFmtId="199" fontId="0" fillId="0" borderId="78" xfId="1" applyNumberFormat="1" applyFont="1" applyFill="1" applyBorder="1" applyProtection="1"/>
    <xf numFmtId="172" fontId="0" fillId="0" borderId="66" xfId="1" applyNumberFormat="1" applyFont="1" applyFill="1" applyBorder="1" applyProtection="1"/>
    <xf numFmtId="199" fontId="0" fillId="0" borderId="76" xfId="1" applyNumberFormat="1" applyFont="1" applyFill="1" applyBorder="1" applyProtection="1"/>
    <xf numFmtId="199" fontId="0" fillId="0" borderId="78" xfId="2" applyNumberFormat="1" applyFont="1" applyFill="1" applyBorder="1" applyAlignment="1" applyProtection="1">
      <alignment horizontal="left"/>
    </xf>
    <xf numFmtId="0" fontId="0" fillId="0" borderId="76" xfId="0" applyFill="1" applyBorder="1" applyProtection="1"/>
    <xf numFmtId="0" fontId="0" fillId="0" borderId="79" xfId="0" applyFont="1" applyFill="1" applyBorder="1" applyProtection="1"/>
    <xf numFmtId="44" fontId="0" fillId="0" borderId="78" xfId="60857" applyNumberFormat="1" applyFont="1" applyFill="1" applyBorder="1" applyProtection="1"/>
    <xf numFmtId="0" fontId="82" fillId="0" borderId="78" xfId="0" applyFont="1" applyFill="1" applyBorder="1"/>
    <xf numFmtId="172" fontId="82" fillId="0" borderId="78" xfId="60842" applyNumberFormat="1" applyFont="1" applyFill="1" applyBorder="1" applyProtection="1"/>
    <xf numFmtId="199" fontId="82" fillId="0" borderId="76" xfId="60842" applyNumberFormat="1" applyFont="1" applyFill="1" applyBorder="1" applyProtection="1"/>
    <xf numFmtId="9" fontId="82" fillId="0" borderId="78" xfId="2" applyFont="1" applyFill="1" applyBorder="1" applyProtection="1"/>
    <xf numFmtId="0" fontId="82" fillId="0" borderId="0" xfId="0" applyFont="1" applyFill="1"/>
    <xf numFmtId="9" fontId="0" fillId="0" borderId="55" xfId="2" applyFont="1" applyFill="1" applyBorder="1" applyProtection="1"/>
    <xf numFmtId="9" fontId="0" fillId="0" borderId="33" xfId="2" applyFont="1" applyFill="1" applyBorder="1" applyProtection="1"/>
    <xf numFmtId="0" fontId="2" fillId="0" borderId="78" xfId="0" applyFont="1" applyFill="1" applyBorder="1"/>
    <xf numFmtId="0" fontId="2" fillId="0" borderId="78" xfId="0" applyFont="1" applyFill="1" applyBorder="1" applyAlignment="1">
      <alignment wrapText="1"/>
    </xf>
    <xf numFmtId="0" fontId="22" fillId="0" borderId="78" xfId="0" applyFont="1" applyFill="1" applyBorder="1" applyAlignment="1">
      <alignment wrapText="1"/>
    </xf>
    <xf numFmtId="0" fontId="0" fillId="0" borderId="78" xfId="0" applyFont="1" applyFill="1" applyBorder="1" applyAlignment="1" applyProtection="1"/>
    <xf numFmtId="172" fontId="0" fillId="0" borderId="78" xfId="0" applyNumberFormat="1" applyFill="1" applyBorder="1"/>
    <xf numFmtId="44" fontId="0" fillId="0" borderId="78" xfId="0" applyNumberFormat="1" applyFill="1" applyBorder="1"/>
    <xf numFmtId="0" fontId="76" fillId="32" borderId="78" xfId="0" applyFont="1" applyFill="1" applyBorder="1"/>
    <xf numFmtId="0" fontId="20" fillId="0" borderId="78" xfId="0" applyNumberFormat="1" applyFont="1" applyFill="1" applyBorder="1" applyAlignment="1">
      <alignment horizontal="center" vertical="center" wrapText="1"/>
    </xf>
    <xf numFmtId="0" fontId="56" fillId="0" borderId="0" xfId="0" applyFont="1" applyBorder="1" applyAlignment="1">
      <alignment horizontal="left"/>
    </xf>
    <xf numFmtId="44" fontId="0" fillId="8" borderId="0" xfId="0" applyNumberFormat="1" applyFill="1" applyBorder="1" applyAlignment="1">
      <alignment vertical="center" wrapText="1"/>
    </xf>
    <xf numFmtId="0" fontId="21" fillId="21" borderId="73" xfId="0" applyFont="1" applyFill="1" applyBorder="1" applyAlignment="1">
      <alignment horizontal="center"/>
    </xf>
    <xf numFmtId="0" fontId="69" fillId="37" borderId="0" xfId="0" applyFont="1" applyFill="1" applyAlignment="1">
      <alignment horizontal="center" vertical="center"/>
    </xf>
    <xf numFmtId="0" fontId="63" fillId="37" borderId="0" xfId="0" applyFont="1" applyFill="1" applyAlignment="1">
      <alignment horizontal="center" vertical="center"/>
    </xf>
    <xf numFmtId="0" fontId="68" fillId="37" borderId="0" xfId="0" applyFont="1" applyFill="1" applyAlignment="1">
      <alignment horizontal="center" vertical="center"/>
    </xf>
    <xf numFmtId="0" fontId="104" fillId="7" borderId="6" xfId="0" applyFont="1" applyFill="1" applyBorder="1" applyAlignment="1">
      <alignment horizontal="center" vertical="center" wrapText="1"/>
    </xf>
    <xf numFmtId="0" fontId="104" fillId="7" borderId="0" xfId="0" applyFont="1" applyFill="1" applyBorder="1" applyAlignment="1">
      <alignment horizontal="center" vertical="center" wrapText="1"/>
    </xf>
    <xf numFmtId="0" fontId="2" fillId="7" borderId="76" xfId="0" applyFont="1" applyFill="1" applyBorder="1" applyAlignment="1" applyProtection="1">
      <alignment horizontal="left"/>
    </xf>
    <xf numFmtId="0" fontId="2" fillId="7" borderId="70" xfId="0" applyFont="1" applyFill="1" applyBorder="1" applyAlignment="1" applyProtection="1">
      <alignment horizontal="left"/>
    </xf>
    <xf numFmtId="0" fontId="2" fillId="7" borderId="71" xfId="0" applyFont="1" applyFill="1" applyBorder="1" applyAlignment="1" applyProtection="1">
      <alignment horizontal="left"/>
    </xf>
    <xf numFmtId="0" fontId="28" fillId="7" borderId="76" xfId="0" applyFont="1" applyFill="1" applyBorder="1" applyAlignment="1">
      <alignment horizontal="left" wrapText="1" readingOrder="1"/>
    </xf>
    <xf numFmtId="0" fontId="28" fillId="7" borderId="70" xfId="0" applyFont="1" applyFill="1" applyBorder="1" applyAlignment="1">
      <alignment horizontal="left" wrapText="1" readingOrder="1"/>
    </xf>
    <xf numFmtId="0" fontId="28" fillId="7" borderId="71" xfId="0" applyFont="1" applyFill="1" applyBorder="1" applyAlignment="1">
      <alignment horizontal="left" wrapText="1" readingOrder="1"/>
    </xf>
    <xf numFmtId="0" fontId="29" fillId="0" borderId="76" xfId="0" applyFont="1" applyFill="1" applyBorder="1" applyAlignment="1">
      <alignment horizontal="left" wrapText="1" readingOrder="1"/>
    </xf>
    <xf numFmtId="0" fontId="29" fillId="0" borderId="71" xfId="0" applyFont="1" applyFill="1" applyBorder="1" applyAlignment="1">
      <alignment horizontal="left" wrapText="1" readingOrder="1"/>
    </xf>
    <xf numFmtId="0" fontId="0" fillId="8" borderId="74" xfId="0" applyFill="1" applyBorder="1" applyAlignment="1">
      <alignment horizontal="center" vertical="center" wrapText="1"/>
    </xf>
    <xf numFmtId="0" fontId="0" fillId="8" borderId="66" xfId="0" applyFill="1" applyBorder="1" applyAlignment="1">
      <alignment horizontal="center" vertical="center" wrapText="1"/>
    </xf>
    <xf numFmtId="0" fontId="0" fillId="8" borderId="7" xfId="0" applyFill="1" applyBorder="1" applyAlignment="1">
      <alignment horizontal="center" vertical="center" wrapText="1"/>
    </xf>
    <xf numFmtId="0" fontId="0" fillId="8" borderId="0" xfId="0" applyFill="1" applyBorder="1" applyAlignment="1">
      <alignment horizontal="left" vertical="top" wrapText="1"/>
    </xf>
    <xf numFmtId="0" fontId="0" fillId="8" borderId="0" xfId="0" applyFill="1" applyBorder="1" applyAlignment="1">
      <alignment horizontal="left" wrapText="1"/>
    </xf>
    <xf numFmtId="0" fontId="2" fillId="13" borderId="16" xfId="0" applyFont="1" applyFill="1" applyBorder="1" applyAlignment="1" applyProtection="1">
      <alignment horizontal="left"/>
    </xf>
    <xf numFmtId="0" fontId="2" fillId="13" borderId="15" xfId="0" applyFont="1" applyFill="1" applyBorder="1" applyAlignment="1" applyProtection="1">
      <alignment horizontal="left"/>
    </xf>
    <xf numFmtId="0" fontId="2" fillId="8" borderId="76" xfId="0" applyFont="1" applyFill="1" applyBorder="1" applyAlignment="1">
      <alignment horizontal="center"/>
    </xf>
    <xf numFmtId="0" fontId="2" fillId="8" borderId="70" xfId="0" applyFont="1" applyFill="1" applyBorder="1" applyAlignment="1">
      <alignment horizontal="center"/>
    </xf>
    <xf numFmtId="0" fontId="2" fillId="8" borderId="71" xfId="0" applyFont="1" applyFill="1" applyBorder="1" applyAlignment="1">
      <alignment horizontal="center"/>
    </xf>
    <xf numFmtId="0" fontId="6" fillId="13" borderId="69" xfId="0" applyFont="1" applyFill="1" applyBorder="1" applyAlignment="1" applyProtection="1">
      <alignment horizontal="left"/>
    </xf>
    <xf numFmtId="0" fontId="6" fillId="13" borderId="71" xfId="0" applyFont="1" applyFill="1" applyBorder="1" applyAlignment="1" applyProtection="1">
      <alignment horizontal="left"/>
    </xf>
    <xf numFmtId="0" fontId="2" fillId="7" borderId="16" xfId="0" applyFont="1" applyFill="1" applyBorder="1" applyAlignment="1" applyProtection="1">
      <alignment horizontal="center"/>
    </xf>
    <xf numFmtId="0" fontId="2" fillId="7" borderId="15" xfId="0" applyFont="1" applyFill="1" applyBorder="1" applyAlignment="1" applyProtection="1">
      <alignment horizontal="center"/>
    </xf>
    <xf numFmtId="9" fontId="0" fillId="9" borderId="61" xfId="2" applyFont="1" applyFill="1" applyBorder="1" applyAlignment="1" applyProtection="1">
      <alignment horizontal="left" vertical="center" wrapText="1"/>
    </xf>
    <xf numFmtId="9" fontId="0" fillId="9" borderId="62" xfId="2" applyFont="1" applyFill="1" applyBorder="1" applyAlignment="1" applyProtection="1">
      <alignment horizontal="left" vertical="center" wrapText="1"/>
    </xf>
    <xf numFmtId="0" fontId="0" fillId="0" borderId="76" xfId="0" applyFill="1" applyBorder="1" applyAlignment="1" applyProtection="1">
      <alignment horizontal="left" wrapText="1"/>
    </xf>
    <xf numFmtId="0" fontId="0" fillId="0" borderId="71" xfId="0" applyFill="1" applyBorder="1" applyAlignment="1" applyProtection="1">
      <alignment horizontal="left" wrapText="1"/>
    </xf>
    <xf numFmtId="0" fontId="0" fillId="0" borderId="61" xfId="0" applyFill="1" applyBorder="1" applyAlignment="1" applyProtection="1">
      <alignment horizontal="left"/>
    </xf>
    <xf numFmtId="0" fontId="0" fillId="0" borderId="62" xfId="0" applyFill="1" applyBorder="1" applyAlignment="1" applyProtection="1">
      <alignment horizontal="left"/>
    </xf>
    <xf numFmtId="0" fontId="50" fillId="16" borderId="76" xfId="0" applyFont="1" applyFill="1" applyBorder="1" applyAlignment="1" applyProtection="1">
      <alignment horizontal="left"/>
    </xf>
    <xf numFmtId="0" fontId="50" fillId="16" borderId="70" xfId="0" applyFont="1" applyFill="1" applyBorder="1" applyAlignment="1" applyProtection="1">
      <alignment horizontal="left"/>
    </xf>
    <xf numFmtId="0" fontId="50" fillId="16" borderId="71" xfId="0" applyFont="1" applyFill="1" applyBorder="1" applyAlignment="1" applyProtection="1">
      <alignment horizontal="left"/>
    </xf>
    <xf numFmtId="9" fontId="2" fillId="6" borderId="76" xfId="2" applyFont="1" applyFill="1" applyBorder="1" applyAlignment="1" applyProtection="1">
      <alignment horizontal="left" vertical="center"/>
    </xf>
    <xf numFmtId="9" fontId="2" fillId="6" borderId="70" xfId="2" applyFont="1" applyFill="1" applyBorder="1" applyAlignment="1" applyProtection="1">
      <alignment horizontal="left" vertical="center"/>
    </xf>
    <xf numFmtId="9" fontId="2" fillId="6" borderId="71" xfId="2" applyFont="1" applyFill="1" applyBorder="1" applyAlignment="1" applyProtection="1">
      <alignment horizontal="left" vertical="center"/>
    </xf>
    <xf numFmtId="0" fontId="0" fillId="8" borderId="76" xfId="0" applyFill="1" applyBorder="1" applyAlignment="1">
      <alignment horizontal="center" wrapText="1"/>
    </xf>
    <xf numFmtId="0" fontId="0" fillId="8" borderId="77" xfId="0" applyFill="1" applyBorder="1" applyAlignment="1">
      <alignment horizontal="center" wrapText="1"/>
    </xf>
    <xf numFmtId="0" fontId="6" fillId="7" borderId="76" xfId="0" applyFont="1" applyFill="1" applyBorder="1" applyAlignment="1" applyProtection="1">
      <alignment horizontal="left"/>
    </xf>
    <xf numFmtId="0" fontId="6" fillId="7" borderId="70" xfId="0" applyFont="1" applyFill="1" applyBorder="1" applyAlignment="1" applyProtection="1">
      <alignment horizontal="left"/>
    </xf>
    <xf numFmtId="0" fontId="6" fillId="7" borderId="71" xfId="0" applyFont="1" applyFill="1" applyBorder="1" applyAlignment="1" applyProtection="1">
      <alignment horizontal="left"/>
    </xf>
    <xf numFmtId="0" fontId="0" fillId="8" borderId="76" xfId="0" applyFill="1" applyBorder="1" applyAlignment="1">
      <alignment horizontal="left" vertical="center" wrapText="1"/>
    </xf>
    <xf numFmtId="0" fontId="0" fillId="8" borderId="77" xfId="0" applyFill="1" applyBorder="1" applyAlignment="1">
      <alignment horizontal="left" vertical="center" wrapText="1"/>
    </xf>
    <xf numFmtId="0" fontId="6" fillId="8" borderId="0" xfId="0" applyFont="1" applyFill="1" applyBorder="1" applyAlignment="1" applyProtection="1">
      <alignment horizontal="left"/>
    </xf>
    <xf numFmtId="0" fontId="0" fillId="8" borderId="78" xfId="0" applyFill="1" applyBorder="1" applyAlignment="1">
      <alignment horizontal="center" vertical="top" wrapText="1"/>
    </xf>
    <xf numFmtId="0" fontId="0" fillId="8" borderId="0" xfId="0" applyFont="1" applyFill="1" applyBorder="1" applyAlignment="1" applyProtection="1">
      <alignment horizontal="left" vertical="top" wrapText="1"/>
    </xf>
    <xf numFmtId="0" fontId="100" fillId="8" borderId="76" xfId="0" applyFont="1" applyFill="1" applyBorder="1" applyAlignment="1">
      <alignment horizontal="left" vertical="center" wrapText="1"/>
    </xf>
    <xf numFmtId="0" fontId="100" fillId="8" borderId="77" xfId="0" applyFont="1" applyFill="1" applyBorder="1" applyAlignment="1">
      <alignment horizontal="left" vertical="center" wrapText="1"/>
    </xf>
    <xf numFmtId="0" fontId="0" fillId="8" borderId="76" xfId="0" applyFill="1" applyBorder="1" applyAlignment="1">
      <alignment horizontal="left" wrapText="1"/>
    </xf>
    <xf numFmtId="0" fontId="0" fillId="8" borderId="77" xfId="0" applyFill="1" applyBorder="1" applyAlignment="1">
      <alignment horizontal="left" wrapText="1"/>
    </xf>
    <xf numFmtId="0" fontId="7" fillId="8" borderId="76" xfId="0" applyFont="1" applyFill="1" applyBorder="1" applyAlignment="1">
      <alignment horizontal="left" vertical="center" wrapText="1"/>
    </xf>
    <xf numFmtId="0" fontId="7" fillId="8" borderId="77" xfId="0" applyFont="1" applyFill="1" applyBorder="1" applyAlignment="1">
      <alignment horizontal="left" vertical="center" wrapText="1"/>
    </xf>
    <xf numFmtId="0" fontId="50" fillId="16" borderId="76" xfId="0" applyFont="1" applyFill="1" applyBorder="1" applyAlignment="1">
      <alignment horizontal="left"/>
    </xf>
    <xf numFmtId="0" fontId="50" fillId="16" borderId="79" xfId="0" applyFont="1" applyFill="1" applyBorder="1" applyAlignment="1">
      <alignment horizontal="left"/>
    </xf>
    <xf numFmtId="0" fontId="50" fillId="16" borderId="77" xfId="0" applyFont="1" applyFill="1" applyBorder="1" applyAlignment="1">
      <alignment horizontal="left"/>
    </xf>
    <xf numFmtId="0" fontId="100" fillId="8" borderId="76" xfId="0" applyFont="1" applyFill="1" applyBorder="1" applyAlignment="1">
      <alignment horizontal="center" wrapText="1"/>
    </xf>
    <xf numFmtId="0" fontId="100" fillId="8" borderId="77" xfId="0" applyFont="1" applyFill="1" applyBorder="1" applyAlignment="1">
      <alignment horizontal="center" wrapText="1"/>
    </xf>
    <xf numFmtId="0" fontId="7" fillId="8" borderId="76" xfId="0" applyFont="1" applyFill="1" applyBorder="1" applyAlignment="1">
      <alignment horizontal="center" wrapText="1"/>
    </xf>
    <xf numFmtId="0" fontId="7" fillId="8" borderId="77" xfId="0" applyFont="1" applyFill="1" applyBorder="1" applyAlignment="1">
      <alignment horizontal="center" wrapText="1"/>
    </xf>
    <xf numFmtId="0" fontId="0" fillId="8" borderId="47" xfId="0" applyFill="1" applyBorder="1" applyAlignment="1">
      <alignment horizontal="center" vertical="top" wrapText="1"/>
    </xf>
    <xf numFmtId="0" fontId="0" fillId="8" borderId="85" xfId="0" applyFill="1" applyBorder="1" applyAlignment="1">
      <alignment horizontal="center" wrapText="1"/>
    </xf>
    <xf numFmtId="0" fontId="0" fillId="8" borderId="64" xfId="0" applyFill="1" applyBorder="1" applyAlignment="1">
      <alignment horizontal="center" wrapText="1"/>
    </xf>
    <xf numFmtId="0" fontId="50" fillId="16" borderId="85" xfId="0" applyFont="1" applyFill="1" applyBorder="1" applyAlignment="1" applyProtection="1">
      <alignment horizontal="left"/>
    </xf>
    <xf numFmtId="0" fontId="50" fillId="16" borderId="52" xfId="0" applyFont="1" applyFill="1" applyBorder="1" applyAlignment="1" applyProtection="1">
      <alignment horizontal="left"/>
    </xf>
    <xf numFmtId="0" fontId="50" fillId="16" borderId="64" xfId="0" applyFont="1" applyFill="1" applyBorder="1" applyAlignment="1" applyProtection="1">
      <alignment horizontal="left"/>
    </xf>
    <xf numFmtId="0" fontId="2" fillId="8" borderId="80" xfId="0" applyFont="1" applyFill="1" applyBorder="1" applyAlignment="1">
      <alignment horizontal="center"/>
    </xf>
    <xf numFmtId="0" fontId="2" fillId="8" borderId="79" xfId="0" applyFont="1" applyFill="1" applyBorder="1" applyAlignment="1">
      <alignment horizontal="center"/>
    </xf>
    <xf numFmtId="0" fontId="2" fillId="8" borderId="77" xfId="0" applyFont="1" applyFill="1" applyBorder="1" applyAlignment="1">
      <alignment horizontal="center"/>
    </xf>
    <xf numFmtId="0" fontId="0" fillId="0" borderId="76" xfId="0" applyFont="1" applyFill="1" applyBorder="1" applyAlignment="1" applyProtection="1">
      <alignment horizontal="center" vertical="center" wrapText="1"/>
    </xf>
    <xf numFmtId="0" fontId="0" fillId="0" borderId="70" xfId="0" applyFont="1" applyFill="1" applyBorder="1" applyAlignment="1" applyProtection="1">
      <alignment horizontal="center" vertical="center" wrapText="1"/>
    </xf>
    <xf numFmtId="0" fontId="0" fillId="0" borderId="71" xfId="0" applyFont="1" applyFill="1" applyBorder="1" applyAlignment="1" applyProtection="1">
      <alignment horizontal="center" vertical="center" wrapText="1"/>
    </xf>
    <xf numFmtId="0" fontId="4" fillId="10" borderId="48" xfId="0" applyFont="1" applyFill="1" applyBorder="1" applyAlignment="1" applyProtection="1">
      <alignment horizontal="center" vertical="center"/>
    </xf>
    <xf numFmtId="0" fontId="4" fillId="10" borderId="49" xfId="0" applyFont="1" applyFill="1" applyBorder="1" applyAlignment="1" applyProtection="1">
      <alignment horizontal="center" vertical="center"/>
    </xf>
    <xf numFmtId="0" fontId="4" fillId="10" borderId="50" xfId="0" applyFont="1" applyFill="1" applyBorder="1" applyAlignment="1" applyProtection="1">
      <alignment horizontal="center" vertical="center"/>
    </xf>
    <xf numFmtId="0" fontId="4" fillId="10" borderId="16" xfId="0" applyFont="1" applyFill="1" applyBorder="1" applyAlignment="1" applyProtection="1">
      <alignment horizontal="center" vertical="center"/>
    </xf>
    <xf numFmtId="0" fontId="4" fillId="10" borderId="15" xfId="0" applyFont="1" applyFill="1" applyBorder="1" applyAlignment="1" applyProtection="1">
      <alignment horizontal="center" vertical="center"/>
    </xf>
    <xf numFmtId="0" fontId="4" fillId="10" borderId="9" xfId="0" applyFont="1" applyFill="1" applyBorder="1" applyAlignment="1" applyProtection="1">
      <alignment horizontal="center" vertical="center"/>
    </xf>
    <xf numFmtId="0" fontId="2" fillId="7" borderId="28" xfId="0" applyFont="1" applyFill="1" applyBorder="1" applyAlignment="1">
      <alignment horizontal="left" vertical="center"/>
    </xf>
    <xf numFmtId="0" fontId="2" fillId="7" borderId="27" xfId="0" applyFont="1" applyFill="1" applyBorder="1" applyAlignment="1">
      <alignment horizontal="left" vertical="center"/>
    </xf>
    <xf numFmtId="0" fontId="2" fillId="7" borderId="76" xfId="0" applyFont="1" applyFill="1" applyBorder="1" applyAlignment="1" applyProtection="1">
      <alignment horizontal="left" wrapText="1"/>
    </xf>
    <xf numFmtId="0" fontId="2" fillId="7" borderId="70" xfId="0" applyFont="1" applyFill="1" applyBorder="1" applyAlignment="1" applyProtection="1">
      <alignment horizontal="left" wrapText="1"/>
    </xf>
    <xf numFmtId="0" fontId="2" fillId="7" borderId="71" xfId="0" applyFont="1" applyFill="1" applyBorder="1" applyAlignment="1" applyProtection="1">
      <alignment horizontal="left" wrapText="1"/>
    </xf>
    <xf numFmtId="0" fontId="6" fillId="7" borderId="28" xfId="0" applyFont="1" applyFill="1" applyBorder="1" applyAlignment="1" applyProtection="1">
      <alignment horizontal="left"/>
    </xf>
    <xf numFmtId="0" fontId="6" fillId="7" borderId="17" xfId="0" applyFont="1" applyFill="1" applyBorder="1" applyAlignment="1" applyProtection="1">
      <alignment horizontal="left"/>
    </xf>
    <xf numFmtId="0" fontId="6" fillId="7" borderId="27" xfId="0" applyFont="1" applyFill="1" applyBorder="1" applyAlignment="1" applyProtection="1">
      <alignment horizontal="left"/>
    </xf>
    <xf numFmtId="0" fontId="6" fillId="7" borderId="69" xfId="0" applyFont="1" applyFill="1" applyBorder="1" applyAlignment="1" applyProtection="1">
      <alignment horizontal="left"/>
    </xf>
    <xf numFmtId="0" fontId="2" fillId="7" borderId="76" xfId="0" applyFont="1" applyFill="1" applyBorder="1" applyAlignment="1" applyProtection="1">
      <alignment horizontal="center"/>
    </xf>
    <xf numFmtId="0" fontId="2" fillId="7" borderId="79" xfId="0" applyFont="1" applyFill="1" applyBorder="1" applyAlignment="1" applyProtection="1">
      <alignment horizontal="center"/>
    </xf>
    <xf numFmtId="0" fontId="2" fillId="7" borderId="77" xfId="0" applyFont="1" applyFill="1" applyBorder="1" applyAlignment="1" applyProtection="1">
      <alignment horizontal="center"/>
    </xf>
    <xf numFmtId="0" fontId="0" fillId="9" borderId="76" xfId="0" applyFont="1" applyFill="1" applyBorder="1" applyAlignment="1" applyProtection="1">
      <alignment horizontal="center" vertical="center" wrapText="1"/>
    </xf>
    <xf numFmtId="0" fontId="0" fillId="9" borderId="77" xfId="0" applyFont="1" applyFill="1" applyBorder="1" applyAlignment="1" applyProtection="1">
      <alignment horizontal="center" vertical="center" wrapText="1"/>
    </xf>
    <xf numFmtId="9" fontId="0" fillId="9" borderId="76" xfId="2" applyFont="1" applyFill="1" applyBorder="1" applyAlignment="1" applyProtection="1">
      <alignment horizontal="left" vertical="center" wrapText="1"/>
    </xf>
    <xf numFmtId="9" fontId="0" fillId="9" borderId="77" xfId="2" applyFont="1" applyFill="1" applyBorder="1" applyAlignment="1" applyProtection="1">
      <alignment horizontal="left" vertical="center" wrapText="1"/>
    </xf>
    <xf numFmtId="0" fontId="2" fillId="20" borderId="76" xfId="0" applyFont="1" applyFill="1" applyBorder="1" applyAlignment="1" applyProtection="1">
      <alignment horizontal="left" wrapText="1"/>
    </xf>
    <xf numFmtId="0" fontId="2" fillId="20" borderId="79" xfId="0" applyFont="1" applyFill="1" applyBorder="1" applyAlignment="1" applyProtection="1">
      <alignment horizontal="left" wrapText="1"/>
    </xf>
    <xf numFmtId="0" fontId="2" fillId="20" borderId="77" xfId="0" applyFont="1" applyFill="1" applyBorder="1" applyAlignment="1" applyProtection="1">
      <alignment horizontal="left" wrapText="1"/>
    </xf>
    <xf numFmtId="0" fontId="83" fillId="27" borderId="16" xfId="0" applyFont="1" applyFill="1" applyBorder="1" applyAlignment="1" applyProtection="1">
      <alignment horizontal="left"/>
    </xf>
    <xf numFmtId="0" fontId="83" fillId="27" borderId="15" xfId="0" applyFont="1" applyFill="1" applyBorder="1" applyAlignment="1" applyProtection="1">
      <alignment horizontal="left"/>
    </xf>
    <xf numFmtId="0" fontId="83" fillId="27" borderId="9" xfId="0" applyFont="1" applyFill="1" applyBorder="1" applyAlignment="1" applyProtection="1">
      <alignment horizontal="left"/>
    </xf>
    <xf numFmtId="170" fontId="29" fillId="8" borderId="74" xfId="1" applyNumberFormat="1" applyFont="1" applyFill="1" applyBorder="1" applyAlignment="1">
      <alignment horizontal="center" vertical="center" wrapText="1" readingOrder="1"/>
    </xf>
    <xf numFmtId="170" fontId="29" fillId="8" borderId="66" xfId="1" applyNumberFormat="1" applyFont="1" applyFill="1" applyBorder="1" applyAlignment="1">
      <alignment horizontal="center" vertical="center" wrapText="1" readingOrder="1"/>
    </xf>
    <xf numFmtId="170" fontId="29" fillId="8" borderId="7" xfId="1" applyNumberFormat="1" applyFont="1" applyFill="1" applyBorder="1" applyAlignment="1">
      <alignment horizontal="center" vertical="center" wrapText="1" readingOrder="1"/>
    </xf>
    <xf numFmtId="173" fontId="29" fillId="8" borderId="74" xfId="1" applyNumberFormat="1" applyFont="1" applyFill="1" applyBorder="1" applyAlignment="1">
      <alignment horizontal="center" vertical="center" wrapText="1" readingOrder="1"/>
    </xf>
    <xf numFmtId="173" fontId="29" fillId="8" borderId="66" xfId="1" applyNumberFormat="1" applyFont="1" applyFill="1" applyBorder="1" applyAlignment="1">
      <alignment horizontal="center" vertical="center" wrapText="1" readingOrder="1"/>
    </xf>
    <xf numFmtId="173" fontId="29" fillId="8" borderId="7" xfId="1" applyNumberFormat="1" applyFont="1" applyFill="1" applyBorder="1" applyAlignment="1">
      <alignment horizontal="center" vertical="center" wrapText="1" readingOrder="1"/>
    </xf>
    <xf numFmtId="0" fontId="28" fillId="13" borderId="76" xfId="0" applyFont="1" applyFill="1" applyBorder="1" applyAlignment="1">
      <alignment horizontal="left" wrapText="1" readingOrder="1"/>
    </xf>
    <xf numFmtId="0" fontId="28" fillId="13" borderId="70" xfId="0" applyFont="1" applyFill="1" applyBorder="1" applyAlignment="1">
      <alignment horizontal="left" wrapText="1" readingOrder="1"/>
    </xf>
    <xf numFmtId="0" fontId="28" fillId="13" borderId="71" xfId="0" applyFont="1" applyFill="1" applyBorder="1" applyAlignment="1">
      <alignment horizontal="left" wrapText="1" readingOrder="1"/>
    </xf>
    <xf numFmtId="0" fontId="50" fillId="16" borderId="69" xfId="0" applyFont="1" applyFill="1" applyBorder="1" applyAlignment="1" applyProtection="1">
      <alignment horizontal="left"/>
    </xf>
    <xf numFmtId="0" fontId="28" fillId="9" borderId="76" xfId="0" applyFont="1" applyFill="1" applyBorder="1" applyAlignment="1">
      <alignment horizontal="left" vertical="top" wrapText="1" readingOrder="1"/>
    </xf>
    <xf numFmtId="0" fontId="28" fillId="9" borderId="71" xfId="0" applyFont="1" applyFill="1" applyBorder="1" applyAlignment="1">
      <alignment horizontal="left" vertical="top" wrapText="1" readingOrder="1"/>
    </xf>
    <xf numFmtId="0" fontId="2" fillId="6" borderId="76" xfId="0" applyFont="1" applyFill="1" applyBorder="1" applyAlignment="1" applyProtection="1">
      <alignment horizontal="center" vertical="center" wrapText="1"/>
    </xf>
    <xf numFmtId="0" fontId="2" fillId="6" borderId="70" xfId="0" applyFont="1" applyFill="1" applyBorder="1" applyAlignment="1" applyProtection="1">
      <alignment horizontal="center" vertical="center" wrapText="1"/>
    </xf>
    <xf numFmtId="0" fontId="2" fillId="6" borderId="71" xfId="0" applyFont="1" applyFill="1" applyBorder="1" applyAlignment="1" applyProtection="1">
      <alignment horizontal="center" vertical="center" wrapText="1"/>
    </xf>
    <xf numFmtId="0" fontId="6" fillId="13" borderId="76" xfId="0" applyFont="1" applyFill="1" applyBorder="1" applyAlignment="1" applyProtection="1">
      <alignment horizontal="left"/>
    </xf>
    <xf numFmtId="0" fontId="6" fillId="13" borderId="77" xfId="0" applyFont="1" applyFill="1" applyBorder="1" applyAlignment="1" applyProtection="1">
      <alignment horizontal="left"/>
    </xf>
    <xf numFmtId="0" fontId="114" fillId="0" borderId="78" xfId="0" applyFont="1" applyBorder="1" applyAlignment="1">
      <alignment horizontal="center" vertical="center" wrapText="1"/>
    </xf>
    <xf numFmtId="0" fontId="0" fillId="9" borderId="76" xfId="0" applyFill="1" applyBorder="1" applyAlignment="1">
      <alignment horizontal="center" vertical="center" wrapText="1"/>
    </xf>
    <xf numFmtId="0" fontId="0" fillId="9" borderId="70" xfId="0" applyFill="1" applyBorder="1" applyAlignment="1">
      <alignment horizontal="center" vertical="center" wrapText="1"/>
    </xf>
    <xf numFmtId="0" fontId="0" fillId="9" borderId="71" xfId="0" applyFill="1" applyBorder="1" applyAlignment="1">
      <alignment horizontal="center" vertical="center" wrapText="1"/>
    </xf>
    <xf numFmtId="0" fontId="2" fillId="8" borderId="15" xfId="0" applyFont="1" applyFill="1" applyBorder="1" applyAlignment="1">
      <alignment horizontal="center" vertical="center" wrapText="1"/>
    </xf>
    <xf numFmtId="0" fontId="7" fillId="0" borderId="0" xfId="0" applyFont="1" applyFill="1" applyBorder="1" applyAlignment="1" applyProtection="1">
      <alignment horizontal="left" vertical="top" wrapText="1"/>
    </xf>
    <xf numFmtId="0" fontId="2" fillId="0" borderId="15" xfId="0" applyFont="1" applyFill="1" applyBorder="1" applyAlignment="1" applyProtection="1">
      <alignment horizontal="center"/>
    </xf>
    <xf numFmtId="0" fontId="0" fillId="8" borderId="76" xfId="0" applyFont="1" applyFill="1" applyBorder="1" applyAlignment="1" applyProtection="1">
      <alignment horizontal="left" vertical="center" wrapText="1"/>
    </xf>
    <xf numFmtId="0" fontId="0" fillId="8" borderId="70" xfId="0" applyFont="1" applyFill="1" applyBorder="1" applyAlignment="1" applyProtection="1">
      <alignment horizontal="left" vertical="center" wrapText="1"/>
    </xf>
    <xf numFmtId="0" fontId="0" fillId="8" borderId="71" xfId="0" applyFont="1" applyFill="1" applyBorder="1" applyAlignment="1" applyProtection="1">
      <alignment horizontal="left" vertical="center" wrapText="1"/>
    </xf>
    <xf numFmtId="0" fontId="0" fillId="0" borderId="76" xfId="0" applyFont="1" applyFill="1" applyBorder="1" applyAlignment="1" applyProtection="1">
      <alignment horizontal="left" vertical="center" wrapText="1"/>
    </xf>
    <xf numFmtId="0" fontId="0" fillId="0" borderId="70" xfId="0" applyFont="1" applyFill="1" applyBorder="1" applyAlignment="1" applyProtection="1">
      <alignment horizontal="left" vertical="center" wrapText="1"/>
    </xf>
    <xf numFmtId="0" fontId="0" fillId="0" borderId="71" xfId="0" applyFont="1" applyFill="1" applyBorder="1" applyAlignment="1" applyProtection="1">
      <alignment horizontal="left" vertical="center" wrapText="1"/>
    </xf>
    <xf numFmtId="0" fontId="0" fillId="0" borderId="76" xfId="0" applyFont="1" applyFill="1" applyBorder="1" applyAlignment="1" applyProtection="1">
      <alignment horizontal="left" vertical="top" wrapText="1"/>
    </xf>
    <xf numFmtId="0" fontId="0" fillId="0" borderId="70" xfId="0" applyFont="1" applyFill="1" applyBorder="1" applyAlignment="1" applyProtection="1">
      <alignment horizontal="left" vertical="top" wrapText="1"/>
    </xf>
    <xf numFmtId="0" fontId="0" fillId="0" borderId="71" xfId="0" applyFont="1" applyFill="1" applyBorder="1" applyAlignment="1" applyProtection="1">
      <alignment horizontal="left" vertical="top" wrapText="1"/>
    </xf>
    <xf numFmtId="0" fontId="0" fillId="8" borderId="6" xfId="0" applyFont="1" applyFill="1" applyBorder="1" applyAlignment="1" applyProtection="1">
      <alignment horizontal="center"/>
    </xf>
    <xf numFmtId="0" fontId="0" fillId="8" borderId="0" xfId="0" applyFont="1" applyFill="1" applyBorder="1" applyAlignment="1" applyProtection="1">
      <alignment horizontal="center"/>
    </xf>
    <xf numFmtId="0" fontId="0" fillId="8" borderId="8" xfId="0" applyFont="1" applyFill="1" applyBorder="1" applyAlignment="1" applyProtection="1">
      <alignment horizontal="center"/>
    </xf>
    <xf numFmtId="0" fontId="7" fillId="9" borderId="76" xfId="0" applyFont="1" applyFill="1" applyBorder="1" applyAlignment="1" applyProtection="1">
      <alignment horizontal="left"/>
    </xf>
    <xf numFmtId="0" fontId="7" fillId="9" borderId="70" xfId="0" applyFont="1" applyFill="1" applyBorder="1" applyAlignment="1" applyProtection="1">
      <alignment horizontal="left"/>
    </xf>
    <xf numFmtId="0" fontId="7" fillId="9" borderId="71" xfId="0" applyFont="1" applyFill="1" applyBorder="1" applyAlignment="1" applyProtection="1">
      <alignment horizontal="left"/>
    </xf>
    <xf numFmtId="0" fontId="6" fillId="7" borderId="78" xfId="0" applyFont="1" applyFill="1" applyBorder="1" applyAlignment="1" applyProtection="1">
      <alignment horizontal="left"/>
    </xf>
    <xf numFmtId="0" fontId="6" fillId="7" borderId="74" xfId="0" applyFont="1" applyFill="1" applyBorder="1" applyAlignment="1" applyProtection="1">
      <alignment horizontal="left"/>
    </xf>
    <xf numFmtId="0" fontId="6" fillId="12" borderId="76" xfId="0" applyFont="1" applyFill="1" applyBorder="1" applyAlignment="1" applyProtection="1">
      <alignment horizontal="left"/>
    </xf>
    <xf numFmtId="0" fontId="6" fillId="12" borderId="70" xfId="0" applyFont="1" applyFill="1" applyBorder="1" applyAlignment="1" applyProtection="1">
      <alignment horizontal="left"/>
    </xf>
    <xf numFmtId="0" fontId="6" fillId="12" borderId="71" xfId="0" applyFont="1" applyFill="1" applyBorder="1" applyAlignment="1" applyProtection="1">
      <alignment horizontal="left"/>
    </xf>
    <xf numFmtId="0" fontId="6" fillId="13" borderId="70" xfId="0" applyFont="1" applyFill="1" applyBorder="1" applyAlignment="1" applyProtection="1">
      <alignment horizontal="left"/>
    </xf>
    <xf numFmtId="0" fontId="2" fillId="8" borderId="6" xfId="0" applyFont="1" applyFill="1" applyBorder="1" applyAlignment="1" applyProtection="1">
      <alignment horizontal="center" vertical="center" wrapText="1"/>
    </xf>
    <xf numFmtId="0" fontId="2" fillId="7" borderId="76" xfId="0" applyFont="1" applyFill="1" applyBorder="1" applyAlignment="1">
      <alignment horizontal="left" vertical="center"/>
    </xf>
    <xf numFmtId="0" fontId="2" fillId="7" borderId="71" xfId="0" applyFont="1" applyFill="1" applyBorder="1" applyAlignment="1">
      <alignment horizontal="left" vertical="center"/>
    </xf>
    <xf numFmtId="0" fontId="6" fillId="8" borderId="8" xfId="0" applyFont="1" applyFill="1" applyBorder="1" applyAlignment="1" applyProtection="1">
      <alignment horizontal="left"/>
    </xf>
    <xf numFmtId="0" fontId="0" fillId="9" borderId="71" xfId="0" applyFont="1" applyFill="1" applyBorder="1" applyAlignment="1" applyProtection="1">
      <alignment horizontal="center" vertical="center" wrapText="1"/>
    </xf>
    <xf numFmtId="0" fontId="0" fillId="0" borderId="0" xfId="0" applyBorder="1" applyAlignment="1">
      <alignment horizontal="left" vertical="center" wrapText="1"/>
    </xf>
    <xf numFmtId="0" fontId="2" fillId="0" borderId="87" xfId="0" applyFont="1" applyFill="1" applyBorder="1" applyAlignment="1" applyProtection="1">
      <alignment horizontal="center" vertical="center" wrapText="1"/>
    </xf>
    <xf numFmtId="0" fontId="2" fillId="0" borderId="98" xfId="0" applyFont="1" applyFill="1" applyBorder="1" applyAlignment="1" applyProtection="1">
      <alignment horizontal="center" vertical="center" wrapText="1"/>
    </xf>
    <xf numFmtId="0" fontId="2" fillId="0" borderId="86" xfId="0" applyFont="1" applyFill="1" applyBorder="1" applyAlignment="1" applyProtection="1">
      <alignment horizontal="center" vertical="center" wrapText="1"/>
    </xf>
    <xf numFmtId="0" fontId="2" fillId="0" borderId="87" xfId="0" applyFont="1" applyFill="1" applyBorder="1" applyAlignment="1" applyProtection="1">
      <alignment horizontal="center" vertical="center"/>
    </xf>
    <xf numFmtId="0" fontId="2" fillId="0" borderId="98" xfId="0" applyFont="1" applyFill="1" applyBorder="1" applyAlignment="1" applyProtection="1">
      <alignment horizontal="center" vertical="center"/>
    </xf>
    <xf numFmtId="0" fontId="2" fillId="0" borderId="86" xfId="0" applyFont="1" applyFill="1" applyBorder="1" applyAlignment="1" applyProtection="1">
      <alignment horizontal="center" vertical="center"/>
    </xf>
    <xf numFmtId="0" fontId="0" fillId="0" borderId="0" xfId="0" applyFont="1" applyFill="1" applyBorder="1" applyAlignment="1" applyProtection="1">
      <alignment horizontal="left" vertical="top" wrapText="1"/>
    </xf>
    <xf numFmtId="0" fontId="0" fillId="0" borderId="0" xfId="0" applyFill="1" applyAlignment="1">
      <alignment horizontal="left" wrapText="1"/>
    </xf>
    <xf numFmtId="0" fontId="7" fillId="0" borderId="0" xfId="0" applyFont="1" applyFill="1" applyAlignment="1">
      <alignment horizontal="left" vertical="top" wrapText="1" shrinkToFit="1"/>
    </xf>
    <xf numFmtId="0" fontId="6" fillId="0" borderId="0" xfId="0" applyFont="1" applyFill="1" applyBorder="1" applyAlignment="1" applyProtection="1">
      <alignment vertical="top" wrapText="1"/>
    </xf>
    <xf numFmtId="0" fontId="7" fillId="0" borderId="0" xfId="0" applyFont="1" applyFill="1" applyBorder="1" applyAlignment="1" applyProtection="1">
      <alignment vertical="top" wrapText="1"/>
    </xf>
    <xf numFmtId="0" fontId="2" fillId="18" borderId="1" xfId="0" applyFont="1" applyFill="1" applyBorder="1" applyAlignment="1">
      <alignment horizontal="center" vertical="center" wrapText="1"/>
    </xf>
    <xf numFmtId="0" fontId="2" fillId="18" borderId="3" xfId="0" applyFont="1" applyFill="1" applyBorder="1" applyAlignment="1">
      <alignment horizontal="center" vertical="center" wrapText="1"/>
    </xf>
    <xf numFmtId="0" fontId="2" fillId="18" borderId="4" xfId="0" applyFont="1" applyFill="1" applyBorder="1" applyAlignment="1">
      <alignment horizontal="center" vertical="center" wrapText="1"/>
    </xf>
    <xf numFmtId="0" fontId="2" fillId="18" borderId="5" xfId="0" applyFont="1" applyFill="1" applyBorder="1" applyAlignment="1">
      <alignment horizontal="center" vertical="center" wrapText="1"/>
    </xf>
    <xf numFmtId="0" fontId="114" fillId="8" borderId="78" xfId="0" applyFont="1" applyFill="1" applyBorder="1" applyAlignment="1">
      <alignment horizontal="center" vertical="center" wrapText="1"/>
    </xf>
    <xf numFmtId="0" fontId="7" fillId="9" borderId="55" xfId="0" applyFont="1" applyFill="1" applyBorder="1" applyAlignment="1" applyProtection="1">
      <alignment horizontal="center"/>
    </xf>
    <xf numFmtId="0" fontId="2" fillId="0" borderId="0" xfId="0" applyFont="1" applyFill="1" applyAlignment="1">
      <alignment horizontal="left" wrapText="1"/>
    </xf>
    <xf numFmtId="0" fontId="2" fillId="6" borderId="78" xfId="0" applyFont="1" applyFill="1" applyBorder="1" applyAlignment="1" applyProtection="1">
      <alignment horizontal="center" vertical="center" wrapText="1"/>
    </xf>
    <xf numFmtId="0" fontId="0" fillId="31" borderId="15" xfId="0" applyFill="1" applyBorder="1" applyAlignment="1">
      <alignment horizontal="center"/>
    </xf>
    <xf numFmtId="0" fontId="0" fillId="11" borderId="90" xfId="0" applyFill="1" applyBorder="1" applyAlignment="1">
      <alignment horizontal="center" vertical="center"/>
    </xf>
    <xf numFmtId="0" fontId="0" fillId="11" borderId="95" xfId="0" applyFill="1" applyBorder="1" applyAlignment="1">
      <alignment horizontal="center" vertical="center"/>
    </xf>
    <xf numFmtId="0" fontId="0" fillId="11" borderId="96" xfId="0" applyFill="1" applyBorder="1" applyAlignment="1">
      <alignment horizontal="center" vertical="center"/>
    </xf>
    <xf numFmtId="0" fontId="2" fillId="11" borderId="85" xfId="0" applyFont="1" applyFill="1" applyBorder="1" applyAlignment="1" applyProtection="1">
      <alignment horizontal="center" vertical="center"/>
    </xf>
    <xf numFmtId="0" fontId="2" fillId="11" borderId="6" xfId="0" applyFont="1" applyFill="1" applyBorder="1" applyAlignment="1" applyProtection="1">
      <alignment horizontal="center" vertical="center"/>
    </xf>
    <xf numFmtId="0" fontId="2" fillId="11" borderId="16" xfId="0" applyFont="1" applyFill="1" applyBorder="1" applyAlignment="1" applyProtection="1">
      <alignment horizontal="center" vertical="center"/>
    </xf>
    <xf numFmtId="0" fontId="23" fillId="24" borderId="76" xfId="0" applyFont="1" applyFill="1" applyBorder="1" applyAlignment="1" applyProtection="1">
      <alignment horizontal="center"/>
      <protection locked="0"/>
    </xf>
    <xf numFmtId="0" fontId="23" fillId="24" borderId="77" xfId="0" applyFont="1" applyFill="1" applyBorder="1" applyAlignment="1" applyProtection="1">
      <alignment horizontal="center"/>
      <protection locked="0"/>
    </xf>
    <xf numFmtId="0" fontId="2" fillId="14" borderId="78" xfId="0" applyFont="1" applyFill="1" applyBorder="1" applyAlignment="1">
      <alignment horizontal="center"/>
    </xf>
    <xf numFmtId="0" fontId="2" fillId="14" borderId="15" xfId="0" applyFont="1" applyFill="1" applyBorder="1" applyAlignment="1">
      <alignment horizontal="center" wrapText="1"/>
    </xf>
    <xf numFmtId="0" fontId="21" fillId="11" borderId="69" xfId="0" applyFont="1" applyFill="1" applyBorder="1" applyAlignment="1" applyProtection="1">
      <alignment horizontal="center" vertical="center"/>
    </xf>
    <xf numFmtId="0" fontId="21" fillId="11" borderId="70" xfId="0" applyFont="1" applyFill="1" applyBorder="1" applyAlignment="1" applyProtection="1">
      <alignment horizontal="center" vertical="center"/>
    </xf>
    <xf numFmtId="0" fontId="21" fillId="11" borderId="71" xfId="0" applyFont="1" applyFill="1" applyBorder="1" applyAlignment="1" applyProtection="1">
      <alignment horizontal="center" vertical="center"/>
    </xf>
    <xf numFmtId="180" fontId="20" fillId="11" borderId="69" xfId="0" applyNumberFormat="1" applyFont="1" applyFill="1" applyBorder="1" applyAlignment="1">
      <alignment horizontal="center" vertical="center" wrapText="1"/>
    </xf>
    <xf numFmtId="180" fontId="20" fillId="11" borderId="70" xfId="0" applyNumberFormat="1" applyFont="1" applyFill="1" applyBorder="1" applyAlignment="1">
      <alignment horizontal="center" vertical="center" wrapText="1"/>
    </xf>
    <xf numFmtId="180" fontId="20" fillId="11" borderId="71" xfId="0" applyNumberFormat="1" applyFont="1" applyFill="1" applyBorder="1" applyAlignment="1">
      <alignment horizontal="center" vertical="center" wrapText="1"/>
    </xf>
    <xf numFmtId="0" fontId="21" fillId="21" borderId="69" xfId="0" applyFont="1" applyFill="1" applyBorder="1" applyAlignment="1" applyProtection="1">
      <alignment horizontal="center" vertical="center"/>
    </xf>
    <xf numFmtId="0" fontId="21" fillId="21" borderId="70" xfId="0" applyFont="1" applyFill="1" applyBorder="1" applyAlignment="1" applyProtection="1">
      <alignment horizontal="center" vertical="center"/>
    </xf>
    <xf numFmtId="0" fontId="21" fillId="21" borderId="71" xfId="0" applyFont="1" applyFill="1" applyBorder="1" applyAlignment="1" applyProtection="1">
      <alignment horizontal="center" vertical="center"/>
    </xf>
    <xf numFmtId="0" fontId="21" fillId="21" borderId="76" xfId="0" applyFont="1" applyFill="1" applyBorder="1" applyAlignment="1">
      <alignment horizontal="center"/>
    </xf>
    <xf numFmtId="0" fontId="21" fillId="21" borderId="77" xfId="0" applyFont="1" applyFill="1" applyBorder="1" applyAlignment="1">
      <alignment horizontal="center"/>
    </xf>
    <xf numFmtId="186" fontId="20" fillId="8" borderId="69" xfId="0" applyNumberFormat="1" applyFont="1" applyFill="1" applyBorder="1" applyAlignment="1" applyProtection="1">
      <alignment horizontal="center"/>
      <protection locked="0"/>
    </xf>
    <xf numFmtId="186" fontId="20" fillId="8" borderId="71" xfId="0" applyNumberFormat="1" applyFont="1" applyFill="1" applyBorder="1" applyAlignment="1" applyProtection="1">
      <alignment horizontal="center"/>
      <protection locked="0"/>
    </xf>
    <xf numFmtId="0" fontId="21" fillId="21" borderId="72" xfId="0" applyFont="1" applyFill="1" applyBorder="1" applyAlignment="1">
      <alignment horizontal="left"/>
    </xf>
    <xf numFmtId="0" fontId="21" fillId="21" borderId="71" xfId="0" applyFont="1" applyFill="1" applyBorder="1" applyAlignment="1">
      <alignment horizontal="left"/>
    </xf>
    <xf numFmtId="0" fontId="21" fillId="21" borderId="80" xfId="0" applyFont="1" applyFill="1" applyBorder="1" applyAlignment="1">
      <alignment horizontal="left"/>
    </xf>
    <xf numFmtId="0" fontId="21" fillId="21" borderId="77" xfId="0" applyFont="1" applyFill="1" applyBorder="1" applyAlignment="1">
      <alignment horizontal="left"/>
    </xf>
    <xf numFmtId="0" fontId="21" fillId="0" borderId="0" xfId="0" applyFont="1" applyBorder="1" applyAlignment="1">
      <alignment horizontal="center"/>
    </xf>
    <xf numFmtId="0" fontId="21" fillId="21" borderId="72" xfId="0" applyFont="1" applyFill="1" applyBorder="1" applyAlignment="1">
      <alignment horizontal="left" vertical="center"/>
    </xf>
    <xf numFmtId="0" fontId="21" fillId="21" borderId="71" xfId="0" applyFont="1" applyFill="1" applyBorder="1" applyAlignment="1">
      <alignment horizontal="left" vertical="center"/>
    </xf>
    <xf numFmtId="0" fontId="62" fillId="0" borderId="1" xfId="0" applyFont="1" applyBorder="1" applyAlignment="1" applyProtection="1">
      <alignment horizontal="center"/>
    </xf>
    <xf numFmtId="0" fontId="62" fillId="0" borderId="2" xfId="0" applyFont="1" applyBorder="1" applyAlignment="1" applyProtection="1">
      <alignment horizontal="center"/>
    </xf>
    <xf numFmtId="0" fontId="62" fillId="0" borderId="3" xfId="0" applyFont="1" applyBorder="1" applyAlignment="1" applyProtection="1">
      <alignment horizontal="center"/>
    </xf>
    <xf numFmtId="0" fontId="63" fillId="0" borderId="4" xfId="0" applyFont="1" applyBorder="1" applyAlignment="1" applyProtection="1">
      <alignment horizontal="center"/>
    </xf>
    <xf numFmtId="0" fontId="63" fillId="0" borderId="0" xfId="0" applyFont="1" applyBorder="1" applyAlignment="1" applyProtection="1">
      <alignment horizontal="center"/>
    </xf>
    <xf numFmtId="0" fontId="63" fillId="0" borderId="5" xfId="0" applyFont="1" applyBorder="1" applyAlignment="1" applyProtection="1">
      <alignment horizontal="center"/>
    </xf>
    <xf numFmtId="0" fontId="32" fillId="22" borderId="4" xfId="0" applyFont="1" applyFill="1" applyBorder="1" applyAlignment="1" applyProtection="1">
      <alignment horizontal="center" vertical="center"/>
    </xf>
    <xf numFmtId="0" fontId="32" fillId="22" borderId="0" xfId="0" applyFont="1" applyFill="1" applyBorder="1" applyAlignment="1" applyProtection="1">
      <alignment horizontal="center" vertical="center"/>
    </xf>
    <xf numFmtId="0" fontId="22" fillId="8" borderId="0" xfId="0" applyFont="1" applyFill="1" applyBorder="1" applyAlignment="1">
      <alignment horizontal="left"/>
    </xf>
    <xf numFmtId="0" fontId="25" fillId="11" borderId="76" xfId="0" applyFont="1" applyFill="1" applyBorder="1" applyAlignment="1">
      <alignment horizontal="center"/>
    </xf>
    <xf numFmtId="0" fontId="25" fillId="11" borderId="77" xfId="0" applyFont="1" applyFill="1" applyBorder="1" applyAlignment="1">
      <alignment horizontal="center"/>
    </xf>
    <xf numFmtId="0" fontId="20" fillId="0" borderId="68" xfId="0" applyFont="1" applyBorder="1" applyAlignment="1">
      <alignment horizontal="center"/>
    </xf>
    <xf numFmtId="0" fontId="21" fillId="21" borderId="68" xfId="0" applyFont="1" applyFill="1" applyBorder="1" applyAlignment="1">
      <alignment horizontal="left"/>
    </xf>
    <xf numFmtId="0" fontId="21" fillId="21" borderId="73" xfId="0" applyFont="1" applyFill="1" applyBorder="1" applyAlignment="1">
      <alignment horizontal="left"/>
    </xf>
    <xf numFmtId="180" fontId="20" fillId="0" borderId="69" xfId="0" applyNumberFormat="1" applyFont="1" applyFill="1" applyBorder="1" applyAlignment="1">
      <alignment horizontal="center" vertical="center" wrapText="1"/>
    </xf>
    <xf numFmtId="180" fontId="20" fillId="0" borderId="70" xfId="0" applyNumberFormat="1" applyFont="1" applyFill="1" applyBorder="1" applyAlignment="1">
      <alignment horizontal="center" vertical="center" wrapText="1"/>
    </xf>
    <xf numFmtId="180" fontId="20" fillId="0" borderId="71" xfId="0" applyNumberFormat="1" applyFont="1" applyFill="1" applyBorder="1" applyAlignment="1">
      <alignment horizontal="center" vertical="center" wrapText="1"/>
    </xf>
    <xf numFmtId="0" fontId="5" fillId="11" borderId="4" xfId="0" applyFont="1" applyFill="1" applyBorder="1" applyAlignment="1">
      <alignment horizontal="center"/>
    </xf>
    <xf numFmtId="0" fontId="5" fillId="11" borderId="0" xfId="0" applyFont="1" applyFill="1" applyBorder="1" applyAlignment="1">
      <alignment horizontal="center"/>
    </xf>
    <xf numFmtId="164" fontId="20" fillId="0" borderId="68" xfId="1" applyNumberFormat="1" applyFont="1" applyFill="1" applyBorder="1" applyAlignment="1">
      <alignment horizontal="center" vertical="center"/>
    </xf>
    <xf numFmtId="0" fontId="6" fillId="0" borderId="0" xfId="0" applyFont="1" applyFill="1" applyBorder="1" applyAlignment="1" applyProtection="1">
      <alignment horizontal="left"/>
    </xf>
    <xf numFmtId="0" fontId="21" fillId="21" borderId="78" xfId="0" applyFont="1" applyFill="1" applyBorder="1" applyAlignment="1">
      <alignment horizontal="left" wrapText="1"/>
    </xf>
    <xf numFmtId="0" fontId="21" fillId="6" borderId="72" xfId="0" applyFont="1" applyFill="1" applyBorder="1" applyAlignment="1">
      <alignment horizontal="left"/>
    </xf>
    <xf numFmtId="0" fontId="21" fillId="6" borderId="71" xfId="0" applyFont="1" applyFill="1" applyBorder="1" applyAlignment="1">
      <alignment horizontal="left"/>
    </xf>
    <xf numFmtId="0" fontId="21" fillId="51" borderId="6" xfId="0" applyFont="1" applyFill="1" applyBorder="1" applyAlignment="1">
      <alignment horizontal="center"/>
    </xf>
    <xf numFmtId="0" fontId="21" fillId="51" borderId="0" xfId="0" applyFont="1" applyFill="1" applyBorder="1" applyAlignment="1">
      <alignment horizontal="center"/>
    </xf>
    <xf numFmtId="0" fontId="21" fillId="51" borderId="5" xfId="0" applyFont="1" applyFill="1" applyBorder="1" applyAlignment="1">
      <alignment horizontal="center"/>
    </xf>
    <xf numFmtId="0" fontId="20" fillId="0" borderId="76" xfId="0" applyFont="1" applyBorder="1" applyAlignment="1">
      <alignment horizontal="center"/>
    </xf>
    <xf numFmtId="0" fontId="20" fillId="0" borderId="71" xfId="0" applyFont="1" applyBorder="1" applyAlignment="1">
      <alignment horizontal="center"/>
    </xf>
    <xf numFmtId="0" fontId="21" fillId="12" borderId="28" xfId="0" applyFont="1" applyFill="1" applyBorder="1" applyAlignment="1">
      <alignment horizontal="left"/>
    </xf>
    <xf numFmtId="0" fontId="21" fillId="12" borderId="27" xfId="0" applyFont="1" applyFill="1" applyBorder="1" applyAlignment="1">
      <alignment horizontal="left"/>
    </xf>
    <xf numFmtId="192" fontId="20" fillId="0" borderId="34" xfId="1" applyNumberFormat="1" applyFont="1" applyFill="1" applyBorder="1" applyAlignment="1">
      <alignment horizontal="center" vertical="center"/>
    </xf>
    <xf numFmtId="0" fontId="21" fillId="21" borderId="72" xfId="0" applyFont="1" applyFill="1" applyBorder="1" applyAlignment="1">
      <alignment horizontal="left" wrapText="1"/>
    </xf>
    <xf numFmtId="173" fontId="20" fillId="0" borderId="47" xfId="1" applyNumberFormat="1" applyFont="1" applyFill="1" applyBorder="1" applyAlignment="1">
      <alignment horizontal="center" vertical="center"/>
    </xf>
    <xf numFmtId="173" fontId="20" fillId="0" borderId="7" xfId="1" applyNumberFormat="1" applyFont="1" applyFill="1" applyBorder="1" applyAlignment="1">
      <alignment horizontal="center" vertical="center"/>
    </xf>
    <xf numFmtId="0" fontId="21" fillId="21" borderId="76" xfId="0" applyFont="1" applyFill="1" applyBorder="1" applyAlignment="1" applyProtection="1">
      <alignment horizontal="center" vertical="center"/>
    </xf>
    <xf numFmtId="0" fontId="21" fillId="21" borderId="76" xfId="0" applyFont="1" applyFill="1" applyBorder="1" applyAlignment="1">
      <alignment horizontal="left"/>
    </xf>
    <xf numFmtId="0" fontId="21" fillId="12" borderId="76" xfId="0" applyFont="1" applyFill="1" applyBorder="1" applyAlignment="1">
      <alignment horizontal="left"/>
    </xf>
    <xf numFmtId="0" fontId="21" fillId="12" borderId="70" xfId="0" applyFont="1" applyFill="1" applyBorder="1" applyAlignment="1">
      <alignment horizontal="left"/>
    </xf>
    <xf numFmtId="0" fontId="21" fillId="12" borderId="71" xfId="0" applyFont="1" applyFill="1" applyBorder="1" applyAlignment="1">
      <alignment horizontal="left"/>
    </xf>
    <xf numFmtId="180" fontId="20" fillId="0" borderId="76" xfId="0" applyNumberFormat="1" applyFont="1" applyFill="1" applyBorder="1" applyAlignment="1">
      <alignment horizontal="center" vertical="center" wrapText="1"/>
    </xf>
    <xf numFmtId="0" fontId="23" fillId="24" borderId="69" xfId="0" applyFont="1" applyFill="1" applyBorder="1" applyAlignment="1" applyProtection="1">
      <alignment horizontal="center"/>
      <protection locked="0"/>
    </xf>
    <xf numFmtId="0" fontId="23" fillId="24" borderId="71" xfId="0" applyFont="1" applyFill="1" applyBorder="1" applyAlignment="1" applyProtection="1">
      <alignment horizontal="center"/>
      <protection locked="0"/>
    </xf>
    <xf numFmtId="0" fontId="21" fillId="21" borderId="69" xfId="0" applyFont="1" applyFill="1" applyBorder="1" applyAlignment="1">
      <alignment horizontal="center"/>
    </xf>
    <xf numFmtId="0" fontId="21" fillId="21" borderId="71" xfId="0" applyFont="1" applyFill="1" applyBorder="1" applyAlignment="1">
      <alignment horizontal="center"/>
    </xf>
    <xf numFmtId="0" fontId="21" fillId="21" borderId="71" xfId="0" applyFont="1" applyFill="1" applyBorder="1" applyAlignment="1">
      <alignment horizontal="left" wrapText="1"/>
    </xf>
    <xf numFmtId="0" fontId="21" fillId="6" borderId="80" xfId="0" applyFont="1" applyFill="1" applyBorder="1" applyAlignment="1">
      <alignment horizontal="left"/>
    </xf>
    <xf numFmtId="0" fontId="21" fillId="6" borderId="77" xfId="0" applyFont="1" applyFill="1" applyBorder="1" applyAlignment="1">
      <alignment horizontal="left"/>
    </xf>
    <xf numFmtId="0" fontId="3" fillId="11" borderId="0" xfId="0" applyFont="1" applyFill="1" applyBorder="1" applyAlignment="1">
      <alignment horizontal="center" vertical="center"/>
    </xf>
    <xf numFmtId="0" fontId="0" fillId="11" borderId="0" xfId="0" applyFill="1" applyBorder="1" applyAlignment="1">
      <alignment horizontal="center" vertical="center"/>
    </xf>
    <xf numFmtId="0" fontId="44" fillId="13" borderId="6" xfId="0" applyFont="1" applyFill="1" applyBorder="1" applyAlignment="1">
      <alignment horizontal="left"/>
    </xf>
    <xf numFmtId="0" fontId="44" fillId="13" borderId="0" xfId="0" applyFont="1" applyFill="1" applyBorder="1" applyAlignment="1">
      <alignment horizontal="left"/>
    </xf>
    <xf numFmtId="0" fontId="33" fillId="0" borderId="16" xfId="0" applyFont="1" applyFill="1" applyBorder="1" applyAlignment="1">
      <alignment horizontal="left"/>
    </xf>
    <xf numFmtId="0" fontId="33" fillId="0" borderId="15" xfId="0" applyFont="1" applyFill="1" applyBorder="1" applyAlignment="1">
      <alignment horizontal="left"/>
    </xf>
    <xf numFmtId="0" fontId="42" fillId="0" borderId="0" xfId="0" applyFont="1" applyBorder="1" applyAlignment="1">
      <alignment horizontal="left"/>
    </xf>
    <xf numFmtId="0" fontId="35" fillId="6" borderId="44" xfId="0" applyFont="1" applyFill="1" applyBorder="1" applyAlignment="1">
      <alignment horizontal="left"/>
    </xf>
    <xf numFmtId="0" fontId="35" fillId="6" borderId="39" xfId="0" applyFont="1" applyFill="1" applyBorder="1" applyAlignment="1">
      <alignment horizontal="left"/>
    </xf>
    <xf numFmtId="0" fontId="33" fillId="0" borderId="6" xfId="0" applyFont="1" applyFill="1" applyBorder="1" applyAlignment="1">
      <alignment horizontal="left"/>
    </xf>
    <xf numFmtId="0" fontId="33" fillId="0" borderId="0" xfId="0" applyFont="1" applyFill="1" applyBorder="1" applyAlignment="1">
      <alignment horizontal="left"/>
    </xf>
    <xf numFmtId="0" fontId="35" fillId="0" borderId="0" xfId="0" applyFont="1" applyBorder="1" applyAlignment="1">
      <alignment horizontal="left"/>
    </xf>
    <xf numFmtId="0" fontId="33" fillId="0" borderId="0" xfId="0" applyFont="1" applyFill="1" applyBorder="1" applyAlignment="1">
      <alignment horizontal="center" vertical="center"/>
    </xf>
    <xf numFmtId="0" fontId="80" fillId="39" borderId="0" xfId="0" applyFont="1" applyFill="1" applyAlignment="1">
      <alignment horizontal="center"/>
    </xf>
    <xf numFmtId="0" fontId="56" fillId="0" borderId="0" xfId="0" applyFont="1" applyBorder="1" applyAlignment="1">
      <alignment horizontal="left"/>
    </xf>
    <xf numFmtId="180" fontId="79" fillId="0" borderId="0" xfId="0" applyNumberFormat="1" applyFont="1" applyBorder="1" applyAlignment="1">
      <alignment horizontal="left" vertical="top"/>
    </xf>
    <xf numFmtId="180" fontId="79" fillId="0" borderId="8" xfId="0" applyNumberFormat="1" applyFont="1" applyBorder="1" applyAlignment="1">
      <alignment horizontal="left" vertical="top"/>
    </xf>
    <xf numFmtId="0" fontId="56" fillId="0" borderId="6" xfId="0" applyFont="1" applyBorder="1" applyAlignment="1">
      <alignment horizontal="left"/>
    </xf>
    <xf numFmtId="0" fontId="35" fillId="6" borderId="51" xfId="0" applyFont="1" applyFill="1" applyBorder="1" applyAlignment="1">
      <alignment horizontal="left"/>
    </xf>
    <xf numFmtId="0" fontId="35" fillId="6" borderId="52" xfId="0" applyFont="1" applyFill="1" applyBorder="1" applyAlignment="1">
      <alignment horizontal="left"/>
    </xf>
    <xf numFmtId="0" fontId="2" fillId="0" borderId="76" xfId="0" applyFont="1" applyBorder="1" applyAlignment="1">
      <alignment horizontal="left"/>
    </xf>
    <xf numFmtId="0" fontId="2" fillId="0" borderId="79" xfId="0" applyFont="1" applyBorder="1" applyAlignment="1">
      <alignment horizontal="left"/>
    </xf>
    <xf numFmtId="0" fontId="2" fillId="0" borderId="77" xfId="0" applyFont="1" applyBorder="1" applyAlignment="1">
      <alignment horizontal="left"/>
    </xf>
    <xf numFmtId="0" fontId="9" fillId="0" borderId="115" xfId="16" applyBorder="1" applyAlignment="1">
      <alignment horizontal="center" vertical="center" wrapText="1"/>
    </xf>
    <xf numFmtId="0" fontId="9" fillId="0" borderId="114" xfId="16" applyBorder="1" applyAlignment="1">
      <alignment horizontal="center" vertical="center" wrapText="1"/>
    </xf>
    <xf numFmtId="0" fontId="9" fillId="0" borderId="104" xfId="16" applyBorder="1" applyAlignment="1">
      <alignment horizontal="center" vertical="center" wrapText="1"/>
    </xf>
    <xf numFmtId="0" fontId="44" fillId="44" borderId="1" xfId="16" applyFont="1" applyFill="1" applyBorder="1" applyAlignment="1">
      <alignment horizontal="center" vertical="center"/>
    </xf>
    <xf numFmtId="0" fontId="44" fillId="44" borderId="2" xfId="16" applyFont="1" applyFill="1" applyBorder="1" applyAlignment="1">
      <alignment horizontal="center" vertical="center"/>
    </xf>
    <xf numFmtId="0" fontId="44" fillId="44" borderId="3" xfId="16" applyFont="1" applyFill="1" applyBorder="1" applyAlignment="1">
      <alignment horizontal="center" vertical="center"/>
    </xf>
    <xf numFmtId="0" fontId="44" fillId="44" borderId="4" xfId="16" applyFont="1" applyFill="1" applyBorder="1" applyAlignment="1">
      <alignment horizontal="center" vertical="center"/>
    </xf>
    <xf numFmtId="0" fontId="44" fillId="44" borderId="0" xfId="16" applyFont="1" applyFill="1" applyAlignment="1">
      <alignment horizontal="center" vertical="center"/>
    </xf>
    <xf numFmtId="0" fontId="44" fillId="44" borderId="5" xfId="16" applyFont="1" applyFill="1" applyBorder="1" applyAlignment="1">
      <alignment horizontal="center" vertical="center"/>
    </xf>
    <xf numFmtId="0" fontId="105" fillId="0" borderId="4" xfId="16" applyFont="1" applyBorder="1" applyAlignment="1">
      <alignment horizontal="center" vertical="center"/>
    </xf>
    <xf numFmtId="0" fontId="105" fillId="0" borderId="0" xfId="16" applyFont="1" applyAlignment="1">
      <alignment horizontal="center" vertical="center"/>
    </xf>
    <xf numFmtId="0" fontId="105" fillId="0" borderId="5" xfId="16" applyFont="1" applyBorder="1" applyAlignment="1">
      <alignment horizontal="center" vertical="center"/>
    </xf>
    <xf numFmtId="0" fontId="9" fillId="12" borderId="117" xfId="16" applyFill="1" applyBorder="1" applyAlignment="1">
      <alignment horizontal="center" vertical="center"/>
    </xf>
    <xf numFmtId="0" fontId="9" fillId="12" borderId="116" xfId="16" applyFill="1" applyBorder="1" applyAlignment="1">
      <alignment horizontal="center" vertical="center"/>
    </xf>
    <xf numFmtId="0" fontId="9" fillId="12" borderId="108" xfId="16" applyFill="1" applyBorder="1" applyAlignment="1">
      <alignment horizontal="center" vertical="center"/>
    </xf>
    <xf numFmtId="0" fontId="44" fillId="44" borderId="113" xfId="16" applyFont="1" applyFill="1" applyBorder="1" applyAlignment="1">
      <alignment horizontal="center" vertical="center"/>
    </xf>
    <xf numFmtId="0" fontId="44" fillId="44" borderId="112" xfId="16" applyFont="1" applyFill="1" applyBorder="1" applyAlignment="1">
      <alignment horizontal="center" vertical="center"/>
    </xf>
    <xf numFmtId="0" fontId="44" fillId="44" borderId="107" xfId="16" applyFont="1" applyFill="1" applyBorder="1" applyAlignment="1">
      <alignment horizontal="center" vertical="center"/>
    </xf>
    <xf numFmtId="0" fontId="9" fillId="12" borderId="80" xfId="16" applyFill="1" applyBorder="1" applyAlignment="1">
      <alignment horizontal="center" vertical="center"/>
    </xf>
    <xf numFmtId="0" fontId="9" fillId="12" borderId="79" xfId="16" applyFill="1" applyBorder="1" applyAlignment="1">
      <alignment horizontal="center" vertical="center"/>
    </xf>
    <xf numFmtId="0" fontId="9" fillId="12" borderId="77" xfId="16" applyFill="1" applyBorder="1" applyAlignment="1">
      <alignment horizontal="center" vertical="center"/>
    </xf>
    <xf numFmtId="0" fontId="9" fillId="8" borderId="1" xfId="16" applyFill="1" applyBorder="1" applyAlignment="1">
      <alignment horizontal="left" vertical="center" wrapText="1"/>
    </xf>
    <xf numFmtId="0" fontId="9" fillId="8" borderId="2" xfId="16" applyFill="1" applyBorder="1" applyAlignment="1">
      <alignment horizontal="left" vertical="center" wrapText="1"/>
    </xf>
    <xf numFmtId="0" fontId="9" fillId="8" borderId="3" xfId="16" applyFill="1" applyBorder="1" applyAlignment="1">
      <alignment horizontal="left" vertical="center" wrapText="1"/>
    </xf>
    <xf numFmtId="0" fontId="9" fillId="8" borderId="4" xfId="16" applyFill="1" applyBorder="1" applyAlignment="1">
      <alignment horizontal="left" vertical="center" wrapText="1"/>
    </xf>
    <xf numFmtId="0" fontId="9" fillId="8" borderId="0" xfId="16" applyFill="1" applyAlignment="1">
      <alignment horizontal="left" vertical="center" wrapText="1"/>
    </xf>
    <xf numFmtId="0" fontId="9" fillId="8" borderId="5" xfId="16" applyFill="1" applyBorder="1" applyAlignment="1">
      <alignment horizontal="left" vertical="center" wrapText="1"/>
    </xf>
    <xf numFmtId="0" fontId="9" fillId="8" borderId="84" xfId="16" applyFill="1" applyBorder="1" applyAlignment="1">
      <alignment horizontal="left" vertical="center" wrapText="1"/>
    </xf>
    <xf numFmtId="0" fontId="9" fillId="8" borderId="82" xfId="16" applyFill="1" applyBorder="1" applyAlignment="1">
      <alignment horizontal="left" vertical="center" wrapText="1"/>
    </xf>
    <xf numFmtId="0" fontId="9" fillId="8" borderId="83" xfId="16" applyFill="1" applyBorder="1" applyAlignment="1">
      <alignment horizontal="left" vertical="center" wrapText="1"/>
    </xf>
    <xf numFmtId="0" fontId="9" fillId="6" borderId="80" xfId="16" applyFill="1" applyBorder="1" applyAlignment="1">
      <alignment horizontal="center" vertical="center" wrapText="1"/>
    </xf>
    <xf numFmtId="0" fontId="9" fillId="6" borderId="79" xfId="16" applyFill="1" applyBorder="1" applyAlignment="1">
      <alignment horizontal="center" vertical="center" wrapText="1"/>
    </xf>
    <xf numFmtId="0" fontId="9" fillId="6" borderId="77" xfId="16" applyFill="1" applyBorder="1" applyAlignment="1">
      <alignment horizontal="center" vertical="center" wrapText="1"/>
    </xf>
    <xf numFmtId="229" fontId="9" fillId="26" borderId="111" xfId="16" applyNumberFormat="1" applyFill="1" applyBorder="1" applyAlignment="1">
      <alignment horizontal="center" vertical="center"/>
    </xf>
    <xf numFmtId="229" fontId="9" fillId="26" borderId="110" xfId="16" applyNumberFormat="1" applyFill="1" applyBorder="1" applyAlignment="1">
      <alignment horizontal="center" vertical="center"/>
    </xf>
    <xf numFmtId="229" fontId="9" fillId="26" borderId="109" xfId="16" applyNumberFormat="1" applyFill="1" applyBorder="1" applyAlignment="1">
      <alignment horizontal="center" vertical="center"/>
    </xf>
    <xf numFmtId="229" fontId="87" fillId="22" borderId="78" xfId="16" applyNumberFormat="1" applyFont="1" applyFill="1" applyBorder="1" applyAlignment="1">
      <alignment horizontal="center"/>
    </xf>
    <xf numFmtId="229" fontId="87" fillId="22" borderId="75" xfId="16" applyNumberFormat="1" applyFont="1" applyFill="1" applyBorder="1" applyAlignment="1">
      <alignment horizontal="center"/>
    </xf>
    <xf numFmtId="9" fontId="87" fillId="6" borderId="102" xfId="16" applyNumberFormat="1" applyFont="1" applyFill="1" applyBorder="1" applyAlignment="1">
      <alignment horizontal="center"/>
    </xf>
    <xf numFmtId="9" fontId="87" fillId="6" borderId="101" xfId="16" applyNumberFormat="1" applyFont="1" applyFill="1" applyBorder="1" applyAlignment="1">
      <alignment horizontal="center"/>
    </xf>
    <xf numFmtId="0" fontId="44" fillId="44" borderId="73" xfId="16" applyFont="1" applyFill="1" applyBorder="1" applyAlignment="1">
      <alignment horizontal="center" vertical="center"/>
    </xf>
    <xf numFmtId="0" fontId="44" fillId="44" borderId="78" xfId="16" applyFont="1" applyFill="1" applyBorder="1" applyAlignment="1">
      <alignment horizontal="center" vertical="center"/>
    </xf>
    <xf numFmtId="0" fontId="44" fillId="44" borderId="75" xfId="16" applyFont="1" applyFill="1" applyBorder="1" applyAlignment="1">
      <alignment horizontal="center" vertical="center"/>
    </xf>
    <xf numFmtId="0" fontId="44" fillId="44" borderId="87" xfId="16" applyFont="1" applyFill="1" applyBorder="1" applyAlignment="1">
      <alignment horizontal="center" vertical="center"/>
    </xf>
    <xf numFmtId="0" fontId="44" fillId="44" borderId="98" xfId="16" applyFont="1" applyFill="1" applyBorder="1" applyAlignment="1">
      <alignment horizontal="center" vertical="center"/>
    </xf>
    <xf numFmtId="0" fontId="44" fillId="44" borderId="86" xfId="16" applyFont="1" applyFill="1" applyBorder="1" applyAlignment="1">
      <alignment horizontal="center" vertical="center"/>
    </xf>
    <xf numFmtId="0" fontId="44" fillId="44" borderId="108" xfId="16" applyFont="1" applyFill="1" applyBorder="1" applyAlignment="1">
      <alignment horizontal="center" vertical="center"/>
    </xf>
    <xf numFmtId="229" fontId="87" fillId="22" borderId="16" xfId="16" applyNumberFormat="1" applyFont="1" applyFill="1" applyBorder="1" applyAlignment="1">
      <alignment horizontal="center"/>
    </xf>
    <xf numFmtId="229" fontId="87" fillId="22" borderId="99" xfId="16" applyNumberFormat="1" applyFont="1" applyFill="1" applyBorder="1" applyAlignment="1">
      <alignment horizontal="center"/>
    </xf>
    <xf numFmtId="229" fontId="87" fillId="22" borderId="76" xfId="16" applyNumberFormat="1" applyFont="1" applyFill="1" applyBorder="1" applyAlignment="1">
      <alignment horizontal="center"/>
    </xf>
    <xf numFmtId="229" fontId="87" fillId="22" borderId="105" xfId="16" applyNumberFormat="1" applyFont="1" applyFill="1" applyBorder="1" applyAlignment="1">
      <alignment horizontal="center"/>
    </xf>
    <xf numFmtId="229" fontId="87" fillId="26" borderId="78" xfId="16" applyNumberFormat="1" applyFont="1" applyFill="1" applyBorder="1" applyAlignment="1">
      <alignment horizontal="center"/>
    </xf>
    <xf numFmtId="229" fontId="87" fillId="26" borderId="75" xfId="16" applyNumberFormat="1" applyFont="1" applyFill="1" applyBorder="1" applyAlignment="1">
      <alignment horizontal="center"/>
    </xf>
    <xf numFmtId="0" fontId="9" fillId="6" borderId="76" xfId="16" applyFill="1" applyBorder="1" applyAlignment="1">
      <alignment horizontal="center" vertical="center"/>
    </xf>
    <xf numFmtId="0" fontId="9" fillId="6" borderId="77" xfId="16" applyFill="1" applyBorder="1" applyAlignment="1">
      <alignment horizontal="center" vertical="center"/>
    </xf>
    <xf numFmtId="0" fontId="9" fillId="6" borderId="78" xfId="16" applyFill="1" applyBorder="1" applyAlignment="1">
      <alignment horizontal="center" vertical="center"/>
    </xf>
    <xf numFmtId="0" fontId="9" fillId="0" borderId="85" xfId="16" applyBorder="1" applyAlignment="1">
      <alignment horizontal="left" vertical="center" wrapText="1"/>
    </xf>
    <xf numFmtId="0" fontId="9" fillId="0" borderId="64" xfId="16" applyBorder="1" applyAlignment="1">
      <alignment horizontal="left" vertical="center" wrapText="1"/>
    </xf>
    <xf numFmtId="0" fontId="9" fillId="6" borderId="47" xfId="16" applyFill="1" applyBorder="1" applyAlignment="1">
      <alignment horizontal="center"/>
    </xf>
    <xf numFmtId="0" fontId="9" fillId="0" borderId="78" xfId="16" applyBorder="1" applyAlignment="1">
      <alignment horizontal="left" vertical="center" wrapText="1"/>
    </xf>
    <xf numFmtId="0" fontId="9" fillId="6" borderId="78" xfId="16" applyFill="1" applyBorder="1" applyAlignment="1">
      <alignment horizontal="center"/>
    </xf>
    <xf numFmtId="0" fontId="9" fillId="0" borderId="78" xfId="16" applyBorder="1" applyAlignment="1">
      <alignment horizontal="left" vertical="center"/>
    </xf>
    <xf numFmtId="229" fontId="9" fillId="6" borderId="47" xfId="16" applyNumberFormat="1" applyFill="1" applyBorder="1" applyAlignment="1">
      <alignment horizontal="center" vertical="center"/>
    </xf>
    <xf numFmtId="229" fontId="9" fillId="6" borderId="66" xfId="16" applyNumberFormat="1" applyFill="1" applyBorder="1" applyAlignment="1">
      <alignment horizontal="center" vertical="center"/>
    </xf>
    <xf numFmtId="229" fontId="9" fillId="6" borderId="7" xfId="16" applyNumberFormat="1" applyFill="1" applyBorder="1" applyAlignment="1">
      <alignment horizontal="center" vertical="center"/>
    </xf>
    <xf numFmtId="0" fontId="66" fillId="0" borderId="4" xfId="0" applyFont="1" applyBorder="1" applyAlignment="1">
      <alignment horizontal="right"/>
    </xf>
    <xf numFmtId="164" fontId="66" fillId="0" borderId="0" xfId="0" applyNumberFormat="1" applyFont="1" applyBorder="1"/>
    <xf numFmtId="164" fontId="66" fillId="0" borderId="0" xfId="0" applyNumberFormat="1" applyFont="1" applyFill="1" applyBorder="1"/>
    <xf numFmtId="0" fontId="66" fillId="0" borderId="4" xfId="0" applyFont="1" applyFill="1" applyBorder="1" applyAlignment="1"/>
    <xf numFmtId="0" fontId="66" fillId="0" borderId="0" xfId="0" applyFont="1" applyFill="1" applyBorder="1" applyAlignment="1"/>
    <xf numFmtId="164" fontId="66" fillId="8" borderId="0" xfId="0" applyNumberFormat="1" applyFont="1" applyFill="1" applyBorder="1"/>
  </cellXfs>
  <cellStyles count="60870">
    <cellStyle name="%" xfId="18" xr:uid="{00000000-0005-0000-0000-000000000000}"/>
    <cellStyle name="Bon" xfId="19" xr:uid="{00000000-0005-0000-0000-000001000000}"/>
    <cellStyle name="Comma0" xfId="11" xr:uid="{00000000-0005-0000-0000-000002000000}"/>
    <cellStyle name="Euro" xfId="20" xr:uid="{00000000-0005-0000-0000-000003000000}"/>
    <cellStyle name="Insatisfaisant 2" xfId="60846" xr:uid="{00000000-0005-0000-0000-000004000000}"/>
    <cellStyle name="Lien hypertexte" xfId="60828" builtinId="8"/>
    <cellStyle name="Lien hypertexte 2" xfId="12" xr:uid="{00000000-0005-0000-0000-000006000000}"/>
    <cellStyle name="Lien hypertexte 2 2" xfId="60840" xr:uid="{00000000-0005-0000-0000-000007000000}"/>
    <cellStyle name="Lien hypertexte 3" xfId="60832" xr:uid="{00000000-0005-0000-0000-000008000000}"/>
    <cellStyle name="Milliers" xfId="3" builtinId="3"/>
    <cellStyle name="Milliers 2" xfId="7" xr:uid="{00000000-0005-0000-0000-00000A000000}"/>
    <cellStyle name="Milliers 2 2" xfId="9" xr:uid="{00000000-0005-0000-0000-00000B000000}"/>
    <cellStyle name="Milliers 3" xfId="14" xr:uid="{00000000-0005-0000-0000-00000C000000}"/>
    <cellStyle name="Milliers 4" xfId="21" xr:uid="{00000000-0005-0000-0000-00000D000000}"/>
    <cellStyle name="Milliers 5" xfId="60827" xr:uid="{00000000-0005-0000-0000-00000E000000}"/>
    <cellStyle name="Milliers 6" xfId="60841" xr:uid="{00000000-0005-0000-0000-00000F000000}"/>
    <cellStyle name="Milliers 7" xfId="60843" xr:uid="{00000000-0005-0000-0000-000010000000}"/>
    <cellStyle name="Milliers 8" xfId="60848" xr:uid="{00000000-0005-0000-0000-000011000000}"/>
    <cellStyle name="Monétaire" xfId="1" builtinId="4"/>
    <cellStyle name="Monétaire 10" xfId="60852" xr:uid="{00000000-0005-0000-0000-000013000000}"/>
    <cellStyle name="Monétaire 10 2" xfId="60862" xr:uid="{A3081553-C73F-4BA5-8BB3-4EF8D1C24A8B}"/>
    <cellStyle name="Monétaire 10 2 2" xfId="60869" xr:uid="{78E1C49D-FE59-4C82-9CF3-393D6DF7FAC2}"/>
    <cellStyle name="Monétaire 10 3" xfId="60864" xr:uid="{9404BC2D-193C-4756-973C-8221F1E8A537}"/>
    <cellStyle name="Monétaire 11" xfId="60853" xr:uid="{00000000-0005-0000-0000-000014000000}"/>
    <cellStyle name="Monétaire 12" xfId="60854" xr:uid="{00000000-0005-0000-0000-000015000000}"/>
    <cellStyle name="Monétaire 12 2" xfId="60865" xr:uid="{052A8F90-9F7F-4465-8089-7FFF6CFF1ECC}"/>
    <cellStyle name="Monétaire 13" xfId="60855" xr:uid="{00000000-0005-0000-0000-000016000000}"/>
    <cellStyle name="Monétaire 14" xfId="60858" xr:uid="{00000000-0005-0000-0000-000017000000}"/>
    <cellStyle name="Monétaire 15" xfId="60859" xr:uid="{00000000-0005-0000-0000-000018000000}"/>
    <cellStyle name="Monétaire 16" xfId="60860" xr:uid="{B4CA8F38-3806-49CE-B52A-E066E0570E39}"/>
    <cellStyle name="Monétaire 17" xfId="60861" xr:uid="{432B8355-8A3F-4FD3-A3CA-4F0EFBCFDAD0}"/>
    <cellStyle name="Monétaire 2" xfId="5" xr:uid="{00000000-0005-0000-0000-000019000000}"/>
    <cellStyle name="Monétaire 2 2" xfId="60837" xr:uid="{00000000-0005-0000-0000-00001A000000}"/>
    <cellStyle name="Monétaire 2 3" xfId="60863" xr:uid="{BCF56EC9-457D-4C5E-9277-ADEE5B22E023}"/>
    <cellStyle name="Monétaire 3" xfId="10" xr:uid="{00000000-0005-0000-0000-00001B000000}"/>
    <cellStyle name="Monétaire 4" xfId="15" xr:uid="{00000000-0005-0000-0000-00001C000000}"/>
    <cellStyle name="Monétaire 4 2" xfId="60867" xr:uid="{AB931024-E1A6-483F-9471-42EF9E7683BF}"/>
    <cellStyle name="Monétaire 5" xfId="60822" xr:uid="{00000000-0005-0000-0000-00001D000000}"/>
    <cellStyle name="Monétaire 6" xfId="60834" xr:uid="{00000000-0005-0000-0000-00001E000000}"/>
    <cellStyle name="Monétaire 7" xfId="60842" xr:uid="{00000000-0005-0000-0000-00001F000000}"/>
    <cellStyle name="Monétaire 7 2" xfId="60857" xr:uid="{00000000-0005-0000-0000-000020000000}"/>
    <cellStyle name="Monétaire 8" xfId="60849" xr:uid="{00000000-0005-0000-0000-000021000000}"/>
    <cellStyle name="Monétaire 9" xfId="60851" xr:uid="{00000000-0005-0000-0000-000022000000}"/>
    <cellStyle name="Neutre 2" xfId="60831" xr:uid="{00000000-0005-0000-0000-000023000000}"/>
    <cellStyle name="Neutre 3" xfId="60847" xr:uid="{00000000-0005-0000-0000-000024000000}"/>
    <cellStyle name="Normal" xfId="0" builtinId="0"/>
    <cellStyle name="Normal 2" xfId="4" xr:uid="{00000000-0005-0000-0000-000026000000}"/>
    <cellStyle name="Normal 2 2" xfId="8" xr:uid="{00000000-0005-0000-0000-000027000000}"/>
    <cellStyle name="Normal 2 3" xfId="16" xr:uid="{00000000-0005-0000-0000-000028000000}"/>
    <cellStyle name="Normal 2 4" xfId="60836" xr:uid="{00000000-0005-0000-0000-000029000000}"/>
    <cellStyle name="Normal 3" xfId="13" xr:uid="{00000000-0005-0000-0000-00002A000000}"/>
    <cellStyle name="Normal 3 2" xfId="60866" xr:uid="{EB29AD1C-44B4-417F-95B3-22E2CD5387C8}"/>
    <cellStyle name="Normal 4" xfId="60823" xr:uid="{00000000-0005-0000-0000-00002B000000}"/>
    <cellStyle name="Normal 5" xfId="60830" xr:uid="{00000000-0005-0000-0000-00002C000000}"/>
    <cellStyle name="Normal 6" xfId="60856" xr:uid="{00000000-0005-0000-0000-00002D000000}"/>
    <cellStyle name="Pourcentage" xfId="2" builtinId="5"/>
    <cellStyle name="Pourcentage 2" xfId="6" xr:uid="{00000000-0005-0000-0000-00002F000000}"/>
    <cellStyle name="Pourcentage 2 2" xfId="60850" xr:uid="{00000000-0005-0000-0000-000030000000}"/>
    <cellStyle name="Pourcentage 3" xfId="60835" xr:uid="{00000000-0005-0000-0000-000031000000}"/>
    <cellStyle name="Pourcentage 3 2" xfId="60868" xr:uid="{6CAFFF42-0F67-4E5A-A044-2C6DB3550A36}"/>
    <cellStyle name="Remarque" xfId="22" xr:uid="{00000000-0005-0000-0000-000032000000}"/>
    <cellStyle name="Remarque 10" xfId="621" xr:uid="{00000000-0005-0000-0000-000033000000}"/>
    <cellStyle name="Remarque 10 10" xfId="24653" xr:uid="{00000000-0005-0000-0000-000034000000}"/>
    <cellStyle name="Remarque 10 10 2" xfId="48613" xr:uid="{00000000-0005-0000-0000-000035000000}"/>
    <cellStyle name="Remarque 10 11" xfId="36730" xr:uid="{00000000-0005-0000-0000-000036000000}"/>
    <cellStyle name="Remarque 10 11 2" xfId="60690" xr:uid="{00000000-0005-0000-0000-000037000000}"/>
    <cellStyle name="Remarque 10 12" xfId="13318" xr:uid="{00000000-0005-0000-0000-000038000000}"/>
    <cellStyle name="Remarque 10 13" xfId="37278" xr:uid="{00000000-0005-0000-0000-000039000000}"/>
    <cellStyle name="Remarque 10 2" xfId="3527" xr:uid="{00000000-0005-0000-0000-00003A000000}"/>
    <cellStyle name="Remarque 10 2 2" xfId="27541" xr:uid="{00000000-0005-0000-0000-00003B000000}"/>
    <cellStyle name="Remarque 10 2 2 2" xfId="51501" xr:uid="{00000000-0005-0000-0000-00003C000000}"/>
    <cellStyle name="Remarque 10 2 3" xfId="14788" xr:uid="{00000000-0005-0000-0000-00003D000000}"/>
    <cellStyle name="Remarque 10 2 4" xfId="38748" xr:uid="{00000000-0005-0000-0000-00003E000000}"/>
    <cellStyle name="Remarque 10 3" xfId="4961" xr:uid="{00000000-0005-0000-0000-00003F000000}"/>
    <cellStyle name="Remarque 10 3 2" xfId="28975" xr:uid="{00000000-0005-0000-0000-000040000000}"/>
    <cellStyle name="Remarque 10 3 2 2" xfId="52935" xr:uid="{00000000-0005-0000-0000-000041000000}"/>
    <cellStyle name="Remarque 10 3 3" xfId="16222" xr:uid="{00000000-0005-0000-0000-000042000000}"/>
    <cellStyle name="Remarque 10 3 4" xfId="40182" xr:uid="{00000000-0005-0000-0000-000043000000}"/>
    <cellStyle name="Remarque 10 4" xfId="6355" xr:uid="{00000000-0005-0000-0000-000044000000}"/>
    <cellStyle name="Remarque 10 4 2" xfId="30369" xr:uid="{00000000-0005-0000-0000-000045000000}"/>
    <cellStyle name="Remarque 10 4 2 2" xfId="54329" xr:uid="{00000000-0005-0000-0000-000046000000}"/>
    <cellStyle name="Remarque 10 4 3" xfId="17616" xr:uid="{00000000-0005-0000-0000-000047000000}"/>
    <cellStyle name="Remarque 10 4 4" xfId="41576" xr:uid="{00000000-0005-0000-0000-000048000000}"/>
    <cellStyle name="Remarque 10 5" xfId="7743" xr:uid="{00000000-0005-0000-0000-000049000000}"/>
    <cellStyle name="Remarque 10 5 2" xfId="31757" xr:uid="{00000000-0005-0000-0000-00004A000000}"/>
    <cellStyle name="Remarque 10 5 2 2" xfId="55717" xr:uid="{00000000-0005-0000-0000-00004B000000}"/>
    <cellStyle name="Remarque 10 5 3" xfId="19004" xr:uid="{00000000-0005-0000-0000-00004C000000}"/>
    <cellStyle name="Remarque 10 5 4" xfId="42964" xr:uid="{00000000-0005-0000-0000-00004D000000}"/>
    <cellStyle name="Remarque 10 6" xfId="9128" xr:uid="{00000000-0005-0000-0000-00004E000000}"/>
    <cellStyle name="Remarque 10 6 2" xfId="33142" xr:uid="{00000000-0005-0000-0000-00004F000000}"/>
    <cellStyle name="Remarque 10 6 2 2" xfId="57102" xr:uid="{00000000-0005-0000-0000-000050000000}"/>
    <cellStyle name="Remarque 10 6 3" xfId="20389" xr:uid="{00000000-0005-0000-0000-000051000000}"/>
    <cellStyle name="Remarque 10 6 4" xfId="44349" xr:uid="{00000000-0005-0000-0000-000052000000}"/>
    <cellStyle name="Remarque 10 7" xfId="10585" xr:uid="{00000000-0005-0000-0000-000053000000}"/>
    <cellStyle name="Remarque 10 7 2" xfId="34595" xr:uid="{00000000-0005-0000-0000-000054000000}"/>
    <cellStyle name="Remarque 10 7 2 2" xfId="58555" xr:uid="{00000000-0005-0000-0000-000055000000}"/>
    <cellStyle name="Remarque 10 7 3" xfId="21852" xr:uid="{00000000-0005-0000-0000-000056000000}"/>
    <cellStyle name="Remarque 10 7 4" xfId="45812" xr:uid="{00000000-0005-0000-0000-000057000000}"/>
    <cellStyle name="Remarque 10 8" xfId="12581" xr:uid="{00000000-0005-0000-0000-000058000000}"/>
    <cellStyle name="Remarque 10 8 2" xfId="23881" xr:uid="{00000000-0005-0000-0000-000059000000}"/>
    <cellStyle name="Remarque 10 8 3" xfId="47841" xr:uid="{00000000-0005-0000-0000-00005A000000}"/>
    <cellStyle name="Remarque 10 9" xfId="2057" xr:uid="{00000000-0005-0000-0000-00005B000000}"/>
    <cellStyle name="Remarque 10 9 2" xfId="26071" xr:uid="{00000000-0005-0000-0000-00005C000000}"/>
    <cellStyle name="Remarque 10 9 3" xfId="50031" xr:uid="{00000000-0005-0000-0000-00005D000000}"/>
    <cellStyle name="Remarque 11" xfId="320" xr:uid="{00000000-0005-0000-0000-00005E000000}"/>
    <cellStyle name="Remarque 11 10" xfId="24352" xr:uid="{00000000-0005-0000-0000-00005F000000}"/>
    <cellStyle name="Remarque 11 10 2" xfId="48312" xr:uid="{00000000-0005-0000-0000-000060000000}"/>
    <cellStyle name="Remarque 11 11" xfId="36523" xr:uid="{00000000-0005-0000-0000-000061000000}"/>
    <cellStyle name="Remarque 11 11 2" xfId="60483" xr:uid="{00000000-0005-0000-0000-000062000000}"/>
    <cellStyle name="Remarque 11 12" xfId="13017" xr:uid="{00000000-0005-0000-0000-000063000000}"/>
    <cellStyle name="Remarque 11 13" xfId="36977" xr:uid="{00000000-0005-0000-0000-000064000000}"/>
    <cellStyle name="Remarque 11 2" xfId="3226" xr:uid="{00000000-0005-0000-0000-000065000000}"/>
    <cellStyle name="Remarque 11 2 2" xfId="27240" xr:uid="{00000000-0005-0000-0000-000066000000}"/>
    <cellStyle name="Remarque 11 2 2 2" xfId="51200" xr:uid="{00000000-0005-0000-0000-000067000000}"/>
    <cellStyle name="Remarque 11 2 3" xfId="14487" xr:uid="{00000000-0005-0000-0000-000068000000}"/>
    <cellStyle name="Remarque 11 2 4" xfId="38447" xr:uid="{00000000-0005-0000-0000-000069000000}"/>
    <cellStyle name="Remarque 11 3" xfId="4660" xr:uid="{00000000-0005-0000-0000-00006A000000}"/>
    <cellStyle name="Remarque 11 3 2" xfId="28674" xr:uid="{00000000-0005-0000-0000-00006B000000}"/>
    <cellStyle name="Remarque 11 3 2 2" xfId="52634" xr:uid="{00000000-0005-0000-0000-00006C000000}"/>
    <cellStyle name="Remarque 11 3 3" xfId="15921" xr:uid="{00000000-0005-0000-0000-00006D000000}"/>
    <cellStyle name="Remarque 11 3 4" xfId="39881" xr:uid="{00000000-0005-0000-0000-00006E000000}"/>
    <cellStyle name="Remarque 11 4" xfId="6054" xr:uid="{00000000-0005-0000-0000-00006F000000}"/>
    <cellStyle name="Remarque 11 4 2" xfId="30068" xr:uid="{00000000-0005-0000-0000-000070000000}"/>
    <cellStyle name="Remarque 11 4 2 2" xfId="54028" xr:uid="{00000000-0005-0000-0000-000071000000}"/>
    <cellStyle name="Remarque 11 4 3" xfId="17315" xr:uid="{00000000-0005-0000-0000-000072000000}"/>
    <cellStyle name="Remarque 11 4 4" xfId="41275" xr:uid="{00000000-0005-0000-0000-000073000000}"/>
    <cellStyle name="Remarque 11 5" xfId="7442" xr:uid="{00000000-0005-0000-0000-000074000000}"/>
    <cellStyle name="Remarque 11 5 2" xfId="31456" xr:uid="{00000000-0005-0000-0000-000075000000}"/>
    <cellStyle name="Remarque 11 5 2 2" xfId="55416" xr:uid="{00000000-0005-0000-0000-000076000000}"/>
    <cellStyle name="Remarque 11 5 3" xfId="18703" xr:uid="{00000000-0005-0000-0000-000077000000}"/>
    <cellStyle name="Remarque 11 5 4" xfId="42663" xr:uid="{00000000-0005-0000-0000-000078000000}"/>
    <cellStyle name="Remarque 11 6" xfId="8827" xr:uid="{00000000-0005-0000-0000-000079000000}"/>
    <cellStyle name="Remarque 11 6 2" xfId="32841" xr:uid="{00000000-0005-0000-0000-00007A000000}"/>
    <cellStyle name="Remarque 11 6 2 2" xfId="56801" xr:uid="{00000000-0005-0000-0000-00007B000000}"/>
    <cellStyle name="Remarque 11 6 3" xfId="20088" xr:uid="{00000000-0005-0000-0000-00007C000000}"/>
    <cellStyle name="Remarque 11 6 4" xfId="44048" xr:uid="{00000000-0005-0000-0000-00007D000000}"/>
    <cellStyle name="Remarque 11 7" xfId="10284" xr:uid="{00000000-0005-0000-0000-00007E000000}"/>
    <cellStyle name="Remarque 11 7 2" xfId="34294" xr:uid="{00000000-0005-0000-0000-00007F000000}"/>
    <cellStyle name="Remarque 11 7 2 2" xfId="58254" xr:uid="{00000000-0005-0000-0000-000080000000}"/>
    <cellStyle name="Remarque 11 7 3" xfId="21551" xr:uid="{00000000-0005-0000-0000-000081000000}"/>
    <cellStyle name="Remarque 11 7 4" xfId="45511" xr:uid="{00000000-0005-0000-0000-000082000000}"/>
    <cellStyle name="Remarque 11 8" xfId="12103" xr:uid="{00000000-0005-0000-0000-000083000000}"/>
    <cellStyle name="Remarque 11 8 2" xfId="23386" xr:uid="{00000000-0005-0000-0000-000084000000}"/>
    <cellStyle name="Remarque 11 8 3" xfId="47346" xr:uid="{00000000-0005-0000-0000-000085000000}"/>
    <cellStyle name="Remarque 11 9" xfId="1756" xr:uid="{00000000-0005-0000-0000-000086000000}"/>
    <cellStyle name="Remarque 11 9 2" xfId="25770" xr:uid="{00000000-0005-0000-0000-000087000000}"/>
    <cellStyle name="Remarque 11 9 3" xfId="49730" xr:uid="{00000000-0005-0000-0000-000088000000}"/>
    <cellStyle name="Remarque 12" xfId="1542" xr:uid="{00000000-0005-0000-0000-000089000000}"/>
    <cellStyle name="Remarque 12 10" xfId="25574" xr:uid="{00000000-0005-0000-0000-00008A000000}"/>
    <cellStyle name="Remarque 12 10 2" xfId="49534" xr:uid="{00000000-0005-0000-0000-00008B000000}"/>
    <cellStyle name="Remarque 12 11" xfId="36289" xr:uid="{00000000-0005-0000-0000-00008C000000}"/>
    <cellStyle name="Remarque 12 11 2" xfId="60249" xr:uid="{00000000-0005-0000-0000-00008D000000}"/>
    <cellStyle name="Remarque 12 12" xfId="14239" xr:uid="{00000000-0005-0000-0000-00008E000000}"/>
    <cellStyle name="Remarque 12 13" xfId="38199" xr:uid="{00000000-0005-0000-0000-00008F000000}"/>
    <cellStyle name="Remarque 12 2" xfId="4448" xr:uid="{00000000-0005-0000-0000-000090000000}"/>
    <cellStyle name="Remarque 12 2 2" xfId="28462" xr:uid="{00000000-0005-0000-0000-000091000000}"/>
    <cellStyle name="Remarque 12 2 2 2" xfId="52422" xr:uid="{00000000-0005-0000-0000-000092000000}"/>
    <cellStyle name="Remarque 12 2 3" xfId="15709" xr:uid="{00000000-0005-0000-0000-000093000000}"/>
    <cellStyle name="Remarque 12 2 4" xfId="39669" xr:uid="{00000000-0005-0000-0000-000094000000}"/>
    <cellStyle name="Remarque 12 3" xfId="5882" xr:uid="{00000000-0005-0000-0000-000095000000}"/>
    <cellStyle name="Remarque 12 3 2" xfId="29896" xr:uid="{00000000-0005-0000-0000-000096000000}"/>
    <cellStyle name="Remarque 12 3 2 2" xfId="53856" xr:uid="{00000000-0005-0000-0000-000097000000}"/>
    <cellStyle name="Remarque 12 3 3" xfId="17143" xr:uid="{00000000-0005-0000-0000-000098000000}"/>
    <cellStyle name="Remarque 12 3 4" xfId="41103" xr:uid="{00000000-0005-0000-0000-000099000000}"/>
    <cellStyle name="Remarque 12 4" xfId="7276" xr:uid="{00000000-0005-0000-0000-00009A000000}"/>
    <cellStyle name="Remarque 12 4 2" xfId="31290" xr:uid="{00000000-0005-0000-0000-00009B000000}"/>
    <cellStyle name="Remarque 12 4 2 2" xfId="55250" xr:uid="{00000000-0005-0000-0000-00009C000000}"/>
    <cellStyle name="Remarque 12 4 3" xfId="18537" xr:uid="{00000000-0005-0000-0000-00009D000000}"/>
    <cellStyle name="Remarque 12 4 4" xfId="42497" xr:uid="{00000000-0005-0000-0000-00009E000000}"/>
    <cellStyle name="Remarque 12 5" xfId="8664" xr:uid="{00000000-0005-0000-0000-00009F000000}"/>
    <cellStyle name="Remarque 12 5 2" xfId="32678" xr:uid="{00000000-0005-0000-0000-0000A0000000}"/>
    <cellStyle name="Remarque 12 5 2 2" xfId="56638" xr:uid="{00000000-0005-0000-0000-0000A1000000}"/>
    <cellStyle name="Remarque 12 5 3" xfId="19925" xr:uid="{00000000-0005-0000-0000-0000A2000000}"/>
    <cellStyle name="Remarque 12 5 4" xfId="43885" xr:uid="{00000000-0005-0000-0000-0000A3000000}"/>
    <cellStyle name="Remarque 12 6" xfId="10049" xr:uid="{00000000-0005-0000-0000-0000A4000000}"/>
    <cellStyle name="Remarque 12 6 2" xfId="34063" xr:uid="{00000000-0005-0000-0000-0000A5000000}"/>
    <cellStyle name="Remarque 12 6 2 2" xfId="58023" xr:uid="{00000000-0005-0000-0000-0000A6000000}"/>
    <cellStyle name="Remarque 12 6 3" xfId="21310" xr:uid="{00000000-0005-0000-0000-0000A7000000}"/>
    <cellStyle name="Remarque 12 6 4" xfId="45270" xr:uid="{00000000-0005-0000-0000-0000A8000000}"/>
    <cellStyle name="Remarque 12 7" xfId="11506" xr:uid="{00000000-0005-0000-0000-0000A9000000}"/>
    <cellStyle name="Remarque 12 7 2" xfId="35516" xr:uid="{00000000-0005-0000-0000-0000AA000000}"/>
    <cellStyle name="Remarque 12 7 2 2" xfId="59476" xr:uid="{00000000-0005-0000-0000-0000AB000000}"/>
    <cellStyle name="Remarque 12 7 3" xfId="22773" xr:uid="{00000000-0005-0000-0000-0000AC000000}"/>
    <cellStyle name="Remarque 12 7 4" xfId="46733" xr:uid="{00000000-0005-0000-0000-0000AD000000}"/>
    <cellStyle name="Remarque 12 8" xfId="12727" xr:uid="{00000000-0005-0000-0000-0000AE000000}"/>
    <cellStyle name="Remarque 12 8 2" xfId="24033" xr:uid="{00000000-0005-0000-0000-0000AF000000}"/>
    <cellStyle name="Remarque 12 8 3" xfId="47993" xr:uid="{00000000-0005-0000-0000-0000B0000000}"/>
    <cellStyle name="Remarque 12 9" xfId="2978" xr:uid="{00000000-0005-0000-0000-0000B1000000}"/>
    <cellStyle name="Remarque 12 9 2" xfId="26992" xr:uid="{00000000-0005-0000-0000-0000B2000000}"/>
    <cellStyle name="Remarque 12 9 3" xfId="50952" xr:uid="{00000000-0005-0000-0000-0000B3000000}"/>
    <cellStyle name="Remarque 13" xfId="3058" xr:uid="{00000000-0005-0000-0000-0000B4000000}"/>
    <cellStyle name="Remarque 13 2" xfId="27072" xr:uid="{00000000-0005-0000-0000-0000B5000000}"/>
    <cellStyle name="Remarque 13 2 2" xfId="51032" xr:uid="{00000000-0005-0000-0000-0000B6000000}"/>
    <cellStyle name="Remarque 13 3" xfId="14319" xr:uid="{00000000-0005-0000-0000-0000B7000000}"/>
    <cellStyle name="Remarque 13 4" xfId="38279" xr:uid="{00000000-0005-0000-0000-0000B8000000}"/>
    <cellStyle name="Remarque 14" xfId="1617" xr:uid="{00000000-0005-0000-0000-0000B9000000}"/>
    <cellStyle name="Remarque 14 2" xfId="25635" xr:uid="{00000000-0005-0000-0000-0000BA000000}"/>
    <cellStyle name="Remarque 14 3" xfId="49595" xr:uid="{00000000-0005-0000-0000-0000BB000000}"/>
    <cellStyle name="Remarque 15" xfId="12909" xr:uid="{00000000-0005-0000-0000-0000BC000000}"/>
    <cellStyle name="Remarque 16" xfId="157" xr:uid="{00000000-0005-0000-0000-0000BD000000}"/>
    <cellStyle name="Remarque 2" xfId="29" xr:uid="{00000000-0005-0000-0000-0000BE000000}"/>
    <cellStyle name="Remarque 2 10" xfId="339" xr:uid="{00000000-0005-0000-0000-0000BF000000}"/>
    <cellStyle name="Remarque 2 10 10" xfId="24371" xr:uid="{00000000-0005-0000-0000-0000C0000000}"/>
    <cellStyle name="Remarque 2 10 10 2" xfId="48331" xr:uid="{00000000-0005-0000-0000-0000C1000000}"/>
    <cellStyle name="Remarque 2 10 11" xfId="36264" xr:uid="{00000000-0005-0000-0000-0000C2000000}"/>
    <cellStyle name="Remarque 2 10 11 2" xfId="60224" xr:uid="{00000000-0005-0000-0000-0000C3000000}"/>
    <cellStyle name="Remarque 2 10 12" xfId="13036" xr:uid="{00000000-0005-0000-0000-0000C4000000}"/>
    <cellStyle name="Remarque 2 10 13" xfId="36996" xr:uid="{00000000-0005-0000-0000-0000C5000000}"/>
    <cellStyle name="Remarque 2 10 2" xfId="3245" xr:uid="{00000000-0005-0000-0000-0000C6000000}"/>
    <cellStyle name="Remarque 2 10 2 2" xfId="27259" xr:uid="{00000000-0005-0000-0000-0000C7000000}"/>
    <cellStyle name="Remarque 2 10 2 2 2" xfId="51219" xr:uid="{00000000-0005-0000-0000-0000C8000000}"/>
    <cellStyle name="Remarque 2 10 2 3" xfId="14506" xr:uid="{00000000-0005-0000-0000-0000C9000000}"/>
    <cellStyle name="Remarque 2 10 2 4" xfId="38466" xr:uid="{00000000-0005-0000-0000-0000CA000000}"/>
    <cellStyle name="Remarque 2 10 3" xfId="4679" xr:uid="{00000000-0005-0000-0000-0000CB000000}"/>
    <cellStyle name="Remarque 2 10 3 2" xfId="28693" xr:uid="{00000000-0005-0000-0000-0000CC000000}"/>
    <cellStyle name="Remarque 2 10 3 2 2" xfId="52653" xr:uid="{00000000-0005-0000-0000-0000CD000000}"/>
    <cellStyle name="Remarque 2 10 3 3" xfId="15940" xr:uid="{00000000-0005-0000-0000-0000CE000000}"/>
    <cellStyle name="Remarque 2 10 3 4" xfId="39900" xr:uid="{00000000-0005-0000-0000-0000CF000000}"/>
    <cellStyle name="Remarque 2 10 4" xfId="6073" xr:uid="{00000000-0005-0000-0000-0000D0000000}"/>
    <cellStyle name="Remarque 2 10 4 2" xfId="30087" xr:uid="{00000000-0005-0000-0000-0000D1000000}"/>
    <cellStyle name="Remarque 2 10 4 2 2" xfId="54047" xr:uid="{00000000-0005-0000-0000-0000D2000000}"/>
    <cellStyle name="Remarque 2 10 4 3" xfId="17334" xr:uid="{00000000-0005-0000-0000-0000D3000000}"/>
    <cellStyle name="Remarque 2 10 4 4" xfId="41294" xr:uid="{00000000-0005-0000-0000-0000D4000000}"/>
    <cellStyle name="Remarque 2 10 5" xfId="7461" xr:uid="{00000000-0005-0000-0000-0000D5000000}"/>
    <cellStyle name="Remarque 2 10 5 2" xfId="31475" xr:uid="{00000000-0005-0000-0000-0000D6000000}"/>
    <cellStyle name="Remarque 2 10 5 2 2" xfId="55435" xr:uid="{00000000-0005-0000-0000-0000D7000000}"/>
    <cellStyle name="Remarque 2 10 5 3" xfId="18722" xr:uid="{00000000-0005-0000-0000-0000D8000000}"/>
    <cellStyle name="Remarque 2 10 5 4" xfId="42682" xr:uid="{00000000-0005-0000-0000-0000D9000000}"/>
    <cellStyle name="Remarque 2 10 6" xfId="8846" xr:uid="{00000000-0005-0000-0000-0000DA000000}"/>
    <cellStyle name="Remarque 2 10 6 2" xfId="32860" xr:uid="{00000000-0005-0000-0000-0000DB000000}"/>
    <cellStyle name="Remarque 2 10 6 2 2" xfId="56820" xr:uid="{00000000-0005-0000-0000-0000DC000000}"/>
    <cellStyle name="Remarque 2 10 6 3" xfId="20107" xr:uid="{00000000-0005-0000-0000-0000DD000000}"/>
    <cellStyle name="Remarque 2 10 6 4" xfId="44067" xr:uid="{00000000-0005-0000-0000-0000DE000000}"/>
    <cellStyle name="Remarque 2 10 7" xfId="10303" xr:uid="{00000000-0005-0000-0000-0000DF000000}"/>
    <cellStyle name="Remarque 2 10 7 2" xfId="34313" xr:uid="{00000000-0005-0000-0000-0000E0000000}"/>
    <cellStyle name="Remarque 2 10 7 2 2" xfId="58273" xr:uid="{00000000-0005-0000-0000-0000E1000000}"/>
    <cellStyle name="Remarque 2 10 7 3" xfId="21570" xr:uid="{00000000-0005-0000-0000-0000E2000000}"/>
    <cellStyle name="Remarque 2 10 7 4" xfId="45530" xr:uid="{00000000-0005-0000-0000-0000E3000000}"/>
    <cellStyle name="Remarque 2 10 8" xfId="11666" xr:uid="{00000000-0005-0000-0000-0000E4000000}"/>
    <cellStyle name="Remarque 2 10 8 2" xfId="22934" xr:uid="{00000000-0005-0000-0000-0000E5000000}"/>
    <cellStyle name="Remarque 2 10 8 3" xfId="46894" xr:uid="{00000000-0005-0000-0000-0000E6000000}"/>
    <cellStyle name="Remarque 2 10 9" xfId="1775" xr:uid="{00000000-0005-0000-0000-0000E7000000}"/>
    <cellStyle name="Remarque 2 10 9 2" xfId="25789" xr:uid="{00000000-0005-0000-0000-0000E8000000}"/>
    <cellStyle name="Remarque 2 10 9 3" xfId="49749" xr:uid="{00000000-0005-0000-0000-0000E9000000}"/>
    <cellStyle name="Remarque 2 11" xfId="1547" xr:uid="{00000000-0005-0000-0000-0000EA000000}"/>
    <cellStyle name="Remarque 2 11 10" xfId="25579" xr:uid="{00000000-0005-0000-0000-0000EB000000}"/>
    <cellStyle name="Remarque 2 11 10 2" xfId="49539" xr:uid="{00000000-0005-0000-0000-0000EC000000}"/>
    <cellStyle name="Remarque 2 11 11" xfId="36099" xr:uid="{00000000-0005-0000-0000-0000ED000000}"/>
    <cellStyle name="Remarque 2 11 11 2" xfId="60059" xr:uid="{00000000-0005-0000-0000-0000EE000000}"/>
    <cellStyle name="Remarque 2 11 12" xfId="14244" xr:uid="{00000000-0005-0000-0000-0000EF000000}"/>
    <cellStyle name="Remarque 2 11 13" xfId="38204" xr:uid="{00000000-0005-0000-0000-0000F0000000}"/>
    <cellStyle name="Remarque 2 11 2" xfId="4453" xr:uid="{00000000-0005-0000-0000-0000F1000000}"/>
    <cellStyle name="Remarque 2 11 2 2" xfId="28467" xr:uid="{00000000-0005-0000-0000-0000F2000000}"/>
    <cellStyle name="Remarque 2 11 2 2 2" xfId="52427" xr:uid="{00000000-0005-0000-0000-0000F3000000}"/>
    <cellStyle name="Remarque 2 11 2 3" xfId="15714" xr:uid="{00000000-0005-0000-0000-0000F4000000}"/>
    <cellStyle name="Remarque 2 11 2 4" xfId="39674" xr:uid="{00000000-0005-0000-0000-0000F5000000}"/>
    <cellStyle name="Remarque 2 11 3" xfId="5887" xr:uid="{00000000-0005-0000-0000-0000F6000000}"/>
    <cellStyle name="Remarque 2 11 3 2" xfId="29901" xr:uid="{00000000-0005-0000-0000-0000F7000000}"/>
    <cellStyle name="Remarque 2 11 3 2 2" xfId="53861" xr:uid="{00000000-0005-0000-0000-0000F8000000}"/>
    <cellStyle name="Remarque 2 11 3 3" xfId="17148" xr:uid="{00000000-0005-0000-0000-0000F9000000}"/>
    <cellStyle name="Remarque 2 11 3 4" xfId="41108" xr:uid="{00000000-0005-0000-0000-0000FA000000}"/>
    <cellStyle name="Remarque 2 11 4" xfId="7281" xr:uid="{00000000-0005-0000-0000-0000FB000000}"/>
    <cellStyle name="Remarque 2 11 4 2" xfId="31295" xr:uid="{00000000-0005-0000-0000-0000FC000000}"/>
    <cellStyle name="Remarque 2 11 4 2 2" xfId="55255" xr:uid="{00000000-0005-0000-0000-0000FD000000}"/>
    <cellStyle name="Remarque 2 11 4 3" xfId="18542" xr:uid="{00000000-0005-0000-0000-0000FE000000}"/>
    <cellStyle name="Remarque 2 11 4 4" xfId="42502" xr:uid="{00000000-0005-0000-0000-0000FF000000}"/>
    <cellStyle name="Remarque 2 11 5" xfId="8669" xr:uid="{00000000-0005-0000-0000-000000010000}"/>
    <cellStyle name="Remarque 2 11 5 2" xfId="32683" xr:uid="{00000000-0005-0000-0000-000001010000}"/>
    <cellStyle name="Remarque 2 11 5 2 2" xfId="56643" xr:uid="{00000000-0005-0000-0000-000002010000}"/>
    <cellStyle name="Remarque 2 11 5 3" xfId="19930" xr:uid="{00000000-0005-0000-0000-000003010000}"/>
    <cellStyle name="Remarque 2 11 5 4" xfId="43890" xr:uid="{00000000-0005-0000-0000-000004010000}"/>
    <cellStyle name="Remarque 2 11 6" xfId="10054" xr:uid="{00000000-0005-0000-0000-000005010000}"/>
    <cellStyle name="Remarque 2 11 6 2" xfId="34068" xr:uid="{00000000-0005-0000-0000-000006010000}"/>
    <cellStyle name="Remarque 2 11 6 2 2" xfId="58028" xr:uid="{00000000-0005-0000-0000-000007010000}"/>
    <cellStyle name="Remarque 2 11 6 3" xfId="21315" xr:uid="{00000000-0005-0000-0000-000008010000}"/>
    <cellStyle name="Remarque 2 11 6 4" xfId="45275" xr:uid="{00000000-0005-0000-0000-000009010000}"/>
    <cellStyle name="Remarque 2 11 7" xfId="11511" xr:uid="{00000000-0005-0000-0000-00000A010000}"/>
    <cellStyle name="Remarque 2 11 7 2" xfId="35521" xr:uid="{00000000-0005-0000-0000-00000B010000}"/>
    <cellStyle name="Remarque 2 11 7 2 2" xfId="59481" xr:uid="{00000000-0005-0000-0000-00000C010000}"/>
    <cellStyle name="Remarque 2 11 7 3" xfId="22778" xr:uid="{00000000-0005-0000-0000-00000D010000}"/>
    <cellStyle name="Remarque 2 11 7 4" xfId="46738" xr:uid="{00000000-0005-0000-0000-00000E010000}"/>
    <cellStyle name="Remarque 2 11 8" xfId="11854" xr:uid="{00000000-0005-0000-0000-00000F010000}"/>
    <cellStyle name="Remarque 2 11 8 2" xfId="23130" xr:uid="{00000000-0005-0000-0000-000010010000}"/>
    <cellStyle name="Remarque 2 11 8 3" xfId="47090" xr:uid="{00000000-0005-0000-0000-000011010000}"/>
    <cellStyle name="Remarque 2 11 9" xfId="2983" xr:uid="{00000000-0005-0000-0000-000012010000}"/>
    <cellStyle name="Remarque 2 11 9 2" xfId="26997" xr:uid="{00000000-0005-0000-0000-000013010000}"/>
    <cellStyle name="Remarque 2 11 9 3" xfId="50957" xr:uid="{00000000-0005-0000-0000-000014010000}"/>
    <cellStyle name="Remarque 2 12" xfId="3064" xr:uid="{00000000-0005-0000-0000-000015010000}"/>
    <cellStyle name="Remarque 2 12 2" xfId="27078" xr:uid="{00000000-0005-0000-0000-000016010000}"/>
    <cellStyle name="Remarque 2 12 2 2" xfId="51038" xr:uid="{00000000-0005-0000-0000-000017010000}"/>
    <cellStyle name="Remarque 2 12 3" xfId="14325" xr:uid="{00000000-0005-0000-0000-000018010000}"/>
    <cellStyle name="Remarque 2 12 4" xfId="38285" xr:uid="{00000000-0005-0000-0000-000019010000}"/>
    <cellStyle name="Remarque 2 13" xfId="1621" xr:uid="{00000000-0005-0000-0000-00001A010000}"/>
    <cellStyle name="Remarque 2 13 2" xfId="25636" xr:uid="{00000000-0005-0000-0000-00001B010000}"/>
    <cellStyle name="Remarque 2 13 3" xfId="49596" xr:uid="{00000000-0005-0000-0000-00001C010000}"/>
    <cellStyle name="Remarque 2 14" xfId="1607" xr:uid="{00000000-0005-0000-0000-00001D010000}"/>
    <cellStyle name="Remarque 2 15" xfId="158" xr:uid="{00000000-0005-0000-0000-00001E010000}"/>
    <cellStyle name="Remarque 2 2" xfId="30" xr:uid="{00000000-0005-0000-0000-00001F010000}"/>
    <cellStyle name="Remarque 2 2 10" xfId="807" xr:uid="{00000000-0005-0000-0000-000020010000}"/>
    <cellStyle name="Remarque 2 2 10 10" xfId="24839" xr:uid="{00000000-0005-0000-0000-000021010000}"/>
    <cellStyle name="Remarque 2 2 10 10 2" xfId="48799" xr:uid="{00000000-0005-0000-0000-000022010000}"/>
    <cellStyle name="Remarque 2 2 10 11" xfId="35902" xr:uid="{00000000-0005-0000-0000-000023010000}"/>
    <cellStyle name="Remarque 2 2 10 11 2" xfId="59862" xr:uid="{00000000-0005-0000-0000-000024010000}"/>
    <cellStyle name="Remarque 2 2 10 12" xfId="13504" xr:uid="{00000000-0005-0000-0000-000025010000}"/>
    <cellStyle name="Remarque 2 2 10 13" xfId="37464" xr:uid="{00000000-0005-0000-0000-000026010000}"/>
    <cellStyle name="Remarque 2 2 10 2" xfId="3713" xr:uid="{00000000-0005-0000-0000-000027010000}"/>
    <cellStyle name="Remarque 2 2 10 2 2" xfId="27727" xr:uid="{00000000-0005-0000-0000-000028010000}"/>
    <cellStyle name="Remarque 2 2 10 2 2 2" xfId="51687" xr:uid="{00000000-0005-0000-0000-000029010000}"/>
    <cellStyle name="Remarque 2 2 10 2 3" xfId="14974" xr:uid="{00000000-0005-0000-0000-00002A010000}"/>
    <cellStyle name="Remarque 2 2 10 2 4" xfId="38934" xr:uid="{00000000-0005-0000-0000-00002B010000}"/>
    <cellStyle name="Remarque 2 2 10 3" xfId="5147" xr:uid="{00000000-0005-0000-0000-00002C010000}"/>
    <cellStyle name="Remarque 2 2 10 3 2" xfId="29161" xr:uid="{00000000-0005-0000-0000-00002D010000}"/>
    <cellStyle name="Remarque 2 2 10 3 2 2" xfId="53121" xr:uid="{00000000-0005-0000-0000-00002E010000}"/>
    <cellStyle name="Remarque 2 2 10 3 3" xfId="16408" xr:uid="{00000000-0005-0000-0000-00002F010000}"/>
    <cellStyle name="Remarque 2 2 10 3 4" xfId="40368" xr:uid="{00000000-0005-0000-0000-000030010000}"/>
    <cellStyle name="Remarque 2 2 10 4" xfId="6541" xr:uid="{00000000-0005-0000-0000-000031010000}"/>
    <cellStyle name="Remarque 2 2 10 4 2" xfId="30555" xr:uid="{00000000-0005-0000-0000-000032010000}"/>
    <cellStyle name="Remarque 2 2 10 4 2 2" xfId="54515" xr:uid="{00000000-0005-0000-0000-000033010000}"/>
    <cellStyle name="Remarque 2 2 10 4 3" xfId="17802" xr:uid="{00000000-0005-0000-0000-000034010000}"/>
    <cellStyle name="Remarque 2 2 10 4 4" xfId="41762" xr:uid="{00000000-0005-0000-0000-000035010000}"/>
    <cellStyle name="Remarque 2 2 10 5" xfId="7929" xr:uid="{00000000-0005-0000-0000-000036010000}"/>
    <cellStyle name="Remarque 2 2 10 5 2" xfId="31943" xr:uid="{00000000-0005-0000-0000-000037010000}"/>
    <cellStyle name="Remarque 2 2 10 5 2 2" xfId="55903" xr:uid="{00000000-0005-0000-0000-000038010000}"/>
    <cellStyle name="Remarque 2 2 10 5 3" xfId="19190" xr:uid="{00000000-0005-0000-0000-000039010000}"/>
    <cellStyle name="Remarque 2 2 10 5 4" xfId="43150" xr:uid="{00000000-0005-0000-0000-00003A010000}"/>
    <cellStyle name="Remarque 2 2 10 6" xfId="9314" xr:uid="{00000000-0005-0000-0000-00003B010000}"/>
    <cellStyle name="Remarque 2 2 10 6 2" xfId="33328" xr:uid="{00000000-0005-0000-0000-00003C010000}"/>
    <cellStyle name="Remarque 2 2 10 6 2 2" xfId="57288" xr:uid="{00000000-0005-0000-0000-00003D010000}"/>
    <cellStyle name="Remarque 2 2 10 6 3" xfId="20575" xr:uid="{00000000-0005-0000-0000-00003E010000}"/>
    <cellStyle name="Remarque 2 2 10 6 4" xfId="44535" xr:uid="{00000000-0005-0000-0000-00003F010000}"/>
    <cellStyle name="Remarque 2 2 10 7" xfId="10771" xr:uid="{00000000-0005-0000-0000-000040010000}"/>
    <cellStyle name="Remarque 2 2 10 7 2" xfId="34781" xr:uid="{00000000-0005-0000-0000-000041010000}"/>
    <cellStyle name="Remarque 2 2 10 7 2 2" xfId="58741" xr:uid="{00000000-0005-0000-0000-000042010000}"/>
    <cellStyle name="Remarque 2 2 10 7 3" xfId="22038" xr:uid="{00000000-0005-0000-0000-000043010000}"/>
    <cellStyle name="Remarque 2 2 10 7 4" xfId="45998" xr:uid="{00000000-0005-0000-0000-000044010000}"/>
    <cellStyle name="Remarque 2 2 10 8" xfId="12871" xr:uid="{00000000-0005-0000-0000-000045010000}"/>
    <cellStyle name="Remarque 2 2 10 8 2" xfId="24183" xr:uid="{00000000-0005-0000-0000-000046010000}"/>
    <cellStyle name="Remarque 2 2 10 8 3" xfId="48143" xr:uid="{00000000-0005-0000-0000-000047010000}"/>
    <cellStyle name="Remarque 2 2 10 9" xfId="2243" xr:uid="{00000000-0005-0000-0000-000048010000}"/>
    <cellStyle name="Remarque 2 2 10 9 2" xfId="26257" xr:uid="{00000000-0005-0000-0000-000049010000}"/>
    <cellStyle name="Remarque 2 2 10 9 3" xfId="50217" xr:uid="{00000000-0005-0000-0000-00004A010000}"/>
    <cellStyle name="Remarque 2 2 11" xfId="294" xr:uid="{00000000-0005-0000-0000-00004B010000}"/>
    <cellStyle name="Remarque 2 2 11 10" xfId="24326" xr:uid="{00000000-0005-0000-0000-00004C010000}"/>
    <cellStyle name="Remarque 2 2 11 10 2" xfId="48286" xr:uid="{00000000-0005-0000-0000-00004D010000}"/>
    <cellStyle name="Remarque 2 2 11 11" xfId="36085" xr:uid="{00000000-0005-0000-0000-00004E010000}"/>
    <cellStyle name="Remarque 2 2 11 11 2" xfId="60045" xr:uid="{00000000-0005-0000-0000-00004F010000}"/>
    <cellStyle name="Remarque 2 2 11 12" xfId="12991" xr:uid="{00000000-0005-0000-0000-000050010000}"/>
    <cellStyle name="Remarque 2 2 11 13" xfId="36951" xr:uid="{00000000-0005-0000-0000-000051010000}"/>
    <cellStyle name="Remarque 2 2 11 2" xfId="3200" xr:uid="{00000000-0005-0000-0000-000052010000}"/>
    <cellStyle name="Remarque 2 2 11 2 2" xfId="27214" xr:uid="{00000000-0005-0000-0000-000053010000}"/>
    <cellStyle name="Remarque 2 2 11 2 2 2" xfId="51174" xr:uid="{00000000-0005-0000-0000-000054010000}"/>
    <cellStyle name="Remarque 2 2 11 2 3" xfId="14461" xr:uid="{00000000-0005-0000-0000-000055010000}"/>
    <cellStyle name="Remarque 2 2 11 2 4" xfId="38421" xr:uid="{00000000-0005-0000-0000-000056010000}"/>
    <cellStyle name="Remarque 2 2 11 3" xfId="4634" xr:uid="{00000000-0005-0000-0000-000057010000}"/>
    <cellStyle name="Remarque 2 2 11 3 2" xfId="28648" xr:uid="{00000000-0005-0000-0000-000058010000}"/>
    <cellStyle name="Remarque 2 2 11 3 2 2" xfId="52608" xr:uid="{00000000-0005-0000-0000-000059010000}"/>
    <cellStyle name="Remarque 2 2 11 3 3" xfId="15895" xr:uid="{00000000-0005-0000-0000-00005A010000}"/>
    <cellStyle name="Remarque 2 2 11 3 4" xfId="39855" xr:uid="{00000000-0005-0000-0000-00005B010000}"/>
    <cellStyle name="Remarque 2 2 11 4" xfId="6028" xr:uid="{00000000-0005-0000-0000-00005C010000}"/>
    <cellStyle name="Remarque 2 2 11 4 2" xfId="30042" xr:uid="{00000000-0005-0000-0000-00005D010000}"/>
    <cellStyle name="Remarque 2 2 11 4 2 2" xfId="54002" xr:uid="{00000000-0005-0000-0000-00005E010000}"/>
    <cellStyle name="Remarque 2 2 11 4 3" xfId="17289" xr:uid="{00000000-0005-0000-0000-00005F010000}"/>
    <cellStyle name="Remarque 2 2 11 4 4" xfId="41249" xr:uid="{00000000-0005-0000-0000-000060010000}"/>
    <cellStyle name="Remarque 2 2 11 5" xfId="7416" xr:uid="{00000000-0005-0000-0000-000061010000}"/>
    <cellStyle name="Remarque 2 2 11 5 2" xfId="31430" xr:uid="{00000000-0005-0000-0000-000062010000}"/>
    <cellStyle name="Remarque 2 2 11 5 2 2" xfId="55390" xr:uid="{00000000-0005-0000-0000-000063010000}"/>
    <cellStyle name="Remarque 2 2 11 5 3" xfId="18677" xr:uid="{00000000-0005-0000-0000-000064010000}"/>
    <cellStyle name="Remarque 2 2 11 5 4" xfId="42637" xr:uid="{00000000-0005-0000-0000-000065010000}"/>
    <cellStyle name="Remarque 2 2 11 6" xfId="8801" xr:uid="{00000000-0005-0000-0000-000066010000}"/>
    <cellStyle name="Remarque 2 2 11 6 2" xfId="32815" xr:uid="{00000000-0005-0000-0000-000067010000}"/>
    <cellStyle name="Remarque 2 2 11 6 2 2" xfId="56775" xr:uid="{00000000-0005-0000-0000-000068010000}"/>
    <cellStyle name="Remarque 2 2 11 6 3" xfId="20062" xr:uid="{00000000-0005-0000-0000-000069010000}"/>
    <cellStyle name="Remarque 2 2 11 6 4" xfId="44022" xr:uid="{00000000-0005-0000-0000-00006A010000}"/>
    <cellStyle name="Remarque 2 2 11 7" xfId="10258" xr:uid="{00000000-0005-0000-0000-00006B010000}"/>
    <cellStyle name="Remarque 2 2 11 7 2" xfId="34268" xr:uid="{00000000-0005-0000-0000-00006C010000}"/>
    <cellStyle name="Remarque 2 2 11 7 2 2" xfId="58228" xr:uid="{00000000-0005-0000-0000-00006D010000}"/>
    <cellStyle name="Remarque 2 2 11 7 3" xfId="21525" xr:uid="{00000000-0005-0000-0000-00006E010000}"/>
    <cellStyle name="Remarque 2 2 11 7 4" xfId="45485" xr:uid="{00000000-0005-0000-0000-00006F010000}"/>
    <cellStyle name="Remarque 2 2 11 8" xfId="11696" xr:uid="{00000000-0005-0000-0000-000070010000}"/>
    <cellStyle name="Remarque 2 2 11 8 2" xfId="22965" xr:uid="{00000000-0005-0000-0000-000071010000}"/>
    <cellStyle name="Remarque 2 2 11 8 3" xfId="46925" xr:uid="{00000000-0005-0000-0000-000072010000}"/>
    <cellStyle name="Remarque 2 2 11 9" xfId="1730" xr:uid="{00000000-0005-0000-0000-000073010000}"/>
    <cellStyle name="Remarque 2 2 11 9 2" xfId="25744" xr:uid="{00000000-0005-0000-0000-000074010000}"/>
    <cellStyle name="Remarque 2 2 11 9 3" xfId="49704" xr:uid="{00000000-0005-0000-0000-000075010000}"/>
    <cellStyle name="Remarque 2 2 12" xfId="1548" xr:uid="{00000000-0005-0000-0000-000076010000}"/>
    <cellStyle name="Remarque 2 2 12 10" xfId="25580" xr:uid="{00000000-0005-0000-0000-000077010000}"/>
    <cellStyle name="Remarque 2 2 12 10 2" xfId="49540" xr:uid="{00000000-0005-0000-0000-000078010000}"/>
    <cellStyle name="Remarque 2 2 12 11" xfId="35793" xr:uid="{00000000-0005-0000-0000-000079010000}"/>
    <cellStyle name="Remarque 2 2 12 11 2" xfId="59753" xr:uid="{00000000-0005-0000-0000-00007A010000}"/>
    <cellStyle name="Remarque 2 2 12 12" xfId="14245" xr:uid="{00000000-0005-0000-0000-00007B010000}"/>
    <cellStyle name="Remarque 2 2 12 13" xfId="38205" xr:uid="{00000000-0005-0000-0000-00007C010000}"/>
    <cellStyle name="Remarque 2 2 12 2" xfId="4454" xr:uid="{00000000-0005-0000-0000-00007D010000}"/>
    <cellStyle name="Remarque 2 2 12 2 2" xfId="28468" xr:uid="{00000000-0005-0000-0000-00007E010000}"/>
    <cellStyle name="Remarque 2 2 12 2 2 2" xfId="52428" xr:uid="{00000000-0005-0000-0000-00007F010000}"/>
    <cellStyle name="Remarque 2 2 12 2 3" xfId="15715" xr:uid="{00000000-0005-0000-0000-000080010000}"/>
    <cellStyle name="Remarque 2 2 12 2 4" xfId="39675" xr:uid="{00000000-0005-0000-0000-000081010000}"/>
    <cellStyle name="Remarque 2 2 12 3" xfId="5888" xr:uid="{00000000-0005-0000-0000-000082010000}"/>
    <cellStyle name="Remarque 2 2 12 3 2" xfId="29902" xr:uid="{00000000-0005-0000-0000-000083010000}"/>
    <cellStyle name="Remarque 2 2 12 3 2 2" xfId="53862" xr:uid="{00000000-0005-0000-0000-000084010000}"/>
    <cellStyle name="Remarque 2 2 12 3 3" xfId="17149" xr:uid="{00000000-0005-0000-0000-000085010000}"/>
    <cellStyle name="Remarque 2 2 12 3 4" xfId="41109" xr:uid="{00000000-0005-0000-0000-000086010000}"/>
    <cellStyle name="Remarque 2 2 12 4" xfId="7282" xr:uid="{00000000-0005-0000-0000-000087010000}"/>
    <cellStyle name="Remarque 2 2 12 4 2" xfId="31296" xr:uid="{00000000-0005-0000-0000-000088010000}"/>
    <cellStyle name="Remarque 2 2 12 4 2 2" xfId="55256" xr:uid="{00000000-0005-0000-0000-000089010000}"/>
    <cellStyle name="Remarque 2 2 12 4 3" xfId="18543" xr:uid="{00000000-0005-0000-0000-00008A010000}"/>
    <cellStyle name="Remarque 2 2 12 4 4" xfId="42503" xr:uid="{00000000-0005-0000-0000-00008B010000}"/>
    <cellStyle name="Remarque 2 2 12 5" xfId="8670" xr:uid="{00000000-0005-0000-0000-00008C010000}"/>
    <cellStyle name="Remarque 2 2 12 5 2" xfId="32684" xr:uid="{00000000-0005-0000-0000-00008D010000}"/>
    <cellStyle name="Remarque 2 2 12 5 2 2" xfId="56644" xr:uid="{00000000-0005-0000-0000-00008E010000}"/>
    <cellStyle name="Remarque 2 2 12 5 3" xfId="19931" xr:uid="{00000000-0005-0000-0000-00008F010000}"/>
    <cellStyle name="Remarque 2 2 12 5 4" xfId="43891" xr:uid="{00000000-0005-0000-0000-000090010000}"/>
    <cellStyle name="Remarque 2 2 12 6" xfId="10055" xr:uid="{00000000-0005-0000-0000-000091010000}"/>
    <cellStyle name="Remarque 2 2 12 6 2" xfId="34069" xr:uid="{00000000-0005-0000-0000-000092010000}"/>
    <cellStyle name="Remarque 2 2 12 6 2 2" xfId="58029" xr:uid="{00000000-0005-0000-0000-000093010000}"/>
    <cellStyle name="Remarque 2 2 12 6 3" xfId="21316" xr:uid="{00000000-0005-0000-0000-000094010000}"/>
    <cellStyle name="Remarque 2 2 12 6 4" xfId="45276" xr:uid="{00000000-0005-0000-0000-000095010000}"/>
    <cellStyle name="Remarque 2 2 12 7" xfId="11512" xr:uid="{00000000-0005-0000-0000-000096010000}"/>
    <cellStyle name="Remarque 2 2 12 7 2" xfId="35522" xr:uid="{00000000-0005-0000-0000-000097010000}"/>
    <cellStyle name="Remarque 2 2 12 7 2 2" xfId="59482" xr:uid="{00000000-0005-0000-0000-000098010000}"/>
    <cellStyle name="Remarque 2 2 12 7 3" xfId="22779" xr:uid="{00000000-0005-0000-0000-000099010000}"/>
    <cellStyle name="Remarque 2 2 12 7 4" xfId="46739" xr:uid="{00000000-0005-0000-0000-00009A010000}"/>
    <cellStyle name="Remarque 2 2 12 8" xfId="11726" xr:uid="{00000000-0005-0000-0000-00009B010000}"/>
    <cellStyle name="Remarque 2 2 12 8 2" xfId="22997" xr:uid="{00000000-0005-0000-0000-00009C010000}"/>
    <cellStyle name="Remarque 2 2 12 8 3" xfId="46957" xr:uid="{00000000-0005-0000-0000-00009D010000}"/>
    <cellStyle name="Remarque 2 2 12 9" xfId="2984" xr:uid="{00000000-0005-0000-0000-00009E010000}"/>
    <cellStyle name="Remarque 2 2 12 9 2" xfId="26998" xr:uid="{00000000-0005-0000-0000-00009F010000}"/>
    <cellStyle name="Remarque 2 2 12 9 3" xfId="50958" xr:uid="{00000000-0005-0000-0000-0000A0010000}"/>
    <cellStyle name="Remarque 2 2 13" xfId="3065" xr:uid="{00000000-0005-0000-0000-0000A1010000}"/>
    <cellStyle name="Remarque 2 2 13 2" xfId="27079" xr:uid="{00000000-0005-0000-0000-0000A2010000}"/>
    <cellStyle name="Remarque 2 2 13 2 2" xfId="51039" xr:uid="{00000000-0005-0000-0000-0000A3010000}"/>
    <cellStyle name="Remarque 2 2 13 3" xfId="14326" xr:uid="{00000000-0005-0000-0000-0000A4010000}"/>
    <cellStyle name="Remarque 2 2 13 4" xfId="38286" xr:uid="{00000000-0005-0000-0000-0000A5010000}"/>
    <cellStyle name="Remarque 2 2 14" xfId="1622" xr:uid="{00000000-0005-0000-0000-0000A6010000}"/>
    <cellStyle name="Remarque 2 2 14 2" xfId="25637" xr:uid="{00000000-0005-0000-0000-0000A7010000}"/>
    <cellStyle name="Remarque 2 2 14 3" xfId="49597" xr:uid="{00000000-0005-0000-0000-0000A8010000}"/>
    <cellStyle name="Remarque 2 2 15" xfId="1613" xr:uid="{00000000-0005-0000-0000-0000A9010000}"/>
    <cellStyle name="Remarque 2 2 16" xfId="159" xr:uid="{00000000-0005-0000-0000-0000AA010000}"/>
    <cellStyle name="Remarque 2 2 2" xfId="38" xr:uid="{00000000-0005-0000-0000-0000AB010000}"/>
    <cellStyle name="Remarque 2 2 2 10" xfId="322" xr:uid="{00000000-0005-0000-0000-0000AC010000}"/>
    <cellStyle name="Remarque 2 2 2 10 10" xfId="24354" xr:uid="{00000000-0005-0000-0000-0000AD010000}"/>
    <cellStyle name="Remarque 2 2 2 10 10 2" xfId="48314" xr:uid="{00000000-0005-0000-0000-0000AE010000}"/>
    <cellStyle name="Remarque 2 2 2 10 11" xfId="36435" xr:uid="{00000000-0005-0000-0000-0000AF010000}"/>
    <cellStyle name="Remarque 2 2 2 10 11 2" xfId="60395" xr:uid="{00000000-0005-0000-0000-0000B0010000}"/>
    <cellStyle name="Remarque 2 2 2 10 12" xfId="13019" xr:uid="{00000000-0005-0000-0000-0000B1010000}"/>
    <cellStyle name="Remarque 2 2 2 10 13" xfId="36979" xr:uid="{00000000-0005-0000-0000-0000B2010000}"/>
    <cellStyle name="Remarque 2 2 2 10 2" xfId="3228" xr:uid="{00000000-0005-0000-0000-0000B3010000}"/>
    <cellStyle name="Remarque 2 2 2 10 2 2" xfId="27242" xr:uid="{00000000-0005-0000-0000-0000B4010000}"/>
    <cellStyle name="Remarque 2 2 2 10 2 2 2" xfId="51202" xr:uid="{00000000-0005-0000-0000-0000B5010000}"/>
    <cellStyle name="Remarque 2 2 2 10 2 3" xfId="14489" xr:uid="{00000000-0005-0000-0000-0000B6010000}"/>
    <cellStyle name="Remarque 2 2 2 10 2 4" xfId="38449" xr:uid="{00000000-0005-0000-0000-0000B7010000}"/>
    <cellStyle name="Remarque 2 2 2 10 3" xfId="4662" xr:uid="{00000000-0005-0000-0000-0000B8010000}"/>
    <cellStyle name="Remarque 2 2 2 10 3 2" xfId="28676" xr:uid="{00000000-0005-0000-0000-0000B9010000}"/>
    <cellStyle name="Remarque 2 2 2 10 3 2 2" xfId="52636" xr:uid="{00000000-0005-0000-0000-0000BA010000}"/>
    <cellStyle name="Remarque 2 2 2 10 3 3" xfId="15923" xr:uid="{00000000-0005-0000-0000-0000BB010000}"/>
    <cellStyle name="Remarque 2 2 2 10 3 4" xfId="39883" xr:uid="{00000000-0005-0000-0000-0000BC010000}"/>
    <cellStyle name="Remarque 2 2 2 10 4" xfId="6056" xr:uid="{00000000-0005-0000-0000-0000BD010000}"/>
    <cellStyle name="Remarque 2 2 2 10 4 2" xfId="30070" xr:uid="{00000000-0005-0000-0000-0000BE010000}"/>
    <cellStyle name="Remarque 2 2 2 10 4 2 2" xfId="54030" xr:uid="{00000000-0005-0000-0000-0000BF010000}"/>
    <cellStyle name="Remarque 2 2 2 10 4 3" xfId="17317" xr:uid="{00000000-0005-0000-0000-0000C0010000}"/>
    <cellStyle name="Remarque 2 2 2 10 4 4" xfId="41277" xr:uid="{00000000-0005-0000-0000-0000C1010000}"/>
    <cellStyle name="Remarque 2 2 2 10 5" xfId="7444" xr:uid="{00000000-0005-0000-0000-0000C2010000}"/>
    <cellStyle name="Remarque 2 2 2 10 5 2" xfId="31458" xr:uid="{00000000-0005-0000-0000-0000C3010000}"/>
    <cellStyle name="Remarque 2 2 2 10 5 2 2" xfId="55418" xr:uid="{00000000-0005-0000-0000-0000C4010000}"/>
    <cellStyle name="Remarque 2 2 2 10 5 3" xfId="18705" xr:uid="{00000000-0005-0000-0000-0000C5010000}"/>
    <cellStyle name="Remarque 2 2 2 10 5 4" xfId="42665" xr:uid="{00000000-0005-0000-0000-0000C6010000}"/>
    <cellStyle name="Remarque 2 2 2 10 6" xfId="8829" xr:uid="{00000000-0005-0000-0000-0000C7010000}"/>
    <cellStyle name="Remarque 2 2 2 10 6 2" xfId="32843" xr:uid="{00000000-0005-0000-0000-0000C8010000}"/>
    <cellStyle name="Remarque 2 2 2 10 6 2 2" xfId="56803" xr:uid="{00000000-0005-0000-0000-0000C9010000}"/>
    <cellStyle name="Remarque 2 2 2 10 6 3" xfId="20090" xr:uid="{00000000-0005-0000-0000-0000CA010000}"/>
    <cellStyle name="Remarque 2 2 2 10 6 4" xfId="44050" xr:uid="{00000000-0005-0000-0000-0000CB010000}"/>
    <cellStyle name="Remarque 2 2 2 10 7" xfId="10286" xr:uid="{00000000-0005-0000-0000-0000CC010000}"/>
    <cellStyle name="Remarque 2 2 2 10 7 2" xfId="34296" xr:uid="{00000000-0005-0000-0000-0000CD010000}"/>
    <cellStyle name="Remarque 2 2 2 10 7 2 2" xfId="58256" xr:uid="{00000000-0005-0000-0000-0000CE010000}"/>
    <cellStyle name="Remarque 2 2 2 10 7 3" xfId="21553" xr:uid="{00000000-0005-0000-0000-0000CF010000}"/>
    <cellStyle name="Remarque 2 2 2 10 7 4" xfId="45513" xr:uid="{00000000-0005-0000-0000-0000D0010000}"/>
    <cellStyle name="Remarque 2 2 2 10 8" xfId="11791" xr:uid="{00000000-0005-0000-0000-0000D1010000}"/>
    <cellStyle name="Remarque 2 2 2 10 8 2" xfId="23065" xr:uid="{00000000-0005-0000-0000-0000D2010000}"/>
    <cellStyle name="Remarque 2 2 2 10 8 3" xfId="47025" xr:uid="{00000000-0005-0000-0000-0000D3010000}"/>
    <cellStyle name="Remarque 2 2 2 10 9" xfId="1758" xr:uid="{00000000-0005-0000-0000-0000D4010000}"/>
    <cellStyle name="Remarque 2 2 2 10 9 2" xfId="25772" xr:uid="{00000000-0005-0000-0000-0000D5010000}"/>
    <cellStyle name="Remarque 2 2 2 10 9 3" xfId="49732" xr:uid="{00000000-0005-0000-0000-0000D6010000}"/>
    <cellStyle name="Remarque 2 2 2 11" xfId="1553" xr:uid="{00000000-0005-0000-0000-0000D7010000}"/>
    <cellStyle name="Remarque 2 2 2 11 10" xfId="25585" xr:uid="{00000000-0005-0000-0000-0000D8010000}"/>
    <cellStyle name="Remarque 2 2 2 11 10 2" xfId="49545" xr:uid="{00000000-0005-0000-0000-0000D9010000}"/>
    <cellStyle name="Remarque 2 2 2 11 11" xfId="23905" xr:uid="{00000000-0005-0000-0000-0000DA010000}"/>
    <cellStyle name="Remarque 2 2 2 11 11 2" xfId="47865" xr:uid="{00000000-0005-0000-0000-0000DB010000}"/>
    <cellStyle name="Remarque 2 2 2 11 12" xfId="14250" xr:uid="{00000000-0005-0000-0000-0000DC010000}"/>
    <cellStyle name="Remarque 2 2 2 11 13" xfId="38210" xr:uid="{00000000-0005-0000-0000-0000DD010000}"/>
    <cellStyle name="Remarque 2 2 2 11 2" xfId="4459" xr:uid="{00000000-0005-0000-0000-0000DE010000}"/>
    <cellStyle name="Remarque 2 2 2 11 2 2" xfId="28473" xr:uid="{00000000-0005-0000-0000-0000DF010000}"/>
    <cellStyle name="Remarque 2 2 2 11 2 2 2" xfId="52433" xr:uid="{00000000-0005-0000-0000-0000E0010000}"/>
    <cellStyle name="Remarque 2 2 2 11 2 3" xfId="15720" xr:uid="{00000000-0005-0000-0000-0000E1010000}"/>
    <cellStyle name="Remarque 2 2 2 11 2 4" xfId="39680" xr:uid="{00000000-0005-0000-0000-0000E2010000}"/>
    <cellStyle name="Remarque 2 2 2 11 3" xfId="5893" xr:uid="{00000000-0005-0000-0000-0000E3010000}"/>
    <cellStyle name="Remarque 2 2 2 11 3 2" xfId="29907" xr:uid="{00000000-0005-0000-0000-0000E4010000}"/>
    <cellStyle name="Remarque 2 2 2 11 3 2 2" xfId="53867" xr:uid="{00000000-0005-0000-0000-0000E5010000}"/>
    <cellStyle name="Remarque 2 2 2 11 3 3" xfId="17154" xr:uid="{00000000-0005-0000-0000-0000E6010000}"/>
    <cellStyle name="Remarque 2 2 2 11 3 4" xfId="41114" xr:uid="{00000000-0005-0000-0000-0000E7010000}"/>
    <cellStyle name="Remarque 2 2 2 11 4" xfId="7287" xr:uid="{00000000-0005-0000-0000-0000E8010000}"/>
    <cellStyle name="Remarque 2 2 2 11 4 2" xfId="31301" xr:uid="{00000000-0005-0000-0000-0000E9010000}"/>
    <cellStyle name="Remarque 2 2 2 11 4 2 2" xfId="55261" xr:uid="{00000000-0005-0000-0000-0000EA010000}"/>
    <cellStyle name="Remarque 2 2 2 11 4 3" xfId="18548" xr:uid="{00000000-0005-0000-0000-0000EB010000}"/>
    <cellStyle name="Remarque 2 2 2 11 4 4" xfId="42508" xr:uid="{00000000-0005-0000-0000-0000EC010000}"/>
    <cellStyle name="Remarque 2 2 2 11 5" xfId="8675" xr:uid="{00000000-0005-0000-0000-0000ED010000}"/>
    <cellStyle name="Remarque 2 2 2 11 5 2" xfId="32689" xr:uid="{00000000-0005-0000-0000-0000EE010000}"/>
    <cellStyle name="Remarque 2 2 2 11 5 2 2" xfId="56649" xr:uid="{00000000-0005-0000-0000-0000EF010000}"/>
    <cellStyle name="Remarque 2 2 2 11 5 3" xfId="19936" xr:uid="{00000000-0005-0000-0000-0000F0010000}"/>
    <cellStyle name="Remarque 2 2 2 11 5 4" xfId="43896" xr:uid="{00000000-0005-0000-0000-0000F1010000}"/>
    <cellStyle name="Remarque 2 2 2 11 6" xfId="10060" xr:uid="{00000000-0005-0000-0000-0000F2010000}"/>
    <cellStyle name="Remarque 2 2 2 11 6 2" xfId="34074" xr:uid="{00000000-0005-0000-0000-0000F3010000}"/>
    <cellStyle name="Remarque 2 2 2 11 6 2 2" xfId="58034" xr:uid="{00000000-0005-0000-0000-0000F4010000}"/>
    <cellStyle name="Remarque 2 2 2 11 6 3" xfId="21321" xr:uid="{00000000-0005-0000-0000-0000F5010000}"/>
    <cellStyle name="Remarque 2 2 2 11 6 4" xfId="45281" xr:uid="{00000000-0005-0000-0000-0000F6010000}"/>
    <cellStyle name="Remarque 2 2 2 11 7" xfId="11517" xr:uid="{00000000-0005-0000-0000-0000F7010000}"/>
    <cellStyle name="Remarque 2 2 2 11 7 2" xfId="35527" xr:uid="{00000000-0005-0000-0000-0000F8010000}"/>
    <cellStyle name="Remarque 2 2 2 11 7 2 2" xfId="59487" xr:uid="{00000000-0005-0000-0000-0000F9010000}"/>
    <cellStyle name="Remarque 2 2 2 11 7 3" xfId="22784" xr:uid="{00000000-0005-0000-0000-0000FA010000}"/>
    <cellStyle name="Remarque 2 2 2 11 7 4" xfId="46744" xr:uid="{00000000-0005-0000-0000-0000FB010000}"/>
    <cellStyle name="Remarque 2 2 2 11 8" xfId="12110" xr:uid="{00000000-0005-0000-0000-0000FC010000}"/>
    <cellStyle name="Remarque 2 2 2 11 8 2" xfId="23393" xr:uid="{00000000-0005-0000-0000-0000FD010000}"/>
    <cellStyle name="Remarque 2 2 2 11 8 3" xfId="47353" xr:uid="{00000000-0005-0000-0000-0000FE010000}"/>
    <cellStyle name="Remarque 2 2 2 11 9" xfId="2989" xr:uid="{00000000-0005-0000-0000-0000FF010000}"/>
    <cellStyle name="Remarque 2 2 2 11 9 2" xfId="27003" xr:uid="{00000000-0005-0000-0000-000000020000}"/>
    <cellStyle name="Remarque 2 2 2 11 9 3" xfId="50963" xr:uid="{00000000-0005-0000-0000-000001020000}"/>
    <cellStyle name="Remarque 2 2 2 12" xfId="3070" xr:uid="{00000000-0005-0000-0000-000002020000}"/>
    <cellStyle name="Remarque 2 2 2 12 2" xfId="27084" xr:uid="{00000000-0005-0000-0000-000003020000}"/>
    <cellStyle name="Remarque 2 2 2 12 2 2" xfId="51044" xr:uid="{00000000-0005-0000-0000-000004020000}"/>
    <cellStyle name="Remarque 2 2 2 12 3" xfId="14331" xr:uid="{00000000-0005-0000-0000-000005020000}"/>
    <cellStyle name="Remarque 2 2 2 12 4" xfId="38291" xr:uid="{00000000-0005-0000-0000-000006020000}"/>
    <cellStyle name="Remarque 2 2 2 13" xfId="1627" xr:uid="{00000000-0005-0000-0000-000007020000}"/>
    <cellStyle name="Remarque 2 2 2 13 2" xfId="25642" xr:uid="{00000000-0005-0000-0000-000008020000}"/>
    <cellStyle name="Remarque 2 2 2 13 3" xfId="49602" xr:uid="{00000000-0005-0000-0000-000009020000}"/>
    <cellStyle name="Remarque 2 2 2 14" xfId="1603" xr:uid="{00000000-0005-0000-0000-00000A020000}"/>
    <cellStyle name="Remarque 2 2 2 15" xfId="164" xr:uid="{00000000-0005-0000-0000-00000B020000}"/>
    <cellStyle name="Remarque 2 2 2 2" xfId="61" xr:uid="{00000000-0005-0000-0000-00000C020000}"/>
    <cellStyle name="Remarque 2 2 2 2 10" xfId="1205" xr:uid="{00000000-0005-0000-0000-00000D020000}"/>
    <cellStyle name="Remarque 2 2 2 2 10 10" xfId="25237" xr:uid="{00000000-0005-0000-0000-00000E020000}"/>
    <cellStyle name="Remarque 2 2 2 2 10 10 2" xfId="49197" xr:uid="{00000000-0005-0000-0000-00000F020000}"/>
    <cellStyle name="Remarque 2 2 2 2 10 11" xfId="35828" xr:uid="{00000000-0005-0000-0000-000010020000}"/>
    <cellStyle name="Remarque 2 2 2 2 10 11 2" xfId="59788" xr:uid="{00000000-0005-0000-0000-000011020000}"/>
    <cellStyle name="Remarque 2 2 2 2 10 12" xfId="13902" xr:uid="{00000000-0005-0000-0000-000012020000}"/>
    <cellStyle name="Remarque 2 2 2 2 10 13" xfId="37862" xr:uid="{00000000-0005-0000-0000-000013020000}"/>
    <cellStyle name="Remarque 2 2 2 2 10 2" xfId="4111" xr:uid="{00000000-0005-0000-0000-000014020000}"/>
    <cellStyle name="Remarque 2 2 2 2 10 2 2" xfId="28125" xr:uid="{00000000-0005-0000-0000-000015020000}"/>
    <cellStyle name="Remarque 2 2 2 2 10 2 2 2" xfId="52085" xr:uid="{00000000-0005-0000-0000-000016020000}"/>
    <cellStyle name="Remarque 2 2 2 2 10 2 3" xfId="15372" xr:uid="{00000000-0005-0000-0000-000017020000}"/>
    <cellStyle name="Remarque 2 2 2 2 10 2 4" xfId="39332" xr:uid="{00000000-0005-0000-0000-000018020000}"/>
    <cellStyle name="Remarque 2 2 2 2 10 3" xfId="5545" xr:uid="{00000000-0005-0000-0000-000019020000}"/>
    <cellStyle name="Remarque 2 2 2 2 10 3 2" xfId="29559" xr:uid="{00000000-0005-0000-0000-00001A020000}"/>
    <cellStyle name="Remarque 2 2 2 2 10 3 2 2" xfId="53519" xr:uid="{00000000-0005-0000-0000-00001B020000}"/>
    <cellStyle name="Remarque 2 2 2 2 10 3 3" xfId="16806" xr:uid="{00000000-0005-0000-0000-00001C020000}"/>
    <cellStyle name="Remarque 2 2 2 2 10 3 4" xfId="40766" xr:uid="{00000000-0005-0000-0000-00001D020000}"/>
    <cellStyle name="Remarque 2 2 2 2 10 4" xfId="6939" xr:uid="{00000000-0005-0000-0000-00001E020000}"/>
    <cellStyle name="Remarque 2 2 2 2 10 4 2" xfId="30953" xr:uid="{00000000-0005-0000-0000-00001F020000}"/>
    <cellStyle name="Remarque 2 2 2 2 10 4 2 2" xfId="54913" xr:uid="{00000000-0005-0000-0000-000020020000}"/>
    <cellStyle name="Remarque 2 2 2 2 10 4 3" xfId="18200" xr:uid="{00000000-0005-0000-0000-000021020000}"/>
    <cellStyle name="Remarque 2 2 2 2 10 4 4" xfId="42160" xr:uid="{00000000-0005-0000-0000-000022020000}"/>
    <cellStyle name="Remarque 2 2 2 2 10 5" xfId="8327" xr:uid="{00000000-0005-0000-0000-000023020000}"/>
    <cellStyle name="Remarque 2 2 2 2 10 5 2" xfId="32341" xr:uid="{00000000-0005-0000-0000-000024020000}"/>
    <cellStyle name="Remarque 2 2 2 2 10 5 2 2" xfId="56301" xr:uid="{00000000-0005-0000-0000-000025020000}"/>
    <cellStyle name="Remarque 2 2 2 2 10 5 3" xfId="19588" xr:uid="{00000000-0005-0000-0000-000026020000}"/>
    <cellStyle name="Remarque 2 2 2 2 10 5 4" xfId="43548" xr:uid="{00000000-0005-0000-0000-000027020000}"/>
    <cellStyle name="Remarque 2 2 2 2 10 6" xfId="9712" xr:uid="{00000000-0005-0000-0000-000028020000}"/>
    <cellStyle name="Remarque 2 2 2 2 10 6 2" xfId="33726" xr:uid="{00000000-0005-0000-0000-000029020000}"/>
    <cellStyle name="Remarque 2 2 2 2 10 6 2 2" xfId="57686" xr:uid="{00000000-0005-0000-0000-00002A020000}"/>
    <cellStyle name="Remarque 2 2 2 2 10 6 3" xfId="20973" xr:uid="{00000000-0005-0000-0000-00002B020000}"/>
    <cellStyle name="Remarque 2 2 2 2 10 6 4" xfId="44933" xr:uid="{00000000-0005-0000-0000-00002C020000}"/>
    <cellStyle name="Remarque 2 2 2 2 10 7" xfId="11169" xr:uid="{00000000-0005-0000-0000-00002D020000}"/>
    <cellStyle name="Remarque 2 2 2 2 10 7 2" xfId="35179" xr:uid="{00000000-0005-0000-0000-00002E020000}"/>
    <cellStyle name="Remarque 2 2 2 2 10 7 2 2" xfId="59139" xr:uid="{00000000-0005-0000-0000-00002F020000}"/>
    <cellStyle name="Remarque 2 2 2 2 10 7 3" xfId="22436" xr:uid="{00000000-0005-0000-0000-000030020000}"/>
    <cellStyle name="Remarque 2 2 2 2 10 7 4" xfId="46396" xr:uid="{00000000-0005-0000-0000-000031020000}"/>
    <cellStyle name="Remarque 2 2 2 2 10 8" xfId="12825" xr:uid="{00000000-0005-0000-0000-000032020000}"/>
    <cellStyle name="Remarque 2 2 2 2 10 8 2" xfId="24136" xr:uid="{00000000-0005-0000-0000-000033020000}"/>
    <cellStyle name="Remarque 2 2 2 2 10 8 3" xfId="48096" xr:uid="{00000000-0005-0000-0000-000034020000}"/>
    <cellStyle name="Remarque 2 2 2 2 10 9" xfId="2641" xr:uid="{00000000-0005-0000-0000-000035020000}"/>
    <cellStyle name="Remarque 2 2 2 2 10 9 2" xfId="26655" xr:uid="{00000000-0005-0000-0000-000036020000}"/>
    <cellStyle name="Remarque 2 2 2 2 10 9 3" xfId="50615" xr:uid="{00000000-0005-0000-0000-000037020000}"/>
    <cellStyle name="Remarque 2 2 2 2 11" xfId="284" xr:uid="{00000000-0005-0000-0000-000038020000}"/>
    <cellStyle name="Remarque 2 2 2 2 11 10" xfId="24316" xr:uid="{00000000-0005-0000-0000-000039020000}"/>
    <cellStyle name="Remarque 2 2 2 2 11 10 2" xfId="48276" xr:uid="{00000000-0005-0000-0000-00003A020000}"/>
    <cellStyle name="Remarque 2 2 2 2 11 11" xfId="35791" xr:uid="{00000000-0005-0000-0000-00003B020000}"/>
    <cellStyle name="Remarque 2 2 2 2 11 11 2" xfId="59751" xr:uid="{00000000-0005-0000-0000-00003C020000}"/>
    <cellStyle name="Remarque 2 2 2 2 11 12" xfId="12981" xr:uid="{00000000-0005-0000-0000-00003D020000}"/>
    <cellStyle name="Remarque 2 2 2 2 11 13" xfId="36941" xr:uid="{00000000-0005-0000-0000-00003E020000}"/>
    <cellStyle name="Remarque 2 2 2 2 11 2" xfId="3190" xr:uid="{00000000-0005-0000-0000-00003F020000}"/>
    <cellStyle name="Remarque 2 2 2 2 11 2 2" xfId="27204" xr:uid="{00000000-0005-0000-0000-000040020000}"/>
    <cellStyle name="Remarque 2 2 2 2 11 2 2 2" xfId="51164" xr:uid="{00000000-0005-0000-0000-000041020000}"/>
    <cellStyle name="Remarque 2 2 2 2 11 2 3" xfId="14451" xr:uid="{00000000-0005-0000-0000-000042020000}"/>
    <cellStyle name="Remarque 2 2 2 2 11 2 4" xfId="38411" xr:uid="{00000000-0005-0000-0000-000043020000}"/>
    <cellStyle name="Remarque 2 2 2 2 11 3" xfId="4624" xr:uid="{00000000-0005-0000-0000-000044020000}"/>
    <cellStyle name="Remarque 2 2 2 2 11 3 2" xfId="28638" xr:uid="{00000000-0005-0000-0000-000045020000}"/>
    <cellStyle name="Remarque 2 2 2 2 11 3 2 2" xfId="52598" xr:uid="{00000000-0005-0000-0000-000046020000}"/>
    <cellStyle name="Remarque 2 2 2 2 11 3 3" xfId="15885" xr:uid="{00000000-0005-0000-0000-000047020000}"/>
    <cellStyle name="Remarque 2 2 2 2 11 3 4" xfId="39845" xr:uid="{00000000-0005-0000-0000-000048020000}"/>
    <cellStyle name="Remarque 2 2 2 2 11 4" xfId="6018" xr:uid="{00000000-0005-0000-0000-000049020000}"/>
    <cellStyle name="Remarque 2 2 2 2 11 4 2" xfId="30032" xr:uid="{00000000-0005-0000-0000-00004A020000}"/>
    <cellStyle name="Remarque 2 2 2 2 11 4 2 2" xfId="53992" xr:uid="{00000000-0005-0000-0000-00004B020000}"/>
    <cellStyle name="Remarque 2 2 2 2 11 4 3" xfId="17279" xr:uid="{00000000-0005-0000-0000-00004C020000}"/>
    <cellStyle name="Remarque 2 2 2 2 11 4 4" xfId="41239" xr:uid="{00000000-0005-0000-0000-00004D020000}"/>
    <cellStyle name="Remarque 2 2 2 2 11 5" xfId="7406" xr:uid="{00000000-0005-0000-0000-00004E020000}"/>
    <cellStyle name="Remarque 2 2 2 2 11 5 2" xfId="31420" xr:uid="{00000000-0005-0000-0000-00004F020000}"/>
    <cellStyle name="Remarque 2 2 2 2 11 5 2 2" xfId="55380" xr:uid="{00000000-0005-0000-0000-000050020000}"/>
    <cellStyle name="Remarque 2 2 2 2 11 5 3" xfId="18667" xr:uid="{00000000-0005-0000-0000-000051020000}"/>
    <cellStyle name="Remarque 2 2 2 2 11 5 4" xfId="42627" xr:uid="{00000000-0005-0000-0000-000052020000}"/>
    <cellStyle name="Remarque 2 2 2 2 11 6" xfId="8791" xr:uid="{00000000-0005-0000-0000-000053020000}"/>
    <cellStyle name="Remarque 2 2 2 2 11 6 2" xfId="32805" xr:uid="{00000000-0005-0000-0000-000054020000}"/>
    <cellStyle name="Remarque 2 2 2 2 11 6 2 2" xfId="56765" xr:uid="{00000000-0005-0000-0000-000055020000}"/>
    <cellStyle name="Remarque 2 2 2 2 11 6 3" xfId="20052" xr:uid="{00000000-0005-0000-0000-000056020000}"/>
    <cellStyle name="Remarque 2 2 2 2 11 6 4" xfId="44012" xr:uid="{00000000-0005-0000-0000-000057020000}"/>
    <cellStyle name="Remarque 2 2 2 2 11 7" xfId="10248" xr:uid="{00000000-0005-0000-0000-000058020000}"/>
    <cellStyle name="Remarque 2 2 2 2 11 7 2" xfId="34258" xr:uid="{00000000-0005-0000-0000-000059020000}"/>
    <cellStyle name="Remarque 2 2 2 2 11 7 2 2" xfId="58218" xr:uid="{00000000-0005-0000-0000-00005A020000}"/>
    <cellStyle name="Remarque 2 2 2 2 11 7 3" xfId="21515" xr:uid="{00000000-0005-0000-0000-00005B020000}"/>
    <cellStyle name="Remarque 2 2 2 2 11 7 4" xfId="45475" xr:uid="{00000000-0005-0000-0000-00005C020000}"/>
    <cellStyle name="Remarque 2 2 2 2 11 8" xfId="12507" xr:uid="{00000000-0005-0000-0000-00005D020000}"/>
    <cellStyle name="Remarque 2 2 2 2 11 8 2" xfId="23804" xr:uid="{00000000-0005-0000-0000-00005E020000}"/>
    <cellStyle name="Remarque 2 2 2 2 11 8 3" xfId="47764" xr:uid="{00000000-0005-0000-0000-00005F020000}"/>
    <cellStyle name="Remarque 2 2 2 2 11 9" xfId="1720" xr:uid="{00000000-0005-0000-0000-000060020000}"/>
    <cellStyle name="Remarque 2 2 2 2 11 9 2" xfId="25734" xr:uid="{00000000-0005-0000-0000-000061020000}"/>
    <cellStyle name="Remarque 2 2 2 2 11 9 3" xfId="49694" xr:uid="{00000000-0005-0000-0000-000062020000}"/>
    <cellStyle name="Remarque 2 2 2 2 12" xfId="1566" xr:uid="{00000000-0005-0000-0000-000063020000}"/>
    <cellStyle name="Remarque 2 2 2 2 12 10" xfId="25598" xr:uid="{00000000-0005-0000-0000-000064020000}"/>
    <cellStyle name="Remarque 2 2 2 2 12 10 2" xfId="49558" xr:uid="{00000000-0005-0000-0000-000065020000}"/>
    <cellStyle name="Remarque 2 2 2 2 12 11" xfId="23563" xr:uid="{00000000-0005-0000-0000-000066020000}"/>
    <cellStyle name="Remarque 2 2 2 2 12 11 2" xfId="47523" xr:uid="{00000000-0005-0000-0000-000067020000}"/>
    <cellStyle name="Remarque 2 2 2 2 12 12" xfId="14263" xr:uid="{00000000-0005-0000-0000-000068020000}"/>
    <cellStyle name="Remarque 2 2 2 2 12 13" xfId="38223" xr:uid="{00000000-0005-0000-0000-000069020000}"/>
    <cellStyle name="Remarque 2 2 2 2 12 2" xfId="4472" xr:uid="{00000000-0005-0000-0000-00006A020000}"/>
    <cellStyle name="Remarque 2 2 2 2 12 2 2" xfId="28486" xr:uid="{00000000-0005-0000-0000-00006B020000}"/>
    <cellStyle name="Remarque 2 2 2 2 12 2 2 2" xfId="52446" xr:uid="{00000000-0005-0000-0000-00006C020000}"/>
    <cellStyle name="Remarque 2 2 2 2 12 2 3" xfId="15733" xr:uid="{00000000-0005-0000-0000-00006D020000}"/>
    <cellStyle name="Remarque 2 2 2 2 12 2 4" xfId="39693" xr:uid="{00000000-0005-0000-0000-00006E020000}"/>
    <cellStyle name="Remarque 2 2 2 2 12 3" xfId="5906" xr:uid="{00000000-0005-0000-0000-00006F020000}"/>
    <cellStyle name="Remarque 2 2 2 2 12 3 2" xfId="29920" xr:uid="{00000000-0005-0000-0000-000070020000}"/>
    <cellStyle name="Remarque 2 2 2 2 12 3 2 2" xfId="53880" xr:uid="{00000000-0005-0000-0000-000071020000}"/>
    <cellStyle name="Remarque 2 2 2 2 12 3 3" xfId="17167" xr:uid="{00000000-0005-0000-0000-000072020000}"/>
    <cellStyle name="Remarque 2 2 2 2 12 3 4" xfId="41127" xr:uid="{00000000-0005-0000-0000-000073020000}"/>
    <cellStyle name="Remarque 2 2 2 2 12 4" xfId="7300" xr:uid="{00000000-0005-0000-0000-000074020000}"/>
    <cellStyle name="Remarque 2 2 2 2 12 4 2" xfId="31314" xr:uid="{00000000-0005-0000-0000-000075020000}"/>
    <cellStyle name="Remarque 2 2 2 2 12 4 2 2" xfId="55274" xr:uid="{00000000-0005-0000-0000-000076020000}"/>
    <cellStyle name="Remarque 2 2 2 2 12 4 3" xfId="18561" xr:uid="{00000000-0005-0000-0000-000077020000}"/>
    <cellStyle name="Remarque 2 2 2 2 12 4 4" xfId="42521" xr:uid="{00000000-0005-0000-0000-000078020000}"/>
    <cellStyle name="Remarque 2 2 2 2 12 5" xfId="8688" xr:uid="{00000000-0005-0000-0000-000079020000}"/>
    <cellStyle name="Remarque 2 2 2 2 12 5 2" xfId="32702" xr:uid="{00000000-0005-0000-0000-00007A020000}"/>
    <cellStyle name="Remarque 2 2 2 2 12 5 2 2" xfId="56662" xr:uid="{00000000-0005-0000-0000-00007B020000}"/>
    <cellStyle name="Remarque 2 2 2 2 12 5 3" xfId="19949" xr:uid="{00000000-0005-0000-0000-00007C020000}"/>
    <cellStyle name="Remarque 2 2 2 2 12 5 4" xfId="43909" xr:uid="{00000000-0005-0000-0000-00007D020000}"/>
    <cellStyle name="Remarque 2 2 2 2 12 6" xfId="10073" xr:uid="{00000000-0005-0000-0000-00007E020000}"/>
    <cellStyle name="Remarque 2 2 2 2 12 6 2" xfId="34087" xr:uid="{00000000-0005-0000-0000-00007F020000}"/>
    <cellStyle name="Remarque 2 2 2 2 12 6 2 2" xfId="58047" xr:uid="{00000000-0005-0000-0000-000080020000}"/>
    <cellStyle name="Remarque 2 2 2 2 12 6 3" xfId="21334" xr:uid="{00000000-0005-0000-0000-000081020000}"/>
    <cellStyle name="Remarque 2 2 2 2 12 6 4" xfId="45294" xr:uid="{00000000-0005-0000-0000-000082020000}"/>
    <cellStyle name="Remarque 2 2 2 2 12 7" xfId="11530" xr:uid="{00000000-0005-0000-0000-000083020000}"/>
    <cellStyle name="Remarque 2 2 2 2 12 7 2" xfId="35540" xr:uid="{00000000-0005-0000-0000-000084020000}"/>
    <cellStyle name="Remarque 2 2 2 2 12 7 2 2" xfId="59500" xr:uid="{00000000-0005-0000-0000-000085020000}"/>
    <cellStyle name="Remarque 2 2 2 2 12 7 3" xfId="22797" xr:uid="{00000000-0005-0000-0000-000086020000}"/>
    <cellStyle name="Remarque 2 2 2 2 12 7 4" xfId="46757" xr:uid="{00000000-0005-0000-0000-000087020000}"/>
    <cellStyle name="Remarque 2 2 2 2 12 8" xfId="12529" xr:uid="{00000000-0005-0000-0000-000088020000}"/>
    <cellStyle name="Remarque 2 2 2 2 12 8 2" xfId="23826" xr:uid="{00000000-0005-0000-0000-000089020000}"/>
    <cellStyle name="Remarque 2 2 2 2 12 8 3" xfId="47786" xr:uid="{00000000-0005-0000-0000-00008A020000}"/>
    <cellStyle name="Remarque 2 2 2 2 12 9" xfId="3002" xr:uid="{00000000-0005-0000-0000-00008B020000}"/>
    <cellStyle name="Remarque 2 2 2 2 12 9 2" xfId="27016" xr:uid="{00000000-0005-0000-0000-00008C020000}"/>
    <cellStyle name="Remarque 2 2 2 2 12 9 3" xfId="50976" xr:uid="{00000000-0005-0000-0000-00008D020000}"/>
    <cellStyle name="Remarque 2 2 2 2 13" xfId="209" xr:uid="{00000000-0005-0000-0000-00008E020000}"/>
    <cellStyle name="Remarque 2 2 2 2 13 10" xfId="36086" xr:uid="{00000000-0005-0000-0000-00008F020000}"/>
    <cellStyle name="Remarque 2 2 2 2 13 10 2" xfId="60046" xr:uid="{00000000-0005-0000-0000-000090020000}"/>
    <cellStyle name="Remarque 2 2 2 2 13 11" xfId="14376" xr:uid="{00000000-0005-0000-0000-000091020000}"/>
    <cellStyle name="Remarque 2 2 2 2 13 12" xfId="38336" xr:uid="{00000000-0005-0000-0000-000092020000}"/>
    <cellStyle name="Remarque 2 2 2 2 13 2" xfId="4554" xr:uid="{00000000-0005-0000-0000-000093020000}"/>
    <cellStyle name="Remarque 2 2 2 2 13 2 2" xfId="28568" xr:uid="{00000000-0005-0000-0000-000094020000}"/>
    <cellStyle name="Remarque 2 2 2 2 13 2 2 2" xfId="52528" xr:uid="{00000000-0005-0000-0000-000095020000}"/>
    <cellStyle name="Remarque 2 2 2 2 13 2 3" xfId="15815" xr:uid="{00000000-0005-0000-0000-000096020000}"/>
    <cellStyle name="Remarque 2 2 2 2 13 2 4" xfId="39775" xr:uid="{00000000-0005-0000-0000-000097020000}"/>
    <cellStyle name="Remarque 2 2 2 2 13 3" xfId="5953" xr:uid="{00000000-0005-0000-0000-000098020000}"/>
    <cellStyle name="Remarque 2 2 2 2 13 3 2" xfId="29967" xr:uid="{00000000-0005-0000-0000-000099020000}"/>
    <cellStyle name="Remarque 2 2 2 2 13 3 2 2" xfId="53927" xr:uid="{00000000-0005-0000-0000-00009A020000}"/>
    <cellStyle name="Remarque 2 2 2 2 13 3 3" xfId="17214" xr:uid="{00000000-0005-0000-0000-00009B020000}"/>
    <cellStyle name="Remarque 2 2 2 2 13 3 4" xfId="41174" xr:uid="{00000000-0005-0000-0000-00009C020000}"/>
    <cellStyle name="Remarque 2 2 2 2 13 4" xfId="7347" xr:uid="{00000000-0005-0000-0000-00009D020000}"/>
    <cellStyle name="Remarque 2 2 2 2 13 4 2" xfId="31361" xr:uid="{00000000-0005-0000-0000-00009E020000}"/>
    <cellStyle name="Remarque 2 2 2 2 13 4 2 2" xfId="55321" xr:uid="{00000000-0005-0000-0000-00009F020000}"/>
    <cellStyle name="Remarque 2 2 2 2 13 4 3" xfId="18608" xr:uid="{00000000-0005-0000-0000-0000A0020000}"/>
    <cellStyle name="Remarque 2 2 2 2 13 4 4" xfId="42568" xr:uid="{00000000-0005-0000-0000-0000A1020000}"/>
    <cellStyle name="Remarque 2 2 2 2 13 5" xfId="8735" xr:uid="{00000000-0005-0000-0000-0000A2020000}"/>
    <cellStyle name="Remarque 2 2 2 2 13 5 2" xfId="32749" xr:uid="{00000000-0005-0000-0000-0000A3020000}"/>
    <cellStyle name="Remarque 2 2 2 2 13 5 2 2" xfId="56709" xr:uid="{00000000-0005-0000-0000-0000A4020000}"/>
    <cellStyle name="Remarque 2 2 2 2 13 5 3" xfId="19996" xr:uid="{00000000-0005-0000-0000-0000A5020000}"/>
    <cellStyle name="Remarque 2 2 2 2 13 5 4" xfId="43956" xr:uid="{00000000-0005-0000-0000-0000A6020000}"/>
    <cellStyle name="Remarque 2 2 2 2 13 6" xfId="10175" xr:uid="{00000000-0005-0000-0000-0000A7020000}"/>
    <cellStyle name="Remarque 2 2 2 2 13 6 2" xfId="34187" xr:uid="{00000000-0005-0000-0000-0000A8020000}"/>
    <cellStyle name="Remarque 2 2 2 2 13 6 2 2" xfId="58147" xr:uid="{00000000-0005-0000-0000-0000A9020000}"/>
    <cellStyle name="Remarque 2 2 2 2 13 6 3" xfId="21440" xr:uid="{00000000-0005-0000-0000-0000AA020000}"/>
    <cellStyle name="Remarque 2 2 2 2 13 6 4" xfId="45400" xr:uid="{00000000-0005-0000-0000-0000AB020000}"/>
    <cellStyle name="Remarque 2 2 2 2 13 7" xfId="12320" xr:uid="{00000000-0005-0000-0000-0000AC020000}"/>
    <cellStyle name="Remarque 2 2 2 2 13 7 2" xfId="23608" xr:uid="{00000000-0005-0000-0000-0000AD020000}"/>
    <cellStyle name="Remarque 2 2 2 2 13 7 3" xfId="47568" xr:uid="{00000000-0005-0000-0000-0000AE020000}"/>
    <cellStyle name="Remarque 2 2 2 2 13 8" xfId="3115" xr:uid="{00000000-0005-0000-0000-0000AF020000}"/>
    <cellStyle name="Remarque 2 2 2 2 13 8 2" xfId="27129" xr:uid="{00000000-0005-0000-0000-0000B0020000}"/>
    <cellStyle name="Remarque 2 2 2 2 13 8 3" xfId="51089" xr:uid="{00000000-0005-0000-0000-0000B1020000}"/>
    <cellStyle name="Remarque 2 2 2 2 13 9" xfId="24241" xr:uid="{00000000-0005-0000-0000-0000B2020000}"/>
    <cellStyle name="Remarque 2 2 2 2 13 9 2" xfId="48201" xr:uid="{00000000-0005-0000-0000-0000B3020000}"/>
    <cellStyle name="Remarque 2 2 2 2 14" xfId="3083" xr:uid="{00000000-0005-0000-0000-0000B4020000}"/>
    <cellStyle name="Remarque 2 2 2 2 14 2" xfId="27097" xr:uid="{00000000-0005-0000-0000-0000B5020000}"/>
    <cellStyle name="Remarque 2 2 2 2 14 2 2" xfId="51057" xr:uid="{00000000-0005-0000-0000-0000B6020000}"/>
    <cellStyle name="Remarque 2 2 2 2 14 3" xfId="14344" xr:uid="{00000000-0005-0000-0000-0000B7020000}"/>
    <cellStyle name="Remarque 2 2 2 2 14 4" xfId="38304" xr:uid="{00000000-0005-0000-0000-0000B8020000}"/>
    <cellStyle name="Remarque 2 2 2 2 15" xfId="1641" xr:uid="{00000000-0005-0000-0000-0000B9020000}"/>
    <cellStyle name="Remarque 2 2 2 2 15 2" xfId="25655" xr:uid="{00000000-0005-0000-0000-0000BA020000}"/>
    <cellStyle name="Remarque 2 2 2 2 15 3" xfId="49615" xr:uid="{00000000-0005-0000-0000-0000BB020000}"/>
    <cellStyle name="Remarque 2 2 2 2 16" xfId="12921" xr:uid="{00000000-0005-0000-0000-0000BC020000}"/>
    <cellStyle name="Remarque 2 2 2 2 17" xfId="36862" xr:uid="{00000000-0005-0000-0000-0000BD020000}"/>
    <cellStyle name="Remarque 2 2 2 2 18" xfId="177" xr:uid="{00000000-0005-0000-0000-0000BE020000}"/>
    <cellStyle name="Remarque 2 2 2 2 2" xfId="75" xr:uid="{00000000-0005-0000-0000-0000BF020000}"/>
    <cellStyle name="Remarque 2 2 2 2 2 10" xfId="1369" xr:uid="{00000000-0005-0000-0000-0000C0020000}"/>
    <cellStyle name="Remarque 2 2 2 2 2 10 10" xfId="25401" xr:uid="{00000000-0005-0000-0000-0000C1020000}"/>
    <cellStyle name="Remarque 2 2 2 2 2 10 10 2" xfId="49361" xr:uid="{00000000-0005-0000-0000-0000C2020000}"/>
    <cellStyle name="Remarque 2 2 2 2 2 10 11" xfId="36273" xr:uid="{00000000-0005-0000-0000-0000C3020000}"/>
    <cellStyle name="Remarque 2 2 2 2 2 10 11 2" xfId="60233" xr:uid="{00000000-0005-0000-0000-0000C4020000}"/>
    <cellStyle name="Remarque 2 2 2 2 2 10 12" xfId="14066" xr:uid="{00000000-0005-0000-0000-0000C5020000}"/>
    <cellStyle name="Remarque 2 2 2 2 2 10 13" xfId="38026" xr:uid="{00000000-0005-0000-0000-0000C6020000}"/>
    <cellStyle name="Remarque 2 2 2 2 2 10 2" xfId="4275" xr:uid="{00000000-0005-0000-0000-0000C7020000}"/>
    <cellStyle name="Remarque 2 2 2 2 2 10 2 2" xfId="28289" xr:uid="{00000000-0005-0000-0000-0000C8020000}"/>
    <cellStyle name="Remarque 2 2 2 2 2 10 2 2 2" xfId="52249" xr:uid="{00000000-0005-0000-0000-0000C9020000}"/>
    <cellStyle name="Remarque 2 2 2 2 2 10 2 3" xfId="15536" xr:uid="{00000000-0005-0000-0000-0000CA020000}"/>
    <cellStyle name="Remarque 2 2 2 2 2 10 2 4" xfId="39496" xr:uid="{00000000-0005-0000-0000-0000CB020000}"/>
    <cellStyle name="Remarque 2 2 2 2 2 10 3" xfId="5709" xr:uid="{00000000-0005-0000-0000-0000CC020000}"/>
    <cellStyle name="Remarque 2 2 2 2 2 10 3 2" xfId="29723" xr:uid="{00000000-0005-0000-0000-0000CD020000}"/>
    <cellStyle name="Remarque 2 2 2 2 2 10 3 2 2" xfId="53683" xr:uid="{00000000-0005-0000-0000-0000CE020000}"/>
    <cellStyle name="Remarque 2 2 2 2 2 10 3 3" xfId="16970" xr:uid="{00000000-0005-0000-0000-0000CF020000}"/>
    <cellStyle name="Remarque 2 2 2 2 2 10 3 4" xfId="40930" xr:uid="{00000000-0005-0000-0000-0000D0020000}"/>
    <cellStyle name="Remarque 2 2 2 2 2 10 4" xfId="7103" xr:uid="{00000000-0005-0000-0000-0000D1020000}"/>
    <cellStyle name="Remarque 2 2 2 2 2 10 4 2" xfId="31117" xr:uid="{00000000-0005-0000-0000-0000D2020000}"/>
    <cellStyle name="Remarque 2 2 2 2 2 10 4 2 2" xfId="55077" xr:uid="{00000000-0005-0000-0000-0000D3020000}"/>
    <cellStyle name="Remarque 2 2 2 2 2 10 4 3" xfId="18364" xr:uid="{00000000-0005-0000-0000-0000D4020000}"/>
    <cellStyle name="Remarque 2 2 2 2 2 10 4 4" xfId="42324" xr:uid="{00000000-0005-0000-0000-0000D5020000}"/>
    <cellStyle name="Remarque 2 2 2 2 2 10 5" xfId="8491" xr:uid="{00000000-0005-0000-0000-0000D6020000}"/>
    <cellStyle name="Remarque 2 2 2 2 2 10 5 2" xfId="32505" xr:uid="{00000000-0005-0000-0000-0000D7020000}"/>
    <cellStyle name="Remarque 2 2 2 2 2 10 5 2 2" xfId="56465" xr:uid="{00000000-0005-0000-0000-0000D8020000}"/>
    <cellStyle name="Remarque 2 2 2 2 2 10 5 3" xfId="19752" xr:uid="{00000000-0005-0000-0000-0000D9020000}"/>
    <cellStyle name="Remarque 2 2 2 2 2 10 5 4" xfId="43712" xr:uid="{00000000-0005-0000-0000-0000DA020000}"/>
    <cellStyle name="Remarque 2 2 2 2 2 10 6" xfId="9876" xr:uid="{00000000-0005-0000-0000-0000DB020000}"/>
    <cellStyle name="Remarque 2 2 2 2 2 10 6 2" xfId="33890" xr:uid="{00000000-0005-0000-0000-0000DC020000}"/>
    <cellStyle name="Remarque 2 2 2 2 2 10 6 2 2" xfId="57850" xr:uid="{00000000-0005-0000-0000-0000DD020000}"/>
    <cellStyle name="Remarque 2 2 2 2 2 10 6 3" xfId="21137" xr:uid="{00000000-0005-0000-0000-0000DE020000}"/>
    <cellStyle name="Remarque 2 2 2 2 2 10 6 4" xfId="45097" xr:uid="{00000000-0005-0000-0000-0000DF020000}"/>
    <cellStyle name="Remarque 2 2 2 2 2 10 7" xfId="11333" xr:uid="{00000000-0005-0000-0000-0000E0020000}"/>
    <cellStyle name="Remarque 2 2 2 2 2 10 7 2" xfId="35343" xr:uid="{00000000-0005-0000-0000-0000E1020000}"/>
    <cellStyle name="Remarque 2 2 2 2 2 10 7 2 2" xfId="59303" xr:uid="{00000000-0005-0000-0000-0000E2020000}"/>
    <cellStyle name="Remarque 2 2 2 2 2 10 7 3" xfId="22600" xr:uid="{00000000-0005-0000-0000-0000E3020000}"/>
    <cellStyle name="Remarque 2 2 2 2 2 10 7 4" xfId="46560" xr:uid="{00000000-0005-0000-0000-0000E4020000}"/>
    <cellStyle name="Remarque 2 2 2 2 2 10 8" xfId="12099" xr:uid="{00000000-0005-0000-0000-0000E5020000}"/>
    <cellStyle name="Remarque 2 2 2 2 2 10 8 2" xfId="23382" xr:uid="{00000000-0005-0000-0000-0000E6020000}"/>
    <cellStyle name="Remarque 2 2 2 2 2 10 8 3" xfId="47342" xr:uid="{00000000-0005-0000-0000-0000E7020000}"/>
    <cellStyle name="Remarque 2 2 2 2 2 10 9" xfId="2805" xr:uid="{00000000-0005-0000-0000-0000E8020000}"/>
    <cellStyle name="Remarque 2 2 2 2 2 10 9 2" xfId="26819" xr:uid="{00000000-0005-0000-0000-0000E9020000}"/>
    <cellStyle name="Remarque 2 2 2 2 2 10 9 3" xfId="50779" xr:uid="{00000000-0005-0000-0000-0000EA020000}"/>
    <cellStyle name="Remarque 2 2 2 2 2 11" xfId="1580" xr:uid="{00000000-0005-0000-0000-0000EB020000}"/>
    <cellStyle name="Remarque 2 2 2 2 2 11 10" xfId="25612" xr:uid="{00000000-0005-0000-0000-0000EC020000}"/>
    <cellStyle name="Remarque 2 2 2 2 2 11 10 2" xfId="49572" xr:uid="{00000000-0005-0000-0000-0000ED020000}"/>
    <cellStyle name="Remarque 2 2 2 2 2 11 11" xfId="23036" xr:uid="{00000000-0005-0000-0000-0000EE020000}"/>
    <cellStyle name="Remarque 2 2 2 2 2 11 11 2" xfId="46996" xr:uid="{00000000-0005-0000-0000-0000EF020000}"/>
    <cellStyle name="Remarque 2 2 2 2 2 11 12" xfId="14277" xr:uid="{00000000-0005-0000-0000-0000F0020000}"/>
    <cellStyle name="Remarque 2 2 2 2 2 11 13" xfId="38237" xr:uid="{00000000-0005-0000-0000-0000F1020000}"/>
    <cellStyle name="Remarque 2 2 2 2 2 11 2" xfId="4486" xr:uid="{00000000-0005-0000-0000-0000F2020000}"/>
    <cellStyle name="Remarque 2 2 2 2 2 11 2 2" xfId="28500" xr:uid="{00000000-0005-0000-0000-0000F3020000}"/>
    <cellStyle name="Remarque 2 2 2 2 2 11 2 2 2" xfId="52460" xr:uid="{00000000-0005-0000-0000-0000F4020000}"/>
    <cellStyle name="Remarque 2 2 2 2 2 11 2 3" xfId="15747" xr:uid="{00000000-0005-0000-0000-0000F5020000}"/>
    <cellStyle name="Remarque 2 2 2 2 2 11 2 4" xfId="39707" xr:uid="{00000000-0005-0000-0000-0000F6020000}"/>
    <cellStyle name="Remarque 2 2 2 2 2 11 3" xfId="5920" xr:uid="{00000000-0005-0000-0000-0000F7020000}"/>
    <cellStyle name="Remarque 2 2 2 2 2 11 3 2" xfId="29934" xr:uid="{00000000-0005-0000-0000-0000F8020000}"/>
    <cellStyle name="Remarque 2 2 2 2 2 11 3 2 2" xfId="53894" xr:uid="{00000000-0005-0000-0000-0000F9020000}"/>
    <cellStyle name="Remarque 2 2 2 2 2 11 3 3" xfId="17181" xr:uid="{00000000-0005-0000-0000-0000FA020000}"/>
    <cellStyle name="Remarque 2 2 2 2 2 11 3 4" xfId="41141" xr:uid="{00000000-0005-0000-0000-0000FB020000}"/>
    <cellStyle name="Remarque 2 2 2 2 2 11 4" xfId="7314" xr:uid="{00000000-0005-0000-0000-0000FC020000}"/>
    <cellStyle name="Remarque 2 2 2 2 2 11 4 2" xfId="31328" xr:uid="{00000000-0005-0000-0000-0000FD020000}"/>
    <cellStyle name="Remarque 2 2 2 2 2 11 4 2 2" xfId="55288" xr:uid="{00000000-0005-0000-0000-0000FE020000}"/>
    <cellStyle name="Remarque 2 2 2 2 2 11 4 3" xfId="18575" xr:uid="{00000000-0005-0000-0000-0000FF020000}"/>
    <cellStyle name="Remarque 2 2 2 2 2 11 4 4" xfId="42535" xr:uid="{00000000-0005-0000-0000-000000030000}"/>
    <cellStyle name="Remarque 2 2 2 2 2 11 5" xfId="8702" xr:uid="{00000000-0005-0000-0000-000001030000}"/>
    <cellStyle name="Remarque 2 2 2 2 2 11 5 2" xfId="32716" xr:uid="{00000000-0005-0000-0000-000002030000}"/>
    <cellStyle name="Remarque 2 2 2 2 2 11 5 2 2" xfId="56676" xr:uid="{00000000-0005-0000-0000-000003030000}"/>
    <cellStyle name="Remarque 2 2 2 2 2 11 5 3" xfId="19963" xr:uid="{00000000-0005-0000-0000-000004030000}"/>
    <cellStyle name="Remarque 2 2 2 2 2 11 5 4" xfId="43923" xr:uid="{00000000-0005-0000-0000-000005030000}"/>
    <cellStyle name="Remarque 2 2 2 2 2 11 6" xfId="10087" xr:uid="{00000000-0005-0000-0000-000006030000}"/>
    <cellStyle name="Remarque 2 2 2 2 2 11 6 2" xfId="34101" xr:uid="{00000000-0005-0000-0000-000007030000}"/>
    <cellStyle name="Remarque 2 2 2 2 2 11 6 2 2" xfId="58061" xr:uid="{00000000-0005-0000-0000-000008030000}"/>
    <cellStyle name="Remarque 2 2 2 2 2 11 6 3" xfId="21348" xr:uid="{00000000-0005-0000-0000-000009030000}"/>
    <cellStyle name="Remarque 2 2 2 2 2 11 6 4" xfId="45308" xr:uid="{00000000-0005-0000-0000-00000A030000}"/>
    <cellStyle name="Remarque 2 2 2 2 2 11 7" xfId="11544" xr:uid="{00000000-0005-0000-0000-00000B030000}"/>
    <cellStyle name="Remarque 2 2 2 2 2 11 7 2" xfId="35554" xr:uid="{00000000-0005-0000-0000-00000C030000}"/>
    <cellStyle name="Remarque 2 2 2 2 2 11 7 2 2" xfId="59514" xr:uid="{00000000-0005-0000-0000-00000D030000}"/>
    <cellStyle name="Remarque 2 2 2 2 2 11 7 3" xfId="22811" xr:uid="{00000000-0005-0000-0000-00000E030000}"/>
    <cellStyle name="Remarque 2 2 2 2 2 11 7 4" xfId="46771" xr:uid="{00000000-0005-0000-0000-00000F030000}"/>
    <cellStyle name="Remarque 2 2 2 2 2 11 8" xfId="11971" xr:uid="{00000000-0005-0000-0000-000010030000}"/>
    <cellStyle name="Remarque 2 2 2 2 2 11 8 2" xfId="23249" xr:uid="{00000000-0005-0000-0000-000011030000}"/>
    <cellStyle name="Remarque 2 2 2 2 2 11 8 3" xfId="47209" xr:uid="{00000000-0005-0000-0000-000012030000}"/>
    <cellStyle name="Remarque 2 2 2 2 2 11 9" xfId="3016" xr:uid="{00000000-0005-0000-0000-000013030000}"/>
    <cellStyle name="Remarque 2 2 2 2 2 11 9 2" xfId="27030" xr:uid="{00000000-0005-0000-0000-000014030000}"/>
    <cellStyle name="Remarque 2 2 2 2 2 11 9 3" xfId="50990" xr:uid="{00000000-0005-0000-0000-000015030000}"/>
    <cellStyle name="Remarque 2 2 2 2 2 12" xfId="1543" xr:uid="{00000000-0005-0000-0000-000016030000}"/>
    <cellStyle name="Remarque 2 2 2 2 2 12 10" xfId="25575" xr:uid="{00000000-0005-0000-0000-000017030000}"/>
    <cellStyle name="Remarque 2 2 2 2 2 12 10 2" xfId="49535" xr:uid="{00000000-0005-0000-0000-000018030000}"/>
    <cellStyle name="Remarque 2 2 2 2 2 12 11" xfId="36479" xr:uid="{00000000-0005-0000-0000-000019030000}"/>
    <cellStyle name="Remarque 2 2 2 2 2 12 11 2" xfId="60439" xr:uid="{00000000-0005-0000-0000-00001A030000}"/>
    <cellStyle name="Remarque 2 2 2 2 2 12 12" xfId="14240" xr:uid="{00000000-0005-0000-0000-00001B030000}"/>
    <cellStyle name="Remarque 2 2 2 2 2 12 13" xfId="38200" xr:uid="{00000000-0005-0000-0000-00001C030000}"/>
    <cellStyle name="Remarque 2 2 2 2 2 12 2" xfId="4449" xr:uid="{00000000-0005-0000-0000-00001D030000}"/>
    <cellStyle name="Remarque 2 2 2 2 2 12 2 2" xfId="28463" xr:uid="{00000000-0005-0000-0000-00001E030000}"/>
    <cellStyle name="Remarque 2 2 2 2 2 12 2 2 2" xfId="52423" xr:uid="{00000000-0005-0000-0000-00001F030000}"/>
    <cellStyle name="Remarque 2 2 2 2 2 12 2 3" xfId="15710" xr:uid="{00000000-0005-0000-0000-000020030000}"/>
    <cellStyle name="Remarque 2 2 2 2 2 12 2 4" xfId="39670" xr:uid="{00000000-0005-0000-0000-000021030000}"/>
    <cellStyle name="Remarque 2 2 2 2 2 12 3" xfId="5883" xr:uid="{00000000-0005-0000-0000-000022030000}"/>
    <cellStyle name="Remarque 2 2 2 2 2 12 3 2" xfId="29897" xr:uid="{00000000-0005-0000-0000-000023030000}"/>
    <cellStyle name="Remarque 2 2 2 2 2 12 3 2 2" xfId="53857" xr:uid="{00000000-0005-0000-0000-000024030000}"/>
    <cellStyle name="Remarque 2 2 2 2 2 12 3 3" xfId="17144" xr:uid="{00000000-0005-0000-0000-000025030000}"/>
    <cellStyle name="Remarque 2 2 2 2 2 12 3 4" xfId="41104" xr:uid="{00000000-0005-0000-0000-000026030000}"/>
    <cellStyle name="Remarque 2 2 2 2 2 12 4" xfId="7277" xr:uid="{00000000-0005-0000-0000-000027030000}"/>
    <cellStyle name="Remarque 2 2 2 2 2 12 4 2" xfId="31291" xr:uid="{00000000-0005-0000-0000-000028030000}"/>
    <cellStyle name="Remarque 2 2 2 2 2 12 4 2 2" xfId="55251" xr:uid="{00000000-0005-0000-0000-000029030000}"/>
    <cellStyle name="Remarque 2 2 2 2 2 12 4 3" xfId="18538" xr:uid="{00000000-0005-0000-0000-00002A030000}"/>
    <cellStyle name="Remarque 2 2 2 2 2 12 4 4" xfId="42498" xr:uid="{00000000-0005-0000-0000-00002B030000}"/>
    <cellStyle name="Remarque 2 2 2 2 2 12 5" xfId="8665" xr:uid="{00000000-0005-0000-0000-00002C030000}"/>
    <cellStyle name="Remarque 2 2 2 2 2 12 5 2" xfId="32679" xr:uid="{00000000-0005-0000-0000-00002D030000}"/>
    <cellStyle name="Remarque 2 2 2 2 2 12 5 2 2" xfId="56639" xr:uid="{00000000-0005-0000-0000-00002E030000}"/>
    <cellStyle name="Remarque 2 2 2 2 2 12 5 3" xfId="19926" xr:uid="{00000000-0005-0000-0000-00002F030000}"/>
    <cellStyle name="Remarque 2 2 2 2 2 12 5 4" xfId="43886" xr:uid="{00000000-0005-0000-0000-000030030000}"/>
    <cellStyle name="Remarque 2 2 2 2 2 12 6" xfId="10050" xr:uid="{00000000-0005-0000-0000-000031030000}"/>
    <cellStyle name="Remarque 2 2 2 2 2 12 6 2" xfId="34064" xr:uid="{00000000-0005-0000-0000-000032030000}"/>
    <cellStyle name="Remarque 2 2 2 2 2 12 6 2 2" xfId="58024" xr:uid="{00000000-0005-0000-0000-000033030000}"/>
    <cellStyle name="Remarque 2 2 2 2 2 12 6 3" xfId="21311" xr:uid="{00000000-0005-0000-0000-000034030000}"/>
    <cellStyle name="Remarque 2 2 2 2 2 12 6 4" xfId="45271" xr:uid="{00000000-0005-0000-0000-000035030000}"/>
    <cellStyle name="Remarque 2 2 2 2 2 12 7" xfId="11507" xr:uid="{00000000-0005-0000-0000-000036030000}"/>
    <cellStyle name="Remarque 2 2 2 2 2 12 7 2" xfId="35517" xr:uid="{00000000-0005-0000-0000-000037030000}"/>
    <cellStyle name="Remarque 2 2 2 2 2 12 7 2 2" xfId="59477" xr:uid="{00000000-0005-0000-0000-000038030000}"/>
    <cellStyle name="Remarque 2 2 2 2 2 12 7 3" xfId="22774" xr:uid="{00000000-0005-0000-0000-000039030000}"/>
    <cellStyle name="Remarque 2 2 2 2 2 12 7 4" xfId="46734" xr:uid="{00000000-0005-0000-0000-00003A030000}"/>
    <cellStyle name="Remarque 2 2 2 2 2 12 8" xfId="12566" xr:uid="{00000000-0005-0000-0000-00003B030000}"/>
    <cellStyle name="Remarque 2 2 2 2 2 12 8 2" xfId="23866" xr:uid="{00000000-0005-0000-0000-00003C030000}"/>
    <cellStyle name="Remarque 2 2 2 2 2 12 8 3" xfId="47826" xr:uid="{00000000-0005-0000-0000-00003D030000}"/>
    <cellStyle name="Remarque 2 2 2 2 2 12 9" xfId="2979" xr:uid="{00000000-0005-0000-0000-00003E030000}"/>
    <cellStyle name="Remarque 2 2 2 2 2 12 9 2" xfId="26993" xr:uid="{00000000-0005-0000-0000-00003F030000}"/>
    <cellStyle name="Remarque 2 2 2 2 2 12 9 3" xfId="50953" xr:uid="{00000000-0005-0000-0000-000040030000}"/>
    <cellStyle name="Remarque 2 2 2 2 2 13" xfId="1597" xr:uid="{00000000-0005-0000-0000-000041030000}"/>
    <cellStyle name="Remarque 2 2 2 2 2 13 10" xfId="25629" xr:uid="{00000000-0005-0000-0000-000042030000}"/>
    <cellStyle name="Remarque 2 2 2 2 2 13 10 2" xfId="49589" xr:uid="{00000000-0005-0000-0000-000043030000}"/>
    <cellStyle name="Remarque 2 2 2 2 2 13 11" xfId="36856" xr:uid="{00000000-0005-0000-0000-000044030000}"/>
    <cellStyle name="Remarque 2 2 2 2 2 13 11 2" xfId="60816" xr:uid="{00000000-0005-0000-0000-000045030000}"/>
    <cellStyle name="Remarque 2 2 2 2 2 13 12" xfId="14294" xr:uid="{00000000-0005-0000-0000-000046030000}"/>
    <cellStyle name="Remarque 2 2 2 2 2 13 13" xfId="38254" xr:uid="{00000000-0005-0000-0000-000047030000}"/>
    <cellStyle name="Remarque 2 2 2 2 2 13 2" xfId="4503" xr:uid="{00000000-0005-0000-0000-000048030000}"/>
    <cellStyle name="Remarque 2 2 2 2 2 13 2 2" xfId="28517" xr:uid="{00000000-0005-0000-0000-000049030000}"/>
    <cellStyle name="Remarque 2 2 2 2 2 13 2 2 2" xfId="52477" xr:uid="{00000000-0005-0000-0000-00004A030000}"/>
    <cellStyle name="Remarque 2 2 2 2 2 13 2 3" xfId="15764" xr:uid="{00000000-0005-0000-0000-00004B030000}"/>
    <cellStyle name="Remarque 2 2 2 2 2 13 2 4" xfId="39724" xr:uid="{00000000-0005-0000-0000-00004C030000}"/>
    <cellStyle name="Remarque 2 2 2 2 2 13 3" xfId="5937" xr:uid="{00000000-0005-0000-0000-00004D030000}"/>
    <cellStyle name="Remarque 2 2 2 2 2 13 3 2" xfId="29951" xr:uid="{00000000-0005-0000-0000-00004E030000}"/>
    <cellStyle name="Remarque 2 2 2 2 2 13 3 2 2" xfId="53911" xr:uid="{00000000-0005-0000-0000-00004F030000}"/>
    <cellStyle name="Remarque 2 2 2 2 2 13 3 3" xfId="17198" xr:uid="{00000000-0005-0000-0000-000050030000}"/>
    <cellStyle name="Remarque 2 2 2 2 2 13 3 4" xfId="41158" xr:uid="{00000000-0005-0000-0000-000051030000}"/>
    <cellStyle name="Remarque 2 2 2 2 2 13 4" xfId="7331" xr:uid="{00000000-0005-0000-0000-000052030000}"/>
    <cellStyle name="Remarque 2 2 2 2 2 13 4 2" xfId="31345" xr:uid="{00000000-0005-0000-0000-000053030000}"/>
    <cellStyle name="Remarque 2 2 2 2 2 13 4 2 2" xfId="55305" xr:uid="{00000000-0005-0000-0000-000054030000}"/>
    <cellStyle name="Remarque 2 2 2 2 2 13 4 3" xfId="18592" xr:uid="{00000000-0005-0000-0000-000055030000}"/>
    <cellStyle name="Remarque 2 2 2 2 2 13 4 4" xfId="42552" xr:uid="{00000000-0005-0000-0000-000056030000}"/>
    <cellStyle name="Remarque 2 2 2 2 2 13 5" xfId="8719" xr:uid="{00000000-0005-0000-0000-000057030000}"/>
    <cellStyle name="Remarque 2 2 2 2 2 13 5 2" xfId="32733" xr:uid="{00000000-0005-0000-0000-000058030000}"/>
    <cellStyle name="Remarque 2 2 2 2 2 13 5 2 2" xfId="56693" xr:uid="{00000000-0005-0000-0000-000059030000}"/>
    <cellStyle name="Remarque 2 2 2 2 2 13 5 3" xfId="19980" xr:uid="{00000000-0005-0000-0000-00005A030000}"/>
    <cellStyle name="Remarque 2 2 2 2 2 13 5 4" xfId="43940" xr:uid="{00000000-0005-0000-0000-00005B030000}"/>
    <cellStyle name="Remarque 2 2 2 2 2 13 6" xfId="10104" xr:uid="{00000000-0005-0000-0000-00005C030000}"/>
    <cellStyle name="Remarque 2 2 2 2 2 13 6 2" xfId="34118" xr:uid="{00000000-0005-0000-0000-00005D030000}"/>
    <cellStyle name="Remarque 2 2 2 2 2 13 6 2 2" xfId="58078" xr:uid="{00000000-0005-0000-0000-00005E030000}"/>
    <cellStyle name="Remarque 2 2 2 2 2 13 6 3" xfId="21365" xr:uid="{00000000-0005-0000-0000-00005F030000}"/>
    <cellStyle name="Remarque 2 2 2 2 2 13 6 4" xfId="45325" xr:uid="{00000000-0005-0000-0000-000060030000}"/>
    <cellStyle name="Remarque 2 2 2 2 2 13 7" xfId="11561" xr:uid="{00000000-0005-0000-0000-000061030000}"/>
    <cellStyle name="Remarque 2 2 2 2 2 13 7 2" xfId="35571" xr:uid="{00000000-0005-0000-0000-000062030000}"/>
    <cellStyle name="Remarque 2 2 2 2 2 13 7 2 2" xfId="59531" xr:uid="{00000000-0005-0000-0000-000063030000}"/>
    <cellStyle name="Remarque 2 2 2 2 2 13 7 3" xfId="22828" xr:uid="{00000000-0005-0000-0000-000064030000}"/>
    <cellStyle name="Remarque 2 2 2 2 2 13 7 4" xfId="46788" xr:uid="{00000000-0005-0000-0000-000065030000}"/>
    <cellStyle name="Remarque 2 2 2 2 2 13 8" xfId="10202" xr:uid="{00000000-0005-0000-0000-000066030000}"/>
    <cellStyle name="Remarque 2 2 2 2 2 13 8 2" xfId="21468" xr:uid="{00000000-0005-0000-0000-000067030000}"/>
    <cellStyle name="Remarque 2 2 2 2 2 13 8 3" xfId="45428" xr:uid="{00000000-0005-0000-0000-000068030000}"/>
    <cellStyle name="Remarque 2 2 2 2 2 13 9" xfId="3033" xr:uid="{00000000-0005-0000-0000-000069030000}"/>
    <cellStyle name="Remarque 2 2 2 2 2 13 9 2" xfId="27047" xr:uid="{00000000-0005-0000-0000-00006A030000}"/>
    <cellStyle name="Remarque 2 2 2 2 2 13 9 3" xfId="51007" xr:uid="{00000000-0005-0000-0000-00006B030000}"/>
    <cellStyle name="Remarque 2 2 2 2 2 14" xfId="222" xr:uid="{00000000-0005-0000-0000-00006C030000}"/>
    <cellStyle name="Remarque 2 2 2 2 2 14 10" xfId="36330" xr:uid="{00000000-0005-0000-0000-00006D030000}"/>
    <cellStyle name="Remarque 2 2 2 2 2 14 10 2" xfId="60290" xr:uid="{00000000-0005-0000-0000-00006E030000}"/>
    <cellStyle name="Remarque 2 2 2 2 2 14 11" xfId="14389" xr:uid="{00000000-0005-0000-0000-00006F030000}"/>
    <cellStyle name="Remarque 2 2 2 2 2 14 12" xfId="38349" xr:uid="{00000000-0005-0000-0000-000070030000}"/>
    <cellStyle name="Remarque 2 2 2 2 2 14 2" xfId="4567" xr:uid="{00000000-0005-0000-0000-000071030000}"/>
    <cellStyle name="Remarque 2 2 2 2 2 14 2 2" xfId="28581" xr:uid="{00000000-0005-0000-0000-000072030000}"/>
    <cellStyle name="Remarque 2 2 2 2 2 14 2 2 2" xfId="52541" xr:uid="{00000000-0005-0000-0000-000073030000}"/>
    <cellStyle name="Remarque 2 2 2 2 2 14 2 3" xfId="15828" xr:uid="{00000000-0005-0000-0000-000074030000}"/>
    <cellStyle name="Remarque 2 2 2 2 2 14 2 4" xfId="39788" xr:uid="{00000000-0005-0000-0000-000075030000}"/>
    <cellStyle name="Remarque 2 2 2 2 2 14 3" xfId="5966" xr:uid="{00000000-0005-0000-0000-000076030000}"/>
    <cellStyle name="Remarque 2 2 2 2 2 14 3 2" xfId="29980" xr:uid="{00000000-0005-0000-0000-000077030000}"/>
    <cellStyle name="Remarque 2 2 2 2 2 14 3 2 2" xfId="53940" xr:uid="{00000000-0005-0000-0000-000078030000}"/>
    <cellStyle name="Remarque 2 2 2 2 2 14 3 3" xfId="17227" xr:uid="{00000000-0005-0000-0000-000079030000}"/>
    <cellStyle name="Remarque 2 2 2 2 2 14 3 4" xfId="41187" xr:uid="{00000000-0005-0000-0000-00007A030000}"/>
    <cellStyle name="Remarque 2 2 2 2 2 14 4" xfId="7360" xr:uid="{00000000-0005-0000-0000-00007B030000}"/>
    <cellStyle name="Remarque 2 2 2 2 2 14 4 2" xfId="31374" xr:uid="{00000000-0005-0000-0000-00007C030000}"/>
    <cellStyle name="Remarque 2 2 2 2 2 14 4 2 2" xfId="55334" xr:uid="{00000000-0005-0000-0000-00007D030000}"/>
    <cellStyle name="Remarque 2 2 2 2 2 14 4 3" xfId="18621" xr:uid="{00000000-0005-0000-0000-00007E030000}"/>
    <cellStyle name="Remarque 2 2 2 2 2 14 4 4" xfId="42581" xr:uid="{00000000-0005-0000-0000-00007F030000}"/>
    <cellStyle name="Remarque 2 2 2 2 2 14 5" xfId="8748" xr:uid="{00000000-0005-0000-0000-000080030000}"/>
    <cellStyle name="Remarque 2 2 2 2 2 14 5 2" xfId="32762" xr:uid="{00000000-0005-0000-0000-000081030000}"/>
    <cellStyle name="Remarque 2 2 2 2 2 14 5 2 2" xfId="56722" xr:uid="{00000000-0005-0000-0000-000082030000}"/>
    <cellStyle name="Remarque 2 2 2 2 2 14 5 3" xfId="20009" xr:uid="{00000000-0005-0000-0000-000083030000}"/>
    <cellStyle name="Remarque 2 2 2 2 2 14 5 4" xfId="43969" xr:uid="{00000000-0005-0000-0000-000084030000}"/>
    <cellStyle name="Remarque 2 2 2 2 2 14 6" xfId="10188" xr:uid="{00000000-0005-0000-0000-000085030000}"/>
    <cellStyle name="Remarque 2 2 2 2 2 14 6 2" xfId="34200" xr:uid="{00000000-0005-0000-0000-000086030000}"/>
    <cellStyle name="Remarque 2 2 2 2 2 14 6 2 2" xfId="58160" xr:uid="{00000000-0005-0000-0000-000087030000}"/>
    <cellStyle name="Remarque 2 2 2 2 2 14 6 3" xfId="21453" xr:uid="{00000000-0005-0000-0000-000088030000}"/>
    <cellStyle name="Remarque 2 2 2 2 2 14 6 4" xfId="45413" xr:uid="{00000000-0005-0000-0000-000089030000}"/>
    <cellStyle name="Remarque 2 2 2 2 2 14 7" xfId="12298" xr:uid="{00000000-0005-0000-0000-00008A030000}"/>
    <cellStyle name="Remarque 2 2 2 2 2 14 7 2" xfId="23586" xr:uid="{00000000-0005-0000-0000-00008B030000}"/>
    <cellStyle name="Remarque 2 2 2 2 2 14 7 3" xfId="47546" xr:uid="{00000000-0005-0000-0000-00008C030000}"/>
    <cellStyle name="Remarque 2 2 2 2 2 14 8" xfId="3128" xr:uid="{00000000-0005-0000-0000-00008D030000}"/>
    <cellStyle name="Remarque 2 2 2 2 2 14 8 2" xfId="27142" xr:uid="{00000000-0005-0000-0000-00008E030000}"/>
    <cellStyle name="Remarque 2 2 2 2 2 14 8 3" xfId="51102" xr:uid="{00000000-0005-0000-0000-00008F030000}"/>
    <cellStyle name="Remarque 2 2 2 2 2 14 9" xfId="24254" xr:uid="{00000000-0005-0000-0000-000090030000}"/>
    <cellStyle name="Remarque 2 2 2 2 2 14 9 2" xfId="48214" xr:uid="{00000000-0005-0000-0000-000091030000}"/>
    <cellStyle name="Remarque 2 2 2 2 2 15" xfId="3097" xr:uid="{00000000-0005-0000-0000-000092030000}"/>
    <cellStyle name="Remarque 2 2 2 2 2 15 2" xfId="27111" xr:uid="{00000000-0005-0000-0000-000093030000}"/>
    <cellStyle name="Remarque 2 2 2 2 2 15 2 2" xfId="51071" xr:uid="{00000000-0005-0000-0000-000094030000}"/>
    <cellStyle name="Remarque 2 2 2 2 2 15 3" xfId="14358" xr:uid="{00000000-0005-0000-0000-000095030000}"/>
    <cellStyle name="Remarque 2 2 2 2 2 15 4" xfId="38318" xr:uid="{00000000-0005-0000-0000-000096030000}"/>
    <cellStyle name="Remarque 2 2 2 2 2 16" xfId="4536" xr:uid="{00000000-0005-0000-0000-000097030000}"/>
    <cellStyle name="Remarque 2 2 2 2 2 16 2" xfId="28550" xr:uid="{00000000-0005-0000-0000-000098030000}"/>
    <cellStyle name="Remarque 2 2 2 2 2 16 2 2" xfId="52510" xr:uid="{00000000-0005-0000-0000-000099030000}"/>
    <cellStyle name="Remarque 2 2 2 2 2 16 3" xfId="15797" xr:uid="{00000000-0005-0000-0000-00009A030000}"/>
    <cellStyle name="Remarque 2 2 2 2 2 16 4" xfId="39757" xr:uid="{00000000-0005-0000-0000-00009B030000}"/>
    <cellStyle name="Remarque 2 2 2 2 2 17" xfId="3048" xr:uid="{00000000-0005-0000-0000-00009C030000}"/>
    <cellStyle name="Remarque 2 2 2 2 2 17 2" xfId="27062" xr:uid="{00000000-0005-0000-0000-00009D030000}"/>
    <cellStyle name="Remarque 2 2 2 2 2 17 2 2" xfId="51022" xr:uid="{00000000-0005-0000-0000-00009E030000}"/>
    <cellStyle name="Remarque 2 2 2 2 2 17 3" xfId="14309" xr:uid="{00000000-0005-0000-0000-00009F030000}"/>
    <cellStyle name="Remarque 2 2 2 2 2 17 4" xfId="38269" xr:uid="{00000000-0005-0000-0000-0000A0030000}"/>
    <cellStyle name="Remarque 2 2 2 2 2 18" xfId="4512" xr:uid="{00000000-0005-0000-0000-0000A1030000}"/>
    <cellStyle name="Remarque 2 2 2 2 2 18 2" xfId="28526" xr:uid="{00000000-0005-0000-0000-0000A2030000}"/>
    <cellStyle name="Remarque 2 2 2 2 2 18 2 2" xfId="52486" xr:uid="{00000000-0005-0000-0000-0000A3030000}"/>
    <cellStyle name="Remarque 2 2 2 2 2 18 3" xfId="15773" xr:uid="{00000000-0005-0000-0000-0000A4030000}"/>
    <cellStyle name="Remarque 2 2 2 2 2 18 4" xfId="39733" xr:uid="{00000000-0005-0000-0000-0000A5030000}"/>
    <cellStyle name="Remarque 2 2 2 2 2 19" xfId="4578" xr:uid="{00000000-0005-0000-0000-0000A6030000}"/>
    <cellStyle name="Remarque 2 2 2 2 2 19 2" xfId="28592" xr:uid="{00000000-0005-0000-0000-0000A7030000}"/>
    <cellStyle name="Remarque 2 2 2 2 2 19 2 2" xfId="52552" xr:uid="{00000000-0005-0000-0000-0000A8030000}"/>
    <cellStyle name="Remarque 2 2 2 2 2 19 3" xfId="15839" xr:uid="{00000000-0005-0000-0000-0000A9030000}"/>
    <cellStyle name="Remarque 2 2 2 2 2 19 4" xfId="39799" xr:uid="{00000000-0005-0000-0000-0000AA030000}"/>
    <cellStyle name="Remarque 2 2 2 2 2 2" xfId="111" xr:uid="{00000000-0005-0000-0000-0000AB030000}"/>
    <cellStyle name="Remarque 2 2 2 2 2 2 10" xfId="3170" xr:uid="{00000000-0005-0000-0000-0000AC030000}"/>
    <cellStyle name="Remarque 2 2 2 2 2 2 10 2" xfId="27184" xr:uid="{00000000-0005-0000-0000-0000AD030000}"/>
    <cellStyle name="Remarque 2 2 2 2 2 2 10 2 2" xfId="51144" xr:uid="{00000000-0005-0000-0000-0000AE030000}"/>
    <cellStyle name="Remarque 2 2 2 2 2 2 10 3" xfId="14431" xr:uid="{00000000-0005-0000-0000-0000AF030000}"/>
    <cellStyle name="Remarque 2 2 2 2 2 2 10 4" xfId="38391" xr:uid="{00000000-0005-0000-0000-0000B0030000}"/>
    <cellStyle name="Remarque 2 2 2 2 2 2 11" xfId="4604" xr:uid="{00000000-0005-0000-0000-0000B1030000}"/>
    <cellStyle name="Remarque 2 2 2 2 2 2 11 2" xfId="28618" xr:uid="{00000000-0005-0000-0000-0000B2030000}"/>
    <cellStyle name="Remarque 2 2 2 2 2 2 11 2 2" xfId="52578" xr:uid="{00000000-0005-0000-0000-0000B3030000}"/>
    <cellStyle name="Remarque 2 2 2 2 2 2 11 3" xfId="15865" xr:uid="{00000000-0005-0000-0000-0000B4030000}"/>
    <cellStyle name="Remarque 2 2 2 2 2 2 11 4" xfId="39825" xr:uid="{00000000-0005-0000-0000-0000B5030000}"/>
    <cellStyle name="Remarque 2 2 2 2 2 2 12" xfId="5998" xr:uid="{00000000-0005-0000-0000-0000B6030000}"/>
    <cellStyle name="Remarque 2 2 2 2 2 2 12 2" xfId="30012" xr:uid="{00000000-0005-0000-0000-0000B7030000}"/>
    <cellStyle name="Remarque 2 2 2 2 2 2 12 2 2" xfId="53972" xr:uid="{00000000-0005-0000-0000-0000B8030000}"/>
    <cellStyle name="Remarque 2 2 2 2 2 2 12 3" xfId="17259" xr:uid="{00000000-0005-0000-0000-0000B9030000}"/>
    <cellStyle name="Remarque 2 2 2 2 2 2 12 4" xfId="41219" xr:uid="{00000000-0005-0000-0000-0000BA030000}"/>
    <cellStyle name="Remarque 2 2 2 2 2 2 13" xfId="7386" xr:uid="{00000000-0005-0000-0000-0000BB030000}"/>
    <cellStyle name="Remarque 2 2 2 2 2 2 13 2" xfId="31400" xr:uid="{00000000-0005-0000-0000-0000BC030000}"/>
    <cellStyle name="Remarque 2 2 2 2 2 2 13 2 2" xfId="55360" xr:uid="{00000000-0005-0000-0000-0000BD030000}"/>
    <cellStyle name="Remarque 2 2 2 2 2 2 13 3" xfId="18647" xr:uid="{00000000-0005-0000-0000-0000BE030000}"/>
    <cellStyle name="Remarque 2 2 2 2 2 2 13 4" xfId="42607" xr:uid="{00000000-0005-0000-0000-0000BF030000}"/>
    <cellStyle name="Remarque 2 2 2 2 2 2 14" xfId="8771" xr:uid="{00000000-0005-0000-0000-0000C0030000}"/>
    <cellStyle name="Remarque 2 2 2 2 2 2 14 2" xfId="32785" xr:uid="{00000000-0005-0000-0000-0000C1030000}"/>
    <cellStyle name="Remarque 2 2 2 2 2 2 14 2 2" xfId="56745" xr:uid="{00000000-0005-0000-0000-0000C2030000}"/>
    <cellStyle name="Remarque 2 2 2 2 2 2 14 3" xfId="20032" xr:uid="{00000000-0005-0000-0000-0000C3030000}"/>
    <cellStyle name="Remarque 2 2 2 2 2 2 14 4" xfId="43992" xr:uid="{00000000-0005-0000-0000-0000C4030000}"/>
    <cellStyle name="Remarque 2 2 2 2 2 2 15" xfId="10228" xr:uid="{00000000-0005-0000-0000-0000C5030000}"/>
    <cellStyle name="Remarque 2 2 2 2 2 2 15 2" xfId="34238" xr:uid="{00000000-0005-0000-0000-0000C6030000}"/>
    <cellStyle name="Remarque 2 2 2 2 2 2 15 2 2" xfId="58198" xr:uid="{00000000-0005-0000-0000-0000C7030000}"/>
    <cellStyle name="Remarque 2 2 2 2 2 2 15 3" xfId="21495" xr:uid="{00000000-0005-0000-0000-0000C8030000}"/>
    <cellStyle name="Remarque 2 2 2 2 2 2 15 4" xfId="45455" xr:uid="{00000000-0005-0000-0000-0000C9030000}"/>
    <cellStyle name="Remarque 2 2 2 2 2 2 16" xfId="12579" xr:uid="{00000000-0005-0000-0000-0000CA030000}"/>
    <cellStyle name="Remarque 2 2 2 2 2 2 16 2" xfId="23879" xr:uid="{00000000-0005-0000-0000-0000CB030000}"/>
    <cellStyle name="Remarque 2 2 2 2 2 2 16 3" xfId="47839" xr:uid="{00000000-0005-0000-0000-0000CC030000}"/>
    <cellStyle name="Remarque 2 2 2 2 2 2 17" xfId="1700" xr:uid="{00000000-0005-0000-0000-0000CD030000}"/>
    <cellStyle name="Remarque 2 2 2 2 2 2 17 2" xfId="25714" xr:uid="{00000000-0005-0000-0000-0000CE030000}"/>
    <cellStyle name="Remarque 2 2 2 2 2 2 17 3" xfId="49674" xr:uid="{00000000-0005-0000-0000-0000CF030000}"/>
    <cellStyle name="Remarque 2 2 2 2 2 2 18" xfId="24296" xr:uid="{00000000-0005-0000-0000-0000D0030000}"/>
    <cellStyle name="Remarque 2 2 2 2 2 2 18 2" xfId="48256" xr:uid="{00000000-0005-0000-0000-0000D1030000}"/>
    <cellStyle name="Remarque 2 2 2 2 2 2 19" xfId="35769" xr:uid="{00000000-0005-0000-0000-0000D2030000}"/>
    <cellStyle name="Remarque 2 2 2 2 2 2 19 2" xfId="59729" xr:uid="{00000000-0005-0000-0000-0000D3030000}"/>
    <cellStyle name="Remarque 2 2 2 2 2 2 2" xfId="439" xr:uid="{00000000-0005-0000-0000-0000D4030000}"/>
    <cellStyle name="Remarque 2 2 2 2 2 2 2 10" xfId="6173" xr:uid="{00000000-0005-0000-0000-0000D5030000}"/>
    <cellStyle name="Remarque 2 2 2 2 2 2 2 10 2" xfId="30187" xr:uid="{00000000-0005-0000-0000-0000D6030000}"/>
    <cellStyle name="Remarque 2 2 2 2 2 2 2 10 2 2" xfId="54147" xr:uid="{00000000-0005-0000-0000-0000D7030000}"/>
    <cellStyle name="Remarque 2 2 2 2 2 2 2 10 3" xfId="17434" xr:uid="{00000000-0005-0000-0000-0000D8030000}"/>
    <cellStyle name="Remarque 2 2 2 2 2 2 2 10 4" xfId="41394" xr:uid="{00000000-0005-0000-0000-0000D9030000}"/>
    <cellStyle name="Remarque 2 2 2 2 2 2 2 11" xfId="7561" xr:uid="{00000000-0005-0000-0000-0000DA030000}"/>
    <cellStyle name="Remarque 2 2 2 2 2 2 2 11 2" xfId="31575" xr:uid="{00000000-0005-0000-0000-0000DB030000}"/>
    <cellStyle name="Remarque 2 2 2 2 2 2 2 11 2 2" xfId="55535" xr:uid="{00000000-0005-0000-0000-0000DC030000}"/>
    <cellStyle name="Remarque 2 2 2 2 2 2 2 11 3" xfId="18822" xr:uid="{00000000-0005-0000-0000-0000DD030000}"/>
    <cellStyle name="Remarque 2 2 2 2 2 2 2 11 4" xfId="42782" xr:uid="{00000000-0005-0000-0000-0000DE030000}"/>
    <cellStyle name="Remarque 2 2 2 2 2 2 2 12" xfId="8946" xr:uid="{00000000-0005-0000-0000-0000DF030000}"/>
    <cellStyle name="Remarque 2 2 2 2 2 2 2 12 2" xfId="32960" xr:uid="{00000000-0005-0000-0000-0000E0030000}"/>
    <cellStyle name="Remarque 2 2 2 2 2 2 2 12 2 2" xfId="56920" xr:uid="{00000000-0005-0000-0000-0000E1030000}"/>
    <cellStyle name="Remarque 2 2 2 2 2 2 2 12 3" xfId="20207" xr:uid="{00000000-0005-0000-0000-0000E2030000}"/>
    <cellStyle name="Remarque 2 2 2 2 2 2 2 12 4" xfId="44167" xr:uid="{00000000-0005-0000-0000-0000E3030000}"/>
    <cellStyle name="Remarque 2 2 2 2 2 2 2 13" xfId="10403" xr:uid="{00000000-0005-0000-0000-0000E4030000}"/>
    <cellStyle name="Remarque 2 2 2 2 2 2 2 13 2" xfId="34413" xr:uid="{00000000-0005-0000-0000-0000E5030000}"/>
    <cellStyle name="Remarque 2 2 2 2 2 2 2 13 2 2" xfId="58373" xr:uid="{00000000-0005-0000-0000-0000E6030000}"/>
    <cellStyle name="Remarque 2 2 2 2 2 2 2 13 3" xfId="21670" xr:uid="{00000000-0005-0000-0000-0000E7030000}"/>
    <cellStyle name="Remarque 2 2 2 2 2 2 2 13 4" xfId="45630" xr:uid="{00000000-0005-0000-0000-0000E8030000}"/>
    <cellStyle name="Remarque 2 2 2 2 2 2 2 14" xfId="10203" xr:uid="{00000000-0005-0000-0000-0000E9030000}"/>
    <cellStyle name="Remarque 2 2 2 2 2 2 2 14 2" xfId="21469" xr:uid="{00000000-0005-0000-0000-0000EA030000}"/>
    <cellStyle name="Remarque 2 2 2 2 2 2 2 14 3" xfId="45429" xr:uid="{00000000-0005-0000-0000-0000EB030000}"/>
    <cellStyle name="Remarque 2 2 2 2 2 2 2 15" xfId="1875" xr:uid="{00000000-0005-0000-0000-0000EC030000}"/>
    <cellStyle name="Remarque 2 2 2 2 2 2 2 15 2" xfId="25889" xr:uid="{00000000-0005-0000-0000-0000ED030000}"/>
    <cellStyle name="Remarque 2 2 2 2 2 2 2 15 3" xfId="49849" xr:uid="{00000000-0005-0000-0000-0000EE030000}"/>
    <cellStyle name="Remarque 2 2 2 2 2 2 2 16" xfId="24471" xr:uid="{00000000-0005-0000-0000-0000EF030000}"/>
    <cellStyle name="Remarque 2 2 2 2 2 2 2 16 2" xfId="48431" xr:uid="{00000000-0005-0000-0000-0000F0030000}"/>
    <cellStyle name="Remarque 2 2 2 2 2 2 2 17" xfId="36497" xr:uid="{00000000-0005-0000-0000-0000F1030000}"/>
    <cellStyle name="Remarque 2 2 2 2 2 2 2 17 2" xfId="60457" xr:uid="{00000000-0005-0000-0000-0000F2030000}"/>
    <cellStyle name="Remarque 2 2 2 2 2 2 2 18" xfId="13136" xr:uid="{00000000-0005-0000-0000-0000F3030000}"/>
    <cellStyle name="Remarque 2 2 2 2 2 2 2 19" xfId="37096" xr:uid="{00000000-0005-0000-0000-0000F4030000}"/>
    <cellStyle name="Remarque 2 2 2 2 2 2 2 2" xfId="575" xr:uid="{00000000-0005-0000-0000-0000F5030000}"/>
    <cellStyle name="Remarque 2 2 2 2 2 2 2 2 10" xfId="24607" xr:uid="{00000000-0005-0000-0000-0000F6030000}"/>
    <cellStyle name="Remarque 2 2 2 2 2 2 2 2 10 2" xfId="48567" xr:uid="{00000000-0005-0000-0000-0000F7030000}"/>
    <cellStyle name="Remarque 2 2 2 2 2 2 2 2 11" xfId="36403" xr:uid="{00000000-0005-0000-0000-0000F8030000}"/>
    <cellStyle name="Remarque 2 2 2 2 2 2 2 2 11 2" xfId="60363" xr:uid="{00000000-0005-0000-0000-0000F9030000}"/>
    <cellStyle name="Remarque 2 2 2 2 2 2 2 2 12" xfId="13272" xr:uid="{00000000-0005-0000-0000-0000FA030000}"/>
    <cellStyle name="Remarque 2 2 2 2 2 2 2 2 13" xfId="37232" xr:uid="{00000000-0005-0000-0000-0000FB030000}"/>
    <cellStyle name="Remarque 2 2 2 2 2 2 2 2 2" xfId="3481" xr:uid="{00000000-0005-0000-0000-0000FC030000}"/>
    <cellStyle name="Remarque 2 2 2 2 2 2 2 2 2 2" xfId="27495" xr:uid="{00000000-0005-0000-0000-0000FD030000}"/>
    <cellStyle name="Remarque 2 2 2 2 2 2 2 2 2 2 2" xfId="51455" xr:uid="{00000000-0005-0000-0000-0000FE030000}"/>
    <cellStyle name="Remarque 2 2 2 2 2 2 2 2 2 3" xfId="14742" xr:uid="{00000000-0005-0000-0000-0000FF030000}"/>
    <cellStyle name="Remarque 2 2 2 2 2 2 2 2 2 4" xfId="38702" xr:uid="{00000000-0005-0000-0000-000000040000}"/>
    <cellStyle name="Remarque 2 2 2 2 2 2 2 2 3" xfId="4915" xr:uid="{00000000-0005-0000-0000-000001040000}"/>
    <cellStyle name="Remarque 2 2 2 2 2 2 2 2 3 2" xfId="28929" xr:uid="{00000000-0005-0000-0000-000002040000}"/>
    <cellStyle name="Remarque 2 2 2 2 2 2 2 2 3 2 2" xfId="52889" xr:uid="{00000000-0005-0000-0000-000003040000}"/>
    <cellStyle name="Remarque 2 2 2 2 2 2 2 2 3 3" xfId="16176" xr:uid="{00000000-0005-0000-0000-000004040000}"/>
    <cellStyle name="Remarque 2 2 2 2 2 2 2 2 3 4" xfId="40136" xr:uid="{00000000-0005-0000-0000-000005040000}"/>
    <cellStyle name="Remarque 2 2 2 2 2 2 2 2 4" xfId="6309" xr:uid="{00000000-0005-0000-0000-000006040000}"/>
    <cellStyle name="Remarque 2 2 2 2 2 2 2 2 4 2" xfId="30323" xr:uid="{00000000-0005-0000-0000-000007040000}"/>
    <cellStyle name="Remarque 2 2 2 2 2 2 2 2 4 2 2" xfId="54283" xr:uid="{00000000-0005-0000-0000-000008040000}"/>
    <cellStyle name="Remarque 2 2 2 2 2 2 2 2 4 3" xfId="17570" xr:uid="{00000000-0005-0000-0000-000009040000}"/>
    <cellStyle name="Remarque 2 2 2 2 2 2 2 2 4 4" xfId="41530" xr:uid="{00000000-0005-0000-0000-00000A040000}"/>
    <cellStyle name="Remarque 2 2 2 2 2 2 2 2 5" xfId="7697" xr:uid="{00000000-0005-0000-0000-00000B040000}"/>
    <cellStyle name="Remarque 2 2 2 2 2 2 2 2 5 2" xfId="31711" xr:uid="{00000000-0005-0000-0000-00000C040000}"/>
    <cellStyle name="Remarque 2 2 2 2 2 2 2 2 5 2 2" xfId="55671" xr:uid="{00000000-0005-0000-0000-00000D040000}"/>
    <cellStyle name="Remarque 2 2 2 2 2 2 2 2 5 3" xfId="18958" xr:uid="{00000000-0005-0000-0000-00000E040000}"/>
    <cellStyle name="Remarque 2 2 2 2 2 2 2 2 5 4" xfId="42918" xr:uid="{00000000-0005-0000-0000-00000F040000}"/>
    <cellStyle name="Remarque 2 2 2 2 2 2 2 2 6" xfId="9082" xr:uid="{00000000-0005-0000-0000-000010040000}"/>
    <cellStyle name="Remarque 2 2 2 2 2 2 2 2 6 2" xfId="33096" xr:uid="{00000000-0005-0000-0000-000011040000}"/>
    <cellStyle name="Remarque 2 2 2 2 2 2 2 2 6 2 2" xfId="57056" xr:uid="{00000000-0005-0000-0000-000012040000}"/>
    <cellStyle name="Remarque 2 2 2 2 2 2 2 2 6 3" xfId="20343" xr:uid="{00000000-0005-0000-0000-000013040000}"/>
    <cellStyle name="Remarque 2 2 2 2 2 2 2 2 6 4" xfId="44303" xr:uid="{00000000-0005-0000-0000-000014040000}"/>
    <cellStyle name="Remarque 2 2 2 2 2 2 2 2 7" xfId="10539" xr:uid="{00000000-0005-0000-0000-000015040000}"/>
    <cellStyle name="Remarque 2 2 2 2 2 2 2 2 7 2" xfId="34549" xr:uid="{00000000-0005-0000-0000-000016040000}"/>
    <cellStyle name="Remarque 2 2 2 2 2 2 2 2 7 2 2" xfId="58509" xr:uid="{00000000-0005-0000-0000-000017040000}"/>
    <cellStyle name="Remarque 2 2 2 2 2 2 2 2 7 3" xfId="21806" xr:uid="{00000000-0005-0000-0000-000018040000}"/>
    <cellStyle name="Remarque 2 2 2 2 2 2 2 2 7 4" xfId="45766" xr:uid="{00000000-0005-0000-0000-000019040000}"/>
    <cellStyle name="Remarque 2 2 2 2 2 2 2 2 8" xfId="12527" xr:uid="{00000000-0005-0000-0000-00001A040000}"/>
    <cellStyle name="Remarque 2 2 2 2 2 2 2 2 8 2" xfId="23824" xr:uid="{00000000-0005-0000-0000-00001B040000}"/>
    <cellStyle name="Remarque 2 2 2 2 2 2 2 2 8 3" xfId="47784" xr:uid="{00000000-0005-0000-0000-00001C040000}"/>
    <cellStyle name="Remarque 2 2 2 2 2 2 2 2 9" xfId="2011" xr:uid="{00000000-0005-0000-0000-00001D040000}"/>
    <cellStyle name="Remarque 2 2 2 2 2 2 2 2 9 2" xfId="26025" xr:uid="{00000000-0005-0000-0000-00001E040000}"/>
    <cellStyle name="Remarque 2 2 2 2 2 2 2 2 9 3" xfId="49985" xr:uid="{00000000-0005-0000-0000-00001F040000}"/>
    <cellStyle name="Remarque 2 2 2 2 2 2 2 3" xfId="767" xr:uid="{00000000-0005-0000-0000-000020040000}"/>
    <cellStyle name="Remarque 2 2 2 2 2 2 2 3 10" xfId="24799" xr:uid="{00000000-0005-0000-0000-000021040000}"/>
    <cellStyle name="Remarque 2 2 2 2 2 2 2 3 10 2" xfId="48759" xr:uid="{00000000-0005-0000-0000-000022040000}"/>
    <cellStyle name="Remarque 2 2 2 2 2 2 2 3 11" xfId="36158" xr:uid="{00000000-0005-0000-0000-000023040000}"/>
    <cellStyle name="Remarque 2 2 2 2 2 2 2 3 11 2" xfId="60118" xr:uid="{00000000-0005-0000-0000-000024040000}"/>
    <cellStyle name="Remarque 2 2 2 2 2 2 2 3 12" xfId="13464" xr:uid="{00000000-0005-0000-0000-000025040000}"/>
    <cellStyle name="Remarque 2 2 2 2 2 2 2 3 13" xfId="37424" xr:uid="{00000000-0005-0000-0000-000026040000}"/>
    <cellStyle name="Remarque 2 2 2 2 2 2 2 3 2" xfId="3673" xr:uid="{00000000-0005-0000-0000-000027040000}"/>
    <cellStyle name="Remarque 2 2 2 2 2 2 2 3 2 2" xfId="27687" xr:uid="{00000000-0005-0000-0000-000028040000}"/>
    <cellStyle name="Remarque 2 2 2 2 2 2 2 3 2 2 2" xfId="51647" xr:uid="{00000000-0005-0000-0000-000029040000}"/>
    <cellStyle name="Remarque 2 2 2 2 2 2 2 3 2 3" xfId="14934" xr:uid="{00000000-0005-0000-0000-00002A040000}"/>
    <cellStyle name="Remarque 2 2 2 2 2 2 2 3 2 4" xfId="38894" xr:uid="{00000000-0005-0000-0000-00002B040000}"/>
    <cellStyle name="Remarque 2 2 2 2 2 2 2 3 3" xfId="5107" xr:uid="{00000000-0005-0000-0000-00002C040000}"/>
    <cellStyle name="Remarque 2 2 2 2 2 2 2 3 3 2" xfId="29121" xr:uid="{00000000-0005-0000-0000-00002D040000}"/>
    <cellStyle name="Remarque 2 2 2 2 2 2 2 3 3 2 2" xfId="53081" xr:uid="{00000000-0005-0000-0000-00002E040000}"/>
    <cellStyle name="Remarque 2 2 2 2 2 2 2 3 3 3" xfId="16368" xr:uid="{00000000-0005-0000-0000-00002F040000}"/>
    <cellStyle name="Remarque 2 2 2 2 2 2 2 3 3 4" xfId="40328" xr:uid="{00000000-0005-0000-0000-000030040000}"/>
    <cellStyle name="Remarque 2 2 2 2 2 2 2 3 4" xfId="6501" xr:uid="{00000000-0005-0000-0000-000031040000}"/>
    <cellStyle name="Remarque 2 2 2 2 2 2 2 3 4 2" xfId="30515" xr:uid="{00000000-0005-0000-0000-000032040000}"/>
    <cellStyle name="Remarque 2 2 2 2 2 2 2 3 4 2 2" xfId="54475" xr:uid="{00000000-0005-0000-0000-000033040000}"/>
    <cellStyle name="Remarque 2 2 2 2 2 2 2 3 4 3" xfId="17762" xr:uid="{00000000-0005-0000-0000-000034040000}"/>
    <cellStyle name="Remarque 2 2 2 2 2 2 2 3 4 4" xfId="41722" xr:uid="{00000000-0005-0000-0000-000035040000}"/>
    <cellStyle name="Remarque 2 2 2 2 2 2 2 3 5" xfId="7889" xr:uid="{00000000-0005-0000-0000-000036040000}"/>
    <cellStyle name="Remarque 2 2 2 2 2 2 2 3 5 2" xfId="31903" xr:uid="{00000000-0005-0000-0000-000037040000}"/>
    <cellStyle name="Remarque 2 2 2 2 2 2 2 3 5 2 2" xfId="55863" xr:uid="{00000000-0005-0000-0000-000038040000}"/>
    <cellStyle name="Remarque 2 2 2 2 2 2 2 3 5 3" xfId="19150" xr:uid="{00000000-0005-0000-0000-000039040000}"/>
    <cellStyle name="Remarque 2 2 2 2 2 2 2 3 5 4" xfId="43110" xr:uid="{00000000-0005-0000-0000-00003A040000}"/>
    <cellStyle name="Remarque 2 2 2 2 2 2 2 3 6" xfId="9274" xr:uid="{00000000-0005-0000-0000-00003B040000}"/>
    <cellStyle name="Remarque 2 2 2 2 2 2 2 3 6 2" xfId="33288" xr:uid="{00000000-0005-0000-0000-00003C040000}"/>
    <cellStyle name="Remarque 2 2 2 2 2 2 2 3 6 2 2" xfId="57248" xr:uid="{00000000-0005-0000-0000-00003D040000}"/>
    <cellStyle name="Remarque 2 2 2 2 2 2 2 3 6 3" xfId="20535" xr:uid="{00000000-0005-0000-0000-00003E040000}"/>
    <cellStyle name="Remarque 2 2 2 2 2 2 2 3 6 4" xfId="44495" xr:uid="{00000000-0005-0000-0000-00003F040000}"/>
    <cellStyle name="Remarque 2 2 2 2 2 2 2 3 7" xfId="10731" xr:uid="{00000000-0005-0000-0000-000040040000}"/>
    <cellStyle name="Remarque 2 2 2 2 2 2 2 3 7 2" xfId="34741" xr:uid="{00000000-0005-0000-0000-000041040000}"/>
    <cellStyle name="Remarque 2 2 2 2 2 2 2 3 7 2 2" xfId="58701" xr:uid="{00000000-0005-0000-0000-000042040000}"/>
    <cellStyle name="Remarque 2 2 2 2 2 2 2 3 7 3" xfId="21998" xr:uid="{00000000-0005-0000-0000-000043040000}"/>
    <cellStyle name="Remarque 2 2 2 2 2 2 2 3 7 4" xfId="45958" xr:uid="{00000000-0005-0000-0000-000044040000}"/>
    <cellStyle name="Remarque 2 2 2 2 2 2 2 3 8" xfId="12364" xr:uid="{00000000-0005-0000-0000-000045040000}"/>
    <cellStyle name="Remarque 2 2 2 2 2 2 2 3 8 2" xfId="23653" xr:uid="{00000000-0005-0000-0000-000046040000}"/>
    <cellStyle name="Remarque 2 2 2 2 2 2 2 3 8 3" xfId="47613" xr:uid="{00000000-0005-0000-0000-000047040000}"/>
    <cellStyle name="Remarque 2 2 2 2 2 2 2 3 9" xfId="2203" xr:uid="{00000000-0005-0000-0000-000048040000}"/>
    <cellStyle name="Remarque 2 2 2 2 2 2 2 3 9 2" xfId="26217" xr:uid="{00000000-0005-0000-0000-000049040000}"/>
    <cellStyle name="Remarque 2 2 2 2 2 2 2 3 9 3" xfId="50177" xr:uid="{00000000-0005-0000-0000-00004A040000}"/>
    <cellStyle name="Remarque 2 2 2 2 2 2 2 4" xfId="961" xr:uid="{00000000-0005-0000-0000-00004B040000}"/>
    <cellStyle name="Remarque 2 2 2 2 2 2 2 4 10" xfId="24993" xr:uid="{00000000-0005-0000-0000-00004C040000}"/>
    <cellStyle name="Remarque 2 2 2 2 2 2 2 4 10 2" xfId="48953" xr:uid="{00000000-0005-0000-0000-00004D040000}"/>
    <cellStyle name="Remarque 2 2 2 2 2 2 2 4 11" xfId="36387" xr:uid="{00000000-0005-0000-0000-00004E040000}"/>
    <cellStyle name="Remarque 2 2 2 2 2 2 2 4 11 2" xfId="60347" xr:uid="{00000000-0005-0000-0000-00004F040000}"/>
    <cellStyle name="Remarque 2 2 2 2 2 2 2 4 12" xfId="13658" xr:uid="{00000000-0005-0000-0000-000050040000}"/>
    <cellStyle name="Remarque 2 2 2 2 2 2 2 4 13" xfId="37618" xr:uid="{00000000-0005-0000-0000-000051040000}"/>
    <cellStyle name="Remarque 2 2 2 2 2 2 2 4 2" xfId="3867" xr:uid="{00000000-0005-0000-0000-000052040000}"/>
    <cellStyle name="Remarque 2 2 2 2 2 2 2 4 2 2" xfId="27881" xr:uid="{00000000-0005-0000-0000-000053040000}"/>
    <cellStyle name="Remarque 2 2 2 2 2 2 2 4 2 2 2" xfId="51841" xr:uid="{00000000-0005-0000-0000-000054040000}"/>
    <cellStyle name="Remarque 2 2 2 2 2 2 2 4 2 3" xfId="15128" xr:uid="{00000000-0005-0000-0000-000055040000}"/>
    <cellStyle name="Remarque 2 2 2 2 2 2 2 4 2 4" xfId="39088" xr:uid="{00000000-0005-0000-0000-000056040000}"/>
    <cellStyle name="Remarque 2 2 2 2 2 2 2 4 3" xfId="5301" xr:uid="{00000000-0005-0000-0000-000057040000}"/>
    <cellStyle name="Remarque 2 2 2 2 2 2 2 4 3 2" xfId="29315" xr:uid="{00000000-0005-0000-0000-000058040000}"/>
    <cellStyle name="Remarque 2 2 2 2 2 2 2 4 3 2 2" xfId="53275" xr:uid="{00000000-0005-0000-0000-000059040000}"/>
    <cellStyle name="Remarque 2 2 2 2 2 2 2 4 3 3" xfId="16562" xr:uid="{00000000-0005-0000-0000-00005A040000}"/>
    <cellStyle name="Remarque 2 2 2 2 2 2 2 4 3 4" xfId="40522" xr:uid="{00000000-0005-0000-0000-00005B040000}"/>
    <cellStyle name="Remarque 2 2 2 2 2 2 2 4 4" xfId="6695" xr:uid="{00000000-0005-0000-0000-00005C040000}"/>
    <cellStyle name="Remarque 2 2 2 2 2 2 2 4 4 2" xfId="30709" xr:uid="{00000000-0005-0000-0000-00005D040000}"/>
    <cellStyle name="Remarque 2 2 2 2 2 2 2 4 4 2 2" xfId="54669" xr:uid="{00000000-0005-0000-0000-00005E040000}"/>
    <cellStyle name="Remarque 2 2 2 2 2 2 2 4 4 3" xfId="17956" xr:uid="{00000000-0005-0000-0000-00005F040000}"/>
    <cellStyle name="Remarque 2 2 2 2 2 2 2 4 4 4" xfId="41916" xr:uid="{00000000-0005-0000-0000-000060040000}"/>
    <cellStyle name="Remarque 2 2 2 2 2 2 2 4 5" xfId="8083" xr:uid="{00000000-0005-0000-0000-000061040000}"/>
    <cellStyle name="Remarque 2 2 2 2 2 2 2 4 5 2" xfId="32097" xr:uid="{00000000-0005-0000-0000-000062040000}"/>
    <cellStyle name="Remarque 2 2 2 2 2 2 2 4 5 2 2" xfId="56057" xr:uid="{00000000-0005-0000-0000-000063040000}"/>
    <cellStyle name="Remarque 2 2 2 2 2 2 2 4 5 3" xfId="19344" xr:uid="{00000000-0005-0000-0000-000064040000}"/>
    <cellStyle name="Remarque 2 2 2 2 2 2 2 4 5 4" xfId="43304" xr:uid="{00000000-0005-0000-0000-000065040000}"/>
    <cellStyle name="Remarque 2 2 2 2 2 2 2 4 6" xfId="9468" xr:uid="{00000000-0005-0000-0000-000066040000}"/>
    <cellStyle name="Remarque 2 2 2 2 2 2 2 4 6 2" xfId="33482" xr:uid="{00000000-0005-0000-0000-000067040000}"/>
    <cellStyle name="Remarque 2 2 2 2 2 2 2 4 6 2 2" xfId="57442" xr:uid="{00000000-0005-0000-0000-000068040000}"/>
    <cellStyle name="Remarque 2 2 2 2 2 2 2 4 6 3" xfId="20729" xr:uid="{00000000-0005-0000-0000-000069040000}"/>
    <cellStyle name="Remarque 2 2 2 2 2 2 2 4 6 4" xfId="44689" xr:uid="{00000000-0005-0000-0000-00006A040000}"/>
    <cellStyle name="Remarque 2 2 2 2 2 2 2 4 7" xfId="10925" xr:uid="{00000000-0005-0000-0000-00006B040000}"/>
    <cellStyle name="Remarque 2 2 2 2 2 2 2 4 7 2" xfId="34935" xr:uid="{00000000-0005-0000-0000-00006C040000}"/>
    <cellStyle name="Remarque 2 2 2 2 2 2 2 4 7 2 2" xfId="58895" xr:uid="{00000000-0005-0000-0000-00006D040000}"/>
    <cellStyle name="Remarque 2 2 2 2 2 2 2 4 7 3" xfId="22192" xr:uid="{00000000-0005-0000-0000-00006E040000}"/>
    <cellStyle name="Remarque 2 2 2 2 2 2 2 4 7 4" xfId="46152" xr:uid="{00000000-0005-0000-0000-00006F040000}"/>
    <cellStyle name="Remarque 2 2 2 2 2 2 2 4 8" xfId="12197" xr:uid="{00000000-0005-0000-0000-000070040000}"/>
    <cellStyle name="Remarque 2 2 2 2 2 2 2 4 8 2" xfId="23480" xr:uid="{00000000-0005-0000-0000-000071040000}"/>
    <cellStyle name="Remarque 2 2 2 2 2 2 2 4 8 3" xfId="47440" xr:uid="{00000000-0005-0000-0000-000072040000}"/>
    <cellStyle name="Remarque 2 2 2 2 2 2 2 4 9" xfId="2397" xr:uid="{00000000-0005-0000-0000-000073040000}"/>
    <cellStyle name="Remarque 2 2 2 2 2 2 2 4 9 2" xfId="26411" xr:uid="{00000000-0005-0000-0000-000074040000}"/>
    <cellStyle name="Remarque 2 2 2 2 2 2 2 4 9 3" xfId="50371" xr:uid="{00000000-0005-0000-0000-000075040000}"/>
    <cellStyle name="Remarque 2 2 2 2 2 2 2 5" xfId="1154" xr:uid="{00000000-0005-0000-0000-000076040000}"/>
    <cellStyle name="Remarque 2 2 2 2 2 2 2 5 10" xfId="25186" xr:uid="{00000000-0005-0000-0000-000077040000}"/>
    <cellStyle name="Remarque 2 2 2 2 2 2 2 5 10 2" xfId="49146" xr:uid="{00000000-0005-0000-0000-000078040000}"/>
    <cellStyle name="Remarque 2 2 2 2 2 2 2 5 11" xfId="35727" xr:uid="{00000000-0005-0000-0000-000079040000}"/>
    <cellStyle name="Remarque 2 2 2 2 2 2 2 5 11 2" xfId="59687" xr:uid="{00000000-0005-0000-0000-00007A040000}"/>
    <cellStyle name="Remarque 2 2 2 2 2 2 2 5 12" xfId="13851" xr:uid="{00000000-0005-0000-0000-00007B040000}"/>
    <cellStyle name="Remarque 2 2 2 2 2 2 2 5 13" xfId="37811" xr:uid="{00000000-0005-0000-0000-00007C040000}"/>
    <cellStyle name="Remarque 2 2 2 2 2 2 2 5 2" xfId="4060" xr:uid="{00000000-0005-0000-0000-00007D040000}"/>
    <cellStyle name="Remarque 2 2 2 2 2 2 2 5 2 2" xfId="28074" xr:uid="{00000000-0005-0000-0000-00007E040000}"/>
    <cellStyle name="Remarque 2 2 2 2 2 2 2 5 2 2 2" xfId="52034" xr:uid="{00000000-0005-0000-0000-00007F040000}"/>
    <cellStyle name="Remarque 2 2 2 2 2 2 2 5 2 3" xfId="15321" xr:uid="{00000000-0005-0000-0000-000080040000}"/>
    <cellStyle name="Remarque 2 2 2 2 2 2 2 5 2 4" xfId="39281" xr:uid="{00000000-0005-0000-0000-000081040000}"/>
    <cellStyle name="Remarque 2 2 2 2 2 2 2 5 3" xfId="5494" xr:uid="{00000000-0005-0000-0000-000082040000}"/>
    <cellStyle name="Remarque 2 2 2 2 2 2 2 5 3 2" xfId="29508" xr:uid="{00000000-0005-0000-0000-000083040000}"/>
    <cellStyle name="Remarque 2 2 2 2 2 2 2 5 3 2 2" xfId="53468" xr:uid="{00000000-0005-0000-0000-000084040000}"/>
    <cellStyle name="Remarque 2 2 2 2 2 2 2 5 3 3" xfId="16755" xr:uid="{00000000-0005-0000-0000-000085040000}"/>
    <cellStyle name="Remarque 2 2 2 2 2 2 2 5 3 4" xfId="40715" xr:uid="{00000000-0005-0000-0000-000086040000}"/>
    <cellStyle name="Remarque 2 2 2 2 2 2 2 5 4" xfId="6888" xr:uid="{00000000-0005-0000-0000-000087040000}"/>
    <cellStyle name="Remarque 2 2 2 2 2 2 2 5 4 2" xfId="30902" xr:uid="{00000000-0005-0000-0000-000088040000}"/>
    <cellStyle name="Remarque 2 2 2 2 2 2 2 5 4 2 2" xfId="54862" xr:uid="{00000000-0005-0000-0000-000089040000}"/>
    <cellStyle name="Remarque 2 2 2 2 2 2 2 5 4 3" xfId="18149" xr:uid="{00000000-0005-0000-0000-00008A040000}"/>
    <cellStyle name="Remarque 2 2 2 2 2 2 2 5 4 4" xfId="42109" xr:uid="{00000000-0005-0000-0000-00008B040000}"/>
    <cellStyle name="Remarque 2 2 2 2 2 2 2 5 5" xfId="8276" xr:uid="{00000000-0005-0000-0000-00008C040000}"/>
    <cellStyle name="Remarque 2 2 2 2 2 2 2 5 5 2" xfId="32290" xr:uid="{00000000-0005-0000-0000-00008D040000}"/>
    <cellStyle name="Remarque 2 2 2 2 2 2 2 5 5 2 2" xfId="56250" xr:uid="{00000000-0005-0000-0000-00008E040000}"/>
    <cellStyle name="Remarque 2 2 2 2 2 2 2 5 5 3" xfId="19537" xr:uid="{00000000-0005-0000-0000-00008F040000}"/>
    <cellStyle name="Remarque 2 2 2 2 2 2 2 5 5 4" xfId="43497" xr:uid="{00000000-0005-0000-0000-000090040000}"/>
    <cellStyle name="Remarque 2 2 2 2 2 2 2 5 6" xfId="9661" xr:uid="{00000000-0005-0000-0000-000091040000}"/>
    <cellStyle name="Remarque 2 2 2 2 2 2 2 5 6 2" xfId="33675" xr:uid="{00000000-0005-0000-0000-000092040000}"/>
    <cellStyle name="Remarque 2 2 2 2 2 2 2 5 6 2 2" xfId="57635" xr:uid="{00000000-0005-0000-0000-000093040000}"/>
    <cellStyle name="Remarque 2 2 2 2 2 2 2 5 6 3" xfId="20922" xr:uid="{00000000-0005-0000-0000-000094040000}"/>
    <cellStyle name="Remarque 2 2 2 2 2 2 2 5 6 4" xfId="44882" xr:uid="{00000000-0005-0000-0000-000095040000}"/>
    <cellStyle name="Remarque 2 2 2 2 2 2 2 5 7" xfId="11118" xr:uid="{00000000-0005-0000-0000-000096040000}"/>
    <cellStyle name="Remarque 2 2 2 2 2 2 2 5 7 2" xfId="35128" xr:uid="{00000000-0005-0000-0000-000097040000}"/>
    <cellStyle name="Remarque 2 2 2 2 2 2 2 5 7 2 2" xfId="59088" xr:uid="{00000000-0005-0000-0000-000098040000}"/>
    <cellStyle name="Remarque 2 2 2 2 2 2 2 5 7 3" xfId="22385" xr:uid="{00000000-0005-0000-0000-000099040000}"/>
    <cellStyle name="Remarque 2 2 2 2 2 2 2 5 7 4" xfId="46345" xr:uid="{00000000-0005-0000-0000-00009A040000}"/>
    <cellStyle name="Remarque 2 2 2 2 2 2 2 5 8" xfId="11814" xr:uid="{00000000-0005-0000-0000-00009B040000}"/>
    <cellStyle name="Remarque 2 2 2 2 2 2 2 5 8 2" xfId="23088" xr:uid="{00000000-0005-0000-0000-00009C040000}"/>
    <cellStyle name="Remarque 2 2 2 2 2 2 2 5 8 3" xfId="47048" xr:uid="{00000000-0005-0000-0000-00009D040000}"/>
    <cellStyle name="Remarque 2 2 2 2 2 2 2 5 9" xfId="2590" xr:uid="{00000000-0005-0000-0000-00009E040000}"/>
    <cellStyle name="Remarque 2 2 2 2 2 2 2 5 9 2" xfId="26604" xr:uid="{00000000-0005-0000-0000-00009F040000}"/>
    <cellStyle name="Remarque 2 2 2 2 2 2 2 5 9 3" xfId="50564" xr:uid="{00000000-0005-0000-0000-0000A0040000}"/>
    <cellStyle name="Remarque 2 2 2 2 2 2 2 6" xfId="1321" xr:uid="{00000000-0005-0000-0000-0000A1040000}"/>
    <cellStyle name="Remarque 2 2 2 2 2 2 2 6 10" xfId="25353" xr:uid="{00000000-0005-0000-0000-0000A2040000}"/>
    <cellStyle name="Remarque 2 2 2 2 2 2 2 6 10 2" xfId="49313" xr:uid="{00000000-0005-0000-0000-0000A3040000}"/>
    <cellStyle name="Remarque 2 2 2 2 2 2 2 6 11" xfId="36287" xr:uid="{00000000-0005-0000-0000-0000A4040000}"/>
    <cellStyle name="Remarque 2 2 2 2 2 2 2 6 11 2" xfId="60247" xr:uid="{00000000-0005-0000-0000-0000A5040000}"/>
    <cellStyle name="Remarque 2 2 2 2 2 2 2 6 12" xfId="14018" xr:uid="{00000000-0005-0000-0000-0000A6040000}"/>
    <cellStyle name="Remarque 2 2 2 2 2 2 2 6 13" xfId="37978" xr:uid="{00000000-0005-0000-0000-0000A7040000}"/>
    <cellStyle name="Remarque 2 2 2 2 2 2 2 6 2" xfId="4227" xr:uid="{00000000-0005-0000-0000-0000A8040000}"/>
    <cellStyle name="Remarque 2 2 2 2 2 2 2 6 2 2" xfId="28241" xr:uid="{00000000-0005-0000-0000-0000A9040000}"/>
    <cellStyle name="Remarque 2 2 2 2 2 2 2 6 2 2 2" xfId="52201" xr:uid="{00000000-0005-0000-0000-0000AA040000}"/>
    <cellStyle name="Remarque 2 2 2 2 2 2 2 6 2 3" xfId="15488" xr:uid="{00000000-0005-0000-0000-0000AB040000}"/>
    <cellStyle name="Remarque 2 2 2 2 2 2 2 6 2 4" xfId="39448" xr:uid="{00000000-0005-0000-0000-0000AC040000}"/>
    <cellStyle name="Remarque 2 2 2 2 2 2 2 6 3" xfId="5661" xr:uid="{00000000-0005-0000-0000-0000AD040000}"/>
    <cellStyle name="Remarque 2 2 2 2 2 2 2 6 3 2" xfId="29675" xr:uid="{00000000-0005-0000-0000-0000AE040000}"/>
    <cellStyle name="Remarque 2 2 2 2 2 2 2 6 3 2 2" xfId="53635" xr:uid="{00000000-0005-0000-0000-0000AF040000}"/>
    <cellStyle name="Remarque 2 2 2 2 2 2 2 6 3 3" xfId="16922" xr:uid="{00000000-0005-0000-0000-0000B0040000}"/>
    <cellStyle name="Remarque 2 2 2 2 2 2 2 6 3 4" xfId="40882" xr:uid="{00000000-0005-0000-0000-0000B1040000}"/>
    <cellStyle name="Remarque 2 2 2 2 2 2 2 6 4" xfId="7055" xr:uid="{00000000-0005-0000-0000-0000B2040000}"/>
    <cellStyle name="Remarque 2 2 2 2 2 2 2 6 4 2" xfId="31069" xr:uid="{00000000-0005-0000-0000-0000B3040000}"/>
    <cellStyle name="Remarque 2 2 2 2 2 2 2 6 4 2 2" xfId="55029" xr:uid="{00000000-0005-0000-0000-0000B4040000}"/>
    <cellStyle name="Remarque 2 2 2 2 2 2 2 6 4 3" xfId="18316" xr:uid="{00000000-0005-0000-0000-0000B5040000}"/>
    <cellStyle name="Remarque 2 2 2 2 2 2 2 6 4 4" xfId="42276" xr:uid="{00000000-0005-0000-0000-0000B6040000}"/>
    <cellStyle name="Remarque 2 2 2 2 2 2 2 6 5" xfId="8443" xr:uid="{00000000-0005-0000-0000-0000B7040000}"/>
    <cellStyle name="Remarque 2 2 2 2 2 2 2 6 5 2" xfId="32457" xr:uid="{00000000-0005-0000-0000-0000B8040000}"/>
    <cellStyle name="Remarque 2 2 2 2 2 2 2 6 5 2 2" xfId="56417" xr:uid="{00000000-0005-0000-0000-0000B9040000}"/>
    <cellStyle name="Remarque 2 2 2 2 2 2 2 6 5 3" xfId="19704" xr:uid="{00000000-0005-0000-0000-0000BA040000}"/>
    <cellStyle name="Remarque 2 2 2 2 2 2 2 6 5 4" xfId="43664" xr:uid="{00000000-0005-0000-0000-0000BB040000}"/>
    <cellStyle name="Remarque 2 2 2 2 2 2 2 6 6" xfId="9828" xr:uid="{00000000-0005-0000-0000-0000BC040000}"/>
    <cellStyle name="Remarque 2 2 2 2 2 2 2 6 6 2" xfId="33842" xr:uid="{00000000-0005-0000-0000-0000BD040000}"/>
    <cellStyle name="Remarque 2 2 2 2 2 2 2 6 6 2 2" xfId="57802" xr:uid="{00000000-0005-0000-0000-0000BE040000}"/>
    <cellStyle name="Remarque 2 2 2 2 2 2 2 6 6 3" xfId="21089" xr:uid="{00000000-0005-0000-0000-0000BF040000}"/>
    <cellStyle name="Remarque 2 2 2 2 2 2 2 6 6 4" xfId="45049" xr:uid="{00000000-0005-0000-0000-0000C0040000}"/>
    <cellStyle name="Remarque 2 2 2 2 2 2 2 6 7" xfId="11285" xr:uid="{00000000-0005-0000-0000-0000C1040000}"/>
    <cellStyle name="Remarque 2 2 2 2 2 2 2 6 7 2" xfId="35295" xr:uid="{00000000-0005-0000-0000-0000C2040000}"/>
    <cellStyle name="Remarque 2 2 2 2 2 2 2 6 7 2 2" xfId="59255" xr:uid="{00000000-0005-0000-0000-0000C3040000}"/>
    <cellStyle name="Remarque 2 2 2 2 2 2 2 6 7 3" xfId="22552" xr:uid="{00000000-0005-0000-0000-0000C4040000}"/>
    <cellStyle name="Remarque 2 2 2 2 2 2 2 6 7 4" xfId="46512" xr:uid="{00000000-0005-0000-0000-0000C5040000}"/>
    <cellStyle name="Remarque 2 2 2 2 2 2 2 6 8" xfId="11793" xr:uid="{00000000-0005-0000-0000-0000C6040000}"/>
    <cellStyle name="Remarque 2 2 2 2 2 2 2 6 8 2" xfId="23067" xr:uid="{00000000-0005-0000-0000-0000C7040000}"/>
    <cellStyle name="Remarque 2 2 2 2 2 2 2 6 8 3" xfId="47027" xr:uid="{00000000-0005-0000-0000-0000C8040000}"/>
    <cellStyle name="Remarque 2 2 2 2 2 2 2 6 9" xfId="2757" xr:uid="{00000000-0005-0000-0000-0000C9040000}"/>
    <cellStyle name="Remarque 2 2 2 2 2 2 2 6 9 2" xfId="26771" xr:uid="{00000000-0005-0000-0000-0000CA040000}"/>
    <cellStyle name="Remarque 2 2 2 2 2 2 2 6 9 3" xfId="50731" xr:uid="{00000000-0005-0000-0000-0000CB040000}"/>
    <cellStyle name="Remarque 2 2 2 2 2 2 2 7" xfId="1490" xr:uid="{00000000-0005-0000-0000-0000CC040000}"/>
    <cellStyle name="Remarque 2 2 2 2 2 2 2 7 10" xfId="25522" xr:uid="{00000000-0005-0000-0000-0000CD040000}"/>
    <cellStyle name="Remarque 2 2 2 2 2 2 2 7 10 2" xfId="49482" xr:uid="{00000000-0005-0000-0000-0000CE040000}"/>
    <cellStyle name="Remarque 2 2 2 2 2 2 2 7 11" xfId="36700" xr:uid="{00000000-0005-0000-0000-0000CF040000}"/>
    <cellStyle name="Remarque 2 2 2 2 2 2 2 7 11 2" xfId="60660" xr:uid="{00000000-0005-0000-0000-0000D0040000}"/>
    <cellStyle name="Remarque 2 2 2 2 2 2 2 7 12" xfId="14187" xr:uid="{00000000-0005-0000-0000-0000D1040000}"/>
    <cellStyle name="Remarque 2 2 2 2 2 2 2 7 13" xfId="38147" xr:uid="{00000000-0005-0000-0000-0000D2040000}"/>
    <cellStyle name="Remarque 2 2 2 2 2 2 2 7 2" xfId="4396" xr:uid="{00000000-0005-0000-0000-0000D3040000}"/>
    <cellStyle name="Remarque 2 2 2 2 2 2 2 7 2 2" xfId="28410" xr:uid="{00000000-0005-0000-0000-0000D4040000}"/>
    <cellStyle name="Remarque 2 2 2 2 2 2 2 7 2 2 2" xfId="52370" xr:uid="{00000000-0005-0000-0000-0000D5040000}"/>
    <cellStyle name="Remarque 2 2 2 2 2 2 2 7 2 3" xfId="15657" xr:uid="{00000000-0005-0000-0000-0000D6040000}"/>
    <cellStyle name="Remarque 2 2 2 2 2 2 2 7 2 4" xfId="39617" xr:uid="{00000000-0005-0000-0000-0000D7040000}"/>
    <cellStyle name="Remarque 2 2 2 2 2 2 2 7 3" xfId="5830" xr:uid="{00000000-0005-0000-0000-0000D8040000}"/>
    <cellStyle name="Remarque 2 2 2 2 2 2 2 7 3 2" xfId="29844" xr:uid="{00000000-0005-0000-0000-0000D9040000}"/>
    <cellStyle name="Remarque 2 2 2 2 2 2 2 7 3 2 2" xfId="53804" xr:uid="{00000000-0005-0000-0000-0000DA040000}"/>
    <cellStyle name="Remarque 2 2 2 2 2 2 2 7 3 3" xfId="17091" xr:uid="{00000000-0005-0000-0000-0000DB040000}"/>
    <cellStyle name="Remarque 2 2 2 2 2 2 2 7 3 4" xfId="41051" xr:uid="{00000000-0005-0000-0000-0000DC040000}"/>
    <cellStyle name="Remarque 2 2 2 2 2 2 2 7 4" xfId="7224" xr:uid="{00000000-0005-0000-0000-0000DD040000}"/>
    <cellStyle name="Remarque 2 2 2 2 2 2 2 7 4 2" xfId="31238" xr:uid="{00000000-0005-0000-0000-0000DE040000}"/>
    <cellStyle name="Remarque 2 2 2 2 2 2 2 7 4 2 2" xfId="55198" xr:uid="{00000000-0005-0000-0000-0000DF040000}"/>
    <cellStyle name="Remarque 2 2 2 2 2 2 2 7 4 3" xfId="18485" xr:uid="{00000000-0005-0000-0000-0000E0040000}"/>
    <cellStyle name="Remarque 2 2 2 2 2 2 2 7 4 4" xfId="42445" xr:uid="{00000000-0005-0000-0000-0000E1040000}"/>
    <cellStyle name="Remarque 2 2 2 2 2 2 2 7 5" xfId="8612" xr:uid="{00000000-0005-0000-0000-0000E2040000}"/>
    <cellStyle name="Remarque 2 2 2 2 2 2 2 7 5 2" xfId="32626" xr:uid="{00000000-0005-0000-0000-0000E3040000}"/>
    <cellStyle name="Remarque 2 2 2 2 2 2 2 7 5 2 2" xfId="56586" xr:uid="{00000000-0005-0000-0000-0000E4040000}"/>
    <cellStyle name="Remarque 2 2 2 2 2 2 2 7 5 3" xfId="19873" xr:uid="{00000000-0005-0000-0000-0000E5040000}"/>
    <cellStyle name="Remarque 2 2 2 2 2 2 2 7 5 4" xfId="43833" xr:uid="{00000000-0005-0000-0000-0000E6040000}"/>
    <cellStyle name="Remarque 2 2 2 2 2 2 2 7 6" xfId="9997" xr:uid="{00000000-0005-0000-0000-0000E7040000}"/>
    <cellStyle name="Remarque 2 2 2 2 2 2 2 7 6 2" xfId="34011" xr:uid="{00000000-0005-0000-0000-0000E8040000}"/>
    <cellStyle name="Remarque 2 2 2 2 2 2 2 7 6 2 2" xfId="57971" xr:uid="{00000000-0005-0000-0000-0000E9040000}"/>
    <cellStyle name="Remarque 2 2 2 2 2 2 2 7 6 3" xfId="21258" xr:uid="{00000000-0005-0000-0000-0000EA040000}"/>
    <cellStyle name="Remarque 2 2 2 2 2 2 2 7 6 4" xfId="45218" xr:uid="{00000000-0005-0000-0000-0000EB040000}"/>
    <cellStyle name="Remarque 2 2 2 2 2 2 2 7 7" xfId="11454" xr:uid="{00000000-0005-0000-0000-0000EC040000}"/>
    <cellStyle name="Remarque 2 2 2 2 2 2 2 7 7 2" xfId="35464" xr:uid="{00000000-0005-0000-0000-0000ED040000}"/>
    <cellStyle name="Remarque 2 2 2 2 2 2 2 7 7 2 2" xfId="59424" xr:uid="{00000000-0005-0000-0000-0000EE040000}"/>
    <cellStyle name="Remarque 2 2 2 2 2 2 2 7 7 3" xfId="22721" xr:uid="{00000000-0005-0000-0000-0000EF040000}"/>
    <cellStyle name="Remarque 2 2 2 2 2 2 2 7 7 4" xfId="46681" xr:uid="{00000000-0005-0000-0000-0000F0040000}"/>
    <cellStyle name="Remarque 2 2 2 2 2 2 2 7 8" xfId="11785" xr:uid="{00000000-0005-0000-0000-0000F1040000}"/>
    <cellStyle name="Remarque 2 2 2 2 2 2 2 7 8 2" xfId="23059" xr:uid="{00000000-0005-0000-0000-0000F2040000}"/>
    <cellStyle name="Remarque 2 2 2 2 2 2 2 7 8 3" xfId="47019" xr:uid="{00000000-0005-0000-0000-0000F3040000}"/>
    <cellStyle name="Remarque 2 2 2 2 2 2 2 7 9" xfId="2926" xr:uid="{00000000-0005-0000-0000-0000F4040000}"/>
    <cellStyle name="Remarque 2 2 2 2 2 2 2 7 9 2" xfId="26940" xr:uid="{00000000-0005-0000-0000-0000F5040000}"/>
    <cellStyle name="Remarque 2 2 2 2 2 2 2 7 9 3" xfId="50900" xr:uid="{00000000-0005-0000-0000-0000F6040000}"/>
    <cellStyle name="Remarque 2 2 2 2 2 2 2 8" xfId="3345" xr:uid="{00000000-0005-0000-0000-0000F7040000}"/>
    <cellStyle name="Remarque 2 2 2 2 2 2 2 8 2" xfId="27359" xr:uid="{00000000-0005-0000-0000-0000F8040000}"/>
    <cellStyle name="Remarque 2 2 2 2 2 2 2 8 2 2" xfId="51319" xr:uid="{00000000-0005-0000-0000-0000F9040000}"/>
    <cellStyle name="Remarque 2 2 2 2 2 2 2 8 3" xfId="14606" xr:uid="{00000000-0005-0000-0000-0000FA040000}"/>
    <cellStyle name="Remarque 2 2 2 2 2 2 2 8 4" xfId="38566" xr:uid="{00000000-0005-0000-0000-0000FB040000}"/>
    <cellStyle name="Remarque 2 2 2 2 2 2 2 9" xfId="4779" xr:uid="{00000000-0005-0000-0000-0000FC040000}"/>
    <cellStyle name="Remarque 2 2 2 2 2 2 2 9 2" xfId="28793" xr:uid="{00000000-0005-0000-0000-0000FD040000}"/>
    <cellStyle name="Remarque 2 2 2 2 2 2 2 9 2 2" xfId="52753" xr:uid="{00000000-0005-0000-0000-0000FE040000}"/>
    <cellStyle name="Remarque 2 2 2 2 2 2 2 9 3" xfId="16040" xr:uid="{00000000-0005-0000-0000-0000FF040000}"/>
    <cellStyle name="Remarque 2 2 2 2 2 2 2 9 4" xfId="40000" xr:uid="{00000000-0005-0000-0000-000000050000}"/>
    <cellStyle name="Remarque 2 2 2 2 2 2 20" xfId="12961" xr:uid="{00000000-0005-0000-0000-000001050000}"/>
    <cellStyle name="Remarque 2 2 2 2 2 2 21" xfId="36921" xr:uid="{00000000-0005-0000-0000-000002050000}"/>
    <cellStyle name="Remarque 2 2 2 2 2 2 22" xfId="264" xr:uid="{00000000-0005-0000-0000-000003050000}"/>
    <cellStyle name="Remarque 2 2 2 2 2 2 3" xfId="363" xr:uid="{00000000-0005-0000-0000-000004050000}"/>
    <cellStyle name="Remarque 2 2 2 2 2 2 3 10" xfId="24395" xr:uid="{00000000-0005-0000-0000-000005050000}"/>
    <cellStyle name="Remarque 2 2 2 2 2 2 3 10 2" xfId="48355" xr:uid="{00000000-0005-0000-0000-000006050000}"/>
    <cellStyle name="Remarque 2 2 2 2 2 2 3 11" xfId="36176" xr:uid="{00000000-0005-0000-0000-000007050000}"/>
    <cellStyle name="Remarque 2 2 2 2 2 2 3 11 2" xfId="60136" xr:uid="{00000000-0005-0000-0000-000008050000}"/>
    <cellStyle name="Remarque 2 2 2 2 2 2 3 12" xfId="13060" xr:uid="{00000000-0005-0000-0000-000009050000}"/>
    <cellStyle name="Remarque 2 2 2 2 2 2 3 13" xfId="37020" xr:uid="{00000000-0005-0000-0000-00000A050000}"/>
    <cellStyle name="Remarque 2 2 2 2 2 2 3 2" xfId="3269" xr:uid="{00000000-0005-0000-0000-00000B050000}"/>
    <cellStyle name="Remarque 2 2 2 2 2 2 3 2 2" xfId="27283" xr:uid="{00000000-0005-0000-0000-00000C050000}"/>
    <cellStyle name="Remarque 2 2 2 2 2 2 3 2 2 2" xfId="51243" xr:uid="{00000000-0005-0000-0000-00000D050000}"/>
    <cellStyle name="Remarque 2 2 2 2 2 2 3 2 3" xfId="14530" xr:uid="{00000000-0005-0000-0000-00000E050000}"/>
    <cellStyle name="Remarque 2 2 2 2 2 2 3 2 4" xfId="38490" xr:uid="{00000000-0005-0000-0000-00000F050000}"/>
    <cellStyle name="Remarque 2 2 2 2 2 2 3 3" xfId="4703" xr:uid="{00000000-0005-0000-0000-000010050000}"/>
    <cellStyle name="Remarque 2 2 2 2 2 2 3 3 2" xfId="28717" xr:uid="{00000000-0005-0000-0000-000011050000}"/>
    <cellStyle name="Remarque 2 2 2 2 2 2 3 3 2 2" xfId="52677" xr:uid="{00000000-0005-0000-0000-000012050000}"/>
    <cellStyle name="Remarque 2 2 2 2 2 2 3 3 3" xfId="15964" xr:uid="{00000000-0005-0000-0000-000013050000}"/>
    <cellStyle name="Remarque 2 2 2 2 2 2 3 3 4" xfId="39924" xr:uid="{00000000-0005-0000-0000-000014050000}"/>
    <cellStyle name="Remarque 2 2 2 2 2 2 3 4" xfId="6097" xr:uid="{00000000-0005-0000-0000-000015050000}"/>
    <cellStyle name="Remarque 2 2 2 2 2 2 3 4 2" xfId="30111" xr:uid="{00000000-0005-0000-0000-000016050000}"/>
    <cellStyle name="Remarque 2 2 2 2 2 2 3 4 2 2" xfId="54071" xr:uid="{00000000-0005-0000-0000-000017050000}"/>
    <cellStyle name="Remarque 2 2 2 2 2 2 3 4 3" xfId="17358" xr:uid="{00000000-0005-0000-0000-000018050000}"/>
    <cellStyle name="Remarque 2 2 2 2 2 2 3 4 4" xfId="41318" xr:uid="{00000000-0005-0000-0000-000019050000}"/>
    <cellStyle name="Remarque 2 2 2 2 2 2 3 5" xfId="7485" xr:uid="{00000000-0005-0000-0000-00001A050000}"/>
    <cellStyle name="Remarque 2 2 2 2 2 2 3 5 2" xfId="31499" xr:uid="{00000000-0005-0000-0000-00001B050000}"/>
    <cellStyle name="Remarque 2 2 2 2 2 2 3 5 2 2" xfId="55459" xr:uid="{00000000-0005-0000-0000-00001C050000}"/>
    <cellStyle name="Remarque 2 2 2 2 2 2 3 5 3" xfId="18746" xr:uid="{00000000-0005-0000-0000-00001D050000}"/>
    <cellStyle name="Remarque 2 2 2 2 2 2 3 5 4" xfId="42706" xr:uid="{00000000-0005-0000-0000-00001E050000}"/>
    <cellStyle name="Remarque 2 2 2 2 2 2 3 6" xfId="8870" xr:uid="{00000000-0005-0000-0000-00001F050000}"/>
    <cellStyle name="Remarque 2 2 2 2 2 2 3 6 2" xfId="32884" xr:uid="{00000000-0005-0000-0000-000020050000}"/>
    <cellStyle name="Remarque 2 2 2 2 2 2 3 6 2 2" xfId="56844" xr:uid="{00000000-0005-0000-0000-000021050000}"/>
    <cellStyle name="Remarque 2 2 2 2 2 2 3 6 3" xfId="20131" xr:uid="{00000000-0005-0000-0000-000022050000}"/>
    <cellStyle name="Remarque 2 2 2 2 2 2 3 6 4" xfId="44091" xr:uid="{00000000-0005-0000-0000-000023050000}"/>
    <cellStyle name="Remarque 2 2 2 2 2 2 3 7" xfId="10327" xr:uid="{00000000-0005-0000-0000-000024050000}"/>
    <cellStyle name="Remarque 2 2 2 2 2 2 3 7 2" xfId="34337" xr:uid="{00000000-0005-0000-0000-000025050000}"/>
    <cellStyle name="Remarque 2 2 2 2 2 2 3 7 2 2" xfId="58297" xr:uid="{00000000-0005-0000-0000-000026050000}"/>
    <cellStyle name="Remarque 2 2 2 2 2 2 3 7 3" xfId="21594" xr:uid="{00000000-0005-0000-0000-000027050000}"/>
    <cellStyle name="Remarque 2 2 2 2 2 2 3 7 4" xfId="45554" xr:uid="{00000000-0005-0000-0000-000028050000}"/>
    <cellStyle name="Remarque 2 2 2 2 2 2 3 8" xfId="12164" xr:uid="{00000000-0005-0000-0000-000029050000}"/>
    <cellStyle name="Remarque 2 2 2 2 2 2 3 8 2" xfId="23447" xr:uid="{00000000-0005-0000-0000-00002A050000}"/>
    <cellStyle name="Remarque 2 2 2 2 2 2 3 8 3" xfId="47407" xr:uid="{00000000-0005-0000-0000-00002B050000}"/>
    <cellStyle name="Remarque 2 2 2 2 2 2 3 9" xfId="1799" xr:uid="{00000000-0005-0000-0000-00002C050000}"/>
    <cellStyle name="Remarque 2 2 2 2 2 2 3 9 2" xfId="25813" xr:uid="{00000000-0005-0000-0000-00002D050000}"/>
    <cellStyle name="Remarque 2 2 2 2 2 2 3 9 3" xfId="49773" xr:uid="{00000000-0005-0000-0000-00002E050000}"/>
    <cellStyle name="Remarque 2 2 2 2 2 2 4" xfId="499" xr:uid="{00000000-0005-0000-0000-00002F050000}"/>
    <cellStyle name="Remarque 2 2 2 2 2 2 4 10" xfId="24531" xr:uid="{00000000-0005-0000-0000-000030050000}"/>
    <cellStyle name="Remarque 2 2 2 2 2 2 4 10 2" xfId="48491" xr:uid="{00000000-0005-0000-0000-000031050000}"/>
    <cellStyle name="Remarque 2 2 2 2 2 2 4 11" xfId="35865" xr:uid="{00000000-0005-0000-0000-000032050000}"/>
    <cellStyle name="Remarque 2 2 2 2 2 2 4 11 2" xfId="59825" xr:uid="{00000000-0005-0000-0000-000033050000}"/>
    <cellStyle name="Remarque 2 2 2 2 2 2 4 12" xfId="13196" xr:uid="{00000000-0005-0000-0000-000034050000}"/>
    <cellStyle name="Remarque 2 2 2 2 2 2 4 13" xfId="37156" xr:uid="{00000000-0005-0000-0000-000035050000}"/>
    <cellStyle name="Remarque 2 2 2 2 2 2 4 2" xfId="3405" xr:uid="{00000000-0005-0000-0000-000036050000}"/>
    <cellStyle name="Remarque 2 2 2 2 2 2 4 2 2" xfId="27419" xr:uid="{00000000-0005-0000-0000-000037050000}"/>
    <cellStyle name="Remarque 2 2 2 2 2 2 4 2 2 2" xfId="51379" xr:uid="{00000000-0005-0000-0000-000038050000}"/>
    <cellStyle name="Remarque 2 2 2 2 2 2 4 2 3" xfId="14666" xr:uid="{00000000-0005-0000-0000-000039050000}"/>
    <cellStyle name="Remarque 2 2 2 2 2 2 4 2 4" xfId="38626" xr:uid="{00000000-0005-0000-0000-00003A050000}"/>
    <cellStyle name="Remarque 2 2 2 2 2 2 4 3" xfId="4839" xr:uid="{00000000-0005-0000-0000-00003B050000}"/>
    <cellStyle name="Remarque 2 2 2 2 2 2 4 3 2" xfId="28853" xr:uid="{00000000-0005-0000-0000-00003C050000}"/>
    <cellStyle name="Remarque 2 2 2 2 2 2 4 3 2 2" xfId="52813" xr:uid="{00000000-0005-0000-0000-00003D050000}"/>
    <cellStyle name="Remarque 2 2 2 2 2 2 4 3 3" xfId="16100" xr:uid="{00000000-0005-0000-0000-00003E050000}"/>
    <cellStyle name="Remarque 2 2 2 2 2 2 4 3 4" xfId="40060" xr:uid="{00000000-0005-0000-0000-00003F050000}"/>
    <cellStyle name="Remarque 2 2 2 2 2 2 4 4" xfId="6233" xr:uid="{00000000-0005-0000-0000-000040050000}"/>
    <cellStyle name="Remarque 2 2 2 2 2 2 4 4 2" xfId="30247" xr:uid="{00000000-0005-0000-0000-000041050000}"/>
    <cellStyle name="Remarque 2 2 2 2 2 2 4 4 2 2" xfId="54207" xr:uid="{00000000-0005-0000-0000-000042050000}"/>
    <cellStyle name="Remarque 2 2 2 2 2 2 4 4 3" xfId="17494" xr:uid="{00000000-0005-0000-0000-000043050000}"/>
    <cellStyle name="Remarque 2 2 2 2 2 2 4 4 4" xfId="41454" xr:uid="{00000000-0005-0000-0000-000044050000}"/>
    <cellStyle name="Remarque 2 2 2 2 2 2 4 5" xfId="7621" xr:uid="{00000000-0005-0000-0000-000045050000}"/>
    <cellStyle name="Remarque 2 2 2 2 2 2 4 5 2" xfId="31635" xr:uid="{00000000-0005-0000-0000-000046050000}"/>
    <cellStyle name="Remarque 2 2 2 2 2 2 4 5 2 2" xfId="55595" xr:uid="{00000000-0005-0000-0000-000047050000}"/>
    <cellStyle name="Remarque 2 2 2 2 2 2 4 5 3" xfId="18882" xr:uid="{00000000-0005-0000-0000-000048050000}"/>
    <cellStyle name="Remarque 2 2 2 2 2 2 4 5 4" xfId="42842" xr:uid="{00000000-0005-0000-0000-000049050000}"/>
    <cellStyle name="Remarque 2 2 2 2 2 2 4 6" xfId="9006" xr:uid="{00000000-0005-0000-0000-00004A050000}"/>
    <cellStyle name="Remarque 2 2 2 2 2 2 4 6 2" xfId="33020" xr:uid="{00000000-0005-0000-0000-00004B050000}"/>
    <cellStyle name="Remarque 2 2 2 2 2 2 4 6 2 2" xfId="56980" xr:uid="{00000000-0005-0000-0000-00004C050000}"/>
    <cellStyle name="Remarque 2 2 2 2 2 2 4 6 3" xfId="20267" xr:uid="{00000000-0005-0000-0000-00004D050000}"/>
    <cellStyle name="Remarque 2 2 2 2 2 2 4 6 4" xfId="44227" xr:uid="{00000000-0005-0000-0000-00004E050000}"/>
    <cellStyle name="Remarque 2 2 2 2 2 2 4 7" xfId="10463" xr:uid="{00000000-0005-0000-0000-00004F050000}"/>
    <cellStyle name="Remarque 2 2 2 2 2 2 4 7 2" xfId="34473" xr:uid="{00000000-0005-0000-0000-000050050000}"/>
    <cellStyle name="Remarque 2 2 2 2 2 2 4 7 2 2" xfId="58433" xr:uid="{00000000-0005-0000-0000-000051050000}"/>
    <cellStyle name="Remarque 2 2 2 2 2 2 4 7 3" xfId="21730" xr:uid="{00000000-0005-0000-0000-000052050000}"/>
    <cellStyle name="Remarque 2 2 2 2 2 2 4 7 4" xfId="45690" xr:uid="{00000000-0005-0000-0000-000053050000}"/>
    <cellStyle name="Remarque 2 2 2 2 2 2 4 8" xfId="12689" xr:uid="{00000000-0005-0000-0000-000054050000}"/>
    <cellStyle name="Remarque 2 2 2 2 2 2 4 8 2" xfId="23994" xr:uid="{00000000-0005-0000-0000-000055050000}"/>
    <cellStyle name="Remarque 2 2 2 2 2 2 4 8 3" xfId="47954" xr:uid="{00000000-0005-0000-0000-000056050000}"/>
    <cellStyle name="Remarque 2 2 2 2 2 2 4 9" xfId="1935" xr:uid="{00000000-0005-0000-0000-000057050000}"/>
    <cellStyle name="Remarque 2 2 2 2 2 2 4 9 2" xfId="25949" xr:uid="{00000000-0005-0000-0000-000058050000}"/>
    <cellStyle name="Remarque 2 2 2 2 2 2 4 9 3" xfId="49909" xr:uid="{00000000-0005-0000-0000-000059050000}"/>
    <cellStyle name="Remarque 2 2 2 2 2 2 5" xfId="691" xr:uid="{00000000-0005-0000-0000-00005A050000}"/>
    <cellStyle name="Remarque 2 2 2 2 2 2 5 10" xfId="24723" xr:uid="{00000000-0005-0000-0000-00005B050000}"/>
    <cellStyle name="Remarque 2 2 2 2 2 2 5 10 2" xfId="48683" xr:uid="{00000000-0005-0000-0000-00005C050000}"/>
    <cellStyle name="Remarque 2 2 2 2 2 2 5 11" xfId="35658" xr:uid="{00000000-0005-0000-0000-00005D050000}"/>
    <cellStyle name="Remarque 2 2 2 2 2 2 5 11 2" xfId="59618" xr:uid="{00000000-0005-0000-0000-00005E050000}"/>
    <cellStyle name="Remarque 2 2 2 2 2 2 5 12" xfId="13388" xr:uid="{00000000-0005-0000-0000-00005F050000}"/>
    <cellStyle name="Remarque 2 2 2 2 2 2 5 13" xfId="37348" xr:uid="{00000000-0005-0000-0000-000060050000}"/>
    <cellStyle name="Remarque 2 2 2 2 2 2 5 2" xfId="3597" xr:uid="{00000000-0005-0000-0000-000061050000}"/>
    <cellStyle name="Remarque 2 2 2 2 2 2 5 2 2" xfId="27611" xr:uid="{00000000-0005-0000-0000-000062050000}"/>
    <cellStyle name="Remarque 2 2 2 2 2 2 5 2 2 2" xfId="51571" xr:uid="{00000000-0005-0000-0000-000063050000}"/>
    <cellStyle name="Remarque 2 2 2 2 2 2 5 2 3" xfId="14858" xr:uid="{00000000-0005-0000-0000-000064050000}"/>
    <cellStyle name="Remarque 2 2 2 2 2 2 5 2 4" xfId="38818" xr:uid="{00000000-0005-0000-0000-000065050000}"/>
    <cellStyle name="Remarque 2 2 2 2 2 2 5 3" xfId="5031" xr:uid="{00000000-0005-0000-0000-000066050000}"/>
    <cellStyle name="Remarque 2 2 2 2 2 2 5 3 2" xfId="29045" xr:uid="{00000000-0005-0000-0000-000067050000}"/>
    <cellStyle name="Remarque 2 2 2 2 2 2 5 3 2 2" xfId="53005" xr:uid="{00000000-0005-0000-0000-000068050000}"/>
    <cellStyle name="Remarque 2 2 2 2 2 2 5 3 3" xfId="16292" xr:uid="{00000000-0005-0000-0000-000069050000}"/>
    <cellStyle name="Remarque 2 2 2 2 2 2 5 3 4" xfId="40252" xr:uid="{00000000-0005-0000-0000-00006A050000}"/>
    <cellStyle name="Remarque 2 2 2 2 2 2 5 4" xfId="6425" xr:uid="{00000000-0005-0000-0000-00006B050000}"/>
    <cellStyle name="Remarque 2 2 2 2 2 2 5 4 2" xfId="30439" xr:uid="{00000000-0005-0000-0000-00006C050000}"/>
    <cellStyle name="Remarque 2 2 2 2 2 2 5 4 2 2" xfId="54399" xr:uid="{00000000-0005-0000-0000-00006D050000}"/>
    <cellStyle name="Remarque 2 2 2 2 2 2 5 4 3" xfId="17686" xr:uid="{00000000-0005-0000-0000-00006E050000}"/>
    <cellStyle name="Remarque 2 2 2 2 2 2 5 4 4" xfId="41646" xr:uid="{00000000-0005-0000-0000-00006F050000}"/>
    <cellStyle name="Remarque 2 2 2 2 2 2 5 5" xfId="7813" xr:uid="{00000000-0005-0000-0000-000070050000}"/>
    <cellStyle name="Remarque 2 2 2 2 2 2 5 5 2" xfId="31827" xr:uid="{00000000-0005-0000-0000-000071050000}"/>
    <cellStyle name="Remarque 2 2 2 2 2 2 5 5 2 2" xfId="55787" xr:uid="{00000000-0005-0000-0000-000072050000}"/>
    <cellStyle name="Remarque 2 2 2 2 2 2 5 5 3" xfId="19074" xr:uid="{00000000-0005-0000-0000-000073050000}"/>
    <cellStyle name="Remarque 2 2 2 2 2 2 5 5 4" xfId="43034" xr:uid="{00000000-0005-0000-0000-000074050000}"/>
    <cellStyle name="Remarque 2 2 2 2 2 2 5 6" xfId="9198" xr:uid="{00000000-0005-0000-0000-000075050000}"/>
    <cellStyle name="Remarque 2 2 2 2 2 2 5 6 2" xfId="33212" xr:uid="{00000000-0005-0000-0000-000076050000}"/>
    <cellStyle name="Remarque 2 2 2 2 2 2 5 6 2 2" xfId="57172" xr:uid="{00000000-0005-0000-0000-000077050000}"/>
    <cellStyle name="Remarque 2 2 2 2 2 2 5 6 3" xfId="20459" xr:uid="{00000000-0005-0000-0000-000078050000}"/>
    <cellStyle name="Remarque 2 2 2 2 2 2 5 6 4" xfId="44419" xr:uid="{00000000-0005-0000-0000-000079050000}"/>
    <cellStyle name="Remarque 2 2 2 2 2 2 5 7" xfId="10655" xr:uid="{00000000-0005-0000-0000-00007A050000}"/>
    <cellStyle name="Remarque 2 2 2 2 2 2 5 7 2" xfId="34665" xr:uid="{00000000-0005-0000-0000-00007B050000}"/>
    <cellStyle name="Remarque 2 2 2 2 2 2 5 7 2 2" xfId="58625" xr:uid="{00000000-0005-0000-0000-00007C050000}"/>
    <cellStyle name="Remarque 2 2 2 2 2 2 5 7 3" xfId="21922" xr:uid="{00000000-0005-0000-0000-00007D050000}"/>
    <cellStyle name="Remarque 2 2 2 2 2 2 5 7 4" xfId="45882" xr:uid="{00000000-0005-0000-0000-00007E050000}"/>
    <cellStyle name="Remarque 2 2 2 2 2 2 5 8" xfId="10122" xr:uid="{00000000-0005-0000-0000-00007F050000}"/>
    <cellStyle name="Remarque 2 2 2 2 2 2 5 8 2" xfId="21383" xr:uid="{00000000-0005-0000-0000-000080050000}"/>
    <cellStyle name="Remarque 2 2 2 2 2 2 5 8 3" xfId="45343" xr:uid="{00000000-0005-0000-0000-000081050000}"/>
    <cellStyle name="Remarque 2 2 2 2 2 2 5 9" xfId="2127" xr:uid="{00000000-0005-0000-0000-000082050000}"/>
    <cellStyle name="Remarque 2 2 2 2 2 2 5 9 2" xfId="26141" xr:uid="{00000000-0005-0000-0000-000083050000}"/>
    <cellStyle name="Remarque 2 2 2 2 2 2 5 9 3" xfId="50101" xr:uid="{00000000-0005-0000-0000-000084050000}"/>
    <cellStyle name="Remarque 2 2 2 2 2 2 6" xfId="885" xr:uid="{00000000-0005-0000-0000-000085050000}"/>
    <cellStyle name="Remarque 2 2 2 2 2 2 6 10" xfId="24917" xr:uid="{00000000-0005-0000-0000-000086050000}"/>
    <cellStyle name="Remarque 2 2 2 2 2 2 6 10 2" xfId="48877" xr:uid="{00000000-0005-0000-0000-000087050000}"/>
    <cellStyle name="Remarque 2 2 2 2 2 2 6 11" xfId="35703" xr:uid="{00000000-0005-0000-0000-000088050000}"/>
    <cellStyle name="Remarque 2 2 2 2 2 2 6 11 2" xfId="59663" xr:uid="{00000000-0005-0000-0000-000089050000}"/>
    <cellStyle name="Remarque 2 2 2 2 2 2 6 12" xfId="13582" xr:uid="{00000000-0005-0000-0000-00008A050000}"/>
    <cellStyle name="Remarque 2 2 2 2 2 2 6 13" xfId="37542" xr:uid="{00000000-0005-0000-0000-00008B050000}"/>
    <cellStyle name="Remarque 2 2 2 2 2 2 6 2" xfId="3791" xr:uid="{00000000-0005-0000-0000-00008C050000}"/>
    <cellStyle name="Remarque 2 2 2 2 2 2 6 2 2" xfId="27805" xr:uid="{00000000-0005-0000-0000-00008D050000}"/>
    <cellStyle name="Remarque 2 2 2 2 2 2 6 2 2 2" xfId="51765" xr:uid="{00000000-0005-0000-0000-00008E050000}"/>
    <cellStyle name="Remarque 2 2 2 2 2 2 6 2 3" xfId="15052" xr:uid="{00000000-0005-0000-0000-00008F050000}"/>
    <cellStyle name="Remarque 2 2 2 2 2 2 6 2 4" xfId="39012" xr:uid="{00000000-0005-0000-0000-000090050000}"/>
    <cellStyle name="Remarque 2 2 2 2 2 2 6 3" xfId="5225" xr:uid="{00000000-0005-0000-0000-000091050000}"/>
    <cellStyle name="Remarque 2 2 2 2 2 2 6 3 2" xfId="29239" xr:uid="{00000000-0005-0000-0000-000092050000}"/>
    <cellStyle name="Remarque 2 2 2 2 2 2 6 3 2 2" xfId="53199" xr:uid="{00000000-0005-0000-0000-000093050000}"/>
    <cellStyle name="Remarque 2 2 2 2 2 2 6 3 3" xfId="16486" xr:uid="{00000000-0005-0000-0000-000094050000}"/>
    <cellStyle name="Remarque 2 2 2 2 2 2 6 3 4" xfId="40446" xr:uid="{00000000-0005-0000-0000-000095050000}"/>
    <cellStyle name="Remarque 2 2 2 2 2 2 6 4" xfId="6619" xr:uid="{00000000-0005-0000-0000-000096050000}"/>
    <cellStyle name="Remarque 2 2 2 2 2 2 6 4 2" xfId="30633" xr:uid="{00000000-0005-0000-0000-000097050000}"/>
    <cellStyle name="Remarque 2 2 2 2 2 2 6 4 2 2" xfId="54593" xr:uid="{00000000-0005-0000-0000-000098050000}"/>
    <cellStyle name="Remarque 2 2 2 2 2 2 6 4 3" xfId="17880" xr:uid="{00000000-0005-0000-0000-000099050000}"/>
    <cellStyle name="Remarque 2 2 2 2 2 2 6 4 4" xfId="41840" xr:uid="{00000000-0005-0000-0000-00009A050000}"/>
    <cellStyle name="Remarque 2 2 2 2 2 2 6 5" xfId="8007" xr:uid="{00000000-0005-0000-0000-00009B050000}"/>
    <cellStyle name="Remarque 2 2 2 2 2 2 6 5 2" xfId="32021" xr:uid="{00000000-0005-0000-0000-00009C050000}"/>
    <cellStyle name="Remarque 2 2 2 2 2 2 6 5 2 2" xfId="55981" xr:uid="{00000000-0005-0000-0000-00009D050000}"/>
    <cellStyle name="Remarque 2 2 2 2 2 2 6 5 3" xfId="19268" xr:uid="{00000000-0005-0000-0000-00009E050000}"/>
    <cellStyle name="Remarque 2 2 2 2 2 2 6 5 4" xfId="43228" xr:uid="{00000000-0005-0000-0000-00009F050000}"/>
    <cellStyle name="Remarque 2 2 2 2 2 2 6 6" xfId="9392" xr:uid="{00000000-0005-0000-0000-0000A0050000}"/>
    <cellStyle name="Remarque 2 2 2 2 2 2 6 6 2" xfId="33406" xr:uid="{00000000-0005-0000-0000-0000A1050000}"/>
    <cellStyle name="Remarque 2 2 2 2 2 2 6 6 2 2" xfId="57366" xr:uid="{00000000-0005-0000-0000-0000A2050000}"/>
    <cellStyle name="Remarque 2 2 2 2 2 2 6 6 3" xfId="20653" xr:uid="{00000000-0005-0000-0000-0000A3050000}"/>
    <cellStyle name="Remarque 2 2 2 2 2 2 6 6 4" xfId="44613" xr:uid="{00000000-0005-0000-0000-0000A4050000}"/>
    <cellStyle name="Remarque 2 2 2 2 2 2 6 7" xfId="10849" xr:uid="{00000000-0005-0000-0000-0000A5050000}"/>
    <cellStyle name="Remarque 2 2 2 2 2 2 6 7 2" xfId="34859" xr:uid="{00000000-0005-0000-0000-0000A6050000}"/>
    <cellStyle name="Remarque 2 2 2 2 2 2 6 7 2 2" xfId="58819" xr:uid="{00000000-0005-0000-0000-0000A7050000}"/>
    <cellStyle name="Remarque 2 2 2 2 2 2 6 7 3" xfId="22116" xr:uid="{00000000-0005-0000-0000-0000A8050000}"/>
    <cellStyle name="Remarque 2 2 2 2 2 2 6 7 4" xfId="46076" xr:uid="{00000000-0005-0000-0000-0000A9050000}"/>
    <cellStyle name="Remarque 2 2 2 2 2 2 6 8" xfId="12194" xr:uid="{00000000-0005-0000-0000-0000AA050000}"/>
    <cellStyle name="Remarque 2 2 2 2 2 2 6 8 2" xfId="23477" xr:uid="{00000000-0005-0000-0000-0000AB050000}"/>
    <cellStyle name="Remarque 2 2 2 2 2 2 6 8 3" xfId="47437" xr:uid="{00000000-0005-0000-0000-0000AC050000}"/>
    <cellStyle name="Remarque 2 2 2 2 2 2 6 9" xfId="2321" xr:uid="{00000000-0005-0000-0000-0000AD050000}"/>
    <cellStyle name="Remarque 2 2 2 2 2 2 6 9 2" xfId="26335" xr:uid="{00000000-0005-0000-0000-0000AE050000}"/>
    <cellStyle name="Remarque 2 2 2 2 2 2 6 9 3" xfId="50295" xr:uid="{00000000-0005-0000-0000-0000AF050000}"/>
    <cellStyle name="Remarque 2 2 2 2 2 2 7" xfId="1078" xr:uid="{00000000-0005-0000-0000-0000B0050000}"/>
    <cellStyle name="Remarque 2 2 2 2 2 2 7 10" xfId="25110" xr:uid="{00000000-0005-0000-0000-0000B1050000}"/>
    <cellStyle name="Remarque 2 2 2 2 2 2 7 10 2" xfId="49070" xr:uid="{00000000-0005-0000-0000-0000B2050000}"/>
    <cellStyle name="Remarque 2 2 2 2 2 2 7 11" xfId="36807" xr:uid="{00000000-0005-0000-0000-0000B3050000}"/>
    <cellStyle name="Remarque 2 2 2 2 2 2 7 11 2" xfId="60767" xr:uid="{00000000-0005-0000-0000-0000B4050000}"/>
    <cellStyle name="Remarque 2 2 2 2 2 2 7 12" xfId="13775" xr:uid="{00000000-0005-0000-0000-0000B5050000}"/>
    <cellStyle name="Remarque 2 2 2 2 2 2 7 13" xfId="37735" xr:uid="{00000000-0005-0000-0000-0000B6050000}"/>
    <cellStyle name="Remarque 2 2 2 2 2 2 7 2" xfId="3984" xr:uid="{00000000-0005-0000-0000-0000B7050000}"/>
    <cellStyle name="Remarque 2 2 2 2 2 2 7 2 2" xfId="27998" xr:uid="{00000000-0005-0000-0000-0000B8050000}"/>
    <cellStyle name="Remarque 2 2 2 2 2 2 7 2 2 2" xfId="51958" xr:uid="{00000000-0005-0000-0000-0000B9050000}"/>
    <cellStyle name="Remarque 2 2 2 2 2 2 7 2 3" xfId="15245" xr:uid="{00000000-0005-0000-0000-0000BA050000}"/>
    <cellStyle name="Remarque 2 2 2 2 2 2 7 2 4" xfId="39205" xr:uid="{00000000-0005-0000-0000-0000BB050000}"/>
    <cellStyle name="Remarque 2 2 2 2 2 2 7 3" xfId="5418" xr:uid="{00000000-0005-0000-0000-0000BC050000}"/>
    <cellStyle name="Remarque 2 2 2 2 2 2 7 3 2" xfId="29432" xr:uid="{00000000-0005-0000-0000-0000BD050000}"/>
    <cellStyle name="Remarque 2 2 2 2 2 2 7 3 2 2" xfId="53392" xr:uid="{00000000-0005-0000-0000-0000BE050000}"/>
    <cellStyle name="Remarque 2 2 2 2 2 2 7 3 3" xfId="16679" xr:uid="{00000000-0005-0000-0000-0000BF050000}"/>
    <cellStyle name="Remarque 2 2 2 2 2 2 7 3 4" xfId="40639" xr:uid="{00000000-0005-0000-0000-0000C0050000}"/>
    <cellStyle name="Remarque 2 2 2 2 2 2 7 4" xfId="6812" xr:uid="{00000000-0005-0000-0000-0000C1050000}"/>
    <cellStyle name="Remarque 2 2 2 2 2 2 7 4 2" xfId="30826" xr:uid="{00000000-0005-0000-0000-0000C2050000}"/>
    <cellStyle name="Remarque 2 2 2 2 2 2 7 4 2 2" xfId="54786" xr:uid="{00000000-0005-0000-0000-0000C3050000}"/>
    <cellStyle name="Remarque 2 2 2 2 2 2 7 4 3" xfId="18073" xr:uid="{00000000-0005-0000-0000-0000C4050000}"/>
    <cellStyle name="Remarque 2 2 2 2 2 2 7 4 4" xfId="42033" xr:uid="{00000000-0005-0000-0000-0000C5050000}"/>
    <cellStyle name="Remarque 2 2 2 2 2 2 7 5" xfId="8200" xr:uid="{00000000-0005-0000-0000-0000C6050000}"/>
    <cellStyle name="Remarque 2 2 2 2 2 2 7 5 2" xfId="32214" xr:uid="{00000000-0005-0000-0000-0000C7050000}"/>
    <cellStyle name="Remarque 2 2 2 2 2 2 7 5 2 2" xfId="56174" xr:uid="{00000000-0005-0000-0000-0000C8050000}"/>
    <cellStyle name="Remarque 2 2 2 2 2 2 7 5 3" xfId="19461" xr:uid="{00000000-0005-0000-0000-0000C9050000}"/>
    <cellStyle name="Remarque 2 2 2 2 2 2 7 5 4" xfId="43421" xr:uid="{00000000-0005-0000-0000-0000CA050000}"/>
    <cellStyle name="Remarque 2 2 2 2 2 2 7 6" xfId="9585" xr:uid="{00000000-0005-0000-0000-0000CB050000}"/>
    <cellStyle name="Remarque 2 2 2 2 2 2 7 6 2" xfId="33599" xr:uid="{00000000-0005-0000-0000-0000CC050000}"/>
    <cellStyle name="Remarque 2 2 2 2 2 2 7 6 2 2" xfId="57559" xr:uid="{00000000-0005-0000-0000-0000CD050000}"/>
    <cellStyle name="Remarque 2 2 2 2 2 2 7 6 3" xfId="20846" xr:uid="{00000000-0005-0000-0000-0000CE050000}"/>
    <cellStyle name="Remarque 2 2 2 2 2 2 7 6 4" xfId="44806" xr:uid="{00000000-0005-0000-0000-0000CF050000}"/>
    <cellStyle name="Remarque 2 2 2 2 2 2 7 7" xfId="11042" xr:uid="{00000000-0005-0000-0000-0000D0050000}"/>
    <cellStyle name="Remarque 2 2 2 2 2 2 7 7 2" xfId="35052" xr:uid="{00000000-0005-0000-0000-0000D1050000}"/>
    <cellStyle name="Remarque 2 2 2 2 2 2 7 7 2 2" xfId="59012" xr:uid="{00000000-0005-0000-0000-0000D2050000}"/>
    <cellStyle name="Remarque 2 2 2 2 2 2 7 7 3" xfId="22309" xr:uid="{00000000-0005-0000-0000-0000D3050000}"/>
    <cellStyle name="Remarque 2 2 2 2 2 2 7 7 4" xfId="46269" xr:uid="{00000000-0005-0000-0000-0000D4050000}"/>
    <cellStyle name="Remarque 2 2 2 2 2 2 7 8" xfId="11992" xr:uid="{00000000-0005-0000-0000-0000D5050000}"/>
    <cellStyle name="Remarque 2 2 2 2 2 2 7 8 2" xfId="23271" xr:uid="{00000000-0005-0000-0000-0000D6050000}"/>
    <cellStyle name="Remarque 2 2 2 2 2 2 7 8 3" xfId="47231" xr:uid="{00000000-0005-0000-0000-0000D7050000}"/>
    <cellStyle name="Remarque 2 2 2 2 2 2 7 9" xfId="2514" xr:uid="{00000000-0005-0000-0000-0000D8050000}"/>
    <cellStyle name="Remarque 2 2 2 2 2 2 7 9 2" xfId="26528" xr:uid="{00000000-0005-0000-0000-0000D9050000}"/>
    <cellStyle name="Remarque 2 2 2 2 2 2 7 9 3" xfId="50488" xr:uid="{00000000-0005-0000-0000-0000DA050000}"/>
    <cellStyle name="Remarque 2 2 2 2 2 2 8" xfId="1245" xr:uid="{00000000-0005-0000-0000-0000DB050000}"/>
    <cellStyle name="Remarque 2 2 2 2 2 2 8 10" xfId="25277" xr:uid="{00000000-0005-0000-0000-0000DC050000}"/>
    <cellStyle name="Remarque 2 2 2 2 2 2 8 10 2" xfId="49237" xr:uid="{00000000-0005-0000-0000-0000DD050000}"/>
    <cellStyle name="Remarque 2 2 2 2 2 2 8 11" xfId="35963" xr:uid="{00000000-0005-0000-0000-0000DE050000}"/>
    <cellStyle name="Remarque 2 2 2 2 2 2 8 11 2" xfId="59923" xr:uid="{00000000-0005-0000-0000-0000DF050000}"/>
    <cellStyle name="Remarque 2 2 2 2 2 2 8 12" xfId="13942" xr:uid="{00000000-0005-0000-0000-0000E0050000}"/>
    <cellStyle name="Remarque 2 2 2 2 2 2 8 13" xfId="37902" xr:uid="{00000000-0005-0000-0000-0000E1050000}"/>
    <cellStyle name="Remarque 2 2 2 2 2 2 8 2" xfId="4151" xr:uid="{00000000-0005-0000-0000-0000E2050000}"/>
    <cellStyle name="Remarque 2 2 2 2 2 2 8 2 2" xfId="28165" xr:uid="{00000000-0005-0000-0000-0000E3050000}"/>
    <cellStyle name="Remarque 2 2 2 2 2 2 8 2 2 2" xfId="52125" xr:uid="{00000000-0005-0000-0000-0000E4050000}"/>
    <cellStyle name="Remarque 2 2 2 2 2 2 8 2 3" xfId="15412" xr:uid="{00000000-0005-0000-0000-0000E5050000}"/>
    <cellStyle name="Remarque 2 2 2 2 2 2 8 2 4" xfId="39372" xr:uid="{00000000-0005-0000-0000-0000E6050000}"/>
    <cellStyle name="Remarque 2 2 2 2 2 2 8 3" xfId="5585" xr:uid="{00000000-0005-0000-0000-0000E7050000}"/>
    <cellStyle name="Remarque 2 2 2 2 2 2 8 3 2" xfId="29599" xr:uid="{00000000-0005-0000-0000-0000E8050000}"/>
    <cellStyle name="Remarque 2 2 2 2 2 2 8 3 2 2" xfId="53559" xr:uid="{00000000-0005-0000-0000-0000E9050000}"/>
    <cellStyle name="Remarque 2 2 2 2 2 2 8 3 3" xfId="16846" xr:uid="{00000000-0005-0000-0000-0000EA050000}"/>
    <cellStyle name="Remarque 2 2 2 2 2 2 8 3 4" xfId="40806" xr:uid="{00000000-0005-0000-0000-0000EB050000}"/>
    <cellStyle name="Remarque 2 2 2 2 2 2 8 4" xfId="6979" xr:uid="{00000000-0005-0000-0000-0000EC050000}"/>
    <cellStyle name="Remarque 2 2 2 2 2 2 8 4 2" xfId="30993" xr:uid="{00000000-0005-0000-0000-0000ED050000}"/>
    <cellStyle name="Remarque 2 2 2 2 2 2 8 4 2 2" xfId="54953" xr:uid="{00000000-0005-0000-0000-0000EE050000}"/>
    <cellStyle name="Remarque 2 2 2 2 2 2 8 4 3" xfId="18240" xr:uid="{00000000-0005-0000-0000-0000EF050000}"/>
    <cellStyle name="Remarque 2 2 2 2 2 2 8 4 4" xfId="42200" xr:uid="{00000000-0005-0000-0000-0000F0050000}"/>
    <cellStyle name="Remarque 2 2 2 2 2 2 8 5" xfId="8367" xr:uid="{00000000-0005-0000-0000-0000F1050000}"/>
    <cellStyle name="Remarque 2 2 2 2 2 2 8 5 2" xfId="32381" xr:uid="{00000000-0005-0000-0000-0000F2050000}"/>
    <cellStyle name="Remarque 2 2 2 2 2 2 8 5 2 2" xfId="56341" xr:uid="{00000000-0005-0000-0000-0000F3050000}"/>
    <cellStyle name="Remarque 2 2 2 2 2 2 8 5 3" xfId="19628" xr:uid="{00000000-0005-0000-0000-0000F4050000}"/>
    <cellStyle name="Remarque 2 2 2 2 2 2 8 5 4" xfId="43588" xr:uid="{00000000-0005-0000-0000-0000F5050000}"/>
    <cellStyle name="Remarque 2 2 2 2 2 2 8 6" xfId="9752" xr:uid="{00000000-0005-0000-0000-0000F6050000}"/>
    <cellStyle name="Remarque 2 2 2 2 2 2 8 6 2" xfId="33766" xr:uid="{00000000-0005-0000-0000-0000F7050000}"/>
    <cellStyle name="Remarque 2 2 2 2 2 2 8 6 2 2" xfId="57726" xr:uid="{00000000-0005-0000-0000-0000F8050000}"/>
    <cellStyle name="Remarque 2 2 2 2 2 2 8 6 3" xfId="21013" xr:uid="{00000000-0005-0000-0000-0000F9050000}"/>
    <cellStyle name="Remarque 2 2 2 2 2 2 8 6 4" xfId="44973" xr:uid="{00000000-0005-0000-0000-0000FA050000}"/>
    <cellStyle name="Remarque 2 2 2 2 2 2 8 7" xfId="11209" xr:uid="{00000000-0005-0000-0000-0000FB050000}"/>
    <cellStyle name="Remarque 2 2 2 2 2 2 8 7 2" xfId="35219" xr:uid="{00000000-0005-0000-0000-0000FC050000}"/>
    <cellStyle name="Remarque 2 2 2 2 2 2 8 7 2 2" xfId="59179" xr:uid="{00000000-0005-0000-0000-0000FD050000}"/>
    <cellStyle name="Remarque 2 2 2 2 2 2 8 7 3" xfId="22476" xr:uid="{00000000-0005-0000-0000-0000FE050000}"/>
    <cellStyle name="Remarque 2 2 2 2 2 2 8 7 4" xfId="46436" xr:uid="{00000000-0005-0000-0000-0000FF050000}"/>
    <cellStyle name="Remarque 2 2 2 2 2 2 8 8" xfId="11790" xr:uid="{00000000-0005-0000-0000-000000060000}"/>
    <cellStyle name="Remarque 2 2 2 2 2 2 8 8 2" xfId="23064" xr:uid="{00000000-0005-0000-0000-000001060000}"/>
    <cellStyle name="Remarque 2 2 2 2 2 2 8 8 3" xfId="47024" xr:uid="{00000000-0005-0000-0000-000002060000}"/>
    <cellStyle name="Remarque 2 2 2 2 2 2 8 9" xfId="2681" xr:uid="{00000000-0005-0000-0000-000003060000}"/>
    <cellStyle name="Remarque 2 2 2 2 2 2 8 9 2" xfId="26695" xr:uid="{00000000-0005-0000-0000-000004060000}"/>
    <cellStyle name="Remarque 2 2 2 2 2 2 8 9 3" xfId="50655" xr:uid="{00000000-0005-0000-0000-000005060000}"/>
    <cellStyle name="Remarque 2 2 2 2 2 2 9" xfId="1414" xr:uid="{00000000-0005-0000-0000-000006060000}"/>
    <cellStyle name="Remarque 2 2 2 2 2 2 9 10" xfId="25446" xr:uid="{00000000-0005-0000-0000-000007060000}"/>
    <cellStyle name="Remarque 2 2 2 2 2 2 9 10 2" xfId="49406" xr:uid="{00000000-0005-0000-0000-000008060000}"/>
    <cellStyle name="Remarque 2 2 2 2 2 2 9 11" xfId="35990" xr:uid="{00000000-0005-0000-0000-000009060000}"/>
    <cellStyle name="Remarque 2 2 2 2 2 2 9 11 2" xfId="59950" xr:uid="{00000000-0005-0000-0000-00000A060000}"/>
    <cellStyle name="Remarque 2 2 2 2 2 2 9 12" xfId="14111" xr:uid="{00000000-0005-0000-0000-00000B060000}"/>
    <cellStyle name="Remarque 2 2 2 2 2 2 9 13" xfId="38071" xr:uid="{00000000-0005-0000-0000-00000C060000}"/>
    <cellStyle name="Remarque 2 2 2 2 2 2 9 2" xfId="4320" xr:uid="{00000000-0005-0000-0000-00000D060000}"/>
    <cellStyle name="Remarque 2 2 2 2 2 2 9 2 2" xfId="28334" xr:uid="{00000000-0005-0000-0000-00000E060000}"/>
    <cellStyle name="Remarque 2 2 2 2 2 2 9 2 2 2" xfId="52294" xr:uid="{00000000-0005-0000-0000-00000F060000}"/>
    <cellStyle name="Remarque 2 2 2 2 2 2 9 2 3" xfId="15581" xr:uid="{00000000-0005-0000-0000-000010060000}"/>
    <cellStyle name="Remarque 2 2 2 2 2 2 9 2 4" xfId="39541" xr:uid="{00000000-0005-0000-0000-000011060000}"/>
    <cellStyle name="Remarque 2 2 2 2 2 2 9 3" xfId="5754" xr:uid="{00000000-0005-0000-0000-000012060000}"/>
    <cellStyle name="Remarque 2 2 2 2 2 2 9 3 2" xfId="29768" xr:uid="{00000000-0005-0000-0000-000013060000}"/>
    <cellStyle name="Remarque 2 2 2 2 2 2 9 3 2 2" xfId="53728" xr:uid="{00000000-0005-0000-0000-000014060000}"/>
    <cellStyle name="Remarque 2 2 2 2 2 2 9 3 3" xfId="17015" xr:uid="{00000000-0005-0000-0000-000015060000}"/>
    <cellStyle name="Remarque 2 2 2 2 2 2 9 3 4" xfId="40975" xr:uid="{00000000-0005-0000-0000-000016060000}"/>
    <cellStyle name="Remarque 2 2 2 2 2 2 9 4" xfId="7148" xr:uid="{00000000-0005-0000-0000-000017060000}"/>
    <cellStyle name="Remarque 2 2 2 2 2 2 9 4 2" xfId="31162" xr:uid="{00000000-0005-0000-0000-000018060000}"/>
    <cellStyle name="Remarque 2 2 2 2 2 2 9 4 2 2" xfId="55122" xr:uid="{00000000-0005-0000-0000-000019060000}"/>
    <cellStyle name="Remarque 2 2 2 2 2 2 9 4 3" xfId="18409" xr:uid="{00000000-0005-0000-0000-00001A060000}"/>
    <cellStyle name="Remarque 2 2 2 2 2 2 9 4 4" xfId="42369" xr:uid="{00000000-0005-0000-0000-00001B060000}"/>
    <cellStyle name="Remarque 2 2 2 2 2 2 9 5" xfId="8536" xr:uid="{00000000-0005-0000-0000-00001C060000}"/>
    <cellStyle name="Remarque 2 2 2 2 2 2 9 5 2" xfId="32550" xr:uid="{00000000-0005-0000-0000-00001D060000}"/>
    <cellStyle name="Remarque 2 2 2 2 2 2 9 5 2 2" xfId="56510" xr:uid="{00000000-0005-0000-0000-00001E060000}"/>
    <cellStyle name="Remarque 2 2 2 2 2 2 9 5 3" xfId="19797" xr:uid="{00000000-0005-0000-0000-00001F060000}"/>
    <cellStyle name="Remarque 2 2 2 2 2 2 9 5 4" xfId="43757" xr:uid="{00000000-0005-0000-0000-000020060000}"/>
    <cellStyle name="Remarque 2 2 2 2 2 2 9 6" xfId="9921" xr:uid="{00000000-0005-0000-0000-000021060000}"/>
    <cellStyle name="Remarque 2 2 2 2 2 2 9 6 2" xfId="33935" xr:uid="{00000000-0005-0000-0000-000022060000}"/>
    <cellStyle name="Remarque 2 2 2 2 2 2 9 6 2 2" xfId="57895" xr:uid="{00000000-0005-0000-0000-000023060000}"/>
    <cellStyle name="Remarque 2 2 2 2 2 2 9 6 3" xfId="21182" xr:uid="{00000000-0005-0000-0000-000024060000}"/>
    <cellStyle name="Remarque 2 2 2 2 2 2 9 6 4" xfId="45142" xr:uid="{00000000-0005-0000-0000-000025060000}"/>
    <cellStyle name="Remarque 2 2 2 2 2 2 9 7" xfId="11378" xr:uid="{00000000-0005-0000-0000-000026060000}"/>
    <cellStyle name="Remarque 2 2 2 2 2 2 9 7 2" xfId="35388" xr:uid="{00000000-0005-0000-0000-000027060000}"/>
    <cellStyle name="Remarque 2 2 2 2 2 2 9 7 2 2" xfId="59348" xr:uid="{00000000-0005-0000-0000-000028060000}"/>
    <cellStyle name="Remarque 2 2 2 2 2 2 9 7 3" xfId="22645" xr:uid="{00000000-0005-0000-0000-000029060000}"/>
    <cellStyle name="Remarque 2 2 2 2 2 2 9 7 4" xfId="46605" xr:uid="{00000000-0005-0000-0000-00002A060000}"/>
    <cellStyle name="Remarque 2 2 2 2 2 2 9 8" xfId="11941" xr:uid="{00000000-0005-0000-0000-00002B060000}"/>
    <cellStyle name="Remarque 2 2 2 2 2 2 9 8 2" xfId="23219" xr:uid="{00000000-0005-0000-0000-00002C060000}"/>
    <cellStyle name="Remarque 2 2 2 2 2 2 9 8 3" xfId="47179" xr:uid="{00000000-0005-0000-0000-00002D060000}"/>
    <cellStyle name="Remarque 2 2 2 2 2 2 9 9" xfId="2850" xr:uid="{00000000-0005-0000-0000-00002E060000}"/>
    <cellStyle name="Remarque 2 2 2 2 2 2 9 9 2" xfId="26864" xr:uid="{00000000-0005-0000-0000-00002F060000}"/>
    <cellStyle name="Remarque 2 2 2 2 2 2 9 9 3" xfId="50824" xr:uid="{00000000-0005-0000-0000-000030060000}"/>
    <cellStyle name="Remarque 2 2 2 2 2 20" xfId="10157" xr:uid="{00000000-0005-0000-0000-000031060000}"/>
    <cellStyle name="Remarque 2 2 2 2 2 20 2" xfId="34169" xr:uid="{00000000-0005-0000-0000-000032060000}"/>
    <cellStyle name="Remarque 2 2 2 2 2 20 2 2" xfId="58129" xr:uid="{00000000-0005-0000-0000-000033060000}"/>
    <cellStyle name="Remarque 2 2 2 2 2 20 3" xfId="21422" xr:uid="{00000000-0005-0000-0000-000034060000}"/>
    <cellStyle name="Remarque 2 2 2 2 2 20 4" xfId="45382" xr:uid="{00000000-0005-0000-0000-000035060000}"/>
    <cellStyle name="Remarque 2 2 2 2 2 21" xfId="12044" xr:uid="{00000000-0005-0000-0000-000036060000}"/>
    <cellStyle name="Remarque 2 2 2 2 2 21 2" xfId="23324" xr:uid="{00000000-0005-0000-0000-000037060000}"/>
    <cellStyle name="Remarque 2 2 2 2 2 21 3" xfId="47284" xr:uid="{00000000-0005-0000-0000-000038060000}"/>
    <cellStyle name="Remarque 2 2 2 2 2 22" xfId="1655" xr:uid="{00000000-0005-0000-0000-000039060000}"/>
    <cellStyle name="Remarque 2 2 2 2 2 22 2" xfId="25669" xr:uid="{00000000-0005-0000-0000-00003A060000}"/>
    <cellStyle name="Remarque 2 2 2 2 2 22 3" xfId="49629" xr:uid="{00000000-0005-0000-0000-00003B060000}"/>
    <cellStyle name="Remarque 2 2 2 2 2 23" xfId="24223" xr:uid="{00000000-0005-0000-0000-00003C060000}"/>
    <cellStyle name="Remarque 2 2 2 2 2 23 2" xfId="48183" xr:uid="{00000000-0005-0000-0000-00003D060000}"/>
    <cellStyle name="Remarque 2 2 2 2 2 24" xfId="35995" xr:uid="{00000000-0005-0000-0000-00003E060000}"/>
    <cellStyle name="Remarque 2 2 2 2 2 24 2" xfId="59955" xr:uid="{00000000-0005-0000-0000-00003F060000}"/>
    <cellStyle name="Remarque 2 2 2 2 2 25" xfId="12935" xr:uid="{00000000-0005-0000-0000-000040060000}"/>
    <cellStyle name="Remarque 2 2 2 2 2 26" xfId="36876" xr:uid="{00000000-0005-0000-0000-000041060000}"/>
    <cellStyle name="Remarque 2 2 2 2 2 27" xfId="191" xr:uid="{00000000-0005-0000-0000-000042060000}"/>
    <cellStyle name="Remarque 2 2 2 2 2 3" xfId="151" xr:uid="{00000000-0005-0000-0000-000043060000}"/>
    <cellStyle name="Remarque 2 2 2 2 2 3 10" xfId="6147" xr:uid="{00000000-0005-0000-0000-000044060000}"/>
    <cellStyle name="Remarque 2 2 2 2 2 3 10 2" xfId="30161" xr:uid="{00000000-0005-0000-0000-000045060000}"/>
    <cellStyle name="Remarque 2 2 2 2 2 3 10 2 2" xfId="54121" xr:uid="{00000000-0005-0000-0000-000046060000}"/>
    <cellStyle name="Remarque 2 2 2 2 2 3 10 3" xfId="17408" xr:uid="{00000000-0005-0000-0000-000047060000}"/>
    <cellStyle name="Remarque 2 2 2 2 2 3 10 4" xfId="41368" xr:uid="{00000000-0005-0000-0000-000048060000}"/>
    <cellStyle name="Remarque 2 2 2 2 2 3 11" xfId="7535" xr:uid="{00000000-0005-0000-0000-000049060000}"/>
    <cellStyle name="Remarque 2 2 2 2 2 3 11 2" xfId="31549" xr:uid="{00000000-0005-0000-0000-00004A060000}"/>
    <cellStyle name="Remarque 2 2 2 2 2 3 11 2 2" xfId="55509" xr:uid="{00000000-0005-0000-0000-00004B060000}"/>
    <cellStyle name="Remarque 2 2 2 2 2 3 11 3" xfId="18796" xr:uid="{00000000-0005-0000-0000-00004C060000}"/>
    <cellStyle name="Remarque 2 2 2 2 2 3 11 4" xfId="42756" xr:uid="{00000000-0005-0000-0000-00004D060000}"/>
    <cellStyle name="Remarque 2 2 2 2 2 3 12" xfId="8920" xr:uid="{00000000-0005-0000-0000-00004E060000}"/>
    <cellStyle name="Remarque 2 2 2 2 2 3 12 2" xfId="32934" xr:uid="{00000000-0005-0000-0000-00004F060000}"/>
    <cellStyle name="Remarque 2 2 2 2 2 3 12 2 2" xfId="56894" xr:uid="{00000000-0005-0000-0000-000050060000}"/>
    <cellStyle name="Remarque 2 2 2 2 2 3 12 3" xfId="20181" xr:uid="{00000000-0005-0000-0000-000051060000}"/>
    <cellStyle name="Remarque 2 2 2 2 2 3 12 4" xfId="44141" xr:uid="{00000000-0005-0000-0000-000052060000}"/>
    <cellStyle name="Remarque 2 2 2 2 2 3 13" xfId="10377" xr:uid="{00000000-0005-0000-0000-000053060000}"/>
    <cellStyle name="Remarque 2 2 2 2 2 3 13 2" xfId="34387" xr:uid="{00000000-0005-0000-0000-000054060000}"/>
    <cellStyle name="Remarque 2 2 2 2 2 3 13 2 2" xfId="58347" xr:uid="{00000000-0005-0000-0000-000055060000}"/>
    <cellStyle name="Remarque 2 2 2 2 2 3 13 3" xfId="21644" xr:uid="{00000000-0005-0000-0000-000056060000}"/>
    <cellStyle name="Remarque 2 2 2 2 2 3 13 4" xfId="45604" xr:uid="{00000000-0005-0000-0000-000057060000}"/>
    <cellStyle name="Remarque 2 2 2 2 2 3 14" xfId="12562" xr:uid="{00000000-0005-0000-0000-000058060000}"/>
    <cellStyle name="Remarque 2 2 2 2 2 3 14 2" xfId="23862" xr:uid="{00000000-0005-0000-0000-000059060000}"/>
    <cellStyle name="Remarque 2 2 2 2 2 3 14 3" xfId="47822" xr:uid="{00000000-0005-0000-0000-00005A060000}"/>
    <cellStyle name="Remarque 2 2 2 2 2 3 15" xfId="1849" xr:uid="{00000000-0005-0000-0000-00005B060000}"/>
    <cellStyle name="Remarque 2 2 2 2 2 3 15 2" xfId="25863" xr:uid="{00000000-0005-0000-0000-00005C060000}"/>
    <cellStyle name="Remarque 2 2 2 2 2 3 15 3" xfId="49823" xr:uid="{00000000-0005-0000-0000-00005D060000}"/>
    <cellStyle name="Remarque 2 2 2 2 2 3 16" xfId="24445" xr:uid="{00000000-0005-0000-0000-00005E060000}"/>
    <cellStyle name="Remarque 2 2 2 2 2 3 16 2" xfId="48405" xr:uid="{00000000-0005-0000-0000-00005F060000}"/>
    <cellStyle name="Remarque 2 2 2 2 2 3 17" xfId="34128" xr:uid="{00000000-0005-0000-0000-000060060000}"/>
    <cellStyle name="Remarque 2 2 2 2 2 3 17 2" xfId="58088" xr:uid="{00000000-0005-0000-0000-000061060000}"/>
    <cellStyle name="Remarque 2 2 2 2 2 3 18" xfId="13110" xr:uid="{00000000-0005-0000-0000-000062060000}"/>
    <cellStyle name="Remarque 2 2 2 2 2 3 19" xfId="37070" xr:uid="{00000000-0005-0000-0000-000063060000}"/>
    <cellStyle name="Remarque 2 2 2 2 2 3 2" xfId="549" xr:uid="{00000000-0005-0000-0000-000064060000}"/>
    <cellStyle name="Remarque 2 2 2 2 2 3 2 10" xfId="24581" xr:uid="{00000000-0005-0000-0000-000065060000}"/>
    <cellStyle name="Remarque 2 2 2 2 2 3 2 10 2" xfId="48541" xr:uid="{00000000-0005-0000-0000-000066060000}"/>
    <cellStyle name="Remarque 2 2 2 2 2 3 2 11" xfId="36782" xr:uid="{00000000-0005-0000-0000-000067060000}"/>
    <cellStyle name="Remarque 2 2 2 2 2 3 2 11 2" xfId="60742" xr:uid="{00000000-0005-0000-0000-000068060000}"/>
    <cellStyle name="Remarque 2 2 2 2 2 3 2 12" xfId="13246" xr:uid="{00000000-0005-0000-0000-000069060000}"/>
    <cellStyle name="Remarque 2 2 2 2 2 3 2 13" xfId="37206" xr:uid="{00000000-0005-0000-0000-00006A060000}"/>
    <cellStyle name="Remarque 2 2 2 2 2 3 2 2" xfId="3455" xr:uid="{00000000-0005-0000-0000-00006B060000}"/>
    <cellStyle name="Remarque 2 2 2 2 2 3 2 2 2" xfId="27469" xr:uid="{00000000-0005-0000-0000-00006C060000}"/>
    <cellStyle name="Remarque 2 2 2 2 2 3 2 2 2 2" xfId="51429" xr:uid="{00000000-0005-0000-0000-00006D060000}"/>
    <cellStyle name="Remarque 2 2 2 2 2 3 2 2 3" xfId="14716" xr:uid="{00000000-0005-0000-0000-00006E060000}"/>
    <cellStyle name="Remarque 2 2 2 2 2 3 2 2 4" xfId="38676" xr:uid="{00000000-0005-0000-0000-00006F060000}"/>
    <cellStyle name="Remarque 2 2 2 2 2 3 2 3" xfId="4889" xr:uid="{00000000-0005-0000-0000-000070060000}"/>
    <cellStyle name="Remarque 2 2 2 2 2 3 2 3 2" xfId="28903" xr:uid="{00000000-0005-0000-0000-000071060000}"/>
    <cellStyle name="Remarque 2 2 2 2 2 3 2 3 2 2" xfId="52863" xr:uid="{00000000-0005-0000-0000-000072060000}"/>
    <cellStyle name="Remarque 2 2 2 2 2 3 2 3 3" xfId="16150" xr:uid="{00000000-0005-0000-0000-000073060000}"/>
    <cellStyle name="Remarque 2 2 2 2 2 3 2 3 4" xfId="40110" xr:uid="{00000000-0005-0000-0000-000074060000}"/>
    <cellStyle name="Remarque 2 2 2 2 2 3 2 4" xfId="6283" xr:uid="{00000000-0005-0000-0000-000075060000}"/>
    <cellStyle name="Remarque 2 2 2 2 2 3 2 4 2" xfId="30297" xr:uid="{00000000-0005-0000-0000-000076060000}"/>
    <cellStyle name="Remarque 2 2 2 2 2 3 2 4 2 2" xfId="54257" xr:uid="{00000000-0005-0000-0000-000077060000}"/>
    <cellStyle name="Remarque 2 2 2 2 2 3 2 4 3" xfId="17544" xr:uid="{00000000-0005-0000-0000-000078060000}"/>
    <cellStyle name="Remarque 2 2 2 2 2 3 2 4 4" xfId="41504" xr:uid="{00000000-0005-0000-0000-000079060000}"/>
    <cellStyle name="Remarque 2 2 2 2 2 3 2 5" xfId="7671" xr:uid="{00000000-0005-0000-0000-00007A060000}"/>
    <cellStyle name="Remarque 2 2 2 2 2 3 2 5 2" xfId="31685" xr:uid="{00000000-0005-0000-0000-00007B060000}"/>
    <cellStyle name="Remarque 2 2 2 2 2 3 2 5 2 2" xfId="55645" xr:uid="{00000000-0005-0000-0000-00007C060000}"/>
    <cellStyle name="Remarque 2 2 2 2 2 3 2 5 3" xfId="18932" xr:uid="{00000000-0005-0000-0000-00007D060000}"/>
    <cellStyle name="Remarque 2 2 2 2 2 3 2 5 4" xfId="42892" xr:uid="{00000000-0005-0000-0000-00007E060000}"/>
    <cellStyle name="Remarque 2 2 2 2 2 3 2 6" xfId="9056" xr:uid="{00000000-0005-0000-0000-00007F060000}"/>
    <cellStyle name="Remarque 2 2 2 2 2 3 2 6 2" xfId="33070" xr:uid="{00000000-0005-0000-0000-000080060000}"/>
    <cellStyle name="Remarque 2 2 2 2 2 3 2 6 2 2" xfId="57030" xr:uid="{00000000-0005-0000-0000-000081060000}"/>
    <cellStyle name="Remarque 2 2 2 2 2 3 2 6 3" xfId="20317" xr:uid="{00000000-0005-0000-0000-000082060000}"/>
    <cellStyle name="Remarque 2 2 2 2 2 3 2 6 4" xfId="44277" xr:uid="{00000000-0005-0000-0000-000083060000}"/>
    <cellStyle name="Remarque 2 2 2 2 2 3 2 7" xfId="10513" xr:uid="{00000000-0005-0000-0000-000084060000}"/>
    <cellStyle name="Remarque 2 2 2 2 2 3 2 7 2" xfId="34523" xr:uid="{00000000-0005-0000-0000-000085060000}"/>
    <cellStyle name="Remarque 2 2 2 2 2 3 2 7 2 2" xfId="58483" xr:uid="{00000000-0005-0000-0000-000086060000}"/>
    <cellStyle name="Remarque 2 2 2 2 2 3 2 7 3" xfId="21780" xr:uid="{00000000-0005-0000-0000-000087060000}"/>
    <cellStyle name="Remarque 2 2 2 2 2 3 2 7 4" xfId="45740" xr:uid="{00000000-0005-0000-0000-000088060000}"/>
    <cellStyle name="Remarque 2 2 2 2 2 3 2 8" xfId="11899" xr:uid="{00000000-0005-0000-0000-000089060000}"/>
    <cellStyle name="Remarque 2 2 2 2 2 3 2 8 2" xfId="23176" xr:uid="{00000000-0005-0000-0000-00008A060000}"/>
    <cellStyle name="Remarque 2 2 2 2 2 3 2 8 3" xfId="47136" xr:uid="{00000000-0005-0000-0000-00008B060000}"/>
    <cellStyle name="Remarque 2 2 2 2 2 3 2 9" xfId="1985" xr:uid="{00000000-0005-0000-0000-00008C060000}"/>
    <cellStyle name="Remarque 2 2 2 2 2 3 2 9 2" xfId="25999" xr:uid="{00000000-0005-0000-0000-00008D060000}"/>
    <cellStyle name="Remarque 2 2 2 2 2 3 2 9 3" xfId="49959" xr:uid="{00000000-0005-0000-0000-00008E060000}"/>
    <cellStyle name="Remarque 2 2 2 2 2 3 20" xfId="413" xr:uid="{00000000-0005-0000-0000-00008F060000}"/>
    <cellStyle name="Remarque 2 2 2 2 2 3 3" xfId="741" xr:uid="{00000000-0005-0000-0000-000090060000}"/>
    <cellStyle name="Remarque 2 2 2 2 2 3 3 10" xfId="24773" xr:uid="{00000000-0005-0000-0000-000091060000}"/>
    <cellStyle name="Remarque 2 2 2 2 2 3 3 10 2" xfId="48733" xr:uid="{00000000-0005-0000-0000-000092060000}"/>
    <cellStyle name="Remarque 2 2 2 2 2 3 3 11" xfId="36774" xr:uid="{00000000-0005-0000-0000-000093060000}"/>
    <cellStyle name="Remarque 2 2 2 2 2 3 3 11 2" xfId="60734" xr:uid="{00000000-0005-0000-0000-000094060000}"/>
    <cellStyle name="Remarque 2 2 2 2 2 3 3 12" xfId="13438" xr:uid="{00000000-0005-0000-0000-000095060000}"/>
    <cellStyle name="Remarque 2 2 2 2 2 3 3 13" xfId="37398" xr:uid="{00000000-0005-0000-0000-000096060000}"/>
    <cellStyle name="Remarque 2 2 2 2 2 3 3 2" xfId="3647" xr:uid="{00000000-0005-0000-0000-000097060000}"/>
    <cellStyle name="Remarque 2 2 2 2 2 3 3 2 2" xfId="27661" xr:uid="{00000000-0005-0000-0000-000098060000}"/>
    <cellStyle name="Remarque 2 2 2 2 2 3 3 2 2 2" xfId="51621" xr:uid="{00000000-0005-0000-0000-000099060000}"/>
    <cellStyle name="Remarque 2 2 2 2 2 3 3 2 3" xfId="14908" xr:uid="{00000000-0005-0000-0000-00009A060000}"/>
    <cellStyle name="Remarque 2 2 2 2 2 3 3 2 4" xfId="38868" xr:uid="{00000000-0005-0000-0000-00009B060000}"/>
    <cellStyle name="Remarque 2 2 2 2 2 3 3 3" xfId="5081" xr:uid="{00000000-0005-0000-0000-00009C060000}"/>
    <cellStyle name="Remarque 2 2 2 2 2 3 3 3 2" xfId="29095" xr:uid="{00000000-0005-0000-0000-00009D060000}"/>
    <cellStyle name="Remarque 2 2 2 2 2 3 3 3 2 2" xfId="53055" xr:uid="{00000000-0005-0000-0000-00009E060000}"/>
    <cellStyle name="Remarque 2 2 2 2 2 3 3 3 3" xfId="16342" xr:uid="{00000000-0005-0000-0000-00009F060000}"/>
    <cellStyle name="Remarque 2 2 2 2 2 3 3 3 4" xfId="40302" xr:uid="{00000000-0005-0000-0000-0000A0060000}"/>
    <cellStyle name="Remarque 2 2 2 2 2 3 3 4" xfId="6475" xr:uid="{00000000-0005-0000-0000-0000A1060000}"/>
    <cellStyle name="Remarque 2 2 2 2 2 3 3 4 2" xfId="30489" xr:uid="{00000000-0005-0000-0000-0000A2060000}"/>
    <cellStyle name="Remarque 2 2 2 2 2 3 3 4 2 2" xfId="54449" xr:uid="{00000000-0005-0000-0000-0000A3060000}"/>
    <cellStyle name="Remarque 2 2 2 2 2 3 3 4 3" xfId="17736" xr:uid="{00000000-0005-0000-0000-0000A4060000}"/>
    <cellStyle name="Remarque 2 2 2 2 2 3 3 4 4" xfId="41696" xr:uid="{00000000-0005-0000-0000-0000A5060000}"/>
    <cellStyle name="Remarque 2 2 2 2 2 3 3 5" xfId="7863" xr:uid="{00000000-0005-0000-0000-0000A6060000}"/>
    <cellStyle name="Remarque 2 2 2 2 2 3 3 5 2" xfId="31877" xr:uid="{00000000-0005-0000-0000-0000A7060000}"/>
    <cellStyle name="Remarque 2 2 2 2 2 3 3 5 2 2" xfId="55837" xr:uid="{00000000-0005-0000-0000-0000A8060000}"/>
    <cellStyle name="Remarque 2 2 2 2 2 3 3 5 3" xfId="19124" xr:uid="{00000000-0005-0000-0000-0000A9060000}"/>
    <cellStyle name="Remarque 2 2 2 2 2 3 3 5 4" xfId="43084" xr:uid="{00000000-0005-0000-0000-0000AA060000}"/>
    <cellStyle name="Remarque 2 2 2 2 2 3 3 6" xfId="9248" xr:uid="{00000000-0005-0000-0000-0000AB060000}"/>
    <cellStyle name="Remarque 2 2 2 2 2 3 3 6 2" xfId="33262" xr:uid="{00000000-0005-0000-0000-0000AC060000}"/>
    <cellStyle name="Remarque 2 2 2 2 2 3 3 6 2 2" xfId="57222" xr:uid="{00000000-0005-0000-0000-0000AD060000}"/>
    <cellStyle name="Remarque 2 2 2 2 2 3 3 6 3" xfId="20509" xr:uid="{00000000-0005-0000-0000-0000AE060000}"/>
    <cellStyle name="Remarque 2 2 2 2 2 3 3 6 4" xfId="44469" xr:uid="{00000000-0005-0000-0000-0000AF060000}"/>
    <cellStyle name="Remarque 2 2 2 2 2 3 3 7" xfId="10705" xr:uid="{00000000-0005-0000-0000-0000B0060000}"/>
    <cellStyle name="Remarque 2 2 2 2 2 3 3 7 2" xfId="34715" xr:uid="{00000000-0005-0000-0000-0000B1060000}"/>
    <cellStyle name="Remarque 2 2 2 2 2 3 3 7 2 2" xfId="58675" xr:uid="{00000000-0005-0000-0000-0000B2060000}"/>
    <cellStyle name="Remarque 2 2 2 2 2 3 3 7 3" xfId="21972" xr:uid="{00000000-0005-0000-0000-0000B3060000}"/>
    <cellStyle name="Remarque 2 2 2 2 2 3 3 7 4" xfId="45932" xr:uid="{00000000-0005-0000-0000-0000B4060000}"/>
    <cellStyle name="Remarque 2 2 2 2 2 3 3 8" xfId="12424" xr:uid="{00000000-0005-0000-0000-0000B5060000}"/>
    <cellStyle name="Remarque 2 2 2 2 2 3 3 8 2" xfId="23715" xr:uid="{00000000-0005-0000-0000-0000B6060000}"/>
    <cellStyle name="Remarque 2 2 2 2 2 3 3 8 3" xfId="47675" xr:uid="{00000000-0005-0000-0000-0000B7060000}"/>
    <cellStyle name="Remarque 2 2 2 2 2 3 3 9" xfId="2177" xr:uid="{00000000-0005-0000-0000-0000B8060000}"/>
    <cellStyle name="Remarque 2 2 2 2 2 3 3 9 2" xfId="26191" xr:uid="{00000000-0005-0000-0000-0000B9060000}"/>
    <cellStyle name="Remarque 2 2 2 2 2 3 3 9 3" xfId="50151" xr:uid="{00000000-0005-0000-0000-0000BA060000}"/>
    <cellStyle name="Remarque 2 2 2 2 2 3 4" xfId="935" xr:uid="{00000000-0005-0000-0000-0000BB060000}"/>
    <cellStyle name="Remarque 2 2 2 2 2 3 4 10" xfId="24967" xr:uid="{00000000-0005-0000-0000-0000BC060000}"/>
    <cellStyle name="Remarque 2 2 2 2 2 3 4 10 2" xfId="48927" xr:uid="{00000000-0005-0000-0000-0000BD060000}"/>
    <cellStyle name="Remarque 2 2 2 2 2 3 4 11" xfId="36503" xr:uid="{00000000-0005-0000-0000-0000BE060000}"/>
    <cellStyle name="Remarque 2 2 2 2 2 3 4 11 2" xfId="60463" xr:uid="{00000000-0005-0000-0000-0000BF060000}"/>
    <cellStyle name="Remarque 2 2 2 2 2 3 4 12" xfId="13632" xr:uid="{00000000-0005-0000-0000-0000C0060000}"/>
    <cellStyle name="Remarque 2 2 2 2 2 3 4 13" xfId="37592" xr:uid="{00000000-0005-0000-0000-0000C1060000}"/>
    <cellStyle name="Remarque 2 2 2 2 2 3 4 2" xfId="3841" xr:uid="{00000000-0005-0000-0000-0000C2060000}"/>
    <cellStyle name="Remarque 2 2 2 2 2 3 4 2 2" xfId="27855" xr:uid="{00000000-0005-0000-0000-0000C3060000}"/>
    <cellStyle name="Remarque 2 2 2 2 2 3 4 2 2 2" xfId="51815" xr:uid="{00000000-0005-0000-0000-0000C4060000}"/>
    <cellStyle name="Remarque 2 2 2 2 2 3 4 2 3" xfId="15102" xr:uid="{00000000-0005-0000-0000-0000C5060000}"/>
    <cellStyle name="Remarque 2 2 2 2 2 3 4 2 4" xfId="39062" xr:uid="{00000000-0005-0000-0000-0000C6060000}"/>
    <cellStyle name="Remarque 2 2 2 2 2 3 4 3" xfId="5275" xr:uid="{00000000-0005-0000-0000-0000C7060000}"/>
    <cellStyle name="Remarque 2 2 2 2 2 3 4 3 2" xfId="29289" xr:uid="{00000000-0005-0000-0000-0000C8060000}"/>
    <cellStyle name="Remarque 2 2 2 2 2 3 4 3 2 2" xfId="53249" xr:uid="{00000000-0005-0000-0000-0000C9060000}"/>
    <cellStyle name="Remarque 2 2 2 2 2 3 4 3 3" xfId="16536" xr:uid="{00000000-0005-0000-0000-0000CA060000}"/>
    <cellStyle name="Remarque 2 2 2 2 2 3 4 3 4" xfId="40496" xr:uid="{00000000-0005-0000-0000-0000CB060000}"/>
    <cellStyle name="Remarque 2 2 2 2 2 3 4 4" xfId="6669" xr:uid="{00000000-0005-0000-0000-0000CC060000}"/>
    <cellStyle name="Remarque 2 2 2 2 2 3 4 4 2" xfId="30683" xr:uid="{00000000-0005-0000-0000-0000CD060000}"/>
    <cellStyle name="Remarque 2 2 2 2 2 3 4 4 2 2" xfId="54643" xr:uid="{00000000-0005-0000-0000-0000CE060000}"/>
    <cellStyle name="Remarque 2 2 2 2 2 3 4 4 3" xfId="17930" xr:uid="{00000000-0005-0000-0000-0000CF060000}"/>
    <cellStyle name="Remarque 2 2 2 2 2 3 4 4 4" xfId="41890" xr:uid="{00000000-0005-0000-0000-0000D0060000}"/>
    <cellStyle name="Remarque 2 2 2 2 2 3 4 5" xfId="8057" xr:uid="{00000000-0005-0000-0000-0000D1060000}"/>
    <cellStyle name="Remarque 2 2 2 2 2 3 4 5 2" xfId="32071" xr:uid="{00000000-0005-0000-0000-0000D2060000}"/>
    <cellStyle name="Remarque 2 2 2 2 2 3 4 5 2 2" xfId="56031" xr:uid="{00000000-0005-0000-0000-0000D3060000}"/>
    <cellStyle name="Remarque 2 2 2 2 2 3 4 5 3" xfId="19318" xr:uid="{00000000-0005-0000-0000-0000D4060000}"/>
    <cellStyle name="Remarque 2 2 2 2 2 3 4 5 4" xfId="43278" xr:uid="{00000000-0005-0000-0000-0000D5060000}"/>
    <cellStyle name="Remarque 2 2 2 2 2 3 4 6" xfId="9442" xr:uid="{00000000-0005-0000-0000-0000D6060000}"/>
    <cellStyle name="Remarque 2 2 2 2 2 3 4 6 2" xfId="33456" xr:uid="{00000000-0005-0000-0000-0000D7060000}"/>
    <cellStyle name="Remarque 2 2 2 2 2 3 4 6 2 2" xfId="57416" xr:uid="{00000000-0005-0000-0000-0000D8060000}"/>
    <cellStyle name="Remarque 2 2 2 2 2 3 4 6 3" xfId="20703" xr:uid="{00000000-0005-0000-0000-0000D9060000}"/>
    <cellStyle name="Remarque 2 2 2 2 2 3 4 6 4" xfId="44663" xr:uid="{00000000-0005-0000-0000-0000DA060000}"/>
    <cellStyle name="Remarque 2 2 2 2 2 3 4 7" xfId="10899" xr:uid="{00000000-0005-0000-0000-0000DB060000}"/>
    <cellStyle name="Remarque 2 2 2 2 2 3 4 7 2" xfId="34909" xr:uid="{00000000-0005-0000-0000-0000DC060000}"/>
    <cellStyle name="Remarque 2 2 2 2 2 3 4 7 2 2" xfId="58869" xr:uid="{00000000-0005-0000-0000-0000DD060000}"/>
    <cellStyle name="Remarque 2 2 2 2 2 3 4 7 3" xfId="22166" xr:uid="{00000000-0005-0000-0000-0000DE060000}"/>
    <cellStyle name="Remarque 2 2 2 2 2 3 4 7 4" xfId="46126" xr:uid="{00000000-0005-0000-0000-0000DF060000}"/>
    <cellStyle name="Remarque 2 2 2 2 2 3 4 8" xfId="10116" xr:uid="{00000000-0005-0000-0000-0000E0060000}"/>
    <cellStyle name="Remarque 2 2 2 2 2 3 4 8 2" xfId="21377" xr:uid="{00000000-0005-0000-0000-0000E1060000}"/>
    <cellStyle name="Remarque 2 2 2 2 2 3 4 8 3" xfId="45337" xr:uid="{00000000-0005-0000-0000-0000E2060000}"/>
    <cellStyle name="Remarque 2 2 2 2 2 3 4 9" xfId="2371" xr:uid="{00000000-0005-0000-0000-0000E3060000}"/>
    <cellStyle name="Remarque 2 2 2 2 2 3 4 9 2" xfId="26385" xr:uid="{00000000-0005-0000-0000-0000E4060000}"/>
    <cellStyle name="Remarque 2 2 2 2 2 3 4 9 3" xfId="50345" xr:uid="{00000000-0005-0000-0000-0000E5060000}"/>
    <cellStyle name="Remarque 2 2 2 2 2 3 5" xfId="1128" xr:uid="{00000000-0005-0000-0000-0000E6060000}"/>
    <cellStyle name="Remarque 2 2 2 2 2 3 5 10" xfId="25160" xr:uid="{00000000-0005-0000-0000-0000E7060000}"/>
    <cellStyle name="Remarque 2 2 2 2 2 3 5 10 2" xfId="49120" xr:uid="{00000000-0005-0000-0000-0000E8060000}"/>
    <cellStyle name="Remarque 2 2 2 2 2 3 5 11" xfId="36539" xr:uid="{00000000-0005-0000-0000-0000E9060000}"/>
    <cellStyle name="Remarque 2 2 2 2 2 3 5 11 2" xfId="60499" xr:uid="{00000000-0005-0000-0000-0000EA060000}"/>
    <cellStyle name="Remarque 2 2 2 2 2 3 5 12" xfId="13825" xr:uid="{00000000-0005-0000-0000-0000EB060000}"/>
    <cellStyle name="Remarque 2 2 2 2 2 3 5 13" xfId="37785" xr:uid="{00000000-0005-0000-0000-0000EC060000}"/>
    <cellStyle name="Remarque 2 2 2 2 2 3 5 2" xfId="4034" xr:uid="{00000000-0005-0000-0000-0000ED060000}"/>
    <cellStyle name="Remarque 2 2 2 2 2 3 5 2 2" xfId="28048" xr:uid="{00000000-0005-0000-0000-0000EE060000}"/>
    <cellStyle name="Remarque 2 2 2 2 2 3 5 2 2 2" xfId="52008" xr:uid="{00000000-0005-0000-0000-0000EF060000}"/>
    <cellStyle name="Remarque 2 2 2 2 2 3 5 2 3" xfId="15295" xr:uid="{00000000-0005-0000-0000-0000F0060000}"/>
    <cellStyle name="Remarque 2 2 2 2 2 3 5 2 4" xfId="39255" xr:uid="{00000000-0005-0000-0000-0000F1060000}"/>
    <cellStyle name="Remarque 2 2 2 2 2 3 5 3" xfId="5468" xr:uid="{00000000-0005-0000-0000-0000F2060000}"/>
    <cellStyle name="Remarque 2 2 2 2 2 3 5 3 2" xfId="29482" xr:uid="{00000000-0005-0000-0000-0000F3060000}"/>
    <cellStyle name="Remarque 2 2 2 2 2 3 5 3 2 2" xfId="53442" xr:uid="{00000000-0005-0000-0000-0000F4060000}"/>
    <cellStyle name="Remarque 2 2 2 2 2 3 5 3 3" xfId="16729" xr:uid="{00000000-0005-0000-0000-0000F5060000}"/>
    <cellStyle name="Remarque 2 2 2 2 2 3 5 3 4" xfId="40689" xr:uid="{00000000-0005-0000-0000-0000F6060000}"/>
    <cellStyle name="Remarque 2 2 2 2 2 3 5 4" xfId="6862" xr:uid="{00000000-0005-0000-0000-0000F7060000}"/>
    <cellStyle name="Remarque 2 2 2 2 2 3 5 4 2" xfId="30876" xr:uid="{00000000-0005-0000-0000-0000F8060000}"/>
    <cellStyle name="Remarque 2 2 2 2 2 3 5 4 2 2" xfId="54836" xr:uid="{00000000-0005-0000-0000-0000F9060000}"/>
    <cellStyle name="Remarque 2 2 2 2 2 3 5 4 3" xfId="18123" xr:uid="{00000000-0005-0000-0000-0000FA060000}"/>
    <cellStyle name="Remarque 2 2 2 2 2 3 5 4 4" xfId="42083" xr:uid="{00000000-0005-0000-0000-0000FB060000}"/>
    <cellStyle name="Remarque 2 2 2 2 2 3 5 5" xfId="8250" xr:uid="{00000000-0005-0000-0000-0000FC060000}"/>
    <cellStyle name="Remarque 2 2 2 2 2 3 5 5 2" xfId="32264" xr:uid="{00000000-0005-0000-0000-0000FD060000}"/>
    <cellStyle name="Remarque 2 2 2 2 2 3 5 5 2 2" xfId="56224" xr:uid="{00000000-0005-0000-0000-0000FE060000}"/>
    <cellStyle name="Remarque 2 2 2 2 2 3 5 5 3" xfId="19511" xr:uid="{00000000-0005-0000-0000-0000FF060000}"/>
    <cellStyle name="Remarque 2 2 2 2 2 3 5 5 4" xfId="43471" xr:uid="{00000000-0005-0000-0000-000000070000}"/>
    <cellStyle name="Remarque 2 2 2 2 2 3 5 6" xfId="9635" xr:uid="{00000000-0005-0000-0000-000001070000}"/>
    <cellStyle name="Remarque 2 2 2 2 2 3 5 6 2" xfId="33649" xr:uid="{00000000-0005-0000-0000-000002070000}"/>
    <cellStyle name="Remarque 2 2 2 2 2 3 5 6 2 2" xfId="57609" xr:uid="{00000000-0005-0000-0000-000003070000}"/>
    <cellStyle name="Remarque 2 2 2 2 2 3 5 6 3" xfId="20896" xr:uid="{00000000-0005-0000-0000-000004070000}"/>
    <cellStyle name="Remarque 2 2 2 2 2 3 5 6 4" xfId="44856" xr:uid="{00000000-0005-0000-0000-000005070000}"/>
    <cellStyle name="Remarque 2 2 2 2 2 3 5 7" xfId="11092" xr:uid="{00000000-0005-0000-0000-000006070000}"/>
    <cellStyle name="Remarque 2 2 2 2 2 3 5 7 2" xfId="35102" xr:uid="{00000000-0005-0000-0000-000007070000}"/>
    <cellStyle name="Remarque 2 2 2 2 2 3 5 7 2 2" xfId="59062" xr:uid="{00000000-0005-0000-0000-000008070000}"/>
    <cellStyle name="Remarque 2 2 2 2 2 3 5 7 3" xfId="22359" xr:uid="{00000000-0005-0000-0000-000009070000}"/>
    <cellStyle name="Remarque 2 2 2 2 2 3 5 7 4" xfId="46319" xr:uid="{00000000-0005-0000-0000-00000A070000}"/>
    <cellStyle name="Remarque 2 2 2 2 2 3 5 8" xfId="11874" xr:uid="{00000000-0005-0000-0000-00000B070000}"/>
    <cellStyle name="Remarque 2 2 2 2 2 3 5 8 2" xfId="23151" xr:uid="{00000000-0005-0000-0000-00000C070000}"/>
    <cellStyle name="Remarque 2 2 2 2 2 3 5 8 3" xfId="47111" xr:uid="{00000000-0005-0000-0000-00000D070000}"/>
    <cellStyle name="Remarque 2 2 2 2 2 3 5 9" xfId="2564" xr:uid="{00000000-0005-0000-0000-00000E070000}"/>
    <cellStyle name="Remarque 2 2 2 2 2 3 5 9 2" xfId="26578" xr:uid="{00000000-0005-0000-0000-00000F070000}"/>
    <cellStyle name="Remarque 2 2 2 2 2 3 5 9 3" xfId="50538" xr:uid="{00000000-0005-0000-0000-000010070000}"/>
    <cellStyle name="Remarque 2 2 2 2 2 3 6" xfId="1295" xr:uid="{00000000-0005-0000-0000-000011070000}"/>
    <cellStyle name="Remarque 2 2 2 2 2 3 6 10" xfId="25327" xr:uid="{00000000-0005-0000-0000-000012070000}"/>
    <cellStyle name="Remarque 2 2 2 2 2 3 6 10 2" xfId="49287" xr:uid="{00000000-0005-0000-0000-000013070000}"/>
    <cellStyle name="Remarque 2 2 2 2 2 3 6 11" xfId="36574" xr:uid="{00000000-0005-0000-0000-000014070000}"/>
    <cellStyle name="Remarque 2 2 2 2 2 3 6 11 2" xfId="60534" xr:uid="{00000000-0005-0000-0000-000015070000}"/>
    <cellStyle name="Remarque 2 2 2 2 2 3 6 12" xfId="13992" xr:uid="{00000000-0005-0000-0000-000016070000}"/>
    <cellStyle name="Remarque 2 2 2 2 2 3 6 13" xfId="37952" xr:uid="{00000000-0005-0000-0000-000017070000}"/>
    <cellStyle name="Remarque 2 2 2 2 2 3 6 2" xfId="4201" xr:uid="{00000000-0005-0000-0000-000018070000}"/>
    <cellStyle name="Remarque 2 2 2 2 2 3 6 2 2" xfId="28215" xr:uid="{00000000-0005-0000-0000-000019070000}"/>
    <cellStyle name="Remarque 2 2 2 2 2 3 6 2 2 2" xfId="52175" xr:uid="{00000000-0005-0000-0000-00001A070000}"/>
    <cellStyle name="Remarque 2 2 2 2 2 3 6 2 3" xfId="15462" xr:uid="{00000000-0005-0000-0000-00001B070000}"/>
    <cellStyle name="Remarque 2 2 2 2 2 3 6 2 4" xfId="39422" xr:uid="{00000000-0005-0000-0000-00001C070000}"/>
    <cellStyle name="Remarque 2 2 2 2 2 3 6 3" xfId="5635" xr:uid="{00000000-0005-0000-0000-00001D070000}"/>
    <cellStyle name="Remarque 2 2 2 2 2 3 6 3 2" xfId="29649" xr:uid="{00000000-0005-0000-0000-00001E070000}"/>
    <cellStyle name="Remarque 2 2 2 2 2 3 6 3 2 2" xfId="53609" xr:uid="{00000000-0005-0000-0000-00001F070000}"/>
    <cellStyle name="Remarque 2 2 2 2 2 3 6 3 3" xfId="16896" xr:uid="{00000000-0005-0000-0000-000020070000}"/>
    <cellStyle name="Remarque 2 2 2 2 2 3 6 3 4" xfId="40856" xr:uid="{00000000-0005-0000-0000-000021070000}"/>
    <cellStyle name="Remarque 2 2 2 2 2 3 6 4" xfId="7029" xr:uid="{00000000-0005-0000-0000-000022070000}"/>
    <cellStyle name="Remarque 2 2 2 2 2 3 6 4 2" xfId="31043" xr:uid="{00000000-0005-0000-0000-000023070000}"/>
    <cellStyle name="Remarque 2 2 2 2 2 3 6 4 2 2" xfId="55003" xr:uid="{00000000-0005-0000-0000-000024070000}"/>
    <cellStyle name="Remarque 2 2 2 2 2 3 6 4 3" xfId="18290" xr:uid="{00000000-0005-0000-0000-000025070000}"/>
    <cellStyle name="Remarque 2 2 2 2 2 3 6 4 4" xfId="42250" xr:uid="{00000000-0005-0000-0000-000026070000}"/>
    <cellStyle name="Remarque 2 2 2 2 2 3 6 5" xfId="8417" xr:uid="{00000000-0005-0000-0000-000027070000}"/>
    <cellStyle name="Remarque 2 2 2 2 2 3 6 5 2" xfId="32431" xr:uid="{00000000-0005-0000-0000-000028070000}"/>
    <cellStyle name="Remarque 2 2 2 2 2 3 6 5 2 2" xfId="56391" xr:uid="{00000000-0005-0000-0000-000029070000}"/>
    <cellStyle name="Remarque 2 2 2 2 2 3 6 5 3" xfId="19678" xr:uid="{00000000-0005-0000-0000-00002A070000}"/>
    <cellStyle name="Remarque 2 2 2 2 2 3 6 5 4" xfId="43638" xr:uid="{00000000-0005-0000-0000-00002B070000}"/>
    <cellStyle name="Remarque 2 2 2 2 2 3 6 6" xfId="9802" xr:uid="{00000000-0005-0000-0000-00002C070000}"/>
    <cellStyle name="Remarque 2 2 2 2 2 3 6 6 2" xfId="33816" xr:uid="{00000000-0005-0000-0000-00002D070000}"/>
    <cellStyle name="Remarque 2 2 2 2 2 3 6 6 2 2" xfId="57776" xr:uid="{00000000-0005-0000-0000-00002E070000}"/>
    <cellStyle name="Remarque 2 2 2 2 2 3 6 6 3" xfId="21063" xr:uid="{00000000-0005-0000-0000-00002F070000}"/>
    <cellStyle name="Remarque 2 2 2 2 2 3 6 6 4" xfId="45023" xr:uid="{00000000-0005-0000-0000-000030070000}"/>
    <cellStyle name="Remarque 2 2 2 2 2 3 6 7" xfId="11259" xr:uid="{00000000-0005-0000-0000-000031070000}"/>
    <cellStyle name="Remarque 2 2 2 2 2 3 6 7 2" xfId="35269" xr:uid="{00000000-0005-0000-0000-000032070000}"/>
    <cellStyle name="Remarque 2 2 2 2 2 3 6 7 2 2" xfId="59229" xr:uid="{00000000-0005-0000-0000-000033070000}"/>
    <cellStyle name="Remarque 2 2 2 2 2 3 6 7 3" xfId="22526" xr:uid="{00000000-0005-0000-0000-000034070000}"/>
    <cellStyle name="Remarque 2 2 2 2 2 3 6 7 4" xfId="46486" xr:uid="{00000000-0005-0000-0000-000035070000}"/>
    <cellStyle name="Remarque 2 2 2 2 2 3 6 8" xfId="12645" xr:uid="{00000000-0005-0000-0000-000036070000}"/>
    <cellStyle name="Remarque 2 2 2 2 2 3 6 8 2" xfId="23950" xr:uid="{00000000-0005-0000-0000-000037070000}"/>
    <cellStyle name="Remarque 2 2 2 2 2 3 6 8 3" xfId="47910" xr:uid="{00000000-0005-0000-0000-000038070000}"/>
    <cellStyle name="Remarque 2 2 2 2 2 3 6 9" xfId="2731" xr:uid="{00000000-0005-0000-0000-000039070000}"/>
    <cellStyle name="Remarque 2 2 2 2 2 3 6 9 2" xfId="26745" xr:uid="{00000000-0005-0000-0000-00003A070000}"/>
    <cellStyle name="Remarque 2 2 2 2 2 3 6 9 3" xfId="50705" xr:uid="{00000000-0005-0000-0000-00003B070000}"/>
    <cellStyle name="Remarque 2 2 2 2 2 3 7" xfId="1464" xr:uid="{00000000-0005-0000-0000-00003C070000}"/>
    <cellStyle name="Remarque 2 2 2 2 2 3 7 10" xfId="25496" xr:uid="{00000000-0005-0000-0000-00003D070000}"/>
    <cellStyle name="Remarque 2 2 2 2 2 3 7 10 2" xfId="49456" xr:uid="{00000000-0005-0000-0000-00003E070000}"/>
    <cellStyle name="Remarque 2 2 2 2 2 3 7 11" xfId="36667" xr:uid="{00000000-0005-0000-0000-00003F070000}"/>
    <cellStyle name="Remarque 2 2 2 2 2 3 7 11 2" xfId="60627" xr:uid="{00000000-0005-0000-0000-000040070000}"/>
    <cellStyle name="Remarque 2 2 2 2 2 3 7 12" xfId="14161" xr:uid="{00000000-0005-0000-0000-000041070000}"/>
    <cellStyle name="Remarque 2 2 2 2 2 3 7 13" xfId="38121" xr:uid="{00000000-0005-0000-0000-000042070000}"/>
    <cellStyle name="Remarque 2 2 2 2 2 3 7 2" xfId="4370" xr:uid="{00000000-0005-0000-0000-000043070000}"/>
    <cellStyle name="Remarque 2 2 2 2 2 3 7 2 2" xfId="28384" xr:uid="{00000000-0005-0000-0000-000044070000}"/>
    <cellStyle name="Remarque 2 2 2 2 2 3 7 2 2 2" xfId="52344" xr:uid="{00000000-0005-0000-0000-000045070000}"/>
    <cellStyle name="Remarque 2 2 2 2 2 3 7 2 3" xfId="15631" xr:uid="{00000000-0005-0000-0000-000046070000}"/>
    <cellStyle name="Remarque 2 2 2 2 2 3 7 2 4" xfId="39591" xr:uid="{00000000-0005-0000-0000-000047070000}"/>
    <cellStyle name="Remarque 2 2 2 2 2 3 7 3" xfId="5804" xr:uid="{00000000-0005-0000-0000-000048070000}"/>
    <cellStyle name="Remarque 2 2 2 2 2 3 7 3 2" xfId="29818" xr:uid="{00000000-0005-0000-0000-000049070000}"/>
    <cellStyle name="Remarque 2 2 2 2 2 3 7 3 2 2" xfId="53778" xr:uid="{00000000-0005-0000-0000-00004A070000}"/>
    <cellStyle name="Remarque 2 2 2 2 2 3 7 3 3" xfId="17065" xr:uid="{00000000-0005-0000-0000-00004B070000}"/>
    <cellStyle name="Remarque 2 2 2 2 2 3 7 3 4" xfId="41025" xr:uid="{00000000-0005-0000-0000-00004C070000}"/>
    <cellStyle name="Remarque 2 2 2 2 2 3 7 4" xfId="7198" xr:uid="{00000000-0005-0000-0000-00004D070000}"/>
    <cellStyle name="Remarque 2 2 2 2 2 3 7 4 2" xfId="31212" xr:uid="{00000000-0005-0000-0000-00004E070000}"/>
    <cellStyle name="Remarque 2 2 2 2 2 3 7 4 2 2" xfId="55172" xr:uid="{00000000-0005-0000-0000-00004F070000}"/>
    <cellStyle name="Remarque 2 2 2 2 2 3 7 4 3" xfId="18459" xr:uid="{00000000-0005-0000-0000-000050070000}"/>
    <cellStyle name="Remarque 2 2 2 2 2 3 7 4 4" xfId="42419" xr:uid="{00000000-0005-0000-0000-000051070000}"/>
    <cellStyle name="Remarque 2 2 2 2 2 3 7 5" xfId="8586" xr:uid="{00000000-0005-0000-0000-000052070000}"/>
    <cellStyle name="Remarque 2 2 2 2 2 3 7 5 2" xfId="32600" xr:uid="{00000000-0005-0000-0000-000053070000}"/>
    <cellStyle name="Remarque 2 2 2 2 2 3 7 5 2 2" xfId="56560" xr:uid="{00000000-0005-0000-0000-000054070000}"/>
    <cellStyle name="Remarque 2 2 2 2 2 3 7 5 3" xfId="19847" xr:uid="{00000000-0005-0000-0000-000055070000}"/>
    <cellStyle name="Remarque 2 2 2 2 2 3 7 5 4" xfId="43807" xr:uid="{00000000-0005-0000-0000-000056070000}"/>
    <cellStyle name="Remarque 2 2 2 2 2 3 7 6" xfId="9971" xr:uid="{00000000-0005-0000-0000-000057070000}"/>
    <cellStyle name="Remarque 2 2 2 2 2 3 7 6 2" xfId="33985" xr:uid="{00000000-0005-0000-0000-000058070000}"/>
    <cellStyle name="Remarque 2 2 2 2 2 3 7 6 2 2" xfId="57945" xr:uid="{00000000-0005-0000-0000-000059070000}"/>
    <cellStyle name="Remarque 2 2 2 2 2 3 7 6 3" xfId="21232" xr:uid="{00000000-0005-0000-0000-00005A070000}"/>
    <cellStyle name="Remarque 2 2 2 2 2 3 7 6 4" xfId="45192" xr:uid="{00000000-0005-0000-0000-00005B070000}"/>
    <cellStyle name="Remarque 2 2 2 2 2 3 7 7" xfId="11428" xr:uid="{00000000-0005-0000-0000-00005C070000}"/>
    <cellStyle name="Remarque 2 2 2 2 2 3 7 7 2" xfId="35438" xr:uid="{00000000-0005-0000-0000-00005D070000}"/>
    <cellStyle name="Remarque 2 2 2 2 2 3 7 7 2 2" xfId="59398" xr:uid="{00000000-0005-0000-0000-00005E070000}"/>
    <cellStyle name="Remarque 2 2 2 2 2 3 7 7 3" xfId="22695" xr:uid="{00000000-0005-0000-0000-00005F070000}"/>
    <cellStyle name="Remarque 2 2 2 2 2 3 7 7 4" xfId="46655" xr:uid="{00000000-0005-0000-0000-000060070000}"/>
    <cellStyle name="Remarque 2 2 2 2 2 3 7 8" xfId="12691" xr:uid="{00000000-0005-0000-0000-000061070000}"/>
    <cellStyle name="Remarque 2 2 2 2 2 3 7 8 2" xfId="23996" xr:uid="{00000000-0005-0000-0000-000062070000}"/>
    <cellStyle name="Remarque 2 2 2 2 2 3 7 8 3" xfId="47956" xr:uid="{00000000-0005-0000-0000-000063070000}"/>
    <cellStyle name="Remarque 2 2 2 2 2 3 7 9" xfId="2900" xr:uid="{00000000-0005-0000-0000-000064070000}"/>
    <cellStyle name="Remarque 2 2 2 2 2 3 7 9 2" xfId="26914" xr:uid="{00000000-0005-0000-0000-000065070000}"/>
    <cellStyle name="Remarque 2 2 2 2 2 3 7 9 3" xfId="50874" xr:uid="{00000000-0005-0000-0000-000066070000}"/>
    <cellStyle name="Remarque 2 2 2 2 2 3 8" xfId="3319" xr:uid="{00000000-0005-0000-0000-000067070000}"/>
    <cellStyle name="Remarque 2 2 2 2 2 3 8 2" xfId="27333" xr:uid="{00000000-0005-0000-0000-000068070000}"/>
    <cellStyle name="Remarque 2 2 2 2 2 3 8 2 2" xfId="51293" xr:uid="{00000000-0005-0000-0000-000069070000}"/>
    <cellStyle name="Remarque 2 2 2 2 2 3 8 3" xfId="14580" xr:uid="{00000000-0005-0000-0000-00006A070000}"/>
    <cellStyle name="Remarque 2 2 2 2 2 3 8 4" xfId="38540" xr:uid="{00000000-0005-0000-0000-00006B070000}"/>
    <cellStyle name="Remarque 2 2 2 2 2 3 9" xfId="4753" xr:uid="{00000000-0005-0000-0000-00006C070000}"/>
    <cellStyle name="Remarque 2 2 2 2 2 3 9 2" xfId="28767" xr:uid="{00000000-0005-0000-0000-00006D070000}"/>
    <cellStyle name="Remarque 2 2 2 2 2 3 9 2 2" xfId="52727" xr:uid="{00000000-0005-0000-0000-00006E070000}"/>
    <cellStyle name="Remarque 2 2 2 2 2 3 9 3" xfId="16014" xr:uid="{00000000-0005-0000-0000-00006F070000}"/>
    <cellStyle name="Remarque 2 2 2 2 2 3 9 4" xfId="39974" xr:uid="{00000000-0005-0000-0000-000070070000}"/>
    <cellStyle name="Remarque 2 2 2 2 2 4" xfId="453" xr:uid="{00000000-0005-0000-0000-000071070000}"/>
    <cellStyle name="Remarque 2 2 2 2 2 4 10" xfId="6187" xr:uid="{00000000-0005-0000-0000-000072070000}"/>
    <cellStyle name="Remarque 2 2 2 2 2 4 10 2" xfId="30201" xr:uid="{00000000-0005-0000-0000-000073070000}"/>
    <cellStyle name="Remarque 2 2 2 2 2 4 10 2 2" xfId="54161" xr:uid="{00000000-0005-0000-0000-000074070000}"/>
    <cellStyle name="Remarque 2 2 2 2 2 4 10 3" xfId="17448" xr:uid="{00000000-0005-0000-0000-000075070000}"/>
    <cellStyle name="Remarque 2 2 2 2 2 4 10 4" xfId="41408" xr:uid="{00000000-0005-0000-0000-000076070000}"/>
    <cellStyle name="Remarque 2 2 2 2 2 4 11" xfId="7575" xr:uid="{00000000-0005-0000-0000-000077070000}"/>
    <cellStyle name="Remarque 2 2 2 2 2 4 11 2" xfId="31589" xr:uid="{00000000-0005-0000-0000-000078070000}"/>
    <cellStyle name="Remarque 2 2 2 2 2 4 11 2 2" xfId="55549" xr:uid="{00000000-0005-0000-0000-000079070000}"/>
    <cellStyle name="Remarque 2 2 2 2 2 4 11 3" xfId="18836" xr:uid="{00000000-0005-0000-0000-00007A070000}"/>
    <cellStyle name="Remarque 2 2 2 2 2 4 11 4" xfId="42796" xr:uid="{00000000-0005-0000-0000-00007B070000}"/>
    <cellStyle name="Remarque 2 2 2 2 2 4 12" xfId="8960" xr:uid="{00000000-0005-0000-0000-00007C070000}"/>
    <cellStyle name="Remarque 2 2 2 2 2 4 12 2" xfId="32974" xr:uid="{00000000-0005-0000-0000-00007D070000}"/>
    <cellStyle name="Remarque 2 2 2 2 2 4 12 2 2" xfId="56934" xr:uid="{00000000-0005-0000-0000-00007E070000}"/>
    <cellStyle name="Remarque 2 2 2 2 2 4 12 3" xfId="20221" xr:uid="{00000000-0005-0000-0000-00007F070000}"/>
    <cellStyle name="Remarque 2 2 2 2 2 4 12 4" xfId="44181" xr:uid="{00000000-0005-0000-0000-000080070000}"/>
    <cellStyle name="Remarque 2 2 2 2 2 4 13" xfId="10417" xr:uid="{00000000-0005-0000-0000-000081070000}"/>
    <cellStyle name="Remarque 2 2 2 2 2 4 13 2" xfId="34427" xr:uid="{00000000-0005-0000-0000-000082070000}"/>
    <cellStyle name="Remarque 2 2 2 2 2 4 13 2 2" xfId="58387" xr:uid="{00000000-0005-0000-0000-000083070000}"/>
    <cellStyle name="Remarque 2 2 2 2 2 4 13 3" xfId="21684" xr:uid="{00000000-0005-0000-0000-000084070000}"/>
    <cellStyle name="Remarque 2 2 2 2 2 4 13 4" xfId="45644" xr:uid="{00000000-0005-0000-0000-000085070000}"/>
    <cellStyle name="Remarque 2 2 2 2 2 4 14" xfId="11649" xr:uid="{00000000-0005-0000-0000-000086070000}"/>
    <cellStyle name="Remarque 2 2 2 2 2 4 14 2" xfId="22917" xr:uid="{00000000-0005-0000-0000-000087070000}"/>
    <cellStyle name="Remarque 2 2 2 2 2 4 14 3" xfId="46877" xr:uid="{00000000-0005-0000-0000-000088070000}"/>
    <cellStyle name="Remarque 2 2 2 2 2 4 15" xfId="1889" xr:uid="{00000000-0005-0000-0000-000089070000}"/>
    <cellStyle name="Remarque 2 2 2 2 2 4 15 2" xfId="25903" xr:uid="{00000000-0005-0000-0000-00008A070000}"/>
    <cellStyle name="Remarque 2 2 2 2 2 4 15 3" xfId="49863" xr:uid="{00000000-0005-0000-0000-00008B070000}"/>
    <cellStyle name="Remarque 2 2 2 2 2 4 16" xfId="24485" xr:uid="{00000000-0005-0000-0000-00008C070000}"/>
    <cellStyle name="Remarque 2 2 2 2 2 4 16 2" xfId="48445" xr:uid="{00000000-0005-0000-0000-00008D070000}"/>
    <cellStyle name="Remarque 2 2 2 2 2 4 17" xfId="36755" xr:uid="{00000000-0005-0000-0000-00008E070000}"/>
    <cellStyle name="Remarque 2 2 2 2 2 4 17 2" xfId="60715" xr:uid="{00000000-0005-0000-0000-00008F070000}"/>
    <cellStyle name="Remarque 2 2 2 2 2 4 18" xfId="13150" xr:uid="{00000000-0005-0000-0000-000090070000}"/>
    <cellStyle name="Remarque 2 2 2 2 2 4 19" xfId="37110" xr:uid="{00000000-0005-0000-0000-000091070000}"/>
    <cellStyle name="Remarque 2 2 2 2 2 4 2" xfId="589" xr:uid="{00000000-0005-0000-0000-000092070000}"/>
    <cellStyle name="Remarque 2 2 2 2 2 4 2 10" xfId="24621" xr:uid="{00000000-0005-0000-0000-000093070000}"/>
    <cellStyle name="Remarque 2 2 2 2 2 4 2 10 2" xfId="48581" xr:uid="{00000000-0005-0000-0000-000094070000}"/>
    <cellStyle name="Remarque 2 2 2 2 2 4 2 11" xfId="35601" xr:uid="{00000000-0005-0000-0000-000095070000}"/>
    <cellStyle name="Remarque 2 2 2 2 2 4 2 11 2" xfId="59561" xr:uid="{00000000-0005-0000-0000-000096070000}"/>
    <cellStyle name="Remarque 2 2 2 2 2 4 2 12" xfId="13286" xr:uid="{00000000-0005-0000-0000-000097070000}"/>
    <cellStyle name="Remarque 2 2 2 2 2 4 2 13" xfId="37246" xr:uid="{00000000-0005-0000-0000-000098070000}"/>
    <cellStyle name="Remarque 2 2 2 2 2 4 2 2" xfId="3495" xr:uid="{00000000-0005-0000-0000-000099070000}"/>
    <cellStyle name="Remarque 2 2 2 2 2 4 2 2 2" xfId="27509" xr:uid="{00000000-0005-0000-0000-00009A070000}"/>
    <cellStyle name="Remarque 2 2 2 2 2 4 2 2 2 2" xfId="51469" xr:uid="{00000000-0005-0000-0000-00009B070000}"/>
    <cellStyle name="Remarque 2 2 2 2 2 4 2 2 3" xfId="14756" xr:uid="{00000000-0005-0000-0000-00009C070000}"/>
    <cellStyle name="Remarque 2 2 2 2 2 4 2 2 4" xfId="38716" xr:uid="{00000000-0005-0000-0000-00009D070000}"/>
    <cellStyle name="Remarque 2 2 2 2 2 4 2 3" xfId="4929" xr:uid="{00000000-0005-0000-0000-00009E070000}"/>
    <cellStyle name="Remarque 2 2 2 2 2 4 2 3 2" xfId="28943" xr:uid="{00000000-0005-0000-0000-00009F070000}"/>
    <cellStyle name="Remarque 2 2 2 2 2 4 2 3 2 2" xfId="52903" xr:uid="{00000000-0005-0000-0000-0000A0070000}"/>
    <cellStyle name="Remarque 2 2 2 2 2 4 2 3 3" xfId="16190" xr:uid="{00000000-0005-0000-0000-0000A1070000}"/>
    <cellStyle name="Remarque 2 2 2 2 2 4 2 3 4" xfId="40150" xr:uid="{00000000-0005-0000-0000-0000A2070000}"/>
    <cellStyle name="Remarque 2 2 2 2 2 4 2 4" xfId="6323" xr:uid="{00000000-0005-0000-0000-0000A3070000}"/>
    <cellStyle name="Remarque 2 2 2 2 2 4 2 4 2" xfId="30337" xr:uid="{00000000-0005-0000-0000-0000A4070000}"/>
    <cellStyle name="Remarque 2 2 2 2 2 4 2 4 2 2" xfId="54297" xr:uid="{00000000-0005-0000-0000-0000A5070000}"/>
    <cellStyle name="Remarque 2 2 2 2 2 4 2 4 3" xfId="17584" xr:uid="{00000000-0005-0000-0000-0000A6070000}"/>
    <cellStyle name="Remarque 2 2 2 2 2 4 2 4 4" xfId="41544" xr:uid="{00000000-0005-0000-0000-0000A7070000}"/>
    <cellStyle name="Remarque 2 2 2 2 2 4 2 5" xfId="7711" xr:uid="{00000000-0005-0000-0000-0000A8070000}"/>
    <cellStyle name="Remarque 2 2 2 2 2 4 2 5 2" xfId="31725" xr:uid="{00000000-0005-0000-0000-0000A9070000}"/>
    <cellStyle name="Remarque 2 2 2 2 2 4 2 5 2 2" xfId="55685" xr:uid="{00000000-0005-0000-0000-0000AA070000}"/>
    <cellStyle name="Remarque 2 2 2 2 2 4 2 5 3" xfId="18972" xr:uid="{00000000-0005-0000-0000-0000AB070000}"/>
    <cellStyle name="Remarque 2 2 2 2 2 4 2 5 4" xfId="42932" xr:uid="{00000000-0005-0000-0000-0000AC070000}"/>
    <cellStyle name="Remarque 2 2 2 2 2 4 2 6" xfId="9096" xr:uid="{00000000-0005-0000-0000-0000AD070000}"/>
    <cellStyle name="Remarque 2 2 2 2 2 4 2 6 2" xfId="33110" xr:uid="{00000000-0005-0000-0000-0000AE070000}"/>
    <cellStyle name="Remarque 2 2 2 2 2 4 2 6 2 2" xfId="57070" xr:uid="{00000000-0005-0000-0000-0000AF070000}"/>
    <cellStyle name="Remarque 2 2 2 2 2 4 2 6 3" xfId="20357" xr:uid="{00000000-0005-0000-0000-0000B0070000}"/>
    <cellStyle name="Remarque 2 2 2 2 2 4 2 6 4" xfId="44317" xr:uid="{00000000-0005-0000-0000-0000B1070000}"/>
    <cellStyle name="Remarque 2 2 2 2 2 4 2 7" xfId="10553" xr:uid="{00000000-0005-0000-0000-0000B2070000}"/>
    <cellStyle name="Remarque 2 2 2 2 2 4 2 7 2" xfId="34563" xr:uid="{00000000-0005-0000-0000-0000B3070000}"/>
    <cellStyle name="Remarque 2 2 2 2 2 4 2 7 2 2" xfId="58523" xr:uid="{00000000-0005-0000-0000-0000B4070000}"/>
    <cellStyle name="Remarque 2 2 2 2 2 4 2 7 3" xfId="21820" xr:uid="{00000000-0005-0000-0000-0000B5070000}"/>
    <cellStyle name="Remarque 2 2 2 2 2 4 2 7 4" xfId="45780" xr:uid="{00000000-0005-0000-0000-0000B6070000}"/>
    <cellStyle name="Remarque 2 2 2 2 2 4 2 8" xfId="12376" xr:uid="{00000000-0005-0000-0000-0000B7070000}"/>
    <cellStyle name="Remarque 2 2 2 2 2 4 2 8 2" xfId="23665" xr:uid="{00000000-0005-0000-0000-0000B8070000}"/>
    <cellStyle name="Remarque 2 2 2 2 2 4 2 8 3" xfId="47625" xr:uid="{00000000-0005-0000-0000-0000B9070000}"/>
    <cellStyle name="Remarque 2 2 2 2 2 4 2 9" xfId="2025" xr:uid="{00000000-0005-0000-0000-0000BA070000}"/>
    <cellStyle name="Remarque 2 2 2 2 2 4 2 9 2" xfId="26039" xr:uid="{00000000-0005-0000-0000-0000BB070000}"/>
    <cellStyle name="Remarque 2 2 2 2 2 4 2 9 3" xfId="49999" xr:uid="{00000000-0005-0000-0000-0000BC070000}"/>
    <cellStyle name="Remarque 2 2 2 2 2 4 3" xfId="781" xr:uid="{00000000-0005-0000-0000-0000BD070000}"/>
    <cellStyle name="Remarque 2 2 2 2 2 4 3 10" xfId="24813" xr:uid="{00000000-0005-0000-0000-0000BE070000}"/>
    <cellStyle name="Remarque 2 2 2 2 2 4 3 10 2" xfId="48773" xr:uid="{00000000-0005-0000-0000-0000BF070000}"/>
    <cellStyle name="Remarque 2 2 2 2 2 4 3 11" xfId="34137" xr:uid="{00000000-0005-0000-0000-0000C0070000}"/>
    <cellStyle name="Remarque 2 2 2 2 2 4 3 11 2" xfId="58097" xr:uid="{00000000-0005-0000-0000-0000C1070000}"/>
    <cellStyle name="Remarque 2 2 2 2 2 4 3 12" xfId="13478" xr:uid="{00000000-0005-0000-0000-0000C2070000}"/>
    <cellStyle name="Remarque 2 2 2 2 2 4 3 13" xfId="37438" xr:uid="{00000000-0005-0000-0000-0000C3070000}"/>
    <cellStyle name="Remarque 2 2 2 2 2 4 3 2" xfId="3687" xr:uid="{00000000-0005-0000-0000-0000C4070000}"/>
    <cellStyle name="Remarque 2 2 2 2 2 4 3 2 2" xfId="27701" xr:uid="{00000000-0005-0000-0000-0000C5070000}"/>
    <cellStyle name="Remarque 2 2 2 2 2 4 3 2 2 2" xfId="51661" xr:uid="{00000000-0005-0000-0000-0000C6070000}"/>
    <cellStyle name="Remarque 2 2 2 2 2 4 3 2 3" xfId="14948" xr:uid="{00000000-0005-0000-0000-0000C7070000}"/>
    <cellStyle name="Remarque 2 2 2 2 2 4 3 2 4" xfId="38908" xr:uid="{00000000-0005-0000-0000-0000C8070000}"/>
    <cellStyle name="Remarque 2 2 2 2 2 4 3 3" xfId="5121" xr:uid="{00000000-0005-0000-0000-0000C9070000}"/>
    <cellStyle name="Remarque 2 2 2 2 2 4 3 3 2" xfId="29135" xr:uid="{00000000-0005-0000-0000-0000CA070000}"/>
    <cellStyle name="Remarque 2 2 2 2 2 4 3 3 2 2" xfId="53095" xr:uid="{00000000-0005-0000-0000-0000CB070000}"/>
    <cellStyle name="Remarque 2 2 2 2 2 4 3 3 3" xfId="16382" xr:uid="{00000000-0005-0000-0000-0000CC070000}"/>
    <cellStyle name="Remarque 2 2 2 2 2 4 3 3 4" xfId="40342" xr:uid="{00000000-0005-0000-0000-0000CD070000}"/>
    <cellStyle name="Remarque 2 2 2 2 2 4 3 4" xfId="6515" xr:uid="{00000000-0005-0000-0000-0000CE070000}"/>
    <cellStyle name="Remarque 2 2 2 2 2 4 3 4 2" xfId="30529" xr:uid="{00000000-0005-0000-0000-0000CF070000}"/>
    <cellStyle name="Remarque 2 2 2 2 2 4 3 4 2 2" xfId="54489" xr:uid="{00000000-0005-0000-0000-0000D0070000}"/>
    <cellStyle name="Remarque 2 2 2 2 2 4 3 4 3" xfId="17776" xr:uid="{00000000-0005-0000-0000-0000D1070000}"/>
    <cellStyle name="Remarque 2 2 2 2 2 4 3 4 4" xfId="41736" xr:uid="{00000000-0005-0000-0000-0000D2070000}"/>
    <cellStyle name="Remarque 2 2 2 2 2 4 3 5" xfId="7903" xr:uid="{00000000-0005-0000-0000-0000D3070000}"/>
    <cellStyle name="Remarque 2 2 2 2 2 4 3 5 2" xfId="31917" xr:uid="{00000000-0005-0000-0000-0000D4070000}"/>
    <cellStyle name="Remarque 2 2 2 2 2 4 3 5 2 2" xfId="55877" xr:uid="{00000000-0005-0000-0000-0000D5070000}"/>
    <cellStyle name="Remarque 2 2 2 2 2 4 3 5 3" xfId="19164" xr:uid="{00000000-0005-0000-0000-0000D6070000}"/>
    <cellStyle name="Remarque 2 2 2 2 2 4 3 5 4" xfId="43124" xr:uid="{00000000-0005-0000-0000-0000D7070000}"/>
    <cellStyle name="Remarque 2 2 2 2 2 4 3 6" xfId="9288" xr:uid="{00000000-0005-0000-0000-0000D8070000}"/>
    <cellStyle name="Remarque 2 2 2 2 2 4 3 6 2" xfId="33302" xr:uid="{00000000-0005-0000-0000-0000D9070000}"/>
    <cellStyle name="Remarque 2 2 2 2 2 4 3 6 2 2" xfId="57262" xr:uid="{00000000-0005-0000-0000-0000DA070000}"/>
    <cellStyle name="Remarque 2 2 2 2 2 4 3 6 3" xfId="20549" xr:uid="{00000000-0005-0000-0000-0000DB070000}"/>
    <cellStyle name="Remarque 2 2 2 2 2 4 3 6 4" xfId="44509" xr:uid="{00000000-0005-0000-0000-0000DC070000}"/>
    <cellStyle name="Remarque 2 2 2 2 2 4 3 7" xfId="10745" xr:uid="{00000000-0005-0000-0000-0000DD070000}"/>
    <cellStyle name="Remarque 2 2 2 2 2 4 3 7 2" xfId="34755" xr:uid="{00000000-0005-0000-0000-0000DE070000}"/>
    <cellStyle name="Remarque 2 2 2 2 2 4 3 7 2 2" xfId="58715" xr:uid="{00000000-0005-0000-0000-0000DF070000}"/>
    <cellStyle name="Remarque 2 2 2 2 2 4 3 7 3" xfId="22012" xr:uid="{00000000-0005-0000-0000-0000E0070000}"/>
    <cellStyle name="Remarque 2 2 2 2 2 4 3 7 4" xfId="45972" xr:uid="{00000000-0005-0000-0000-0000E1070000}"/>
    <cellStyle name="Remarque 2 2 2 2 2 4 3 8" xfId="12270" xr:uid="{00000000-0005-0000-0000-0000E2070000}"/>
    <cellStyle name="Remarque 2 2 2 2 2 4 3 8 2" xfId="23556" xr:uid="{00000000-0005-0000-0000-0000E3070000}"/>
    <cellStyle name="Remarque 2 2 2 2 2 4 3 8 3" xfId="47516" xr:uid="{00000000-0005-0000-0000-0000E4070000}"/>
    <cellStyle name="Remarque 2 2 2 2 2 4 3 9" xfId="2217" xr:uid="{00000000-0005-0000-0000-0000E5070000}"/>
    <cellStyle name="Remarque 2 2 2 2 2 4 3 9 2" xfId="26231" xr:uid="{00000000-0005-0000-0000-0000E6070000}"/>
    <cellStyle name="Remarque 2 2 2 2 2 4 3 9 3" xfId="50191" xr:uid="{00000000-0005-0000-0000-0000E7070000}"/>
    <cellStyle name="Remarque 2 2 2 2 2 4 4" xfId="975" xr:uid="{00000000-0005-0000-0000-0000E8070000}"/>
    <cellStyle name="Remarque 2 2 2 2 2 4 4 10" xfId="25007" xr:uid="{00000000-0005-0000-0000-0000E9070000}"/>
    <cellStyle name="Remarque 2 2 2 2 2 4 4 10 2" xfId="48967" xr:uid="{00000000-0005-0000-0000-0000EA070000}"/>
    <cellStyle name="Remarque 2 2 2 2 2 4 4 11" xfId="36630" xr:uid="{00000000-0005-0000-0000-0000EB070000}"/>
    <cellStyle name="Remarque 2 2 2 2 2 4 4 11 2" xfId="60590" xr:uid="{00000000-0005-0000-0000-0000EC070000}"/>
    <cellStyle name="Remarque 2 2 2 2 2 4 4 12" xfId="13672" xr:uid="{00000000-0005-0000-0000-0000ED070000}"/>
    <cellStyle name="Remarque 2 2 2 2 2 4 4 13" xfId="37632" xr:uid="{00000000-0005-0000-0000-0000EE070000}"/>
    <cellStyle name="Remarque 2 2 2 2 2 4 4 2" xfId="3881" xr:uid="{00000000-0005-0000-0000-0000EF070000}"/>
    <cellStyle name="Remarque 2 2 2 2 2 4 4 2 2" xfId="27895" xr:uid="{00000000-0005-0000-0000-0000F0070000}"/>
    <cellStyle name="Remarque 2 2 2 2 2 4 4 2 2 2" xfId="51855" xr:uid="{00000000-0005-0000-0000-0000F1070000}"/>
    <cellStyle name="Remarque 2 2 2 2 2 4 4 2 3" xfId="15142" xr:uid="{00000000-0005-0000-0000-0000F2070000}"/>
    <cellStyle name="Remarque 2 2 2 2 2 4 4 2 4" xfId="39102" xr:uid="{00000000-0005-0000-0000-0000F3070000}"/>
    <cellStyle name="Remarque 2 2 2 2 2 4 4 3" xfId="5315" xr:uid="{00000000-0005-0000-0000-0000F4070000}"/>
    <cellStyle name="Remarque 2 2 2 2 2 4 4 3 2" xfId="29329" xr:uid="{00000000-0005-0000-0000-0000F5070000}"/>
    <cellStyle name="Remarque 2 2 2 2 2 4 4 3 2 2" xfId="53289" xr:uid="{00000000-0005-0000-0000-0000F6070000}"/>
    <cellStyle name="Remarque 2 2 2 2 2 4 4 3 3" xfId="16576" xr:uid="{00000000-0005-0000-0000-0000F7070000}"/>
    <cellStyle name="Remarque 2 2 2 2 2 4 4 3 4" xfId="40536" xr:uid="{00000000-0005-0000-0000-0000F8070000}"/>
    <cellStyle name="Remarque 2 2 2 2 2 4 4 4" xfId="6709" xr:uid="{00000000-0005-0000-0000-0000F9070000}"/>
    <cellStyle name="Remarque 2 2 2 2 2 4 4 4 2" xfId="30723" xr:uid="{00000000-0005-0000-0000-0000FA070000}"/>
    <cellStyle name="Remarque 2 2 2 2 2 4 4 4 2 2" xfId="54683" xr:uid="{00000000-0005-0000-0000-0000FB070000}"/>
    <cellStyle name="Remarque 2 2 2 2 2 4 4 4 3" xfId="17970" xr:uid="{00000000-0005-0000-0000-0000FC070000}"/>
    <cellStyle name="Remarque 2 2 2 2 2 4 4 4 4" xfId="41930" xr:uid="{00000000-0005-0000-0000-0000FD070000}"/>
    <cellStyle name="Remarque 2 2 2 2 2 4 4 5" xfId="8097" xr:uid="{00000000-0005-0000-0000-0000FE070000}"/>
    <cellStyle name="Remarque 2 2 2 2 2 4 4 5 2" xfId="32111" xr:uid="{00000000-0005-0000-0000-0000FF070000}"/>
    <cellStyle name="Remarque 2 2 2 2 2 4 4 5 2 2" xfId="56071" xr:uid="{00000000-0005-0000-0000-000000080000}"/>
    <cellStyle name="Remarque 2 2 2 2 2 4 4 5 3" xfId="19358" xr:uid="{00000000-0005-0000-0000-000001080000}"/>
    <cellStyle name="Remarque 2 2 2 2 2 4 4 5 4" xfId="43318" xr:uid="{00000000-0005-0000-0000-000002080000}"/>
    <cellStyle name="Remarque 2 2 2 2 2 4 4 6" xfId="9482" xr:uid="{00000000-0005-0000-0000-000003080000}"/>
    <cellStyle name="Remarque 2 2 2 2 2 4 4 6 2" xfId="33496" xr:uid="{00000000-0005-0000-0000-000004080000}"/>
    <cellStyle name="Remarque 2 2 2 2 2 4 4 6 2 2" xfId="57456" xr:uid="{00000000-0005-0000-0000-000005080000}"/>
    <cellStyle name="Remarque 2 2 2 2 2 4 4 6 3" xfId="20743" xr:uid="{00000000-0005-0000-0000-000006080000}"/>
    <cellStyle name="Remarque 2 2 2 2 2 4 4 6 4" xfId="44703" xr:uid="{00000000-0005-0000-0000-000007080000}"/>
    <cellStyle name="Remarque 2 2 2 2 2 4 4 7" xfId="10939" xr:uid="{00000000-0005-0000-0000-000008080000}"/>
    <cellStyle name="Remarque 2 2 2 2 2 4 4 7 2" xfId="34949" xr:uid="{00000000-0005-0000-0000-000009080000}"/>
    <cellStyle name="Remarque 2 2 2 2 2 4 4 7 2 2" xfId="58909" xr:uid="{00000000-0005-0000-0000-00000A080000}"/>
    <cellStyle name="Remarque 2 2 2 2 2 4 4 7 3" xfId="22206" xr:uid="{00000000-0005-0000-0000-00000B080000}"/>
    <cellStyle name="Remarque 2 2 2 2 2 4 4 7 4" xfId="46166" xr:uid="{00000000-0005-0000-0000-00000C080000}"/>
    <cellStyle name="Remarque 2 2 2 2 2 4 4 8" xfId="11989" xr:uid="{00000000-0005-0000-0000-00000D080000}"/>
    <cellStyle name="Remarque 2 2 2 2 2 4 4 8 2" xfId="23268" xr:uid="{00000000-0005-0000-0000-00000E080000}"/>
    <cellStyle name="Remarque 2 2 2 2 2 4 4 8 3" xfId="47228" xr:uid="{00000000-0005-0000-0000-00000F080000}"/>
    <cellStyle name="Remarque 2 2 2 2 2 4 4 9" xfId="2411" xr:uid="{00000000-0005-0000-0000-000010080000}"/>
    <cellStyle name="Remarque 2 2 2 2 2 4 4 9 2" xfId="26425" xr:uid="{00000000-0005-0000-0000-000011080000}"/>
    <cellStyle name="Remarque 2 2 2 2 2 4 4 9 3" xfId="50385" xr:uid="{00000000-0005-0000-0000-000012080000}"/>
    <cellStyle name="Remarque 2 2 2 2 2 4 5" xfId="1168" xr:uid="{00000000-0005-0000-0000-000013080000}"/>
    <cellStyle name="Remarque 2 2 2 2 2 4 5 10" xfId="25200" xr:uid="{00000000-0005-0000-0000-000014080000}"/>
    <cellStyle name="Remarque 2 2 2 2 2 4 5 10 2" xfId="49160" xr:uid="{00000000-0005-0000-0000-000015080000}"/>
    <cellStyle name="Remarque 2 2 2 2 2 4 5 11" xfId="36590" xr:uid="{00000000-0005-0000-0000-000016080000}"/>
    <cellStyle name="Remarque 2 2 2 2 2 4 5 11 2" xfId="60550" xr:uid="{00000000-0005-0000-0000-000017080000}"/>
    <cellStyle name="Remarque 2 2 2 2 2 4 5 12" xfId="13865" xr:uid="{00000000-0005-0000-0000-000018080000}"/>
    <cellStyle name="Remarque 2 2 2 2 2 4 5 13" xfId="37825" xr:uid="{00000000-0005-0000-0000-000019080000}"/>
    <cellStyle name="Remarque 2 2 2 2 2 4 5 2" xfId="4074" xr:uid="{00000000-0005-0000-0000-00001A080000}"/>
    <cellStyle name="Remarque 2 2 2 2 2 4 5 2 2" xfId="28088" xr:uid="{00000000-0005-0000-0000-00001B080000}"/>
    <cellStyle name="Remarque 2 2 2 2 2 4 5 2 2 2" xfId="52048" xr:uid="{00000000-0005-0000-0000-00001C080000}"/>
    <cellStyle name="Remarque 2 2 2 2 2 4 5 2 3" xfId="15335" xr:uid="{00000000-0005-0000-0000-00001D080000}"/>
    <cellStyle name="Remarque 2 2 2 2 2 4 5 2 4" xfId="39295" xr:uid="{00000000-0005-0000-0000-00001E080000}"/>
    <cellStyle name="Remarque 2 2 2 2 2 4 5 3" xfId="5508" xr:uid="{00000000-0005-0000-0000-00001F080000}"/>
    <cellStyle name="Remarque 2 2 2 2 2 4 5 3 2" xfId="29522" xr:uid="{00000000-0005-0000-0000-000020080000}"/>
    <cellStyle name="Remarque 2 2 2 2 2 4 5 3 2 2" xfId="53482" xr:uid="{00000000-0005-0000-0000-000021080000}"/>
    <cellStyle name="Remarque 2 2 2 2 2 4 5 3 3" xfId="16769" xr:uid="{00000000-0005-0000-0000-000022080000}"/>
    <cellStyle name="Remarque 2 2 2 2 2 4 5 3 4" xfId="40729" xr:uid="{00000000-0005-0000-0000-000023080000}"/>
    <cellStyle name="Remarque 2 2 2 2 2 4 5 4" xfId="6902" xr:uid="{00000000-0005-0000-0000-000024080000}"/>
    <cellStyle name="Remarque 2 2 2 2 2 4 5 4 2" xfId="30916" xr:uid="{00000000-0005-0000-0000-000025080000}"/>
    <cellStyle name="Remarque 2 2 2 2 2 4 5 4 2 2" xfId="54876" xr:uid="{00000000-0005-0000-0000-000026080000}"/>
    <cellStyle name="Remarque 2 2 2 2 2 4 5 4 3" xfId="18163" xr:uid="{00000000-0005-0000-0000-000027080000}"/>
    <cellStyle name="Remarque 2 2 2 2 2 4 5 4 4" xfId="42123" xr:uid="{00000000-0005-0000-0000-000028080000}"/>
    <cellStyle name="Remarque 2 2 2 2 2 4 5 5" xfId="8290" xr:uid="{00000000-0005-0000-0000-000029080000}"/>
    <cellStyle name="Remarque 2 2 2 2 2 4 5 5 2" xfId="32304" xr:uid="{00000000-0005-0000-0000-00002A080000}"/>
    <cellStyle name="Remarque 2 2 2 2 2 4 5 5 2 2" xfId="56264" xr:uid="{00000000-0005-0000-0000-00002B080000}"/>
    <cellStyle name="Remarque 2 2 2 2 2 4 5 5 3" xfId="19551" xr:uid="{00000000-0005-0000-0000-00002C080000}"/>
    <cellStyle name="Remarque 2 2 2 2 2 4 5 5 4" xfId="43511" xr:uid="{00000000-0005-0000-0000-00002D080000}"/>
    <cellStyle name="Remarque 2 2 2 2 2 4 5 6" xfId="9675" xr:uid="{00000000-0005-0000-0000-00002E080000}"/>
    <cellStyle name="Remarque 2 2 2 2 2 4 5 6 2" xfId="33689" xr:uid="{00000000-0005-0000-0000-00002F080000}"/>
    <cellStyle name="Remarque 2 2 2 2 2 4 5 6 2 2" xfId="57649" xr:uid="{00000000-0005-0000-0000-000030080000}"/>
    <cellStyle name="Remarque 2 2 2 2 2 4 5 6 3" xfId="20936" xr:uid="{00000000-0005-0000-0000-000031080000}"/>
    <cellStyle name="Remarque 2 2 2 2 2 4 5 6 4" xfId="44896" xr:uid="{00000000-0005-0000-0000-000032080000}"/>
    <cellStyle name="Remarque 2 2 2 2 2 4 5 7" xfId="11132" xr:uid="{00000000-0005-0000-0000-000033080000}"/>
    <cellStyle name="Remarque 2 2 2 2 2 4 5 7 2" xfId="35142" xr:uid="{00000000-0005-0000-0000-000034080000}"/>
    <cellStyle name="Remarque 2 2 2 2 2 4 5 7 2 2" xfId="59102" xr:uid="{00000000-0005-0000-0000-000035080000}"/>
    <cellStyle name="Remarque 2 2 2 2 2 4 5 7 3" xfId="22399" xr:uid="{00000000-0005-0000-0000-000036080000}"/>
    <cellStyle name="Remarque 2 2 2 2 2 4 5 7 4" xfId="46359" xr:uid="{00000000-0005-0000-0000-000037080000}"/>
    <cellStyle name="Remarque 2 2 2 2 2 4 5 8" xfId="11709" xr:uid="{00000000-0005-0000-0000-000038080000}"/>
    <cellStyle name="Remarque 2 2 2 2 2 4 5 8 2" xfId="22979" xr:uid="{00000000-0005-0000-0000-000039080000}"/>
    <cellStyle name="Remarque 2 2 2 2 2 4 5 8 3" xfId="46939" xr:uid="{00000000-0005-0000-0000-00003A080000}"/>
    <cellStyle name="Remarque 2 2 2 2 2 4 5 9" xfId="2604" xr:uid="{00000000-0005-0000-0000-00003B080000}"/>
    <cellStyle name="Remarque 2 2 2 2 2 4 5 9 2" xfId="26618" xr:uid="{00000000-0005-0000-0000-00003C080000}"/>
    <cellStyle name="Remarque 2 2 2 2 2 4 5 9 3" xfId="50578" xr:uid="{00000000-0005-0000-0000-00003D080000}"/>
    <cellStyle name="Remarque 2 2 2 2 2 4 6" xfId="1335" xr:uid="{00000000-0005-0000-0000-00003E080000}"/>
    <cellStyle name="Remarque 2 2 2 2 2 4 6 10" xfId="25367" xr:uid="{00000000-0005-0000-0000-00003F080000}"/>
    <cellStyle name="Remarque 2 2 2 2 2 4 6 10 2" xfId="49327" xr:uid="{00000000-0005-0000-0000-000040080000}"/>
    <cellStyle name="Remarque 2 2 2 2 2 4 6 11" xfId="35604" xr:uid="{00000000-0005-0000-0000-000041080000}"/>
    <cellStyle name="Remarque 2 2 2 2 2 4 6 11 2" xfId="59564" xr:uid="{00000000-0005-0000-0000-000042080000}"/>
    <cellStyle name="Remarque 2 2 2 2 2 4 6 12" xfId="14032" xr:uid="{00000000-0005-0000-0000-000043080000}"/>
    <cellStyle name="Remarque 2 2 2 2 2 4 6 13" xfId="37992" xr:uid="{00000000-0005-0000-0000-000044080000}"/>
    <cellStyle name="Remarque 2 2 2 2 2 4 6 2" xfId="4241" xr:uid="{00000000-0005-0000-0000-000045080000}"/>
    <cellStyle name="Remarque 2 2 2 2 2 4 6 2 2" xfId="28255" xr:uid="{00000000-0005-0000-0000-000046080000}"/>
    <cellStyle name="Remarque 2 2 2 2 2 4 6 2 2 2" xfId="52215" xr:uid="{00000000-0005-0000-0000-000047080000}"/>
    <cellStyle name="Remarque 2 2 2 2 2 4 6 2 3" xfId="15502" xr:uid="{00000000-0005-0000-0000-000048080000}"/>
    <cellStyle name="Remarque 2 2 2 2 2 4 6 2 4" xfId="39462" xr:uid="{00000000-0005-0000-0000-000049080000}"/>
    <cellStyle name="Remarque 2 2 2 2 2 4 6 3" xfId="5675" xr:uid="{00000000-0005-0000-0000-00004A080000}"/>
    <cellStyle name="Remarque 2 2 2 2 2 4 6 3 2" xfId="29689" xr:uid="{00000000-0005-0000-0000-00004B080000}"/>
    <cellStyle name="Remarque 2 2 2 2 2 4 6 3 2 2" xfId="53649" xr:uid="{00000000-0005-0000-0000-00004C080000}"/>
    <cellStyle name="Remarque 2 2 2 2 2 4 6 3 3" xfId="16936" xr:uid="{00000000-0005-0000-0000-00004D080000}"/>
    <cellStyle name="Remarque 2 2 2 2 2 4 6 3 4" xfId="40896" xr:uid="{00000000-0005-0000-0000-00004E080000}"/>
    <cellStyle name="Remarque 2 2 2 2 2 4 6 4" xfId="7069" xr:uid="{00000000-0005-0000-0000-00004F080000}"/>
    <cellStyle name="Remarque 2 2 2 2 2 4 6 4 2" xfId="31083" xr:uid="{00000000-0005-0000-0000-000050080000}"/>
    <cellStyle name="Remarque 2 2 2 2 2 4 6 4 2 2" xfId="55043" xr:uid="{00000000-0005-0000-0000-000051080000}"/>
    <cellStyle name="Remarque 2 2 2 2 2 4 6 4 3" xfId="18330" xr:uid="{00000000-0005-0000-0000-000052080000}"/>
    <cellStyle name="Remarque 2 2 2 2 2 4 6 4 4" xfId="42290" xr:uid="{00000000-0005-0000-0000-000053080000}"/>
    <cellStyle name="Remarque 2 2 2 2 2 4 6 5" xfId="8457" xr:uid="{00000000-0005-0000-0000-000054080000}"/>
    <cellStyle name="Remarque 2 2 2 2 2 4 6 5 2" xfId="32471" xr:uid="{00000000-0005-0000-0000-000055080000}"/>
    <cellStyle name="Remarque 2 2 2 2 2 4 6 5 2 2" xfId="56431" xr:uid="{00000000-0005-0000-0000-000056080000}"/>
    <cellStyle name="Remarque 2 2 2 2 2 4 6 5 3" xfId="19718" xr:uid="{00000000-0005-0000-0000-000057080000}"/>
    <cellStyle name="Remarque 2 2 2 2 2 4 6 5 4" xfId="43678" xr:uid="{00000000-0005-0000-0000-000058080000}"/>
    <cellStyle name="Remarque 2 2 2 2 2 4 6 6" xfId="9842" xr:uid="{00000000-0005-0000-0000-000059080000}"/>
    <cellStyle name="Remarque 2 2 2 2 2 4 6 6 2" xfId="33856" xr:uid="{00000000-0005-0000-0000-00005A080000}"/>
    <cellStyle name="Remarque 2 2 2 2 2 4 6 6 2 2" xfId="57816" xr:uid="{00000000-0005-0000-0000-00005B080000}"/>
    <cellStyle name="Remarque 2 2 2 2 2 4 6 6 3" xfId="21103" xr:uid="{00000000-0005-0000-0000-00005C080000}"/>
    <cellStyle name="Remarque 2 2 2 2 2 4 6 6 4" xfId="45063" xr:uid="{00000000-0005-0000-0000-00005D080000}"/>
    <cellStyle name="Remarque 2 2 2 2 2 4 6 7" xfId="11299" xr:uid="{00000000-0005-0000-0000-00005E080000}"/>
    <cellStyle name="Remarque 2 2 2 2 2 4 6 7 2" xfId="35309" xr:uid="{00000000-0005-0000-0000-00005F080000}"/>
    <cellStyle name="Remarque 2 2 2 2 2 4 6 7 2 2" xfId="59269" xr:uid="{00000000-0005-0000-0000-000060080000}"/>
    <cellStyle name="Remarque 2 2 2 2 2 4 6 7 3" xfId="22566" xr:uid="{00000000-0005-0000-0000-000061080000}"/>
    <cellStyle name="Remarque 2 2 2 2 2 4 6 7 4" xfId="46526" xr:uid="{00000000-0005-0000-0000-000062080000}"/>
    <cellStyle name="Remarque 2 2 2 2 2 4 6 8" xfId="12156" xr:uid="{00000000-0005-0000-0000-000063080000}"/>
    <cellStyle name="Remarque 2 2 2 2 2 4 6 8 2" xfId="23439" xr:uid="{00000000-0005-0000-0000-000064080000}"/>
    <cellStyle name="Remarque 2 2 2 2 2 4 6 8 3" xfId="47399" xr:uid="{00000000-0005-0000-0000-000065080000}"/>
    <cellStyle name="Remarque 2 2 2 2 2 4 6 9" xfId="2771" xr:uid="{00000000-0005-0000-0000-000066080000}"/>
    <cellStyle name="Remarque 2 2 2 2 2 4 6 9 2" xfId="26785" xr:uid="{00000000-0005-0000-0000-000067080000}"/>
    <cellStyle name="Remarque 2 2 2 2 2 4 6 9 3" xfId="50745" xr:uid="{00000000-0005-0000-0000-000068080000}"/>
    <cellStyle name="Remarque 2 2 2 2 2 4 7" xfId="1504" xr:uid="{00000000-0005-0000-0000-000069080000}"/>
    <cellStyle name="Remarque 2 2 2 2 2 4 7 10" xfId="25536" xr:uid="{00000000-0005-0000-0000-00006A080000}"/>
    <cellStyle name="Remarque 2 2 2 2 2 4 7 10 2" xfId="49496" xr:uid="{00000000-0005-0000-0000-00006B080000}"/>
    <cellStyle name="Remarque 2 2 2 2 2 4 7 11" xfId="36412" xr:uid="{00000000-0005-0000-0000-00006C080000}"/>
    <cellStyle name="Remarque 2 2 2 2 2 4 7 11 2" xfId="60372" xr:uid="{00000000-0005-0000-0000-00006D080000}"/>
    <cellStyle name="Remarque 2 2 2 2 2 4 7 12" xfId="14201" xr:uid="{00000000-0005-0000-0000-00006E080000}"/>
    <cellStyle name="Remarque 2 2 2 2 2 4 7 13" xfId="38161" xr:uid="{00000000-0005-0000-0000-00006F080000}"/>
    <cellStyle name="Remarque 2 2 2 2 2 4 7 2" xfId="4410" xr:uid="{00000000-0005-0000-0000-000070080000}"/>
    <cellStyle name="Remarque 2 2 2 2 2 4 7 2 2" xfId="28424" xr:uid="{00000000-0005-0000-0000-000071080000}"/>
    <cellStyle name="Remarque 2 2 2 2 2 4 7 2 2 2" xfId="52384" xr:uid="{00000000-0005-0000-0000-000072080000}"/>
    <cellStyle name="Remarque 2 2 2 2 2 4 7 2 3" xfId="15671" xr:uid="{00000000-0005-0000-0000-000073080000}"/>
    <cellStyle name="Remarque 2 2 2 2 2 4 7 2 4" xfId="39631" xr:uid="{00000000-0005-0000-0000-000074080000}"/>
    <cellStyle name="Remarque 2 2 2 2 2 4 7 3" xfId="5844" xr:uid="{00000000-0005-0000-0000-000075080000}"/>
    <cellStyle name="Remarque 2 2 2 2 2 4 7 3 2" xfId="29858" xr:uid="{00000000-0005-0000-0000-000076080000}"/>
    <cellStyle name="Remarque 2 2 2 2 2 4 7 3 2 2" xfId="53818" xr:uid="{00000000-0005-0000-0000-000077080000}"/>
    <cellStyle name="Remarque 2 2 2 2 2 4 7 3 3" xfId="17105" xr:uid="{00000000-0005-0000-0000-000078080000}"/>
    <cellStyle name="Remarque 2 2 2 2 2 4 7 3 4" xfId="41065" xr:uid="{00000000-0005-0000-0000-000079080000}"/>
    <cellStyle name="Remarque 2 2 2 2 2 4 7 4" xfId="7238" xr:uid="{00000000-0005-0000-0000-00007A080000}"/>
    <cellStyle name="Remarque 2 2 2 2 2 4 7 4 2" xfId="31252" xr:uid="{00000000-0005-0000-0000-00007B080000}"/>
    <cellStyle name="Remarque 2 2 2 2 2 4 7 4 2 2" xfId="55212" xr:uid="{00000000-0005-0000-0000-00007C080000}"/>
    <cellStyle name="Remarque 2 2 2 2 2 4 7 4 3" xfId="18499" xr:uid="{00000000-0005-0000-0000-00007D080000}"/>
    <cellStyle name="Remarque 2 2 2 2 2 4 7 4 4" xfId="42459" xr:uid="{00000000-0005-0000-0000-00007E080000}"/>
    <cellStyle name="Remarque 2 2 2 2 2 4 7 5" xfId="8626" xr:uid="{00000000-0005-0000-0000-00007F080000}"/>
    <cellStyle name="Remarque 2 2 2 2 2 4 7 5 2" xfId="32640" xr:uid="{00000000-0005-0000-0000-000080080000}"/>
    <cellStyle name="Remarque 2 2 2 2 2 4 7 5 2 2" xfId="56600" xr:uid="{00000000-0005-0000-0000-000081080000}"/>
    <cellStyle name="Remarque 2 2 2 2 2 4 7 5 3" xfId="19887" xr:uid="{00000000-0005-0000-0000-000082080000}"/>
    <cellStyle name="Remarque 2 2 2 2 2 4 7 5 4" xfId="43847" xr:uid="{00000000-0005-0000-0000-000083080000}"/>
    <cellStyle name="Remarque 2 2 2 2 2 4 7 6" xfId="10011" xr:uid="{00000000-0005-0000-0000-000084080000}"/>
    <cellStyle name="Remarque 2 2 2 2 2 4 7 6 2" xfId="34025" xr:uid="{00000000-0005-0000-0000-000085080000}"/>
    <cellStyle name="Remarque 2 2 2 2 2 4 7 6 2 2" xfId="57985" xr:uid="{00000000-0005-0000-0000-000086080000}"/>
    <cellStyle name="Remarque 2 2 2 2 2 4 7 6 3" xfId="21272" xr:uid="{00000000-0005-0000-0000-000087080000}"/>
    <cellStyle name="Remarque 2 2 2 2 2 4 7 6 4" xfId="45232" xr:uid="{00000000-0005-0000-0000-000088080000}"/>
    <cellStyle name="Remarque 2 2 2 2 2 4 7 7" xfId="11468" xr:uid="{00000000-0005-0000-0000-000089080000}"/>
    <cellStyle name="Remarque 2 2 2 2 2 4 7 7 2" xfId="35478" xr:uid="{00000000-0005-0000-0000-00008A080000}"/>
    <cellStyle name="Remarque 2 2 2 2 2 4 7 7 2 2" xfId="59438" xr:uid="{00000000-0005-0000-0000-00008B080000}"/>
    <cellStyle name="Remarque 2 2 2 2 2 4 7 7 3" xfId="22735" xr:uid="{00000000-0005-0000-0000-00008C080000}"/>
    <cellStyle name="Remarque 2 2 2 2 2 4 7 7 4" xfId="46695" xr:uid="{00000000-0005-0000-0000-00008D080000}"/>
    <cellStyle name="Remarque 2 2 2 2 2 4 7 8" xfId="12601" xr:uid="{00000000-0005-0000-0000-00008E080000}"/>
    <cellStyle name="Remarque 2 2 2 2 2 4 7 8 2" xfId="23902" xr:uid="{00000000-0005-0000-0000-00008F080000}"/>
    <cellStyle name="Remarque 2 2 2 2 2 4 7 8 3" xfId="47862" xr:uid="{00000000-0005-0000-0000-000090080000}"/>
    <cellStyle name="Remarque 2 2 2 2 2 4 7 9" xfId="2940" xr:uid="{00000000-0005-0000-0000-000091080000}"/>
    <cellStyle name="Remarque 2 2 2 2 2 4 7 9 2" xfId="26954" xr:uid="{00000000-0005-0000-0000-000092080000}"/>
    <cellStyle name="Remarque 2 2 2 2 2 4 7 9 3" xfId="50914" xr:uid="{00000000-0005-0000-0000-000093080000}"/>
    <cellStyle name="Remarque 2 2 2 2 2 4 8" xfId="3359" xr:uid="{00000000-0005-0000-0000-000094080000}"/>
    <cellStyle name="Remarque 2 2 2 2 2 4 8 2" xfId="27373" xr:uid="{00000000-0005-0000-0000-000095080000}"/>
    <cellStyle name="Remarque 2 2 2 2 2 4 8 2 2" xfId="51333" xr:uid="{00000000-0005-0000-0000-000096080000}"/>
    <cellStyle name="Remarque 2 2 2 2 2 4 8 3" xfId="14620" xr:uid="{00000000-0005-0000-0000-000097080000}"/>
    <cellStyle name="Remarque 2 2 2 2 2 4 8 4" xfId="38580" xr:uid="{00000000-0005-0000-0000-000098080000}"/>
    <cellStyle name="Remarque 2 2 2 2 2 4 9" xfId="4793" xr:uid="{00000000-0005-0000-0000-000099080000}"/>
    <cellStyle name="Remarque 2 2 2 2 2 4 9 2" xfId="28807" xr:uid="{00000000-0005-0000-0000-00009A080000}"/>
    <cellStyle name="Remarque 2 2 2 2 2 4 9 2 2" xfId="52767" xr:uid="{00000000-0005-0000-0000-00009B080000}"/>
    <cellStyle name="Remarque 2 2 2 2 2 4 9 3" xfId="16054" xr:uid="{00000000-0005-0000-0000-00009C080000}"/>
    <cellStyle name="Remarque 2 2 2 2 2 4 9 4" xfId="40014" xr:uid="{00000000-0005-0000-0000-00009D080000}"/>
    <cellStyle name="Remarque 2 2 2 2 2 5" xfId="290" xr:uid="{00000000-0005-0000-0000-00009E080000}"/>
    <cellStyle name="Remarque 2 2 2 2 2 5 10" xfId="24322" xr:uid="{00000000-0005-0000-0000-00009F080000}"/>
    <cellStyle name="Remarque 2 2 2 2 2 5 10 2" xfId="48282" xr:uid="{00000000-0005-0000-0000-0000A0080000}"/>
    <cellStyle name="Remarque 2 2 2 2 2 5 11" xfId="35721" xr:uid="{00000000-0005-0000-0000-0000A1080000}"/>
    <cellStyle name="Remarque 2 2 2 2 2 5 11 2" xfId="59681" xr:uid="{00000000-0005-0000-0000-0000A2080000}"/>
    <cellStyle name="Remarque 2 2 2 2 2 5 12" xfId="12987" xr:uid="{00000000-0005-0000-0000-0000A3080000}"/>
    <cellStyle name="Remarque 2 2 2 2 2 5 13" xfId="36947" xr:uid="{00000000-0005-0000-0000-0000A4080000}"/>
    <cellStyle name="Remarque 2 2 2 2 2 5 2" xfId="3196" xr:uid="{00000000-0005-0000-0000-0000A5080000}"/>
    <cellStyle name="Remarque 2 2 2 2 2 5 2 2" xfId="27210" xr:uid="{00000000-0005-0000-0000-0000A6080000}"/>
    <cellStyle name="Remarque 2 2 2 2 2 5 2 2 2" xfId="51170" xr:uid="{00000000-0005-0000-0000-0000A7080000}"/>
    <cellStyle name="Remarque 2 2 2 2 2 5 2 3" xfId="14457" xr:uid="{00000000-0005-0000-0000-0000A8080000}"/>
    <cellStyle name="Remarque 2 2 2 2 2 5 2 4" xfId="38417" xr:uid="{00000000-0005-0000-0000-0000A9080000}"/>
    <cellStyle name="Remarque 2 2 2 2 2 5 3" xfId="4630" xr:uid="{00000000-0005-0000-0000-0000AA080000}"/>
    <cellStyle name="Remarque 2 2 2 2 2 5 3 2" xfId="28644" xr:uid="{00000000-0005-0000-0000-0000AB080000}"/>
    <cellStyle name="Remarque 2 2 2 2 2 5 3 2 2" xfId="52604" xr:uid="{00000000-0005-0000-0000-0000AC080000}"/>
    <cellStyle name="Remarque 2 2 2 2 2 5 3 3" xfId="15891" xr:uid="{00000000-0005-0000-0000-0000AD080000}"/>
    <cellStyle name="Remarque 2 2 2 2 2 5 3 4" xfId="39851" xr:uid="{00000000-0005-0000-0000-0000AE080000}"/>
    <cellStyle name="Remarque 2 2 2 2 2 5 4" xfId="6024" xr:uid="{00000000-0005-0000-0000-0000AF080000}"/>
    <cellStyle name="Remarque 2 2 2 2 2 5 4 2" xfId="30038" xr:uid="{00000000-0005-0000-0000-0000B0080000}"/>
    <cellStyle name="Remarque 2 2 2 2 2 5 4 2 2" xfId="53998" xr:uid="{00000000-0005-0000-0000-0000B1080000}"/>
    <cellStyle name="Remarque 2 2 2 2 2 5 4 3" xfId="17285" xr:uid="{00000000-0005-0000-0000-0000B2080000}"/>
    <cellStyle name="Remarque 2 2 2 2 2 5 4 4" xfId="41245" xr:uid="{00000000-0005-0000-0000-0000B3080000}"/>
    <cellStyle name="Remarque 2 2 2 2 2 5 5" xfId="7412" xr:uid="{00000000-0005-0000-0000-0000B4080000}"/>
    <cellStyle name="Remarque 2 2 2 2 2 5 5 2" xfId="31426" xr:uid="{00000000-0005-0000-0000-0000B5080000}"/>
    <cellStyle name="Remarque 2 2 2 2 2 5 5 2 2" xfId="55386" xr:uid="{00000000-0005-0000-0000-0000B6080000}"/>
    <cellStyle name="Remarque 2 2 2 2 2 5 5 3" xfId="18673" xr:uid="{00000000-0005-0000-0000-0000B7080000}"/>
    <cellStyle name="Remarque 2 2 2 2 2 5 5 4" xfId="42633" xr:uid="{00000000-0005-0000-0000-0000B8080000}"/>
    <cellStyle name="Remarque 2 2 2 2 2 5 6" xfId="8797" xr:uid="{00000000-0005-0000-0000-0000B9080000}"/>
    <cellStyle name="Remarque 2 2 2 2 2 5 6 2" xfId="32811" xr:uid="{00000000-0005-0000-0000-0000BA080000}"/>
    <cellStyle name="Remarque 2 2 2 2 2 5 6 2 2" xfId="56771" xr:uid="{00000000-0005-0000-0000-0000BB080000}"/>
    <cellStyle name="Remarque 2 2 2 2 2 5 6 3" xfId="20058" xr:uid="{00000000-0005-0000-0000-0000BC080000}"/>
    <cellStyle name="Remarque 2 2 2 2 2 5 6 4" xfId="44018" xr:uid="{00000000-0005-0000-0000-0000BD080000}"/>
    <cellStyle name="Remarque 2 2 2 2 2 5 7" xfId="10254" xr:uid="{00000000-0005-0000-0000-0000BE080000}"/>
    <cellStyle name="Remarque 2 2 2 2 2 5 7 2" xfId="34264" xr:uid="{00000000-0005-0000-0000-0000BF080000}"/>
    <cellStyle name="Remarque 2 2 2 2 2 5 7 2 2" xfId="58224" xr:uid="{00000000-0005-0000-0000-0000C0080000}"/>
    <cellStyle name="Remarque 2 2 2 2 2 5 7 3" xfId="21521" xr:uid="{00000000-0005-0000-0000-0000C1080000}"/>
    <cellStyle name="Remarque 2 2 2 2 2 5 7 4" xfId="45481" xr:uid="{00000000-0005-0000-0000-0000C2080000}"/>
    <cellStyle name="Remarque 2 2 2 2 2 5 8" xfId="12535" xr:uid="{00000000-0005-0000-0000-0000C3080000}"/>
    <cellStyle name="Remarque 2 2 2 2 2 5 8 2" xfId="23833" xr:uid="{00000000-0005-0000-0000-0000C4080000}"/>
    <cellStyle name="Remarque 2 2 2 2 2 5 8 3" xfId="47793" xr:uid="{00000000-0005-0000-0000-0000C5080000}"/>
    <cellStyle name="Remarque 2 2 2 2 2 5 9" xfId="1726" xr:uid="{00000000-0005-0000-0000-0000C6080000}"/>
    <cellStyle name="Remarque 2 2 2 2 2 5 9 2" xfId="25740" xr:uid="{00000000-0005-0000-0000-0000C7080000}"/>
    <cellStyle name="Remarque 2 2 2 2 2 5 9 3" xfId="49700" xr:uid="{00000000-0005-0000-0000-0000C8080000}"/>
    <cellStyle name="Remarque 2 2 2 2 2 6" xfId="646" xr:uid="{00000000-0005-0000-0000-0000C9080000}"/>
    <cellStyle name="Remarque 2 2 2 2 2 6 10" xfId="24678" xr:uid="{00000000-0005-0000-0000-0000CA080000}"/>
    <cellStyle name="Remarque 2 2 2 2 2 6 10 2" xfId="48638" xr:uid="{00000000-0005-0000-0000-0000CB080000}"/>
    <cellStyle name="Remarque 2 2 2 2 2 6 11" xfId="35814" xr:uid="{00000000-0005-0000-0000-0000CC080000}"/>
    <cellStyle name="Remarque 2 2 2 2 2 6 11 2" xfId="59774" xr:uid="{00000000-0005-0000-0000-0000CD080000}"/>
    <cellStyle name="Remarque 2 2 2 2 2 6 12" xfId="13343" xr:uid="{00000000-0005-0000-0000-0000CE080000}"/>
    <cellStyle name="Remarque 2 2 2 2 2 6 13" xfId="37303" xr:uid="{00000000-0005-0000-0000-0000CF080000}"/>
    <cellStyle name="Remarque 2 2 2 2 2 6 2" xfId="3552" xr:uid="{00000000-0005-0000-0000-0000D0080000}"/>
    <cellStyle name="Remarque 2 2 2 2 2 6 2 2" xfId="27566" xr:uid="{00000000-0005-0000-0000-0000D1080000}"/>
    <cellStyle name="Remarque 2 2 2 2 2 6 2 2 2" xfId="51526" xr:uid="{00000000-0005-0000-0000-0000D2080000}"/>
    <cellStyle name="Remarque 2 2 2 2 2 6 2 3" xfId="14813" xr:uid="{00000000-0005-0000-0000-0000D3080000}"/>
    <cellStyle name="Remarque 2 2 2 2 2 6 2 4" xfId="38773" xr:uid="{00000000-0005-0000-0000-0000D4080000}"/>
    <cellStyle name="Remarque 2 2 2 2 2 6 3" xfId="4986" xr:uid="{00000000-0005-0000-0000-0000D5080000}"/>
    <cellStyle name="Remarque 2 2 2 2 2 6 3 2" xfId="29000" xr:uid="{00000000-0005-0000-0000-0000D6080000}"/>
    <cellStyle name="Remarque 2 2 2 2 2 6 3 2 2" xfId="52960" xr:uid="{00000000-0005-0000-0000-0000D7080000}"/>
    <cellStyle name="Remarque 2 2 2 2 2 6 3 3" xfId="16247" xr:uid="{00000000-0005-0000-0000-0000D8080000}"/>
    <cellStyle name="Remarque 2 2 2 2 2 6 3 4" xfId="40207" xr:uid="{00000000-0005-0000-0000-0000D9080000}"/>
    <cellStyle name="Remarque 2 2 2 2 2 6 4" xfId="6380" xr:uid="{00000000-0005-0000-0000-0000DA080000}"/>
    <cellStyle name="Remarque 2 2 2 2 2 6 4 2" xfId="30394" xr:uid="{00000000-0005-0000-0000-0000DB080000}"/>
    <cellStyle name="Remarque 2 2 2 2 2 6 4 2 2" xfId="54354" xr:uid="{00000000-0005-0000-0000-0000DC080000}"/>
    <cellStyle name="Remarque 2 2 2 2 2 6 4 3" xfId="17641" xr:uid="{00000000-0005-0000-0000-0000DD080000}"/>
    <cellStyle name="Remarque 2 2 2 2 2 6 4 4" xfId="41601" xr:uid="{00000000-0005-0000-0000-0000DE080000}"/>
    <cellStyle name="Remarque 2 2 2 2 2 6 5" xfId="7768" xr:uid="{00000000-0005-0000-0000-0000DF080000}"/>
    <cellStyle name="Remarque 2 2 2 2 2 6 5 2" xfId="31782" xr:uid="{00000000-0005-0000-0000-0000E0080000}"/>
    <cellStyle name="Remarque 2 2 2 2 2 6 5 2 2" xfId="55742" xr:uid="{00000000-0005-0000-0000-0000E1080000}"/>
    <cellStyle name="Remarque 2 2 2 2 2 6 5 3" xfId="19029" xr:uid="{00000000-0005-0000-0000-0000E2080000}"/>
    <cellStyle name="Remarque 2 2 2 2 2 6 5 4" xfId="42989" xr:uid="{00000000-0005-0000-0000-0000E3080000}"/>
    <cellStyle name="Remarque 2 2 2 2 2 6 6" xfId="9153" xr:uid="{00000000-0005-0000-0000-0000E4080000}"/>
    <cellStyle name="Remarque 2 2 2 2 2 6 6 2" xfId="33167" xr:uid="{00000000-0005-0000-0000-0000E5080000}"/>
    <cellStyle name="Remarque 2 2 2 2 2 6 6 2 2" xfId="57127" xr:uid="{00000000-0005-0000-0000-0000E6080000}"/>
    <cellStyle name="Remarque 2 2 2 2 2 6 6 3" xfId="20414" xr:uid="{00000000-0005-0000-0000-0000E7080000}"/>
    <cellStyle name="Remarque 2 2 2 2 2 6 6 4" xfId="44374" xr:uid="{00000000-0005-0000-0000-0000E8080000}"/>
    <cellStyle name="Remarque 2 2 2 2 2 6 7" xfId="10610" xr:uid="{00000000-0005-0000-0000-0000E9080000}"/>
    <cellStyle name="Remarque 2 2 2 2 2 6 7 2" xfId="34620" xr:uid="{00000000-0005-0000-0000-0000EA080000}"/>
    <cellStyle name="Remarque 2 2 2 2 2 6 7 2 2" xfId="58580" xr:uid="{00000000-0005-0000-0000-0000EB080000}"/>
    <cellStyle name="Remarque 2 2 2 2 2 6 7 3" xfId="21877" xr:uid="{00000000-0005-0000-0000-0000EC080000}"/>
    <cellStyle name="Remarque 2 2 2 2 2 6 7 4" xfId="45837" xr:uid="{00000000-0005-0000-0000-0000ED080000}"/>
    <cellStyle name="Remarque 2 2 2 2 2 6 8" xfId="11610" xr:uid="{00000000-0005-0000-0000-0000EE080000}"/>
    <cellStyle name="Remarque 2 2 2 2 2 6 8 2" xfId="22877" xr:uid="{00000000-0005-0000-0000-0000EF080000}"/>
    <cellStyle name="Remarque 2 2 2 2 2 6 8 3" xfId="46837" xr:uid="{00000000-0005-0000-0000-0000F0080000}"/>
    <cellStyle name="Remarque 2 2 2 2 2 6 9" xfId="2082" xr:uid="{00000000-0005-0000-0000-0000F1080000}"/>
    <cellStyle name="Remarque 2 2 2 2 2 6 9 2" xfId="26096" xr:uid="{00000000-0005-0000-0000-0000F2080000}"/>
    <cellStyle name="Remarque 2 2 2 2 2 6 9 3" xfId="50056" xr:uid="{00000000-0005-0000-0000-0000F3080000}"/>
    <cellStyle name="Remarque 2 2 2 2 2 7" xfId="840" xr:uid="{00000000-0005-0000-0000-0000F4080000}"/>
    <cellStyle name="Remarque 2 2 2 2 2 7 10" xfId="24872" xr:uid="{00000000-0005-0000-0000-0000F5080000}"/>
    <cellStyle name="Remarque 2 2 2 2 2 7 10 2" xfId="48832" xr:uid="{00000000-0005-0000-0000-0000F6080000}"/>
    <cellStyle name="Remarque 2 2 2 2 2 7 11" xfId="34216" xr:uid="{00000000-0005-0000-0000-0000F7080000}"/>
    <cellStyle name="Remarque 2 2 2 2 2 7 11 2" xfId="58176" xr:uid="{00000000-0005-0000-0000-0000F8080000}"/>
    <cellStyle name="Remarque 2 2 2 2 2 7 12" xfId="13537" xr:uid="{00000000-0005-0000-0000-0000F9080000}"/>
    <cellStyle name="Remarque 2 2 2 2 2 7 13" xfId="37497" xr:uid="{00000000-0005-0000-0000-0000FA080000}"/>
    <cellStyle name="Remarque 2 2 2 2 2 7 2" xfId="3746" xr:uid="{00000000-0005-0000-0000-0000FB080000}"/>
    <cellStyle name="Remarque 2 2 2 2 2 7 2 2" xfId="27760" xr:uid="{00000000-0005-0000-0000-0000FC080000}"/>
    <cellStyle name="Remarque 2 2 2 2 2 7 2 2 2" xfId="51720" xr:uid="{00000000-0005-0000-0000-0000FD080000}"/>
    <cellStyle name="Remarque 2 2 2 2 2 7 2 3" xfId="15007" xr:uid="{00000000-0005-0000-0000-0000FE080000}"/>
    <cellStyle name="Remarque 2 2 2 2 2 7 2 4" xfId="38967" xr:uid="{00000000-0005-0000-0000-0000FF080000}"/>
    <cellStyle name="Remarque 2 2 2 2 2 7 3" xfId="5180" xr:uid="{00000000-0005-0000-0000-000000090000}"/>
    <cellStyle name="Remarque 2 2 2 2 2 7 3 2" xfId="29194" xr:uid="{00000000-0005-0000-0000-000001090000}"/>
    <cellStyle name="Remarque 2 2 2 2 2 7 3 2 2" xfId="53154" xr:uid="{00000000-0005-0000-0000-000002090000}"/>
    <cellStyle name="Remarque 2 2 2 2 2 7 3 3" xfId="16441" xr:uid="{00000000-0005-0000-0000-000003090000}"/>
    <cellStyle name="Remarque 2 2 2 2 2 7 3 4" xfId="40401" xr:uid="{00000000-0005-0000-0000-000004090000}"/>
    <cellStyle name="Remarque 2 2 2 2 2 7 4" xfId="6574" xr:uid="{00000000-0005-0000-0000-000005090000}"/>
    <cellStyle name="Remarque 2 2 2 2 2 7 4 2" xfId="30588" xr:uid="{00000000-0005-0000-0000-000006090000}"/>
    <cellStyle name="Remarque 2 2 2 2 2 7 4 2 2" xfId="54548" xr:uid="{00000000-0005-0000-0000-000007090000}"/>
    <cellStyle name="Remarque 2 2 2 2 2 7 4 3" xfId="17835" xr:uid="{00000000-0005-0000-0000-000008090000}"/>
    <cellStyle name="Remarque 2 2 2 2 2 7 4 4" xfId="41795" xr:uid="{00000000-0005-0000-0000-000009090000}"/>
    <cellStyle name="Remarque 2 2 2 2 2 7 5" xfId="7962" xr:uid="{00000000-0005-0000-0000-00000A090000}"/>
    <cellStyle name="Remarque 2 2 2 2 2 7 5 2" xfId="31976" xr:uid="{00000000-0005-0000-0000-00000B090000}"/>
    <cellStyle name="Remarque 2 2 2 2 2 7 5 2 2" xfId="55936" xr:uid="{00000000-0005-0000-0000-00000C090000}"/>
    <cellStyle name="Remarque 2 2 2 2 2 7 5 3" xfId="19223" xr:uid="{00000000-0005-0000-0000-00000D090000}"/>
    <cellStyle name="Remarque 2 2 2 2 2 7 5 4" xfId="43183" xr:uid="{00000000-0005-0000-0000-00000E090000}"/>
    <cellStyle name="Remarque 2 2 2 2 2 7 6" xfId="9347" xr:uid="{00000000-0005-0000-0000-00000F090000}"/>
    <cellStyle name="Remarque 2 2 2 2 2 7 6 2" xfId="33361" xr:uid="{00000000-0005-0000-0000-000010090000}"/>
    <cellStyle name="Remarque 2 2 2 2 2 7 6 2 2" xfId="57321" xr:uid="{00000000-0005-0000-0000-000011090000}"/>
    <cellStyle name="Remarque 2 2 2 2 2 7 6 3" xfId="20608" xr:uid="{00000000-0005-0000-0000-000012090000}"/>
    <cellStyle name="Remarque 2 2 2 2 2 7 6 4" xfId="44568" xr:uid="{00000000-0005-0000-0000-000013090000}"/>
    <cellStyle name="Remarque 2 2 2 2 2 7 7" xfId="10804" xr:uid="{00000000-0005-0000-0000-000014090000}"/>
    <cellStyle name="Remarque 2 2 2 2 2 7 7 2" xfId="34814" xr:uid="{00000000-0005-0000-0000-000015090000}"/>
    <cellStyle name="Remarque 2 2 2 2 2 7 7 2 2" xfId="58774" xr:uid="{00000000-0005-0000-0000-000016090000}"/>
    <cellStyle name="Remarque 2 2 2 2 2 7 7 3" xfId="22071" xr:uid="{00000000-0005-0000-0000-000017090000}"/>
    <cellStyle name="Remarque 2 2 2 2 2 7 7 4" xfId="46031" xr:uid="{00000000-0005-0000-0000-000018090000}"/>
    <cellStyle name="Remarque 2 2 2 2 2 7 8" xfId="12458" xr:uid="{00000000-0005-0000-0000-000019090000}"/>
    <cellStyle name="Remarque 2 2 2 2 2 7 8 2" xfId="23752" xr:uid="{00000000-0005-0000-0000-00001A090000}"/>
    <cellStyle name="Remarque 2 2 2 2 2 7 8 3" xfId="47712" xr:uid="{00000000-0005-0000-0000-00001B090000}"/>
    <cellStyle name="Remarque 2 2 2 2 2 7 9" xfId="2276" xr:uid="{00000000-0005-0000-0000-00001C090000}"/>
    <cellStyle name="Remarque 2 2 2 2 2 7 9 2" xfId="26290" xr:uid="{00000000-0005-0000-0000-00001D090000}"/>
    <cellStyle name="Remarque 2 2 2 2 2 7 9 3" xfId="50250" xr:uid="{00000000-0005-0000-0000-00001E090000}"/>
    <cellStyle name="Remarque 2 2 2 2 2 8" xfId="1033" xr:uid="{00000000-0005-0000-0000-00001F090000}"/>
    <cellStyle name="Remarque 2 2 2 2 2 8 10" xfId="25065" xr:uid="{00000000-0005-0000-0000-000020090000}"/>
    <cellStyle name="Remarque 2 2 2 2 2 8 10 2" xfId="49025" xr:uid="{00000000-0005-0000-0000-000021090000}"/>
    <cellStyle name="Remarque 2 2 2 2 2 8 11" xfId="36547" xr:uid="{00000000-0005-0000-0000-000022090000}"/>
    <cellStyle name="Remarque 2 2 2 2 2 8 11 2" xfId="60507" xr:uid="{00000000-0005-0000-0000-000023090000}"/>
    <cellStyle name="Remarque 2 2 2 2 2 8 12" xfId="13730" xr:uid="{00000000-0005-0000-0000-000024090000}"/>
    <cellStyle name="Remarque 2 2 2 2 2 8 13" xfId="37690" xr:uid="{00000000-0005-0000-0000-000025090000}"/>
    <cellStyle name="Remarque 2 2 2 2 2 8 2" xfId="3939" xr:uid="{00000000-0005-0000-0000-000026090000}"/>
    <cellStyle name="Remarque 2 2 2 2 2 8 2 2" xfId="27953" xr:uid="{00000000-0005-0000-0000-000027090000}"/>
    <cellStyle name="Remarque 2 2 2 2 2 8 2 2 2" xfId="51913" xr:uid="{00000000-0005-0000-0000-000028090000}"/>
    <cellStyle name="Remarque 2 2 2 2 2 8 2 3" xfId="15200" xr:uid="{00000000-0005-0000-0000-000029090000}"/>
    <cellStyle name="Remarque 2 2 2 2 2 8 2 4" xfId="39160" xr:uid="{00000000-0005-0000-0000-00002A090000}"/>
    <cellStyle name="Remarque 2 2 2 2 2 8 3" xfId="5373" xr:uid="{00000000-0005-0000-0000-00002B090000}"/>
    <cellStyle name="Remarque 2 2 2 2 2 8 3 2" xfId="29387" xr:uid="{00000000-0005-0000-0000-00002C090000}"/>
    <cellStyle name="Remarque 2 2 2 2 2 8 3 2 2" xfId="53347" xr:uid="{00000000-0005-0000-0000-00002D090000}"/>
    <cellStyle name="Remarque 2 2 2 2 2 8 3 3" xfId="16634" xr:uid="{00000000-0005-0000-0000-00002E090000}"/>
    <cellStyle name="Remarque 2 2 2 2 2 8 3 4" xfId="40594" xr:uid="{00000000-0005-0000-0000-00002F090000}"/>
    <cellStyle name="Remarque 2 2 2 2 2 8 4" xfId="6767" xr:uid="{00000000-0005-0000-0000-000030090000}"/>
    <cellStyle name="Remarque 2 2 2 2 2 8 4 2" xfId="30781" xr:uid="{00000000-0005-0000-0000-000031090000}"/>
    <cellStyle name="Remarque 2 2 2 2 2 8 4 2 2" xfId="54741" xr:uid="{00000000-0005-0000-0000-000032090000}"/>
    <cellStyle name="Remarque 2 2 2 2 2 8 4 3" xfId="18028" xr:uid="{00000000-0005-0000-0000-000033090000}"/>
    <cellStyle name="Remarque 2 2 2 2 2 8 4 4" xfId="41988" xr:uid="{00000000-0005-0000-0000-000034090000}"/>
    <cellStyle name="Remarque 2 2 2 2 2 8 5" xfId="8155" xr:uid="{00000000-0005-0000-0000-000035090000}"/>
    <cellStyle name="Remarque 2 2 2 2 2 8 5 2" xfId="32169" xr:uid="{00000000-0005-0000-0000-000036090000}"/>
    <cellStyle name="Remarque 2 2 2 2 2 8 5 2 2" xfId="56129" xr:uid="{00000000-0005-0000-0000-000037090000}"/>
    <cellStyle name="Remarque 2 2 2 2 2 8 5 3" xfId="19416" xr:uid="{00000000-0005-0000-0000-000038090000}"/>
    <cellStyle name="Remarque 2 2 2 2 2 8 5 4" xfId="43376" xr:uid="{00000000-0005-0000-0000-000039090000}"/>
    <cellStyle name="Remarque 2 2 2 2 2 8 6" xfId="9540" xr:uid="{00000000-0005-0000-0000-00003A090000}"/>
    <cellStyle name="Remarque 2 2 2 2 2 8 6 2" xfId="33554" xr:uid="{00000000-0005-0000-0000-00003B090000}"/>
    <cellStyle name="Remarque 2 2 2 2 2 8 6 2 2" xfId="57514" xr:uid="{00000000-0005-0000-0000-00003C090000}"/>
    <cellStyle name="Remarque 2 2 2 2 2 8 6 3" xfId="20801" xr:uid="{00000000-0005-0000-0000-00003D090000}"/>
    <cellStyle name="Remarque 2 2 2 2 2 8 6 4" xfId="44761" xr:uid="{00000000-0005-0000-0000-00003E090000}"/>
    <cellStyle name="Remarque 2 2 2 2 2 8 7" xfId="10997" xr:uid="{00000000-0005-0000-0000-00003F090000}"/>
    <cellStyle name="Remarque 2 2 2 2 2 8 7 2" xfId="35007" xr:uid="{00000000-0005-0000-0000-000040090000}"/>
    <cellStyle name="Remarque 2 2 2 2 2 8 7 2 2" xfId="58967" xr:uid="{00000000-0005-0000-0000-000041090000}"/>
    <cellStyle name="Remarque 2 2 2 2 2 8 7 3" xfId="22264" xr:uid="{00000000-0005-0000-0000-000042090000}"/>
    <cellStyle name="Remarque 2 2 2 2 2 8 7 4" xfId="46224" xr:uid="{00000000-0005-0000-0000-000043090000}"/>
    <cellStyle name="Remarque 2 2 2 2 2 8 8" xfId="12023" xr:uid="{00000000-0005-0000-0000-000044090000}"/>
    <cellStyle name="Remarque 2 2 2 2 2 8 8 2" xfId="23302" xr:uid="{00000000-0005-0000-0000-000045090000}"/>
    <cellStyle name="Remarque 2 2 2 2 2 8 8 3" xfId="47262" xr:uid="{00000000-0005-0000-0000-000046090000}"/>
    <cellStyle name="Remarque 2 2 2 2 2 8 9" xfId="2469" xr:uid="{00000000-0005-0000-0000-000047090000}"/>
    <cellStyle name="Remarque 2 2 2 2 2 8 9 2" xfId="26483" xr:uid="{00000000-0005-0000-0000-000048090000}"/>
    <cellStyle name="Remarque 2 2 2 2 2 8 9 3" xfId="50443" xr:uid="{00000000-0005-0000-0000-000049090000}"/>
    <cellStyle name="Remarque 2 2 2 2 2 9" xfId="1219" xr:uid="{00000000-0005-0000-0000-00004A090000}"/>
    <cellStyle name="Remarque 2 2 2 2 2 9 10" xfId="25251" xr:uid="{00000000-0005-0000-0000-00004B090000}"/>
    <cellStyle name="Remarque 2 2 2 2 2 9 10 2" xfId="49211" xr:uid="{00000000-0005-0000-0000-00004C090000}"/>
    <cellStyle name="Remarque 2 2 2 2 2 9 11" xfId="35843" xr:uid="{00000000-0005-0000-0000-00004D090000}"/>
    <cellStyle name="Remarque 2 2 2 2 2 9 11 2" xfId="59803" xr:uid="{00000000-0005-0000-0000-00004E090000}"/>
    <cellStyle name="Remarque 2 2 2 2 2 9 12" xfId="13916" xr:uid="{00000000-0005-0000-0000-00004F090000}"/>
    <cellStyle name="Remarque 2 2 2 2 2 9 13" xfId="37876" xr:uid="{00000000-0005-0000-0000-000050090000}"/>
    <cellStyle name="Remarque 2 2 2 2 2 9 2" xfId="4125" xr:uid="{00000000-0005-0000-0000-000051090000}"/>
    <cellStyle name="Remarque 2 2 2 2 2 9 2 2" xfId="28139" xr:uid="{00000000-0005-0000-0000-000052090000}"/>
    <cellStyle name="Remarque 2 2 2 2 2 9 2 2 2" xfId="52099" xr:uid="{00000000-0005-0000-0000-000053090000}"/>
    <cellStyle name="Remarque 2 2 2 2 2 9 2 3" xfId="15386" xr:uid="{00000000-0005-0000-0000-000054090000}"/>
    <cellStyle name="Remarque 2 2 2 2 2 9 2 4" xfId="39346" xr:uid="{00000000-0005-0000-0000-000055090000}"/>
    <cellStyle name="Remarque 2 2 2 2 2 9 3" xfId="5559" xr:uid="{00000000-0005-0000-0000-000056090000}"/>
    <cellStyle name="Remarque 2 2 2 2 2 9 3 2" xfId="29573" xr:uid="{00000000-0005-0000-0000-000057090000}"/>
    <cellStyle name="Remarque 2 2 2 2 2 9 3 2 2" xfId="53533" xr:uid="{00000000-0005-0000-0000-000058090000}"/>
    <cellStyle name="Remarque 2 2 2 2 2 9 3 3" xfId="16820" xr:uid="{00000000-0005-0000-0000-000059090000}"/>
    <cellStyle name="Remarque 2 2 2 2 2 9 3 4" xfId="40780" xr:uid="{00000000-0005-0000-0000-00005A090000}"/>
    <cellStyle name="Remarque 2 2 2 2 2 9 4" xfId="6953" xr:uid="{00000000-0005-0000-0000-00005B090000}"/>
    <cellStyle name="Remarque 2 2 2 2 2 9 4 2" xfId="30967" xr:uid="{00000000-0005-0000-0000-00005C090000}"/>
    <cellStyle name="Remarque 2 2 2 2 2 9 4 2 2" xfId="54927" xr:uid="{00000000-0005-0000-0000-00005D090000}"/>
    <cellStyle name="Remarque 2 2 2 2 2 9 4 3" xfId="18214" xr:uid="{00000000-0005-0000-0000-00005E090000}"/>
    <cellStyle name="Remarque 2 2 2 2 2 9 4 4" xfId="42174" xr:uid="{00000000-0005-0000-0000-00005F090000}"/>
    <cellStyle name="Remarque 2 2 2 2 2 9 5" xfId="8341" xr:uid="{00000000-0005-0000-0000-000060090000}"/>
    <cellStyle name="Remarque 2 2 2 2 2 9 5 2" xfId="32355" xr:uid="{00000000-0005-0000-0000-000061090000}"/>
    <cellStyle name="Remarque 2 2 2 2 2 9 5 2 2" xfId="56315" xr:uid="{00000000-0005-0000-0000-000062090000}"/>
    <cellStyle name="Remarque 2 2 2 2 2 9 5 3" xfId="19602" xr:uid="{00000000-0005-0000-0000-000063090000}"/>
    <cellStyle name="Remarque 2 2 2 2 2 9 5 4" xfId="43562" xr:uid="{00000000-0005-0000-0000-000064090000}"/>
    <cellStyle name="Remarque 2 2 2 2 2 9 6" xfId="9726" xr:uid="{00000000-0005-0000-0000-000065090000}"/>
    <cellStyle name="Remarque 2 2 2 2 2 9 6 2" xfId="33740" xr:uid="{00000000-0005-0000-0000-000066090000}"/>
    <cellStyle name="Remarque 2 2 2 2 2 9 6 2 2" xfId="57700" xr:uid="{00000000-0005-0000-0000-000067090000}"/>
    <cellStyle name="Remarque 2 2 2 2 2 9 6 3" xfId="20987" xr:uid="{00000000-0005-0000-0000-000068090000}"/>
    <cellStyle name="Remarque 2 2 2 2 2 9 6 4" xfId="44947" xr:uid="{00000000-0005-0000-0000-000069090000}"/>
    <cellStyle name="Remarque 2 2 2 2 2 9 7" xfId="11183" xr:uid="{00000000-0005-0000-0000-00006A090000}"/>
    <cellStyle name="Remarque 2 2 2 2 2 9 7 2" xfId="35193" xr:uid="{00000000-0005-0000-0000-00006B090000}"/>
    <cellStyle name="Remarque 2 2 2 2 2 9 7 2 2" xfId="59153" xr:uid="{00000000-0005-0000-0000-00006C090000}"/>
    <cellStyle name="Remarque 2 2 2 2 2 9 7 3" xfId="22450" xr:uid="{00000000-0005-0000-0000-00006D090000}"/>
    <cellStyle name="Remarque 2 2 2 2 2 9 7 4" xfId="46410" xr:uid="{00000000-0005-0000-0000-00006E090000}"/>
    <cellStyle name="Remarque 2 2 2 2 2 9 8" xfId="12642" xr:uid="{00000000-0005-0000-0000-00006F090000}"/>
    <cellStyle name="Remarque 2 2 2 2 2 9 8 2" xfId="23947" xr:uid="{00000000-0005-0000-0000-000070090000}"/>
    <cellStyle name="Remarque 2 2 2 2 2 9 8 3" xfId="47907" xr:uid="{00000000-0005-0000-0000-000071090000}"/>
    <cellStyle name="Remarque 2 2 2 2 2 9 9" xfId="2655" xr:uid="{00000000-0005-0000-0000-000072090000}"/>
    <cellStyle name="Remarque 2 2 2 2 2 9 9 2" xfId="26669" xr:uid="{00000000-0005-0000-0000-000073090000}"/>
    <cellStyle name="Remarque 2 2 2 2 2 9 9 3" xfId="50629" xr:uid="{00000000-0005-0000-0000-000074090000}"/>
    <cellStyle name="Remarque 2 2 2 2 3" xfId="97" xr:uid="{00000000-0005-0000-0000-000075090000}"/>
    <cellStyle name="Remarque 2 2 2 2 3 10" xfId="36898" xr:uid="{00000000-0005-0000-0000-000076090000}"/>
    <cellStyle name="Remarque 2 2 2 2 3 11" xfId="241" xr:uid="{00000000-0005-0000-0000-000077090000}"/>
    <cellStyle name="Remarque 2 2 2 2 3 2" xfId="475" xr:uid="{00000000-0005-0000-0000-000078090000}"/>
    <cellStyle name="Remarque 2 2 2 2 3 2 10" xfId="6209" xr:uid="{00000000-0005-0000-0000-000079090000}"/>
    <cellStyle name="Remarque 2 2 2 2 3 2 10 2" xfId="30223" xr:uid="{00000000-0005-0000-0000-00007A090000}"/>
    <cellStyle name="Remarque 2 2 2 2 3 2 10 2 2" xfId="54183" xr:uid="{00000000-0005-0000-0000-00007B090000}"/>
    <cellStyle name="Remarque 2 2 2 2 3 2 10 3" xfId="17470" xr:uid="{00000000-0005-0000-0000-00007C090000}"/>
    <cellStyle name="Remarque 2 2 2 2 3 2 10 4" xfId="41430" xr:uid="{00000000-0005-0000-0000-00007D090000}"/>
    <cellStyle name="Remarque 2 2 2 2 3 2 11" xfId="7597" xr:uid="{00000000-0005-0000-0000-00007E090000}"/>
    <cellStyle name="Remarque 2 2 2 2 3 2 11 2" xfId="31611" xr:uid="{00000000-0005-0000-0000-00007F090000}"/>
    <cellStyle name="Remarque 2 2 2 2 3 2 11 2 2" xfId="55571" xr:uid="{00000000-0005-0000-0000-000080090000}"/>
    <cellStyle name="Remarque 2 2 2 2 3 2 11 3" xfId="18858" xr:uid="{00000000-0005-0000-0000-000081090000}"/>
    <cellStyle name="Remarque 2 2 2 2 3 2 11 4" xfId="42818" xr:uid="{00000000-0005-0000-0000-000082090000}"/>
    <cellStyle name="Remarque 2 2 2 2 3 2 12" xfId="8982" xr:uid="{00000000-0005-0000-0000-000083090000}"/>
    <cellStyle name="Remarque 2 2 2 2 3 2 12 2" xfId="32996" xr:uid="{00000000-0005-0000-0000-000084090000}"/>
    <cellStyle name="Remarque 2 2 2 2 3 2 12 2 2" xfId="56956" xr:uid="{00000000-0005-0000-0000-000085090000}"/>
    <cellStyle name="Remarque 2 2 2 2 3 2 12 3" xfId="20243" xr:uid="{00000000-0005-0000-0000-000086090000}"/>
    <cellStyle name="Remarque 2 2 2 2 3 2 12 4" xfId="44203" xr:uid="{00000000-0005-0000-0000-000087090000}"/>
    <cellStyle name="Remarque 2 2 2 2 3 2 13" xfId="10439" xr:uid="{00000000-0005-0000-0000-000088090000}"/>
    <cellStyle name="Remarque 2 2 2 2 3 2 13 2" xfId="34449" xr:uid="{00000000-0005-0000-0000-000089090000}"/>
    <cellStyle name="Remarque 2 2 2 2 3 2 13 2 2" xfId="58409" xr:uid="{00000000-0005-0000-0000-00008A090000}"/>
    <cellStyle name="Remarque 2 2 2 2 3 2 13 3" xfId="21706" xr:uid="{00000000-0005-0000-0000-00008B090000}"/>
    <cellStyle name="Remarque 2 2 2 2 3 2 13 4" xfId="45666" xr:uid="{00000000-0005-0000-0000-00008C090000}"/>
    <cellStyle name="Remarque 2 2 2 2 3 2 14" xfId="12618" xr:uid="{00000000-0005-0000-0000-00008D090000}"/>
    <cellStyle name="Remarque 2 2 2 2 3 2 14 2" xfId="23920" xr:uid="{00000000-0005-0000-0000-00008E090000}"/>
    <cellStyle name="Remarque 2 2 2 2 3 2 14 3" xfId="47880" xr:uid="{00000000-0005-0000-0000-00008F090000}"/>
    <cellStyle name="Remarque 2 2 2 2 3 2 15" xfId="1911" xr:uid="{00000000-0005-0000-0000-000090090000}"/>
    <cellStyle name="Remarque 2 2 2 2 3 2 15 2" xfId="25925" xr:uid="{00000000-0005-0000-0000-000091090000}"/>
    <cellStyle name="Remarque 2 2 2 2 3 2 15 3" xfId="49885" xr:uid="{00000000-0005-0000-0000-000092090000}"/>
    <cellStyle name="Remarque 2 2 2 2 3 2 16" xfId="24507" xr:uid="{00000000-0005-0000-0000-000093090000}"/>
    <cellStyle name="Remarque 2 2 2 2 3 2 16 2" xfId="48467" xr:uid="{00000000-0005-0000-0000-000094090000}"/>
    <cellStyle name="Remarque 2 2 2 2 3 2 17" xfId="36824" xr:uid="{00000000-0005-0000-0000-000095090000}"/>
    <cellStyle name="Remarque 2 2 2 2 3 2 17 2" xfId="60784" xr:uid="{00000000-0005-0000-0000-000096090000}"/>
    <cellStyle name="Remarque 2 2 2 2 3 2 18" xfId="13172" xr:uid="{00000000-0005-0000-0000-000097090000}"/>
    <cellStyle name="Remarque 2 2 2 2 3 2 19" xfId="37132" xr:uid="{00000000-0005-0000-0000-000098090000}"/>
    <cellStyle name="Remarque 2 2 2 2 3 2 2" xfId="611" xr:uid="{00000000-0005-0000-0000-000099090000}"/>
    <cellStyle name="Remarque 2 2 2 2 3 2 2 10" xfId="24643" xr:uid="{00000000-0005-0000-0000-00009A090000}"/>
    <cellStyle name="Remarque 2 2 2 2 3 2 2 10 2" xfId="48603" xr:uid="{00000000-0005-0000-0000-00009B090000}"/>
    <cellStyle name="Remarque 2 2 2 2 3 2 2 11" xfId="35667" xr:uid="{00000000-0005-0000-0000-00009C090000}"/>
    <cellStyle name="Remarque 2 2 2 2 3 2 2 11 2" xfId="59627" xr:uid="{00000000-0005-0000-0000-00009D090000}"/>
    <cellStyle name="Remarque 2 2 2 2 3 2 2 12" xfId="13308" xr:uid="{00000000-0005-0000-0000-00009E090000}"/>
    <cellStyle name="Remarque 2 2 2 2 3 2 2 13" xfId="37268" xr:uid="{00000000-0005-0000-0000-00009F090000}"/>
    <cellStyle name="Remarque 2 2 2 2 3 2 2 2" xfId="3517" xr:uid="{00000000-0005-0000-0000-0000A0090000}"/>
    <cellStyle name="Remarque 2 2 2 2 3 2 2 2 2" xfId="27531" xr:uid="{00000000-0005-0000-0000-0000A1090000}"/>
    <cellStyle name="Remarque 2 2 2 2 3 2 2 2 2 2" xfId="51491" xr:uid="{00000000-0005-0000-0000-0000A2090000}"/>
    <cellStyle name="Remarque 2 2 2 2 3 2 2 2 3" xfId="14778" xr:uid="{00000000-0005-0000-0000-0000A3090000}"/>
    <cellStyle name="Remarque 2 2 2 2 3 2 2 2 4" xfId="38738" xr:uid="{00000000-0005-0000-0000-0000A4090000}"/>
    <cellStyle name="Remarque 2 2 2 2 3 2 2 3" xfId="4951" xr:uid="{00000000-0005-0000-0000-0000A5090000}"/>
    <cellStyle name="Remarque 2 2 2 2 3 2 2 3 2" xfId="28965" xr:uid="{00000000-0005-0000-0000-0000A6090000}"/>
    <cellStyle name="Remarque 2 2 2 2 3 2 2 3 2 2" xfId="52925" xr:uid="{00000000-0005-0000-0000-0000A7090000}"/>
    <cellStyle name="Remarque 2 2 2 2 3 2 2 3 3" xfId="16212" xr:uid="{00000000-0005-0000-0000-0000A8090000}"/>
    <cellStyle name="Remarque 2 2 2 2 3 2 2 3 4" xfId="40172" xr:uid="{00000000-0005-0000-0000-0000A9090000}"/>
    <cellStyle name="Remarque 2 2 2 2 3 2 2 4" xfId="6345" xr:uid="{00000000-0005-0000-0000-0000AA090000}"/>
    <cellStyle name="Remarque 2 2 2 2 3 2 2 4 2" xfId="30359" xr:uid="{00000000-0005-0000-0000-0000AB090000}"/>
    <cellStyle name="Remarque 2 2 2 2 3 2 2 4 2 2" xfId="54319" xr:uid="{00000000-0005-0000-0000-0000AC090000}"/>
    <cellStyle name="Remarque 2 2 2 2 3 2 2 4 3" xfId="17606" xr:uid="{00000000-0005-0000-0000-0000AD090000}"/>
    <cellStyle name="Remarque 2 2 2 2 3 2 2 4 4" xfId="41566" xr:uid="{00000000-0005-0000-0000-0000AE090000}"/>
    <cellStyle name="Remarque 2 2 2 2 3 2 2 5" xfId="7733" xr:uid="{00000000-0005-0000-0000-0000AF090000}"/>
    <cellStyle name="Remarque 2 2 2 2 3 2 2 5 2" xfId="31747" xr:uid="{00000000-0005-0000-0000-0000B0090000}"/>
    <cellStyle name="Remarque 2 2 2 2 3 2 2 5 2 2" xfId="55707" xr:uid="{00000000-0005-0000-0000-0000B1090000}"/>
    <cellStyle name="Remarque 2 2 2 2 3 2 2 5 3" xfId="18994" xr:uid="{00000000-0005-0000-0000-0000B2090000}"/>
    <cellStyle name="Remarque 2 2 2 2 3 2 2 5 4" xfId="42954" xr:uid="{00000000-0005-0000-0000-0000B3090000}"/>
    <cellStyle name="Remarque 2 2 2 2 3 2 2 6" xfId="9118" xr:uid="{00000000-0005-0000-0000-0000B4090000}"/>
    <cellStyle name="Remarque 2 2 2 2 3 2 2 6 2" xfId="33132" xr:uid="{00000000-0005-0000-0000-0000B5090000}"/>
    <cellStyle name="Remarque 2 2 2 2 3 2 2 6 2 2" xfId="57092" xr:uid="{00000000-0005-0000-0000-0000B6090000}"/>
    <cellStyle name="Remarque 2 2 2 2 3 2 2 6 3" xfId="20379" xr:uid="{00000000-0005-0000-0000-0000B7090000}"/>
    <cellStyle name="Remarque 2 2 2 2 3 2 2 6 4" xfId="44339" xr:uid="{00000000-0005-0000-0000-0000B8090000}"/>
    <cellStyle name="Remarque 2 2 2 2 3 2 2 7" xfId="10575" xr:uid="{00000000-0005-0000-0000-0000B9090000}"/>
    <cellStyle name="Remarque 2 2 2 2 3 2 2 7 2" xfId="34585" xr:uid="{00000000-0005-0000-0000-0000BA090000}"/>
    <cellStyle name="Remarque 2 2 2 2 3 2 2 7 2 2" xfId="58545" xr:uid="{00000000-0005-0000-0000-0000BB090000}"/>
    <cellStyle name="Remarque 2 2 2 2 3 2 2 7 3" xfId="21842" xr:uid="{00000000-0005-0000-0000-0000BC090000}"/>
    <cellStyle name="Remarque 2 2 2 2 3 2 2 7 4" xfId="45802" xr:uid="{00000000-0005-0000-0000-0000BD090000}"/>
    <cellStyle name="Remarque 2 2 2 2 3 2 2 8" xfId="12284" xr:uid="{00000000-0005-0000-0000-0000BE090000}"/>
    <cellStyle name="Remarque 2 2 2 2 3 2 2 8 2" xfId="23571" xr:uid="{00000000-0005-0000-0000-0000BF090000}"/>
    <cellStyle name="Remarque 2 2 2 2 3 2 2 8 3" xfId="47531" xr:uid="{00000000-0005-0000-0000-0000C0090000}"/>
    <cellStyle name="Remarque 2 2 2 2 3 2 2 9" xfId="2047" xr:uid="{00000000-0005-0000-0000-0000C1090000}"/>
    <cellStyle name="Remarque 2 2 2 2 3 2 2 9 2" xfId="26061" xr:uid="{00000000-0005-0000-0000-0000C2090000}"/>
    <cellStyle name="Remarque 2 2 2 2 3 2 2 9 3" xfId="50021" xr:uid="{00000000-0005-0000-0000-0000C3090000}"/>
    <cellStyle name="Remarque 2 2 2 2 3 2 3" xfId="803" xr:uid="{00000000-0005-0000-0000-0000C4090000}"/>
    <cellStyle name="Remarque 2 2 2 2 3 2 3 10" xfId="24835" xr:uid="{00000000-0005-0000-0000-0000C5090000}"/>
    <cellStyle name="Remarque 2 2 2 2 3 2 3 10 2" xfId="48795" xr:uid="{00000000-0005-0000-0000-0000C6090000}"/>
    <cellStyle name="Remarque 2 2 2 2 3 2 3 11" xfId="36649" xr:uid="{00000000-0005-0000-0000-0000C7090000}"/>
    <cellStyle name="Remarque 2 2 2 2 3 2 3 11 2" xfId="60609" xr:uid="{00000000-0005-0000-0000-0000C8090000}"/>
    <cellStyle name="Remarque 2 2 2 2 3 2 3 12" xfId="13500" xr:uid="{00000000-0005-0000-0000-0000C9090000}"/>
    <cellStyle name="Remarque 2 2 2 2 3 2 3 13" xfId="37460" xr:uid="{00000000-0005-0000-0000-0000CA090000}"/>
    <cellStyle name="Remarque 2 2 2 2 3 2 3 2" xfId="3709" xr:uid="{00000000-0005-0000-0000-0000CB090000}"/>
    <cellStyle name="Remarque 2 2 2 2 3 2 3 2 2" xfId="27723" xr:uid="{00000000-0005-0000-0000-0000CC090000}"/>
    <cellStyle name="Remarque 2 2 2 2 3 2 3 2 2 2" xfId="51683" xr:uid="{00000000-0005-0000-0000-0000CD090000}"/>
    <cellStyle name="Remarque 2 2 2 2 3 2 3 2 3" xfId="14970" xr:uid="{00000000-0005-0000-0000-0000CE090000}"/>
    <cellStyle name="Remarque 2 2 2 2 3 2 3 2 4" xfId="38930" xr:uid="{00000000-0005-0000-0000-0000CF090000}"/>
    <cellStyle name="Remarque 2 2 2 2 3 2 3 3" xfId="5143" xr:uid="{00000000-0005-0000-0000-0000D0090000}"/>
    <cellStyle name="Remarque 2 2 2 2 3 2 3 3 2" xfId="29157" xr:uid="{00000000-0005-0000-0000-0000D1090000}"/>
    <cellStyle name="Remarque 2 2 2 2 3 2 3 3 2 2" xfId="53117" xr:uid="{00000000-0005-0000-0000-0000D2090000}"/>
    <cellStyle name="Remarque 2 2 2 2 3 2 3 3 3" xfId="16404" xr:uid="{00000000-0005-0000-0000-0000D3090000}"/>
    <cellStyle name="Remarque 2 2 2 2 3 2 3 3 4" xfId="40364" xr:uid="{00000000-0005-0000-0000-0000D4090000}"/>
    <cellStyle name="Remarque 2 2 2 2 3 2 3 4" xfId="6537" xr:uid="{00000000-0005-0000-0000-0000D5090000}"/>
    <cellStyle name="Remarque 2 2 2 2 3 2 3 4 2" xfId="30551" xr:uid="{00000000-0005-0000-0000-0000D6090000}"/>
    <cellStyle name="Remarque 2 2 2 2 3 2 3 4 2 2" xfId="54511" xr:uid="{00000000-0005-0000-0000-0000D7090000}"/>
    <cellStyle name="Remarque 2 2 2 2 3 2 3 4 3" xfId="17798" xr:uid="{00000000-0005-0000-0000-0000D8090000}"/>
    <cellStyle name="Remarque 2 2 2 2 3 2 3 4 4" xfId="41758" xr:uid="{00000000-0005-0000-0000-0000D9090000}"/>
    <cellStyle name="Remarque 2 2 2 2 3 2 3 5" xfId="7925" xr:uid="{00000000-0005-0000-0000-0000DA090000}"/>
    <cellStyle name="Remarque 2 2 2 2 3 2 3 5 2" xfId="31939" xr:uid="{00000000-0005-0000-0000-0000DB090000}"/>
    <cellStyle name="Remarque 2 2 2 2 3 2 3 5 2 2" xfId="55899" xr:uid="{00000000-0005-0000-0000-0000DC090000}"/>
    <cellStyle name="Remarque 2 2 2 2 3 2 3 5 3" xfId="19186" xr:uid="{00000000-0005-0000-0000-0000DD090000}"/>
    <cellStyle name="Remarque 2 2 2 2 3 2 3 5 4" xfId="43146" xr:uid="{00000000-0005-0000-0000-0000DE090000}"/>
    <cellStyle name="Remarque 2 2 2 2 3 2 3 6" xfId="9310" xr:uid="{00000000-0005-0000-0000-0000DF090000}"/>
    <cellStyle name="Remarque 2 2 2 2 3 2 3 6 2" xfId="33324" xr:uid="{00000000-0005-0000-0000-0000E0090000}"/>
    <cellStyle name="Remarque 2 2 2 2 3 2 3 6 2 2" xfId="57284" xr:uid="{00000000-0005-0000-0000-0000E1090000}"/>
    <cellStyle name="Remarque 2 2 2 2 3 2 3 6 3" xfId="20571" xr:uid="{00000000-0005-0000-0000-0000E2090000}"/>
    <cellStyle name="Remarque 2 2 2 2 3 2 3 6 4" xfId="44531" xr:uid="{00000000-0005-0000-0000-0000E3090000}"/>
    <cellStyle name="Remarque 2 2 2 2 3 2 3 7" xfId="10767" xr:uid="{00000000-0005-0000-0000-0000E4090000}"/>
    <cellStyle name="Remarque 2 2 2 2 3 2 3 7 2" xfId="34777" xr:uid="{00000000-0005-0000-0000-0000E5090000}"/>
    <cellStyle name="Remarque 2 2 2 2 3 2 3 7 2 2" xfId="58737" xr:uid="{00000000-0005-0000-0000-0000E6090000}"/>
    <cellStyle name="Remarque 2 2 2 2 3 2 3 7 3" xfId="22034" xr:uid="{00000000-0005-0000-0000-0000E7090000}"/>
    <cellStyle name="Remarque 2 2 2 2 3 2 3 7 4" xfId="45994" xr:uid="{00000000-0005-0000-0000-0000E8090000}"/>
    <cellStyle name="Remarque 2 2 2 2 3 2 3 8" xfId="12885" xr:uid="{00000000-0005-0000-0000-0000E9090000}"/>
    <cellStyle name="Remarque 2 2 2 2 3 2 3 8 2" xfId="24197" xr:uid="{00000000-0005-0000-0000-0000EA090000}"/>
    <cellStyle name="Remarque 2 2 2 2 3 2 3 8 3" xfId="48157" xr:uid="{00000000-0005-0000-0000-0000EB090000}"/>
    <cellStyle name="Remarque 2 2 2 2 3 2 3 9" xfId="2239" xr:uid="{00000000-0005-0000-0000-0000EC090000}"/>
    <cellStyle name="Remarque 2 2 2 2 3 2 3 9 2" xfId="26253" xr:uid="{00000000-0005-0000-0000-0000ED090000}"/>
    <cellStyle name="Remarque 2 2 2 2 3 2 3 9 3" xfId="50213" xr:uid="{00000000-0005-0000-0000-0000EE090000}"/>
    <cellStyle name="Remarque 2 2 2 2 3 2 4" xfId="997" xr:uid="{00000000-0005-0000-0000-0000EF090000}"/>
    <cellStyle name="Remarque 2 2 2 2 3 2 4 10" xfId="25029" xr:uid="{00000000-0005-0000-0000-0000F0090000}"/>
    <cellStyle name="Remarque 2 2 2 2 3 2 4 10 2" xfId="48989" xr:uid="{00000000-0005-0000-0000-0000F1090000}"/>
    <cellStyle name="Remarque 2 2 2 2 3 2 4 11" xfId="35917" xr:uid="{00000000-0005-0000-0000-0000F2090000}"/>
    <cellStyle name="Remarque 2 2 2 2 3 2 4 11 2" xfId="59877" xr:uid="{00000000-0005-0000-0000-0000F3090000}"/>
    <cellStyle name="Remarque 2 2 2 2 3 2 4 12" xfId="13694" xr:uid="{00000000-0005-0000-0000-0000F4090000}"/>
    <cellStyle name="Remarque 2 2 2 2 3 2 4 13" xfId="37654" xr:uid="{00000000-0005-0000-0000-0000F5090000}"/>
    <cellStyle name="Remarque 2 2 2 2 3 2 4 2" xfId="3903" xr:uid="{00000000-0005-0000-0000-0000F6090000}"/>
    <cellStyle name="Remarque 2 2 2 2 3 2 4 2 2" xfId="27917" xr:uid="{00000000-0005-0000-0000-0000F7090000}"/>
    <cellStyle name="Remarque 2 2 2 2 3 2 4 2 2 2" xfId="51877" xr:uid="{00000000-0005-0000-0000-0000F8090000}"/>
    <cellStyle name="Remarque 2 2 2 2 3 2 4 2 3" xfId="15164" xr:uid="{00000000-0005-0000-0000-0000F9090000}"/>
    <cellStyle name="Remarque 2 2 2 2 3 2 4 2 4" xfId="39124" xr:uid="{00000000-0005-0000-0000-0000FA090000}"/>
    <cellStyle name="Remarque 2 2 2 2 3 2 4 3" xfId="5337" xr:uid="{00000000-0005-0000-0000-0000FB090000}"/>
    <cellStyle name="Remarque 2 2 2 2 3 2 4 3 2" xfId="29351" xr:uid="{00000000-0005-0000-0000-0000FC090000}"/>
    <cellStyle name="Remarque 2 2 2 2 3 2 4 3 2 2" xfId="53311" xr:uid="{00000000-0005-0000-0000-0000FD090000}"/>
    <cellStyle name="Remarque 2 2 2 2 3 2 4 3 3" xfId="16598" xr:uid="{00000000-0005-0000-0000-0000FE090000}"/>
    <cellStyle name="Remarque 2 2 2 2 3 2 4 3 4" xfId="40558" xr:uid="{00000000-0005-0000-0000-0000FF090000}"/>
    <cellStyle name="Remarque 2 2 2 2 3 2 4 4" xfId="6731" xr:uid="{00000000-0005-0000-0000-0000000A0000}"/>
    <cellStyle name="Remarque 2 2 2 2 3 2 4 4 2" xfId="30745" xr:uid="{00000000-0005-0000-0000-0000010A0000}"/>
    <cellStyle name="Remarque 2 2 2 2 3 2 4 4 2 2" xfId="54705" xr:uid="{00000000-0005-0000-0000-0000020A0000}"/>
    <cellStyle name="Remarque 2 2 2 2 3 2 4 4 3" xfId="17992" xr:uid="{00000000-0005-0000-0000-0000030A0000}"/>
    <cellStyle name="Remarque 2 2 2 2 3 2 4 4 4" xfId="41952" xr:uid="{00000000-0005-0000-0000-0000040A0000}"/>
    <cellStyle name="Remarque 2 2 2 2 3 2 4 5" xfId="8119" xr:uid="{00000000-0005-0000-0000-0000050A0000}"/>
    <cellStyle name="Remarque 2 2 2 2 3 2 4 5 2" xfId="32133" xr:uid="{00000000-0005-0000-0000-0000060A0000}"/>
    <cellStyle name="Remarque 2 2 2 2 3 2 4 5 2 2" xfId="56093" xr:uid="{00000000-0005-0000-0000-0000070A0000}"/>
    <cellStyle name="Remarque 2 2 2 2 3 2 4 5 3" xfId="19380" xr:uid="{00000000-0005-0000-0000-0000080A0000}"/>
    <cellStyle name="Remarque 2 2 2 2 3 2 4 5 4" xfId="43340" xr:uid="{00000000-0005-0000-0000-0000090A0000}"/>
    <cellStyle name="Remarque 2 2 2 2 3 2 4 6" xfId="9504" xr:uid="{00000000-0005-0000-0000-00000A0A0000}"/>
    <cellStyle name="Remarque 2 2 2 2 3 2 4 6 2" xfId="33518" xr:uid="{00000000-0005-0000-0000-00000B0A0000}"/>
    <cellStyle name="Remarque 2 2 2 2 3 2 4 6 2 2" xfId="57478" xr:uid="{00000000-0005-0000-0000-00000C0A0000}"/>
    <cellStyle name="Remarque 2 2 2 2 3 2 4 6 3" xfId="20765" xr:uid="{00000000-0005-0000-0000-00000D0A0000}"/>
    <cellStyle name="Remarque 2 2 2 2 3 2 4 6 4" xfId="44725" xr:uid="{00000000-0005-0000-0000-00000E0A0000}"/>
    <cellStyle name="Remarque 2 2 2 2 3 2 4 7" xfId="10961" xr:uid="{00000000-0005-0000-0000-00000F0A0000}"/>
    <cellStyle name="Remarque 2 2 2 2 3 2 4 7 2" xfId="34971" xr:uid="{00000000-0005-0000-0000-0000100A0000}"/>
    <cellStyle name="Remarque 2 2 2 2 3 2 4 7 2 2" xfId="58931" xr:uid="{00000000-0005-0000-0000-0000110A0000}"/>
    <cellStyle name="Remarque 2 2 2 2 3 2 4 7 3" xfId="22228" xr:uid="{00000000-0005-0000-0000-0000120A0000}"/>
    <cellStyle name="Remarque 2 2 2 2 3 2 4 7 4" xfId="46188" xr:uid="{00000000-0005-0000-0000-0000130A0000}"/>
    <cellStyle name="Remarque 2 2 2 2 3 2 4 8" xfId="11720" xr:uid="{00000000-0005-0000-0000-0000140A0000}"/>
    <cellStyle name="Remarque 2 2 2 2 3 2 4 8 2" xfId="22991" xr:uid="{00000000-0005-0000-0000-0000150A0000}"/>
    <cellStyle name="Remarque 2 2 2 2 3 2 4 8 3" xfId="46951" xr:uid="{00000000-0005-0000-0000-0000160A0000}"/>
    <cellStyle name="Remarque 2 2 2 2 3 2 4 9" xfId="2433" xr:uid="{00000000-0005-0000-0000-0000170A0000}"/>
    <cellStyle name="Remarque 2 2 2 2 3 2 4 9 2" xfId="26447" xr:uid="{00000000-0005-0000-0000-0000180A0000}"/>
    <cellStyle name="Remarque 2 2 2 2 3 2 4 9 3" xfId="50407" xr:uid="{00000000-0005-0000-0000-0000190A0000}"/>
    <cellStyle name="Remarque 2 2 2 2 3 2 5" xfId="1190" xr:uid="{00000000-0005-0000-0000-00001A0A0000}"/>
    <cellStyle name="Remarque 2 2 2 2 3 2 5 10" xfId="25222" xr:uid="{00000000-0005-0000-0000-00001B0A0000}"/>
    <cellStyle name="Remarque 2 2 2 2 3 2 5 10 2" xfId="49182" xr:uid="{00000000-0005-0000-0000-00001C0A0000}"/>
    <cellStyle name="Remarque 2 2 2 2 3 2 5 11" xfId="36753" xr:uid="{00000000-0005-0000-0000-00001D0A0000}"/>
    <cellStyle name="Remarque 2 2 2 2 3 2 5 11 2" xfId="60713" xr:uid="{00000000-0005-0000-0000-00001E0A0000}"/>
    <cellStyle name="Remarque 2 2 2 2 3 2 5 12" xfId="13887" xr:uid="{00000000-0005-0000-0000-00001F0A0000}"/>
    <cellStyle name="Remarque 2 2 2 2 3 2 5 13" xfId="37847" xr:uid="{00000000-0005-0000-0000-0000200A0000}"/>
    <cellStyle name="Remarque 2 2 2 2 3 2 5 2" xfId="4096" xr:uid="{00000000-0005-0000-0000-0000210A0000}"/>
    <cellStyle name="Remarque 2 2 2 2 3 2 5 2 2" xfId="28110" xr:uid="{00000000-0005-0000-0000-0000220A0000}"/>
    <cellStyle name="Remarque 2 2 2 2 3 2 5 2 2 2" xfId="52070" xr:uid="{00000000-0005-0000-0000-0000230A0000}"/>
    <cellStyle name="Remarque 2 2 2 2 3 2 5 2 3" xfId="15357" xr:uid="{00000000-0005-0000-0000-0000240A0000}"/>
    <cellStyle name="Remarque 2 2 2 2 3 2 5 2 4" xfId="39317" xr:uid="{00000000-0005-0000-0000-0000250A0000}"/>
    <cellStyle name="Remarque 2 2 2 2 3 2 5 3" xfId="5530" xr:uid="{00000000-0005-0000-0000-0000260A0000}"/>
    <cellStyle name="Remarque 2 2 2 2 3 2 5 3 2" xfId="29544" xr:uid="{00000000-0005-0000-0000-0000270A0000}"/>
    <cellStyle name="Remarque 2 2 2 2 3 2 5 3 2 2" xfId="53504" xr:uid="{00000000-0005-0000-0000-0000280A0000}"/>
    <cellStyle name="Remarque 2 2 2 2 3 2 5 3 3" xfId="16791" xr:uid="{00000000-0005-0000-0000-0000290A0000}"/>
    <cellStyle name="Remarque 2 2 2 2 3 2 5 3 4" xfId="40751" xr:uid="{00000000-0005-0000-0000-00002A0A0000}"/>
    <cellStyle name="Remarque 2 2 2 2 3 2 5 4" xfId="6924" xr:uid="{00000000-0005-0000-0000-00002B0A0000}"/>
    <cellStyle name="Remarque 2 2 2 2 3 2 5 4 2" xfId="30938" xr:uid="{00000000-0005-0000-0000-00002C0A0000}"/>
    <cellStyle name="Remarque 2 2 2 2 3 2 5 4 2 2" xfId="54898" xr:uid="{00000000-0005-0000-0000-00002D0A0000}"/>
    <cellStyle name="Remarque 2 2 2 2 3 2 5 4 3" xfId="18185" xr:uid="{00000000-0005-0000-0000-00002E0A0000}"/>
    <cellStyle name="Remarque 2 2 2 2 3 2 5 4 4" xfId="42145" xr:uid="{00000000-0005-0000-0000-00002F0A0000}"/>
    <cellStyle name="Remarque 2 2 2 2 3 2 5 5" xfId="8312" xr:uid="{00000000-0005-0000-0000-0000300A0000}"/>
    <cellStyle name="Remarque 2 2 2 2 3 2 5 5 2" xfId="32326" xr:uid="{00000000-0005-0000-0000-0000310A0000}"/>
    <cellStyle name="Remarque 2 2 2 2 3 2 5 5 2 2" xfId="56286" xr:uid="{00000000-0005-0000-0000-0000320A0000}"/>
    <cellStyle name="Remarque 2 2 2 2 3 2 5 5 3" xfId="19573" xr:uid="{00000000-0005-0000-0000-0000330A0000}"/>
    <cellStyle name="Remarque 2 2 2 2 3 2 5 5 4" xfId="43533" xr:uid="{00000000-0005-0000-0000-0000340A0000}"/>
    <cellStyle name="Remarque 2 2 2 2 3 2 5 6" xfId="9697" xr:uid="{00000000-0005-0000-0000-0000350A0000}"/>
    <cellStyle name="Remarque 2 2 2 2 3 2 5 6 2" xfId="33711" xr:uid="{00000000-0005-0000-0000-0000360A0000}"/>
    <cellStyle name="Remarque 2 2 2 2 3 2 5 6 2 2" xfId="57671" xr:uid="{00000000-0005-0000-0000-0000370A0000}"/>
    <cellStyle name="Remarque 2 2 2 2 3 2 5 6 3" xfId="20958" xr:uid="{00000000-0005-0000-0000-0000380A0000}"/>
    <cellStyle name="Remarque 2 2 2 2 3 2 5 6 4" xfId="44918" xr:uid="{00000000-0005-0000-0000-0000390A0000}"/>
    <cellStyle name="Remarque 2 2 2 2 3 2 5 7" xfId="11154" xr:uid="{00000000-0005-0000-0000-00003A0A0000}"/>
    <cellStyle name="Remarque 2 2 2 2 3 2 5 7 2" xfId="35164" xr:uid="{00000000-0005-0000-0000-00003B0A0000}"/>
    <cellStyle name="Remarque 2 2 2 2 3 2 5 7 2 2" xfId="59124" xr:uid="{00000000-0005-0000-0000-00003C0A0000}"/>
    <cellStyle name="Remarque 2 2 2 2 3 2 5 7 3" xfId="22421" xr:uid="{00000000-0005-0000-0000-00003D0A0000}"/>
    <cellStyle name="Remarque 2 2 2 2 3 2 5 7 4" xfId="46381" xr:uid="{00000000-0005-0000-0000-00003E0A0000}"/>
    <cellStyle name="Remarque 2 2 2 2 3 2 5 8" xfId="12055" xr:uid="{00000000-0005-0000-0000-00003F0A0000}"/>
    <cellStyle name="Remarque 2 2 2 2 3 2 5 8 2" xfId="23335" xr:uid="{00000000-0005-0000-0000-0000400A0000}"/>
    <cellStyle name="Remarque 2 2 2 2 3 2 5 8 3" xfId="47295" xr:uid="{00000000-0005-0000-0000-0000410A0000}"/>
    <cellStyle name="Remarque 2 2 2 2 3 2 5 9" xfId="2626" xr:uid="{00000000-0005-0000-0000-0000420A0000}"/>
    <cellStyle name="Remarque 2 2 2 2 3 2 5 9 2" xfId="26640" xr:uid="{00000000-0005-0000-0000-0000430A0000}"/>
    <cellStyle name="Remarque 2 2 2 2 3 2 5 9 3" xfId="50600" xr:uid="{00000000-0005-0000-0000-0000440A0000}"/>
    <cellStyle name="Remarque 2 2 2 2 3 2 6" xfId="1357" xr:uid="{00000000-0005-0000-0000-0000450A0000}"/>
    <cellStyle name="Remarque 2 2 2 2 3 2 6 10" xfId="25389" xr:uid="{00000000-0005-0000-0000-0000460A0000}"/>
    <cellStyle name="Remarque 2 2 2 2 3 2 6 10 2" xfId="49349" xr:uid="{00000000-0005-0000-0000-0000470A0000}"/>
    <cellStyle name="Remarque 2 2 2 2 3 2 6 11" xfId="36145" xr:uid="{00000000-0005-0000-0000-0000480A0000}"/>
    <cellStyle name="Remarque 2 2 2 2 3 2 6 11 2" xfId="60105" xr:uid="{00000000-0005-0000-0000-0000490A0000}"/>
    <cellStyle name="Remarque 2 2 2 2 3 2 6 12" xfId="14054" xr:uid="{00000000-0005-0000-0000-00004A0A0000}"/>
    <cellStyle name="Remarque 2 2 2 2 3 2 6 13" xfId="38014" xr:uid="{00000000-0005-0000-0000-00004B0A0000}"/>
    <cellStyle name="Remarque 2 2 2 2 3 2 6 2" xfId="4263" xr:uid="{00000000-0005-0000-0000-00004C0A0000}"/>
    <cellStyle name="Remarque 2 2 2 2 3 2 6 2 2" xfId="28277" xr:uid="{00000000-0005-0000-0000-00004D0A0000}"/>
    <cellStyle name="Remarque 2 2 2 2 3 2 6 2 2 2" xfId="52237" xr:uid="{00000000-0005-0000-0000-00004E0A0000}"/>
    <cellStyle name="Remarque 2 2 2 2 3 2 6 2 3" xfId="15524" xr:uid="{00000000-0005-0000-0000-00004F0A0000}"/>
    <cellStyle name="Remarque 2 2 2 2 3 2 6 2 4" xfId="39484" xr:uid="{00000000-0005-0000-0000-0000500A0000}"/>
    <cellStyle name="Remarque 2 2 2 2 3 2 6 3" xfId="5697" xr:uid="{00000000-0005-0000-0000-0000510A0000}"/>
    <cellStyle name="Remarque 2 2 2 2 3 2 6 3 2" xfId="29711" xr:uid="{00000000-0005-0000-0000-0000520A0000}"/>
    <cellStyle name="Remarque 2 2 2 2 3 2 6 3 2 2" xfId="53671" xr:uid="{00000000-0005-0000-0000-0000530A0000}"/>
    <cellStyle name="Remarque 2 2 2 2 3 2 6 3 3" xfId="16958" xr:uid="{00000000-0005-0000-0000-0000540A0000}"/>
    <cellStyle name="Remarque 2 2 2 2 3 2 6 3 4" xfId="40918" xr:uid="{00000000-0005-0000-0000-0000550A0000}"/>
    <cellStyle name="Remarque 2 2 2 2 3 2 6 4" xfId="7091" xr:uid="{00000000-0005-0000-0000-0000560A0000}"/>
    <cellStyle name="Remarque 2 2 2 2 3 2 6 4 2" xfId="31105" xr:uid="{00000000-0005-0000-0000-0000570A0000}"/>
    <cellStyle name="Remarque 2 2 2 2 3 2 6 4 2 2" xfId="55065" xr:uid="{00000000-0005-0000-0000-0000580A0000}"/>
    <cellStyle name="Remarque 2 2 2 2 3 2 6 4 3" xfId="18352" xr:uid="{00000000-0005-0000-0000-0000590A0000}"/>
    <cellStyle name="Remarque 2 2 2 2 3 2 6 4 4" xfId="42312" xr:uid="{00000000-0005-0000-0000-00005A0A0000}"/>
    <cellStyle name="Remarque 2 2 2 2 3 2 6 5" xfId="8479" xr:uid="{00000000-0005-0000-0000-00005B0A0000}"/>
    <cellStyle name="Remarque 2 2 2 2 3 2 6 5 2" xfId="32493" xr:uid="{00000000-0005-0000-0000-00005C0A0000}"/>
    <cellStyle name="Remarque 2 2 2 2 3 2 6 5 2 2" xfId="56453" xr:uid="{00000000-0005-0000-0000-00005D0A0000}"/>
    <cellStyle name="Remarque 2 2 2 2 3 2 6 5 3" xfId="19740" xr:uid="{00000000-0005-0000-0000-00005E0A0000}"/>
    <cellStyle name="Remarque 2 2 2 2 3 2 6 5 4" xfId="43700" xr:uid="{00000000-0005-0000-0000-00005F0A0000}"/>
    <cellStyle name="Remarque 2 2 2 2 3 2 6 6" xfId="9864" xr:uid="{00000000-0005-0000-0000-0000600A0000}"/>
    <cellStyle name="Remarque 2 2 2 2 3 2 6 6 2" xfId="33878" xr:uid="{00000000-0005-0000-0000-0000610A0000}"/>
    <cellStyle name="Remarque 2 2 2 2 3 2 6 6 2 2" xfId="57838" xr:uid="{00000000-0005-0000-0000-0000620A0000}"/>
    <cellStyle name="Remarque 2 2 2 2 3 2 6 6 3" xfId="21125" xr:uid="{00000000-0005-0000-0000-0000630A0000}"/>
    <cellStyle name="Remarque 2 2 2 2 3 2 6 6 4" xfId="45085" xr:uid="{00000000-0005-0000-0000-0000640A0000}"/>
    <cellStyle name="Remarque 2 2 2 2 3 2 6 7" xfId="11321" xr:uid="{00000000-0005-0000-0000-0000650A0000}"/>
    <cellStyle name="Remarque 2 2 2 2 3 2 6 7 2" xfId="35331" xr:uid="{00000000-0005-0000-0000-0000660A0000}"/>
    <cellStyle name="Remarque 2 2 2 2 3 2 6 7 2 2" xfId="59291" xr:uid="{00000000-0005-0000-0000-0000670A0000}"/>
    <cellStyle name="Remarque 2 2 2 2 3 2 6 7 3" xfId="22588" xr:uid="{00000000-0005-0000-0000-0000680A0000}"/>
    <cellStyle name="Remarque 2 2 2 2 3 2 6 7 4" xfId="46548" xr:uid="{00000000-0005-0000-0000-0000690A0000}"/>
    <cellStyle name="Remarque 2 2 2 2 3 2 6 8" xfId="11595" xr:uid="{00000000-0005-0000-0000-00006A0A0000}"/>
    <cellStyle name="Remarque 2 2 2 2 3 2 6 8 2" xfId="22862" xr:uid="{00000000-0005-0000-0000-00006B0A0000}"/>
    <cellStyle name="Remarque 2 2 2 2 3 2 6 8 3" xfId="46822" xr:uid="{00000000-0005-0000-0000-00006C0A0000}"/>
    <cellStyle name="Remarque 2 2 2 2 3 2 6 9" xfId="2793" xr:uid="{00000000-0005-0000-0000-00006D0A0000}"/>
    <cellStyle name="Remarque 2 2 2 2 3 2 6 9 2" xfId="26807" xr:uid="{00000000-0005-0000-0000-00006E0A0000}"/>
    <cellStyle name="Remarque 2 2 2 2 3 2 6 9 3" xfId="50767" xr:uid="{00000000-0005-0000-0000-00006F0A0000}"/>
    <cellStyle name="Remarque 2 2 2 2 3 2 7" xfId="1526" xr:uid="{00000000-0005-0000-0000-0000700A0000}"/>
    <cellStyle name="Remarque 2 2 2 2 3 2 7 10" xfId="25558" xr:uid="{00000000-0005-0000-0000-0000710A0000}"/>
    <cellStyle name="Remarque 2 2 2 2 3 2 7 10 2" xfId="49518" xr:uid="{00000000-0005-0000-0000-0000720A0000}"/>
    <cellStyle name="Remarque 2 2 2 2 3 2 7 11" xfId="34136" xr:uid="{00000000-0005-0000-0000-0000730A0000}"/>
    <cellStyle name="Remarque 2 2 2 2 3 2 7 11 2" xfId="58096" xr:uid="{00000000-0005-0000-0000-0000740A0000}"/>
    <cellStyle name="Remarque 2 2 2 2 3 2 7 12" xfId="14223" xr:uid="{00000000-0005-0000-0000-0000750A0000}"/>
    <cellStyle name="Remarque 2 2 2 2 3 2 7 13" xfId="38183" xr:uid="{00000000-0005-0000-0000-0000760A0000}"/>
    <cellStyle name="Remarque 2 2 2 2 3 2 7 2" xfId="4432" xr:uid="{00000000-0005-0000-0000-0000770A0000}"/>
    <cellStyle name="Remarque 2 2 2 2 3 2 7 2 2" xfId="28446" xr:uid="{00000000-0005-0000-0000-0000780A0000}"/>
    <cellStyle name="Remarque 2 2 2 2 3 2 7 2 2 2" xfId="52406" xr:uid="{00000000-0005-0000-0000-0000790A0000}"/>
    <cellStyle name="Remarque 2 2 2 2 3 2 7 2 3" xfId="15693" xr:uid="{00000000-0005-0000-0000-00007A0A0000}"/>
    <cellStyle name="Remarque 2 2 2 2 3 2 7 2 4" xfId="39653" xr:uid="{00000000-0005-0000-0000-00007B0A0000}"/>
    <cellStyle name="Remarque 2 2 2 2 3 2 7 3" xfId="5866" xr:uid="{00000000-0005-0000-0000-00007C0A0000}"/>
    <cellStyle name="Remarque 2 2 2 2 3 2 7 3 2" xfId="29880" xr:uid="{00000000-0005-0000-0000-00007D0A0000}"/>
    <cellStyle name="Remarque 2 2 2 2 3 2 7 3 2 2" xfId="53840" xr:uid="{00000000-0005-0000-0000-00007E0A0000}"/>
    <cellStyle name="Remarque 2 2 2 2 3 2 7 3 3" xfId="17127" xr:uid="{00000000-0005-0000-0000-00007F0A0000}"/>
    <cellStyle name="Remarque 2 2 2 2 3 2 7 3 4" xfId="41087" xr:uid="{00000000-0005-0000-0000-0000800A0000}"/>
    <cellStyle name="Remarque 2 2 2 2 3 2 7 4" xfId="7260" xr:uid="{00000000-0005-0000-0000-0000810A0000}"/>
    <cellStyle name="Remarque 2 2 2 2 3 2 7 4 2" xfId="31274" xr:uid="{00000000-0005-0000-0000-0000820A0000}"/>
    <cellStyle name="Remarque 2 2 2 2 3 2 7 4 2 2" xfId="55234" xr:uid="{00000000-0005-0000-0000-0000830A0000}"/>
    <cellStyle name="Remarque 2 2 2 2 3 2 7 4 3" xfId="18521" xr:uid="{00000000-0005-0000-0000-0000840A0000}"/>
    <cellStyle name="Remarque 2 2 2 2 3 2 7 4 4" xfId="42481" xr:uid="{00000000-0005-0000-0000-0000850A0000}"/>
    <cellStyle name="Remarque 2 2 2 2 3 2 7 5" xfId="8648" xr:uid="{00000000-0005-0000-0000-0000860A0000}"/>
    <cellStyle name="Remarque 2 2 2 2 3 2 7 5 2" xfId="32662" xr:uid="{00000000-0005-0000-0000-0000870A0000}"/>
    <cellStyle name="Remarque 2 2 2 2 3 2 7 5 2 2" xfId="56622" xr:uid="{00000000-0005-0000-0000-0000880A0000}"/>
    <cellStyle name="Remarque 2 2 2 2 3 2 7 5 3" xfId="19909" xr:uid="{00000000-0005-0000-0000-0000890A0000}"/>
    <cellStyle name="Remarque 2 2 2 2 3 2 7 5 4" xfId="43869" xr:uid="{00000000-0005-0000-0000-00008A0A0000}"/>
    <cellStyle name="Remarque 2 2 2 2 3 2 7 6" xfId="10033" xr:uid="{00000000-0005-0000-0000-00008B0A0000}"/>
    <cellStyle name="Remarque 2 2 2 2 3 2 7 6 2" xfId="34047" xr:uid="{00000000-0005-0000-0000-00008C0A0000}"/>
    <cellStyle name="Remarque 2 2 2 2 3 2 7 6 2 2" xfId="58007" xr:uid="{00000000-0005-0000-0000-00008D0A0000}"/>
    <cellStyle name="Remarque 2 2 2 2 3 2 7 6 3" xfId="21294" xr:uid="{00000000-0005-0000-0000-00008E0A0000}"/>
    <cellStyle name="Remarque 2 2 2 2 3 2 7 6 4" xfId="45254" xr:uid="{00000000-0005-0000-0000-00008F0A0000}"/>
    <cellStyle name="Remarque 2 2 2 2 3 2 7 7" xfId="11490" xr:uid="{00000000-0005-0000-0000-0000900A0000}"/>
    <cellStyle name="Remarque 2 2 2 2 3 2 7 7 2" xfId="35500" xr:uid="{00000000-0005-0000-0000-0000910A0000}"/>
    <cellStyle name="Remarque 2 2 2 2 3 2 7 7 2 2" xfId="59460" xr:uid="{00000000-0005-0000-0000-0000920A0000}"/>
    <cellStyle name="Remarque 2 2 2 2 3 2 7 7 3" xfId="22757" xr:uid="{00000000-0005-0000-0000-0000930A0000}"/>
    <cellStyle name="Remarque 2 2 2 2 3 2 7 7 4" xfId="46717" xr:uid="{00000000-0005-0000-0000-0000940A0000}"/>
    <cellStyle name="Remarque 2 2 2 2 3 2 7 8" xfId="11995" xr:uid="{00000000-0005-0000-0000-0000950A0000}"/>
    <cellStyle name="Remarque 2 2 2 2 3 2 7 8 2" xfId="23274" xr:uid="{00000000-0005-0000-0000-0000960A0000}"/>
    <cellStyle name="Remarque 2 2 2 2 3 2 7 8 3" xfId="47234" xr:uid="{00000000-0005-0000-0000-0000970A0000}"/>
    <cellStyle name="Remarque 2 2 2 2 3 2 7 9" xfId="2962" xr:uid="{00000000-0005-0000-0000-0000980A0000}"/>
    <cellStyle name="Remarque 2 2 2 2 3 2 7 9 2" xfId="26976" xr:uid="{00000000-0005-0000-0000-0000990A0000}"/>
    <cellStyle name="Remarque 2 2 2 2 3 2 7 9 3" xfId="50936" xr:uid="{00000000-0005-0000-0000-00009A0A0000}"/>
    <cellStyle name="Remarque 2 2 2 2 3 2 8" xfId="3381" xr:uid="{00000000-0005-0000-0000-00009B0A0000}"/>
    <cellStyle name="Remarque 2 2 2 2 3 2 8 2" xfId="27395" xr:uid="{00000000-0005-0000-0000-00009C0A0000}"/>
    <cellStyle name="Remarque 2 2 2 2 3 2 8 2 2" xfId="51355" xr:uid="{00000000-0005-0000-0000-00009D0A0000}"/>
    <cellStyle name="Remarque 2 2 2 2 3 2 8 3" xfId="14642" xr:uid="{00000000-0005-0000-0000-00009E0A0000}"/>
    <cellStyle name="Remarque 2 2 2 2 3 2 8 4" xfId="38602" xr:uid="{00000000-0005-0000-0000-00009F0A0000}"/>
    <cellStyle name="Remarque 2 2 2 2 3 2 9" xfId="4815" xr:uid="{00000000-0005-0000-0000-0000A00A0000}"/>
    <cellStyle name="Remarque 2 2 2 2 3 2 9 2" xfId="28829" xr:uid="{00000000-0005-0000-0000-0000A10A0000}"/>
    <cellStyle name="Remarque 2 2 2 2 3 2 9 2 2" xfId="52789" xr:uid="{00000000-0005-0000-0000-0000A20A0000}"/>
    <cellStyle name="Remarque 2 2 2 2 3 2 9 3" xfId="16076" xr:uid="{00000000-0005-0000-0000-0000A30A0000}"/>
    <cellStyle name="Remarque 2 2 2 2 3 2 9 4" xfId="40036" xr:uid="{00000000-0005-0000-0000-0000A40A0000}"/>
    <cellStyle name="Remarque 2 2 2 2 3 3" xfId="286" xr:uid="{00000000-0005-0000-0000-0000A50A0000}"/>
    <cellStyle name="Remarque 2 2 2 2 3 3 10" xfId="24318" xr:uid="{00000000-0005-0000-0000-0000A60A0000}"/>
    <cellStyle name="Remarque 2 2 2 2 3 3 10 2" xfId="48278" xr:uid="{00000000-0005-0000-0000-0000A70A0000}"/>
    <cellStyle name="Remarque 2 2 2 2 3 3 11" xfId="35934" xr:uid="{00000000-0005-0000-0000-0000A80A0000}"/>
    <cellStyle name="Remarque 2 2 2 2 3 3 11 2" xfId="59894" xr:uid="{00000000-0005-0000-0000-0000A90A0000}"/>
    <cellStyle name="Remarque 2 2 2 2 3 3 12" xfId="12983" xr:uid="{00000000-0005-0000-0000-0000AA0A0000}"/>
    <cellStyle name="Remarque 2 2 2 2 3 3 13" xfId="36943" xr:uid="{00000000-0005-0000-0000-0000AB0A0000}"/>
    <cellStyle name="Remarque 2 2 2 2 3 3 2" xfId="3192" xr:uid="{00000000-0005-0000-0000-0000AC0A0000}"/>
    <cellStyle name="Remarque 2 2 2 2 3 3 2 2" xfId="27206" xr:uid="{00000000-0005-0000-0000-0000AD0A0000}"/>
    <cellStyle name="Remarque 2 2 2 2 3 3 2 2 2" xfId="51166" xr:uid="{00000000-0005-0000-0000-0000AE0A0000}"/>
    <cellStyle name="Remarque 2 2 2 2 3 3 2 3" xfId="14453" xr:uid="{00000000-0005-0000-0000-0000AF0A0000}"/>
    <cellStyle name="Remarque 2 2 2 2 3 3 2 4" xfId="38413" xr:uid="{00000000-0005-0000-0000-0000B00A0000}"/>
    <cellStyle name="Remarque 2 2 2 2 3 3 3" xfId="4626" xr:uid="{00000000-0005-0000-0000-0000B10A0000}"/>
    <cellStyle name="Remarque 2 2 2 2 3 3 3 2" xfId="28640" xr:uid="{00000000-0005-0000-0000-0000B20A0000}"/>
    <cellStyle name="Remarque 2 2 2 2 3 3 3 2 2" xfId="52600" xr:uid="{00000000-0005-0000-0000-0000B30A0000}"/>
    <cellStyle name="Remarque 2 2 2 2 3 3 3 3" xfId="15887" xr:uid="{00000000-0005-0000-0000-0000B40A0000}"/>
    <cellStyle name="Remarque 2 2 2 2 3 3 3 4" xfId="39847" xr:uid="{00000000-0005-0000-0000-0000B50A0000}"/>
    <cellStyle name="Remarque 2 2 2 2 3 3 4" xfId="6020" xr:uid="{00000000-0005-0000-0000-0000B60A0000}"/>
    <cellStyle name="Remarque 2 2 2 2 3 3 4 2" xfId="30034" xr:uid="{00000000-0005-0000-0000-0000B70A0000}"/>
    <cellStyle name="Remarque 2 2 2 2 3 3 4 2 2" xfId="53994" xr:uid="{00000000-0005-0000-0000-0000B80A0000}"/>
    <cellStyle name="Remarque 2 2 2 2 3 3 4 3" xfId="17281" xr:uid="{00000000-0005-0000-0000-0000B90A0000}"/>
    <cellStyle name="Remarque 2 2 2 2 3 3 4 4" xfId="41241" xr:uid="{00000000-0005-0000-0000-0000BA0A0000}"/>
    <cellStyle name="Remarque 2 2 2 2 3 3 5" xfId="7408" xr:uid="{00000000-0005-0000-0000-0000BB0A0000}"/>
    <cellStyle name="Remarque 2 2 2 2 3 3 5 2" xfId="31422" xr:uid="{00000000-0005-0000-0000-0000BC0A0000}"/>
    <cellStyle name="Remarque 2 2 2 2 3 3 5 2 2" xfId="55382" xr:uid="{00000000-0005-0000-0000-0000BD0A0000}"/>
    <cellStyle name="Remarque 2 2 2 2 3 3 5 3" xfId="18669" xr:uid="{00000000-0005-0000-0000-0000BE0A0000}"/>
    <cellStyle name="Remarque 2 2 2 2 3 3 5 4" xfId="42629" xr:uid="{00000000-0005-0000-0000-0000BF0A0000}"/>
    <cellStyle name="Remarque 2 2 2 2 3 3 6" xfId="8793" xr:uid="{00000000-0005-0000-0000-0000C00A0000}"/>
    <cellStyle name="Remarque 2 2 2 2 3 3 6 2" xfId="32807" xr:uid="{00000000-0005-0000-0000-0000C10A0000}"/>
    <cellStyle name="Remarque 2 2 2 2 3 3 6 2 2" xfId="56767" xr:uid="{00000000-0005-0000-0000-0000C20A0000}"/>
    <cellStyle name="Remarque 2 2 2 2 3 3 6 3" xfId="20054" xr:uid="{00000000-0005-0000-0000-0000C30A0000}"/>
    <cellStyle name="Remarque 2 2 2 2 3 3 6 4" xfId="44014" xr:uid="{00000000-0005-0000-0000-0000C40A0000}"/>
    <cellStyle name="Remarque 2 2 2 2 3 3 7" xfId="10250" xr:uid="{00000000-0005-0000-0000-0000C50A0000}"/>
    <cellStyle name="Remarque 2 2 2 2 3 3 7 2" xfId="34260" xr:uid="{00000000-0005-0000-0000-0000C60A0000}"/>
    <cellStyle name="Remarque 2 2 2 2 3 3 7 2 2" xfId="58220" xr:uid="{00000000-0005-0000-0000-0000C70A0000}"/>
    <cellStyle name="Remarque 2 2 2 2 3 3 7 3" xfId="21517" xr:uid="{00000000-0005-0000-0000-0000C80A0000}"/>
    <cellStyle name="Remarque 2 2 2 2 3 3 7 4" xfId="45477" xr:uid="{00000000-0005-0000-0000-0000C90A0000}"/>
    <cellStyle name="Remarque 2 2 2 2 3 3 8" xfId="12138" xr:uid="{00000000-0005-0000-0000-0000CA0A0000}"/>
    <cellStyle name="Remarque 2 2 2 2 3 3 8 2" xfId="23421" xr:uid="{00000000-0005-0000-0000-0000CB0A0000}"/>
    <cellStyle name="Remarque 2 2 2 2 3 3 8 3" xfId="47381" xr:uid="{00000000-0005-0000-0000-0000CC0A0000}"/>
    <cellStyle name="Remarque 2 2 2 2 3 3 9" xfId="1722" xr:uid="{00000000-0005-0000-0000-0000CD0A0000}"/>
    <cellStyle name="Remarque 2 2 2 2 3 3 9 2" xfId="25736" xr:uid="{00000000-0005-0000-0000-0000CE0A0000}"/>
    <cellStyle name="Remarque 2 2 2 2 3 3 9 3" xfId="49696" xr:uid="{00000000-0005-0000-0000-0000CF0A0000}"/>
    <cellStyle name="Remarque 2 2 2 2 3 4" xfId="668" xr:uid="{00000000-0005-0000-0000-0000D00A0000}"/>
    <cellStyle name="Remarque 2 2 2 2 3 4 10" xfId="24700" xr:uid="{00000000-0005-0000-0000-0000D10A0000}"/>
    <cellStyle name="Remarque 2 2 2 2 3 4 10 2" xfId="48660" xr:uid="{00000000-0005-0000-0000-0000D20A0000}"/>
    <cellStyle name="Remarque 2 2 2 2 3 4 11" xfId="35591" xr:uid="{00000000-0005-0000-0000-0000D30A0000}"/>
    <cellStyle name="Remarque 2 2 2 2 3 4 11 2" xfId="59551" xr:uid="{00000000-0005-0000-0000-0000D40A0000}"/>
    <cellStyle name="Remarque 2 2 2 2 3 4 12" xfId="13365" xr:uid="{00000000-0005-0000-0000-0000D50A0000}"/>
    <cellStyle name="Remarque 2 2 2 2 3 4 13" xfId="37325" xr:uid="{00000000-0005-0000-0000-0000D60A0000}"/>
    <cellStyle name="Remarque 2 2 2 2 3 4 2" xfId="3574" xr:uid="{00000000-0005-0000-0000-0000D70A0000}"/>
    <cellStyle name="Remarque 2 2 2 2 3 4 2 2" xfId="27588" xr:uid="{00000000-0005-0000-0000-0000D80A0000}"/>
    <cellStyle name="Remarque 2 2 2 2 3 4 2 2 2" xfId="51548" xr:uid="{00000000-0005-0000-0000-0000D90A0000}"/>
    <cellStyle name="Remarque 2 2 2 2 3 4 2 3" xfId="14835" xr:uid="{00000000-0005-0000-0000-0000DA0A0000}"/>
    <cellStyle name="Remarque 2 2 2 2 3 4 2 4" xfId="38795" xr:uid="{00000000-0005-0000-0000-0000DB0A0000}"/>
    <cellStyle name="Remarque 2 2 2 2 3 4 3" xfId="5008" xr:uid="{00000000-0005-0000-0000-0000DC0A0000}"/>
    <cellStyle name="Remarque 2 2 2 2 3 4 3 2" xfId="29022" xr:uid="{00000000-0005-0000-0000-0000DD0A0000}"/>
    <cellStyle name="Remarque 2 2 2 2 3 4 3 2 2" xfId="52982" xr:uid="{00000000-0005-0000-0000-0000DE0A0000}"/>
    <cellStyle name="Remarque 2 2 2 2 3 4 3 3" xfId="16269" xr:uid="{00000000-0005-0000-0000-0000DF0A0000}"/>
    <cellStyle name="Remarque 2 2 2 2 3 4 3 4" xfId="40229" xr:uid="{00000000-0005-0000-0000-0000E00A0000}"/>
    <cellStyle name="Remarque 2 2 2 2 3 4 4" xfId="6402" xr:uid="{00000000-0005-0000-0000-0000E10A0000}"/>
    <cellStyle name="Remarque 2 2 2 2 3 4 4 2" xfId="30416" xr:uid="{00000000-0005-0000-0000-0000E20A0000}"/>
    <cellStyle name="Remarque 2 2 2 2 3 4 4 2 2" xfId="54376" xr:uid="{00000000-0005-0000-0000-0000E30A0000}"/>
    <cellStyle name="Remarque 2 2 2 2 3 4 4 3" xfId="17663" xr:uid="{00000000-0005-0000-0000-0000E40A0000}"/>
    <cellStyle name="Remarque 2 2 2 2 3 4 4 4" xfId="41623" xr:uid="{00000000-0005-0000-0000-0000E50A0000}"/>
    <cellStyle name="Remarque 2 2 2 2 3 4 5" xfId="7790" xr:uid="{00000000-0005-0000-0000-0000E60A0000}"/>
    <cellStyle name="Remarque 2 2 2 2 3 4 5 2" xfId="31804" xr:uid="{00000000-0005-0000-0000-0000E70A0000}"/>
    <cellStyle name="Remarque 2 2 2 2 3 4 5 2 2" xfId="55764" xr:uid="{00000000-0005-0000-0000-0000E80A0000}"/>
    <cellStyle name="Remarque 2 2 2 2 3 4 5 3" xfId="19051" xr:uid="{00000000-0005-0000-0000-0000E90A0000}"/>
    <cellStyle name="Remarque 2 2 2 2 3 4 5 4" xfId="43011" xr:uid="{00000000-0005-0000-0000-0000EA0A0000}"/>
    <cellStyle name="Remarque 2 2 2 2 3 4 6" xfId="9175" xr:uid="{00000000-0005-0000-0000-0000EB0A0000}"/>
    <cellStyle name="Remarque 2 2 2 2 3 4 6 2" xfId="33189" xr:uid="{00000000-0005-0000-0000-0000EC0A0000}"/>
    <cellStyle name="Remarque 2 2 2 2 3 4 6 2 2" xfId="57149" xr:uid="{00000000-0005-0000-0000-0000ED0A0000}"/>
    <cellStyle name="Remarque 2 2 2 2 3 4 6 3" xfId="20436" xr:uid="{00000000-0005-0000-0000-0000EE0A0000}"/>
    <cellStyle name="Remarque 2 2 2 2 3 4 6 4" xfId="44396" xr:uid="{00000000-0005-0000-0000-0000EF0A0000}"/>
    <cellStyle name="Remarque 2 2 2 2 3 4 7" xfId="10632" xr:uid="{00000000-0005-0000-0000-0000F00A0000}"/>
    <cellStyle name="Remarque 2 2 2 2 3 4 7 2" xfId="34642" xr:uid="{00000000-0005-0000-0000-0000F10A0000}"/>
    <cellStyle name="Remarque 2 2 2 2 3 4 7 2 2" xfId="58602" xr:uid="{00000000-0005-0000-0000-0000F20A0000}"/>
    <cellStyle name="Remarque 2 2 2 2 3 4 7 3" xfId="21899" xr:uid="{00000000-0005-0000-0000-0000F30A0000}"/>
    <cellStyle name="Remarque 2 2 2 2 3 4 7 4" xfId="45859" xr:uid="{00000000-0005-0000-0000-0000F40A0000}"/>
    <cellStyle name="Remarque 2 2 2 2 3 4 8" xfId="12409" xr:uid="{00000000-0005-0000-0000-0000F50A0000}"/>
    <cellStyle name="Remarque 2 2 2 2 3 4 8 2" xfId="23700" xr:uid="{00000000-0005-0000-0000-0000F60A0000}"/>
    <cellStyle name="Remarque 2 2 2 2 3 4 8 3" xfId="47660" xr:uid="{00000000-0005-0000-0000-0000F70A0000}"/>
    <cellStyle name="Remarque 2 2 2 2 3 4 9" xfId="2104" xr:uid="{00000000-0005-0000-0000-0000F80A0000}"/>
    <cellStyle name="Remarque 2 2 2 2 3 4 9 2" xfId="26118" xr:uid="{00000000-0005-0000-0000-0000F90A0000}"/>
    <cellStyle name="Remarque 2 2 2 2 3 4 9 3" xfId="50078" xr:uid="{00000000-0005-0000-0000-0000FA0A0000}"/>
    <cellStyle name="Remarque 2 2 2 2 3 5" xfId="862" xr:uid="{00000000-0005-0000-0000-0000FB0A0000}"/>
    <cellStyle name="Remarque 2 2 2 2 3 5 10" xfId="24894" xr:uid="{00000000-0005-0000-0000-0000FC0A0000}"/>
    <cellStyle name="Remarque 2 2 2 2 3 5 10 2" xfId="48854" xr:uid="{00000000-0005-0000-0000-0000FD0A0000}"/>
    <cellStyle name="Remarque 2 2 2 2 3 5 11" xfId="35868" xr:uid="{00000000-0005-0000-0000-0000FE0A0000}"/>
    <cellStyle name="Remarque 2 2 2 2 3 5 11 2" xfId="59828" xr:uid="{00000000-0005-0000-0000-0000FF0A0000}"/>
    <cellStyle name="Remarque 2 2 2 2 3 5 12" xfId="13559" xr:uid="{00000000-0005-0000-0000-0000000B0000}"/>
    <cellStyle name="Remarque 2 2 2 2 3 5 13" xfId="37519" xr:uid="{00000000-0005-0000-0000-0000010B0000}"/>
    <cellStyle name="Remarque 2 2 2 2 3 5 2" xfId="3768" xr:uid="{00000000-0005-0000-0000-0000020B0000}"/>
    <cellStyle name="Remarque 2 2 2 2 3 5 2 2" xfId="27782" xr:uid="{00000000-0005-0000-0000-0000030B0000}"/>
    <cellStyle name="Remarque 2 2 2 2 3 5 2 2 2" xfId="51742" xr:uid="{00000000-0005-0000-0000-0000040B0000}"/>
    <cellStyle name="Remarque 2 2 2 2 3 5 2 3" xfId="15029" xr:uid="{00000000-0005-0000-0000-0000050B0000}"/>
    <cellStyle name="Remarque 2 2 2 2 3 5 2 4" xfId="38989" xr:uid="{00000000-0005-0000-0000-0000060B0000}"/>
    <cellStyle name="Remarque 2 2 2 2 3 5 3" xfId="5202" xr:uid="{00000000-0005-0000-0000-0000070B0000}"/>
    <cellStyle name="Remarque 2 2 2 2 3 5 3 2" xfId="29216" xr:uid="{00000000-0005-0000-0000-0000080B0000}"/>
    <cellStyle name="Remarque 2 2 2 2 3 5 3 2 2" xfId="53176" xr:uid="{00000000-0005-0000-0000-0000090B0000}"/>
    <cellStyle name="Remarque 2 2 2 2 3 5 3 3" xfId="16463" xr:uid="{00000000-0005-0000-0000-00000A0B0000}"/>
    <cellStyle name="Remarque 2 2 2 2 3 5 3 4" xfId="40423" xr:uid="{00000000-0005-0000-0000-00000B0B0000}"/>
    <cellStyle name="Remarque 2 2 2 2 3 5 4" xfId="6596" xr:uid="{00000000-0005-0000-0000-00000C0B0000}"/>
    <cellStyle name="Remarque 2 2 2 2 3 5 4 2" xfId="30610" xr:uid="{00000000-0005-0000-0000-00000D0B0000}"/>
    <cellStyle name="Remarque 2 2 2 2 3 5 4 2 2" xfId="54570" xr:uid="{00000000-0005-0000-0000-00000E0B0000}"/>
    <cellStyle name="Remarque 2 2 2 2 3 5 4 3" xfId="17857" xr:uid="{00000000-0005-0000-0000-00000F0B0000}"/>
    <cellStyle name="Remarque 2 2 2 2 3 5 4 4" xfId="41817" xr:uid="{00000000-0005-0000-0000-0000100B0000}"/>
    <cellStyle name="Remarque 2 2 2 2 3 5 5" xfId="7984" xr:uid="{00000000-0005-0000-0000-0000110B0000}"/>
    <cellStyle name="Remarque 2 2 2 2 3 5 5 2" xfId="31998" xr:uid="{00000000-0005-0000-0000-0000120B0000}"/>
    <cellStyle name="Remarque 2 2 2 2 3 5 5 2 2" xfId="55958" xr:uid="{00000000-0005-0000-0000-0000130B0000}"/>
    <cellStyle name="Remarque 2 2 2 2 3 5 5 3" xfId="19245" xr:uid="{00000000-0005-0000-0000-0000140B0000}"/>
    <cellStyle name="Remarque 2 2 2 2 3 5 5 4" xfId="43205" xr:uid="{00000000-0005-0000-0000-0000150B0000}"/>
    <cellStyle name="Remarque 2 2 2 2 3 5 6" xfId="9369" xr:uid="{00000000-0005-0000-0000-0000160B0000}"/>
    <cellStyle name="Remarque 2 2 2 2 3 5 6 2" xfId="33383" xr:uid="{00000000-0005-0000-0000-0000170B0000}"/>
    <cellStyle name="Remarque 2 2 2 2 3 5 6 2 2" xfId="57343" xr:uid="{00000000-0005-0000-0000-0000180B0000}"/>
    <cellStyle name="Remarque 2 2 2 2 3 5 6 3" xfId="20630" xr:uid="{00000000-0005-0000-0000-0000190B0000}"/>
    <cellStyle name="Remarque 2 2 2 2 3 5 6 4" xfId="44590" xr:uid="{00000000-0005-0000-0000-00001A0B0000}"/>
    <cellStyle name="Remarque 2 2 2 2 3 5 7" xfId="10826" xr:uid="{00000000-0005-0000-0000-00001B0B0000}"/>
    <cellStyle name="Remarque 2 2 2 2 3 5 7 2" xfId="34836" xr:uid="{00000000-0005-0000-0000-00001C0B0000}"/>
    <cellStyle name="Remarque 2 2 2 2 3 5 7 2 2" xfId="58796" xr:uid="{00000000-0005-0000-0000-00001D0B0000}"/>
    <cellStyle name="Remarque 2 2 2 2 3 5 7 3" xfId="22093" xr:uid="{00000000-0005-0000-0000-00001E0B0000}"/>
    <cellStyle name="Remarque 2 2 2 2 3 5 7 4" xfId="46053" xr:uid="{00000000-0005-0000-0000-00001F0B0000}"/>
    <cellStyle name="Remarque 2 2 2 2 3 5 8" xfId="12889" xr:uid="{00000000-0005-0000-0000-0000200B0000}"/>
    <cellStyle name="Remarque 2 2 2 2 3 5 8 2" xfId="24201" xr:uid="{00000000-0005-0000-0000-0000210B0000}"/>
    <cellStyle name="Remarque 2 2 2 2 3 5 8 3" xfId="48161" xr:uid="{00000000-0005-0000-0000-0000220B0000}"/>
    <cellStyle name="Remarque 2 2 2 2 3 5 9" xfId="2298" xr:uid="{00000000-0005-0000-0000-0000230B0000}"/>
    <cellStyle name="Remarque 2 2 2 2 3 5 9 2" xfId="26312" xr:uid="{00000000-0005-0000-0000-0000240B0000}"/>
    <cellStyle name="Remarque 2 2 2 2 3 5 9 3" xfId="50272" xr:uid="{00000000-0005-0000-0000-0000250B0000}"/>
    <cellStyle name="Remarque 2 2 2 2 3 6" xfId="1055" xr:uid="{00000000-0005-0000-0000-0000260B0000}"/>
    <cellStyle name="Remarque 2 2 2 2 3 6 10" xfId="25087" xr:uid="{00000000-0005-0000-0000-0000270B0000}"/>
    <cellStyle name="Remarque 2 2 2 2 3 6 10 2" xfId="49047" xr:uid="{00000000-0005-0000-0000-0000280B0000}"/>
    <cellStyle name="Remarque 2 2 2 2 3 6 11" xfId="36501" xr:uid="{00000000-0005-0000-0000-0000290B0000}"/>
    <cellStyle name="Remarque 2 2 2 2 3 6 11 2" xfId="60461" xr:uid="{00000000-0005-0000-0000-00002A0B0000}"/>
    <cellStyle name="Remarque 2 2 2 2 3 6 12" xfId="13752" xr:uid="{00000000-0005-0000-0000-00002B0B0000}"/>
    <cellStyle name="Remarque 2 2 2 2 3 6 13" xfId="37712" xr:uid="{00000000-0005-0000-0000-00002C0B0000}"/>
    <cellStyle name="Remarque 2 2 2 2 3 6 2" xfId="3961" xr:uid="{00000000-0005-0000-0000-00002D0B0000}"/>
    <cellStyle name="Remarque 2 2 2 2 3 6 2 2" xfId="27975" xr:uid="{00000000-0005-0000-0000-00002E0B0000}"/>
    <cellStyle name="Remarque 2 2 2 2 3 6 2 2 2" xfId="51935" xr:uid="{00000000-0005-0000-0000-00002F0B0000}"/>
    <cellStyle name="Remarque 2 2 2 2 3 6 2 3" xfId="15222" xr:uid="{00000000-0005-0000-0000-0000300B0000}"/>
    <cellStyle name="Remarque 2 2 2 2 3 6 2 4" xfId="39182" xr:uid="{00000000-0005-0000-0000-0000310B0000}"/>
    <cellStyle name="Remarque 2 2 2 2 3 6 3" xfId="5395" xr:uid="{00000000-0005-0000-0000-0000320B0000}"/>
    <cellStyle name="Remarque 2 2 2 2 3 6 3 2" xfId="29409" xr:uid="{00000000-0005-0000-0000-0000330B0000}"/>
    <cellStyle name="Remarque 2 2 2 2 3 6 3 2 2" xfId="53369" xr:uid="{00000000-0005-0000-0000-0000340B0000}"/>
    <cellStyle name="Remarque 2 2 2 2 3 6 3 3" xfId="16656" xr:uid="{00000000-0005-0000-0000-0000350B0000}"/>
    <cellStyle name="Remarque 2 2 2 2 3 6 3 4" xfId="40616" xr:uid="{00000000-0005-0000-0000-0000360B0000}"/>
    <cellStyle name="Remarque 2 2 2 2 3 6 4" xfId="6789" xr:uid="{00000000-0005-0000-0000-0000370B0000}"/>
    <cellStyle name="Remarque 2 2 2 2 3 6 4 2" xfId="30803" xr:uid="{00000000-0005-0000-0000-0000380B0000}"/>
    <cellStyle name="Remarque 2 2 2 2 3 6 4 2 2" xfId="54763" xr:uid="{00000000-0005-0000-0000-0000390B0000}"/>
    <cellStyle name="Remarque 2 2 2 2 3 6 4 3" xfId="18050" xr:uid="{00000000-0005-0000-0000-00003A0B0000}"/>
    <cellStyle name="Remarque 2 2 2 2 3 6 4 4" xfId="42010" xr:uid="{00000000-0005-0000-0000-00003B0B0000}"/>
    <cellStyle name="Remarque 2 2 2 2 3 6 5" xfId="8177" xr:uid="{00000000-0005-0000-0000-00003C0B0000}"/>
    <cellStyle name="Remarque 2 2 2 2 3 6 5 2" xfId="32191" xr:uid="{00000000-0005-0000-0000-00003D0B0000}"/>
    <cellStyle name="Remarque 2 2 2 2 3 6 5 2 2" xfId="56151" xr:uid="{00000000-0005-0000-0000-00003E0B0000}"/>
    <cellStyle name="Remarque 2 2 2 2 3 6 5 3" xfId="19438" xr:uid="{00000000-0005-0000-0000-00003F0B0000}"/>
    <cellStyle name="Remarque 2 2 2 2 3 6 5 4" xfId="43398" xr:uid="{00000000-0005-0000-0000-0000400B0000}"/>
    <cellStyle name="Remarque 2 2 2 2 3 6 6" xfId="9562" xr:uid="{00000000-0005-0000-0000-0000410B0000}"/>
    <cellStyle name="Remarque 2 2 2 2 3 6 6 2" xfId="33576" xr:uid="{00000000-0005-0000-0000-0000420B0000}"/>
    <cellStyle name="Remarque 2 2 2 2 3 6 6 2 2" xfId="57536" xr:uid="{00000000-0005-0000-0000-0000430B0000}"/>
    <cellStyle name="Remarque 2 2 2 2 3 6 6 3" xfId="20823" xr:uid="{00000000-0005-0000-0000-0000440B0000}"/>
    <cellStyle name="Remarque 2 2 2 2 3 6 6 4" xfId="44783" xr:uid="{00000000-0005-0000-0000-0000450B0000}"/>
    <cellStyle name="Remarque 2 2 2 2 3 6 7" xfId="11019" xr:uid="{00000000-0005-0000-0000-0000460B0000}"/>
    <cellStyle name="Remarque 2 2 2 2 3 6 7 2" xfId="35029" xr:uid="{00000000-0005-0000-0000-0000470B0000}"/>
    <cellStyle name="Remarque 2 2 2 2 3 6 7 2 2" xfId="58989" xr:uid="{00000000-0005-0000-0000-0000480B0000}"/>
    <cellStyle name="Remarque 2 2 2 2 3 6 7 3" xfId="22286" xr:uid="{00000000-0005-0000-0000-0000490B0000}"/>
    <cellStyle name="Remarque 2 2 2 2 3 6 7 4" xfId="46246" xr:uid="{00000000-0005-0000-0000-00004A0B0000}"/>
    <cellStyle name="Remarque 2 2 2 2 3 6 8" xfId="12759" xr:uid="{00000000-0005-0000-0000-00004B0B0000}"/>
    <cellStyle name="Remarque 2 2 2 2 3 6 8 2" xfId="24066" xr:uid="{00000000-0005-0000-0000-00004C0B0000}"/>
    <cellStyle name="Remarque 2 2 2 2 3 6 8 3" xfId="48026" xr:uid="{00000000-0005-0000-0000-00004D0B0000}"/>
    <cellStyle name="Remarque 2 2 2 2 3 6 9" xfId="2491" xr:uid="{00000000-0005-0000-0000-00004E0B0000}"/>
    <cellStyle name="Remarque 2 2 2 2 3 6 9 2" xfId="26505" xr:uid="{00000000-0005-0000-0000-00004F0B0000}"/>
    <cellStyle name="Remarque 2 2 2 2 3 6 9 3" xfId="50465" xr:uid="{00000000-0005-0000-0000-0000500B0000}"/>
    <cellStyle name="Remarque 2 2 2 2 3 7" xfId="1391" xr:uid="{00000000-0005-0000-0000-0000510B0000}"/>
    <cellStyle name="Remarque 2 2 2 2 3 7 10" xfId="25423" xr:uid="{00000000-0005-0000-0000-0000520B0000}"/>
    <cellStyle name="Remarque 2 2 2 2 3 7 10 2" xfId="49383" xr:uid="{00000000-0005-0000-0000-0000530B0000}"/>
    <cellStyle name="Remarque 2 2 2 2 3 7 11" xfId="36742" xr:uid="{00000000-0005-0000-0000-0000540B0000}"/>
    <cellStyle name="Remarque 2 2 2 2 3 7 11 2" xfId="60702" xr:uid="{00000000-0005-0000-0000-0000550B0000}"/>
    <cellStyle name="Remarque 2 2 2 2 3 7 12" xfId="14088" xr:uid="{00000000-0005-0000-0000-0000560B0000}"/>
    <cellStyle name="Remarque 2 2 2 2 3 7 13" xfId="38048" xr:uid="{00000000-0005-0000-0000-0000570B0000}"/>
    <cellStyle name="Remarque 2 2 2 2 3 7 2" xfId="4297" xr:uid="{00000000-0005-0000-0000-0000580B0000}"/>
    <cellStyle name="Remarque 2 2 2 2 3 7 2 2" xfId="28311" xr:uid="{00000000-0005-0000-0000-0000590B0000}"/>
    <cellStyle name="Remarque 2 2 2 2 3 7 2 2 2" xfId="52271" xr:uid="{00000000-0005-0000-0000-00005A0B0000}"/>
    <cellStyle name="Remarque 2 2 2 2 3 7 2 3" xfId="15558" xr:uid="{00000000-0005-0000-0000-00005B0B0000}"/>
    <cellStyle name="Remarque 2 2 2 2 3 7 2 4" xfId="39518" xr:uid="{00000000-0005-0000-0000-00005C0B0000}"/>
    <cellStyle name="Remarque 2 2 2 2 3 7 3" xfId="5731" xr:uid="{00000000-0005-0000-0000-00005D0B0000}"/>
    <cellStyle name="Remarque 2 2 2 2 3 7 3 2" xfId="29745" xr:uid="{00000000-0005-0000-0000-00005E0B0000}"/>
    <cellStyle name="Remarque 2 2 2 2 3 7 3 2 2" xfId="53705" xr:uid="{00000000-0005-0000-0000-00005F0B0000}"/>
    <cellStyle name="Remarque 2 2 2 2 3 7 3 3" xfId="16992" xr:uid="{00000000-0005-0000-0000-0000600B0000}"/>
    <cellStyle name="Remarque 2 2 2 2 3 7 3 4" xfId="40952" xr:uid="{00000000-0005-0000-0000-0000610B0000}"/>
    <cellStyle name="Remarque 2 2 2 2 3 7 4" xfId="7125" xr:uid="{00000000-0005-0000-0000-0000620B0000}"/>
    <cellStyle name="Remarque 2 2 2 2 3 7 4 2" xfId="31139" xr:uid="{00000000-0005-0000-0000-0000630B0000}"/>
    <cellStyle name="Remarque 2 2 2 2 3 7 4 2 2" xfId="55099" xr:uid="{00000000-0005-0000-0000-0000640B0000}"/>
    <cellStyle name="Remarque 2 2 2 2 3 7 4 3" xfId="18386" xr:uid="{00000000-0005-0000-0000-0000650B0000}"/>
    <cellStyle name="Remarque 2 2 2 2 3 7 4 4" xfId="42346" xr:uid="{00000000-0005-0000-0000-0000660B0000}"/>
    <cellStyle name="Remarque 2 2 2 2 3 7 5" xfId="8513" xr:uid="{00000000-0005-0000-0000-0000670B0000}"/>
    <cellStyle name="Remarque 2 2 2 2 3 7 5 2" xfId="32527" xr:uid="{00000000-0005-0000-0000-0000680B0000}"/>
    <cellStyle name="Remarque 2 2 2 2 3 7 5 2 2" xfId="56487" xr:uid="{00000000-0005-0000-0000-0000690B0000}"/>
    <cellStyle name="Remarque 2 2 2 2 3 7 5 3" xfId="19774" xr:uid="{00000000-0005-0000-0000-00006A0B0000}"/>
    <cellStyle name="Remarque 2 2 2 2 3 7 5 4" xfId="43734" xr:uid="{00000000-0005-0000-0000-00006B0B0000}"/>
    <cellStyle name="Remarque 2 2 2 2 3 7 6" xfId="9898" xr:uid="{00000000-0005-0000-0000-00006C0B0000}"/>
    <cellStyle name="Remarque 2 2 2 2 3 7 6 2" xfId="33912" xr:uid="{00000000-0005-0000-0000-00006D0B0000}"/>
    <cellStyle name="Remarque 2 2 2 2 3 7 6 2 2" xfId="57872" xr:uid="{00000000-0005-0000-0000-00006E0B0000}"/>
    <cellStyle name="Remarque 2 2 2 2 3 7 6 3" xfId="21159" xr:uid="{00000000-0005-0000-0000-00006F0B0000}"/>
    <cellStyle name="Remarque 2 2 2 2 3 7 6 4" xfId="45119" xr:uid="{00000000-0005-0000-0000-0000700B0000}"/>
    <cellStyle name="Remarque 2 2 2 2 3 7 7" xfId="11355" xr:uid="{00000000-0005-0000-0000-0000710B0000}"/>
    <cellStyle name="Remarque 2 2 2 2 3 7 7 2" xfId="35365" xr:uid="{00000000-0005-0000-0000-0000720B0000}"/>
    <cellStyle name="Remarque 2 2 2 2 3 7 7 2 2" xfId="59325" xr:uid="{00000000-0005-0000-0000-0000730B0000}"/>
    <cellStyle name="Remarque 2 2 2 2 3 7 7 3" xfId="22622" xr:uid="{00000000-0005-0000-0000-0000740B0000}"/>
    <cellStyle name="Remarque 2 2 2 2 3 7 7 4" xfId="46582" xr:uid="{00000000-0005-0000-0000-0000750B0000}"/>
    <cellStyle name="Remarque 2 2 2 2 3 7 8" xfId="12708" xr:uid="{00000000-0005-0000-0000-0000760B0000}"/>
    <cellStyle name="Remarque 2 2 2 2 3 7 8 2" xfId="24013" xr:uid="{00000000-0005-0000-0000-0000770B0000}"/>
    <cellStyle name="Remarque 2 2 2 2 3 7 8 3" xfId="47973" xr:uid="{00000000-0005-0000-0000-0000780B0000}"/>
    <cellStyle name="Remarque 2 2 2 2 3 7 9" xfId="2827" xr:uid="{00000000-0005-0000-0000-0000790B0000}"/>
    <cellStyle name="Remarque 2 2 2 2 3 7 9 2" xfId="26841" xr:uid="{00000000-0005-0000-0000-00007A0B0000}"/>
    <cellStyle name="Remarque 2 2 2 2 3 7 9 3" xfId="50801" xr:uid="{00000000-0005-0000-0000-00007B0B0000}"/>
    <cellStyle name="Remarque 2 2 2 2 3 8" xfId="3147" xr:uid="{00000000-0005-0000-0000-00007C0B0000}"/>
    <cellStyle name="Remarque 2 2 2 2 3 8 2" xfId="27161" xr:uid="{00000000-0005-0000-0000-00007D0B0000}"/>
    <cellStyle name="Remarque 2 2 2 2 3 8 2 2" xfId="51121" xr:uid="{00000000-0005-0000-0000-00007E0B0000}"/>
    <cellStyle name="Remarque 2 2 2 2 3 8 3" xfId="14408" xr:uid="{00000000-0005-0000-0000-00007F0B0000}"/>
    <cellStyle name="Remarque 2 2 2 2 3 8 4" xfId="38368" xr:uid="{00000000-0005-0000-0000-0000800B0000}"/>
    <cellStyle name="Remarque 2 2 2 2 3 9" xfId="1677" xr:uid="{00000000-0005-0000-0000-0000810B0000}"/>
    <cellStyle name="Remarque 2 2 2 2 3 9 2" xfId="25691" xr:uid="{00000000-0005-0000-0000-0000820B0000}"/>
    <cellStyle name="Remarque 2 2 2 2 3 9 3" xfId="49651" xr:uid="{00000000-0005-0000-0000-0000830B0000}"/>
    <cellStyle name="Remarque 2 2 2 2 4" xfId="137" xr:uid="{00000000-0005-0000-0000-0000840B0000}"/>
    <cellStyle name="Remarque 2 2 2 2 4 10" xfId="6133" xr:uid="{00000000-0005-0000-0000-0000850B0000}"/>
    <cellStyle name="Remarque 2 2 2 2 4 10 2" xfId="30147" xr:uid="{00000000-0005-0000-0000-0000860B0000}"/>
    <cellStyle name="Remarque 2 2 2 2 4 10 2 2" xfId="54107" xr:uid="{00000000-0005-0000-0000-0000870B0000}"/>
    <cellStyle name="Remarque 2 2 2 2 4 10 3" xfId="17394" xr:uid="{00000000-0005-0000-0000-0000880B0000}"/>
    <cellStyle name="Remarque 2 2 2 2 4 10 4" xfId="41354" xr:uid="{00000000-0005-0000-0000-0000890B0000}"/>
    <cellStyle name="Remarque 2 2 2 2 4 11" xfId="7521" xr:uid="{00000000-0005-0000-0000-00008A0B0000}"/>
    <cellStyle name="Remarque 2 2 2 2 4 11 2" xfId="31535" xr:uid="{00000000-0005-0000-0000-00008B0B0000}"/>
    <cellStyle name="Remarque 2 2 2 2 4 11 2 2" xfId="55495" xr:uid="{00000000-0005-0000-0000-00008C0B0000}"/>
    <cellStyle name="Remarque 2 2 2 2 4 11 3" xfId="18782" xr:uid="{00000000-0005-0000-0000-00008D0B0000}"/>
    <cellStyle name="Remarque 2 2 2 2 4 11 4" xfId="42742" xr:uid="{00000000-0005-0000-0000-00008E0B0000}"/>
    <cellStyle name="Remarque 2 2 2 2 4 12" xfId="8906" xr:uid="{00000000-0005-0000-0000-00008F0B0000}"/>
    <cellStyle name="Remarque 2 2 2 2 4 12 2" xfId="32920" xr:uid="{00000000-0005-0000-0000-0000900B0000}"/>
    <cellStyle name="Remarque 2 2 2 2 4 12 2 2" xfId="56880" xr:uid="{00000000-0005-0000-0000-0000910B0000}"/>
    <cellStyle name="Remarque 2 2 2 2 4 12 3" xfId="20167" xr:uid="{00000000-0005-0000-0000-0000920B0000}"/>
    <cellStyle name="Remarque 2 2 2 2 4 12 4" xfId="44127" xr:uid="{00000000-0005-0000-0000-0000930B0000}"/>
    <cellStyle name="Remarque 2 2 2 2 4 13" xfId="10363" xr:uid="{00000000-0005-0000-0000-0000940B0000}"/>
    <cellStyle name="Remarque 2 2 2 2 4 13 2" xfId="34373" xr:uid="{00000000-0005-0000-0000-0000950B0000}"/>
    <cellStyle name="Remarque 2 2 2 2 4 13 2 2" xfId="58333" xr:uid="{00000000-0005-0000-0000-0000960B0000}"/>
    <cellStyle name="Remarque 2 2 2 2 4 13 3" xfId="21630" xr:uid="{00000000-0005-0000-0000-0000970B0000}"/>
    <cellStyle name="Remarque 2 2 2 2 4 13 4" xfId="45590" xr:uid="{00000000-0005-0000-0000-0000980B0000}"/>
    <cellStyle name="Remarque 2 2 2 2 4 14" xfId="12646" xr:uid="{00000000-0005-0000-0000-0000990B0000}"/>
    <cellStyle name="Remarque 2 2 2 2 4 14 2" xfId="23951" xr:uid="{00000000-0005-0000-0000-00009A0B0000}"/>
    <cellStyle name="Remarque 2 2 2 2 4 14 3" xfId="47911" xr:uid="{00000000-0005-0000-0000-00009B0B0000}"/>
    <cellStyle name="Remarque 2 2 2 2 4 15" xfId="1835" xr:uid="{00000000-0005-0000-0000-00009C0B0000}"/>
    <cellStyle name="Remarque 2 2 2 2 4 15 2" xfId="25849" xr:uid="{00000000-0005-0000-0000-00009D0B0000}"/>
    <cellStyle name="Remarque 2 2 2 2 4 15 3" xfId="49809" xr:uid="{00000000-0005-0000-0000-00009E0B0000}"/>
    <cellStyle name="Remarque 2 2 2 2 4 16" xfId="24431" xr:uid="{00000000-0005-0000-0000-00009F0B0000}"/>
    <cellStyle name="Remarque 2 2 2 2 4 16 2" xfId="48391" xr:uid="{00000000-0005-0000-0000-0000A00B0000}"/>
    <cellStyle name="Remarque 2 2 2 2 4 17" xfId="36420" xr:uid="{00000000-0005-0000-0000-0000A10B0000}"/>
    <cellStyle name="Remarque 2 2 2 2 4 17 2" xfId="60380" xr:uid="{00000000-0005-0000-0000-0000A20B0000}"/>
    <cellStyle name="Remarque 2 2 2 2 4 18" xfId="13096" xr:uid="{00000000-0005-0000-0000-0000A30B0000}"/>
    <cellStyle name="Remarque 2 2 2 2 4 19" xfId="37056" xr:uid="{00000000-0005-0000-0000-0000A40B0000}"/>
    <cellStyle name="Remarque 2 2 2 2 4 2" xfId="535" xr:uid="{00000000-0005-0000-0000-0000A50B0000}"/>
    <cellStyle name="Remarque 2 2 2 2 4 2 10" xfId="24567" xr:uid="{00000000-0005-0000-0000-0000A60B0000}"/>
    <cellStyle name="Remarque 2 2 2 2 4 2 10 2" xfId="48527" xr:uid="{00000000-0005-0000-0000-0000A70B0000}"/>
    <cellStyle name="Remarque 2 2 2 2 4 2 11" xfId="35693" xr:uid="{00000000-0005-0000-0000-0000A80B0000}"/>
    <cellStyle name="Remarque 2 2 2 2 4 2 11 2" xfId="59653" xr:uid="{00000000-0005-0000-0000-0000A90B0000}"/>
    <cellStyle name="Remarque 2 2 2 2 4 2 12" xfId="13232" xr:uid="{00000000-0005-0000-0000-0000AA0B0000}"/>
    <cellStyle name="Remarque 2 2 2 2 4 2 13" xfId="37192" xr:uid="{00000000-0005-0000-0000-0000AB0B0000}"/>
    <cellStyle name="Remarque 2 2 2 2 4 2 2" xfId="3441" xr:uid="{00000000-0005-0000-0000-0000AC0B0000}"/>
    <cellStyle name="Remarque 2 2 2 2 4 2 2 2" xfId="27455" xr:uid="{00000000-0005-0000-0000-0000AD0B0000}"/>
    <cellStyle name="Remarque 2 2 2 2 4 2 2 2 2" xfId="51415" xr:uid="{00000000-0005-0000-0000-0000AE0B0000}"/>
    <cellStyle name="Remarque 2 2 2 2 4 2 2 3" xfId="14702" xr:uid="{00000000-0005-0000-0000-0000AF0B0000}"/>
    <cellStyle name="Remarque 2 2 2 2 4 2 2 4" xfId="38662" xr:uid="{00000000-0005-0000-0000-0000B00B0000}"/>
    <cellStyle name="Remarque 2 2 2 2 4 2 3" xfId="4875" xr:uid="{00000000-0005-0000-0000-0000B10B0000}"/>
    <cellStyle name="Remarque 2 2 2 2 4 2 3 2" xfId="28889" xr:uid="{00000000-0005-0000-0000-0000B20B0000}"/>
    <cellStyle name="Remarque 2 2 2 2 4 2 3 2 2" xfId="52849" xr:uid="{00000000-0005-0000-0000-0000B30B0000}"/>
    <cellStyle name="Remarque 2 2 2 2 4 2 3 3" xfId="16136" xr:uid="{00000000-0005-0000-0000-0000B40B0000}"/>
    <cellStyle name="Remarque 2 2 2 2 4 2 3 4" xfId="40096" xr:uid="{00000000-0005-0000-0000-0000B50B0000}"/>
    <cellStyle name="Remarque 2 2 2 2 4 2 4" xfId="6269" xr:uid="{00000000-0005-0000-0000-0000B60B0000}"/>
    <cellStyle name="Remarque 2 2 2 2 4 2 4 2" xfId="30283" xr:uid="{00000000-0005-0000-0000-0000B70B0000}"/>
    <cellStyle name="Remarque 2 2 2 2 4 2 4 2 2" xfId="54243" xr:uid="{00000000-0005-0000-0000-0000B80B0000}"/>
    <cellStyle name="Remarque 2 2 2 2 4 2 4 3" xfId="17530" xr:uid="{00000000-0005-0000-0000-0000B90B0000}"/>
    <cellStyle name="Remarque 2 2 2 2 4 2 4 4" xfId="41490" xr:uid="{00000000-0005-0000-0000-0000BA0B0000}"/>
    <cellStyle name="Remarque 2 2 2 2 4 2 5" xfId="7657" xr:uid="{00000000-0005-0000-0000-0000BB0B0000}"/>
    <cellStyle name="Remarque 2 2 2 2 4 2 5 2" xfId="31671" xr:uid="{00000000-0005-0000-0000-0000BC0B0000}"/>
    <cellStyle name="Remarque 2 2 2 2 4 2 5 2 2" xfId="55631" xr:uid="{00000000-0005-0000-0000-0000BD0B0000}"/>
    <cellStyle name="Remarque 2 2 2 2 4 2 5 3" xfId="18918" xr:uid="{00000000-0005-0000-0000-0000BE0B0000}"/>
    <cellStyle name="Remarque 2 2 2 2 4 2 5 4" xfId="42878" xr:uid="{00000000-0005-0000-0000-0000BF0B0000}"/>
    <cellStyle name="Remarque 2 2 2 2 4 2 6" xfId="9042" xr:uid="{00000000-0005-0000-0000-0000C00B0000}"/>
    <cellStyle name="Remarque 2 2 2 2 4 2 6 2" xfId="33056" xr:uid="{00000000-0005-0000-0000-0000C10B0000}"/>
    <cellStyle name="Remarque 2 2 2 2 4 2 6 2 2" xfId="57016" xr:uid="{00000000-0005-0000-0000-0000C20B0000}"/>
    <cellStyle name="Remarque 2 2 2 2 4 2 6 3" xfId="20303" xr:uid="{00000000-0005-0000-0000-0000C30B0000}"/>
    <cellStyle name="Remarque 2 2 2 2 4 2 6 4" xfId="44263" xr:uid="{00000000-0005-0000-0000-0000C40B0000}"/>
    <cellStyle name="Remarque 2 2 2 2 4 2 7" xfId="10499" xr:uid="{00000000-0005-0000-0000-0000C50B0000}"/>
    <cellStyle name="Remarque 2 2 2 2 4 2 7 2" xfId="34509" xr:uid="{00000000-0005-0000-0000-0000C60B0000}"/>
    <cellStyle name="Remarque 2 2 2 2 4 2 7 2 2" xfId="58469" xr:uid="{00000000-0005-0000-0000-0000C70B0000}"/>
    <cellStyle name="Remarque 2 2 2 2 4 2 7 3" xfId="21766" xr:uid="{00000000-0005-0000-0000-0000C80B0000}"/>
    <cellStyle name="Remarque 2 2 2 2 4 2 7 4" xfId="45726" xr:uid="{00000000-0005-0000-0000-0000C90B0000}"/>
    <cellStyle name="Remarque 2 2 2 2 4 2 8" xfId="11993" xr:uid="{00000000-0005-0000-0000-0000CA0B0000}"/>
    <cellStyle name="Remarque 2 2 2 2 4 2 8 2" xfId="23272" xr:uid="{00000000-0005-0000-0000-0000CB0B0000}"/>
    <cellStyle name="Remarque 2 2 2 2 4 2 8 3" xfId="47232" xr:uid="{00000000-0005-0000-0000-0000CC0B0000}"/>
    <cellStyle name="Remarque 2 2 2 2 4 2 9" xfId="1971" xr:uid="{00000000-0005-0000-0000-0000CD0B0000}"/>
    <cellStyle name="Remarque 2 2 2 2 4 2 9 2" xfId="25985" xr:uid="{00000000-0005-0000-0000-0000CE0B0000}"/>
    <cellStyle name="Remarque 2 2 2 2 4 2 9 3" xfId="49945" xr:uid="{00000000-0005-0000-0000-0000CF0B0000}"/>
    <cellStyle name="Remarque 2 2 2 2 4 20" xfId="399" xr:uid="{00000000-0005-0000-0000-0000D00B0000}"/>
    <cellStyle name="Remarque 2 2 2 2 4 3" xfId="727" xr:uid="{00000000-0005-0000-0000-0000D10B0000}"/>
    <cellStyle name="Remarque 2 2 2 2 4 3 10" xfId="24759" xr:uid="{00000000-0005-0000-0000-0000D20B0000}"/>
    <cellStyle name="Remarque 2 2 2 2 4 3 10 2" xfId="48719" xr:uid="{00000000-0005-0000-0000-0000D30B0000}"/>
    <cellStyle name="Remarque 2 2 2 2 4 3 11" xfId="36626" xr:uid="{00000000-0005-0000-0000-0000D40B0000}"/>
    <cellStyle name="Remarque 2 2 2 2 4 3 11 2" xfId="60586" xr:uid="{00000000-0005-0000-0000-0000D50B0000}"/>
    <cellStyle name="Remarque 2 2 2 2 4 3 12" xfId="13424" xr:uid="{00000000-0005-0000-0000-0000D60B0000}"/>
    <cellStyle name="Remarque 2 2 2 2 4 3 13" xfId="37384" xr:uid="{00000000-0005-0000-0000-0000D70B0000}"/>
    <cellStyle name="Remarque 2 2 2 2 4 3 2" xfId="3633" xr:uid="{00000000-0005-0000-0000-0000D80B0000}"/>
    <cellStyle name="Remarque 2 2 2 2 4 3 2 2" xfId="27647" xr:uid="{00000000-0005-0000-0000-0000D90B0000}"/>
    <cellStyle name="Remarque 2 2 2 2 4 3 2 2 2" xfId="51607" xr:uid="{00000000-0005-0000-0000-0000DA0B0000}"/>
    <cellStyle name="Remarque 2 2 2 2 4 3 2 3" xfId="14894" xr:uid="{00000000-0005-0000-0000-0000DB0B0000}"/>
    <cellStyle name="Remarque 2 2 2 2 4 3 2 4" xfId="38854" xr:uid="{00000000-0005-0000-0000-0000DC0B0000}"/>
    <cellStyle name="Remarque 2 2 2 2 4 3 3" xfId="5067" xr:uid="{00000000-0005-0000-0000-0000DD0B0000}"/>
    <cellStyle name="Remarque 2 2 2 2 4 3 3 2" xfId="29081" xr:uid="{00000000-0005-0000-0000-0000DE0B0000}"/>
    <cellStyle name="Remarque 2 2 2 2 4 3 3 2 2" xfId="53041" xr:uid="{00000000-0005-0000-0000-0000DF0B0000}"/>
    <cellStyle name="Remarque 2 2 2 2 4 3 3 3" xfId="16328" xr:uid="{00000000-0005-0000-0000-0000E00B0000}"/>
    <cellStyle name="Remarque 2 2 2 2 4 3 3 4" xfId="40288" xr:uid="{00000000-0005-0000-0000-0000E10B0000}"/>
    <cellStyle name="Remarque 2 2 2 2 4 3 4" xfId="6461" xr:uid="{00000000-0005-0000-0000-0000E20B0000}"/>
    <cellStyle name="Remarque 2 2 2 2 4 3 4 2" xfId="30475" xr:uid="{00000000-0005-0000-0000-0000E30B0000}"/>
    <cellStyle name="Remarque 2 2 2 2 4 3 4 2 2" xfId="54435" xr:uid="{00000000-0005-0000-0000-0000E40B0000}"/>
    <cellStyle name="Remarque 2 2 2 2 4 3 4 3" xfId="17722" xr:uid="{00000000-0005-0000-0000-0000E50B0000}"/>
    <cellStyle name="Remarque 2 2 2 2 4 3 4 4" xfId="41682" xr:uid="{00000000-0005-0000-0000-0000E60B0000}"/>
    <cellStyle name="Remarque 2 2 2 2 4 3 5" xfId="7849" xr:uid="{00000000-0005-0000-0000-0000E70B0000}"/>
    <cellStyle name="Remarque 2 2 2 2 4 3 5 2" xfId="31863" xr:uid="{00000000-0005-0000-0000-0000E80B0000}"/>
    <cellStyle name="Remarque 2 2 2 2 4 3 5 2 2" xfId="55823" xr:uid="{00000000-0005-0000-0000-0000E90B0000}"/>
    <cellStyle name="Remarque 2 2 2 2 4 3 5 3" xfId="19110" xr:uid="{00000000-0005-0000-0000-0000EA0B0000}"/>
    <cellStyle name="Remarque 2 2 2 2 4 3 5 4" xfId="43070" xr:uid="{00000000-0005-0000-0000-0000EB0B0000}"/>
    <cellStyle name="Remarque 2 2 2 2 4 3 6" xfId="9234" xr:uid="{00000000-0005-0000-0000-0000EC0B0000}"/>
    <cellStyle name="Remarque 2 2 2 2 4 3 6 2" xfId="33248" xr:uid="{00000000-0005-0000-0000-0000ED0B0000}"/>
    <cellStyle name="Remarque 2 2 2 2 4 3 6 2 2" xfId="57208" xr:uid="{00000000-0005-0000-0000-0000EE0B0000}"/>
    <cellStyle name="Remarque 2 2 2 2 4 3 6 3" xfId="20495" xr:uid="{00000000-0005-0000-0000-0000EF0B0000}"/>
    <cellStyle name="Remarque 2 2 2 2 4 3 6 4" xfId="44455" xr:uid="{00000000-0005-0000-0000-0000F00B0000}"/>
    <cellStyle name="Remarque 2 2 2 2 4 3 7" xfId="10691" xr:uid="{00000000-0005-0000-0000-0000F10B0000}"/>
    <cellStyle name="Remarque 2 2 2 2 4 3 7 2" xfId="34701" xr:uid="{00000000-0005-0000-0000-0000F20B0000}"/>
    <cellStyle name="Remarque 2 2 2 2 4 3 7 2 2" xfId="58661" xr:uid="{00000000-0005-0000-0000-0000F30B0000}"/>
    <cellStyle name="Remarque 2 2 2 2 4 3 7 3" xfId="21958" xr:uid="{00000000-0005-0000-0000-0000F40B0000}"/>
    <cellStyle name="Remarque 2 2 2 2 4 3 7 4" xfId="45918" xr:uid="{00000000-0005-0000-0000-0000F50B0000}"/>
    <cellStyle name="Remarque 2 2 2 2 4 3 8" xfId="12785" xr:uid="{00000000-0005-0000-0000-0000F60B0000}"/>
    <cellStyle name="Remarque 2 2 2 2 4 3 8 2" xfId="24094" xr:uid="{00000000-0005-0000-0000-0000F70B0000}"/>
    <cellStyle name="Remarque 2 2 2 2 4 3 8 3" xfId="48054" xr:uid="{00000000-0005-0000-0000-0000F80B0000}"/>
    <cellStyle name="Remarque 2 2 2 2 4 3 9" xfId="2163" xr:uid="{00000000-0005-0000-0000-0000F90B0000}"/>
    <cellStyle name="Remarque 2 2 2 2 4 3 9 2" xfId="26177" xr:uid="{00000000-0005-0000-0000-0000FA0B0000}"/>
    <cellStyle name="Remarque 2 2 2 2 4 3 9 3" xfId="50137" xr:uid="{00000000-0005-0000-0000-0000FB0B0000}"/>
    <cellStyle name="Remarque 2 2 2 2 4 4" xfId="921" xr:uid="{00000000-0005-0000-0000-0000FC0B0000}"/>
    <cellStyle name="Remarque 2 2 2 2 4 4 10" xfId="24953" xr:uid="{00000000-0005-0000-0000-0000FD0B0000}"/>
    <cellStyle name="Remarque 2 2 2 2 4 4 10 2" xfId="48913" xr:uid="{00000000-0005-0000-0000-0000FE0B0000}"/>
    <cellStyle name="Remarque 2 2 2 2 4 4 11" xfId="36535" xr:uid="{00000000-0005-0000-0000-0000FF0B0000}"/>
    <cellStyle name="Remarque 2 2 2 2 4 4 11 2" xfId="60495" xr:uid="{00000000-0005-0000-0000-0000000C0000}"/>
    <cellStyle name="Remarque 2 2 2 2 4 4 12" xfId="13618" xr:uid="{00000000-0005-0000-0000-0000010C0000}"/>
    <cellStyle name="Remarque 2 2 2 2 4 4 13" xfId="37578" xr:uid="{00000000-0005-0000-0000-0000020C0000}"/>
    <cellStyle name="Remarque 2 2 2 2 4 4 2" xfId="3827" xr:uid="{00000000-0005-0000-0000-0000030C0000}"/>
    <cellStyle name="Remarque 2 2 2 2 4 4 2 2" xfId="27841" xr:uid="{00000000-0005-0000-0000-0000040C0000}"/>
    <cellStyle name="Remarque 2 2 2 2 4 4 2 2 2" xfId="51801" xr:uid="{00000000-0005-0000-0000-0000050C0000}"/>
    <cellStyle name="Remarque 2 2 2 2 4 4 2 3" xfId="15088" xr:uid="{00000000-0005-0000-0000-0000060C0000}"/>
    <cellStyle name="Remarque 2 2 2 2 4 4 2 4" xfId="39048" xr:uid="{00000000-0005-0000-0000-0000070C0000}"/>
    <cellStyle name="Remarque 2 2 2 2 4 4 3" xfId="5261" xr:uid="{00000000-0005-0000-0000-0000080C0000}"/>
    <cellStyle name="Remarque 2 2 2 2 4 4 3 2" xfId="29275" xr:uid="{00000000-0005-0000-0000-0000090C0000}"/>
    <cellStyle name="Remarque 2 2 2 2 4 4 3 2 2" xfId="53235" xr:uid="{00000000-0005-0000-0000-00000A0C0000}"/>
    <cellStyle name="Remarque 2 2 2 2 4 4 3 3" xfId="16522" xr:uid="{00000000-0005-0000-0000-00000B0C0000}"/>
    <cellStyle name="Remarque 2 2 2 2 4 4 3 4" xfId="40482" xr:uid="{00000000-0005-0000-0000-00000C0C0000}"/>
    <cellStyle name="Remarque 2 2 2 2 4 4 4" xfId="6655" xr:uid="{00000000-0005-0000-0000-00000D0C0000}"/>
    <cellStyle name="Remarque 2 2 2 2 4 4 4 2" xfId="30669" xr:uid="{00000000-0005-0000-0000-00000E0C0000}"/>
    <cellStyle name="Remarque 2 2 2 2 4 4 4 2 2" xfId="54629" xr:uid="{00000000-0005-0000-0000-00000F0C0000}"/>
    <cellStyle name="Remarque 2 2 2 2 4 4 4 3" xfId="17916" xr:uid="{00000000-0005-0000-0000-0000100C0000}"/>
    <cellStyle name="Remarque 2 2 2 2 4 4 4 4" xfId="41876" xr:uid="{00000000-0005-0000-0000-0000110C0000}"/>
    <cellStyle name="Remarque 2 2 2 2 4 4 5" xfId="8043" xr:uid="{00000000-0005-0000-0000-0000120C0000}"/>
    <cellStyle name="Remarque 2 2 2 2 4 4 5 2" xfId="32057" xr:uid="{00000000-0005-0000-0000-0000130C0000}"/>
    <cellStyle name="Remarque 2 2 2 2 4 4 5 2 2" xfId="56017" xr:uid="{00000000-0005-0000-0000-0000140C0000}"/>
    <cellStyle name="Remarque 2 2 2 2 4 4 5 3" xfId="19304" xr:uid="{00000000-0005-0000-0000-0000150C0000}"/>
    <cellStyle name="Remarque 2 2 2 2 4 4 5 4" xfId="43264" xr:uid="{00000000-0005-0000-0000-0000160C0000}"/>
    <cellStyle name="Remarque 2 2 2 2 4 4 6" xfId="9428" xr:uid="{00000000-0005-0000-0000-0000170C0000}"/>
    <cellStyle name="Remarque 2 2 2 2 4 4 6 2" xfId="33442" xr:uid="{00000000-0005-0000-0000-0000180C0000}"/>
    <cellStyle name="Remarque 2 2 2 2 4 4 6 2 2" xfId="57402" xr:uid="{00000000-0005-0000-0000-0000190C0000}"/>
    <cellStyle name="Remarque 2 2 2 2 4 4 6 3" xfId="20689" xr:uid="{00000000-0005-0000-0000-00001A0C0000}"/>
    <cellStyle name="Remarque 2 2 2 2 4 4 6 4" xfId="44649" xr:uid="{00000000-0005-0000-0000-00001B0C0000}"/>
    <cellStyle name="Remarque 2 2 2 2 4 4 7" xfId="10885" xr:uid="{00000000-0005-0000-0000-00001C0C0000}"/>
    <cellStyle name="Remarque 2 2 2 2 4 4 7 2" xfId="34895" xr:uid="{00000000-0005-0000-0000-00001D0C0000}"/>
    <cellStyle name="Remarque 2 2 2 2 4 4 7 2 2" xfId="58855" xr:uid="{00000000-0005-0000-0000-00001E0C0000}"/>
    <cellStyle name="Remarque 2 2 2 2 4 4 7 3" xfId="22152" xr:uid="{00000000-0005-0000-0000-00001F0C0000}"/>
    <cellStyle name="Remarque 2 2 2 2 4 4 7 4" xfId="46112" xr:uid="{00000000-0005-0000-0000-0000200C0000}"/>
    <cellStyle name="Remarque 2 2 2 2 4 4 8" xfId="11717" xr:uid="{00000000-0005-0000-0000-0000210C0000}"/>
    <cellStyle name="Remarque 2 2 2 2 4 4 8 2" xfId="22988" xr:uid="{00000000-0005-0000-0000-0000220C0000}"/>
    <cellStyle name="Remarque 2 2 2 2 4 4 8 3" xfId="46948" xr:uid="{00000000-0005-0000-0000-0000230C0000}"/>
    <cellStyle name="Remarque 2 2 2 2 4 4 9" xfId="2357" xr:uid="{00000000-0005-0000-0000-0000240C0000}"/>
    <cellStyle name="Remarque 2 2 2 2 4 4 9 2" xfId="26371" xr:uid="{00000000-0005-0000-0000-0000250C0000}"/>
    <cellStyle name="Remarque 2 2 2 2 4 4 9 3" xfId="50331" xr:uid="{00000000-0005-0000-0000-0000260C0000}"/>
    <cellStyle name="Remarque 2 2 2 2 4 5" xfId="1114" xr:uid="{00000000-0005-0000-0000-0000270C0000}"/>
    <cellStyle name="Remarque 2 2 2 2 4 5 10" xfId="25146" xr:uid="{00000000-0005-0000-0000-0000280C0000}"/>
    <cellStyle name="Remarque 2 2 2 2 4 5 10 2" xfId="49106" xr:uid="{00000000-0005-0000-0000-0000290C0000}"/>
    <cellStyle name="Remarque 2 2 2 2 4 5 11" xfId="36651" xr:uid="{00000000-0005-0000-0000-00002A0C0000}"/>
    <cellStyle name="Remarque 2 2 2 2 4 5 11 2" xfId="60611" xr:uid="{00000000-0005-0000-0000-00002B0C0000}"/>
    <cellStyle name="Remarque 2 2 2 2 4 5 12" xfId="13811" xr:uid="{00000000-0005-0000-0000-00002C0C0000}"/>
    <cellStyle name="Remarque 2 2 2 2 4 5 13" xfId="37771" xr:uid="{00000000-0005-0000-0000-00002D0C0000}"/>
    <cellStyle name="Remarque 2 2 2 2 4 5 2" xfId="4020" xr:uid="{00000000-0005-0000-0000-00002E0C0000}"/>
    <cellStyle name="Remarque 2 2 2 2 4 5 2 2" xfId="28034" xr:uid="{00000000-0005-0000-0000-00002F0C0000}"/>
    <cellStyle name="Remarque 2 2 2 2 4 5 2 2 2" xfId="51994" xr:uid="{00000000-0005-0000-0000-0000300C0000}"/>
    <cellStyle name="Remarque 2 2 2 2 4 5 2 3" xfId="15281" xr:uid="{00000000-0005-0000-0000-0000310C0000}"/>
    <cellStyle name="Remarque 2 2 2 2 4 5 2 4" xfId="39241" xr:uid="{00000000-0005-0000-0000-0000320C0000}"/>
    <cellStyle name="Remarque 2 2 2 2 4 5 3" xfId="5454" xr:uid="{00000000-0005-0000-0000-0000330C0000}"/>
    <cellStyle name="Remarque 2 2 2 2 4 5 3 2" xfId="29468" xr:uid="{00000000-0005-0000-0000-0000340C0000}"/>
    <cellStyle name="Remarque 2 2 2 2 4 5 3 2 2" xfId="53428" xr:uid="{00000000-0005-0000-0000-0000350C0000}"/>
    <cellStyle name="Remarque 2 2 2 2 4 5 3 3" xfId="16715" xr:uid="{00000000-0005-0000-0000-0000360C0000}"/>
    <cellStyle name="Remarque 2 2 2 2 4 5 3 4" xfId="40675" xr:uid="{00000000-0005-0000-0000-0000370C0000}"/>
    <cellStyle name="Remarque 2 2 2 2 4 5 4" xfId="6848" xr:uid="{00000000-0005-0000-0000-0000380C0000}"/>
    <cellStyle name="Remarque 2 2 2 2 4 5 4 2" xfId="30862" xr:uid="{00000000-0005-0000-0000-0000390C0000}"/>
    <cellStyle name="Remarque 2 2 2 2 4 5 4 2 2" xfId="54822" xr:uid="{00000000-0005-0000-0000-00003A0C0000}"/>
    <cellStyle name="Remarque 2 2 2 2 4 5 4 3" xfId="18109" xr:uid="{00000000-0005-0000-0000-00003B0C0000}"/>
    <cellStyle name="Remarque 2 2 2 2 4 5 4 4" xfId="42069" xr:uid="{00000000-0005-0000-0000-00003C0C0000}"/>
    <cellStyle name="Remarque 2 2 2 2 4 5 5" xfId="8236" xr:uid="{00000000-0005-0000-0000-00003D0C0000}"/>
    <cellStyle name="Remarque 2 2 2 2 4 5 5 2" xfId="32250" xr:uid="{00000000-0005-0000-0000-00003E0C0000}"/>
    <cellStyle name="Remarque 2 2 2 2 4 5 5 2 2" xfId="56210" xr:uid="{00000000-0005-0000-0000-00003F0C0000}"/>
    <cellStyle name="Remarque 2 2 2 2 4 5 5 3" xfId="19497" xr:uid="{00000000-0005-0000-0000-0000400C0000}"/>
    <cellStyle name="Remarque 2 2 2 2 4 5 5 4" xfId="43457" xr:uid="{00000000-0005-0000-0000-0000410C0000}"/>
    <cellStyle name="Remarque 2 2 2 2 4 5 6" xfId="9621" xr:uid="{00000000-0005-0000-0000-0000420C0000}"/>
    <cellStyle name="Remarque 2 2 2 2 4 5 6 2" xfId="33635" xr:uid="{00000000-0005-0000-0000-0000430C0000}"/>
    <cellStyle name="Remarque 2 2 2 2 4 5 6 2 2" xfId="57595" xr:uid="{00000000-0005-0000-0000-0000440C0000}"/>
    <cellStyle name="Remarque 2 2 2 2 4 5 6 3" xfId="20882" xr:uid="{00000000-0005-0000-0000-0000450C0000}"/>
    <cellStyle name="Remarque 2 2 2 2 4 5 6 4" xfId="44842" xr:uid="{00000000-0005-0000-0000-0000460C0000}"/>
    <cellStyle name="Remarque 2 2 2 2 4 5 7" xfId="11078" xr:uid="{00000000-0005-0000-0000-0000470C0000}"/>
    <cellStyle name="Remarque 2 2 2 2 4 5 7 2" xfId="35088" xr:uid="{00000000-0005-0000-0000-0000480C0000}"/>
    <cellStyle name="Remarque 2 2 2 2 4 5 7 2 2" xfId="59048" xr:uid="{00000000-0005-0000-0000-0000490C0000}"/>
    <cellStyle name="Remarque 2 2 2 2 4 5 7 3" xfId="22345" xr:uid="{00000000-0005-0000-0000-00004A0C0000}"/>
    <cellStyle name="Remarque 2 2 2 2 4 5 7 4" xfId="46305" xr:uid="{00000000-0005-0000-0000-00004B0C0000}"/>
    <cellStyle name="Remarque 2 2 2 2 4 5 8" xfId="7364" xr:uid="{00000000-0005-0000-0000-00004C0C0000}"/>
    <cellStyle name="Remarque 2 2 2 2 4 5 8 2" xfId="18625" xr:uid="{00000000-0005-0000-0000-00004D0C0000}"/>
    <cellStyle name="Remarque 2 2 2 2 4 5 8 3" xfId="42585" xr:uid="{00000000-0005-0000-0000-00004E0C0000}"/>
    <cellStyle name="Remarque 2 2 2 2 4 5 9" xfId="2550" xr:uid="{00000000-0005-0000-0000-00004F0C0000}"/>
    <cellStyle name="Remarque 2 2 2 2 4 5 9 2" xfId="26564" xr:uid="{00000000-0005-0000-0000-0000500C0000}"/>
    <cellStyle name="Remarque 2 2 2 2 4 5 9 3" xfId="50524" xr:uid="{00000000-0005-0000-0000-0000510C0000}"/>
    <cellStyle name="Remarque 2 2 2 2 4 6" xfId="1281" xr:uid="{00000000-0005-0000-0000-0000520C0000}"/>
    <cellStyle name="Remarque 2 2 2 2 4 6 10" xfId="25313" xr:uid="{00000000-0005-0000-0000-0000530C0000}"/>
    <cellStyle name="Remarque 2 2 2 2 4 6 10 2" xfId="49273" xr:uid="{00000000-0005-0000-0000-0000540C0000}"/>
    <cellStyle name="Remarque 2 2 2 2 4 6 11" xfId="36321" xr:uid="{00000000-0005-0000-0000-0000550C0000}"/>
    <cellStyle name="Remarque 2 2 2 2 4 6 11 2" xfId="60281" xr:uid="{00000000-0005-0000-0000-0000560C0000}"/>
    <cellStyle name="Remarque 2 2 2 2 4 6 12" xfId="13978" xr:uid="{00000000-0005-0000-0000-0000570C0000}"/>
    <cellStyle name="Remarque 2 2 2 2 4 6 13" xfId="37938" xr:uid="{00000000-0005-0000-0000-0000580C0000}"/>
    <cellStyle name="Remarque 2 2 2 2 4 6 2" xfId="4187" xr:uid="{00000000-0005-0000-0000-0000590C0000}"/>
    <cellStyle name="Remarque 2 2 2 2 4 6 2 2" xfId="28201" xr:uid="{00000000-0005-0000-0000-00005A0C0000}"/>
    <cellStyle name="Remarque 2 2 2 2 4 6 2 2 2" xfId="52161" xr:uid="{00000000-0005-0000-0000-00005B0C0000}"/>
    <cellStyle name="Remarque 2 2 2 2 4 6 2 3" xfId="15448" xr:uid="{00000000-0005-0000-0000-00005C0C0000}"/>
    <cellStyle name="Remarque 2 2 2 2 4 6 2 4" xfId="39408" xr:uid="{00000000-0005-0000-0000-00005D0C0000}"/>
    <cellStyle name="Remarque 2 2 2 2 4 6 3" xfId="5621" xr:uid="{00000000-0005-0000-0000-00005E0C0000}"/>
    <cellStyle name="Remarque 2 2 2 2 4 6 3 2" xfId="29635" xr:uid="{00000000-0005-0000-0000-00005F0C0000}"/>
    <cellStyle name="Remarque 2 2 2 2 4 6 3 2 2" xfId="53595" xr:uid="{00000000-0005-0000-0000-0000600C0000}"/>
    <cellStyle name="Remarque 2 2 2 2 4 6 3 3" xfId="16882" xr:uid="{00000000-0005-0000-0000-0000610C0000}"/>
    <cellStyle name="Remarque 2 2 2 2 4 6 3 4" xfId="40842" xr:uid="{00000000-0005-0000-0000-0000620C0000}"/>
    <cellStyle name="Remarque 2 2 2 2 4 6 4" xfId="7015" xr:uid="{00000000-0005-0000-0000-0000630C0000}"/>
    <cellStyle name="Remarque 2 2 2 2 4 6 4 2" xfId="31029" xr:uid="{00000000-0005-0000-0000-0000640C0000}"/>
    <cellStyle name="Remarque 2 2 2 2 4 6 4 2 2" xfId="54989" xr:uid="{00000000-0005-0000-0000-0000650C0000}"/>
    <cellStyle name="Remarque 2 2 2 2 4 6 4 3" xfId="18276" xr:uid="{00000000-0005-0000-0000-0000660C0000}"/>
    <cellStyle name="Remarque 2 2 2 2 4 6 4 4" xfId="42236" xr:uid="{00000000-0005-0000-0000-0000670C0000}"/>
    <cellStyle name="Remarque 2 2 2 2 4 6 5" xfId="8403" xr:uid="{00000000-0005-0000-0000-0000680C0000}"/>
    <cellStyle name="Remarque 2 2 2 2 4 6 5 2" xfId="32417" xr:uid="{00000000-0005-0000-0000-0000690C0000}"/>
    <cellStyle name="Remarque 2 2 2 2 4 6 5 2 2" xfId="56377" xr:uid="{00000000-0005-0000-0000-00006A0C0000}"/>
    <cellStyle name="Remarque 2 2 2 2 4 6 5 3" xfId="19664" xr:uid="{00000000-0005-0000-0000-00006B0C0000}"/>
    <cellStyle name="Remarque 2 2 2 2 4 6 5 4" xfId="43624" xr:uid="{00000000-0005-0000-0000-00006C0C0000}"/>
    <cellStyle name="Remarque 2 2 2 2 4 6 6" xfId="9788" xr:uid="{00000000-0005-0000-0000-00006D0C0000}"/>
    <cellStyle name="Remarque 2 2 2 2 4 6 6 2" xfId="33802" xr:uid="{00000000-0005-0000-0000-00006E0C0000}"/>
    <cellStyle name="Remarque 2 2 2 2 4 6 6 2 2" xfId="57762" xr:uid="{00000000-0005-0000-0000-00006F0C0000}"/>
    <cellStyle name="Remarque 2 2 2 2 4 6 6 3" xfId="21049" xr:uid="{00000000-0005-0000-0000-0000700C0000}"/>
    <cellStyle name="Remarque 2 2 2 2 4 6 6 4" xfId="45009" xr:uid="{00000000-0005-0000-0000-0000710C0000}"/>
    <cellStyle name="Remarque 2 2 2 2 4 6 7" xfId="11245" xr:uid="{00000000-0005-0000-0000-0000720C0000}"/>
    <cellStyle name="Remarque 2 2 2 2 4 6 7 2" xfId="35255" xr:uid="{00000000-0005-0000-0000-0000730C0000}"/>
    <cellStyle name="Remarque 2 2 2 2 4 6 7 2 2" xfId="59215" xr:uid="{00000000-0005-0000-0000-0000740C0000}"/>
    <cellStyle name="Remarque 2 2 2 2 4 6 7 3" xfId="22512" xr:uid="{00000000-0005-0000-0000-0000750C0000}"/>
    <cellStyle name="Remarque 2 2 2 2 4 6 7 4" xfId="46472" xr:uid="{00000000-0005-0000-0000-0000760C0000}"/>
    <cellStyle name="Remarque 2 2 2 2 4 6 8" xfId="12828" xr:uid="{00000000-0005-0000-0000-0000770C0000}"/>
    <cellStyle name="Remarque 2 2 2 2 4 6 8 2" xfId="24139" xr:uid="{00000000-0005-0000-0000-0000780C0000}"/>
    <cellStyle name="Remarque 2 2 2 2 4 6 8 3" xfId="48099" xr:uid="{00000000-0005-0000-0000-0000790C0000}"/>
    <cellStyle name="Remarque 2 2 2 2 4 6 9" xfId="2717" xr:uid="{00000000-0005-0000-0000-00007A0C0000}"/>
    <cellStyle name="Remarque 2 2 2 2 4 6 9 2" xfId="26731" xr:uid="{00000000-0005-0000-0000-00007B0C0000}"/>
    <cellStyle name="Remarque 2 2 2 2 4 6 9 3" xfId="50691" xr:uid="{00000000-0005-0000-0000-00007C0C0000}"/>
    <cellStyle name="Remarque 2 2 2 2 4 7" xfId="1450" xr:uid="{00000000-0005-0000-0000-00007D0C0000}"/>
    <cellStyle name="Remarque 2 2 2 2 4 7 10" xfId="25482" xr:uid="{00000000-0005-0000-0000-00007E0C0000}"/>
    <cellStyle name="Remarque 2 2 2 2 4 7 10 2" xfId="49442" xr:uid="{00000000-0005-0000-0000-00007F0C0000}"/>
    <cellStyle name="Remarque 2 2 2 2 4 7 11" xfId="35782" xr:uid="{00000000-0005-0000-0000-0000800C0000}"/>
    <cellStyle name="Remarque 2 2 2 2 4 7 11 2" xfId="59742" xr:uid="{00000000-0005-0000-0000-0000810C0000}"/>
    <cellStyle name="Remarque 2 2 2 2 4 7 12" xfId="14147" xr:uid="{00000000-0005-0000-0000-0000820C0000}"/>
    <cellStyle name="Remarque 2 2 2 2 4 7 13" xfId="38107" xr:uid="{00000000-0005-0000-0000-0000830C0000}"/>
    <cellStyle name="Remarque 2 2 2 2 4 7 2" xfId="4356" xr:uid="{00000000-0005-0000-0000-0000840C0000}"/>
    <cellStyle name="Remarque 2 2 2 2 4 7 2 2" xfId="28370" xr:uid="{00000000-0005-0000-0000-0000850C0000}"/>
    <cellStyle name="Remarque 2 2 2 2 4 7 2 2 2" xfId="52330" xr:uid="{00000000-0005-0000-0000-0000860C0000}"/>
    <cellStyle name="Remarque 2 2 2 2 4 7 2 3" xfId="15617" xr:uid="{00000000-0005-0000-0000-0000870C0000}"/>
    <cellStyle name="Remarque 2 2 2 2 4 7 2 4" xfId="39577" xr:uid="{00000000-0005-0000-0000-0000880C0000}"/>
    <cellStyle name="Remarque 2 2 2 2 4 7 3" xfId="5790" xr:uid="{00000000-0005-0000-0000-0000890C0000}"/>
    <cellStyle name="Remarque 2 2 2 2 4 7 3 2" xfId="29804" xr:uid="{00000000-0005-0000-0000-00008A0C0000}"/>
    <cellStyle name="Remarque 2 2 2 2 4 7 3 2 2" xfId="53764" xr:uid="{00000000-0005-0000-0000-00008B0C0000}"/>
    <cellStyle name="Remarque 2 2 2 2 4 7 3 3" xfId="17051" xr:uid="{00000000-0005-0000-0000-00008C0C0000}"/>
    <cellStyle name="Remarque 2 2 2 2 4 7 3 4" xfId="41011" xr:uid="{00000000-0005-0000-0000-00008D0C0000}"/>
    <cellStyle name="Remarque 2 2 2 2 4 7 4" xfId="7184" xr:uid="{00000000-0005-0000-0000-00008E0C0000}"/>
    <cellStyle name="Remarque 2 2 2 2 4 7 4 2" xfId="31198" xr:uid="{00000000-0005-0000-0000-00008F0C0000}"/>
    <cellStyle name="Remarque 2 2 2 2 4 7 4 2 2" xfId="55158" xr:uid="{00000000-0005-0000-0000-0000900C0000}"/>
    <cellStyle name="Remarque 2 2 2 2 4 7 4 3" xfId="18445" xr:uid="{00000000-0005-0000-0000-0000910C0000}"/>
    <cellStyle name="Remarque 2 2 2 2 4 7 4 4" xfId="42405" xr:uid="{00000000-0005-0000-0000-0000920C0000}"/>
    <cellStyle name="Remarque 2 2 2 2 4 7 5" xfId="8572" xr:uid="{00000000-0005-0000-0000-0000930C0000}"/>
    <cellStyle name="Remarque 2 2 2 2 4 7 5 2" xfId="32586" xr:uid="{00000000-0005-0000-0000-0000940C0000}"/>
    <cellStyle name="Remarque 2 2 2 2 4 7 5 2 2" xfId="56546" xr:uid="{00000000-0005-0000-0000-0000950C0000}"/>
    <cellStyle name="Remarque 2 2 2 2 4 7 5 3" xfId="19833" xr:uid="{00000000-0005-0000-0000-0000960C0000}"/>
    <cellStyle name="Remarque 2 2 2 2 4 7 5 4" xfId="43793" xr:uid="{00000000-0005-0000-0000-0000970C0000}"/>
    <cellStyle name="Remarque 2 2 2 2 4 7 6" xfId="9957" xr:uid="{00000000-0005-0000-0000-0000980C0000}"/>
    <cellStyle name="Remarque 2 2 2 2 4 7 6 2" xfId="33971" xr:uid="{00000000-0005-0000-0000-0000990C0000}"/>
    <cellStyle name="Remarque 2 2 2 2 4 7 6 2 2" xfId="57931" xr:uid="{00000000-0005-0000-0000-00009A0C0000}"/>
    <cellStyle name="Remarque 2 2 2 2 4 7 6 3" xfId="21218" xr:uid="{00000000-0005-0000-0000-00009B0C0000}"/>
    <cellStyle name="Remarque 2 2 2 2 4 7 6 4" xfId="45178" xr:uid="{00000000-0005-0000-0000-00009C0C0000}"/>
    <cellStyle name="Remarque 2 2 2 2 4 7 7" xfId="11414" xr:uid="{00000000-0005-0000-0000-00009D0C0000}"/>
    <cellStyle name="Remarque 2 2 2 2 4 7 7 2" xfId="35424" xr:uid="{00000000-0005-0000-0000-00009E0C0000}"/>
    <cellStyle name="Remarque 2 2 2 2 4 7 7 2 2" xfId="59384" xr:uid="{00000000-0005-0000-0000-00009F0C0000}"/>
    <cellStyle name="Remarque 2 2 2 2 4 7 7 3" xfId="22681" xr:uid="{00000000-0005-0000-0000-0000A00C0000}"/>
    <cellStyle name="Remarque 2 2 2 2 4 7 7 4" xfId="46641" xr:uid="{00000000-0005-0000-0000-0000A10C0000}"/>
    <cellStyle name="Remarque 2 2 2 2 4 7 8" xfId="12861" xr:uid="{00000000-0005-0000-0000-0000A20C0000}"/>
    <cellStyle name="Remarque 2 2 2 2 4 7 8 2" xfId="24173" xr:uid="{00000000-0005-0000-0000-0000A30C0000}"/>
    <cellStyle name="Remarque 2 2 2 2 4 7 8 3" xfId="48133" xr:uid="{00000000-0005-0000-0000-0000A40C0000}"/>
    <cellStyle name="Remarque 2 2 2 2 4 7 9" xfId="2886" xr:uid="{00000000-0005-0000-0000-0000A50C0000}"/>
    <cellStyle name="Remarque 2 2 2 2 4 7 9 2" xfId="26900" xr:uid="{00000000-0005-0000-0000-0000A60C0000}"/>
    <cellStyle name="Remarque 2 2 2 2 4 7 9 3" xfId="50860" xr:uid="{00000000-0005-0000-0000-0000A70C0000}"/>
    <cellStyle name="Remarque 2 2 2 2 4 8" xfId="3305" xr:uid="{00000000-0005-0000-0000-0000A80C0000}"/>
    <cellStyle name="Remarque 2 2 2 2 4 8 2" xfId="27319" xr:uid="{00000000-0005-0000-0000-0000A90C0000}"/>
    <cellStyle name="Remarque 2 2 2 2 4 8 2 2" xfId="51279" xr:uid="{00000000-0005-0000-0000-0000AA0C0000}"/>
    <cellStyle name="Remarque 2 2 2 2 4 8 3" xfId="14566" xr:uid="{00000000-0005-0000-0000-0000AB0C0000}"/>
    <cellStyle name="Remarque 2 2 2 2 4 8 4" xfId="38526" xr:uid="{00000000-0005-0000-0000-0000AC0C0000}"/>
    <cellStyle name="Remarque 2 2 2 2 4 9" xfId="4739" xr:uid="{00000000-0005-0000-0000-0000AD0C0000}"/>
    <cellStyle name="Remarque 2 2 2 2 4 9 2" xfId="28753" xr:uid="{00000000-0005-0000-0000-0000AE0C0000}"/>
    <cellStyle name="Remarque 2 2 2 2 4 9 2 2" xfId="52713" xr:uid="{00000000-0005-0000-0000-0000AF0C0000}"/>
    <cellStyle name="Remarque 2 2 2 2 4 9 3" xfId="16000" xr:uid="{00000000-0005-0000-0000-0000B00C0000}"/>
    <cellStyle name="Remarque 2 2 2 2 4 9 4" xfId="39960" xr:uid="{00000000-0005-0000-0000-0000B10C0000}"/>
    <cellStyle name="Remarque 2 2 2 2 5" xfId="373" xr:uid="{00000000-0005-0000-0000-0000B20C0000}"/>
    <cellStyle name="Remarque 2 2 2 2 5 10" xfId="6107" xr:uid="{00000000-0005-0000-0000-0000B30C0000}"/>
    <cellStyle name="Remarque 2 2 2 2 5 10 2" xfId="30121" xr:uid="{00000000-0005-0000-0000-0000B40C0000}"/>
    <cellStyle name="Remarque 2 2 2 2 5 10 2 2" xfId="54081" xr:uid="{00000000-0005-0000-0000-0000B50C0000}"/>
    <cellStyle name="Remarque 2 2 2 2 5 10 3" xfId="17368" xr:uid="{00000000-0005-0000-0000-0000B60C0000}"/>
    <cellStyle name="Remarque 2 2 2 2 5 10 4" xfId="41328" xr:uid="{00000000-0005-0000-0000-0000B70C0000}"/>
    <cellStyle name="Remarque 2 2 2 2 5 11" xfId="7495" xr:uid="{00000000-0005-0000-0000-0000B80C0000}"/>
    <cellStyle name="Remarque 2 2 2 2 5 11 2" xfId="31509" xr:uid="{00000000-0005-0000-0000-0000B90C0000}"/>
    <cellStyle name="Remarque 2 2 2 2 5 11 2 2" xfId="55469" xr:uid="{00000000-0005-0000-0000-0000BA0C0000}"/>
    <cellStyle name="Remarque 2 2 2 2 5 11 3" xfId="18756" xr:uid="{00000000-0005-0000-0000-0000BB0C0000}"/>
    <cellStyle name="Remarque 2 2 2 2 5 11 4" xfId="42716" xr:uid="{00000000-0005-0000-0000-0000BC0C0000}"/>
    <cellStyle name="Remarque 2 2 2 2 5 12" xfId="8880" xr:uid="{00000000-0005-0000-0000-0000BD0C0000}"/>
    <cellStyle name="Remarque 2 2 2 2 5 12 2" xfId="32894" xr:uid="{00000000-0005-0000-0000-0000BE0C0000}"/>
    <cellStyle name="Remarque 2 2 2 2 5 12 2 2" xfId="56854" xr:uid="{00000000-0005-0000-0000-0000BF0C0000}"/>
    <cellStyle name="Remarque 2 2 2 2 5 12 3" xfId="20141" xr:uid="{00000000-0005-0000-0000-0000C00C0000}"/>
    <cellStyle name="Remarque 2 2 2 2 5 12 4" xfId="44101" xr:uid="{00000000-0005-0000-0000-0000C10C0000}"/>
    <cellStyle name="Remarque 2 2 2 2 5 13" xfId="10337" xr:uid="{00000000-0005-0000-0000-0000C20C0000}"/>
    <cellStyle name="Remarque 2 2 2 2 5 13 2" xfId="34347" xr:uid="{00000000-0005-0000-0000-0000C30C0000}"/>
    <cellStyle name="Remarque 2 2 2 2 5 13 2 2" xfId="58307" xr:uid="{00000000-0005-0000-0000-0000C40C0000}"/>
    <cellStyle name="Remarque 2 2 2 2 5 13 3" xfId="21604" xr:uid="{00000000-0005-0000-0000-0000C50C0000}"/>
    <cellStyle name="Remarque 2 2 2 2 5 13 4" xfId="45564" xr:uid="{00000000-0005-0000-0000-0000C60C0000}"/>
    <cellStyle name="Remarque 2 2 2 2 5 14" xfId="12758" xr:uid="{00000000-0005-0000-0000-0000C70C0000}"/>
    <cellStyle name="Remarque 2 2 2 2 5 14 2" xfId="24065" xr:uid="{00000000-0005-0000-0000-0000C80C0000}"/>
    <cellStyle name="Remarque 2 2 2 2 5 14 3" xfId="48025" xr:uid="{00000000-0005-0000-0000-0000C90C0000}"/>
    <cellStyle name="Remarque 2 2 2 2 5 15" xfId="1809" xr:uid="{00000000-0005-0000-0000-0000CA0C0000}"/>
    <cellStyle name="Remarque 2 2 2 2 5 15 2" xfId="25823" xr:uid="{00000000-0005-0000-0000-0000CB0C0000}"/>
    <cellStyle name="Remarque 2 2 2 2 5 15 3" xfId="49783" xr:uid="{00000000-0005-0000-0000-0000CC0C0000}"/>
    <cellStyle name="Remarque 2 2 2 2 5 16" xfId="24405" xr:uid="{00000000-0005-0000-0000-0000CD0C0000}"/>
    <cellStyle name="Remarque 2 2 2 2 5 16 2" xfId="48365" xr:uid="{00000000-0005-0000-0000-0000CE0C0000}"/>
    <cellStyle name="Remarque 2 2 2 2 5 17" xfId="36657" xr:uid="{00000000-0005-0000-0000-0000CF0C0000}"/>
    <cellStyle name="Remarque 2 2 2 2 5 17 2" xfId="60617" xr:uid="{00000000-0005-0000-0000-0000D00C0000}"/>
    <cellStyle name="Remarque 2 2 2 2 5 18" xfId="13070" xr:uid="{00000000-0005-0000-0000-0000D10C0000}"/>
    <cellStyle name="Remarque 2 2 2 2 5 19" xfId="37030" xr:uid="{00000000-0005-0000-0000-0000D20C0000}"/>
    <cellStyle name="Remarque 2 2 2 2 5 2" xfId="509" xr:uid="{00000000-0005-0000-0000-0000D30C0000}"/>
    <cellStyle name="Remarque 2 2 2 2 5 2 10" xfId="24541" xr:uid="{00000000-0005-0000-0000-0000D40C0000}"/>
    <cellStyle name="Remarque 2 2 2 2 5 2 10 2" xfId="48501" xr:uid="{00000000-0005-0000-0000-0000D50C0000}"/>
    <cellStyle name="Remarque 2 2 2 2 5 2 11" xfId="35817" xr:uid="{00000000-0005-0000-0000-0000D60C0000}"/>
    <cellStyle name="Remarque 2 2 2 2 5 2 11 2" xfId="59777" xr:uid="{00000000-0005-0000-0000-0000D70C0000}"/>
    <cellStyle name="Remarque 2 2 2 2 5 2 12" xfId="13206" xr:uid="{00000000-0005-0000-0000-0000D80C0000}"/>
    <cellStyle name="Remarque 2 2 2 2 5 2 13" xfId="37166" xr:uid="{00000000-0005-0000-0000-0000D90C0000}"/>
    <cellStyle name="Remarque 2 2 2 2 5 2 2" xfId="3415" xr:uid="{00000000-0005-0000-0000-0000DA0C0000}"/>
    <cellStyle name="Remarque 2 2 2 2 5 2 2 2" xfId="27429" xr:uid="{00000000-0005-0000-0000-0000DB0C0000}"/>
    <cellStyle name="Remarque 2 2 2 2 5 2 2 2 2" xfId="51389" xr:uid="{00000000-0005-0000-0000-0000DC0C0000}"/>
    <cellStyle name="Remarque 2 2 2 2 5 2 2 3" xfId="14676" xr:uid="{00000000-0005-0000-0000-0000DD0C0000}"/>
    <cellStyle name="Remarque 2 2 2 2 5 2 2 4" xfId="38636" xr:uid="{00000000-0005-0000-0000-0000DE0C0000}"/>
    <cellStyle name="Remarque 2 2 2 2 5 2 3" xfId="4849" xr:uid="{00000000-0005-0000-0000-0000DF0C0000}"/>
    <cellStyle name="Remarque 2 2 2 2 5 2 3 2" xfId="28863" xr:uid="{00000000-0005-0000-0000-0000E00C0000}"/>
    <cellStyle name="Remarque 2 2 2 2 5 2 3 2 2" xfId="52823" xr:uid="{00000000-0005-0000-0000-0000E10C0000}"/>
    <cellStyle name="Remarque 2 2 2 2 5 2 3 3" xfId="16110" xr:uid="{00000000-0005-0000-0000-0000E20C0000}"/>
    <cellStyle name="Remarque 2 2 2 2 5 2 3 4" xfId="40070" xr:uid="{00000000-0005-0000-0000-0000E30C0000}"/>
    <cellStyle name="Remarque 2 2 2 2 5 2 4" xfId="6243" xr:uid="{00000000-0005-0000-0000-0000E40C0000}"/>
    <cellStyle name="Remarque 2 2 2 2 5 2 4 2" xfId="30257" xr:uid="{00000000-0005-0000-0000-0000E50C0000}"/>
    <cellStyle name="Remarque 2 2 2 2 5 2 4 2 2" xfId="54217" xr:uid="{00000000-0005-0000-0000-0000E60C0000}"/>
    <cellStyle name="Remarque 2 2 2 2 5 2 4 3" xfId="17504" xr:uid="{00000000-0005-0000-0000-0000E70C0000}"/>
    <cellStyle name="Remarque 2 2 2 2 5 2 4 4" xfId="41464" xr:uid="{00000000-0005-0000-0000-0000E80C0000}"/>
    <cellStyle name="Remarque 2 2 2 2 5 2 5" xfId="7631" xr:uid="{00000000-0005-0000-0000-0000E90C0000}"/>
    <cellStyle name="Remarque 2 2 2 2 5 2 5 2" xfId="31645" xr:uid="{00000000-0005-0000-0000-0000EA0C0000}"/>
    <cellStyle name="Remarque 2 2 2 2 5 2 5 2 2" xfId="55605" xr:uid="{00000000-0005-0000-0000-0000EB0C0000}"/>
    <cellStyle name="Remarque 2 2 2 2 5 2 5 3" xfId="18892" xr:uid="{00000000-0005-0000-0000-0000EC0C0000}"/>
    <cellStyle name="Remarque 2 2 2 2 5 2 5 4" xfId="42852" xr:uid="{00000000-0005-0000-0000-0000ED0C0000}"/>
    <cellStyle name="Remarque 2 2 2 2 5 2 6" xfId="9016" xr:uid="{00000000-0005-0000-0000-0000EE0C0000}"/>
    <cellStyle name="Remarque 2 2 2 2 5 2 6 2" xfId="33030" xr:uid="{00000000-0005-0000-0000-0000EF0C0000}"/>
    <cellStyle name="Remarque 2 2 2 2 5 2 6 2 2" xfId="56990" xr:uid="{00000000-0005-0000-0000-0000F00C0000}"/>
    <cellStyle name="Remarque 2 2 2 2 5 2 6 3" xfId="20277" xr:uid="{00000000-0005-0000-0000-0000F10C0000}"/>
    <cellStyle name="Remarque 2 2 2 2 5 2 6 4" xfId="44237" xr:uid="{00000000-0005-0000-0000-0000F20C0000}"/>
    <cellStyle name="Remarque 2 2 2 2 5 2 7" xfId="10473" xr:uid="{00000000-0005-0000-0000-0000F30C0000}"/>
    <cellStyle name="Remarque 2 2 2 2 5 2 7 2" xfId="34483" xr:uid="{00000000-0005-0000-0000-0000F40C0000}"/>
    <cellStyle name="Remarque 2 2 2 2 5 2 7 2 2" xfId="58443" xr:uid="{00000000-0005-0000-0000-0000F50C0000}"/>
    <cellStyle name="Remarque 2 2 2 2 5 2 7 3" xfId="21740" xr:uid="{00000000-0005-0000-0000-0000F60C0000}"/>
    <cellStyle name="Remarque 2 2 2 2 5 2 7 4" xfId="45700" xr:uid="{00000000-0005-0000-0000-0000F70C0000}"/>
    <cellStyle name="Remarque 2 2 2 2 5 2 8" xfId="12042" xr:uid="{00000000-0005-0000-0000-0000F80C0000}"/>
    <cellStyle name="Remarque 2 2 2 2 5 2 8 2" xfId="23322" xr:uid="{00000000-0005-0000-0000-0000F90C0000}"/>
    <cellStyle name="Remarque 2 2 2 2 5 2 8 3" xfId="47282" xr:uid="{00000000-0005-0000-0000-0000FA0C0000}"/>
    <cellStyle name="Remarque 2 2 2 2 5 2 9" xfId="1945" xr:uid="{00000000-0005-0000-0000-0000FB0C0000}"/>
    <cellStyle name="Remarque 2 2 2 2 5 2 9 2" xfId="25959" xr:uid="{00000000-0005-0000-0000-0000FC0C0000}"/>
    <cellStyle name="Remarque 2 2 2 2 5 2 9 3" xfId="49919" xr:uid="{00000000-0005-0000-0000-0000FD0C0000}"/>
    <cellStyle name="Remarque 2 2 2 2 5 3" xfId="701" xr:uid="{00000000-0005-0000-0000-0000FE0C0000}"/>
    <cellStyle name="Remarque 2 2 2 2 5 3 10" xfId="24733" xr:uid="{00000000-0005-0000-0000-0000FF0C0000}"/>
    <cellStyle name="Remarque 2 2 2 2 5 3 10 2" xfId="48693" xr:uid="{00000000-0005-0000-0000-0000000D0000}"/>
    <cellStyle name="Remarque 2 2 2 2 5 3 11" xfId="36179" xr:uid="{00000000-0005-0000-0000-0000010D0000}"/>
    <cellStyle name="Remarque 2 2 2 2 5 3 11 2" xfId="60139" xr:uid="{00000000-0005-0000-0000-0000020D0000}"/>
    <cellStyle name="Remarque 2 2 2 2 5 3 12" xfId="13398" xr:uid="{00000000-0005-0000-0000-0000030D0000}"/>
    <cellStyle name="Remarque 2 2 2 2 5 3 13" xfId="37358" xr:uid="{00000000-0005-0000-0000-0000040D0000}"/>
    <cellStyle name="Remarque 2 2 2 2 5 3 2" xfId="3607" xr:uid="{00000000-0005-0000-0000-0000050D0000}"/>
    <cellStyle name="Remarque 2 2 2 2 5 3 2 2" xfId="27621" xr:uid="{00000000-0005-0000-0000-0000060D0000}"/>
    <cellStyle name="Remarque 2 2 2 2 5 3 2 2 2" xfId="51581" xr:uid="{00000000-0005-0000-0000-0000070D0000}"/>
    <cellStyle name="Remarque 2 2 2 2 5 3 2 3" xfId="14868" xr:uid="{00000000-0005-0000-0000-0000080D0000}"/>
    <cellStyle name="Remarque 2 2 2 2 5 3 2 4" xfId="38828" xr:uid="{00000000-0005-0000-0000-0000090D0000}"/>
    <cellStyle name="Remarque 2 2 2 2 5 3 3" xfId="5041" xr:uid="{00000000-0005-0000-0000-00000A0D0000}"/>
    <cellStyle name="Remarque 2 2 2 2 5 3 3 2" xfId="29055" xr:uid="{00000000-0005-0000-0000-00000B0D0000}"/>
    <cellStyle name="Remarque 2 2 2 2 5 3 3 2 2" xfId="53015" xr:uid="{00000000-0005-0000-0000-00000C0D0000}"/>
    <cellStyle name="Remarque 2 2 2 2 5 3 3 3" xfId="16302" xr:uid="{00000000-0005-0000-0000-00000D0D0000}"/>
    <cellStyle name="Remarque 2 2 2 2 5 3 3 4" xfId="40262" xr:uid="{00000000-0005-0000-0000-00000E0D0000}"/>
    <cellStyle name="Remarque 2 2 2 2 5 3 4" xfId="6435" xr:uid="{00000000-0005-0000-0000-00000F0D0000}"/>
    <cellStyle name="Remarque 2 2 2 2 5 3 4 2" xfId="30449" xr:uid="{00000000-0005-0000-0000-0000100D0000}"/>
    <cellStyle name="Remarque 2 2 2 2 5 3 4 2 2" xfId="54409" xr:uid="{00000000-0005-0000-0000-0000110D0000}"/>
    <cellStyle name="Remarque 2 2 2 2 5 3 4 3" xfId="17696" xr:uid="{00000000-0005-0000-0000-0000120D0000}"/>
    <cellStyle name="Remarque 2 2 2 2 5 3 4 4" xfId="41656" xr:uid="{00000000-0005-0000-0000-0000130D0000}"/>
    <cellStyle name="Remarque 2 2 2 2 5 3 5" xfId="7823" xr:uid="{00000000-0005-0000-0000-0000140D0000}"/>
    <cellStyle name="Remarque 2 2 2 2 5 3 5 2" xfId="31837" xr:uid="{00000000-0005-0000-0000-0000150D0000}"/>
    <cellStyle name="Remarque 2 2 2 2 5 3 5 2 2" xfId="55797" xr:uid="{00000000-0005-0000-0000-0000160D0000}"/>
    <cellStyle name="Remarque 2 2 2 2 5 3 5 3" xfId="19084" xr:uid="{00000000-0005-0000-0000-0000170D0000}"/>
    <cellStyle name="Remarque 2 2 2 2 5 3 5 4" xfId="43044" xr:uid="{00000000-0005-0000-0000-0000180D0000}"/>
    <cellStyle name="Remarque 2 2 2 2 5 3 6" xfId="9208" xr:uid="{00000000-0005-0000-0000-0000190D0000}"/>
    <cellStyle name="Remarque 2 2 2 2 5 3 6 2" xfId="33222" xr:uid="{00000000-0005-0000-0000-00001A0D0000}"/>
    <cellStyle name="Remarque 2 2 2 2 5 3 6 2 2" xfId="57182" xr:uid="{00000000-0005-0000-0000-00001B0D0000}"/>
    <cellStyle name="Remarque 2 2 2 2 5 3 6 3" xfId="20469" xr:uid="{00000000-0005-0000-0000-00001C0D0000}"/>
    <cellStyle name="Remarque 2 2 2 2 5 3 6 4" xfId="44429" xr:uid="{00000000-0005-0000-0000-00001D0D0000}"/>
    <cellStyle name="Remarque 2 2 2 2 5 3 7" xfId="10665" xr:uid="{00000000-0005-0000-0000-00001E0D0000}"/>
    <cellStyle name="Remarque 2 2 2 2 5 3 7 2" xfId="34675" xr:uid="{00000000-0005-0000-0000-00001F0D0000}"/>
    <cellStyle name="Remarque 2 2 2 2 5 3 7 2 2" xfId="58635" xr:uid="{00000000-0005-0000-0000-0000200D0000}"/>
    <cellStyle name="Remarque 2 2 2 2 5 3 7 3" xfId="21932" xr:uid="{00000000-0005-0000-0000-0000210D0000}"/>
    <cellStyle name="Remarque 2 2 2 2 5 3 7 4" xfId="45892" xr:uid="{00000000-0005-0000-0000-0000220D0000}"/>
    <cellStyle name="Remarque 2 2 2 2 5 3 8" xfId="12574" xr:uid="{00000000-0005-0000-0000-0000230D0000}"/>
    <cellStyle name="Remarque 2 2 2 2 5 3 8 2" xfId="23874" xr:uid="{00000000-0005-0000-0000-0000240D0000}"/>
    <cellStyle name="Remarque 2 2 2 2 5 3 8 3" xfId="47834" xr:uid="{00000000-0005-0000-0000-0000250D0000}"/>
    <cellStyle name="Remarque 2 2 2 2 5 3 9" xfId="2137" xr:uid="{00000000-0005-0000-0000-0000260D0000}"/>
    <cellStyle name="Remarque 2 2 2 2 5 3 9 2" xfId="26151" xr:uid="{00000000-0005-0000-0000-0000270D0000}"/>
    <cellStyle name="Remarque 2 2 2 2 5 3 9 3" xfId="50111" xr:uid="{00000000-0005-0000-0000-0000280D0000}"/>
    <cellStyle name="Remarque 2 2 2 2 5 4" xfId="895" xr:uid="{00000000-0005-0000-0000-0000290D0000}"/>
    <cellStyle name="Remarque 2 2 2 2 5 4 10" xfId="24927" xr:uid="{00000000-0005-0000-0000-00002A0D0000}"/>
    <cellStyle name="Remarque 2 2 2 2 5 4 10 2" xfId="48887" xr:uid="{00000000-0005-0000-0000-00002B0D0000}"/>
    <cellStyle name="Remarque 2 2 2 2 5 4 11" xfId="36328" xr:uid="{00000000-0005-0000-0000-00002C0D0000}"/>
    <cellStyle name="Remarque 2 2 2 2 5 4 11 2" xfId="60288" xr:uid="{00000000-0005-0000-0000-00002D0D0000}"/>
    <cellStyle name="Remarque 2 2 2 2 5 4 12" xfId="13592" xr:uid="{00000000-0005-0000-0000-00002E0D0000}"/>
    <cellStyle name="Remarque 2 2 2 2 5 4 13" xfId="37552" xr:uid="{00000000-0005-0000-0000-00002F0D0000}"/>
    <cellStyle name="Remarque 2 2 2 2 5 4 2" xfId="3801" xr:uid="{00000000-0005-0000-0000-0000300D0000}"/>
    <cellStyle name="Remarque 2 2 2 2 5 4 2 2" xfId="27815" xr:uid="{00000000-0005-0000-0000-0000310D0000}"/>
    <cellStyle name="Remarque 2 2 2 2 5 4 2 2 2" xfId="51775" xr:uid="{00000000-0005-0000-0000-0000320D0000}"/>
    <cellStyle name="Remarque 2 2 2 2 5 4 2 3" xfId="15062" xr:uid="{00000000-0005-0000-0000-0000330D0000}"/>
    <cellStyle name="Remarque 2 2 2 2 5 4 2 4" xfId="39022" xr:uid="{00000000-0005-0000-0000-0000340D0000}"/>
    <cellStyle name="Remarque 2 2 2 2 5 4 3" xfId="5235" xr:uid="{00000000-0005-0000-0000-0000350D0000}"/>
    <cellStyle name="Remarque 2 2 2 2 5 4 3 2" xfId="29249" xr:uid="{00000000-0005-0000-0000-0000360D0000}"/>
    <cellStyle name="Remarque 2 2 2 2 5 4 3 2 2" xfId="53209" xr:uid="{00000000-0005-0000-0000-0000370D0000}"/>
    <cellStyle name="Remarque 2 2 2 2 5 4 3 3" xfId="16496" xr:uid="{00000000-0005-0000-0000-0000380D0000}"/>
    <cellStyle name="Remarque 2 2 2 2 5 4 3 4" xfId="40456" xr:uid="{00000000-0005-0000-0000-0000390D0000}"/>
    <cellStyle name="Remarque 2 2 2 2 5 4 4" xfId="6629" xr:uid="{00000000-0005-0000-0000-00003A0D0000}"/>
    <cellStyle name="Remarque 2 2 2 2 5 4 4 2" xfId="30643" xr:uid="{00000000-0005-0000-0000-00003B0D0000}"/>
    <cellStyle name="Remarque 2 2 2 2 5 4 4 2 2" xfId="54603" xr:uid="{00000000-0005-0000-0000-00003C0D0000}"/>
    <cellStyle name="Remarque 2 2 2 2 5 4 4 3" xfId="17890" xr:uid="{00000000-0005-0000-0000-00003D0D0000}"/>
    <cellStyle name="Remarque 2 2 2 2 5 4 4 4" xfId="41850" xr:uid="{00000000-0005-0000-0000-00003E0D0000}"/>
    <cellStyle name="Remarque 2 2 2 2 5 4 5" xfId="8017" xr:uid="{00000000-0005-0000-0000-00003F0D0000}"/>
    <cellStyle name="Remarque 2 2 2 2 5 4 5 2" xfId="32031" xr:uid="{00000000-0005-0000-0000-0000400D0000}"/>
    <cellStyle name="Remarque 2 2 2 2 5 4 5 2 2" xfId="55991" xr:uid="{00000000-0005-0000-0000-0000410D0000}"/>
    <cellStyle name="Remarque 2 2 2 2 5 4 5 3" xfId="19278" xr:uid="{00000000-0005-0000-0000-0000420D0000}"/>
    <cellStyle name="Remarque 2 2 2 2 5 4 5 4" xfId="43238" xr:uid="{00000000-0005-0000-0000-0000430D0000}"/>
    <cellStyle name="Remarque 2 2 2 2 5 4 6" xfId="9402" xr:uid="{00000000-0005-0000-0000-0000440D0000}"/>
    <cellStyle name="Remarque 2 2 2 2 5 4 6 2" xfId="33416" xr:uid="{00000000-0005-0000-0000-0000450D0000}"/>
    <cellStyle name="Remarque 2 2 2 2 5 4 6 2 2" xfId="57376" xr:uid="{00000000-0005-0000-0000-0000460D0000}"/>
    <cellStyle name="Remarque 2 2 2 2 5 4 6 3" xfId="20663" xr:uid="{00000000-0005-0000-0000-0000470D0000}"/>
    <cellStyle name="Remarque 2 2 2 2 5 4 6 4" xfId="44623" xr:uid="{00000000-0005-0000-0000-0000480D0000}"/>
    <cellStyle name="Remarque 2 2 2 2 5 4 7" xfId="10859" xr:uid="{00000000-0005-0000-0000-0000490D0000}"/>
    <cellStyle name="Remarque 2 2 2 2 5 4 7 2" xfId="34869" xr:uid="{00000000-0005-0000-0000-00004A0D0000}"/>
    <cellStyle name="Remarque 2 2 2 2 5 4 7 2 2" xfId="58829" xr:uid="{00000000-0005-0000-0000-00004B0D0000}"/>
    <cellStyle name="Remarque 2 2 2 2 5 4 7 3" xfId="22126" xr:uid="{00000000-0005-0000-0000-00004C0D0000}"/>
    <cellStyle name="Remarque 2 2 2 2 5 4 7 4" xfId="46086" xr:uid="{00000000-0005-0000-0000-00004D0D0000}"/>
    <cellStyle name="Remarque 2 2 2 2 5 4 8" xfId="11600" xr:uid="{00000000-0005-0000-0000-00004E0D0000}"/>
    <cellStyle name="Remarque 2 2 2 2 5 4 8 2" xfId="22867" xr:uid="{00000000-0005-0000-0000-00004F0D0000}"/>
    <cellStyle name="Remarque 2 2 2 2 5 4 8 3" xfId="46827" xr:uid="{00000000-0005-0000-0000-0000500D0000}"/>
    <cellStyle name="Remarque 2 2 2 2 5 4 9" xfId="2331" xr:uid="{00000000-0005-0000-0000-0000510D0000}"/>
    <cellStyle name="Remarque 2 2 2 2 5 4 9 2" xfId="26345" xr:uid="{00000000-0005-0000-0000-0000520D0000}"/>
    <cellStyle name="Remarque 2 2 2 2 5 4 9 3" xfId="50305" xr:uid="{00000000-0005-0000-0000-0000530D0000}"/>
    <cellStyle name="Remarque 2 2 2 2 5 5" xfId="1088" xr:uid="{00000000-0005-0000-0000-0000540D0000}"/>
    <cellStyle name="Remarque 2 2 2 2 5 5 10" xfId="25120" xr:uid="{00000000-0005-0000-0000-0000550D0000}"/>
    <cellStyle name="Remarque 2 2 2 2 5 5 10 2" xfId="49080" xr:uid="{00000000-0005-0000-0000-0000560D0000}"/>
    <cellStyle name="Remarque 2 2 2 2 5 5 11" xfId="35971" xr:uid="{00000000-0005-0000-0000-0000570D0000}"/>
    <cellStyle name="Remarque 2 2 2 2 5 5 11 2" xfId="59931" xr:uid="{00000000-0005-0000-0000-0000580D0000}"/>
    <cellStyle name="Remarque 2 2 2 2 5 5 12" xfId="13785" xr:uid="{00000000-0005-0000-0000-0000590D0000}"/>
    <cellStyle name="Remarque 2 2 2 2 5 5 13" xfId="37745" xr:uid="{00000000-0005-0000-0000-00005A0D0000}"/>
    <cellStyle name="Remarque 2 2 2 2 5 5 2" xfId="3994" xr:uid="{00000000-0005-0000-0000-00005B0D0000}"/>
    <cellStyle name="Remarque 2 2 2 2 5 5 2 2" xfId="28008" xr:uid="{00000000-0005-0000-0000-00005C0D0000}"/>
    <cellStyle name="Remarque 2 2 2 2 5 5 2 2 2" xfId="51968" xr:uid="{00000000-0005-0000-0000-00005D0D0000}"/>
    <cellStyle name="Remarque 2 2 2 2 5 5 2 3" xfId="15255" xr:uid="{00000000-0005-0000-0000-00005E0D0000}"/>
    <cellStyle name="Remarque 2 2 2 2 5 5 2 4" xfId="39215" xr:uid="{00000000-0005-0000-0000-00005F0D0000}"/>
    <cellStyle name="Remarque 2 2 2 2 5 5 3" xfId="5428" xr:uid="{00000000-0005-0000-0000-0000600D0000}"/>
    <cellStyle name="Remarque 2 2 2 2 5 5 3 2" xfId="29442" xr:uid="{00000000-0005-0000-0000-0000610D0000}"/>
    <cellStyle name="Remarque 2 2 2 2 5 5 3 2 2" xfId="53402" xr:uid="{00000000-0005-0000-0000-0000620D0000}"/>
    <cellStyle name="Remarque 2 2 2 2 5 5 3 3" xfId="16689" xr:uid="{00000000-0005-0000-0000-0000630D0000}"/>
    <cellStyle name="Remarque 2 2 2 2 5 5 3 4" xfId="40649" xr:uid="{00000000-0005-0000-0000-0000640D0000}"/>
    <cellStyle name="Remarque 2 2 2 2 5 5 4" xfId="6822" xr:uid="{00000000-0005-0000-0000-0000650D0000}"/>
    <cellStyle name="Remarque 2 2 2 2 5 5 4 2" xfId="30836" xr:uid="{00000000-0005-0000-0000-0000660D0000}"/>
    <cellStyle name="Remarque 2 2 2 2 5 5 4 2 2" xfId="54796" xr:uid="{00000000-0005-0000-0000-0000670D0000}"/>
    <cellStyle name="Remarque 2 2 2 2 5 5 4 3" xfId="18083" xr:uid="{00000000-0005-0000-0000-0000680D0000}"/>
    <cellStyle name="Remarque 2 2 2 2 5 5 4 4" xfId="42043" xr:uid="{00000000-0005-0000-0000-0000690D0000}"/>
    <cellStyle name="Remarque 2 2 2 2 5 5 5" xfId="8210" xr:uid="{00000000-0005-0000-0000-00006A0D0000}"/>
    <cellStyle name="Remarque 2 2 2 2 5 5 5 2" xfId="32224" xr:uid="{00000000-0005-0000-0000-00006B0D0000}"/>
    <cellStyle name="Remarque 2 2 2 2 5 5 5 2 2" xfId="56184" xr:uid="{00000000-0005-0000-0000-00006C0D0000}"/>
    <cellStyle name="Remarque 2 2 2 2 5 5 5 3" xfId="19471" xr:uid="{00000000-0005-0000-0000-00006D0D0000}"/>
    <cellStyle name="Remarque 2 2 2 2 5 5 5 4" xfId="43431" xr:uid="{00000000-0005-0000-0000-00006E0D0000}"/>
    <cellStyle name="Remarque 2 2 2 2 5 5 6" xfId="9595" xr:uid="{00000000-0005-0000-0000-00006F0D0000}"/>
    <cellStyle name="Remarque 2 2 2 2 5 5 6 2" xfId="33609" xr:uid="{00000000-0005-0000-0000-0000700D0000}"/>
    <cellStyle name="Remarque 2 2 2 2 5 5 6 2 2" xfId="57569" xr:uid="{00000000-0005-0000-0000-0000710D0000}"/>
    <cellStyle name="Remarque 2 2 2 2 5 5 6 3" xfId="20856" xr:uid="{00000000-0005-0000-0000-0000720D0000}"/>
    <cellStyle name="Remarque 2 2 2 2 5 5 6 4" xfId="44816" xr:uid="{00000000-0005-0000-0000-0000730D0000}"/>
    <cellStyle name="Remarque 2 2 2 2 5 5 7" xfId="11052" xr:uid="{00000000-0005-0000-0000-0000740D0000}"/>
    <cellStyle name="Remarque 2 2 2 2 5 5 7 2" xfId="35062" xr:uid="{00000000-0005-0000-0000-0000750D0000}"/>
    <cellStyle name="Remarque 2 2 2 2 5 5 7 2 2" xfId="59022" xr:uid="{00000000-0005-0000-0000-0000760D0000}"/>
    <cellStyle name="Remarque 2 2 2 2 5 5 7 3" xfId="22319" xr:uid="{00000000-0005-0000-0000-0000770D0000}"/>
    <cellStyle name="Remarque 2 2 2 2 5 5 7 4" xfId="46279" xr:uid="{00000000-0005-0000-0000-0000780D0000}"/>
    <cellStyle name="Remarque 2 2 2 2 5 5 8" xfId="12610" xr:uid="{00000000-0005-0000-0000-0000790D0000}"/>
    <cellStyle name="Remarque 2 2 2 2 5 5 8 2" xfId="23912" xr:uid="{00000000-0005-0000-0000-00007A0D0000}"/>
    <cellStyle name="Remarque 2 2 2 2 5 5 8 3" xfId="47872" xr:uid="{00000000-0005-0000-0000-00007B0D0000}"/>
    <cellStyle name="Remarque 2 2 2 2 5 5 9" xfId="2524" xr:uid="{00000000-0005-0000-0000-00007C0D0000}"/>
    <cellStyle name="Remarque 2 2 2 2 5 5 9 2" xfId="26538" xr:uid="{00000000-0005-0000-0000-00007D0D0000}"/>
    <cellStyle name="Remarque 2 2 2 2 5 5 9 3" xfId="50498" xr:uid="{00000000-0005-0000-0000-00007E0D0000}"/>
    <cellStyle name="Remarque 2 2 2 2 5 6" xfId="1255" xr:uid="{00000000-0005-0000-0000-00007F0D0000}"/>
    <cellStyle name="Remarque 2 2 2 2 5 6 10" xfId="25287" xr:uid="{00000000-0005-0000-0000-0000800D0000}"/>
    <cellStyle name="Remarque 2 2 2 2 5 6 10 2" xfId="49247" xr:uid="{00000000-0005-0000-0000-0000810D0000}"/>
    <cellStyle name="Remarque 2 2 2 2 5 6 11" xfId="36400" xr:uid="{00000000-0005-0000-0000-0000820D0000}"/>
    <cellStyle name="Remarque 2 2 2 2 5 6 11 2" xfId="60360" xr:uid="{00000000-0005-0000-0000-0000830D0000}"/>
    <cellStyle name="Remarque 2 2 2 2 5 6 12" xfId="13952" xr:uid="{00000000-0005-0000-0000-0000840D0000}"/>
    <cellStyle name="Remarque 2 2 2 2 5 6 13" xfId="37912" xr:uid="{00000000-0005-0000-0000-0000850D0000}"/>
    <cellStyle name="Remarque 2 2 2 2 5 6 2" xfId="4161" xr:uid="{00000000-0005-0000-0000-0000860D0000}"/>
    <cellStyle name="Remarque 2 2 2 2 5 6 2 2" xfId="28175" xr:uid="{00000000-0005-0000-0000-0000870D0000}"/>
    <cellStyle name="Remarque 2 2 2 2 5 6 2 2 2" xfId="52135" xr:uid="{00000000-0005-0000-0000-0000880D0000}"/>
    <cellStyle name="Remarque 2 2 2 2 5 6 2 3" xfId="15422" xr:uid="{00000000-0005-0000-0000-0000890D0000}"/>
    <cellStyle name="Remarque 2 2 2 2 5 6 2 4" xfId="39382" xr:uid="{00000000-0005-0000-0000-00008A0D0000}"/>
    <cellStyle name="Remarque 2 2 2 2 5 6 3" xfId="5595" xr:uid="{00000000-0005-0000-0000-00008B0D0000}"/>
    <cellStyle name="Remarque 2 2 2 2 5 6 3 2" xfId="29609" xr:uid="{00000000-0005-0000-0000-00008C0D0000}"/>
    <cellStyle name="Remarque 2 2 2 2 5 6 3 2 2" xfId="53569" xr:uid="{00000000-0005-0000-0000-00008D0D0000}"/>
    <cellStyle name="Remarque 2 2 2 2 5 6 3 3" xfId="16856" xr:uid="{00000000-0005-0000-0000-00008E0D0000}"/>
    <cellStyle name="Remarque 2 2 2 2 5 6 3 4" xfId="40816" xr:uid="{00000000-0005-0000-0000-00008F0D0000}"/>
    <cellStyle name="Remarque 2 2 2 2 5 6 4" xfId="6989" xr:uid="{00000000-0005-0000-0000-0000900D0000}"/>
    <cellStyle name="Remarque 2 2 2 2 5 6 4 2" xfId="31003" xr:uid="{00000000-0005-0000-0000-0000910D0000}"/>
    <cellStyle name="Remarque 2 2 2 2 5 6 4 2 2" xfId="54963" xr:uid="{00000000-0005-0000-0000-0000920D0000}"/>
    <cellStyle name="Remarque 2 2 2 2 5 6 4 3" xfId="18250" xr:uid="{00000000-0005-0000-0000-0000930D0000}"/>
    <cellStyle name="Remarque 2 2 2 2 5 6 4 4" xfId="42210" xr:uid="{00000000-0005-0000-0000-0000940D0000}"/>
    <cellStyle name="Remarque 2 2 2 2 5 6 5" xfId="8377" xr:uid="{00000000-0005-0000-0000-0000950D0000}"/>
    <cellStyle name="Remarque 2 2 2 2 5 6 5 2" xfId="32391" xr:uid="{00000000-0005-0000-0000-0000960D0000}"/>
    <cellStyle name="Remarque 2 2 2 2 5 6 5 2 2" xfId="56351" xr:uid="{00000000-0005-0000-0000-0000970D0000}"/>
    <cellStyle name="Remarque 2 2 2 2 5 6 5 3" xfId="19638" xr:uid="{00000000-0005-0000-0000-0000980D0000}"/>
    <cellStyle name="Remarque 2 2 2 2 5 6 5 4" xfId="43598" xr:uid="{00000000-0005-0000-0000-0000990D0000}"/>
    <cellStyle name="Remarque 2 2 2 2 5 6 6" xfId="9762" xr:uid="{00000000-0005-0000-0000-00009A0D0000}"/>
    <cellStyle name="Remarque 2 2 2 2 5 6 6 2" xfId="33776" xr:uid="{00000000-0005-0000-0000-00009B0D0000}"/>
    <cellStyle name="Remarque 2 2 2 2 5 6 6 2 2" xfId="57736" xr:uid="{00000000-0005-0000-0000-00009C0D0000}"/>
    <cellStyle name="Remarque 2 2 2 2 5 6 6 3" xfId="21023" xr:uid="{00000000-0005-0000-0000-00009D0D0000}"/>
    <cellStyle name="Remarque 2 2 2 2 5 6 6 4" xfId="44983" xr:uid="{00000000-0005-0000-0000-00009E0D0000}"/>
    <cellStyle name="Remarque 2 2 2 2 5 6 7" xfId="11219" xr:uid="{00000000-0005-0000-0000-00009F0D0000}"/>
    <cellStyle name="Remarque 2 2 2 2 5 6 7 2" xfId="35229" xr:uid="{00000000-0005-0000-0000-0000A00D0000}"/>
    <cellStyle name="Remarque 2 2 2 2 5 6 7 2 2" xfId="59189" xr:uid="{00000000-0005-0000-0000-0000A10D0000}"/>
    <cellStyle name="Remarque 2 2 2 2 5 6 7 3" xfId="22486" xr:uid="{00000000-0005-0000-0000-0000A20D0000}"/>
    <cellStyle name="Remarque 2 2 2 2 5 6 7 4" xfId="46446" xr:uid="{00000000-0005-0000-0000-0000A30D0000}"/>
    <cellStyle name="Remarque 2 2 2 2 5 6 8" xfId="11660" xr:uid="{00000000-0005-0000-0000-0000A40D0000}"/>
    <cellStyle name="Remarque 2 2 2 2 5 6 8 2" xfId="22928" xr:uid="{00000000-0005-0000-0000-0000A50D0000}"/>
    <cellStyle name="Remarque 2 2 2 2 5 6 8 3" xfId="46888" xr:uid="{00000000-0005-0000-0000-0000A60D0000}"/>
    <cellStyle name="Remarque 2 2 2 2 5 6 9" xfId="2691" xr:uid="{00000000-0005-0000-0000-0000A70D0000}"/>
    <cellStyle name="Remarque 2 2 2 2 5 6 9 2" xfId="26705" xr:uid="{00000000-0005-0000-0000-0000A80D0000}"/>
    <cellStyle name="Remarque 2 2 2 2 5 6 9 3" xfId="50665" xr:uid="{00000000-0005-0000-0000-0000A90D0000}"/>
    <cellStyle name="Remarque 2 2 2 2 5 7" xfId="1424" xr:uid="{00000000-0005-0000-0000-0000AA0D0000}"/>
    <cellStyle name="Remarque 2 2 2 2 5 7 10" xfId="25456" xr:uid="{00000000-0005-0000-0000-0000AB0D0000}"/>
    <cellStyle name="Remarque 2 2 2 2 5 7 10 2" xfId="49416" xr:uid="{00000000-0005-0000-0000-0000AC0D0000}"/>
    <cellStyle name="Remarque 2 2 2 2 5 7 11" xfId="36793" xr:uid="{00000000-0005-0000-0000-0000AD0D0000}"/>
    <cellStyle name="Remarque 2 2 2 2 5 7 11 2" xfId="60753" xr:uid="{00000000-0005-0000-0000-0000AE0D0000}"/>
    <cellStyle name="Remarque 2 2 2 2 5 7 12" xfId="14121" xr:uid="{00000000-0005-0000-0000-0000AF0D0000}"/>
    <cellStyle name="Remarque 2 2 2 2 5 7 13" xfId="38081" xr:uid="{00000000-0005-0000-0000-0000B00D0000}"/>
    <cellStyle name="Remarque 2 2 2 2 5 7 2" xfId="4330" xr:uid="{00000000-0005-0000-0000-0000B10D0000}"/>
    <cellStyle name="Remarque 2 2 2 2 5 7 2 2" xfId="28344" xr:uid="{00000000-0005-0000-0000-0000B20D0000}"/>
    <cellStyle name="Remarque 2 2 2 2 5 7 2 2 2" xfId="52304" xr:uid="{00000000-0005-0000-0000-0000B30D0000}"/>
    <cellStyle name="Remarque 2 2 2 2 5 7 2 3" xfId="15591" xr:uid="{00000000-0005-0000-0000-0000B40D0000}"/>
    <cellStyle name="Remarque 2 2 2 2 5 7 2 4" xfId="39551" xr:uid="{00000000-0005-0000-0000-0000B50D0000}"/>
    <cellStyle name="Remarque 2 2 2 2 5 7 3" xfId="5764" xr:uid="{00000000-0005-0000-0000-0000B60D0000}"/>
    <cellStyle name="Remarque 2 2 2 2 5 7 3 2" xfId="29778" xr:uid="{00000000-0005-0000-0000-0000B70D0000}"/>
    <cellStyle name="Remarque 2 2 2 2 5 7 3 2 2" xfId="53738" xr:uid="{00000000-0005-0000-0000-0000B80D0000}"/>
    <cellStyle name="Remarque 2 2 2 2 5 7 3 3" xfId="17025" xr:uid="{00000000-0005-0000-0000-0000B90D0000}"/>
    <cellStyle name="Remarque 2 2 2 2 5 7 3 4" xfId="40985" xr:uid="{00000000-0005-0000-0000-0000BA0D0000}"/>
    <cellStyle name="Remarque 2 2 2 2 5 7 4" xfId="7158" xr:uid="{00000000-0005-0000-0000-0000BB0D0000}"/>
    <cellStyle name="Remarque 2 2 2 2 5 7 4 2" xfId="31172" xr:uid="{00000000-0005-0000-0000-0000BC0D0000}"/>
    <cellStyle name="Remarque 2 2 2 2 5 7 4 2 2" xfId="55132" xr:uid="{00000000-0005-0000-0000-0000BD0D0000}"/>
    <cellStyle name="Remarque 2 2 2 2 5 7 4 3" xfId="18419" xr:uid="{00000000-0005-0000-0000-0000BE0D0000}"/>
    <cellStyle name="Remarque 2 2 2 2 5 7 4 4" xfId="42379" xr:uid="{00000000-0005-0000-0000-0000BF0D0000}"/>
    <cellStyle name="Remarque 2 2 2 2 5 7 5" xfId="8546" xr:uid="{00000000-0005-0000-0000-0000C00D0000}"/>
    <cellStyle name="Remarque 2 2 2 2 5 7 5 2" xfId="32560" xr:uid="{00000000-0005-0000-0000-0000C10D0000}"/>
    <cellStyle name="Remarque 2 2 2 2 5 7 5 2 2" xfId="56520" xr:uid="{00000000-0005-0000-0000-0000C20D0000}"/>
    <cellStyle name="Remarque 2 2 2 2 5 7 5 3" xfId="19807" xr:uid="{00000000-0005-0000-0000-0000C30D0000}"/>
    <cellStyle name="Remarque 2 2 2 2 5 7 5 4" xfId="43767" xr:uid="{00000000-0005-0000-0000-0000C40D0000}"/>
    <cellStyle name="Remarque 2 2 2 2 5 7 6" xfId="9931" xr:uid="{00000000-0005-0000-0000-0000C50D0000}"/>
    <cellStyle name="Remarque 2 2 2 2 5 7 6 2" xfId="33945" xr:uid="{00000000-0005-0000-0000-0000C60D0000}"/>
    <cellStyle name="Remarque 2 2 2 2 5 7 6 2 2" xfId="57905" xr:uid="{00000000-0005-0000-0000-0000C70D0000}"/>
    <cellStyle name="Remarque 2 2 2 2 5 7 6 3" xfId="21192" xr:uid="{00000000-0005-0000-0000-0000C80D0000}"/>
    <cellStyle name="Remarque 2 2 2 2 5 7 6 4" xfId="45152" xr:uid="{00000000-0005-0000-0000-0000C90D0000}"/>
    <cellStyle name="Remarque 2 2 2 2 5 7 7" xfId="11388" xr:uid="{00000000-0005-0000-0000-0000CA0D0000}"/>
    <cellStyle name="Remarque 2 2 2 2 5 7 7 2" xfId="35398" xr:uid="{00000000-0005-0000-0000-0000CB0D0000}"/>
    <cellStyle name="Remarque 2 2 2 2 5 7 7 2 2" xfId="59358" xr:uid="{00000000-0005-0000-0000-0000CC0D0000}"/>
    <cellStyle name="Remarque 2 2 2 2 5 7 7 3" xfId="22655" xr:uid="{00000000-0005-0000-0000-0000CD0D0000}"/>
    <cellStyle name="Remarque 2 2 2 2 5 7 7 4" xfId="46615" xr:uid="{00000000-0005-0000-0000-0000CE0D0000}"/>
    <cellStyle name="Remarque 2 2 2 2 5 7 8" xfId="12568" xr:uid="{00000000-0005-0000-0000-0000CF0D0000}"/>
    <cellStyle name="Remarque 2 2 2 2 5 7 8 2" xfId="23868" xr:uid="{00000000-0005-0000-0000-0000D00D0000}"/>
    <cellStyle name="Remarque 2 2 2 2 5 7 8 3" xfId="47828" xr:uid="{00000000-0005-0000-0000-0000D10D0000}"/>
    <cellStyle name="Remarque 2 2 2 2 5 7 9" xfId="2860" xr:uid="{00000000-0005-0000-0000-0000D20D0000}"/>
    <cellStyle name="Remarque 2 2 2 2 5 7 9 2" xfId="26874" xr:uid="{00000000-0005-0000-0000-0000D30D0000}"/>
    <cellStyle name="Remarque 2 2 2 2 5 7 9 3" xfId="50834" xr:uid="{00000000-0005-0000-0000-0000D40D0000}"/>
    <cellStyle name="Remarque 2 2 2 2 5 8" xfId="3279" xr:uid="{00000000-0005-0000-0000-0000D50D0000}"/>
    <cellStyle name="Remarque 2 2 2 2 5 8 2" xfId="27293" xr:uid="{00000000-0005-0000-0000-0000D60D0000}"/>
    <cellStyle name="Remarque 2 2 2 2 5 8 2 2" xfId="51253" xr:uid="{00000000-0005-0000-0000-0000D70D0000}"/>
    <cellStyle name="Remarque 2 2 2 2 5 8 3" xfId="14540" xr:uid="{00000000-0005-0000-0000-0000D80D0000}"/>
    <cellStyle name="Remarque 2 2 2 2 5 8 4" xfId="38500" xr:uid="{00000000-0005-0000-0000-0000D90D0000}"/>
    <cellStyle name="Remarque 2 2 2 2 5 9" xfId="4713" xr:uid="{00000000-0005-0000-0000-0000DA0D0000}"/>
    <cellStyle name="Remarque 2 2 2 2 5 9 2" xfId="28727" xr:uid="{00000000-0005-0000-0000-0000DB0D0000}"/>
    <cellStyle name="Remarque 2 2 2 2 5 9 2 2" xfId="52687" xr:uid="{00000000-0005-0000-0000-0000DC0D0000}"/>
    <cellStyle name="Remarque 2 2 2 2 5 9 3" xfId="15974" xr:uid="{00000000-0005-0000-0000-0000DD0D0000}"/>
    <cellStyle name="Remarque 2 2 2 2 5 9 4" xfId="39934" xr:uid="{00000000-0005-0000-0000-0000DE0D0000}"/>
    <cellStyle name="Remarque 2 2 2 2 6" xfId="319" xr:uid="{00000000-0005-0000-0000-0000DF0D0000}"/>
    <cellStyle name="Remarque 2 2 2 2 6 10" xfId="24351" xr:uid="{00000000-0005-0000-0000-0000E00D0000}"/>
    <cellStyle name="Remarque 2 2 2 2 6 10 2" xfId="48311" xr:uid="{00000000-0005-0000-0000-0000E10D0000}"/>
    <cellStyle name="Remarque 2 2 2 2 6 11" xfId="36433" xr:uid="{00000000-0005-0000-0000-0000E20D0000}"/>
    <cellStyle name="Remarque 2 2 2 2 6 11 2" xfId="60393" xr:uid="{00000000-0005-0000-0000-0000E30D0000}"/>
    <cellStyle name="Remarque 2 2 2 2 6 12" xfId="13016" xr:uid="{00000000-0005-0000-0000-0000E40D0000}"/>
    <cellStyle name="Remarque 2 2 2 2 6 13" xfId="36976" xr:uid="{00000000-0005-0000-0000-0000E50D0000}"/>
    <cellStyle name="Remarque 2 2 2 2 6 2" xfId="3225" xr:uid="{00000000-0005-0000-0000-0000E60D0000}"/>
    <cellStyle name="Remarque 2 2 2 2 6 2 2" xfId="27239" xr:uid="{00000000-0005-0000-0000-0000E70D0000}"/>
    <cellStyle name="Remarque 2 2 2 2 6 2 2 2" xfId="51199" xr:uid="{00000000-0005-0000-0000-0000E80D0000}"/>
    <cellStyle name="Remarque 2 2 2 2 6 2 3" xfId="14486" xr:uid="{00000000-0005-0000-0000-0000E90D0000}"/>
    <cellStyle name="Remarque 2 2 2 2 6 2 4" xfId="38446" xr:uid="{00000000-0005-0000-0000-0000EA0D0000}"/>
    <cellStyle name="Remarque 2 2 2 2 6 3" xfId="4659" xr:uid="{00000000-0005-0000-0000-0000EB0D0000}"/>
    <cellStyle name="Remarque 2 2 2 2 6 3 2" xfId="28673" xr:uid="{00000000-0005-0000-0000-0000EC0D0000}"/>
    <cellStyle name="Remarque 2 2 2 2 6 3 2 2" xfId="52633" xr:uid="{00000000-0005-0000-0000-0000ED0D0000}"/>
    <cellStyle name="Remarque 2 2 2 2 6 3 3" xfId="15920" xr:uid="{00000000-0005-0000-0000-0000EE0D0000}"/>
    <cellStyle name="Remarque 2 2 2 2 6 3 4" xfId="39880" xr:uid="{00000000-0005-0000-0000-0000EF0D0000}"/>
    <cellStyle name="Remarque 2 2 2 2 6 4" xfId="6053" xr:uid="{00000000-0005-0000-0000-0000F00D0000}"/>
    <cellStyle name="Remarque 2 2 2 2 6 4 2" xfId="30067" xr:uid="{00000000-0005-0000-0000-0000F10D0000}"/>
    <cellStyle name="Remarque 2 2 2 2 6 4 2 2" xfId="54027" xr:uid="{00000000-0005-0000-0000-0000F20D0000}"/>
    <cellStyle name="Remarque 2 2 2 2 6 4 3" xfId="17314" xr:uid="{00000000-0005-0000-0000-0000F30D0000}"/>
    <cellStyle name="Remarque 2 2 2 2 6 4 4" xfId="41274" xr:uid="{00000000-0005-0000-0000-0000F40D0000}"/>
    <cellStyle name="Remarque 2 2 2 2 6 5" xfId="7441" xr:uid="{00000000-0005-0000-0000-0000F50D0000}"/>
    <cellStyle name="Remarque 2 2 2 2 6 5 2" xfId="31455" xr:uid="{00000000-0005-0000-0000-0000F60D0000}"/>
    <cellStyle name="Remarque 2 2 2 2 6 5 2 2" xfId="55415" xr:uid="{00000000-0005-0000-0000-0000F70D0000}"/>
    <cellStyle name="Remarque 2 2 2 2 6 5 3" xfId="18702" xr:uid="{00000000-0005-0000-0000-0000F80D0000}"/>
    <cellStyle name="Remarque 2 2 2 2 6 5 4" xfId="42662" xr:uid="{00000000-0005-0000-0000-0000F90D0000}"/>
    <cellStyle name="Remarque 2 2 2 2 6 6" xfId="8826" xr:uid="{00000000-0005-0000-0000-0000FA0D0000}"/>
    <cellStyle name="Remarque 2 2 2 2 6 6 2" xfId="32840" xr:uid="{00000000-0005-0000-0000-0000FB0D0000}"/>
    <cellStyle name="Remarque 2 2 2 2 6 6 2 2" xfId="56800" xr:uid="{00000000-0005-0000-0000-0000FC0D0000}"/>
    <cellStyle name="Remarque 2 2 2 2 6 6 3" xfId="20087" xr:uid="{00000000-0005-0000-0000-0000FD0D0000}"/>
    <cellStyle name="Remarque 2 2 2 2 6 6 4" xfId="44047" xr:uid="{00000000-0005-0000-0000-0000FE0D0000}"/>
    <cellStyle name="Remarque 2 2 2 2 6 7" xfId="10283" xr:uid="{00000000-0005-0000-0000-0000FF0D0000}"/>
    <cellStyle name="Remarque 2 2 2 2 6 7 2" xfId="34293" xr:uid="{00000000-0005-0000-0000-0000000E0000}"/>
    <cellStyle name="Remarque 2 2 2 2 6 7 2 2" xfId="58253" xr:uid="{00000000-0005-0000-0000-0000010E0000}"/>
    <cellStyle name="Remarque 2 2 2 2 6 7 3" xfId="21550" xr:uid="{00000000-0005-0000-0000-0000020E0000}"/>
    <cellStyle name="Remarque 2 2 2 2 6 7 4" xfId="45510" xr:uid="{00000000-0005-0000-0000-0000030E0000}"/>
    <cellStyle name="Remarque 2 2 2 2 6 8" xfId="12288" xr:uid="{00000000-0005-0000-0000-0000040E0000}"/>
    <cellStyle name="Remarque 2 2 2 2 6 8 2" xfId="23576" xr:uid="{00000000-0005-0000-0000-0000050E0000}"/>
    <cellStyle name="Remarque 2 2 2 2 6 8 3" xfId="47536" xr:uid="{00000000-0005-0000-0000-0000060E0000}"/>
    <cellStyle name="Remarque 2 2 2 2 6 9" xfId="1755" xr:uid="{00000000-0005-0000-0000-0000070E0000}"/>
    <cellStyle name="Remarque 2 2 2 2 6 9 2" xfId="25769" xr:uid="{00000000-0005-0000-0000-0000080E0000}"/>
    <cellStyle name="Remarque 2 2 2 2 6 9 3" xfId="49729" xr:uid="{00000000-0005-0000-0000-0000090E0000}"/>
    <cellStyle name="Remarque 2 2 2 2 7" xfId="632" xr:uid="{00000000-0005-0000-0000-00000A0E0000}"/>
    <cellStyle name="Remarque 2 2 2 2 7 10" xfId="24664" xr:uid="{00000000-0005-0000-0000-00000B0E0000}"/>
    <cellStyle name="Remarque 2 2 2 2 7 10 2" xfId="48624" xr:uid="{00000000-0005-0000-0000-00000C0E0000}"/>
    <cellStyle name="Remarque 2 2 2 2 7 11" xfId="35966" xr:uid="{00000000-0005-0000-0000-00000D0E0000}"/>
    <cellStyle name="Remarque 2 2 2 2 7 11 2" xfId="59926" xr:uid="{00000000-0005-0000-0000-00000E0E0000}"/>
    <cellStyle name="Remarque 2 2 2 2 7 12" xfId="13329" xr:uid="{00000000-0005-0000-0000-00000F0E0000}"/>
    <cellStyle name="Remarque 2 2 2 2 7 13" xfId="37289" xr:uid="{00000000-0005-0000-0000-0000100E0000}"/>
    <cellStyle name="Remarque 2 2 2 2 7 2" xfId="3538" xr:uid="{00000000-0005-0000-0000-0000110E0000}"/>
    <cellStyle name="Remarque 2 2 2 2 7 2 2" xfId="27552" xr:uid="{00000000-0005-0000-0000-0000120E0000}"/>
    <cellStyle name="Remarque 2 2 2 2 7 2 2 2" xfId="51512" xr:uid="{00000000-0005-0000-0000-0000130E0000}"/>
    <cellStyle name="Remarque 2 2 2 2 7 2 3" xfId="14799" xr:uid="{00000000-0005-0000-0000-0000140E0000}"/>
    <cellStyle name="Remarque 2 2 2 2 7 2 4" xfId="38759" xr:uid="{00000000-0005-0000-0000-0000150E0000}"/>
    <cellStyle name="Remarque 2 2 2 2 7 3" xfId="4972" xr:uid="{00000000-0005-0000-0000-0000160E0000}"/>
    <cellStyle name="Remarque 2 2 2 2 7 3 2" xfId="28986" xr:uid="{00000000-0005-0000-0000-0000170E0000}"/>
    <cellStyle name="Remarque 2 2 2 2 7 3 2 2" xfId="52946" xr:uid="{00000000-0005-0000-0000-0000180E0000}"/>
    <cellStyle name="Remarque 2 2 2 2 7 3 3" xfId="16233" xr:uid="{00000000-0005-0000-0000-0000190E0000}"/>
    <cellStyle name="Remarque 2 2 2 2 7 3 4" xfId="40193" xr:uid="{00000000-0005-0000-0000-00001A0E0000}"/>
    <cellStyle name="Remarque 2 2 2 2 7 4" xfId="6366" xr:uid="{00000000-0005-0000-0000-00001B0E0000}"/>
    <cellStyle name="Remarque 2 2 2 2 7 4 2" xfId="30380" xr:uid="{00000000-0005-0000-0000-00001C0E0000}"/>
    <cellStyle name="Remarque 2 2 2 2 7 4 2 2" xfId="54340" xr:uid="{00000000-0005-0000-0000-00001D0E0000}"/>
    <cellStyle name="Remarque 2 2 2 2 7 4 3" xfId="17627" xr:uid="{00000000-0005-0000-0000-00001E0E0000}"/>
    <cellStyle name="Remarque 2 2 2 2 7 4 4" xfId="41587" xr:uid="{00000000-0005-0000-0000-00001F0E0000}"/>
    <cellStyle name="Remarque 2 2 2 2 7 5" xfId="7754" xr:uid="{00000000-0005-0000-0000-0000200E0000}"/>
    <cellStyle name="Remarque 2 2 2 2 7 5 2" xfId="31768" xr:uid="{00000000-0005-0000-0000-0000210E0000}"/>
    <cellStyle name="Remarque 2 2 2 2 7 5 2 2" xfId="55728" xr:uid="{00000000-0005-0000-0000-0000220E0000}"/>
    <cellStyle name="Remarque 2 2 2 2 7 5 3" xfId="19015" xr:uid="{00000000-0005-0000-0000-0000230E0000}"/>
    <cellStyle name="Remarque 2 2 2 2 7 5 4" xfId="42975" xr:uid="{00000000-0005-0000-0000-0000240E0000}"/>
    <cellStyle name="Remarque 2 2 2 2 7 6" xfId="9139" xr:uid="{00000000-0005-0000-0000-0000250E0000}"/>
    <cellStyle name="Remarque 2 2 2 2 7 6 2" xfId="33153" xr:uid="{00000000-0005-0000-0000-0000260E0000}"/>
    <cellStyle name="Remarque 2 2 2 2 7 6 2 2" xfId="57113" xr:uid="{00000000-0005-0000-0000-0000270E0000}"/>
    <cellStyle name="Remarque 2 2 2 2 7 6 3" xfId="20400" xr:uid="{00000000-0005-0000-0000-0000280E0000}"/>
    <cellStyle name="Remarque 2 2 2 2 7 6 4" xfId="44360" xr:uid="{00000000-0005-0000-0000-0000290E0000}"/>
    <cellStyle name="Remarque 2 2 2 2 7 7" xfId="10596" xr:uid="{00000000-0005-0000-0000-00002A0E0000}"/>
    <cellStyle name="Remarque 2 2 2 2 7 7 2" xfId="34606" xr:uid="{00000000-0005-0000-0000-00002B0E0000}"/>
    <cellStyle name="Remarque 2 2 2 2 7 7 2 2" xfId="58566" xr:uid="{00000000-0005-0000-0000-00002C0E0000}"/>
    <cellStyle name="Remarque 2 2 2 2 7 7 3" xfId="21863" xr:uid="{00000000-0005-0000-0000-00002D0E0000}"/>
    <cellStyle name="Remarque 2 2 2 2 7 7 4" xfId="45823" xr:uid="{00000000-0005-0000-0000-00002E0E0000}"/>
    <cellStyle name="Remarque 2 2 2 2 7 8" xfId="11890" xr:uid="{00000000-0005-0000-0000-00002F0E0000}"/>
    <cellStyle name="Remarque 2 2 2 2 7 8 2" xfId="23167" xr:uid="{00000000-0005-0000-0000-0000300E0000}"/>
    <cellStyle name="Remarque 2 2 2 2 7 8 3" xfId="47127" xr:uid="{00000000-0005-0000-0000-0000310E0000}"/>
    <cellStyle name="Remarque 2 2 2 2 7 9" xfId="2068" xr:uid="{00000000-0005-0000-0000-0000320E0000}"/>
    <cellStyle name="Remarque 2 2 2 2 7 9 2" xfId="26082" xr:uid="{00000000-0005-0000-0000-0000330E0000}"/>
    <cellStyle name="Remarque 2 2 2 2 7 9 3" xfId="50042" xr:uid="{00000000-0005-0000-0000-0000340E0000}"/>
    <cellStyle name="Remarque 2 2 2 2 8" xfId="826" xr:uid="{00000000-0005-0000-0000-0000350E0000}"/>
    <cellStyle name="Remarque 2 2 2 2 8 10" xfId="24858" xr:uid="{00000000-0005-0000-0000-0000360E0000}"/>
    <cellStyle name="Remarque 2 2 2 2 8 10 2" xfId="48818" xr:uid="{00000000-0005-0000-0000-0000370E0000}"/>
    <cellStyle name="Remarque 2 2 2 2 8 11" xfId="36554" xr:uid="{00000000-0005-0000-0000-0000380E0000}"/>
    <cellStyle name="Remarque 2 2 2 2 8 11 2" xfId="60514" xr:uid="{00000000-0005-0000-0000-0000390E0000}"/>
    <cellStyle name="Remarque 2 2 2 2 8 12" xfId="13523" xr:uid="{00000000-0005-0000-0000-00003A0E0000}"/>
    <cellStyle name="Remarque 2 2 2 2 8 13" xfId="37483" xr:uid="{00000000-0005-0000-0000-00003B0E0000}"/>
    <cellStyle name="Remarque 2 2 2 2 8 2" xfId="3732" xr:uid="{00000000-0005-0000-0000-00003C0E0000}"/>
    <cellStyle name="Remarque 2 2 2 2 8 2 2" xfId="27746" xr:uid="{00000000-0005-0000-0000-00003D0E0000}"/>
    <cellStyle name="Remarque 2 2 2 2 8 2 2 2" xfId="51706" xr:uid="{00000000-0005-0000-0000-00003E0E0000}"/>
    <cellStyle name="Remarque 2 2 2 2 8 2 3" xfId="14993" xr:uid="{00000000-0005-0000-0000-00003F0E0000}"/>
    <cellStyle name="Remarque 2 2 2 2 8 2 4" xfId="38953" xr:uid="{00000000-0005-0000-0000-0000400E0000}"/>
    <cellStyle name="Remarque 2 2 2 2 8 3" xfId="5166" xr:uid="{00000000-0005-0000-0000-0000410E0000}"/>
    <cellStyle name="Remarque 2 2 2 2 8 3 2" xfId="29180" xr:uid="{00000000-0005-0000-0000-0000420E0000}"/>
    <cellStyle name="Remarque 2 2 2 2 8 3 2 2" xfId="53140" xr:uid="{00000000-0005-0000-0000-0000430E0000}"/>
    <cellStyle name="Remarque 2 2 2 2 8 3 3" xfId="16427" xr:uid="{00000000-0005-0000-0000-0000440E0000}"/>
    <cellStyle name="Remarque 2 2 2 2 8 3 4" xfId="40387" xr:uid="{00000000-0005-0000-0000-0000450E0000}"/>
    <cellStyle name="Remarque 2 2 2 2 8 4" xfId="6560" xr:uid="{00000000-0005-0000-0000-0000460E0000}"/>
    <cellStyle name="Remarque 2 2 2 2 8 4 2" xfId="30574" xr:uid="{00000000-0005-0000-0000-0000470E0000}"/>
    <cellStyle name="Remarque 2 2 2 2 8 4 2 2" xfId="54534" xr:uid="{00000000-0005-0000-0000-0000480E0000}"/>
    <cellStyle name="Remarque 2 2 2 2 8 4 3" xfId="17821" xr:uid="{00000000-0005-0000-0000-0000490E0000}"/>
    <cellStyle name="Remarque 2 2 2 2 8 4 4" xfId="41781" xr:uid="{00000000-0005-0000-0000-00004A0E0000}"/>
    <cellStyle name="Remarque 2 2 2 2 8 5" xfId="7948" xr:uid="{00000000-0005-0000-0000-00004B0E0000}"/>
    <cellStyle name="Remarque 2 2 2 2 8 5 2" xfId="31962" xr:uid="{00000000-0005-0000-0000-00004C0E0000}"/>
    <cellStyle name="Remarque 2 2 2 2 8 5 2 2" xfId="55922" xr:uid="{00000000-0005-0000-0000-00004D0E0000}"/>
    <cellStyle name="Remarque 2 2 2 2 8 5 3" xfId="19209" xr:uid="{00000000-0005-0000-0000-00004E0E0000}"/>
    <cellStyle name="Remarque 2 2 2 2 8 5 4" xfId="43169" xr:uid="{00000000-0005-0000-0000-00004F0E0000}"/>
    <cellStyle name="Remarque 2 2 2 2 8 6" xfId="9333" xr:uid="{00000000-0005-0000-0000-0000500E0000}"/>
    <cellStyle name="Remarque 2 2 2 2 8 6 2" xfId="33347" xr:uid="{00000000-0005-0000-0000-0000510E0000}"/>
    <cellStyle name="Remarque 2 2 2 2 8 6 2 2" xfId="57307" xr:uid="{00000000-0005-0000-0000-0000520E0000}"/>
    <cellStyle name="Remarque 2 2 2 2 8 6 3" xfId="20594" xr:uid="{00000000-0005-0000-0000-0000530E0000}"/>
    <cellStyle name="Remarque 2 2 2 2 8 6 4" xfId="44554" xr:uid="{00000000-0005-0000-0000-0000540E0000}"/>
    <cellStyle name="Remarque 2 2 2 2 8 7" xfId="10790" xr:uid="{00000000-0005-0000-0000-0000550E0000}"/>
    <cellStyle name="Remarque 2 2 2 2 8 7 2" xfId="34800" xr:uid="{00000000-0005-0000-0000-0000560E0000}"/>
    <cellStyle name="Remarque 2 2 2 2 8 7 2 2" xfId="58760" xr:uid="{00000000-0005-0000-0000-0000570E0000}"/>
    <cellStyle name="Remarque 2 2 2 2 8 7 3" xfId="22057" xr:uid="{00000000-0005-0000-0000-0000580E0000}"/>
    <cellStyle name="Remarque 2 2 2 2 8 7 4" xfId="46017" xr:uid="{00000000-0005-0000-0000-0000590E0000}"/>
    <cellStyle name="Remarque 2 2 2 2 8 8" xfId="12545" xr:uid="{00000000-0005-0000-0000-00005A0E0000}"/>
    <cellStyle name="Remarque 2 2 2 2 8 8 2" xfId="23843" xr:uid="{00000000-0005-0000-0000-00005B0E0000}"/>
    <cellStyle name="Remarque 2 2 2 2 8 8 3" xfId="47803" xr:uid="{00000000-0005-0000-0000-00005C0E0000}"/>
    <cellStyle name="Remarque 2 2 2 2 8 9" xfId="2262" xr:uid="{00000000-0005-0000-0000-00005D0E0000}"/>
    <cellStyle name="Remarque 2 2 2 2 8 9 2" xfId="26276" xr:uid="{00000000-0005-0000-0000-00005E0E0000}"/>
    <cellStyle name="Remarque 2 2 2 2 8 9 3" xfId="50236" xr:uid="{00000000-0005-0000-0000-00005F0E0000}"/>
    <cellStyle name="Remarque 2 2 2 2 9" xfId="1019" xr:uid="{00000000-0005-0000-0000-0000600E0000}"/>
    <cellStyle name="Remarque 2 2 2 2 9 10" xfId="25051" xr:uid="{00000000-0005-0000-0000-0000610E0000}"/>
    <cellStyle name="Remarque 2 2 2 2 9 10 2" xfId="49011" xr:uid="{00000000-0005-0000-0000-0000620E0000}"/>
    <cellStyle name="Remarque 2 2 2 2 9 11" xfId="35886" xr:uid="{00000000-0005-0000-0000-0000630E0000}"/>
    <cellStyle name="Remarque 2 2 2 2 9 11 2" xfId="59846" xr:uid="{00000000-0005-0000-0000-0000640E0000}"/>
    <cellStyle name="Remarque 2 2 2 2 9 12" xfId="13716" xr:uid="{00000000-0005-0000-0000-0000650E0000}"/>
    <cellStyle name="Remarque 2 2 2 2 9 13" xfId="37676" xr:uid="{00000000-0005-0000-0000-0000660E0000}"/>
    <cellStyle name="Remarque 2 2 2 2 9 2" xfId="3925" xr:uid="{00000000-0005-0000-0000-0000670E0000}"/>
    <cellStyle name="Remarque 2 2 2 2 9 2 2" xfId="27939" xr:uid="{00000000-0005-0000-0000-0000680E0000}"/>
    <cellStyle name="Remarque 2 2 2 2 9 2 2 2" xfId="51899" xr:uid="{00000000-0005-0000-0000-0000690E0000}"/>
    <cellStyle name="Remarque 2 2 2 2 9 2 3" xfId="15186" xr:uid="{00000000-0005-0000-0000-00006A0E0000}"/>
    <cellStyle name="Remarque 2 2 2 2 9 2 4" xfId="39146" xr:uid="{00000000-0005-0000-0000-00006B0E0000}"/>
    <cellStyle name="Remarque 2 2 2 2 9 3" xfId="5359" xr:uid="{00000000-0005-0000-0000-00006C0E0000}"/>
    <cellStyle name="Remarque 2 2 2 2 9 3 2" xfId="29373" xr:uid="{00000000-0005-0000-0000-00006D0E0000}"/>
    <cellStyle name="Remarque 2 2 2 2 9 3 2 2" xfId="53333" xr:uid="{00000000-0005-0000-0000-00006E0E0000}"/>
    <cellStyle name="Remarque 2 2 2 2 9 3 3" xfId="16620" xr:uid="{00000000-0005-0000-0000-00006F0E0000}"/>
    <cellStyle name="Remarque 2 2 2 2 9 3 4" xfId="40580" xr:uid="{00000000-0005-0000-0000-0000700E0000}"/>
    <cellStyle name="Remarque 2 2 2 2 9 4" xfId="6753" xr:uid="{00000000-0005-0000-0000-0000710E0000}"/>
    <cellStyle name="Remarque 2 2 2 2 9 4 2" xfId="30767" xr:uid="{00000000-0005-0000-0000-0000720E0000}"/>
    <cellStyle name="Remarque 2 2 2 2 9 4 2 2" xfId="54727" xr:uid="{00000000-0005-0000-0000-0000730E0000}"/>
    <cellStyle name="Remarque 2 2 2 2 9 4 3" xfId="18014" xr:uid="{00000000-0005-0000-0000-0000740E0000}"/>
    <cellStyle name="Remarque 2 2 2 2 9 4 4" xfId="41974" xr:uid="{00000000-0005-0000-0000-0000750E0000}"/>
    <cellStyle name="Remarque 2 2 2 2 9 5" xfId="8141" xr:uid="{00000000-0005-0000-0000-0000760E0000}"/>
    <cellStyle name="Remarque 2 2 2 2 9 5 2" xfId="32155" xr:uid="{00000000-0005-0000-0000-0000770E0000}"/>
    <cellStyle name="Remarque 2 2 2 2 9 5 2 2" xfId="56115" xr:uid="{00000000-0005-0000-0000-0000780E0000}"/>
    <cellStyle name="Remarque 2 2 2 2 9 5 3" xfId="19402" xr:uid="{00000000-0005-0000-0000-0000790E0000}"/>
    <cellStyle name="Remarque 2 2 2 2 9 5 4" xfId="43362" xr:uid="{00000000-0005-0000-0000-00007A0E0000}"/>
    <cellStyle name="Remarque 2 2 2 2 9 6" xfId="9526" xr:uid="{00000000-0005-0000-0000-00007B0E0000}"/>
    <cellStyle name="Remarque 2 2 2 2 9 6 2" xfId="33540" xr:uid="{00000000-0005-0000-0000-00007C0E0000}"/>
    <cellStyle name="Remarque 2 2 2 2 9 6 2 2" xfId="57500" xr:uid="{00000000-0005-0000-0000-00007D0E0000}"/>
    <cellStyle name="Remarque 2 2 2 2 9 6 3" xfId="20787" xr:uid="{00000000-0005-0000-0000-00007E0E0000}"/>
    <cellStyle name="Remarque 2 2 2 2 9 6 4" xfId="44747" xr:uid="{00000000-0005-0000-0000-00007F0E0000}"/>
    <cellStyle name="Remarque 2 2 2 2 9 7" xfId="10983" xr:uid="{00000000-0005-0000-0000-0000800E0000}"/>
    <cellStyle name="Remarque 2 2 2 2 9 7 2" xfId="34993" xr:uid="{00000000-0005-0000-0000-0000810E0000}"/>
    <cellStyle name="Remarque 2 2 2 2 9 7 2 2" xfId="58953" xr:uid="{00000000-0005-0000-0000-0000820E0000}"/>
    <cellStyle name="Remarque 2 2 2 2 9 7 3" xfId="22250" xr:uid="{00000000-0005-0000-0000-0000830E0000}"/>
    <cellStyle name="Remarque 2 2 2 2 9 7 4" xfId="46210" xr:uid="{00000000-0005-0000-0000-0000840E0000}"/>
    <cellStyle name="Remarque 2 2 2 2 9 8" xfId="12151" xr:uid="{00000000-0005-0000-0000-0000850E0000}"/>
    <cellStyle name="Remarque 2 2 2 2 9 8 2" xfId="23434" xr:uid="{00000000-0005-0000-0000-0000860E0000}"/>
    <cellStyle name="Remarque 2 2 2 2 9 8 3" xfId="47394" xr:uid="{00000000-0005-0000-0000-0000870E0000}"/>
    <cellStyle name="Remarque 2 2 2 2 9 9" xfId="2455" xr:uid="{00000000-0005-0000-0000-0000880E0000}"/>
    <cellStyle name="Remarque 2 2 2 2 9 9 2" xfId="26469" xr:uid="{00000000-0005-0000-0000-0000890E0000}"/>
    <cellStyle name="Remarque 2 2 2 2 9 9 3" xfId="50429" xr:uid="{00000000-0005-0000-0000-00008A0E0000}"/>
    <cellStyle name="Remarque 2 2 2 3" xfId="48" xr:uid="{00000000-0005-0000-0000-00008B0E0000}"/>
    <cellStyle name="Remarque 2 2 2 3 10" xfId="3157" xr:uid="{00000000-0005-0000-0000-00008C0E0000}"/>
    <cellStyle name="Remarque 2 2 2 3 10 2" xfId="27171" xr:uid="{00000000-0005-0000-0000-00008D0E0000}"/>
    <cellStyle name="Remarque 2 2 2 3 10 2 2" xfId="51131" xr:uid="{00000000-0005-0000-0000-00008E0E0000}"/>
    <cellStyle name="Remarque 2 2 2 3 10 3" xfId="14418" xr:uid="{00000000-0005-0000-0000-00008F0E0000}"/>
    <cellStyle name="Remarque 2 2 2 3 10 4" xfId="38378" xr:uid="{00000000-0005-0000-0000-0000900E0000}"/>
    <cellStyle name="Remarque 2 2 2 3 11" xfId="4591" xr:uid="{00000000-0005-0000-0000-0000910E0000}"/>
    <cellStyle name="Remarque 2 2 2 3 11 2" xfId="28605" xr:uid="{00000000-0005-0000-0000-0000920E0000}"/>
    <cellStyle name="Remarque 2 2 2 3 11 2 2" xfId="52565" xr:uid="{00000000-0005-0000-0000-0000930E0000}"/>
    <cellStyle name="Remarque 2 2 2 3 11 3" xfId="15852" xr:uid="{00000000-0005-0000-0000-0000940E0000}"/>
    <cellStyle name="Remarque 2 2 2 3 11 4" xfId="39812" xr:uid="{00000000-0005-0000-0000-0000950E0000}"/>
    <cellStyle name="Remarque 2 2 2 3 12" xfId="5985" xr:uid="{00000000-0005-0000-0000-0000960E0000}"/>
    <cellStyle name="Remarque 2 2 2 3 12 2" xfId="29999" xr:uid="{00000000-0005-0000-0000-0000970E0000}"/>
    <cellStyle name="Remarque 2 2 2 3 12 2 2" xfId="53959" xr:uid="{00000000-0005-0000-0000-0000980E0000}"/>
    <cellStyle name="Remarque 2 2 2 3 12 3" xfId="17246" xr:uid="{00000000-0005-0000-0000-0000990E0000}"/>
    <cellStyle name="Remarque 2 2 2 3 12 4" xfId="41206" xr:uid="{00000000-0005-0000-0000-00009A0E0000}"/>
    <cellStyle name="Remarque 2 2 2 3 13" xfId="7373" xr:uid="{00000000-0005-0000-0000-00009B0E0000}"/>
    <cellStyle name="Remarque 2 2 2 3 13 2" xfId="31387" xr:uid="{00000000-0005-0000-0000-00009C0E0000}"/>
    <cellStyle name="Remarque 2 2 2 3 13 2 2" xfId="55347" xr:uid="{00000000-0005-0000-0000-00009D0E0000}"/>
    <cellStyle name="Remarque 2 2 2 3 13 3" xfId="18634" xr:uid="{00000000-0005-0000-0000-00009E0E0000}"/>
    <cellStyle name="Remarque 2 2 2 3 13 4" xfId="42594" xr:uid="{00000000-0005-0000-0000-00009F0E0000}"/>
    <cellStyle name="Remarque 2 2 2 3 14" xfId="8758" xr:uid="{00000000-0005-0000-0000-0000A00E0000}"/>
    <cellStyle name="Remarque 2 2 2 3 14 2" xfId="32772" xr:uid="{00000000-0005-0000-0000-0000A10E0000}"/>
    <cellStyle name="Remarque 2 2 2 3 14 2 2" xfId="56732" xr:uid="{00000000-0005-0000-0000-0000A20E0000}"/>
    <cellStyle name="Remarque 2 2 2 3 14 3" xfId="20019" xr:uid="{00000000-0005-0000-0000-0000A30E0000}"/>
    <cellStyle name="Remarque 2 2 2 3 14 4" xfId="43979" xr:uid="{00000000-0005-0000-0000-0000A40E0000}"/>
    <cellStyle name="Remarque 2 2 2 3 15" xfId="10215" xr:uid="{00000000-0005-0000-0000-0000A50E0000}"/>
    <cellStyle name="Remarque 2 2 2 3 15 2" xfId="34225" xr:uid="{00000000-0005-0000-0000-0000A60E0000}"/>
    <cellStyle name="Remarque 2 2 2 3 15 2 2" xfId="58185" xr:uid="{00000000-0005-0000-0000-0000A70E0000}"/>
    <cellStyle name="Remarque 2 2 2 3 15 3" xfId="21482" xr:uid="{00000000-0005-0000-0000-0000A80E0000}"/>
    <cellStyle name="Remarque 2 2 2 3 15 4" xfId="45442" xr:uid="{00000000-0005-0000-0000-0000A90E0000}"/>
    <cellStyle name="Remarque 2 2 2 3 16" xfId="12876" xr:uid="{00000000-0005-0000-0000-0000AA0E0000}"/>
    <cellStyle name="Remarque 2 2 2 3 16 2" xfId="24188" xr:uid="{00000000-0005-0000-0000-0000AB0E0000}"/>
    <cellStyle name="Remarque 2 2 2 3 16 3" xfId="48148" xr:uid="{00000000-0005-0000-0000-0000AC0E0000}"/>
    <cellStyle name="Remarque 2 2 2 3 17" xfId="1687" xr:uid="{00000000-0005-0000-0000-0000AD0E0000}"/>
    <cellStyle name="Remarque 2 2 2 3 17 2" xfId="25701" xr:uid="{00000000-0005-0000-0000-0000AE0E0000}"/>
    <cellStyle name="Remarque 2 2 2 3 17 3" xfId="49661" xr:uid="{00000000-0005-0000-0000-0000AF0E0000}"/>
    <cellStyle name="Remarque 2 2 2 3 18" xfId="24283" xr:uid="{00000000-0005-0000-0000-0000B00E0000}"/>
    <cellStyle name="Remarque 2 2 2 3 18 2" xfId="48243" xr:uid="{00000000-0005-0000-0000-0000B10E0000}"/>
    <cellStyle name="Remarque 2 2 2 3 19" xfId="35797" xr:uid="{00000000-0005-0000-0000-0000B20E0000}"/>
    <cellStyle name="Remarque 2 2 2 3 19 2" xfId="59757" xr:uid="{00000000-0005-0000-0000-0000B30E0000}"/>
    <cellStyle name="Remarque 2 2 2 3 2" xfId="426" xr:uid="{00000000-0005-0000-0000-0000B40E0000}"/>
    <cellStyle name="Remarque 2 2 2 3 2 10" xfId="6160" xr:uid="{00000000-0005-0000-0000-0000B50E0000}"/>
    <cellStyle name="Remarque 2 2 2 3 2 10 2" xfId="30174" xr:uid="{00000000-0005-0000-0000-0000B60E0000}"/>
    <cellStyle name="Remarque 2 2 2 3 2 10 2 2" xfId="54134" xr:uid="{00000000-0005-0000-0000-0000B70E0000}"/>
    <cellStyle name="Remarque 2 2 2 3 2 10 3" xfId="17421" xr:uid="{00000000-0005-0000-0000-0000B80E0000}"/>
    <cellStyle name="Remarque 2 2 2 3 2 10 4" xfId="41381" xr:uid="{00000000-0005-0000-0000-0000B90E0000}"/>
    <cellStyle name="Remarque 2 2 2 3 2 11" xfId="7548" xr:uid="{00000000-0005-0000-0000-0000BA0E0000}"/>
    <cellStyle name="Remarque 2 2 2 3 2 11 2" xfId="31562" xr:uid="{00000000-0005-0000-0000-0000BB0E0000}"/>
    <cellStyle name="Remarque 2 2 2 3 2 11 2 2" xfId="55522" xr:uid="{00000000-0005-0000-0000-0000BC0E0000}"/>
    <cellStyle name="Remarque 2 2 2 3 2 11 3" xfId="18809" xr:uid="{00000000-0005-0000-0000-0000BD0E0000}"/>
    <cellStyle name="Remarque 2 2 2 3 2 11 4" xfId="42769" xr:uid="{00000000-0005-0000-0000-0000BE0E0000}"/>
    <cellStyle name="Remarque 2 2 2 3 2 12" xfId="8933" xr:uid="{00000000-0005-0000-0000-0000BF0E0000}"/>
    <cellStyle name="Remarque 2 2 2 3 2 12 2" xfId="32947" xr:uid="{00000000-0005-0000-0000-0000C00E0000}"/>
    <cellStyle name="Remarque 2 2 2 3 2 12 2 2" xfId="56907" xr:uid="{00000000-0005-0000-0000-0000C10E0000}"/>
    <cellStyle name="Remarque 2 2 2 3 2 12 3" xfId="20194" xr:uid="{00000000-0005-0000-0000-0000C20E0000}"/>
    <cellStyle name="Remarque 2 2 2 3 2 12 4" xfId="44154" xr:uid="{00000000-0005-0000-0000-0000C30E0000}"/>
    <cellStyle name="Remarque 2 2 2 3 2 13" xfId="10390" xr:uid="{00000000-0005-0000-0000-0000C40E0000}"/>
    <cellStyle name="Remarque 2 2 2 3 2 13 2" xfId="34400" xr:uid="{00000000-0005-0000-0000-0000C50E0000}"/>
    <cellStyle name="Remarque 2 2 2 3 2 13 2 2" xfId="58360" xr:uid="{00000000-0005-0000-0000-0000C60E0000}"/>
    <cellStyle name="Remarque 2 2 2 3 2 13 3" xfId="21657" xr:uid="{00000000-0005-0000-0000-0000C70E0000}"/>
    <cellStyle name="Remarque 2 2 2 3 2 13 4" xfId="45617" xr:uid="{00000000-0005-0000-0000-0000C80E0000}"/>
    <cellStyle name="Remarque 2 2 2 3 2 14" xfId="11627" xr:uid="{00000000-0005-0000-0000-0000C90E0000}"/>
    <cellStyle name="Remarque 2 2 2 3 2 14 2" xfId="22895" xr:uid="{00000000-0005-0000-0000-0000CA0E0000}"/>
    <cellStyle name="Remarque 2 2 2 3 2 14 3" xfId="46855" xr:uid="{00000000-0005-0000-0000-0000CB0E0000}"/>
    <cellStyle name="Remarque 2 2 2 3 2 15" xfId="1862" xr:uid="{00000000-0005-0000-0000-0000CC0E0000}"/>
    <cellStyle name="Remarque 2 2 2 3 2 15 2" xfId="25876" xr:uid="{00000000-0005-0000-0000-0000CD0E0000}"/>
    <cellStyle name="Remarque 2 2 2 3 2 15 3" xfId="49836" xr:uid="{00000000-0005-0000-0000-0000CE0E0000}"/>
    <cellStyle name="Remarque 2 2 2 3 2 16" xfId="24458" xr:uid="{00000000-0005-0000-0000-0000CF0E0000}"/>
    <cellStyle name="Remarque 2 2 2 3 2 16 2" xfId="48418" xr:uid="{00000000-0005-0000-0000-0000D00E0000}"/>
    <cellStyle name="Remarque 2 2 2 3 2 17" xfId="36180" xr:uid="{00000000-0005-0000-0000-0000D10E0000}"/>
    <cellStyle name="Remarque 2 2 2 3 2 17 2" xfId="60140" xr:uid="{00000000-0005-0000-0000-0000D20E0000}"/>
    <cellStyle name="Remarque 2 2 2 3 2 18" xfId="13123" xr:uid="{00000000-0005-0000-0000-0000D30E0000}"/>
    <cellStyle name="Remarque 2 2 2 3 2 19" xfId="37083" xr:uid="{00000000-0005-0000-0000-0000D40E0000}"/>
    <cellStyle name="Remarque 2 2 2 3 2 2" xfId="562" xr:uid="{00000000-0005-0000-0000-0000D50E0000}"/>
    <cellStyle name="Remarque 2 2 2 3 2 2 10" xfId="24594" xr:uid="{00000000-0005-0000-0000-0000D60E0000}"/>
    <cellStyle name="Remarque 2 2 2 3 2 2 10 2" xfId="48554" xr:uid="{00000000-0005-0000-0000-0000D70E0000}"/>
    <cellStyle name="Remarque 2 2 2 3 2 2 11" xfId="36732" xr:uid="{00000000-0005-0000-0000-0000D80E0000}"/>
    <cellStyle name="Remarque 2 2 2 3 2 2 11 2" xfId="60692" xr:uid="{00000000-0005-0000-0000-0000D90E0000}"/>
    <cellStyle name="Remarque 2 2 2 3 2 2 12" xfId="13259" xr:uid="{00000000-0005-0000-0000-0000DA0E0000}"/>
    <cellStyle name="Remarque 2 2 2 3 2 2 13" xfId="37219" xr:uid="{00000000-0005-0000-0000-0000DB0E0000}"/>
    <cellStyle name="Remarque 2 2 2 3 2 2 2" xfId="3468" xr:uid="{00000000-0005-0000-0000-0000DC0E0000}"/>
    <cellStyle name="Remarque 2 2 2 3 2 2 2 2" xfId="27482" xr:uid="{00000000-0005-0000-0000-0000DD0E0000}"/>
    <cellStyle name="Remarque 2 2 2 3 2 2 2 2 2" xfId="51442" xr:uid="{00000000-0005-0000-0000-0000DE0E0000}"/>
    <cellStyle name="Remarque 2 2 2 3 2 2 2 3" xfId="14729" xr:uid="{00000000-0005-0000-0000-0000DF0E0000}"/>
    <cellStyle name="Remarque 2 2 2 3 2 2 2 4" xfId="38689" xr:uid="{00000000-0005-0000-0000-0000E00E0000}"/>
    <cellStyle name="Remarque 2 2 2 3 2 2 3" xfId="4902" xr:uid="{00000000-0005-0000-0000-0000E10E0000}"/>
    <cellStyle name="Remarque 2 2 2 3 2 2 3 2" xfId="28916" xr:uid="{00000000-0005-0000-0000-0000E20E0000}"/>
    <cellStyle name="Remarque 2 2 2 3 2 2 3 2 2" xfId="52876" xr:uid="{00000000-0005-0000-0000-0000E30E0000}"/>
    <cellStyle name="Remarque 2 2 2 3 2 2 3 3" xfId="16163" xr:uid="{00000000-0005-0000-0000-0000E40E0000}"/>
    <cellStyle name="Remarque 2 2 2 3 2 2 3 4" xfId="40123" xr:uid="{00000000-0005-0000-0000-0000E50E0000}"/>
    <cellStyle name="Remarque 2 2 2 3 2 2 4" xfId="6296" xr:uid="{00000000-0005-0000-0000-0000E60E0000}"/>
    <cellStyle name="Remarque 2 2 2 3 2 2 4 2" xfId="30310" xr:uid="{00000000-0005-0000-0000-0000E70E0000}"/>
    <cellStyle name="Remarque 2 2 2 3 2 2 4 2 2" xfId="54270" xr:uid="{00000000-0005-0000-0000-0000E80E0000}"/>
    <cellStyle name="Remarque 2 2 2 3 2 2 4 3" xfId="17557" xr:uid="{00000000-0005-0000-0000-0000E90E0000}"/>
    <cellStyle name="Remarque 2 2 2 3 2 2 4 4" xfId="41517" xr:uid="{00000000-0005-0000-0000-0000EA0E0000}"/>
    <cellStyle name="Remarque 2 2 2 3 2 2 5" xfId="7684" xr:uid="{00000000-0005-0000-0000-0000EB0E0000}"/>
    <cellStyle name="Remarque 2 2 2 3 2 2 5 2" xfId="31698" xr:uid="{00000000-0005-0000-0000-0000EC0E0000}"/>
    <cellStyle name="Remarque 2 2 2 3 2 2 5 2 2" xfId="55658" xr:uid="{00000000-0005-0000-0000-0000ED0E0000}"/>
    <cellStyle name="Remarque 2 2 2 3 2 2 5 3" xfId="18945" xr:uid="{00000000-0005-0000-0000-0000EE0E0000}"/>
    <cellStyle name="Remarque 2 2 2 3 2 2 5 4" xfId="42905" xr:uid="{00000000-0005-0000-0000-0000EF0E0000}"/>
    <cellStyle name="Remarque 2 2 2 3 2 2 6" xfId="9069" xr:uid="{00000000-0005-0000-0000-0000F00E0000}"/>
    <cellStyle name="Remarque 2 2 2 3 2 2 6 2" xfId="33083" xr:uid="{00000000-0005-0000-0000-0000F10E0000}"/>
    <cellStyle name="Remarque 2 2 2 3 2 2 6 2 2" xfId="57043" xr:uid="{00000000-0005-0000-0000-0000F20E0000}"/>
    <cellStyle name="Remarque 2 2 2 3 2 2 6 3" xfId="20330" xr:uid="{00000000-0005-0000-0000-0000F30E0000}"/>
    <cellStyle name="Remarque 2 2 2 3 2 2 6 4" xfId="44290" xr:uid="{00000000-0005-0000-0000-0000F40E0000}"/>
    <cellStyle name="Remarque 2 2 2 3 2 2 7" xfId="10526" xr:uid="{00000000-0005-0000-0000-0000F50E0000}"/>
    <cellStyle name="Remarque 2 2 2 3 2 2 7 2" xfId="34536" xr:uid="{00000000-0005-0000-0000-0000F60E0000}"/>
    <cellStyle name="Remarque 2 2 2 3 2 2 7 2 2" xfId="58496" xr:uid="{00000000-0005-0000-0000-0000F70E0000}"/>
    <cellStyle name="Remarque 2 2 2 3 2 2 7 3" xfId="21793" xr:uid="{00000000-0005-0000-0000-0000F80E0000}"/>
    <cellStyle name="Remarque 2 2 2 3 2 2 7 4" xfId="45753" xr:uid="{00000000-0005-0000-0000-0000F90E0000}"/>
    <cellStyle name="Remarque 2 2 2 3 2 2 8" xfId="12108" xr:uid="{00000000-0005-0000-0000-0000FA0E0000}"/>
    <cellStyle name="Remarque 2 2 2 3 2 2 8 2" xfId="23391" xr:uid="{00000000-0005-0000-0000-0000FB0E0000}"/>
    <cellStyle name="Remarque 2 2 2 3 2 2 8 3" xfId="47351" xr:uid="{00000000-0005-0000-0000-0000FC0E0000}"/>
    <cellStyle name="Remarque 2 2 2 3 2 2 9" xfId="1998" xr:uid="{00000000-0005-0000-0000-0000FD0E0000}"/>
    <cellStyle name="Remarque 2 2 2 3 2 2 9 2" xfId="26012" xr:uid="{00000000-0005-0000-0000-0000FE0E0000}"/>
    <cellStyle name="Remarque 2 2 2 3 2 2 9 3" xfId="49972" xr:uid="{00000000-0005-0000-0000-0000FF0E0000}"/>
    <cellStyle name="Remarque 2 2 2 3 2 3" xfId="754" xr:uid="{00000000-0005-0000-0000-0000000F0000}"/>
    <cellStyle name="Remarque 2 2 2 3 2 3 10" xfId="24786" xr:uid="{00000000-0005-0000-0000-0000010F0000}"/>
    <cellStyle name="Remarque 2 2 2 3 2 3 10 2" xfId="48746" xr:uid="{00000000-0005-0000-0000-0000020F0000}"/>
    <cellStyle name="Remarque 2 2 2 3 2 3 11" xfId="36408" xr:uid="{00000000-0005-0000-0000-0000030F0000}"/>
    <cellStyle name="Remarque 2 2 2 3 2 3 11 2" xfId="60368" xr:uid="{00000000-0005-0000-0000-0000040F0000}"/>
    <cellStyle name="Remarque 2 2 2 3 2 3 12" xfId="13451" xr:uid="{00000000-0005-0000-0000-0000050F0000}"/>
    <cellStyle name="Remarque 2 2 2 3 2 3 13" xfId="37411" xr:uid="{00000000-0005-0000-0000-0000060F0000}"/>
    <cellStyle name="Remarque 2 2 2 3 2 3 2" xfId="3660" xr:uid="{00000000-0005-0000-0000-0000070F0000}"/>
    <cellStyle name="Remarque 2 2 2 3 2 3 2 2" xfId="27674" xr:uid="{00000000-0005-0000-0000-0000080F0000}"/>
    <cellStyle name="Remarque 2 2 2 3 2 3 2 2 2" xfId="51634" xr:uid="{00000000-0005-0000-0000-0000090F0000}"/>
    <cellStyle name="Remarque 2 2 2 3 2 3 2 3" xfId="14921" xr:uid="{00000000-0005-0000-0000-00000A0F0000}"/>
    <cellStyle name="Remarque 2 2 2 3 2 3 2 4" xfId="38881" xr:uid="{00000000-0005-0000-0000-00000B0F0000}"/>
    <cellStyle name="Remarque 2 2 2 3 2 3 3" xfId="5094" xr:uid="{00000000-0005-0000-0000-00000C0F0000}"/>
    <cellStyle name="Remarque 2 2 2 3 2 3 3 2" xfId="29108" xr:uid="{00000000-0005-0000-0000-00000D0F0000}"/>
    <cellStyle name="Remarque 2 2 2 3 2 3 3 2 2" xfId="53068" xr:uid="{00000000-0005-0000-0000-00000E0F0000}"/>
    <cellStyle name="Remarque 2 2 2 3 2 3 3 3" xfId="16355" xr:uid="{00000000-0005-0000-0000-00000F0F0000}"/>
    <cellStyle name="Remarque 2 2 2 3 2 3 3 4" xfId="40315" xr:uid="{00000000-0005-0000-0000-0000100F0000}"/>
    <cellStyle name="Remarque 2 2 2 3 2 3 4" xfId="6488" xr:uid="{00000000-0005-0000-0000-0000110F0000}"/>
    <cellStyle name="Remarque 2 2 2 3 2 3 4 2" xfId="30502" xr:uid="{00000000-0005-0000-0000-0000120F0000}"/>
    <cellStyle name="Remarque 2 2 2 3 2 3 4 2 2" xfId="54462" xr:uid="{00000000-0005-0000-0000-0000130F0000}"/>
    <cellStyle name="Remarque 2 2 2 3 2 3 4 3" xfId="17749" xr:uid="{00000000-0005-0000-0000-0000140F0000}"/>
    <cellStyle name="Remarque 2 2 2 3 2 3 4 4" xfId="41709" xr:uid="{00000000-0005-0000-0000-0000150F0000}"/>
    <cellStyle name="Remarque 2 2 2 3 2 3 5" xfId="7876" xr:uid="{00000000-0005-0000-0000-0000160F0000}"/>
    <cellStyle name="Remarque 2 2 2 3 2 3 5 2" xfId="31890" xr:uid="{00000000-0005-0000-0000-0000170F0000}"/>
    <cellStyle name="Remarque 2 2 2 3 2 3 5 2 2" xfId="55850" xr:uid="{00000000-0005-0000-0000-0000180F0000}"/>
    <cellStyle name="Remarque 2 2 2 3 2 3 5 3" xfId="19137" xr:uid="{00000000-0005-0000-0000-0000190F0000}"/>
    <cellStyle name="Remarque 2 2 2 3 2 3 5 4" xfId="43097" xr:uid="{00000000-0005-0000-0000-00001A0F0000}"/>
    <cellStyle name="Remarque 2 2 2 3 2 3 6" xfId="9261" xr:uid="{00000000-0005-0000-0000-00001B0F0000}"/>
    <cellStyle name="Remarque 2 2 2 3 2 3 6 2" xfId="33275" xr:uid="{00000000-0005-0000-0000-00001C0F0000}"/>
    <cellStyle name="Remarque 2 2 2 3 2 3 6 2 2" xfId="57235" xr:uid="{00000000-0005-0000-0000-00001D0F0000}"/>
    <cellStyle name="Remarque 2 2 2 3 2 3 6 3" xfId="20522" xr:uid="{00000000-0005-0000-0000-00001E0F0000}"/>
    <cellStyle name="Remarque 2 2 2 3 2 3 6 4" xfId="44482" xr:uid="{00000000-0005-0000-0000-00001F0F0000}"/>
    <cellStyle name="Remarque 2 2 2 3 2 3 7" xfId="10718" xr:uid="{00000000-0005-0000-0000-0000200F0000}"/>
    <cellStyle name="Remarque 2 2 2 3 2 3 7 2" xfId="34728" xr:uid="{00000000-0005-0000-0000-0000210F0000}"/>
    <cellStyle name="Remarque 2 2 2 3 2 3 7 2 2" xfId="58688" xr:uid="{00000000-0005-0000-0000-0000220F0000}"/>
    <cellStyle name="Remarque 2 2 2 3 2 3 7 3" xfId="21985" xr:uid="{00000000-0005-0000-0000-0000230F0000}"/>
    <cellStyle name="Remarque 2 2 2 3 2 3 7 4" xfId="45945" xr:uid="{00000000-0005-0000-0000-0000240F0000}"/>
    <cellStyle name="Remarque 2 2 2 3 2 3 8" xfId="12386" xr:uid="{00000000-0005-0000-0000-0000250F0000}"/>
    <cellStyle name="Remarque 2 2 2 3 2 3 8 2" xfId="23675" xr:uid="{00000000-0005-0000-0000-0000260F0000}"/>
    <cellStyle name="Remarque 2 2 2 3 2 3 8 3" xfId="47635" xr:uid="{00000000-0005-0000-0000-0000270F0000}"/>
    <cellStyle name="Remarque 2 2 2 3 2 3 9" xfId="2190" xr:uid="{00000000-0005-0000-0000-0000280F0000}"/>
    <cellStyle name="Remarque 2 2 2 3 2 3 9 2" xfId="26204" xr:uid="{00000000-0005-0000-0000-0000290F0000}"/>
    <cellStyle name="Remarque 2 2 2 3 2 3 9 3" xfId="50164" xr:uid="{00000000-0005-0000-0000-00002A0F0000}"/>
    <cellStyle name="Remarque 2 2 2 3 2 4" xfId="948" xr:uid="{00000000-0005-0000-0000-00002B0F0000}"/>
    <cellStyle name="Remarque 2 2 2 3 2 4 10" xfId="24980" xr:uid="{00000000-0005-0000-0000-00002C0F0000}"/>
    <cellStyle name="Remarque 2 2 2 3 2 4 10 2" xfId="48940" xr:uid="{00000000-0005-0000-0000-00002D0F0000}"/>
    <cellStyle name="Remarque 2 2 2 3 2 4 11" xfId="36020" xr:uid="{00000000-0005-0000-0000-00002E0F0000}"/>
    <cellStyle name="Remarque 2 2 2 3 2 4 11 2" xfId="59980" xr:uid="{00000000-0005-0000-0000-00002F0F0000}"/>
    <cellStyle name="Remarque 2 2 2 3 2 4 12" xfId="13645" xr:uid="{00000000-0005-0000-0000-0000300F0000}"/>
    <cellStyle name="Remarque 2 2 2 3 2 4 13" xfId="37605" xr:uid="{00000000-0005-0000-0000-0000310F0000}"/>
    <cellStyle name="Remarque 2 2 2 3 2 4 2" xfId="3854" xr:uid="{00000000-0005-0000-0000-0000320F0000}"/>
    <cellStyle name="Remarque 2 2 2 3 2 4 2 2" xfId="27868" xr:uid="{00000000-0005-0000-0000-0000330F0000}"/>
    <cellStyle name="Remarque 2 2 2 3 2 4 2 2 2" xfId="51828" xr:uid="{00000000-0005-0000-0000-0000340F0000}"/>
    <cellStyle name="Remarque 2 2 2 3 2 4 2 3" xfId="15115" xr:uid="{00000000-0005-0000-0000-0000350F0000}"/>
    <cellStyle name="Remarque 2 2 2 3 2 4 2 4" xfId="39075" xr:uid="{00000000-0005-0000-0000-0000360F0000}"/>
    <cellStyle name="Remarque 2 2 2 3 2 4 3" xfId="5288" xr:uid="{00000000-0005-0000-0000-0000370F0000}"/>
    <cellStyle name="Remarque 2 2 2 3 2 4 3 2" xfId="29302" xr:uid="{00000000-0005-0000-0000-0000380F0000}"/>
    <cellStyle name="Remarque 2 2 2 3 2 4 3 2 2" xfId="53262" xr:uid="{00000000-0005-0000-0000-0000390F0000}"/>
    <cellStyle name="Remarque 2 2 2 3 2 4 3 3" xfId="16549" xr:uid="{00000000-0005-0000-0000-00003A0F0000}"/>
    <cellStyle name="Remarque 2 2 2 3 2 4 3 4" xfId="40509" xr:uid="{00000000-0005-0000-0000-00003B0F0000}"/>
    <cellStyle name="Remarque 2 2 2 3 2 4 4" xfId="6682" xr:uid="{00000000-0005-0000-0000-00003C0F0000}"/>
    <cellStyle name="Remarque 2 2 2 3 2 4 4 2" xfId="30696" xr:uid="{00000000-0005-0000-0000-00003D0F0000}"/>
    <cellStyle name="Remarque 2 2 2 3 2 4 4 2 2" xfId="54656" xr:uid="{00000000-0005-0000-0000-00003E0F0000}"/>
    <cellStyle name="Remarque 2 2 2 3 2 4 4 3" xfId="17943" xr:uid="{00000000-0005-0000-0000-00003F0F0000}"/>
    <cellStyle name="Remarque 2 2 2 3 2 4 4 4" xfId="41903" xr:uid="{00000000-0005-0000-0000-0000400F0000}"/>
    <cellStyle name="Remarque 2 2 2 3 2 4 5" xfId="8070" xr:uid="{00000000-0005-0000-0000-0000410F0000}"/>
    <cellStyle name="Remarque 2 2 2 3 2 4 5 2" xfId="32084" xr:uid="{00000000-0005-0000-0000-0000420F0000}"/>
    <cellStyle name="Remarque 2 2 2 3 2 4 5 2 2" xfId="56044" xr:uid="{00000000-0005-0000-0000-0000430F0000}"/>
    <cellStyle name="Remarque 2 2 2 3 2 4 5 3" xfId="19331" xr:uid="{00000000-0005-0000-0000-0000440F0000}"/>
    <cellStyle name="Remarque 2 2 2 3 2 4 5 4" xfId="43291" xr:uid="{00000000-0005-0000-0000-0000450F0000}"/>
    <cellStyle name="Remarque 2 2 2 3 2 4 6" xfId="9455" xr:uid="{00000000-0005-0000-0000-0000460F0000}"/>
    <cellStyle name="Remarque 2 2 2 3 2 4 6 2" xfId="33469" xr:uid="{00000000-0005-0000-0000-0000470F0000}"/>
    <cellStyle name="Remarque 2 2 2 3 2 4 6 2 2" xfId="57429" xr:uid="{00000000-0005-0000-0000-0000480F0000}"/>
    <cellStyle name="Remarque 2 2 2 3 2 4 6 3" xfId="20716" xr:uid="{00000000-0005-0000-0000-0000490F0000}"/>
    <cellStyle name="Remarque 2 2 2 3 2 4 6 4" xfId="44676" xr:uid="{00000000-0005-0000-0000-00004A0F0000}"/>
    <cellStyle name="Remarque 2 2 2 3 2 4 7" xfId="10912" xr:uid="{00000000-0005-0000-0000-00004B0F0000}"/>
    <cellStyle name="Remarque 2 2 2 3 2 4 7 2" xfId="34922" xr:uid="{00000000-0005-0000-0000-00004C0F0000}"/>
    <cellStyle name="Remarque 2 2 2 3 2 4 7 2 2" xfId="58882" xr:uid="{00000000-0005-0000-0000-00004D0F0000}"/>
    <cellStyle name="Remarque 2 2 2 3 2 4 7 3" xfId="22179" xr:uid="{00000000-0005-0000-0000-00004E0F0000}"/>
    <cellStyle name="Remarque 2 2 2 3 2 4 7 4" xfId="46139" xr:uid="{00000000-0005-0000-0000-00004F0F0000}"/>
    <cellStyle name="Remarque 2 2 2 3 2 4 8" xfId="12233" xr:uid="{00000000-0005-0000-0000-0000500F0000}"/>
    <cellStyle name="Remarque 2 2 2 3 2 4 8 2" xfId="23517" xr:uid="{00000000-0005-0000-0000-0000510F0000}"/>
    <cellStyle name="Remarque 2 2 2 3 2 4 8 3" xfId="47477" xr:uid="{00000000-0005-0000-0000-0000520F0000}"/>
    <cellStyle name="Remarque 2 2 2 3 2 4 9" xfId="2384" xr:uid="{00000000-0005-0000-0000-0000530F0000}"/>
    <cellStyle name="Remarque 2 2 2 3 2 4 9 2" xfId="26398" xr:uid="{00000000-0005-0000-0000-0000540F0000}"/>
    <cellStyle name="Remarque 2 2 2 3 2 4 9 3" xfId="50358" xr:uid="{00000000-0005-0000-0000-0000550F0000}"/>
    <cellStyle name="Remarque 2 2 2 3 2 5" xfId="1141" xr:uid="{00000000-0005-0000-0000-0000560F0000}"/>
    <cellStyle name="Remarque 2 2 2 3 2 5 10" xfId="25173" xr:uid="{00000000-0005-0000-0000-0000570F0000}"/>
    <cellStyle name="Remarque 2 2 2 3 2 5 10 2" xfId="49133" xr:uid="{00000000-0005-0000-0000-0000580F0000}"/>
    <cellStyle name="Remarque 2 2 2 3 2 5 11" xfId="36541" xr:uid="{00000000-0005-0000-0000-0000590F0000}"/>
    <cellStyle name="Remarque 2 2 2 3 2 5 11 2" xfId="60501" xr:uid="{00000000-0005-0000-0000-00005A0F0000}"/>
    <cellStyle name="Remarque 2 2 2 3 2 5 12" xfId="13838" xr:uid="{00000000-0005-0000-0000-00005B0F0000}"/>
    <cellStyle name="Remarque 2 2 2 3 2 5 13" xfId="37798" xr:uid="{00000000-0005-0000-0000-00005C0F0000}"/>
    <cellStyle name="Remarque 2 2 2 3 2 5 2" xfId="4047" xr:uid="{00000000-0005-0000-0000-00005D0F0000}"/>
    <cellStyle name="Remarque 2 2 2 3 2 5 2 2" xfId="28061" xr:uid="{00000000-0005-0000-0000-00005E0F0000}"/>
    <cellStyle name="Remarque 2 2 2 3 2 5 2 2 2" xfId="52021" xr:uid="{00000000-0005-0000-0000-00005F0F0000}"/>
    <cellStyle name="Remarque 2 2 2 3 2 5 2 3" xfId="15308" xr:uid="{00000000-0005-0000-0000-0000600F0000}"/>
    <cellStyle name="Remarque 2 2 2 3 2 5 2 4" xfId="39268" xr:uid="{00000000-0005-0000-0000-0000610F0000}"/>
    <cellStyle name="Remarque 2 2 2 3 2 5 3" xfId="5481" xr:uid="{00000000-0005-0000-0000-0000620F0000}"/>
    <cellStyle name="Remarque 2 2 2 3 2 5 3 2" xfId="29495" xr:uid="{00000000-0005-0000-0000-0000630F0000}"/>
    <cellStyle name="Remarque 2 2 2 3 2 5 3 2 2" xfId="53455" xr:uid="{00000000-0005-0000-0000-0000640F0000}"/>
    <cellStyle name="Remarque 2 2 2 3 2 5 3 3" xfId="16742" xr:uid="{00000000-0005-0000-0000-0000650F0000}"/>
    <cellStyle name="Remarque 2 2 2 3 2 5 3 4" xfId="40702" xr:uid="{00000000-0005-0000-0000-0000660F0000}"/>
    <cellStyle name="Remarque 2 2 2 3 2 5 4" xfId="6875" xr:uid="{00000000-0005-0000-0000-0000670F0000}"/>
    <cellStyle name="Remarque 2 2 2 3 2 5 4 2" xfId="30889" xr:uid="{00000000-0005-0000-0000-0000680F0000}"/>
    <cellStyle name="Remarque 2 2 2 3 2 5 4 2 2" xfId="54849" xr:uid="{00000000-0005-0000-0000-0000690F0000}"/>
    <cellStyle name="Remarque 2 2 2 3 2 5 4 3" xfId="18136" xr:uid="{00000000-0005-0000-0000-00006A0F0000}"/>
    <cellStyle name="Remarque 2 2 2 3 2 5 4 4" xfId="42096" xr:uid="{00000000-0005-0000-0000-00006B0F0000}"/>
    <cellStyle name="Remarque 2 2 2 3 2 5 5" xfId="8263" xr:uid="{00000000-0005-0000-0000-00006C0F0000}"/>
    <cellStyle name="Remarque 2 2 2 3 2 5 5 2" xfId="32277" xr:uid="{00000000-0005-0000-0000-00006D0F0000}"/>
    <cellStyle name="Remarque 2 2 2 3 2 5 5 2 2" xfId="56237" xr:uid="{00000000-0005-0000-0000-00006E0F0000}"/>
    <cellStyle name="Remarque 2 2 2 3 2 5 5 3" xfId="19524" xr:uid="{00000000-0005-0000-0000-00006F0F0000}"/>
    <cellStyle name="Remarque 2 2 2 3 2 5 5 4" xfId="43484" xr:uid="{00000000-0005-0000-0000-0000700F0000}"/>
    <cellStyle name="Remarque 2 2 2 3 2 5 6" xfId="9648" xr:uid="{00000000-0005-0000-0000-0000710F0000}"/>
    <cellStyle name="Remarque 2 2 2 3 2 5 6 2" xfId="33662" xr:uid="{00000000-0005-0000-0000-0000720F0000}"/>
    <cellStyle name="Remarque 2 2 2 3 2 5 6 2 2" xfId="57622" xr:uid="{00000000-0005-0000-0000-0000730F0000}"/>
    <cellStyle name="Remarque 2 2 2 3 2 5 6 3" xfId="20909" xr:uid="{00000000-0005-0000-0000-0000740F0000}"/>
    <cellStyle name="Remarque 2 2 2 3 2 5 6 4" xfId="44869" xr:uid="{00000000-0005-0000-0000-0000750F0000}"/>
    <cellStyle name="Remarque 2 2 2 3 2 5 7" xfId="11105" xr:uid="{00000000-0005-0000-0000-0000760F0000}"/>
    <cellStyle name="Remarque 2 2 2 3 2 5 7 2" xfId="35115" xr:uid="{00000000-0005-0000-0000-0000770F0000}"/>
    <cellStyle name="Remarque 2 2 2 3 2 5 7 2 2" xfId="59075" xr:uid="{00000000-0005-0000-0000-0000780F0000}"/>
    <cellStyle name="Remarque 2 2 2 3 2 5 7 3" xfId="22372" xr:uid="{00000000-0005-0000-0000-0000790F0000}"/>
    <cellStyle name="Remarque 2 2 2 3 2 5 7 4" xfId="46332" xr:uid="{00000000-0005-0000-0000-00007A0F0000}"/>
    <cellStyle name="Remarque 2 2 2 3 2 5 8" xfId="11816" xr:uid="{00000000-0005-0000-0000-00007B0F0000}"/>
    <cellStyle name="Remarque 2 2 2 3 2 5 8 2" xfId="23090" xr:uid="{00000000-0005-0000-0000-00007C0F0000}"/>
    <cellStyle name="Remarque 2 2 2 3 2 5 8 3" xfId="47050" xr:uid="{00000000-0005-0000-0000-00007D0F0000}"/>
    <cellStyle name="Remarque 2 2 2 3 2 5 9" xfId="2577" xr:uid="{00000000-0005-0000-0000-00007E0F0000}"/>
    <cellStyle name="Remarque 2 2 2 3 2 5 9 2" xfId="26591" xr:uid="{00000000-0005-0000-0000-00007F0F0000}"/>
    <cellStyle name="Remarque 2 2 2 3 2 5 9 3" xfId="50551" xr:uid="{00000000-0005-0000-0000-0000800F0000}"/>
    <cellStyle name="Remarque 2 2 2 3 2 6" xfId="1308" xr:uid="{00000000-0005-0000-0000-0000810F0000}"/>
    <cellStyle name="Remarque 2 2 2 3 2 6 10" xfId="25340" xr:uid="{00000000-0005-0000-0000-0000820F0000}"/>
    <cellStyle name="Remarque 2 2 2 3 2 6 10 2" xfId="49300" xr:uid="{00000000-0005-0000-0000-0000830F0000}"/>
    <cellStyle name="Remarque 2 2 2 3 2 6 11" xfId="36001" xr:uid="{00000000-0005-0000-0000-0000840F0000}"/>
    <cellStyle name="Remarque 2 2 2 3 2 6 11 2" xfId="59961" xr:uid="{00000000-0005-0000-0000-0000850F0000}"/>
    <cellStyle name="Remarque 2 2 2 3 2 6 12" xfId="14005" xr:uid="{00000000-0005-0000-0000-0000860F0000}"/>
    <cellStyle name="Remarque 2 2 2 3 2 6 13" xfId="37965" xr:uid="{00000000-0005-0000-0000-0000870F0000}"/>
    <cellStyle name="Remarque 2 2 2 3 2 6 2" xfId="4214" xr:uid="{00000000-0005-0000-0000-0000880F0000}"/>
    <cellStyle name="Remarque 2 2 2 3 2 6 2 2" xfId="28228" xr:uid="{00000000-0005-0000-0000-0000890F0000}"/>
    <cellStyle name="Remarque 2 2 2 3 2 6 2 2 2" xfId="52188" xr:uid="{00000000-0005-0000-0000-00008A0F0000}"/>
    <cellStyle name="Remarque 2 2 2 3 2 6 2 3" xfId="15475" xr:uid="{00000000-0005-0000-0000-00008B0F0000}"/>
    <cellStyle name="Remarque 2 2 2 3 2 6 2 4" xfId="39435" xr:uid="{00000000-0005-0000-0000-00008C0F0000}"/>
    <cellStyle name="Remarque 2 2 2 3 2 6 3" xfId="5648" xr:uid="{00000000-0005-0000-0000-00008D0F0000}"/>
    <cellStyle name="Remarque 2 2 2 3 2 6 3 2" xfId="29662" xr:uid="{00000000-0005-0000-0000-00008E0F0000}"/>
    <cellStyle name="Remarque 2 2 2 3 2 6 3 2 2" xfId="53622" xr:uid="{00000000-0005-0000-0000-00008F0F0000}"/>
    <cellStyle name="Remarque 2 2 2 3 2 6 3 3" xfId="16909" xr:uid="{00000000-0005-0000-0000-0000900F0000}"/>
    <cellStyle name="Remarque 2 2 2 3 2 6 3 4" xfId="40869" xr:uid="{00000000-0005-0000-0000-0000910F0000}"/>
    <cellStyle name="Remarque 2 2 2 3 2 6 4" xfId="7042" xr:uid="{00000000-0005-0000-0000-0000920F0000}"/>
    <cellStyle name="Remarque 2 2 2 3 2 6 4 2" xfId="31056" xr:uid="{00000000-0005-0000-0000-0000930F0000}"/>
    <cellStyle name="Remarque 2 2 2 3 2 6 4 2 2" xfId="55016" xr:uid="{00000000-0005-0000-0000-0000940F0000}"/>
    <cellStyle name="Remarque 2 2 2 3 2 6 4 3" xfId="18303" xr:uid="{00000000-0005-0000-0000-0000950F0000}"/>
    <cellStyle name="Remarque 2 2 2 3 2 6 4 4" xfId="42263" xr:uid="{00000000-0005-0000-0000-0000960F0000}"/>
    <cellStyle name="Remarque 2 2 2 3 2 6 5" xfId="8430" xr:uid="{00000000-0005-0000-0000-0000970F0000}"/>
    <cellStyle name="Remarque 2 2 2 3 2 6 5 2" xfId="32444" xr:uid="{00000000-0005-0000-0000-0000980F0000}"/>
    <cellStyle name="Remarque 2 2 2 3 2 6 5 2 2" xfId="56404" xr:uid="{00000000-0005-0000-0000-0000990F0000}"/>
    <cellStyle name="Remarque 2 2 2 3 2 6 5 3" xfId="19691" xr:uid="{00000000-0005-0000-0000-00009A0F0000}"/>
    <cellStyle name="Remarque 2 2 2 3 2 6 5 4" xfId="43651" xr:uid="{00000000-0005-0000-0000-00009B0F0000}"/>
    <cellStyle name="Remarque 2 2 2 3 2 6 6" xfId="9815" xr:uid="{00000000-0005-0000-0000-00009C0F0000}"/>
    <cellStyle name="Remarque 2 2 2 3 2 6 6 2" xfId="33829" xr:uid="{00000000-0005-0000-0000-00009D0F0000}"/>
    <cellStyle name="Remarque 2 2 2 3 2 6 6 2 2" xfId="57789" xr:uid="{00000000-0005-0000-0000-00009E0F0000}"/>
    <cellStyle name="Remarque 2 2 2 3 2 6 6 3" xfId="21076" xr:uid="{00000000-0005-0000-0000-00009F0F0000}"/>
    <cellStyle name="Remarque 2 2 2 3 2 6 6 4" xfId="45036" xr:uid="{00000000-0005-0000-0000-0000A00F0000}"/>
    <cellStyle name="Remarque 2 2 2 3 2 6 7" xfId="11272" xr:uid="{00000000-0005-0000-0000-0000A10F0000}"/>
    <cellStyle name="Remarque 2 2 2 3 2 6 7 2" xfId="35282" xr:uid="{00000000-0005-0000-0000-0000A20F0000}"/>
    <cellStyle name="Remarque 2 2 2 3 2 6 7 2 2" xfId="59242" xr:uid="{00000000-0005-0000-0000-0000A30F0000}"/>
    <cellStyle name="Remarque 2 2 2 3 2 6 7 3" xfId="22539" xr:uid="{00000000-0005-0000-0000-0000A40F0000}"/>
    <cellStyle name="Remarque 2 2 2 3 2 6 7 4" xfId="46499" xr:uid="{00000000-0005-0000-0000-0000A50F0000}"/>
    <cellStyle name="Remarque 2 2 2 3 2 6 8" xfId="12722" xr:uid="{00000000-0005-0000-0000-0000A60F0000}"/>
    <cellStyle name="Remarque 2 2 2 3 2 6 8 2" xfId="24028" xr:uid="{00000000-0005-0000-0000-0000A70F0000}"/>
    <cellStyle name="Remarque 2 2 2 3 2 6 8 3" xfId="47988" xr:uid="{00000000-0005-0000-0000-0000A80F0000}"/>
    <cellStyle name="Remarque 2 2 2 3 2 6 9" xfId="2744" xr:uid="{00000000-0005-0000-0000-0000A90F0000}"/>
    <cellStyle name="Remarque 2 2 2 3 2 6 9 2" xfId="26758" xr:uid="{00000000-0005-0000-0000-0000AA0F0000}"/>
    <cellStyle name="Remarque 2 2 2 3 2 6 9 3" xfId="50718" xr:uid="{00000000-0005-0000-0000-0000AB0F0000}"/>
    <cellStyle name="Remarque 2 2 2 3 2 7" xfId="1477" xr:uid="{00000000-0005-0000-0000-0000AC0F0000}"/>
    <cellStyle name="Remarque 2 2 2 3 2 7 10" xfId="25509" xr:uid="{00000000-0005-0000-0000-0000AD0F0000}"/>
    <cellStyle name="Remarque 2 2 2 3 2 7 10 2" xfId="49469" xr:uid="{00000000-0005-0000-0000-0000AE0F0000}"/>
    <cellStyle name="Remarque 2 2 2 3 2 7 11" xfId="36559" xr:uid="{00000000-0005-0000-0000-0000AF0F0000}"/>
    <cellStyle name="Remarque 2 2 2 3 2 7 11 2" xfId="60519" xr:uid="{00000000-0005-0000-0000-0000B00F0000}"/>
    <cellStyle name="Remarque 2 2 2 3 2 7 12" xfId="14174" xr:uid="{00000000-0005-0000-0000-0000B10F0000}"/>
    <cellStyle name="Remarque 2 2 2 3 2 7 13" xfId="38134" xr:uid="{00000000-0005-0000-0000-0000B20F0000}"/>
    <cellStyle name="Remarque 2 2 2 3 2 7 2" xfId="4383" xr:uid="{00000000-0005-0000-0000-0000B30F0000}"/>
    <cellStyle name="Remarque 2 2 2 3 2 7 2 2" xfId="28397" xr:uid="{00000000-0005-0000-0000-0000B40F0000}"/>
    <cellStyle name="Remarque 2 2 2 3 2 7 2 2 2" xfId="52357" xr:uid="{00000000-0005-0000-0000-0000B50F0000}"/>
    <cellStyle name="Remarque 2 2 2 3 2 7 2 3" xfId="15644" xr:uid="{00000000-0005-0000-0000-0000B60F0000}"/>
    <cellStyle name="Remarque 2 2 2 3 2 7 2 4" xfId="39604" xr:uid="{00000000-0005-0000-0000-0000B70F0000}"/>
    <cellStyle name="Remarque 2 2 2 3 2 7 3" xfId="5817" xr:uid="{00000000-0005-0000-0000-0000B80F0000}"/>
    <cellStyle name="Remarque 2 2 2 3 2 7 3 2" xfId="29831" xr:uid="{00000000-0005-0000-0000-0000B90F0000}"/>
    <cellStyle name="Remarque 2 2 2 3 2 7 3 2 2" xfId="53791" xr:uid="{00000000-0005-0000-0000-0000BA0F0000}"/>
    <cellStyle name="Remarque 2 2 2 3 2 7 3 3" xfId="17078" xr:uid="{00000000-0005-0000-0000-0000BB0F0000}"/>
    <cellStyle name="Remarque 2 2 2 3 2 7 3 4" xfId="41038" xr:uid="{00000000-0005-0000-0000-0000BC0F0000}"/>
    <cellStyle name="Remarque 2 2 2 3 2 7 4" xfId="7211" xr:uid="{00000000-0005-0000-0000-0000BD0F0000}"/>
    <cellStyle name="Remarque 2 2 2 3 2 7 4 2" xfId="31225" xr:uid="{00000000-0005-0000-0000-0000BE0F0000}"/>
    <cellStyle name="Remarque 2 2 2 3 2 7 4 2 2" xfId="55185" xr:uid="{00000000-0005-0000-0000-0000BF0F0000}"/>
    <cellStyle name="Remarque 2 2 2 3 2 7 4 3" xfId="18472" xr:uid="{00000000-0005-0000-0000-0000C00F0000}"/>
    <cellStyle name="Remarque 2 2 2 3 2 7 4 4" xfId="42432" xr:uid="{00000000-0005-0000-0000-0000C10F0000}"/>
    <cellStyle name="Remarque 2 2 2 3 2 7 5" xfId="8599" xr:uid="{00000000-0005-0000-0000-0000C20F0000}"/>
    <cellStyle name="Remarque 2 2 2 3 2 7 5 2" xfId="32613" xr:uid="{00000000-0005-0000-0000-0000C30F0000}"/>
    <cellStyle name="Remarque 2 2 2 3 2 7 5 2 2" xfId="56573" xr:uid="{00000000-0005-0000-0000-0000C40F0000}"/>
    <cellStyle name="Remarque 2 2 2 3 2 7 5 3" xfId="19860" xr:uid="{00000000-0005-0000-0000-0000C50F0000}"/>
    <cellStyle name="Remarque 2 2 2 3 2 7 5 4" xfId="43820" xr:uid="{00000000-0005-0000-0000-0000C60F0000}"/>
    <cellStyle name="Remarque 2 2 2 3 2 7 6" xfId="9984" xr:uid="{00000000-0005-0000-0000-0000C70F0000}"/>
    <cellStyle name="Remarque 2 2 2 3 2 7 6 2" xfId="33998" xr:uid="{00000000-0005-0000-0000-0000C80F0000}"/>
    <cellStyle name="Remarque 2 2 2 3 2 7 6 2 2" xfId="57958" xr:uid="{00000000-0005-0000-0000-0000C90F0000}"/>
    <cellStyle name="Remarque 2 2 2 3 2 7 6 3" xfId="21245" xr:uid="{00000000-0005-0000-0000-0000CA0F0000}"/>
    <cellStyle name="Remarque 2 2 2 3 2 7 6 4" xfId="45205" xr:uid="{00000000-0005-0000-0000-0000CB0F0000}"/>
    <cellStyle name="Remarque 2 2 2 3 2 7 7" xfId="11441" xr:uid="{00000000-0005-0000-0000-0000CC0F0000}"/>
    <cellStyle name="Remarque 2 2 2 3 2 7 7 2" xfId="35451" xr:uid="{00000000-0005-0000-0000-0000CD0F0000}"/>
    <cellStyle name="Remarque 2 2 2 3 2 7 7 2 2" xfId="59411" xr:uid="{00000000-0005-0000-0000-0000CE0F0000}"/>
    <cellStyle name="Remarque 2 2 2 3 2 7 7 3" xfId="22708" xr:uid="{00000000-0005-0000-0000-0000CF0F0000}"/>
    <cellStyle name="Remarque 2 2 2 3 2 7 7 4" xfId="46668" xr:uid="{00000000-0005-0000-0000-0000D00F0000}"/>
    <cellStyle name="Remarque 2 2 2 3 2 7 8" xfId="12715" xr:uid="{00000000-0005-0000-0000-0000D10F0000}"/>
    <cellStyle name="Remarque 2 2 2 3 2 7 8 2" xfId="24021" xr:uid="{00000000-0005-0000-0000-0000D20F0000}"/>
    <cellStyle name="Remarque 2 2 2 3 2 7 8 3" xfId="47981" xr:uid="{00000000-0005-0000-0000-0000D30F0000}"/>
    <cellStyle name="Remarque 2 2 2 3 2 7 9" xfId="2913" xr:uid="{00000000-0005-0000-0000-0000D40F0000}"/>
    <cellStyle name="Remarque 2 2 2 3 2 7 9 2" xfId="26927" xr:uid="{00000000-0005-0000-0000-0000D50F0000}"/>
    <cellStyle name="Remarque 2 2 2 3 2 7 9 3" xfId="50887" xr:uid="{00000000-0005-0000-0000-0000D60F0000}"/>
    <cellStyle name="Remarque 2 2 2 3 2 8" xfId="3332" xr:uid="{00000000-0005-0000-0000-0000D70F0000}"/>
    <cellStyle name="Remarque 2 2 2 3 2 8 2" xfId="27346" xr:uid="{00000000-0005-0000-0000-0000D80F0000}"/>
    <cellStyle name="Remarque 2 2 2 3 2 8 2 2" xfId="51306" xr:uid="{00000000-0005-0000-0000-0000D90F0000}"/>
    <cellStyle name="Remarque 2 2 2 3 2 8 3" xfId="14593" xr:uid="{00000000-0005-0000-0000-0000DA0F0000}"/>
    <cellStyle name="Remarque 2 2 2 3 2 8 4" xfId="38553" xr:uid="{00000000-0005-0000-0000-0000DB0F0000}"/>
    <cellStyle name="Remarque 2 2 2 3 2 9" xfId="4766" xr:uid="{00000000-0005-0000-0000-0000DC0F0000}"/>
    <cellStyle name="Remarque 2 2 2 3 2 9 2" xfId="28780" xr:uid="{00000000-0005-0000-0000-0000DD0F0000}"/>
    <cellStyle name="Remarque 2 2 2 3 2 9 2 2" xfId="52740" xr:uid="{00000000-0005-0000-0000-0000DE0F0000}"/>
    <cellStyle name="Remarque 2 2 2 3 2 9 3" xfId="16027" xr:uid="{00000000-0005-0000-0000-0000DF0F0000}"/>
    <cellStyle name="Remarque 2 2 2 3 2 9 4" xfId="39987" xr:uid="{00000000-0005-0000-0000-0000E00F0000}"/>
    <cellStyle name="Remarque 2 2 2 3 20" xfId="12948" xr:uid="{00000000-0005-0000-0000-0000E10F0000}"/>
    <cellStyle name="Remarque 2 2 2 3 21" xfId="36908" xr:uid="{00000000-0005-0000-0000-0000E20F0000}"/>
    <cellStyle name="Remarque 2 2 2 3 22" xfId="251" xr:uid="{00000000-0005-0000-0000-0000E30F0000}"/>
    <cellStyle name="Remarque 2 2 2 3 3" xfId="350" xr:uid="{00000000-0005-0000-0000-0000E40F0000}"/>
    <cellStyle name="Remarque 2 2 2 3 3 10" xfId="24382" xr:uid="{00000000-0005-0000-0000-0000E50F0000}"/>
    <cellStyle name="Remarque 2 2 2 3 3 10 2" xfId="48342" xr:uid="{00000000-0005-0000-0000-0000E60F0000}"/>
    <cellStyle name="Remarque 2 2 2 3 3 11" xfId="36767" xr:uid="{00000000-0005-0000-0000-0000E70F0000}"/>
    <cellStyle name="Remarque 2 2 2 3 3 11 2" xfId="60727" xr:uid="{00000000-0005-0000-0000-0000E80F0000}"/>
    <cellStyle name="Remarque 2 2 2 3 3 12" xfId="13047" xr:uid="{00000000-0005-0000-0000-0000E90F0000}"/>
    <cellStyle name="Remarque 2 2 2 3 3 13" xfId="37007" xr:uid="{00000000-0005-0000-0000-0000EA0F0000}"/>
    <cellStyle name="Remarque 2 2 2 3 3 2" xfId="3256" xr:uid="{00000000-0005-0000-0000-0000EB0F0000}"/>
    <cellStyle name="Remarque 2 2 2 3 3 2 2" xfId="27270" xr:uid="{00000000-0005-0000-0000-0000EC0F0000}"/>
    <cellStyle name="Remarque 2 2 2 3 3 2 2 2" xfId="51230" xr:uid="{00000000-0005-0000-0000-0000ED0F0000}"/>
    <cellStyle name="Remarque 2 2 2 3 3 2 3" xfId="14517" xr:uid="{00000000-0005-0000-0000-0000EE0F0000}"/>
    <cellStyle name="Remarque 2 2 2 3 3 2 4" xfId="38477" xr:uid="{00000000-0005-0000-0000-0000EF0F0000}"/>
    <cellStyle name="Remarque 2 2 2 3 3 3" xfId="4690" xr:uid="{00000000-0005-0000-0000-0000F00F0000}"/>
    <cellStyle name="Remarque 2 2 2 3 3 3 2" xfId="28704" xr:uid="{00000000-0005-0000-0000-0000F10F0000}"/>
    <cellStyle name="Remarque 2 2 2 3 3 3 2 2" xfId="52664" xr:uid="{00000000-0005-0000-0000-0000F20F0000}"/>
    <cellStyle name="Remarque 2 2 2 3 3 3 3" xfId="15951" xr:uid="{00000000-0005-0000-0000-0000F30F0000}"/>
    <cellStyle name="Remarque 2 2 2 3 3 3 4" xfId="39911" xr:uid="{00000000-0005-0000-0000-0000F40F0000}"/>
    <cellStyle name="Remarque 2 2 2 3 3 4" xfId="6084" xr:uid="{00000000-0005-0000-0000-0000F50F0000}"/>
    <cellStyle name="Remarque 2 2 2 3 3 4 2" xfId="30098" xr:uid="{00000000-0005-0000-0000-0000F60F0000}"/>
    <cellStyle name="Remarque 2 2 2 3 3 4 2 2" xfId="54058" xr:uid="{00000000-0005-0000-0000-0000F70F0000}"/>
    <cellStyle name="Remarque 2 2 2 3 3 4 3" xfId="17345" xr:uid="{00000000-0005-0000-0000-0000F80F0000}"/>
    <cellStyle name="Remarque 2 2 2 3 3 4 4" xfId="41305" xr:uid="{00000000-0005-0000-0000-0000F90F0000}"/>
    <cellStyle name="Remarque 2 2 2 3 3 5" xfId="7472" xr:uid="{00000000-0005-0000-0000-0000FA0F0000}"/>
    <cellStyle name="Remarque 2 2 2 3 3 5 2" xfId="31486" xr:uid="{00000000-0005-0000-0000-0000FB0F0000}"/>
    <cellStyle name="Remarque 2 2 2 3 3 5 2 2" xfId="55446" xr:uid="{00000000-0005-0000-0000-0000FC0F0000}"/>
    <cellStyle name="Remarque 2 2 2 3 3 5 3" xfId="18733" xr:uid="{00000000-0005-0000-0000-0000FD0F0000}"/>
    <cellStyle name="Remarque 2 2 2 3 3 5 4" xfId="42693" xr:uid="{00000000-0005-0000-0000-0000FE0F0000}"/>
    <cellStyle name="Remarque 2 2 2 3 3 6" xfId="8857" xr:uid="{00000000-0005-0000-0000-0000FF0F0000}"/>
    <cellStyle name="Remarque 2 2 2 3 3 6 2" xfId="32871" xr:uid="{00000000-0005-0000-0000-000000100000}"/>
    <cellStyle name="Remarque 2 2 2 3 3 6 2 2" xfId="56831" xr:uid="{00000000-0005-0000-0000-000001100000}"/>
    <cellStyle name="Remarque 2 2 2 3 3 6 3" xfId="20118" xr:uid="{00000000-0005-0000-0000-000002100000}"/>
    <cellStyle name="Remarque 2 2 2 3 3 6 4" xfId="44078" xr:uid="{00000000-0005-0000-0000-000003100000}"/>
    <cellStyle name="Remarque 2 2 2 3 3 7" xfId="10314" xr:uid="{00000000-0005-0000-0000-000004100000}"/>
    <cellStyle name="Remarque 2 2 2 3 3 7 2" xfId="34324" xr:uid="{00000000-0005-0000-0000-000005100000}"/>
    <cellStyle name="Remarque 2 2 2 3 3 7 2 2" xfId="58284" xr:uid="{00000000-0005-0000-0000-000006100000}"/>
    <cellStyle name="Remarque 2 2 2 3 3 7 3" xfId="21581" xr:uid="{00000000-0005-0000-0000-000007100000}"/>
    <cellStyle name="Remarque 2 2 2 3 3 7 4" xfId="45541" xr:uid="{00000000-0005-0000-0000-000008100000}"/>
    <cellStyle name="Remarque 2 2 2 3 3 8" xfId="12208" xr:uid="{00000000-0005-0000-0000-000009100000}"/>
    <cellStyle name="Remarque 2 2 2 3 3 8 2" xfId="23492" xr:uid="{00000000-0005-0000-0000-00000A100000}"/>
    <cellStyle name="Remarque 2 2 2 3 3 8 3" xfId="47452" xr:uid="{00000000-0005-0000-0000-00000B100000}"/>
    <cellStyle name="Remarque 2 2 2 3 3 9" xfId="1786" xr:uid="{00000000-0005-0000-0000-00000C100000}"/>
    <cellStyle name="Remarque 2 2 2 3 3 9 2" xfId="25800" xr:uid="{00000000-0005-0000-0000-00000D100000}"/>
    <cellStyle name="Remarque 2 2 2 3 3 9 3" xfId="49760" xr:uid="{00000000-0005-0000-0000-00000E100000}"/>
    <cellStyle name="Remarque 2 2 2 3 4" xfId="486" xr:uid="{00000000-0005-0000-0000-00000F100000}"/>
    <cellStyle name="Remarque 2 2 2 3 4 10" xfId="24518" xr:uid="{00000000-0005-0000-0000-000010100000}"/>
    <cellStyle name="Remarque 2 2 2 3 4 10 2" xfId="48478" xr:uid="{00000000-0005-0000-0000-000011100000}"/>
    <cellStyle name="Remarque 2 2 2 3 4 11" xfId="36440" xr:uid="{00000000-0005-0000-0000-000012100000}"/>
    <cellStyle name="Remarque 2 2 2 3 4 11 2" xfId="60400" xr:uid="{00000000-0005-0000-0000-000013100000}"/>
    <cellStyle name="Remarque 2 2 2 3 4 12" xfId="13183" xr:uid="{00000000-0005-0000-0000-000014100000}"/>
    <cellStyle name="Remarque 2 2 2 3 4 13" xfId="37143" xr:uid="{00000000-0005-0000-0000-000015100000}"/>
    <cellStyle name="Remarque 2 2 2 3 4 2" xfId="3392" xr:uid="{00000000-0005-0000-0000-000016100000}"/>
    <cellStyle name="Remarque 2 2 2 3 4 2 2" xfId="27406" xr:uid="{00000000-0005-0000-0000-000017100000}"/>
    <cellStyle name="Remarque 2 2 2 3 4 2 2 2" xfId="51366" xr:uid="{00000000-0005-0000-0000-000018100000}"/>
    <cellStyle name="Remarque 2 2 2 3 4 2 3" xfId="14653" xr:uid="{00000000-0005-0000-0000-000019100000}"/>
    <cellStyle name="Remarque 2 2 2 3 4 2 4" xfId="38613" xr:uid="{00000000-0005-0000-0000-00001A100000}"/>
    <cellStyle name="Remarque 2 2 2 3 4 3" xfId="4826" xr:uid="{00000000-0005-0000-0000-00001B100000}"/>
    <cellStyle name="Remarque 2 2 2 3 4 3 2" xfId="28840" xr:uid="{00000000-0005-0000-0000-00001C100000}"/>
    <cellStyle name="Remarque 2 2 2 3 4 3 2 2" xfId="52800" xr:uid="{00000000-0005-0000-0000-00001D100000}"/>
    <cellStyle name="Remarque 2 2 2 3 4 3 3" xfId="16087" xr:uid="{00000000-0005-0000-0000-00001E100000}"/>
    <cellStyle name="Remarque 2 2 2 3 4 3 4" xfId="40047" xr:uid="{00000000-0005-0000-0000-00001F100000}"/>
    <cellStyle name="Remarque 2 2 2 3 4 4" xfId="6220" xr:uid="{00000000-0005-0000-0000-000020100000}"/>
    <cellStyle name="Remarque 2 2 2 3 4 4 2" xfId="30234" xr:uid="{00000000-0005-0000-0000-000021100000}"/>
    <cellStyle name="Remarque 2 2 2 3 4 4 2 2" xfId="54194" xr:uid="{00000000-0005-0000-0000-000022100000}"/>
    <cellStyle name="Remarque 2 2 2 3 4 4 3" xfId="17481" xr:uid="{00000000-0005-0000-0000-000023100000}"/>
    <cellStyle name="Remarque 2 2 2 3 4 4 4" xfId="41441" xr:uid="{00000000-0005-0000-0000-000024100000}"/>
    <cellStyle name="Remarque 2 2 2 3 4 5" xfId="7608" xr:uid="{00000000-0005-0000-0000-000025100000}"/>
    <cellStyle name="Remarque 2 2 2 3 4 5 2" xfId="31622" xr:uid="{00000000-0005-0000-0000-000026100000}"/>
    <cellStyle name="Remarque 2 2 2 3 4 5 2 2" xfId="55582" xr:uid="{00000000-0005-0000-0000-000027100000}"/>
    <cellStyle name="Remarque 2 2 2 3 4 5 3" xfId="18869" xr:uid="{00000000-0005-0000-0000-000028100000}"/>
    <cellStyle name="Remarque 2 2 2 3 4 5 4" xfId="42829" xr:uid="{00000000-0005-0000-0000-000029100000}"/>
    <cellStyle name="Remarque 2 2 2 3 4 6" xfId="8993" xr:uid="{00000000-0005-0000-0000-00002A100000}"/>
    <cellStyle name="Remarque 2 2 2 3 4 6 2" xfId="33007" xr:uid="{00000000-0005-0000-0000-00002B100000}"/>
    <cellStyle name="Remarque 2 2 2 3 4 6 2 2" xfId="56967" xr:uid="{00000000-0005-0000-0000-00002C100000}"/>
    <cellStyle name="Remarque 2 2 2 3 4 6 3" xfId="20254" xr:uid="{00000000-0005-0000-0000-00002D100000}"/>
    <cellStyle name="Remarque 2 2 2 3 4 6 4" xfId="44214" xr:uid="{00000000-0005-0000-0000-00002E100000}"/>
    <cellStyle name="Remarque 2 2 2 3 4 7" xfId="10450" xr:uid="{00000000-0005-0000-0000-00002F100000}"/>
    <cellStyle name="Remarque 2 2 2 3 4 7 2" xfId="34460" xr:uid="{00000000-0005-0000-0000-000030100000}"/>
    <cellStyle name="Remarque 2 2 2 3 4 7 2 2" xfId="58420" xr:uid="{00000000-0005-0000-0000-000031100000}"/>
    <cellStyle name="Remarque 2 2 2 3 4 7 3" xfId="21717" xr:uid="{00000000-0005-0000-0000-000032100000}"/>
    <cellStyle name="Remarque 2 2 2 3 4 7 4" xfId="45677" xr:uid="{00000000-0005-0000-0000-000033100000}"/>
    <cellStyle name="Remarque 2 2 2 3 4 8" xfId="11840" xr:uid="{00000000-0005-0000-0000-000034100000}"/>
    <cellStyle name="Remarque 2 2 2 3 4 8 2" xfId="23115" xr:uid="{00000000-0005-0000-0000-000035100000}"/>
    <cellStyle name="Remarque 2 2 2 3 4 8 3" xfId="47075" xr:uid="{00000000-0005-0000-0000-000036100000}"/>
    <cellStyle name="Remarque 2 2 2 3 4 9" xfId="1922" xr:uid="{00000000-0005-0000-0000-000037100000}"/>
    <cellStyle name="Remarque 2 2 2 3 4 9 2" xfId="25936" xr:uid="{00000000-0005-0000-0000-000038100000}"/>
    <cellStyle name="Remarque 2 2 2 3 4 9 3" xfId="49896" xr:uid="{00000000-0005-0000-0000-000039100000}"/>
    <cellStyle name="Remarque 2 2 2 3 5" xfId="678" xr:uid="{00000000-0005-0000-0000-00003A100000}"/>
    <cellStyle name="Remarque 2 2 2 3 5 10" xfId="24710" xr:uid="{00000000-0005-0000-0000-00003B100000}"/>
    <cellStyle name="Remarque 2 2 2 3 5 10 2" xfId="48670" xr:uid="{00000000-0005-0000-0000-00003C100000}"/>
    <cellStyle name="Remarque 2 2 2 3 5 11" xfId="36729" xr:uid="{00000000-0005-0000-0000-00003D100000}"/>
    <cellStyle name="Remarque 2 2 2 3 5 11 2" xfId="60689" xr:uid="{00000000-0005-0000-0000-00003E100000}"/>
    <cellStyle name="Remarque 2 2 2 3 5 12" xfId="13375" xr:uid="{00000000-0005-0000-0000-00003F100000}"/>
    <cellStyle name="Remarque 2 2 2 3 5 13" xfId="37335" xr:uid="{00000000-0005-0000-0000-000040100000}"/>
    <cellStyle name="Remarque 2 2 2 3 5 2" xfId="3584" xr:uid="{00000000-0005-0000-0000-000041100000}"/>
    <cellStyle name="Remarque 2 2 2 3 5 2 2" xfId="27598" xr:uid="{00000000-0005-0000-0000-000042100000}"/>
    <cellStyle name="Remarque 2 2 2 3 5 2 2 2" xfId="51558" xr:uid="{00000000-0005-0000-0000-000043100000}"/>
    <cellStyle name="Remarque 2 2 2 3 5 2 3" xfId="14845" xr:uid="{00000000-0005-0000-0000-000044100000}"/>
    <cellStyle name="Remarque 2 2 2 3 5 2 4" xfId="38805" xr:uid="{00000000-0005-0000-0000-000045100000}"/>
    <cellStyle name="Remarque 2 2 2 3 5 3" xfId="5018" xr:uid="{00000000-0005-0000-0000-000046100000}"/>
    <cellStyle name="Remarque 2 2 2 3 5 3 2" xfId="29032" xr:uid="{00000000-0005-0000-0000-000047100000}"/>
    <cellStyle name="Remarque 2 2 2 3 5 3 2 2" xfId="52992" xr:uid="{00000000-0005-0000-0000-000048100000}"/>
    <cellStyle name="Remarque 2 2 2 3 5 3 3" xfId="16279" xr:uid="{00000000-0005-0000-0000-000049100000}"/>
    <cellStyle name="Remarque 2 2 2 3 5 3 4" xfId="40239" xr:uid="{00000000-0005-0000-0000-00004A100000}"/>
    <cellStyle name="Remarque 2 2 2 3 5 4" xfId="6412" xr:uid="{00000000-0005-0000-0000-00004B100000}"/>
    <cellStyle name="Remarque 2 2 2 3 5 4 2" xfId="30426" xr:uid="{00000000-0005-0000-0000-00004C100000}"/>
    <cellStyle name="Remarque 2 2 2 3 5 4 2 2" xfId="54386" xr:uid="{00000000-0005-0000-0000-00004D100000}"/>
    <cellStyle name="Remarque 2 2 2 3 5 4 3" xfId="17673" xr:uid="{00000000-0005-0000-0000-00004E100000}"/>
    <cellStyle name="Remarque 2 2 2 3 5 4 4" xfId="41633" xr:uid="{00000000-0005-0000-0000-00004F100000}"/>
    <cellStyle name="Remarque 2 2 2 3 5 5" xfId="7800" xr:uid="{00000000-0005-0000-0000-000050100000}"/>
    <cellStyle name="Remarque 2 2 2 3 5 5 2" xfId="31814" xr:uid="{00000000-0005-0000-0000-000051100000}"/>
    <cellStyle name="Remarque 2 2 2 3 5 5 2 2" xfId="55774" xr:uid="{00000000-0005-0000-0000-000052100000}"/>
    <cellStyle name="Remarque 2 2 2 3 5 5 3" xfId="19061" xr:uid="{00000000-0005-0000-0000-000053100000}"/>
    <cellStyle name="Remarque 2 2 2 3 5 5 4" xfId="43021" xr:uid="{00000000-0005-0000-0000-000054100000}"/>
    <cellStyle name="Remarque 2 2 2 3 5 6" xfId="9185" xr:uid="{00000000-0005-0000-0000-000055100000}"/>
    <cellStyle name="Remarque 2 2 2 3 5 6 2" xfId="33199" xr:uid="{00000000-0005-0000-0000-000056100000}"/>
    <cellStyle name="Remarque 2 2 2 3 5 6 2 2" xfId="57159" xr:uid="{00000000-0005-0000-0000-000057100000}"/>
    <cellStyle name="Remarque 2 2 2 3 5 6 3" xfId="20446" xr:uid="{00000000-0005-0000-0000-000058100000}"/>
    <cellStyle name="Remarque 2 2 2 3 5 6 4" xfId="44406" xr:uid="{00000000-0005-0000-0000-000059100000}"/>
    <cellStyle name="Remarque 2 2 2 3 5 7" xfId="10642" xr:uid="{00000000-0005-0000-0000-00005A100000}"/>
    <cellStyle name="Remarque 2 2 2 3 5 7 2" xfId="34652" xr:uid="{00000000-0005-0000-0000-00005B100000}"/>
    <cellStyle name="Remarque 2 2 2 3 5 7 2 2" xfId="58612" xr:uid="{00000000-0005-0000-0000-00005C100000}"/>
    <cellStyle name="Remarque 2 2 2 3 5 7 3" xfId="21909" xr:uid="{00000000-0005-0000-0000-00005D100000}"/>
    <cellStyle name="Remarque 2 2 2 3 5 7 4" xfId="45869" xr:uid="{00000000-0005-0000-0000-00005E100000}"/>
    <cellStyle name="Remarque 2 2 2 3 5 8" xfId="11927" xr:uid="{00000000-0005-0000-0000-00005F100000}"/>
    <cellStyle name="Remarque 2 2 2 3 5 8 2" xfId="23205" xr:uid="{00000000-0005-0000-0000-000060100000}"/>
    <cellStyle name="Remarque 2 2 2 3 5 8 3" xfId="47165" xr:uid="{00000000-0005-0000-0000-000061100000}"/>
    <cellStyle name="Remarque 2 2 2 3 5 9" xfId="2114" xr:uid="{00000000-0005-0000-0000-000062100000}"/>
    <cellStyle name="Remarque 2 2 2 3 5 9 2" xfId="26128" xr:uid="{00000000-0005-0000-0000-000063100000}"/>
    <cellStyle name="Remarque 2 2 2 3 5 9 3" xfId="50088" xr:uid="{00000000-0005-0000-0000-000064100000}"/>
    <cellStyle name="Remarque 2 2 2 3 6" xfId="872" xr:uid="{00000000-0005-0000-0000-000065100000}"/>
    <cellStyle name="Remarque 2 2 2 3 6 10" xfId="24904" xr:uid="{00000000-0005-0000-0000-000066100000}"/>
    <cellStyle name="Remarque 2 2 2 3 6 10 2" xfId="48864" xr:uid="{00000000-0005-0000-0000-000067100000}"/>
    <cellStyle name="Remarque 2 2 2 3 6 11" xfId="36505" xr:uid="{00000000-0005-0000-0000-000068100000}"/>
    <cellStyle name="Remarque 2 2 2 3 6 11 2" xfId="60465" xr:uid="{00000000-0005-0000-0000-000069100000}"/>
    <cellStyle name="Remarque 2 2 2 3 6 12" xfId="13569" xr:uid="{00000000-0005-0000-0000-00006A100000}"/>
    <cellStyle name="Remarque 2 2 2 3 6 13" xfId="37529" xr:uid="{00000000-0005-0000-0000-00006B100000}"/>
    <cellStyle name="Remarque 2 2 2 3 6 2" xfId="3778" xr:uid="{00000000-0005-0000-0000-00006C100000}"/>
    <cellStyle name="Remarque 2 2 2 3 6 2 2" xfId="27792" xr:uid="{00000000-0005-0000-0000-00006D100000}"/>
    <cellStyle name="Remarque 2 2 2 3 6 2 2 2" xfId="51752" xr:uid="{00000000-0005-0000-0000-00006E100000}"/>
    <cellStyle name="Remarque 2 2 2 3 6 2 3" xfId="15039" xr:uid="{00000000-0005-0000-0000-00006F100000}"/>
    <cellStyle name="Remarque 2 2 2 3 6 2 4" xfId="38999" xr:uid="{00000000-0005-0000-0000-000070100000}"/>
    <cellStyle name="Remarque 2 2 2 3 6 3" xfId="5212" xr:uid="{00000000-0005-0000-0000-000071100000}"/>
    <cellStyle name="Remarque 2 2 2 3 6 3 2" xfId="29226" xr:uid="{00000000-0005-0000-0000-000072100000}"/>
    <cellStyle name="Remarque 2 2 2 3 6 3 2 2" xfId="53186" xr:uid="{00000000-0005-0000-0000-000073100000}"/>
    <cellStyle name="Remarque 2 2 2 3 6 3 3" xfId="16473" xr:uid="{00000000-0005-0000-0000-000074100000}"/>
    <cellStyle name="Remarque 2 2 2 3 6 3 4" xfId="40433" xr:uid="{00000000-0005-0000-0000-000075100000}"/>
    <cellStyle name="Remarque 2 2 2 3 6 4" xfId="6606" xr:uid="{00000000-0005-0000-0000-000076100000}"/>
    <cellStyle name="Remarque 2 2 2 3 6 4 2" xfId="30620" xr:uid="{00000000-0005-0000-0000-000077100000}"/>
    <cellStyle name="Remarque 2 2 2 3 6 4 2 2" xfId="54580" xr:uid="{00000000-0005-0000-0000-000078100000}"/>
    <cellStyle name="Remarque 2 2 2 3 6 4 3" xfId="17867" xr:uid="{00000000-0005-0000-0000-000079100000}"/>
    <cellStyle name="Remarque 2 2 2 3 6 4 4" xfId="41827" xr:uid="{00000000-0005-0000-0000-00007A100000}"/>
    <cellStyle name="Remarque 2 2 2 3 6 5" xfId="7994" xr:uid="{00000000-0005-0000-0000-00007B100000}"/>
    <cellStyle name="Remarque 2 2 2 3 6 5 2" xfId="32008" xr:uid="{00000000-0005-0000-0000-00007C100000}"/>
    <cellStyle name="Remarque 2 2 2 3 6 5 2 2" xfId="55968" xr:uid="{00000000-0005-0000-0000-00007D100000}"/>
    <cellStyle name="Remarque 2 2 2 3 6 5 3" xfId="19255" xr:uid="{00000000-0005-0000-0000-00007E100000}"/>
    <cellStyle name="Remarque 2 2 2 3 6 5 4" xfId="43215" xr:uid="{00000000-0005-0000-0000-00007F100000}"/>
    <cellStyle name="Remarque 2 2 2 3 6 6" xfId="9379" xr:uid="{00000000-0005-0000-0000-000080100000}"/>
    <cellStyle name="Remarque 2 2 2 3 6 6 2" xfId="33393" xr:uid="{00000000-0005-0000-0000-000081100000}"/>
    <cellStyle name="Remarque 2 2 2 3 6 6 2 2" xfId="57353" xr:uid="{00000000-0005-0000-0000-000082100000}"/>
    <cellStyle name="Remarque 2 2 2 3 6 6 3" xfId="20640" xr:uid="{00000000-0005-0000-0000-000083100000}"/>
    <cellStyle name="Remarque 2 2 2 3 6 6 4" xfId="44600" xr:uid="{00000000-0005-0000-0000-000084100000}"/>
    <cellStyle name="Remarque 2 2 2 3 6 7" xfId="10836" xr:uid="{00000000-0005-0000-0000-000085100000}"/>
    <cellStyle name="Remarque 2 2 2 3 6 7 2" xfId="34846" xr:uid="{00000000-0005-0000-0000-000086100000}"/>
    <cellStyle name="Remarque 2 2 2 3 6 7 2 2" xfId="58806" xr:uid="{00000000-0005-0000-0000-000087100000}"/>
    <cellStyle name="Remarque 2 2 2 3 6 7 3" xfId="22103" xr:uid="{00000000-0005-0000-0000-000088100000}"/>
    <cellStyle name="Remarque 2 2 2 3 6 7 4" xfId="46063" xr:uid="{00000000-0005-0000-0000-000089100000}"/>
    <cellStyle name="Remarque 2 2 2 3 6 8" xfId="12227" xr:uid="{00000000-0005-0000-0000-00008A100000}"/>
    <cellStyle name="Remarque 2 2 2 3 6 8 2" xfId="23511" xr:uid="{00000000-0005-0000-0000-00008B100000}"/>
    <cellStyle name="Remarque 2 2 2 3 6 8 3" xfId="47471" xr:uid="{00000000-0005-0000-0000-00008C100000}"/>
    <cellStyle name="Remarque 2 2 2 3 6 9" xfId="2308" xr:uid="{00000000-0005-0000-0000-00008D100000}"/>
    <cellStyle name="Remarque 2 2 2 3 6 9 2" xfId="26322" xr:uid="{00000000-0005-0000-0000-00008E100000}"/>
    <cellStyle name="Remarque 2 2 2 3 6 9 3" xfId="50282" xr:uid="{00000000-0005-0000-0000-00008F100000}"/>
    <cellStyle name="Remarque 2 2 2 3 7" xfId="1065" xr:uid="{00000000-0005-0000-0000-000090100000}"/>
    <cellStyle name="Remarque 2 2 2 3 7 10" xfId="25097" xr:uid="{00000000-0005-0000-0000-000091100000}"/>
    <cellStyle name="Remarque 2 2 2 3 7 10 2" xfId="49057" xr:uid="{00000000-0005-0000-0000-000092100000}"/>
    <cellStyle name="Remarque 2 2 2 3 7 11" xfId="36335" xr:uid="{00000000-0005-0000-0000-000093100000}"/>
    <cellStyle name="Remarque 2 2 2 3 7 11 2" xfId="60295" xr:uid="{00000000-0005-0000-0000-000094100000}"/>
    <cellStyle name="Remarque 2 2 2 3 7 12" xfId="13762" xr:uid="{00000000-0005-0000-0000-000095100000}"/>
    <cellStyle name="Remarque 2 2 2 3 7 13" xfId="37722" xr:uid="{00000000-0005-0000-0000-000096100000}"/>
    <cellStyle name="Remarque 2 2 2 3 7 2" xfId="3971" xr:uid="{00000000-0005-0000-0000-000097100000}"/>
    <cellStyle name="Remarque 2 2 2 3 7 2 2" xfId="27985" xr:uid="{00000000-0005-0000-0000-000098100000}"/>
    <cellStyle name="Remarque 2 2 2 3 7 2 2 2" xfId="51945" xr:uid="{00000000-0005-0000-0000-000099100000}"/>
    <cellStyle name="Remarque 2 2 2 3 7 2 3" xfId="15232" xr:uid="{00000000-0005-0000-0000-00009A100000}"/>
    <cellStyle name="Remarque 2 2 2 3 7 2 4" xfId="39192" xr:uid="{00000000-0005-0000-0000-00009B100000}"/>
    <cellStyle name="Remarque 2 2 2 3 7 3" xfId="5405" xr:uid="{00000000-0005-0000-0000-00009C100000}"/>
    <cellStyle name="Remarque 2 2 2 3 7 3 2" xfId="29419" xr:uid="{00000000-0005-0000-0000-00009D100000}"/>
    <cellStyle name="Remarque 2 2 2 3 7 3 2 2" xfId="53379" xr:uid="{00000000-0005-0000-0000-00009E100000}"/>
    <cellStyle name="Remarque 2 2 2 3 7 3 3" xfId="16666" xr:uid="{00000000-0005-0000-0000-00009F100000}"/>
    <cellStyle name="Remarque 2 2 2 3 7 3 4" xfId="40626" xr:uid="{00000000-0005-0000-0000-0000A0100000}"/>
    <cellStyle name="Remarque 2 2 2 3 7 4" xfId="6799" xr:uid="{00000000-0005-0000-0000-0000A1100000}"/>
    <cellStyle name="Remarque 2 2 2 3 7 4 2" xfId="30813" xr:uid="{00000000-0005-0000-0000-0000A2100000}"/>
    <cellStyle name="Remarque 2 2 2 3 7 4 2 2" xfId="54773" xr:uid="{00000000-0005-0000-0000-0000A3100000}"/>
    <cellStyle name="Remarque 2 2 2 3 7 4 3" xfId="18060" xr:uid="{00000000-0005-0000-0000-0000A4100000}"/>
    <cellStyle name="Remarque 2 2 2 3 7 4 4" xfId="42020" xr:uid="{00000000-0005-0000-0000-0000A5100000}"/>
    <cellStyle name="Remarque 2 2 2 3 7 5" xfId="8187" xr:uid="{00000000-0005-0000-0000-0000A6100000}"/>
    <cellStyle name="Remarque 2 2 2 3 7 5 2" xfId="32201" xr:uid="{00000000-0005-0000-0000-0000A7100000}"/>
    <cellStyle name="Remarque 2 2 2 3 7 5 2 2" xfId="56161" xr:uid="{00000000-0005-0000-0000-0000A8100000}"/>
    <cellStyle name="Remarque 2 2 2 3 7 5 3" xfId="19448" xr:uid="{00000000-0005-0000-0000-0000A9100000}"/>
    <cellStyle name="Remarque 2 2 2 3 7 5 4" xfId="43408" xr:uid="{00000000-0005-0000-0000-0000AA100000}"/>
    <cellStyle name="Remarque 2 2 2 3 7 6" xfId="9572" xr:uid="{00000000-0005-0000-0000-0000AB100000}"/>
    <cellStyle name="Remarque 2 2 2 3 7 6 2" xfId="33586" xr:uid="{00000000-0005-0000-0000-0000AC100000}"/>
    <cellStyle name="Remarque 2 2 2 3 7 6 2 2" xfId="57546" xr:uid="{00000000-0005-0000-0000-0000AD100000}"/>
    <cellStyle name="Remarque 2 2 2 3 7 6 3" xfId="20833" xr:uid="{00000000-0005-0000-0000-0000AE100000}"/>
    <cellStyle name="Remarque 2 2 2 3 7 6 4" xfId="44793" xr:uid="{00000000-0005-0000-0000-0000AF100000}"/>
    <cellStyle name="Remarque 2 2 2 3 7 7" xfId="11029" xr:uid="{00000000-0005-0000-0000-0000B0100000}"/>
    <cellStyle name="Remarque 2 2 2 3 7 7 2" xfId="35039" xr:uid="{00000000-0005-0000-0000-0000B1100000}"/>
    <cellStyle name="Remarque 2 2 2 3 7 7 2 2" xfId="58999" xr:uid="{00000000-0005-0000-0000-0000B2100000}"/>
    <cellStyle name="Remarque 2 2 2 3 7 7 3" xfId="22296" xr:uid="{00000000-0005-0000-0000-0000B3100000}"/>
    <cellStyle name="Remarque 2 2 2 3 7 7 4" xfId="46256" xr:uid="{00000000-0005-0000-0000-0000B4100000}"/>
    <cellStyle name="Remarque 2 2 2 3 7 8" xfId="12014" xr:uid="{00000000-0005-0000-0000-0000B5100000}"/>
    <cellStyle name="Remarque 2 2 2 3 7 8 2" xfId="23293" xr:uid="{00000000-0005-0000-0000-0000B6100000}"/>
    <cellStyle name="Remarque 2 2 2 3 7 8 3" xfId="47253" xr:uid="{00000000-0005-0000-0000-0000B7100000}"/>
    <cellStyle name="Remarque 2 2 2 3 7 9" xfId="2501" xr:uid="{00000000-0005-0000-0000-0000B8100000}"/>
    <cellStyle name="Remarque 2 2 2 3 7 9 2" xfId="26515" xr:uid="{00000000-0005-0000-0000-0000B9100000}"/>
    <cellStyle name="Remarque 2 2 2 3 7 9 3" xfId="50475" xr:uid="{00000000-0005-0000-0000-0000BA100000}"/>
    <cellStyle name="Remarque 2 2 2 3 8" xfId="1232" xr:uid="{00000000-0005-0000-0000-0000BB100000}"/>
    <cellStyle name="Remarque 2 2 2 3 8 10" xfId="25264" xr:uid="{00000000-0005-0000-0000-0000BC100000}"/>
    <cellStyle name="Remarque 2 2 2 3 8 10 2" xfId="49224" xr:uid="{00000000-0005-0000-0000-0000BD100000}"/>
    <cellStyle name="Remarque 2 2 2 3 8 11" xfId="36641" xr:uid="{00000000-0005-0000-0000-0000BE100000}"/>
    <cellStyle name="Remarque 2 2 2 3 8 11 2" xfId="60601" xr:uid="{00000000-0005-0000-0000-0000BF100000}"/>
    <cellStyle name="Remarque 2 2 2 3 8 12" xfId="13929" xr:uid="{00000000-0005-0000-0000-0000C0100000}"/>
    <cellStyle name="Remarque 2 2 2 3 8 13" xfId="37889" xr:uid="{00000000-0005-0000-0000-0000C1100000}"/>
    <cellStyle name="Remarque 2 2 2 3 8 2" xfId="4138" xr:uid="{00000000-0005-0000-0000-0000C2100000}"/>
    <cellStyle name="Remarque 2 2 2 3 8 2 2" xfId="28152" xr:uid="{00000000-0005-0000-0000-0000C3100000}"/>
    <cellStyle name="Remarque 2 2 2 3 8 2 2 2" xfId="52112" xr:uid="{00000000-0005-0000-0000-0000C4100000}"/>
    <cellStyle name="Remarque 2 2 2 3 8 2 3" xfId="15399" xr:uid="{00000000-0005-0000-0000-0000C5100000}"/>
    <cellStyle name="Remarque 2 2 2 3 8 2 4" xfId="39359" xr:uid="{00000000-0005-0000-0000-0000C6100000}"/>
    <cellStyle name="Remarque 2 2 2 3 8 3" xfId="5572" xr:uid="{00000000-0005-0000-0000-0000C7100000}"/>
    <cellStyle name="Remarque 2 2 2 3 8 3 2" xfId="29586" xr:uid="{00000000-0005-0000-0000-0000C8100000}"/>
    <cellStyle name="Remarque 2 2 2 3 8 3 2 2" xfId="53546" xr:uid="{00000000-0005-0000-0000-0000C9100000}"/>
    <cellStyle name="Remarque 2 2 2 3 8 3 3" xfId="16833" xr:uid="{00000000-0005-0000-0000-0000CA100000}"/>
    <cellStyle name="Remarque 2 2 2 3 8 3 4" xfId="40793" xr:uid="{00000000-0005-0000-0000-0000CB100000}"/>
    <cellStyle name="Remarque 2 2 2 3 8 4" xfId="6966" xr:uid="{00000000-0005-0000-0000-0000CC100000}"/>
    <cellStyle name="Remarque 2 2 2 3 8 4 2" xfId="30980" xr:uid="{00000000-0005-0000-0000-0000CD100000}"/>
    <cellStyle name="Remarque 2 2 2 3 8 4 2 2" xfId="54940" xr:uid="{00000000-0005-0000-0000-0000CE100000}"/>
    <cellStyle name="Remarque 2 2 2 3 8 4 3" xfId="18227" xr:uid="{00000000-0005-0000-0000-0000CF100000}"/>
    <cellStyle name="Remarque 2 2 2 3 8 4 4" xfId="42187" xr:uid="{00000000-0005-0000-0000-0000D0100000}"/>
    <cellStyle name="Remarque 2 2 2 3 8 5" xfId="8354" xr:uid="{00000000-0005-0000-0000-0000D1100000}"/>
    <cellStyle name="Remarque 2 2 2 3 8 5 2" xfId="32368" xr:uid="{00000000-0005-0000-0000-0000D2100000}"/>
    <cellStyle name="Remarque 2 2 2 3 8 5 2 2" xfId="56328" xr:uid="{00000000-0005-0000-0000-0000D3100000}"/>
    <cellStyle name="Remarque 2 2 2 3 8 5 3" xfId="19615" xr:uid="{00000000-0005-0000-0000-0000D4100000}"/>
    <cellStyle name="Remarque 2 2 2 3 8 5 4" xfId="43575" xr:uid="{00000000-0005-0000-0000-0000D5100000}"/>
    <cellStyle name="Remarque 2 2 2 3 8 6" xfId="9739" xr:uid="{00000000-0005-0000-0000-0000D6100000}"/>
    <cellStyle name="Remarque 2 2 2 3 8 6 2" xfId="33753" xr:uid="{00000000-0005-0000-0000-0000D7100000}"/>
    <cellStyle name="Remarque 2 2 2 3 8 6 2 2" xfId="57713" xr:uid="{00000000-0005-0000-0000-0000D8100000}"/>
    <cellStyle name="Remarque 2 2 2 3 8 6 3" xfId="21000" xr:uid="{00000000-0005-0000-0000-0000D9100000}"/>
    <cellStyle name="Remarque 2 2 2 3 8 6 4" xfId="44960" xr:uid="{00000000-0005-0000-0000-0000DA100000}"/>
    <cellStyle name="Remarque 2 2 2 3 8 7" xfId="11196" xr:uid="{00000000-0005-0000-0000-0000DB100000}"/>
    <cellStyle name="Remarque 2 2 2 3 8 7 2" xfId="35206" xr:uid="{00000000-0005-0000-0000-0000DC100000}"/>
    <cellStyle name="Remarque 2 2 2 3 8 7 2 2" xfId="59166" xr:uid="{00000000-0005-0000-0000-0000DD100000}"/>
    <cellStyle name="Remarque 2 2 2 3 8 7 3" xfId="22463" xr:uid="{00000000-0005-0000-0000-0000DE100000}"/>
    <cellStyle name="Remarque 2 2 2 3 8 7 4" xfId="46423" xr:uid="{00000000-0005-0000-0000-0000DF100000}"/>
    <cellStyle name="Remarque 2 2 2 3 8 8" xfId="12719" xr:uid="{00000000-0005-0000-0000-0000E0100000}"/>
    <cellStyle name="Remarque 2 2 2 3 8 8 2" xfId="24025" xr:uid="{00000000-0005-0000-0000-0000E1100000}"/>
    <cellStyle name="Remarque 2 2 2 3 8 8 3" xfId="47985" xr:uid="{00000000-0005-0000-0000-0000E2100000}"/>
    <cellStyle name="Remarque 2 2 2 3 8 9" xfId="2668" xr:uid="{00000000-0005-0000-0000-0000E3100000}"/>
    <cellStyle name="Remarque 2 2 2 3 8 9 2" xfId="26682" xr:uid="{00000000-0005-0000-0000-0000E4100000}"/>
    <cellStyle name="Remarque 2 2 2 3 8 9 3" xfId="50642" xr:uid="{00000000-0005-0000-0000-0000E5100000}"/>
    <cellStyle name="Remarque 2 2 2 3 9" xfId="1401" xr:uid="{00000000-0005-0000-0000-0000E6100000}"/>
    <cellStyle name="Remarque 2 2 2 3 9 10" xfId="25433" xr:uid="{00000000-0005-0000-0000-0000E7100000}"/>
    <cellStyle name="Remarque 2 2 2 3 9 10 2" xfId="49393" xr:uid="{00000000-0005-0000-0000-0000E8100000}"/>
    <cellStyle name="Remarque 2 2 2 3 9 11" xfId="36199" xr:uid="{00000000-0005-0000-0000-0000E9100000}"/>
    <cellStyle name="Remarque 2 2 2 3 9 11 2" xfId="60159" xr:uid="{00000000-0005-0000-0000-0000EA100000}"/>
    <cellStyle name="Remarque 2 2 2 3 9 12" xfId="14098" xr:uid="{00000000-0005-0000-0000-0000EB100000}"/>
    <cellStyle name="Remarque 2 2 2 3 9 13" xfId="38058" xr:uid="{00000000-0005-0000-0000-0000EC100000}"/>
    <cellStyle name="Remarque 2 2 2 3 9 2" xfId="4307" xr:uid="{00000000-0005-0000-0000-0000ED100000}"/>
    <cellStyle name="Remarque 2 2 2 3 9 2 2" xfId="28321" xr:uid="{00000000-0005-0000-0000-0000EE100000}"/>
    <cellStyle name="Remarque 2 2 2 3 9 2 2 2" xfId="52281" xr:uid="{00000000-0005-0000-0000-0000EF100000}"/>
    <cellStyle name="Remarque 2 2 2 3 9 2 3" xfId="15568" xr:uid="{00000000-0005-0000-0000-0000F0100000}"/>
    <cellStyle name="Remarque 2 2 2 3 9 2 4" xfId="39528" xr:uid="{00000000-0005-0000-0000-0000F1100000}"/>
    <cellStyle name="Remarque 2 2 2 3 9 3" xfId="5741" xr:uid="{00000000-0005-0000-0000-0000F2100000}"/>
    <cellStyle name="Remarque 2 2 2 3 9 3 2" xfId="29755" xr:uid="{00000000-0005-0000-0000-0000F3100000}"/>
    <cellStyle name="Remarque 2 2 2 3 9 3 2 2" xfId="53715" xr:uid="{00000000-0005-0000-0000-0000F4100000}"/>
    <cellStyle name="Remarque 2 2 2 3 9 3 3" xfId="17002" xr:uid="{00000000-0005-0000-0000-0000F5100000}"/>
    <cellStyle name="Remarque 2 2 2 3 9 3 4" xfId="40962" xr:uid="{00000000-0005-0000-0000-0000F6100000}"/>
    <cellStyle name="Remarque 2 2 2 3 9 4" xfId="7135" xr:uid="{00000000-0005-0000-0000-0000F7100000}"/>
    <cellStyle name="Remarque 2 2 2 3 9 4 2" xfId="31149" xr:uid="{00000000-0005-0000-0000-0000F8100000}"/>
    <cellStyle name="Remarque 2 2 2 3 9 4 2 2" xfId="55109" xr:uid="{00000000-0005-0000-0000-0000F9100000}"/>
    <cellStyle name="Remarque 2 2 2 3 9 4 3" xfId="18396" xr:uid="{00000000-0005-0000-0000-0000FA100000}"/>
    <cellStyle name="Remarque 2 2 2 3 9 4 4" xfId="42356" xr:uid="{00000000-0005-0000-0000-0000FB100000}"/>
    <cellStyle name="Remarque 2 2 2 3 9 5" xfId="8523" xr:uid="{00000000-0005-0000-0000-0000FC100000}"/>
    <cellStyle name="Remarque 2 2 2 3 9 5 2" xfId="32537" xr:uid="{00000000-0005-0000-0000-0000FD100000}"/>
    <cellStyle name="Remarque 2 2 2 3 9 5 2 2" xfId="56497" xr:uid="{00000000-0005-0000-0000-0000FE100000}"/>
    <cellStyle name="Remarque 2 2 2 3 9 5 3" xfId="19784" xr:uid="{00000000-0005-0000-0000-0000FF100000}"/>
    <cellStyle name="Remarque 2 2 2 3 9 5 4" xfId="43744" xr:uid="{00000000-0005-0000-0000-000000110000}"/>
    <cellStyle name="Remarque 2 2 2 3 9 6" xfId="9908" xr:uid="{00000000-0005-0000-0000-000001110000}"/>
    <cellStyle name="Remarque 2 2 2 3 9 6 2" xfId="33922" xr:uid="{00000000-0005-0000-0000-000002110000}"/>
    <cellStyle name="Remarque 2 2 2 3 9 6 2 2" xfId="57882" xr:uid="{00000000-0005-0000-0000-000003110000}"/>
    <cellStyle name="Remarque 2 2 2 3 9 6 3" xfId="21169" xr:uid="{00000000-0005-0000-0000-000004110000}"/>
    <cellStyle name="Remarque 2 2 2 3 9 6 4" xfId="45129" xr:uid="{00000000-0005-0000-0000-000005110000}"/>
    <cellStyle name="Remarque 2 2 2 3 9 7" xfId="11365" xr:uid="{00000000-0005-0000-0000-000006110000}"/>
    <cellStyle name="Remarque 2 2 2 3 9 7 2" xfId="35375" xr:uid="{00000000-0005-0000-0000-000007110000}"/>
    <cellStyle name="Remarque 2 2 2 3 9 7 2 2" xfId="59335" xr:uid="{00000000-0005-0000-0000-000008110000}"/>
    <cellStyle name="Remarque 2 2 2 3 9 7 3" xfId="22632" xr:uid="{00000000-0005-0000-0000-000009110000}"/>
    <cellStyle name="Remarque 2 2 2 3 9 7 4" xfId="46592" xr:uid="{00000000-0005-0000-0000-00000A110000}"/>
    <cellStyle name="Remarque 2 2 2 3 9 8" xfId="11963" xr:uid="{00000000-0005-0000-0000-00000B110000}"/>
    <cellStyle name="Remarque 2 2 2 3 9 8 2" xfId="23241" xr:uid="{00000000-0005-0000-0000-00000C110000}"/>
    <cellStyle name="Remarque 2 2 2 3 9 8 3" xfId="47201" xr:uid="{00000000-0005-0000-0000-00000D110000}"/>
    <cellStyle name="Remarque 2 2 2 3 9 9" xfId="2837" xr:uid="{00000000-0005-0000-0000-00000E110000}"/>
    <cellStyle name="Remarque 2 2 2 3 9 9 2" xfId="26851" xr:uid="{00000000-0005-0000-0000-00000F110000}"/>
    <cellStyle name="Remarque 2 2 2 3 9 9 3" xfId="50811" xr:uid="{00000000-0005-0000-0000-000010110000}"/>
    <cellStyle name="Remarque 2 2 2 4" xfId="84" xr:uid="{00000000-0005-0000-0000-000011110000}"/>
    <cellStyle name="Remarque 2 2 2 4 10" xfId="36883" xr:uid="{00000000-0005-0000-0000-000012110000}"/>
    <cellStyle name="Remarque 2 2 2 4 11" xfId="226" xr:uid="{00000000-0005-0000-0000-000013110000}"/>
    <cellStyle name="Remarque 2 2 2 4 2" xfId="460" xr:uid="{00000000-0005-0000-0000-000014110000}"/>
    <cellStyle name="Remarque 2 2 2 4 2 10" xfId="6194" xr:uid="{00000000-0005-0000-0000-000015110000}"/>
    <cellStyle name="Remarque 2 2 2 4 2 10 2" xfId="30208" xr:uid="{00000000-0005-0000-0000-000016110000}"/>
    <cellStyle name="Remarque 2 2 2 4 2 10 2 2" xfId="54168" xr:uid="{00000000-0005-0000-0000-000017110000}"/>
    <cellStyle name="Remarque 2 2 2 4 2 10 3" xfId="17455" xr:uid="{00000000-0005-0000-0000-000018110000}"/>
    <cellStyle name="Remarque 2 2 2 4 2 10 4" xfId="41415" xr:uid="{00000000-0005-0000-0000-000019110000}"/>
    <cellStyle name="Remarque 2 2 2 4 2 11" xfId="7582" xr:uid="{00000000-0005-0000-0000-00001A110000}"/>
    <cellStyle name="Remarque 2 2 2 4 2 11 2" xfId="31596" xr:uid="{00000000-0005-0000-0000-00001B110000}"/>
    <cellStyle name="Remarque 2 2 2 4 2 11 2 2" xfId="55556" xr:uid="{00000000-0005-0000-0000-00001C110000}"/>
    <cellStyle name="Remarque 2 2 2 4 2 11 3" xfId="18843" xr:uid="{00000000-0005-0000-0000-00001D110000}"/>
    <cellStyle name="Remarque 2 2 2 4 2 11 4" xfId="42803" xr:uid="{00000000-0005-0000-0000-00001E110000}"/>
    <cellStyle name="Remarque 2 2 2 4 2 12" xfId="8967" xr:uid="{00000000-0005-0000-0000-00001F110000}"/>
    <cellStyle name="Remarque 2 2 2 4 2 12 2" xfId="32981" xr:uid="{00000000-0005-0000-0000-000020110000}"/>
    <cellStyle name="Remarque 2 2 2 4 2 12 2 2" xfId="56941" xr:uid="{00000000-0005-0000-0000-000021110000}"/>
    <cellStyle name="Remarque 2 2 2 4 2 12 3" xfId="20228" xr:uid="{00000000-0005-0000-0000-000022110000}"/>
    <cellStyle name="Remarque 2 2 2 4 2 12 4" xfId="44188" xr:uid="{00000000-0005-0000-0000-000023110000}"/>
    <cellStyle name="Remarque 2 2 2 4 2 13" xfId="10424" xr:uid="{00000000-0005-0000-0000-000024110000}"/>
    <cellStyle name="Remarque 2 2 2 4 2 13 2" xfId="34434" xr:uid="{00000000-0005-0000-0000-000025110000}"/>
    <cellStyle name="Remarque 2 2 2 4 2 13 2 2" xfId="58394" xr:uid="{00000000-0005-0000-0000-000026110000}"/>
    <cellStyle name="Remarque 2 2 2 4 2 13 3" xfId="21691" xr:uid="{00000000-0005-0000-0000-000027110000}"/>
    <cellStyle name="Remarque 2 2 2 4 2 13 4" xfId="45651" xr:uid="{00000000-0005-0000-0000-000028110000}"/>
    <cellStyle name="Remarque 2 2 2 4 2 14" xfId="11819" xr:uid="{00000000-0005-0000-0000-000029110000}"/>
    <cellStyle name="Remarque 2 2 2 4 2 14 2" xfId="23093" xr:uid="{00000000-0005-0000-0000-00002A110000}"/>
    <cellStyle name="Remarque 2 2 2 4 2 14 3" xfId="47053" xr:uid="{00000000-0005-0000-0000-00002B110000}"/>
    <cellStyle name="Remarque 2 2 2 4 2 15" xfId="1896" xr:uid="{00000000-0005-0000-0000-00002C110000}"/>
    <cellStyle name="Remarque 2 2 2 4 2 15 2" xfId="25910" xr:uid="{00000000-0005-0000-0000-00002D110000}"/>
    <cellStyle name="Remarque 2 2 2 4 2 15 3" xfId="49870" xr:uid="{00000000-0005-0000-0000-00002E110000}"/>
    <cellStyle name="Remarque 2 2 2 4 2 16" xfId="24492" xr:uid="{00000000-0005-0000-0000-00002F110000}"/>
    <cellStyle name="Remarque 2 2 2 4 2 16 2" xfId="48452" xr:uid="{00000000-0005-0000-0000-000030110000}"/>
    <cellStyle name="Remarque 2 2 2 4 2 17" xfId="36390" xr:uid="{00000000-0005-0000-0000-000031110000}"/>
    <cellStyle name="Remarque 2 2 2 4 2 17 2" xfId="60350" xr:uid="{00000000-0005-0000-0000-000032110000}"/>
    <cellStyle name="Remarque 2 2 2 4 2 18" xfId="13157" xr:uid="{00000000-0005-0000-0000-000033110000}"/>
    <cellStyle name="Remarque 2 2 2 4 2 19" xfId="37117" xr:uid="{00000000-0005-0000-0000-000034110000}"/>
    <cellStyle name="Remarque 2 2 2 4 2 2" xfId="596" xr:uid="{00000000-0005-0000-0000-000035110000}"/>
    <cellStyle name="Remarque 2 2 2 4 2 2 10" xfId="24628" xr:uid="{00000000-0005-0000-0000-000036110000}"/>
    <cellStyle name="Remarque 2 2 2 4 2 2 10 2" xfId="48588" xr:uid="{00000000-0005-0000-0000-000037110000}"/>
    <cellStyle name="Remarque 2 2 2 4 2 2 11" xfId="36329" xr:uid="{00000000-0005-0000-0000-000038110000}"/>
    <cellStyle name="Remarque 2 2 2 4 2 2 11 2" xfId="60289" xr:uid="{00000000-0005-0000-0000-000039110000}"/>
    <cellStyle name="Remarque 2 2 2 4 2 2 12" xfId="13293" xr:uid="{00000000-0005-0000-0000-00003A110000}"/>
    <cellStyle name="Remarque 2 2 2 4 2 2 13" xfId="37253" xr:uid="{00000000-0005-0000-0000-00003B110000}"/>
    <cellStyle name="Remarque 2 2 2 4 2 2 2" xfId="3502" xr:uid="{00000000-0005-0000-0000-00003C110000}"/>
    <cellStyle name="Remarque 2 2 2 4 2 2 2 2" xfId="27516" xr:uid="{00000000-0005-0000-0000-00003D110000}"/>
    <cellStyle name="Remarque 2 2 2 4 2 2 2 2 2" xfId="51476" xr:uid="{00000000-0005-0000-0000-00003E110000}"/>
    <cellStyle name="Remarque 2 2 2 4 2 2 2 3" xfId="14763" xr:uid="{00000000-0005-0000-0000-00003F110000}"/>
    <cellStyle name="Remarque 2 2 2 4 2 2 2 4" xfId="38723" xr:uid="{00000000-0005-0000-0000-000040110000}"/>
    <cellStyle name="Remarque 2 2 2 4 2 2 3" xfId="4936" xr:uid="{00000000-0005-0000-0000-000041110000}"/>
    <cellStyle name="Remarque 2 2 2 4 2 2 3 2" xfId="28950" xr:uid="{00000000-0005-0000-0000-000042110000}"/>
    <cellStyle name="Remarque 2 2 2 4 2 2 3 2 2" xfId="52910" xr:uid="{00000000-0005-0000-0000-000043110000}"/>
    <cellStyle name="Remarque 2 2 2 4 2 2 3 3" xfId="16197" xr:uid="{00000000-0005-0000-0000-000044110000}"/>
    <cellStyle name="Remarque 2 2 2 4 2 2 3 4" xfId="40157" xr:uid="{00000000-0005-0000-0000-000045110000}"/>
    <cellStyle name="Remarque 2 2 2 4 2 2 4" xfId="6330" xr:uid="{00000000-0005-0000-0000-000046110000}"/>
    <cellStyle name="Remarque 2 2 2 4 2 2 4 2" xfId="30344" xr:uid="{00000000-0005-0000-0000-000047110000}"/>
    <cellStyle name="Remarque 2 2 2 4 2 2 4 2 2" xfId="54304" xr:uid="{00000000-0005-0000-0000-000048110000}"/>
    <cellStyle name="Remarque 2 2 2 4 2 2 4 3" xfId="17591" xr:uid="{00000000-0005-0000-0000-000049110000}"/>
    <cellStyle name="Remarque 2 2 2 4 2 2 4 4" xfId="41551" xr:uid="{00000000-0005-0000-0000-00004A110000}"/>
    <cellStyle name="Remarque 2 2 2 4 2 2 5" xfId="7718" xr:uid="{00000000-0005-0000-0000-00004B110000}"/>
    <cellStyle name="Remarque 2 2 2 4 2 2 5 2" xfId="31732" xr:uid="{00000000-0005-0000-0000-00004C110000}"/>
    <cellStyle name="Remarque 2 2 2 4 2 2 5 2 2" xfId="55692" xr:uid="{00000000-0005-0000-0000-00004D110000}"/>
    <cellStyle name="Remarque 2 2 2 4 2 2 5 3" xfId="18979" xr:uid="{00000000-0005-0000-0000-00004E110000}"/>
    <cellStyle name="Remarque 2 2 2 4 2 2 5 4" xfId="42939" xr:uid="{00000000-0005-0000-0000-00004F110000}"/>
    <cellStyle name="Remarque 2 2 2 4 2 2 6" xfId="9103" xr:uid="{00000000-0005-0000-0000-000050110000}"/>
    <cellStyle name="Remarque 2 2 2 4 2 2 6 2" xfId="33117" xr:uid="{00000000-0005-0000-0000-000051110000}"/>
    <cellStyle name="Remarque 2 2 2 4 2 2 6 2 2" xfId="57077" xr:uid="{00000000-0005-0000-0000-000052110000}"/>
    <cellStyle name="Remarque 2 2 2 4 2 2 6 3" xfId="20364" xr:uid="{00000000-0005-0000-0000-000053110000}"/>
    <cellStyle name="Remarque 2 2 2 4 2 2 6 4" xfId="44324" xr:uid="{00000000-0005-0000-0000-000054110000}"/>
    <cellStyle name="Remarque 2 2 2 4 2 2 7" xfId="10560" xr:uid="{00000000-0005-0000-0000-000055110000}"/>
    <cellStyle name="Remarque 2 2 2 4 2 2 7 2" xfId="34570" xr:uid="{00000000-0005-0000-0000-000056110000}"/>
    <cellStyle name="Remarque 2 2 2 4 2 2 7 2 2" xfId="58530" xr:uid="{00000000-0005-0000-0000-000057110000}"/>
    <cellStyle name="Remarque 2 2 2 4 2 2 7 3" xfId="21827" xr:uid="{00000000-0005-0000-0000-000058110000}"/>
    <cellStyle name="Remarque 2 2 2 4 2 2 7 4" xfId="45787" xr:uid="{00000000-0005-0000-0000-000059110000}"/>
    <cellStyle name="Remarque 2 2 2 4 2 2 8" xfId="12319" xr:uid="{00000000-0005-0000-0000-00005A110000}"/>
    <cellStyle name="Remarque 2 2 2 4 2 2 8 2" xfId="23607" xr:uid="{00000000-0005-0000-0000-00005B110000}"/>
    <cellStyle name="Remarque 2 2 2 4 2 2 8 3" xfId="47567" xr:uid="{00000000-0005-0000-0000-00005C110000}"/>
    <cellStyle name="Remarque 2 2 2 4 2 2 9" xfId="2032" xr:uid="{00000000-0005-0000-0000-00005D110000}"/>
    <cellStyle name="Remarque 2 2 2 4 2 2 9 2" xfId="26046" xr:uid="{00000000-0005-0000-0000-00005E110000}"/>
    <cellStyle name="Remarque 2 2 2 4 2 2 9 3" xfId="50006" xr:uid="{00000000-0005-0000-0000-00005F110000}"/>
    <cellStyle name="Remarque 2 2 2 4 2 3" xfId="788" xr:uid="{00000000-0005-0000-0000-000060110000}"/>
    <cellStyle name="Remarque 2 2 2 4 2 3 10" xfId="24820" xr:uid="{00000000-0005-0000-0000-000061110000}"/>
    <cellStyle name="Remarque 2 2 2 4 2 3 10 2" xfId="48780" xr:uid="{00000000-0005-0000-0000-000062110000}"/>
    <cellStyle name="Remarque 2 2 2 4 2 3 11" xfId="35653" xr:uid="{00000000-0005-0000-0000-000063110000}"/>
    <cellStyle name="Remarque 2 2 2 4 2 3 11 2" xfId="59613" xr:uid="{00000000-0005-0000-0000-000064110000}"/>
    <cellStyle name="Remarque 2 2 2 4 2 3 12" xfId="13485" xr:uid="{00000000-0005-0000-0000-000065110000}"/>
    <cellStyle name="Remarque 2 2 2 4 2 3 13" xfId="37445" xr:uid="{00000000-0005-0000-0000-000066110000}"/>
    <cellStyle name="Remarque 2 2 2 4 2 3 2" xfId="3694" xr:uid="{00000000-0005-0000-0000-000067110000}"/>
    <cellStyle name="Remarque 2 2 2 4 2 3 2 2" xfId="27708" xr:uid="{00000000-0005-0000-0000-000068110000}"/>
    <cellStyle name="Remarque 2 2 2 4 2 3 2 2 2" xfId="51668" xr:uid="{00000000-0005-0000-0000-000069110000}"/>
    <cellStyle name="Remarque 2 2 2 4 2 3 2 3" xfId="14955" xr:uid="{00000000-0005-0000-0000-00006A110000}"/>
    <cellStyle name="Remarque 2 2 2 4 2 3 2 4" xfId="38915" xr:uid="{00000000-0005-0000-0000-00006B110000}"/>
    <cellStyle name="Remarque 2 2 2 4 2 3 3" xfId="5128" xr:uid="{00000000-0005-0000-0000-00006C110000}"/>
    <cellStyle name="Remarque 2 2 2 4 2 3 3 2" xfId="29142" xr:uid="{00000000-0005-0000-0000-00006D110000}"/>
    <cellStyle name="Remarque 2 2 2 4 2 3 3 2 2" xfId="53102" xr:uid="{00000000-0005-0000-0000-00006E110000}"/>
    <cellStyle name="Remarque 2 2 2 4 2 3 3 3" xfId="16389" xr:uid="{00000000-0005-0000-0000-00006F110000}"/>
    <cellStyle name="Remarque 2 2 2 4 2 3 3 4" xfId="40349" xr:uid="{00000000-0005-0000-0000-000070110000}"/>
    <cellStyle name="Remarque 2 2 2 4 2 3 4" xfId="6522" xr:uid="{00000000-0005-0000-0000-000071110000}"/>
    <cellStyle name="Remarque 2 2 2 4 2 3 4 2" xfId="30536" xr:uid="{00000000-0005-0000-0000-000072110000}"/>
    <cellStyle name="Remarque 2 2 2 4 2 3 4 2 2" xfId="54496" xr:uid="{00000000-0005-0000-0000-000073110000}"/>
    <cellStyle name="Remarque 2 2 2 4 2 3 4 3" xfId="17783" xr:uid="{00000000-0005-0000-0000-000074110000}"/>
    <cellStyle name="Remarque 2 2 2 4 2 3 4 4" xfId="41743" xr:uid="{00000000-0005-0000-0000-000075110000}"/>
    <cellStyle name="Remarque 2 2 2 4 2 3 5" xfId="7910" xr:uid="{00000000-0005-0000-0000-000076110000}"/>
    <cellStyle name="Remarque 2 2 2 4 2 3 5 2" xfId="31924" xr:uid="{00000000-0005-0000-0000-000077110000}"/>
    <cellStyle name="Remarque 2 2 2 4 2 3 5 2 2" xfId="55884" xr:uid="{00000000-0005-0000-0000-000078110000}"/>
    <cellStyle name="Remarque 2 2 2 4 2 3 5 3" xfId="19171" xr:uid="{00000000-0005-0000-0000-000079110000}"/>
    <cellStyle name="Remarque 2 2 2 4 2 3 5 4" xfId="43131" xr:uid="{00000000-0005-0000-0000-00007A110000}"/>
    <cellStyle name="Remarque 2 2 2 4 2 3 6" xfId="9295" xr:uid="{00000000-0005-0000-0000-00007B110000}"/>
    <cellStyle name="Remarque 2 2 2 4 2 3 6 2" xfId="33309" xr:uid="{00000000-0005-0000-0000-00007C110000}"/>
    <cellStyle name="Remarque 2 2 2 4 2 3 6 2 2" xfId="57269" xr:uid="{00000000-0005-0000-0000-00007D110000}"/>
    <cellStyle name="Remarque 2 2 2 4 2 3 6 3" xfId="20556" xr:uid="{00000000-0005-0000-0000-00007E110000}"/>
    <cellStyle name="Remarque 2 2 2 4 2 3 6 4" xfId="44516" xr:uid="{00000000-0005-0000-0000-00007F110000}"/>
    <cellStyle name="Remarque 2 2 2 4 2 3 7" xfId="10752" xr:uid="{00000000-0005-0000-0000-000080110000}"/>
    <cellStyle name="Remarque 2 2 2 4 2 3 7 2" xfId="34762" xr:uid="{00000000-0005-0000-0000-000081110000}"/>
    <cellStyle name="Remarque 2 2 2 4 2 3 7 2 2" xfId="58722" xr:uid="{00000000-0005-0000-0000-000082110000}"/>
    <cellStyle name="Remarque 2 2 2 4 2 3 7 3" xfId="22019" xr:uid="{00000000-0005-0000-0000-000083110000}"/>
    <cellStyle name="Remarque 2 2 2 4 2 3 7 4" xfId="45979" xr:uid="{00000000-0005-0000-0000-000084110000}"/>
    <cellStyle name="Remarque 2 2 2 4 2 3 8" xfId="12223" xr:uid="{00000000-0005-0000-0000-000085110000}"/>
    <cellStyle name="Remarque 2 2 2 4 2 3 8 2" xfId="23507" xr:uid="{00000000-0005-0000-0000-000086110000}"/>
    <cellStyle name="Remarque 2 2 2 4 2 3 8 3" xfId="47467" xr:uid="{00000000-0005-0000-0000-000087110000}"/>
    <cellStyle name="Remarque 2 2 2 4 2 3 9" xfId="2224" xr:uid="{00000000-0005-0000-0000-000088110000}"/>
    <cellStyle name="Remarque 2 2 2 4 2 3 9 2" xfId="26238" xr:uid="{00000000-0005-0000-0000-000089110000}"/>
    <cellStyle name="Remarque 2 2 2 4 2 3 9 3" xfId="50198" xr:uid="{00000000-0005-0000-0000-00008A110000}"/>
    <cellStyle name="Remarque 2 2 2 4 2 4" xfId="982" xr:uid="{00000000-0005-0000-0000-00008B110000}"/>
    <cellStyle name="Remarque 2 2 2 4 2 4 10" xfId="25014" xr:uid="{00000000-0005-0000-0000-00008C110000}"/>
    <cellStyle name="Remarque 2 2 2 4 2 4 10 2" xfId="48974" xr:uid="{00000000-0005-0000-0000-00008D110000}"/>
    <cellStyle name="Remarque 2 2 2 4 2 4 11" xfId="36295" xr:uid="{00000000-0005-0000-0000-00008E110000}"/>
    <cellStyle name="Remarque 2 2 2 4 2 4 11 2" xfId="60255" xr:uid="{00000000-0005-0000-0000-00008F110000}"/>
    <cellStyle name="Remarque 2 2 2 4 2 4 12" xfId="13679" xr:uid="{00000000-0005-0000-0000-000090110000}"/>
    <cellStyle name="Remarque 2 2 2 4 2 4 13" xfId="37639" xr:uid="{00000000-0005-0000-0000-000091110000}"/>
    <cellStyle name="Remarque 2 2 2 4 2 4 2" xfId="3888" xr:uid="{00000000-0005-0000-0000-000092110000}"/>
    <cellStyle name="Remarque 2 2 2 4 2 4 2 2" xfId="27902" xr:uid="{00000000-0005-0000-0000-000093110000}"/>
    <cellStyle name="Remarque 2 2 2 4 2 4 2 2 2" xfId="51862" xr:uid="{00000000-0005-0000-0000-000094110000}"/>
    <cellStyle name="Remarque 2 2 2 4 2 4 2 3" xfId="15149" xr:uid="{00000000-0005-0000-0000-000095110000}"/>
    <cellStyle name="Remarque 2 2 2 4 2 4 2 4" xfId="39109" xr:uid="{00000000-0005-0000-0000-000096110000}"/>
    <cellStyle name="Remarque 2 2 2 4 2 4 3" xfId="5322" xr:uid="{00000000-0005-0000-0000-000097110000}"/>
    <cellStyle name="Remarque 2 2 2 4 2 4 3 2" xfId="29336" xr:uid="{00000000-0005-0000-0000-000098110000}"/>
    <cellStyle name="Remarque 2 2 2 4 2 4 3 2 2" xfId="53296" xr:uid="{00000000-0005-0000-0000-000099110000}"/>
    <cellStyle name="Remarque 2 2 2 4 2 4 3 3" xfId="16583" xr:uid="{00000000-0005-0000-0000-00009A110000}"/>
    <cellStyle name="Remarque 2 2 2 4 2 4 3 4" xfId="40543" xr:uid="{00000000-0005-0000-0000-00009B110000}"/>
    <cellStyle name="Remarque 2 2 2 4 2 4 4" xfId="6716" xr:uid="{00000000-0005-0000-0000-00009C110000}"/>
    <cellStyle name="Remarque 2 2 2 4 2 4 4 2" xfId="30730" xr:uid="{00000000-0005-0000-0000-00009D110000}"/>
    <cellStyle name="Remarque 2 2 2 4 2 4 4 2 2" xfId="54690" xr:uid="{00000000-0005-0000-0000-00009E110000}"/>
    <cellStyle name="Remarque 2 2 2 4 2 4 4 3" xfId="17977" xr:uid="{00000000-0005-0000-0000-00009F110000}"/>
    <cellStyle name="Remarque 2 2 2 4 2 4 4 4" xfId="41937" xr:uid="{00000000-0005-0000-0000-0000A0110000}"/>
    <cellStyle name="Remarque 2 2 2 4 2 4 5" xfId="8104" xr:uid="{00000000-0005-0000-0000-0000A1110000}"/>
    <cellStyle name="Remarque 2 2 2 4 2 4 5 2" xfId="32118" xr:uid="{00000000-0005-0000-0000-0000A2110000}"/>
    <cellStyle name="Remarque 2 2 2 4 2 4 5 2 2" xfId="56078" xr:uid="{00000000-0005-0000-0000-0000A3110000}"/>
    <cellStyle name="Remarque 2 2 2 4 2 4 5 3" xfId="19365" xr:uid="{00000000-0005-0000-0000-0000A4110000}"/>
    <cellStyle name="Remarque 2 2 2 4 2 4 5 4" xfId="43325" xr:uid="{00000000-0005-0000-0000-0000A5110000}"/>
    <cellStyle name="Remarque 2 2 2 4 2 4 6" xfId="9489" xr:uid="{00000000-0005-0000-0000-0000A6110000}"/>
    <cellStyle name="Remarque 2 2 2 4 2 4 6 2" xfId="33503" xr:uid="{00000000-0005-0000-0000-0000A7110000}"/>
    <cellStyle name="Remarque 2 2 2 4 2 4 6 2 2" xfId="57463" xr:uid="{00000000-0005-0000-0000-0000A8110000}"/>
    <cellStyle name="Remarque 2 2 2 4 2 4 6 3" xfId="20750" xr:uid="{00000000-0005-0000-0000-0000A9110000}"/>
    <cellStyle name="Remarque 2 2 2 4 2 4 6 4" xfId="44710" xr:uid="{00000000-0005-0000-0000-0000AA110000}"/>
    <cellStyle name="Remarque 2 2 2 4 2 4 7" xfId="10946" xr:uid="{00000000-0005-0000-0000-0000AB110000}"/>
    <cellStyle name="Remarque 2 2 2 4 2 4 7 2" xfId="34956" xr:uid="{00000000-0005-0000-0000-0000AC110000}"/>
    <cellStyle name="Remarque 2 2 2 4 2 4 7 2 2" xfId="58916" xr:uid="{00000000-0005-0000-0000-0000AD110000}"/>
    <cellStyle name="Remarque 2 2 2 4 2 4 7 3" xfId="22213" xr:uid="{00000000-0005-0000-0000-0000AE110000}"/>
    <cellStyle name="Remarque 2 2 2 4 2 4 7 4" xfId="46173" xr:uid="{00000000-0005-0000-0000-0000AF110000}"/>
    <cellStyle name="Remarque 2 2 2 4 2 4 8" xfId="11933" xr:uid="{00000000-0005-0000-0000-0000B0110000}"/>
    <cellStyle name="Remarque 2 2 2 4 2 4 8 2" xfId="23211" xr:uid="{00000000-0005-0000-0000-0000B1110000}"/>
    <cellStyle name="Remarque 2 2 2 4 2 4 8 3" xfId="47171" xr:uid="{00000000-0005-0000-0000-0000B2110000}"/>
    <cellStyle name="Remarque 2 2 2 4 2 4 9" xfId="2418" xr:uid="{00000000-0005-0000-0000-0000B3110000}"/>
    <cellStyle name="Remarque 2 2 2 4 2 4 9 2" xfId="26432" xr:uid="{00000000-0005-0000-0000-0000B4110000}"/>
    <cellStyle name="Remarque 2 2 2 4 2 4 9 3" xfId="50392" xr:uid="{00000000-0005-0000-0000-0000B5110000}"/>
    <cellStyle name="Remarque 2 2 2 4 2 5" xfId="1175" xr:uid="{00000000-0005-0000-0000-0000B6110000}"/>
    <cellStyle name="Remarque 2 2 2 4 2 5 10" xfId="25207" xr:uid="{00000000-0005-0000-0000-0000B7110000}"/>
    <cellStyle name="Remarque 2 2 2 4 2 5 10 2" xfId="49167" xr:uid="{00000000-0005-0000-0000-0000B8110000}"/>
    <cellStyle name="Remarque 2 2 2 4 2 5 11" xfId="35890" xr:uid="{00000000-0005-0000-0000-0000B9110000}"/>
    <cellStyle name="Remarque 2 2 2 4 2 5 11 2" xfId="59850" xr:uid="{00000000-0005-0000-0000-0000BA110000}"/>
    <cellStyle name="Remarque 2 2 2 4 2 5 12" xfId="13872" xr:uid="{00000000-0005-0000-0000-0000BB110000}"/>
    <cellStyle name="Remarque 2 2 2 4 2 5 13" xfId="37832" xr:uid="{00000000-0005-0000-0000-0000BC110000}"/>
    <cellStyle name="Remarque 2 2 2 4 2 5 2" xfId="4081" xr:uid="{00000000-0005-0000-0000-0000BD110000}"/>
    <cellStyle name="Remarque 2 2 2 4 2 5 2 2" xfId="28095" xr:uid="{00000000-0005-0000-0000-0000BE110000}"/>
    <cellStyle name="Remarque 2 2 2 4 2 5 2 2 2" xfId="52055" xr:uid="{00000000-0005-0000-0000-0000BF110000}"/>
    <cellStyle name="Remarque 2 2 2 4 2 5 2 3" xfId="15342" xr:uid="{00000000-0005-0000-0000-0000C0110000}"/>
    <cellStyle name="Remarque 2 2 2 4 2 5 2 4" xfId="39302" xr:uid="{00000000-0005-0000-0000-0000C1110000}"/>
    <cellStyle name="Remarque 2 2 2 4 2 5 3" xfId="5515" xr:uid="{00000000-0005-0000-0000-0000C2110000}"/>
    <cellStyle name="Remarque 2 2 2 4 2 5 3 2" xfId="29529" xr:uid="{00000000-0005-0000-0000-0000C3110000}"/>
    <cellStyle name="Remarque 2 2 2 4 2 5 3 2 2" xfId="53489" xr:uid="{00000000-0005-0000-0000-0000C4110000}"/>
    <cellStyle name="Remarque 2 2 2 4 2 5 3 3" xfId="16776" xr:uid="{00000000-0005-0000-0000-0000C5110000}"/>
    <cellStyle name="Remarque 2 2 2 4 2 5 3 4" xfId="40736" xr:uid="{00000000-0005-0000-0000-0000C6110000}"/>
    <cellStyle name="Remarque 2 2 2 4 2 5 4" xfId="6909" xr:uid="{00000000-0005-0000-0000-0000C7110000}"/>
    <cellStyle name="Remarque 2 2 2 4 2 5 4 2" xfId="30923" xr:uid="{00000000-0005-0000-0000-0000C8110000}"/>
    <cellStyle name="Remarque 2 2 2 4 2 5 4 2 2" xfId="54883" xr:uid="{00000000-0005-0000-0000-0000C9110000}"/>
    <cellStyle name="Remarque 2 2 2 4 2 5 4 3" xfId="18170" xr:uid="{00000000-0005-0000-0000-0000CA110000}"/>
    <cellStyle name="Remarque 2 2 2 4 2 5 4 4" xfId="42130" xr:uid="{00000000-0005-0000-0000-0000CB110000}"/>
    <cellStyle name="Remarque 2 2 2 4 2 5 5" xfId="8297" xr:uid="{00000000-0005-0000-0000-0000CC110000}"/>
    <cellStyle name="Remarque 2 2 2 4 2 5 5 2" xfId="32311" xr:uid="{00000000-0005-0000-0000-0000CD110000}"/>
    <cellStyle name="Remarque 2 2 2 4 2 5 5 2 2" xfId="56271" xr:uid="{00000000-0005-0000-0000-0000CE110000}"/>
    <cellStyle name="Remarque 2 2 2 4 2 5 5 3" xfId="19558" xr:uid="{00000000-0005-0000-0000-0000CF110000}"/>
    <cellStyle name="Remarque 2 2 2 4 2 5 5 4" xfId="43518" xr:uid="{00000000-0005-0000-0000-0000D0110000}"/>
    <cellStyle name="Remarque 2 2 2 4 2 5 6" xfId="9682" xr:uid="{00000000-0005-0000-0000-0000D1110000}"/>
    <cellStyle name="Remarque 2 2 2 4 2 5 6 2" xfId="33696" xr:uid="{00000000-0005-0000-0000-0000D2110000}"/>
    <cellStyle name="Remarque 2 2 2 4 2 5 6 2 2" xfId="57656" xr:uid="{00000000-0005-0000-0000-0000D3110000}"/>
    <cellStyle name="Remarque 2 2 2 4 2 5 6 3" xfId="20943" xr:uid="{00000000-0005-0000-0000-0000D4110000}"/>
    <cellStyle name="Remarque 2 2 2 4 2 5 6 4" xfId="44903" xr:uid="{00000000-0005-0000-0000-0000D5110000}"/>
    <cellStyle name="Remarque 2 2 2 4 2 5 7" xfId="11139" xr:uid="{00000000-0005-0000-0000-0000D6110000}"/>
    <cellStyle name="Remarque 2 2 2 4 2 5 7 2" xfId="35149" xr:uid="{00000000-0005-0000-0000-0000D7110000}"/>
    <cellStyle name="Remarque 2 2 2 4 2 5 7 2 2" xfId="59109" xr:uid="{00000000-0005-0000-0000-0000D8110000}"/>
    <cellStyle name="Remarque 2 2 2 4 2 5 7 3" xfId="22406" xr:uid="{00000000-0005-0000-0000-0000D9110000}"/>
    <cellStyle name="Remarque 2 2 2 4 2 5 7 4" xfId="46366" xr:uid="{00000000-0005-0000-0000-0000DA110000}"/>
    <cellStyle name="Remarque 2 2 2 4 2 5 8" xfId="11780" xr:uid="{00000000-0005-0000-0000-0000DB110000}"/>
    <cellStyle name="Remarque 2 2 2 4 2 5 8 2" xfId="23054" xr:uid="{00000000-0005-0000-0000-0000DC110000}"/>
    <cellStyle name="Remarque 2 2 2 4 2 5 8 3" xfId="47014" xr:uid="{00000000-0005-0000-0000-0000DD110000}"/>
    <cellStyle name="Remarque 2 2 2 4 2 5 9" xfId="2611" xr:uid="{00000000-0005-0000-0000-0000DE110000}"/>
    <cellStyle name="Remarque 2 2 2 4 2 5 9 2" xfId="26625" xr:uid="{00000000-0005-0000-0000-0000DF110000}"/>
    <cellStyle name="Remarque 2 2 2 4 2 5 9 3" xfId="50585" xr:uid="{00000000-0005-0000-0000-0000E0110000}"/>
    <cellStyle name="Remarque 2 2 2 4 2 6" xfId="1342" xr:uid="{00000000-0005-0000-0000-0000E1110000}"/>
    <cellStyle name="Remarque 2 2 2 4 2 6 10" xfId="25374" xr:uid="{00000000-0005-0000-0000-0000E2110000}"/>
    <cellStyle name="Remarque 2 2 2 4 2 6 10 2" xfId="49334" xr:uid="{00000000-0005-0000-0000-0000E3110000}"/>
    <cellStyle name="Remarque 2 2 2 4 2 6 11" xfId="36722" xr:uid="{00000000-0005-0000-0000-0000E4110000}"/>
    <cellStyle name="Remarque 2 2 2 4 2 6 11 2" xfId="60682" xr:uid="{00000000-0005-0000-0000-0000E5110000}"/>
    <cellStyle name="Remarque 2 2 2 4 2 6 12" xfId="14039" xr:uid="{00000000-0005-0000-0000-0000E6110000}"/>
    <cellStyle name="Remarque 2 2 2 4 2 6 13" xfId="37999" xr:uid="{00000000-0005-0000-0000-0000E7110000}"/>
    <cellStyle name="Remarque 2 2 2 4 2 6 2" xfId="4248" xr:uid="{00000000-0005-0000-0000-0000E8110000}"/>
    <cellStyle name="Remarque 2 2 2 4 2 6 2 2" xfId="28262" xr:uid="{00000000-0005-0000-0000-0000E9110000}"/>
    <cellStyle name="Remarque 2 2 2 4 2 6 2 2 2" xfId="52222" xr:uid="{00000000-0005-0000-0000-0000EA110000}"/>
    <cellStyle name="Remarque 2 2 2 4 2 6 2 3" xfId="15509" xr:uid="{00000000-0005-0000-0000-0000EB110000}"/>
    <cellStyle name="Remarque 2 2 2 4 2 6 2 4" xfId="39469" xr:uid="{00000000-0005-0000-0000-0000EC110000}"/>
    <cellStyle name="Remarque 2 2 2 4 2 6 3" xfId="5682" xr:uid="{00000000-0005-0000-0000-0000ED110000}"/>
    <cellStyle name="Remarque 2 2 2 4 2 6 3 2" xfId="29696" xr:uid="{00000000-0005-0000-0000-0000EE110000}"/>
    <cellStyle name="Remarque 2 2 2 4 2 6 3 2 2" xfId="53656" xr:uid="{00000000-0005-0000-0000-0000EF110000}"/>
    <cellStyle name="Remarque 2 2 2 4 2 6 3 3" xfId="16943" xr:uid="{00000000-0005-0000-0000-0000F0110000}"/>
    <cellStyle name="Remarque 2 2 2 4 2 6 3 4" xfId="40903" xr:uid="{00000000-0005-0000-0000-0000F1110000}"/>
    <cellStyle name="Remarque 2 2 2 4 2 6 4" xfId="7076" xr:uid="{00000000-0005-0000-0000-0000F2110000}"/>
    <cellStyle name="Remarque 2 2 2 4 2 6 4 2" xfId="31090" xr:uid="{00000000-0005-0000-0000-0000F3110000}"/>
    <cellStyle name="Remarque 2 2 2 4 2 6 4 2 2" xfId="55050" xr:uid="{00000000-0005-0000-0000-0000F4110000}"/>
    <cellStyle name="Remarque 2 2 2 4 2 6 4 3" xfId="18337" xr:uid="{00000000-0005-0000-0000-0000F5110000}"/>
    <cellStyle name="Remarque 2 2 2 4 2 6 4 4" xfId="42297" xr:uid="{00000000-0005-0000-0000-0000F6110000}"/>
    <cellStyle name="Remarque 2 2 2 4 2 6 5" xfId="8464" xr:uid="{00000000-0005-0000-0000-0000F7110000}"/>
    <cellStyle name="Remarque 2 2 2 4 2 6 5 2" xfId="32478" xr:uid="{00000000-0005-0000-0000-0000F8110000}"/>
    <cellStyle name="Remarque 2 2 2 4 2 6 5 2 2" xfId="56438" xr:uid="{00000000-0005-0000-0000-0000F9110000}"/>
    <cellStyle name="Remarque 2 2 2 4 2 6 5 3" xfId="19725" xr:uid="{00000000-0005-0000-0000-0000FA110000}"/>
    <cellStyle name="Remarque 2 2 2 4 2 6 5 4" xfId="43685" xr:uid="{00000000-0005-0000-0000-0000FB110000}"/>
    <cellStyle name="Remarque 2 2 2 4 2 6 6" xfId="9849" xr:uid="{00000000-0005-0000-0000-0000FC110000}"/>
    <cellStyle name="Remarque 2 2 2 4 2 6 6 2" xfId="33863" xr:uid="{00000000-0005-0000-0000-0000FD110000}"/>
    <cellStyle name="Remarque 2 2 2 4 2 6 6 2 2" xfId="57823" xr:uid="{00000000-0005-0000-0000-0000FE110000}"/>
    <cellStyle name="Remarque 2 2 2 4 2 6 6 3" xfId="21110" xr:uid="{00000000-0005-0000-0000-0000FF110000}"/>
    <cellStyle name="Remarque 2 2 2 4 2 6 6 4" xfId="45070" xr:uid="{00000000-0005-0000-0000-000000120000}"/>
    <cellStyle name="Remarque 2 2 2 4 2 6 7" xfId="11306" xr:uid="{00000000-0005-0000-0000-000001120000}"/>
    <cellStyle name="Remarque 2 2 2 4 2 6 7 2" xfId="35316" xr:uid="{00000000-0005-0000-0000-000002120000}"/>
    <cellStyle name="Remarque 2 2 2 4 2 6 7 2 2" xfId="59276" xr:uid="{00000000-0005-0000-0000-000003120000}"/>
    <cellStyle name="Remarque 2 2 2 4 2 6 7 3" xfId="22573" xr:uid="{00000000-0005-0000-0000-000004120000}"/>
    <cellStyle name="Remarque 2 2 2 4 2 6 7 4" xfId="46533" xr:uid="{00000000-0005-0000-0000-000005120000}"/>
    <cellStyle name="Remarque 2 2 2 4 2 6 8" xfId="12061" xr:uid="{00000000-0005-0000-0000-000006120000}"/>
    <cellStyle name="Remarque 2 2 2 4 2 6 8 2" xfId="23342" xr:uid="{00000000-0005-0000-0000-000007120000}"/>
    <cellStyle name="Remarque 2 2 2 4 2 6 8 3" xfId="47302" xr:uid="{00000000-0005-0000-0000-000008120000}"/>
    <cellStyle name="Remarque 2 2 2 4 2 6 9" xfId="2778" xr:uid="{00000000-0005-0000-0000-000009120000}"/>
    <cellStyle name="Remarque 2 2 2 4 2 6 9 2" xfId="26792" xr:uid="{00000000-0005-0000-0000-00000A120000}"/>
    <cellStyle name="Remarque 2 2 2 4 2 6 9 3" xfId="50752" xr:uid="{00000000-0005-0000-0000-00000B120000}"/>
    <cellStyle name="Remarque 2 2 2 4 2 7" xfId="1511" xr:uid="{00000000-0005-0000-0000-00000C120000}"/>
    <cellStyle name="Remarque 2 2 2 4 2 7 10" xfId="25543" xr:uid="{00000000-0005-0000-0000-00000D120000}"/>
    <cellStyle name="Remarque 2 2 2 4 2 7 10 2" xfId="49503" xr:uid="{00000000-0005-0000-0000-00000E120000}"/>
    <cellStyle name="Remarque 2 2 2 4 2 7 11" xfId="36244" xr:uid="{00000000-0005-0000-0000-00000F120000}"/>
    <cellStyle name="Remarque 2 2 2 4 2 7 11 2" xfId="60204" xr:uid="{00000000-0005-0000-0000-000010120000}"/>
    <cellStyle name="Remarque 2 2 2 4 2 7 12" xfId="14208" xr:uid="{00000000-0005-0000-0000-000011120000}"/>
    <cellStyle name="Remarque 2 2 2 4 2 7 13" xfId="38168" xr:uid="{00000000-0005-0000-0000-000012120000}"/>
    <cellStyle name="Remarque 2 2 2 4 2 7 2" xfId="4417" xr:uid="{00000000-0005-0000-0000-000013120000}"/>
    <cellStyle name="Remarque 2 2 2 4 2 7 2 2" xfId="28431" xr:uid="{00000000-0005-0000-0000-000014120000}"/>
    <cellStyle name="Remarque 2 2 2 4 2 7 2 2 2" xfId="52391" xr:uid="{00000000-0005-0000-0000-000015120000}"/>
    <cellStyle name="Remarque 2 2 2 4 2 7 2 3" xfId="15678" xr:uid="{00000000-0005-0000-0000-000016120000}"/>
    <cellStyle name="Remarque 2 2 2 4 2 7 2 4" xfId="39638" xr:uid="{00000000-0005-0000-0000-000017120000}"/>
    <cellStyle name="Remarque 2 2 2 4 2 7 3" xfId="5851" xr:uid="{00000000-0005-0000-0000-000018120000}"/>
    <cellStyle name="Remarque 2 2 2 4 2 7 3 2" xfId="29865" xr:uid="{00000000-0005-0000-0000-000019120000}"/>
    <cellStyle name="Remarque 2 2 2 4 2 7 3 2 2" xfId="53825" xr:uid="{00000000-0005-0000-0000-00001A120000}"/>
    <cellStyle name="Remarque 2 2 2 4 2 7 3 3" xfId="17112" xr:uid="{00000000-0005-0000-0000-00001B120000}"/>
    <cellStyle name="Remarque 2 2 2 4 2 7 3 4" xfId="41072" xr:uid="{00000000-0005-0000-0000-00001C120000}"/>
    <cellStyle name="Remarque 2 2 2 4 2 7 4" xfId="7245" xr:uid="{00000000-0005-0000-0000-00001D120000}"/>
    <cellStyle name="Remarque 2 2 2 4 2 7 4 2" xfId="31259" xr:uid="{00000000-0005-0000-0000-00001E120000}"/>
    <cellStyle name="Remarque 2 2 2 4 2 7 4 2 2" xfId="55219" xr:uid="{00000000-0005-0000-0000-00001F120000}"/>
    <cellStyle name="Remarque 2 2 2 4 2 7 4 3" xfId="18506" xr:uid="{00000000-0005-0000-0000-000020120000}"/>
    <cellStyle name="Remarque 2 2 2 4 2 7 4 4" xfId="42466" xr:uid="{00000000-0005-0000-0000-000021120000}"/>
    <cellStyle name="Remarque 2 2 2 4 2 7 5" xfId="8633" xr:uid="{00000000-0005-0000-0000-000022120000}"/>
    <cellStyle name="Remarque 2 2 2 4 2 7 5 2" xfId="32647" xr:uid="{00000000-0005-0000-0000-000023120000}"/>
    <cellStyle name="Remarque 2 2 2 4 2 7 5 2 2" xfId="56607" xr:uid="{00000000-0005-0000-0000-000024120000}"/>
    <cellStyle name="Remarque 2 2 2 4 2 7 5 3" xfId="19894" xr:uid="{00000000-0005-0000-0000-000025120000}"/>
    <cellStyle name="Remarque 2 2 2 4 2 7 5 4" xfId="43854" xr:uid="{00000000-0005-0000-0000-000026120000}"/>
    <cellStyle name="Remarque 2 2 2 4 2 7 6" xfId="10018" xr:uid="{00000000-0005-0000-0000-000027120000}"/>
    <cellStyle name="Remarque 2 2 2 4 2 7 6 2" xfId="34032" xr:uid="{00000000-0005-0000-0000-000028120000}"/>
    <cellStyle name="Remarque 2 2 2 4 2 7 6 2 2" xfId="57992" xr:uid="{00000000-0005-0000-0000-000029120000}"/>
    <cellStyle name="Remarque 2 2 2 4 2 7 6 3" xfId="21279" xr:uid="{00000000-0005-0000-0000-00002A120000}"/>
    <cellStyle name="Remarque 2 2 2 4 2 7 6 4" xfId="45239" xr:uid="{00000000-0005-0000-0000-00002B120000}"/>
    <cellStyle name="Remarque 2 2 2 4 2 7 7" xfId="11475" xr:uid="{00000000-0005-0000-0000-00002C120000}"/>
    <cellStyle name="Remarque 2 2 2 4 2 7 7 2" xfId="35485" xr:uid="{00000000-0005-0000-0000-00002D120000}"/>
    <cellStyle name="Remarque 2 2 2 4 2 7 7 2 2" xfId="59445" xr:uid="{00000000-0005-0000-0000-00002E120000}"/>
    <cellStyle name="Remarque 2 2 2 4 2 7 7 3" xfId="22742" xr:uid="{00000000-0005-0000-0000-00002F120000}"/>
    <cellStyle name="Remarque 2 2 2 4 2 7 7 4" xfId="46702" xr:uid="{00000000-0005-0000-0000-000030120000}"/>
    <cellStyle name="Remarque 2 2 2 4 2 7 8" xfId="12387" xr:uid="{00000000-0005-0000-0000-000031120000}"/>
    <cellStyle name="Remarque 2 2 2 4 2 7 8 2" xfId="23676" xr:uid="{00000000-0005-0000-0000-000032120000}"/>
    <cellStyle name="Remarque 2 2 2 4 2 7 8 3" xfId="47636" xr:uid="{00000000-0005-0000-0000-000033120000}"/>
    <cellStyle name="Remarque 2 2 2 4 2 7 9" xfId="2947" xr:uid="{00000000-0005-0000-0000-000034120000}"/>
    <cellStyle name="Remarque 2 2 2 4 2 7 9 2" xfId="26961" xr:uid="{00000000-0005-0000-0000-000035120000}"/>
    <cellStyle name="Remarque 2 2 2 4 2 7 9 3" xfId="50921" xr:uid="{00000000-0005-0000-0000-000036120000}"/>
    <cellStyle name="Remarque 2 2 2 4 2 8" xfId="3366" xr:uid="{00000000-0005-0000-0000-000037120000}"/>
    <cellStyle name="Remarque 2 2 2 4 2 8 2" xfId="27380" xr:uid="{00000000-0005-0000-0000-000038120000}"/>
    <cellStyle name="Remarque 2 2 2 4 2 8 2 2" xfId="51340" xr:uid="{00000000-0005-0000-0000-000039120000}"/>
    <cellStyle name="Remarque 2 2 2 4 2 8 3" xfId="14627" xr:uid="{00000000-0005-0000-0000-00003A120000}"/>
    <cellStyle name="Remarque 2 2 2 4 2 8 4" xfId="38587" xr:uid="{00000000-0005-0000-0000-00003B120000}"/>
    <cellStyle name="Remarque 2 2 2 4 2 9" xfId="4800" xr:uid="{00000000-0005-0000-0000-00003C120000}"/>
    <cellStyle name="Remarque 2 2 2 4 2 9 2" xfId="28814" xr:uid="{00000000-0005-0000-0000-00003D120000}"/>
    <cellStyle name="Remarque 2 2 2 4 2 9 2 2" xfId="52774" xr:uid="{00000000-0005-0000-0000-00003E120000}"/>
    <cellStyle name="Remarque 2 2 2 4 2 9 3" xfId="16061" xr:uid="{00000000-0005-0000-0000-00003F120000}"/>
    <cellStyle name="Remarque 2 2 2 4 2 9 4" xfId="40021" xr:uid="{00000000-0005-0000-0000-000040120000}"/>
    <cellStyle name="Remarque 2 2 2 4 3" xfId="271" xr:uid="{00000000-0005-0000-0000-000041120000}"/>
    <cellStyle name="Remarque 2 2 2 4 3 10" xfId="24303" xr:uid="{00000000-0005-0000-0000-000042120000}"/>
    <cellStyle name="Remarque 2 2 2 4 3 10 2" xfId="48263" xr:uid="{00000000-0005-0000-0000-000043120000}"/>
    <cellStyle name="Remarque 2 2 2 4 3 11" xfId="36446" xr:uid="{00000000-0005-0000-0000-000044120000}"/>
    <cellStyle name="Remarque 2 2 2 4 3 11 2" xfId="60406" xr:uid="{00000000-0005-0000-0000-000045120000}"/>
    <cellStyle name="Remarque 2 2 2 4 3 12" xfId="12968" xr:uid="{00000000-0005-0000-0000-000046120000}"/>
    <cellStyle name="Remarque 2 2 2 4 3 13" xfId="36928" xr:uid="{00000000-0005-0000-0000-000047120000}"/>
    <cellStyle name="Remarque 2 2 2 4 3 2" xfId="3177" xr:uid="{00000000-0005-0000-0000-000048120000}"/>
    <cellStyle name="Remarque 2 2 2 4 3 2 2" xfId="27191" xr:uid="{00000000-0005-0000-0000-000049120000}"/>
    <cellStyle name="Remarque 2 2 2 4 3 2 2 2" xfId="51151" xr:uid="{00000000-0005-0000-0000-00004A120000}"/>
    <cellStyle name="Remarque 2 2 2 4 3 2 3" xfId="14438" xr:uid="{00000000-0005-0000-0000-00004B120000}"/>
    <cellStyle name="Remarque 2 2 2 4 3 2 4" xfId="38398" xr:uid="{00000000-0005-0000-0000-00004C120000}"/>
    <cellStyle name="Remarque 2 2 2 4 3 3" xfId="4611" xr:uid="{00000000-0005-0000-0000-00004D120000}"/>
    <cellStyle name="Remarque 2 2 2 4 3 3 2" xfId="28625" xr:uid="{00000000-0005-0000-0000-00004E120000}"/>
    <cellStyle name="Remarque 2 2 2 4 3 3 2 2" xfId="52585" xr:uid="{00000000-0005-0000-0000-00004F120000}"/>
    <cellStyle name="Remarque 2 2 2 4 3 3 3" xfId="15872" xr:uid="{00000000-0005-0000-0000-000050120000}"/>
    <cellStyle name="Remarque 2 2 2 4 3 3 4" xfId="39832" xr:uid="{00000000-0005-0000-0000-000051120000}"/>
    <cellStyle name="Remarque 2 2 2 4 3 4" xfId="6005" xr:uid="{00000000-0005-0000-0000-000052120000}"/>
    <cellStyle name="Remarque 2 2 2 4 3 4 2" xfId="30019" xr:uid="{00000000-0005-0000-0000-000053120000}"/>
    <cellStyle name="Remarque 2 2 2 4 3 4 2 2" xfId="53979" xr:uid="{00000000-0005-0000-0000-000054120000}"/>
    <cellStyle name="Remarque 2 2 2 4 3 4 3" xfId="17266" xr:uid="{00000000-0005-0000-0000-000055120000}"/>
    <cellStyle name="Remarque 2 2 2 4 3 4 4" xfId="41226" xr:uid="{00000000-0005-0000-0000-000056120000}"/>
    <cellStyle name="Remarque 2 2 2 4 3 5" xfId="7393" xr:uid="{00000000-0005-0000-0000-000057120000}"/>
    <cellStyle name="Remarque 2 2 2 4 3 5 2" xfId="31407" xr:uid="{00000000-0005-0000-0000-000058120000}"/>
    <cellStyle name="Remarque 2 2 2 4 3 5 2 2" xfId="55367" xr:uid="{00000000-0005-0000-0000-000059120000}"/>
    <cellStyle name="Remarque 2 2 2 4 3 5 3" xfId="18654" xr:uid="{00000000-0005-0000-0000-00005A120000}"/>
    <cellStyle name="Remarque 2 2 2 4 3 5 4" xfId="42614" xr:uid="{00000000-0005-0000-0000-00005B120000}"/>
    <cellStyle name="Remarque 2 2 2 4 3 6" xfId="8778" xr:uid="{00000000-0005-0000-0000-00005C120000}"/>
    <cellStyle name="Remarque 2 2 2 4 3 6 2" xfId="32792" xr:uid="{00000000-0005-0000-0000-00005D120000}"/>
    <cellStyle name="Remarque 2 2 2 4 3 6 2 2" xfId="56752" xr:uid="{00000000-0005-0000-0000-00005E120000}"/>
    <cellStyle name="Remarque 2 2 2 4 3 6 3" xfId="20039" xr:uid="{00000000-0005-0000-0000-00005F120000}"/>
    <cellStyle name="Remarque 2 2 2 4 3 6 4" xfId="43999" xr:uid="{00000000-0005-0000-0000-000060120000}"/>
    <cellStyle name="Remarque 2 2 2 4 3 7" xfId="10235" xr:uid="{00000000-0005-0000-0000-000061120000}"/>
    <cellStyle name="Remarque 2 2 2 4 3 7 2" xfId="34245" xr:uid="{00000000-0005-0000-0000-000062120000}"/>
    <cellStyle name="Remarque 2 2 2 4 3 7 2 2" xfId="58205" xr:uid="{00000000-0005-0000-0000-000063120000}"/>
    <cellStyle name="Remarque 2 2 2 4 3 7 3" xfId="21502" xr:uid="{00000000-0005-0000-0000-000064120000}"/>
    <cellStyle name="Remarque 2 2 2 4 3 7 4" xfId="45462" xr:uid="{00000000-0005-0000-0000-000065120000}"/>
    <cellStyle name="Remarque 2 2 2 4 3 8" xfId="12594" xr:uid="{00000000-0005-0000-0000-000066120000}"/>
    <cellStyle name="Remarque 2 2 2 4 3 8 2" xfId="23895" xr:uid="{00000000-0005-0000-0000-000067120000}"/>
    <cellStyle name="Remarque 2 2 2 4 3 8 3" xfId="47855" xr:uid="{00000000-0005-0000-0000-000068120000}"/>
    <cellStyle name="Remarque 2 2 2 4 3 9" xfId="1707" xr:uid="{00000000-0005-0000-0000-000069120000}"/>
    <cellStyle name="Remarque 2 2 2 4 3 9 2" xfId="25721" xr:uid="{00000000-0005-0000-0000-00006A120000}"/>
    <cellStyle name="Remarque 2 2 2 4 3 9 3" xfId="49681" xr:uid="{00000000-0005-0000-0000-00006B120000}"/>
    <cellStyle name="Remarque 2 2 2 4 4" xfId="653" xr:uid="{00000000-0005-0000-0000-00006C120000}"/>
    <cellStyle name="Remarque 2 2 2 4 4 10" xfId="24685" xr:uid="{00000000-0005-0000-0000-00006D120000}"/>
    <cellStyle name="Remarque 2 2 2 4 4 10 2" xfId="48645" xr:uid="{00000000-0005-0000-0000-00006E120000}"/>
    <cellStyle name="Remarque 2 2 2 4 4 11" xfId="35626" xr:uid="{00000000-0005-0000-0000-00006F120000}"/>
    <cellStyle name="Remarque 2 2 2 4 4 11 2" xfId="59586" xr:uid="{00000000-0005-0000-0000-000070120000}"/>
    <cellStyle name="Remarque 2 2 2 4 4 12" xfId="13350" xr:uid="{00000000-0005-0000-0000-000071120000}"/>
    <cellStyle name="Remarque 2 2 2 4 4 13" xfId="37310" xr:uid="{00000000-0005-0000-0000-000072120000}"/>
    <cellStyle name="Remarque 2 2 2 4 4 2" xfId="3559" xr:uid="{00000000-0005-0000-0000-000073120000}"/>
    <cellStyle name="Remarque 2 2 2 4 4 2 2" xfId="27573" xr:uid="{00000000-0005-0000-0000-000074120000}"/>
    <cellStyle name="Remarque 2 2 2 4 4 2 2 2" xfId="51533" xr:uid="{00000000-0005-0000-0000-000075120000}"/>
    <cellStyle name="Remarque 2 2 2 4 4 2 3" xfId="14820" xr:uid="{00000000-0005-0000-0000-000076120000}"/>
    <cellStyle name="Remarque 2 2 2 4 4 2 4" xfId="38780" xr:uid="{00000000-0005-0000-0000-000077120000}"/>
    <cellStyle name="Remarque 2 2 2 4 4 3" xfId="4993" xr:uid="{00000000-0005-0000-0000-000078120000}"/>
    <cellStyle name="Remarque 2 2 2 4 4 3 2" xfId="29007" xr:uid="{00000000-0005-0000-0000-000079120000}"/>
    <cellStyle name="Remarque 2 2 2 4 4 3 2 2" xfId="52967" xr:uid="{00000000-0005-0000-0000-00007A120000}"/>
    <cellStyle name="Remarque 2 2 2 4 4 3 3" xfId="16254" xr:uid="{00000000-0005-0000-0000-00007B120000}"/>
    <cellStyle name="Remarque 2 2 2 4 4 3 4" xfId="40214" xr:uid="{00000000-0005-0000-0000-00007C120000}"/>
    <cellStyle name="Remarque 2 2 2 4 4 4" xfId="6387" xr:uid="{00000000-0005-0000-0000-00007D120000}"/>
    <cellStyle name="Remarque 2 2 2 4 4 4 2" xfId="30401" xr:uid="{00000000-0005-0000-0000-00007E120000}"/>
    <cellStyle name="Remarque 2 2 2 4 4 4 2 2" xfId="54361" xr:uid="{00000000-0005-0000-0000-00007F120000}"/>
    <cellStyle name="Remarque 2 2 2 4 4 4 3" xfId="17648" xr:uid="{00000000-0005-0000-0000-000080120000}"/>
    <cellStyle name="Remarque 2 2 2 4 4 4 4" xfId="41608" xr:uid="{00000000-0005-0000-0000-000081120000}"/>
    <cellStyle name="Remarque 2 2 2 4 4 5" xfId="7775" xr:uid="{00000000-0005-0000-0000-000082120000}"/>
    <cellStyle name="Remarque 2 2 2 4 4 5 2" xfId="31789" xr:uid="{00000000-0005-0000-0000-000083120000}"/>
    <cellStyle name="Remarque 2 2 2 4 4 5 2 2" xfId="55749" xr:uid="{00000000-0005-0000-0000-000084120000}"/>
    <cellStyle name="Remarque 2 2 2 4 4 5 3" xfId="19036" xr:uid="{00000000-0005-0000-0000-000085120000}"/>
    <cellStyle name="Remarque 2 2 2 4 4 5 4" xfId="42996" xr:uid="{00000000-0005-0000-0000-000086120000}"/>
    <cellStyle name="Remarque 2 2 2 4 4 6" xfId="9160" xr:uid="{00000000-0005-0000-0000-000087120000}"/>
    <cellStyle name="Remarque 2 2 2 4 4 6 2" xfId="33174" xr:uid="{00000000-0005-0000-0000-000088120000}"/>
    <cellStyle name="Remarque 2 2 2 4 4 6 2 2" xfId="57134" xr:uid="{00000000-0005-0000-0000-000089120000}"/>
    <cellStyle name="Remarque 2 2 2 4 4 6 3" xfId="20421" xr:uid="{00000000-0005-0000-0000-00008A120000}"/>
    <cellStyle name="Remarque 2 2 2 4 4 6 4" xfId="44381" xr:uid="{00000000-0005-0000-0000-00008B120000}"/>
    <cellStyle name="Remarque 2 2 2 4 4 7" xfId="10617" xr:uid="{00000000-0005-0000-0000-00008C120000}"/>
    <cellStyle name="Remarque 2 2 2 4 4 7 2" xfId="34627" xr:uid="{00000000-0005-0000-0000-00008D120000}"/>
    <cellStyle name="Remarque 2 2 2 4 4 7 2 2" xfId="58587" xr:uid="{00000000-0005-0000-0000-00008E120000}"/>
    <cellStyle name="Remarque 2 2 2 4 4 7 3" xfId="21884" xr:uid="{00000000-0005-0000-0000-00008F120000}"/>
    <cellStyle name="Remarque 2 2 2 4 4 7 4" xfId="45844" xr:uid="{00000000-0005-0000-0000-000090120000}"/>
    <cellStyle name="Remarque 2 2 2 4 4 8" xfId="12651" xr:uid="{00000000-0005-0000-0000-000091120000}"/>
    <cellStyle name="Remarque 2 2 2 4 4 8 2" xfId="23956" xr:uid="{00000000-0005-0000-0000-000092120000}"/>
    <cellStyle name="Remarque 2 2 2 4 4 8 3" xfId="47916" xr:uid="{00000000-0005-0000-0000-000093120000}"/>
    <cellStyle name="Remarque 2 2 2 4 4 9" xfId="2089" xr:uid="{00000000-0005-0000-0000-000094120000}"/>
    <cellStyle name="Remarque 2 2 2 4 4 9 2" xfId="26103" xr:uid="{00000000-0005-0000-0000-000095120000}"/>
    <cellStyle name="Remarque 2 2 2 4 4 9 3" xfId="50063" xr:uid="{00000000-0005-0000-0000-000096120000}"/>
    <cellStyle name="Remarque 2 2 2 4 5" xfId="847" xr:uid="{00000000-0005-0000-0000-000097120000}"/>
    <cellStyle name="Remarque 2 2 2 4 5 10" xfId="24879" xr:uid="{00000000-0005-0000-0000-000098120000}"/>
    <cellStyle name="Remarque 2 2 2 4 5 10 2" xfId="48839" xr:uid="{00000000-0005-0000-0000-000099120000}"/>
    <cellStyle name="Remarque 2 2 2 4 5 11" xfId="35916" xr:uid="{00000000-0005-0000-0000-00009A120000}"/>
    <cellStyle name="Remarque 2 2 2 4 5 11 2" xfId="59876" xr:uid="{00000000-0005-0000-0000-00009B120000}"/>
    <cellStyle name="Remarque 2 2 2 4 5 12" xfId="13544" xr:uid="{00000000-0005-0000-0000-00009C120000}"/>
    <cellStyle name="Remarque 2 2 2 4 5 13" xfId="37504" xr:uid="{00000000-0005-0000-0000-00009D120000}"/>
    <cellStyle name="Remarque 2 2 2 4 5 2" xfId="3753" xr:uid="{00000000-0005-0000-0000-00009E120000}"/>
    <cellStyle name="Remarque 2 2 2 4 5 2 2" xfId="27767" xr:uid="{00000000-0005-0000-0000-00009F120000}"/>
    <cellStyle name="Remarque 2 2 2 4 5 2 2 2" xfId="51727" xr:uid="{00000000-0005-0000-0000-0000A0120000}"/>
    <cellStyle name="Remarque 2 2 2 4 5 2 3" xfId="15014" xr:uid="{00000000-0005-0000-0000-0000A1120000}"/>
    <cellStyle name="Remarque 2 2 2 4 5 2 4" xfId="38974" xr:uid="{00000000-0005-0000-0000-0000A2120000}"/>
    <cellStyle name="Remarque 2 2 2 4 5 3" xfId="5187" xr:uid="{00000000-0005-0000-0000-0000A3120000}"/>
    <cellStyle name="Remarque 2 2 2 4 5 3 2" xfId="29201" xr:uid="{00000000-0005-0000-0000-0000A4120000}"/>
    <cellStyle name="Remarque 2 2 2 4 5 3 2 2" xfId="53161" xr:uid="{00000000-0005-0000-0000-0000A5120000}"/>
    <cellStyle name="Remarque 2 2 2 4 5 3 3" xfId="16448" xr:uid="{00000000-0005-0000-0000-0000A6120000}"/>
    <cellStyle name="Remarque 2 2 2 4 5 3 4" xfId="40408" xr:uid="{00000000-0005-0000-0000-0000A7120000}"/>
    <cellStyle name="Remarque 2 2 2 4 5 4" xfId="6581" xr:uid="{00000000-0005-0000-0000-0000A8120000}"/>
    <cellStyle name="Remarque 2 2 2 4 5 4 2" xfId="30595" xr:uid="{00000000-0005-0000-0000-0000A9120000}"/>
    <cellStyle name="Remarque 2 2 2 4 5 4 2 2" xfId="54555" xr:uid="{00000000-0005-0000-0000-0000AA120000}"/>
    <cellStyle name="Remarque 2 2 2 4 5 4 3" xfId="17842" xr:uid="{00000000-0005-0000-0000-0000AB120000}"/>
    <cellStyle name="Remarque 2 2 2 4 5 4 4" xfId="41802" xr:uid="{00000000-0005-0000-0000-0000AC120000}"/>
    <cellStyle name="Remarque 2 2 2 4 5 5" xfId="7969" xr:uid="{00000000-0005-0000-0000-0000AD120000}"/>
    <cellStyle name="Remarque 2 2 2 4 5 5 2" xfId="31983" xr:uid="{00000000-0005-0000-0000-0000AE120000}"/>
    <cellStyle name="Remarque 2 2 2 4 5 5 2 2" xfId="55943" xr:uid="{00000000-0005-0000-0000-0000AF120000}"/>
    <cellStyle name="Remarque 2 2 2 4 5 5 3" xfId="19230" xr:uid="{00000000-0005-0000-0000-0000B0120000}"/>
    <cellStyle name="Remarque 2 2 2 4 5 5 4" xfId="43190" xr:uid="{00000000-0005-0000-0000-0000B1120000}"/>
    <cellStyle name="Remarque 2 2 2 4 5 6" xfId="9354" xr:uid="{00000000-0005-0000-0000-0000B2120000}"/>
    <cellStyle name="Remarque 2 2 2 4 5 6 2" xfId="33368" xr:uid="{00000000-0005-0000-0000-0000B3120000}"/>
    <cellStyle name="Remarque 2 2 2 4 5 6 2 2" xfId="57328" xr:uid="{00000000-0005-0000-0000-0000B4120000}"/>
    <cellStyle name="Remarque 2 2 2 4 5 6 3" xfId="20615" xr:uid="{00000000-0005-0000-0000-0000B5120000}"/>
    <cellStyle name="Remarque 2 2 2 4 5 6 4" xfId="44575" xr:uid="{00000000-0005-0000-0000-0000B6120000}"/>
    <cellStyle name="Remarque 2 2 2 4 5 7" xfId="10811" xr:uid="{00000000-0005-0000-0000-0000B7120000}"/>
    <cellStyle name="Remarque 2 2 2 4 5 7 2" xfId="34821" xr:uid="{00000000-0005-0000-0000-0000B8120000}"/>
    <cellStyle name="Remarque 2 2 2 4 5 7 2 2" xfId="58781" xr:uid="{00000000-0005-0000-0000-0000B9120000}"/>
    <cellStyle name="Remarque 2 2 2 4 5 7 3" xfId="22078" xr:uid="{00000000-0005-0000-0000-0000BA120000}"/>
    <cellStyle name="Remarque 2 2 2 4 5 7 4" xfId="46038" xr:uid="{00000000-0005-0000-0000-0000BB120000}"/>
    <cellStyle name="Remarque 2 2 2 4 5 8" xfId="12390" xr:uid="{00000000-0005-0000-0000-0000BC120000}"/>
    <cellStyle name="Remarque 2 2 2 4 5 8 2" xfId="23680" xr:uid="{00000000-0005-0000-0000-0000BD120000}"/>
    <cellStyle name="Remarque 2 2 2 4 5 8 3" xfId="47640" xr:uid="{00000000-0005-0000-0000-0000BE120000}"/>
    <cellStyle name="Remarque 2 2 2 4 5 9" xfId="2283" xr:uid="{00000000-0005-0000-0000-0000BF120000}"/>
    <cellStyle name="Remarque 2 2 2 4 5 9 2" xfId="26297" xr:uid="{00000000-0005-0000-0000-0000C0120000}"/>
    <cellStyle name="Remarque 2 2 2 4 5 9 3" xfId="50257" xr:uid="{00000000-0005-0000-0000-0000C1120000}"/>
    <cellStyle name="Remarque 2 2 2 4 6" xfId="1040" xr:uid="{00000000-0005-0000-0000-0000C2120000}"/>
    <cellStyle name="Remarque 2 2 2 4 6 10" xfId="25072" xr:uid="{00000000-0005-0000-0000-0000C3120000}"/>
    <cellStyle name="Remarque 2 2 2 4 6 10 2" xfId="49032" xr:uid="{00000000-0005-0000-0000-0000C4120000}"/>
    <cellStyle name="Remarque 2 2 2 4 6 11" xfId="35987" xr:uid="{00000000-0005-0000-0000-0000C5120000}"/>
    <cellStyle name="Remarque 2 2 2 4 6 11 2" xfId="59947" xr:uid="{00000000-0005-0000-0000-0000C6120000}"/>
    <cellStyle name="Remarque 2 2 2 4 6 12" xfId="13737" xr:uid="{00000000-0005-0000-0000-0000C7120000}"/>
    <cellStyle name="Remarque 2 2 2 4 6 13" xfId="37697" xr:uid="{00000000-0005-0000-0000-0000C8120000}"/>
    <cellStyle name="Remarque 2 2 2 4 6 2" xfId="3946" xr:uid="{00000000-0005-0000-0000-0000C9120000}"/>
    <cellStyle name="Remarque 2 2 2 4 6 2 2" xfId="27960" xr:uid="{00000000-0005-0000-0000-0000CA120000}"/>
    <cellStyle name="Remarque 2 2 2 4 6 2 2 2" xfId="51920" xr:uid="{00000000-0005-0000-0000-0000CB120000}"/>
    <cellStyle name="Remarque 2 2 2 4 6 2 3" xfId="15207" xr:uid="{00000000-0005-0000-0000-0000CC120000}"/>
    <cellStyle name="Remarque 2 2 2 4 6 2 4" xfId="39167" xr:uid="{00000000-0005-0000-0000-0000CD120000}"/>
    <cellStyle name="Remarque 2 2 2 4 6 3" xfId="5380" xr:uid="{00000000-0005-0000-0000-0000CE120000}"/>
    <cellStyle name="Remarque 2 2 2 4 6 3 2" xfId="29394" xr:uid="{00000000-0005-0000-0000-0000CF120000}"/>
    <cellStyle name="Remarque 2 2 2 4 6 3 2 2" xfId="53354" xr:uid="{00000000-0005-0000-0000-0000D0120000}"/>
    <cellStyle name="Remarque 2 2 2 4 6 3 3" xfId="16641" xr:uid="{00000000-0005-0000-0000-0000D1120000}"/>
    <cellStyle name="Remarque 2 2 2 4 6 3 4" xfId="40601" xr:uid="{00000000-0005-0000-0000-0000D2120000}"/>
    <cellStyle name="Remarque 2 2 2 4 6 4" xfId="6774" xr:uid="{00000000-0005-0000-0000-0000D3120000}"/>
    <cellStyle name="Remarque 2 2 2 4 6 4 2" xfId="30788" xr:uid="{00000000-0005-0000-0000-0000D4120000}"/>
    <cellStyle name="Remarque 2 2 2 4 6 4 2 2" xfId="54748" xr:uid="{00000000-0005-0000-0000-0000D5120000}"/>
    <cellStyle name="Remarque 2 2 2 4 6 4 3" xfId="18035" xr:uid="{00000000-0005-0000-0000-0000D6120000}"/>
    <cellStyle name="Remarque 2 2 2 4 6 4 4" xfId="41995" xr:uid="{00000000-0005-0000-0000-0000D7120000}"/>
    <cellStyle name="Remarque 2 2 2 4 6 5" xfId="8162" xr:uid="{00000000-0005-0000-0000-0000D8120000}"/>
    <cellStyle name="Remarque 2 2 2 4 6 5 2" xfId="32176" xr:uid="{00000000-0005-0000-0000-0000D9120000}"/>
    <cellStyle name="Remarque 2 2 2 4 6 5 2 2" xfId="56136" xr:uid="{00000000-0005-0000-0000-0000DA120000}"/>
    <cellStyle name="Remarque 2 2 2 4 6 5 3" xfId="19423" xr:uid="{00000000-0005-0000-0000-0000DB120000}"/>
    <cellStyle name="Remarque 2 2 2 4 6 5 4" xfId="43383" xr:uid="{00000000-0005-0000-0000-0000DC120000}"/>
    <cellStyle name="Remarque 2 2 2 4 6 6" xfId="9547" xr:uid="{00000000-0005-0000-0000-0000DD120000}"/>
    <cellStyle name="Remarque 2 2 2 4 6 6 2" xfId="33561" xr:uid="{00000000-0005-0000-0000-0000DE120000}"/>
    <cellStyle name="Remarque 2 2 2 4 6 6 2 2" xfId="57521" xr:uid="{00000000-0005-0000-0000-0000DF120000}"/>
    <cellStyle name="Remarque 2 2 2 4 6 6 3" xfId="20808" xr:uid="{00000000-0005-0000-0000-0000E0120000}"/>
    <cellStyle name="Remarque 2 2 2 4 6 6 4" xfId="44768" xr:uid="{00000000-0005-0000-0000-0000E1120000}"/>
    <cellStyle name="Remarque 2 2 2 4 6 7" xfId="11004" xr:uid="{00000000-0005-0000-0000-0000E2120000}"/>
    <cellStyle name="Remarque 2 2 2 4 6 7 2" xfId="35014" xr:uid="{00000000-0005-0000-0000-0000E3120000}"/>
    <cellStyle name="Remarque 2 2 2 4 6 7 2 2" xfId="58974" xr:uid="{00000000-0005-0000-0000-0000E4120000}"/>
    <cellStyle name="Remarque 2 2 2 4 6 7 3" xfId="22271" xr:uid="{00000000-0005-0000-0000-0000E5120000}"/>
    <cellStyle name="Remarque 2 2 2 4 6 7 4" xfId="46231" xr:uid="{00000000-0005-0000-0000-0000E6120000}"/>
    <cellStyle name="Remarque 2 2 2 4 6 8" xfId="12094" xr:uid="{00000000-0005-0000-0000-0000E7120000}"/>
    <cellStyle name="Remarque 2 2 2 4 6 8 2" xfId="23377" xr:uid="{00000000-0005-0000-0000-0000E8120000}"/>
    <cellStyle name="Remarque 2 2 2 4 6 8 3" xfId="47337" xr:uid="{00000000-0005-0000-0000-0000E9120000}"/>
    <cellStyle name="Remarque 2 2 2 4 6 9" xfId="2476" xr:uid="{00000000-0005-0000-0000-0000EA120000}"/>
    <cellStyle name="Remarque 2 2 2 4 6 9 2" xfId="26490" xr:uid="{00000000-0005-0000-0000-0000EB120000}"/>
    <cellStyle name="Remarque 2 2 2 4 6 9 3" xfId="50450" xr:uid="{00000000-0005-0000-0000-0000EC120000}"/>
    <cellStyle name="Remarque 2 2 2 4 7" xfId="1376" xr:uid="{00000000-0005-0000-0000-0000ED120000}"/>
    <cellStyle name="Remarque 2 2 2 4 7 10" xfId="25408" xr:uid="{00000000-0005-0000-0000-0000EE120000}"/>
    <cellStyle name="Remarque 2 2 2 4 7 10 2" xfId="49368" xr:uid="{00000000-0005-0000-0000-0000EF120000}"/>
    <cellStyle name="Remarque 2 2 2 4 7 11" xfId="36506" xr:uid="{00000000-0005-0000-0000-0000F0120000}"/>
    <cellStyle name="Remarque 2 2 2 4 7 11 2" xfId="60466" xr:uid="{00000000-0005-0000-0000-0000F1120000}"/>
    <cellStyle name="Remarque 2 2 2 4 7 12" xfId="14073" xr:uid="{00000000-0005-0000-0000-0000F2120000}"/>
    <cellStyle name="Remarque 2 2 2 4 7 13" xfId="38033" xr:uid="{00000000-0005-0000-0000-0000F3120000}"/>
    <cellStyle name="Remarque 2 2 2 4 7 2" xfId="4282" xr:uid="{00000000-0005-0000-0000-0000F4120000}"/>
    <cellStyle name="Remarque 2 2 2 4 7 2 2" xfId="28296" xr:uid="{00000000-0005-0000-0000-0000F5120000}"/>
    <cellStyle name="Remarque 2 2 2 4 7 2 2 2" xfId="52256" xr:uid="{00000000-0005-0000-0000-0000F6120000}"/>
    <cellStyle name="Remarque 2 2 2 4 7 2 3" xfId="15543" xr:uid="{00000000-0005-0000-0000-0000F7120000}"/>
    <cellStyle name="Remarque 2 2 2 4 7 2 4" xfId="39503" xr:uid="{00000000-0005-0000-0000-0000F8120000}"/>
    <cellStyle name="Remarque 2 2 2 4 7 3" xfId="5716" xr:uid="{00000000-0005-0000-0000-0000F9120000}"/>
    <cellStyle name="Remarque 2 2 2 4 7 3 2" xfId="29730" xr:uid="{00000000-0005-0000-0000-0000FA120000}"/>
    <cellStyle name="Remarque 2 2 2 4 7 3 2 2" xfId="53690" xr:uid="{00000000-0005-0000-0000-0000FB120000}"/>
    <cellStyle name="Remarque 2 2 2 4 7 3 3" xfId="16977" xr:uid="{00000000-0005-0000-0000-0000FC120000}"/>
    <cellStyle name="Remarque 2 2 2 4 7 3 4" xfId="40937" xr:uid="{00000000-0005-0000-0000-0000FD120000}"/>
    <cellStyle name="Remarque 2 2 2 4 7 4" xfId="7110" xr:uid="{00000000-0005-0000-0000-0000FE120000}"/>
    <cellStyle name="Remarque 2 2 2 4 7 4 2" xfId="31124" xr:uid="{00000000-0005-0000-0000-0000FF120000}"/>
    <cellStyle name="Remarque 2 2 2 4 7 4 2 2" xfId="55084" xr:uid="{00000000-0005-0000-0000-000000130000}"/>
    <cellStyle name="Remarque 2 2 2 4 7 4 3" xfId="18371" xr:uid="{00000000-0005-0000-0000-000001130000}"/>
    <cellStyle name="Remarque 2 2 2 4 7 4 4" xfId="42331" xr:uid="{00000000-0005-0000-0000-000002130000}"/>
    <cellStyle name="Remarque 2 2 2 4 7 5" xfId="8498" xr:uid="{00000000-0005-0000-0000-000003130000}"/>
    <cellStyle name="Remarque 2 2 2 4 7 5 2" xfId="32512" xr:uid="{00000000-0005-0000-0000-000004130000}"/>
    <cellStyle name="Remarque 2 2 2 4 7 5 2 2" xfId="56472" xr:uid="{00000000-0005-0000-0000-000005130000}"/>
    <cellStyle name="Remarque 2 2 2 4 7 5 3" xfId="19759" xr:uid="{00000000-0005-0000-0000-000006130000}"/>
    <cellStyle name="Remarque 2 2 2 4 7 5 4" xfId="43719" xr:uid="{00000000-0005-0000-0000-000007130000}"/>
    <cellStyle name="Remarque 2 2 2 4 7 6" xfId="9883" xr:uid="{00000000-0005-0000-0000-000008130000}"/>
    <cellStyle name="Remarque 2 2 2 4 7 6 2" xfId="33897" xr:uid="{00000000-0005-0000-0000-000009130000}"/>
    <cellStyle name="Remarque 2 2 2 4 7 6 2 2" xfId="57857" xr:uid="{00000000-0005-0000-0000-00000A130000}"/>
    <cellStyle name="Remarque 2 2 2 4 7 6 3" xfId="21144" xr:uid="{00000000-0005-0000-0000-00000B130000}"/>
    <cellStyle name="Remarque 2 2 2 4 7 6 4" xfId="45104" xr:uid="{00000000-0005-0000-0000-00000C130000}"/>
    <cellStyle name="Remarque 2 2 2 4 7 7" xfId="11340" xr:uid="{00000000-0005-0000-0000-00000D130000}"/>
    <cellStyle name="Remarque 2 2 2 4 7 7 2" xfId="35350" xr:uid="{00000000-0005-0000-0000-00000E130000}"/>
    <cellStyle name="Remarque 2 2 2 4 7 7 2 2" xfId="59310" xr:uid="{00000000-0005-0000-0000-00000F130000}"/>
    <cellStyle name="Remarque 2 2 2 4 7 7 3" xfId="22607" xr:uid="{00000000-0005-0000-0000-000010130000}"/>
    <cellStyle name="Remarque 2 2 2 4 7 7 4" xfId="46567" xr:uid="{00000000-0005-0000-0000-000011130000}"/>
    <cellStyle name="Remarque 2 2 2 4 7 8" xfId="11697" xr:uid="{00000000-0005-0000-0000-000012130000}"/>
    <cellStyle name="Remarque 2 2 2 4 7 8 2" xfId="22966" xr:uid="{00000000-0005-0000-0000-000013130000}"/>
    <cellStyle name="Remarque 2 2 2 4 7 8 3" xfId="46926" xr:uid="{00000000-0005-0000-0000-000014130000}"/>
    <cellStyle name="Remarque 2 2 2 4 7 9" xfId="2812" xr:uid="{00000000-0005-0000-0000-000015130000}"/>
    <cellStyle name="Remarque 2 2 2 4 7 9 2" xfId="26826" xr:uid="{00000000-0005-0000-0000-000016130000}"/>
    <cellStyle name="Remarque 2 2 2 4 7 9 3" xfId="50786" xr:uid="{00000000-0005-0000-0000-000017130000}"/>
    <cellStyle name="Remarque 2 2 2 4 8" xfId="3132" xr:uid="{00000000-0005-0000-0000-000018130000}"/>
    <cellStyle name="Remarque 2 2 2 4 8 2" xfId="27146" xr:uid="{00000000-0005-0000-0000-000019130000}"/>
    <cellStyle name="Remarque 2 2 2 4 8 2 2" xfId="51106" xr:uid="{00000000-0005-0000-0000-00001A130000}"/>
    <cellStyle name="Remarque 2 2 2 4 8 3" xfId="14393" xr:uid="{00000000-0005-0000-0000-00001B130000}"/>
    <cellStyle name="Remarque 2 2 2 4 8 4" xfId="38353" xr:uid="{00000000-0005-0000-0000-00001C130000}"/>
    <cellStyle name="Remarque 2 2 2 4 9" xfId="1662" xr:uid="{00000000-0005-0000-0000-00001D130000}"/>
    <cellStyle name="Remarque 2 2 2 4 9 2" xfId="25676" xr:uid="{00000000-0005-0000-0000-00001E130000}"/>
    <cellStyle name="Remarque 2 2 2 4 9 3" xfId="49636" xr:uid="{00000000-0005-0000-0000-00001F130000}"/>
    <cellStyle name="Remarque 2 2 2 5" xfId="124" xr:uid="{00000000-0005-0000-0000-000020130000}"/>
    <cellStyle name="Remarque 2 2 2 5 10" xfId="6102" xr:uid="{00000000-0005-0000-0000-000021130000}"/>
    <cellStyle name="Remarque 2 2 2 5 10 2" xfId="30116" xr:uid="{00000000-0005-0000-0000-000022130000}"/>
    <cellStyle name="Remarque 2 2 2 5 10 2 2" xfId="54076" xr:uid="{00000000-0005-0000-0000-000023130000}"/>
    <cellStyle name="Remarque 2 2 2 5 10 3" xfId="17363" xr:uid="{00000000-0005-0000-0000-000024130000}"/>
    <cellStyle name="Remarque 2 2 2 5 10 4" xfId="41323" xr:uid="{00000000-0005-0000-0000-000025130000}"/>
    <cellStyle name="Remarque 2 2 2 5 11" xfId="7490" xr:uid="{00000000-0005-0000-0000-000026130000}"/>
    <cellStyle name="Remarque 2 2 2 5 11 2" xfId="31504" xr:uid="{00000000-0005-0000-0000-000027130000}"/>
    <cellStyle name="Remarque 2 2 2 5 11 2 2" xfId="55464" xr:uid="{00000000-0005-0000-0000-000028130000}"/>
    <cellStyle name="Remarque 2 2 2 5 11 3" xfId="18751" xr:uid="{00000000-0005-0000-0000-000029130000}"/>
    <cellStyle name="Remarque 2 2 2 5 11 4" xfId="42711" xr:uid="{00000000-0005-0000-0000-00002A130000}"/>
    <cellStyle name="Remarque 2 2 2 5 12" xfId="8875" xr:uid="{00000000-0005-0000-0000-00002B130000}"/>
    <cellStyle name="Remarque 2 2 2 5 12 2" xfId="32889" xr:uid="{00000000-0005-0000-0000-00002C130000}"/>
    <cellStyle name="Remarque 2 2 2 5 12 2 2" xfId="56849" xr:uid="{00000000-0005-0000-0000-00002D130000}"/>
    <cellStyle name="Remarque 2 2 2 5 12 3" xfId="20136" xr:uid="{00000000-0005-0000-0000-00002E130000}"/>
    <cellStyle name="Remarque 2 2 2 5 12 4" xfId="44096" xr:uid="{00000000-0005-0000-0000-00002F130000}"/>
    <cellStyle name="Remarque 2 2 2 5 13" xfId="10332" xr:uid="{00000000-0005-0000-0000-000030130000}"/>
    <cellStyle name="Remarque 2 2 2 5 13 2" xfId="34342" xr:uid="{00000000-0005-0000-0000-000031130000}"/>
    <cellStyle name="Remarque 2 2 2 5 13 2 2" xfId="58302" xr:uid="{00000000-0005-0000-0000-000032130000}"/>
    <cellStyle name="Remarque 2 2 2 5 13 3" xfId="21599" xr:uid="{00000000-0005-0000-0000-000033130000}"/>
    <cellStyle name="Remarque 2 2 2 5 13 4" xfId="45559" xr:uid="{00000000-0005-0000-0000-000034130000}"/>
    <cellStyle name="Remarque 2 2 2 5 14" xfId="12432" xr:uid="{00000000-0005-0000-0000-000035130000}"/>
    <cellStyle name="Remarque 2 2 2 5 14 2" xfId="23724" xr:uid="{00000000-0005-0000-0000-000036130000}"/>
    <cellStyle name="Remarque 2 2 2 5 14 3" xfId="47684" xr:uid="{00000000-0005-0000-0000-000037130000}"/>
    <cellStyle name="Remarque 2 2 2 5 15" xfId="1804" xr:uid="{00000000-0005-0000-0000-000038130000}"/>
    <cellStyle name="Remarque 2 2 2 5 15 2" xfId="25818" xr:uid="{00000000-0005-0000-0000-000039130000}"/>
    <cellStyle name="Remarque 2 2 2 5 15 3" xfId="49778" xr:uid="{00000000-0005-0000-0000-00003A130000}"/>
    <cellStyle name="Remarque 2 2 2 5 16" xfId="24400" xr:uid="{00000000-0005-0000-0000-00003B130000}"/>
    <cellStyle name="Remarque 2 2 2 5 16 2" xfId="48360" xr:uid="{00000000-0005-0000-0000-00003C130000}"/>
    <cellStyle name="Remarque 2 2 2 5 17" xfId="35637" xr:uid="{00000000-0005-0000-0000-00003D130000}"/>
    <cellStyle name="Remarque 2 2 2 5 17 2" xfId="59597" xr:uid="{00000000-0005-0000-0000-00003E130000}"/>
    <cellStyle name="Remarque 2 2 2 5 18" xfId="13065" xr:uid="{00000000-0005-0000-0000-00003F130000}"/>
    <cellStyle name="Remarque 2 2 2 5 19" xfId="37025" xr:uid="{00000000-0005-0000-0000-000040130000}"/>
    <cellStyle name="Remarque 2 2 2 5 2" xfId="504" xr:uid="{00000000-0005-0000-0000-000041130000}"/>
    <cellStyle name="Remarque 2 2 2 5 2 10" xfId="24536" xr:uid="{00000000-0005-0000-0000-000042130000}"/>
    <cellStyle name="Remarque 2 2 2 5 2 10 2" xfId="48496" xr:uid="{00000000-0005-0000-0000-000043130000}"/>
    <cellStyle name="Remarque 2 2 2 5 2 11" xfId="35944" xr:uid="{00000000-0005-0000-0000-000044130000}"/>
    <cellStyle name="Remarque 2 2 2 5 2 11 2" xfId="59904" xr:uid="{00000000-0005-0000-0000-000045130000}"/>
    <cellStyle name="Remarque 2 2 2 5 2 12" xfId="13201" xr:uid="{00000000-0005-0000-0000-000046130000}"/>
    <cellStyle name="Remarque 2 2 2 5 2 13" xfId="37161" xr:uid="{00000000-0005-0000-0000-000047130000}"/>
    <cellStyle name="Remarque 2 2 2 5 2 2" xfId="3410" xr:uid="{00000000-0005-0000-0000-000048130000}"/>
    <cellStyle name="Remarque 2 2 2 5 2 2 2" xfId="27424" xr:uid="{00000000-0005-0000-0000-000049130000}"/>
    <cellStyle name="Remarque 2 2 2 5 2 2 2 2" xfId="51384" xr:uid="{00000000-0005-0000-0000-00004A130000}"/>
    <cellStyle name="Remarque 2 2 2 5 2 2 3" xfId="14671" xr:uid="{00000000-0005-0000-0000-00004B130000}"/>
    <cellStyle name="Remarque 2 2 2 5 2 2 4" xfId="38631" xr:uid="{00000000-0005-0000-0000-00004C130000}"/>
    <cellStyle name="Remarque 2 2 2 5 2 3" xfId="4844" xr:uid="{00000000-0005-0000-0000-00004D130000}"/>
    <cellStyle name="Remarque 2 2 2 5 2 3 2" xfId="28858" xr:uid="{00000000-0005-0000-0000-00004E130000}"/>
    <cellStyle name="Remarque 2 2 2 5 2 3 2 2" xfId="52818" xr:uid="{00000000-0005-0000-0000-00004F130000}"/>
    <cellStyle name="Remarque 2 2 2 5 2 3 3" xfId="16105" xr:uid="{00000000-0005-0000-0000-000050130000}"/>
    <cellStyle name="Remarque 2 2 2 5 2 3 4" xfId="40065" xr:uid="{00000000-0005-0000-0000-000051130000}"/>
    <cellStyle name="Remarque 2 2 2 5 2 4" xfId="6238" xr:uid="{00000000-0005-0000-0000-000052130000}"/>
    <cellStyle name="Remarque 2 2 2 5 2 4 2" xfId="30252" xr:uid="{00000000-0005-0000-0000-000053130000}"/>
    <cellStyle name="Remarque 2 2 2 5 2 4 2 2" xfId="54212" xr:uid="{00000000-0005-0000-0000-000054130000}"/>
    <cellStyle name="Remarque 2 2 2 5 2 4 3" xfId="17499" xr:uid="{00000000-0005-0000-0000-000055130000}"/>
    <cellStyle name="Remarque 2 2 2 5 2 4 4" xfId="41459" xr:uid="{00000000-0005-0000-0000-000056130000}"/>
    <cellStyle name="Remarque 2 2 2 5 2 5" xfId="7626" xr:uid="{00000000-0005-0000-0000-000057130000}"/>
    <cellStyle name="Remarque 2 2 2 5 2 5 2" xfId="31640" xr:uid="{00000000-0005-0000-0000-000058130000}"/>
    <cellStyle name="Remarque 2 2 2 5 2 5 2 2" xfId="55600" xr:uid="{00000000-0005-0000-0000-000059130000}"/>
    <cellStyle name="Remarque 2 2 2 5 2 5 3" xfId="18887" xr:uid="{00000000-0005-0000-0000-00005A130000}"/>
    <cellStyle name="Remarque 2 2 2 5 2 5 4" xfId="42847" xr:uid="{00000000-0005-0000-0000-00005B130000}"/>
    <cellStyle name="Remarque 2 2 2 5 2 6" xfId="9011" xr:uid="{00000000-0005-0000-0000-00005C130000}"/>
    <cellStyle name="Remarque 2 2 2 5 2 6 2" xfId="33025" xr:uid="{00000000-0005-0000-0000-00005D130000}"/>
    <cellStyle name="Remarque 2 2 2 5 2 6 2 2" xfId="56985" xr:uid="{00000000-0005-0000-0000-00005E130000}"/>
    <cellStyle name="Remarque 2 2 2 5 2 6 3" xfId="20272" xr:uid="{00000000-0005-0000-0000-00005F130000}"/>
    <cellStyle name="Remarque 2 2 2 5 2 6 4" xfId="44232" xr:uid="{00000000-0005-0000-0000-000060130000}"/>
    <cellStyle name="Remarque 2 2 2 5 2 7" xfId="10468" xr:uid="{00000000-0005-0000-0000-000061130000}"/>
    <cellStyle name="Remarque 2 2 2 5 2 7 2" xfId="34478" xr:uid="{00000000-0005-0000-0000-000062130000}"/>
    <cellStyle name="Remarque 2 2 2 5 2 7 2 2" xfId="58438" xr:uid="{00000000-0005-0000-0000-000063130000}"/>
    <cellStyle name="Remarque 2 2 2 5 2 7 3" xfId="21735" xr:uid="{00000000-0005-0000-0000-000064130000}"/>
    <cellStyle name="Remarque 2 2 2 5 2 7 4" xfId="45695" xr:uid="{00000000-0005-0000-0000-000065130000}"/>
    <cellStyle name="Remarque 2 2 2 5 2 8" xfId="11672" xr:uid="{00000000-0005-0000-0000-000066130000}"/>
    <cellStyle name="Remarque 2 2 2 5 2 8 2" xfId="22941" xr:uid="{00000000-0005-0000-0000-000067130000}"/>
    <cellStyle name="Remarque 2 2 2 5 2 8 3" xfId="46901" xr:uid="{00000000-0005-0000-0000-000068130000}"/>
    <cellStyle name="Remarque 2 2 2 5 2 9" xfId="1940" xr:uid="{00000000-0005-0000-0000-000069130000}"/>
    <cellStyle name="Remarque 2 2 2 5 2 9 2" xfId="25954" xr:uid="{00000000-0005-0000-0000-00006A130000}"/>
    <cellStyle name="Remarque 2 2 2 5 2 9 3" xfId="49914" xr:uid="{00000000-0005-0000-0000-00006B130000}"/>
    <cellStyle name="Remarque 2 2 2 5 20" xfId="368" xr:uid="{00000000-0005-0000-0000-00006C130000}"/>
    <cellStyle name="Remarque 2 2 2 5 3" xfId="696" xr:uid="{00000000-0005-0000-0000-00006D130000}"/>
    <cellStyle name="Remarque 2 2 2 5 3 10" xfId="24728" xr:uid="{00000000-0005-0000-0000-00006E130000}"/>
    <cellStyle name="Remarque 2 2 2 5 3 10 2" xfId="48688" xr:uid="{00000000-0005-0000-0000-00006F130000}"/>
    <cellStyle name="Remarque 2 2 2 5 3 11" xfId="35823" xr:uid="{00000000-0005-0000-0000-000070130000}"/>
    <cellStyle name="Remarque 2 2 2 5 3 11 2" xfId="59783" xr:uid="{00000000-0005-0000-0000-000071130000}"/>
    <cellStyle name="Remarque 2 2 2 5 3 12" xfId="13393" xr:uid="{00000000-0005-0000-0000-000072130000}"/>
    <cellStyle name="Remarque 2 2 2 5 3 13" xfId="37353" xr:uid="{00000000-0005-0000-0000-000073130000}"/>
    <cellStyle name="Remarque 2 2 2 5 3 2" xfId="3602" xr:uid="{00000000-0005-0000-0000-000074130000}"/>
    <cellStyle name="Remarque 2 2 2 5 3 2 2" xfId="27616" xr:uid="{00000000-0005-0000-0000-000075130000}"/>
    <cellStyle name="Remarque 2 2 2 5 3 2 2 2" xfId="51576" xr:uid="{00000000-0005-0000-0000-000076130000}"/>
    <cellStyle name="Remarque 2 2 2 5 3 2 3" xfId="14863" xr:uid="{00000000-0005-0000-0000-000077130000}"/>
    <cellStyle name="Remarque 2 2 2 5 3 2 4" xfId="38823" xr:uid="{00000000-0005-0000-0000-000078130000}"/>
    <cellStyle name="Remarque 2 2 2 5 3 3" xfId="5036" xr:uid="{00000000-0005-0000-0000-000079130000}"/>
    <cellStyle name="Remarque 2 2 2 5 3 3 2" xfId="29050" xr:uid="{00000000-0005-0000-0000-00007A130000}"/>
    <cellStyle name="Remarque 2 2 2 5 3 3 2 2" xfId="53010" xr:uid="{00000000-0005-0000-0000-00007B130000}"/>
    <cellStyle name="Remarque 2 2 2 5 3 3 3" xfId="16297" xr:uid="{00000000-0005-0000-0000-00007C130000}"/>
    <cellStyle name="Remarque 2 2 2 5 3 3 4" xfId="40257" xr:uid="{00000000-0005-0000-0000-00007D130000}"/>
    <cellStyle name="Remarque 2 2 2 5 3 4" xfId="6430" xr:uid="{00000000-0005-0000-0000-00007E130000}"/>
    <cellStyle name="Remarque 2 2 2 5 3 4 2" xfId="30444" xr:uid="{00000000-0005-0000-0000-00007F130000}"/>
    <cellStyle name="Remarque 2 2 2 5 3 4 2 2" xfId="54404" xr:uid="{00000000-0005-0000-0000-000080130000}"/>
    <cellStyle name="Remarque 2 2 2 5 3 4 3" xfId="17691" xr:uid="{00000000-0005-0000-0000-000081130000}"/>
    <cellStyle name="Remarque 2 2 2 5 3 4 4" xfId="41651" xr:uid="{00000000-0005-0000-0000-000082130000}"/>
    <cellStyle name="Remarque 2 2 2 5 3 5" xfId="7818" xr:uid="{00000000-0005-0000-0000-000083130000}"/>
    <cellStyle name="Remarque 2 2 2 5 3 5 2" xfId="31832" xr:uid="{00000000-0005-0000-0000-000084130000}"/>
    <cellStyle name="Remarque 2 2 2 5 3 5 2 2" xfId="55792" xr:uid="{00000000-0005-0000-0000-000085130000}"/>
    <cellStyle name="Remarque 2 2 2 5 3 5 3" xfId="19079" xr:uid="{00000000-0005-0000-0000-000086130000}"/>
    <cellStyle name="Remarque 2 2 2 5 3 5 4" xfId="43039" xr:uid="{00000000-0005-0000-0000-000087130000}"/>
    <cellStyle name="Remarque 2 2 2 5 3 6" xfId="9203" xr:uid="{00000000-0005-0000-0000-000088130000}"/>
    <cellStyle name="Remarque 2 2 2 5 3 6 2" xfId="33217" xr:uid="{00000000-0005-0000-0000-000089130000}"/>
    <cellStyle name="Remarque 2 2 2 5 3 6 2 2" xfId="57177" xr:uid="{00000000-0005-0000-0000-00008A130000}"/>
    <cellStyle name="Remarque 2 2 2 5 3 6 3" xfId="20464" xr:uid="{00000000-0005-0000-0000-00008B130000}"/>
    <cellStyle name="Remarque 2 2 2 5 3 6 4" xfId="44424" xr:uid="{00000000-0005-0000-0000-00008C130000}"/>
    <cellStyle name="Remarque 2 2 2 5 3 7" xfId="10660" xr:uid="{00000000-0005-0000-0000-00008D130000}"/>
    <cellStyle name="Remarque 2 2 2 5 3 7 2" xfId="34670" xr:uid="{00000000-0005-0000-0000-00008E130000}"/>
    <cellStyle name="Remarque 2 2 2 5 3 7 2 2" xfId="58630" xr:uid="{00000000-0005-0000-0000-00008F130000}"/>
    <cellStyle name="Remarque 2 2 2 5 3 7 3" xfId="21927" xr:uid="{00000000-0005-0000-0000-000090130000}"/>
    <cellStyle name="Remarque 2 2 2 5 3 7 4" xfId="45887" xr:uid="{00000000-0005-0000-0000-000091130000}"/>
    <cellStyle name="Remarque 2 2 2 5 3 8" xfId="12338" xr:uid="{00000000-0005-0000-0000-000092130000}"/>
    <cellStyle name="Remarque 2 2 2 5 3 8 2" xfId="23626" xr:uid="{00000000-0005-0000-0000-000093130000}"/>
    <cellStyle name="Remarque 2 2 2 5 3 8 3" xfId="47586" xr:uid="{00000000-0005-0000-0000-000094130000}"/>
    <cellStyle name="Remarque 2 2 2 5 3 9" xfId="2132" xr:uid="{00000000-0005-0000-0000-000095130000}"/>
    <cellStyle name="Remarque 2 2 2 5 3 9 2" xfId="26146" xr:uid="{00000000-0005-0000-0000-000096130000}"/>
    <cellStyle name="Remarque 2 2 2 5 3 9 3" xfId="50106" xr:uid="{00000000-0005-0000-0000-000097130000}"/>
    <cellStyle name="Remarque 2 2 2 5 4" xfId="890" xr:uid="{00000000-0005-0000-0000-000098130000}"/>
    <cellStyle name="Remarque 2 2 2 5 4 10" xfId="24922" xr:uid="{00000000-0005-0000-0000-000099130000}"/>
    <cellStyle name="Remarque 2 2 2 5 4 10 2" xfId="48882" xr:uid="{00000000-0005-0000-0000-00009A130000}"/>
    <cellStyle name="Remarque 2 2 2 5 4 11" xfId="36090" xr:uid="{00000000-0005-0000-0000-00009B130000}"/>
    <cellStyle name="Remarque 2 2 2 5 4 11 2" xfId="60050" xr:uid="{00000000-0005-0000-0000-00009C130000}"/>
    <cellStyle name="Remarque 2 2 2 5 4 12" xfId="13587" xr:uid="{00000000-0005-0000-0000-00009D130000}"/>
    <cellStyle name="Remarque 2 2 2 5 4 13" xfId="37547" xr:uid="{00000000-0005-0000-0000-00009E130000}"/>
    <cellStyle name="Remarque 2 2 2 5 4 2" xfId="3796" xr:uid="{00000000-0005-0000-0000-00009F130000}"/>
    <cellStyle name="Remarque 2 2 2 5 4 2 2" xfId="27810" xr:uid="{00000000-0005-0000-0000-0000A0130000}"/>
    <cellStyle name="Remarque 2 2 2 5 4 2 2 2" xfId="51770" xr:uid="{00000000-0005-0000-0000-0000A1130000}"/>
    <cellStyle name="Remarque 2 2 2 5 4 2 3" xfId="15057" xr:uid="{00000000-0005-0000-0000-0000A2130000}"/>
    <cellStyle name="Remarque 2 2 2 5 4 2 4" xfId="39017" xr:uid="{00000000-0005-0000-0000-0000A3130000}"/>
    <cellStyle name="Remarque 2 2 2 5 4 3" xfId="5230" xr:uid="{00000000-0005-0000-0000-0000A4130000}"/>
    <cellStyle name="Remarque 2 2 2 5 4 3 2" xfId="29244" xr:uid="{00000000-0005-0000-0000-0000A5130000}"/>
    <cellStyle name="Remarque 2 2 2 5 4 3 2 2" xfId="53204" xr:uid="{00000000-0005-0000-0000-0000A6130000}"/>
    <cellStyle name="Remarque 2 2 2 5 4 3 3" xfId="16491" xr:uid="{00000000-0005-0000-0000-0000A7130000}"/>
    <cellStyle name="Remarque 2 2 2 5 4 3 4" xfId="40451" xr:uid="{00000000-0005-0000-0000-0000A8130000}"/>
    <cellStyle name="Remarque 2 2 2 5 4 4" xfId="6624" xr:uid="{00000000-0005-0000-0000-0000A9130000}"/>
    <cellStyle name="Remarque 2 2 2 5 4 4 2" xfId="30638" xr:uid="{00000000-0005-0000-0000-0000AA130000}"/>
    <cellStyle name="Remarque 2 2 2 5 4 4 2 2" xfId="54598" xr:uid="{00000000-0005-0000-0000-0000AB130000}"/>
    <cellStyle name="Remarque 2 2 2 5 4 4 3" xfId="17885" xr:uid="{00000000-0005-0000-0000-0000AC130000}"/>
    <cellStyle name="Remarque 2 2 2 5 4 4 4" xfId="41845" xr:uid="{00000000-0005-0000-0000-0000AD130000}"/>
    <cellStyle name="Remarque 2 2 2 5 4 5" xfId="8012" xr:uid="{00000000-0005-0000-0000-0000AE130000}"/>
    <cellStyle name="Remarque 2 2 2 5 4 5 2" xfId="32026" xr:uid="{00000000-0005-0000-0000-0000AF130000}"/>
    <cellStyle name="Remarque 2 2 2 5 4 5 2 2" xfId="55986" xr:uid="{00000000-0005-0000-0000-0000B0130000}"/>
    <cellStyle name="Remarque 2 2 2 5 4 5 3" xfId="19273" xr:uid="{00000000-0005-0000-0000-0000B1130000}"/>
    <cellStyle name="Remarque 2 2 2 5 4 5 4" xfId="43233" xr:uid="{00000000-0005-0000-0000-0000B2130000}"/>
    <cellStyle name="Remarque 2 2 2 5 4 6" xfId="9397" xr:uid="{00000000-0005-0000-0000-0000B3130000}"/>
    <cellStyle name="Remarque 2 2 2 5 4 6 2" xfId="33411" xr:uid="{00000000-0005-0000-0000-0000B4130000}"/>
    <cellStyle name="Remarque 2 2 2 5 4 6 2 2" xfId="57371" xr:uid="{00000000-0005-0000-0000-0000B5130000}"/>
    <cellStyle name="Remarque 2 2 2 5 4 6 3" xfId="20658" xr:uid="{00000000-0005-0000-0000-0000B6130000}"/>
    <cellStyle name="Remarque 2 2 2 5 4 6 4" xfId="44618" xr:uid="{00000000-0005-0000-0000-0000B7130000}"/>
    <cellStyle name="Remarque 2 2 2 5 4 7" xfId="10854" xr:uid="{00000000-0005-0000-0000-0000B8130000}"/>
    <cellStyle name="Remarque 2 2 2 5 4 7 2" xfId="34864" xr:uid="{00000000-0005-0000-0000-0000B9130000}"/>
    <cellStyle name="Remarque 2 2 2 5 4 7 2 2" xfId="58824" xr:uid="{00000000-0005-0000-0000-0000BA130000}"/>
    <cellStyle name="Remarque 2 2 2 5 4 7 3" xfId="22121" xr:uid="{00000000-0005-0000-0000-0000BB130000}"/>
    <cellStyle name="Remarque 2 2 2 5 4 7 4" xfId="46081" xr:uid="{00000000-0005-0000-0000-0000BC130000}"/>
    <cellStyle name="Remarque 2 2 2 5 4 8" xfId="12505" xr:uid="{00000000-0005-0000-0000-0000BD130000}"/>
    <cellStyle name="Remarque 2 2 2 5 4 8 2" xfId="23802" xr:uid="{00000000-0005-0000-0000-0000BE130000}"/>
    <cellStyle name="Remarque 2 2 2 5 4 8 3" xfId="47762" xr:uid="{00000000-0005-0000-0000-0000BF130000}"/>
    <cellStyle name="Remarque 2 2 2 5 4 9" xfId="2326" xr:uid="{00000000-0005-0000-0000-0000C0130000}"/>
    <cellStyle name="Remarque 2 2 2 5 4 9 2" xfId="26340" xr:uid="{00000000-0005-0000-0000-0000C1130000}"/>
    <cellStyle name="Remarque 2 2 2 5 4 9 3" xfId="50300" xr:uid="{00000000-0005-0000-0000-0000C2130000}"/>
    <cellStyle name="Remarque 2 2 2 5 5" xfId="1083" xr:uid="{00000000-0005-0000-0000-0000C3130000}"/>
    <cellStyle name="Remarque 2 2 2 5 5 10" xfId="25115" xr:uid="{00000000-0005-0000-0000-0000C4130000}"/>
    <cellStyle name="Remarque 2 2 2 5 5 10 2" xfId="49075" xr:uid="{00000000-0005-0000-0000-0000C5130000}"/>
    <cellStyle name="Remarque 2 2 2 5 5 11" xfId="36281" xr:uid="{00000000-0005-0000-0000-0000C6130000}"/>
    <cellStyle name="Remarque 2 2 2 5 5 11 2" xfId="60241" xr:uid="{00000000-0005-0000-0000-0000C7130000}"/>
    <cellStyle name="Remarque 2 2 2 5 5 12" xfId="13780" xr:uid="{00000000-0005-0000-0000-0000C8130000}"/>
    <cellStyle name="Remarque 2 2 2 5 5 13" xfId="37740" xr:uid="{00000000-0005-0000-0000-0000C9130000}"/>
    <cellStyle name="Remarque 2 2 2 5 5 2" xfId="3989" xr:uid="{00000000-0005-0000-0000-0000CA130000}"/>
    <cellStyle name="Remarque 2 2 2 5 5 2 2" xfId="28003" xr:uid="{00000000-0005-0000-0000-0000CB130000}"/>
    <cellStyle name="Remarque 2 2 2 5 5 2 2 2" xfId="51963" xr:uid="{00000000-0005-0000-0000-0000CC130000}"/>
    <cellStyle name="Remarque 2 2 2 5 5 2 3" xfId="15250" xr:uid="{00000000-0005-0000-0000-0000CD130000}"/>
    <cellStyle name="Remarque 2 2 2 5 5 2 4" xfId="39210" xr:uid="{00000000-0005-0000-0000-0000CE130000}"/>
    <cellStyle name="Remarque 2 2 2 5 5 3" xfId="5423" xr:uid="{00000000-0005-0000-0000-0000CF130000}"/>
    <cellStyle name="Remarque 2 2 2 5 5 3 2" xfId="29437" xr:uid="{00000000-0005-0000-0000-0000D0130000}"/>
    <cellStyle name="Remarque 2 2 2 5 5 3 2 2" xfId="53397" xr:uid="{00000000-0005-0000-0000-0000D1130000}"/>
    <cellStyle name="Remarque 2 2 2 5 5 3 3" xfId="16684" xr:uid="{00000000-0005-0000-0000-0000D2130000}"/>
    <cellStyle name="Remarque 2 2 2 5 5 3 4" xfId="40644" xr:uid="{00000000-0005-0000-0000-0000D3130000}"/>
    <cellStyle name="Remarque 2 2 2 5 5 4" xfId="6817" xr:uid="{00000000-0005-0000-0000-0000D4130000}"/>
    <cellStyle name="Remarque 2 2 2 5 5 4 2" xfId="30831" xr:uid="{00000000-0005-0000-0000-0000D5130000}"/>
    <cellStyle name="Remarque 2 2 2 5 5 4 2 2" xfId="54791" xr:uid="{00000000-0005-0000-0000-0000D6130000}"/>
    <cellStyle name="Remarque 2 2 2 5 5 4 3" xfId="18078" xr:uid="{00000000-0005-0000-0000-0000D7130000}"/>
    <cellStyle name="Remarque 2 2 2 5 5 4 4" xfId="42038" xr:uid="{00000000-0005-0000-0000-0000D8130000}"/>
    <cellStyle name="Remarque 2 2 2 5 5 5" xfId="8205" xr:uid="{00000000-0005-0000-0000-0000D9130000}"/>
    <cellStyle name="Remarque 2 2 2 5 5 5 2" xfId="32219" xr:uid="{00000000-0005-0000-0000-0000DA130000}"/>
    <cellStyle name="Remarque 2 2 2 5 5 5 2 2" xfId="56179" xr:uid="{00000000-0005-0000-0000-0000DB130000}"/>
    <cellStyle name="Remarque 2 2 2 5 5 5 3" xfId="19466" xr:uid="{00000000-0005-0000-0000-0000DC130000}"/>
    <cellStyle name="Remarque 2 2 2 5 5 5 4" xfId="43426" xr:uid="{00000000-0005-0000-0000-0000DD130000}"/>
    <cellStyle name="Remarque 2 2 2 5 5 6" xfId="9590" xr:uid="{00000000-0005-0000-0000-0000DE130000}"/>
    <cellStyle name="Remarque 2 2 2 5 5 6 2" xfId="33604" xr:uid="{00000000-0005-0000-0000-0000DF130000}"/>
    <cellStyle name="Remarque 2 2 2 5 5 6 2 2" xfId="57564" xr:uid="{00000000-0005-0000-0000-0000E0130000}"/>
    <cellStyle name="Remarque 2 2 2 5 5 6 3" xfId="20851" xr:uid="{00000000-0005-0000-0000-0000E1130000}"/>
    <cellStyle name="Remarque 2 2 2 5 5 6 4" xfId="44811" xr:uid="{00000000-0005-0000-0000-0000E2130000}"/>
    <cellStyle name="Remarque 2 2 2 5 5 7" xfId="11047" xr:uid="{00000000-0005-0000-0000-0000E3130000}"/>
    <cellStyle name="Remarque 2 2 2 5 5 7 2" xfId="35057" xr:uid="{00000000-0005-0000-0000-0000E4130000}"/>
    <cellStyle name="Remarque 2 2 2 5 5 7 2 2" xfId="59017" xr:uid="{00000000-0005-0000-0000-0000E5130000}"/>
    <cellStyle name="Remarque 2 2 2 5 5 7 3" xfId="22314" xr:uid="{00000000-0005-0000-0000-0000E6130000}"/>
    <cellStyle name="Remarque 2 2 2 5 5 7 4" xfId="46274" xr:uid="{00000000-0005-0000-0000-0000E7130000}"/>
    <cellStyle name="Remarque 2 2 2 5 5 8" xfId="12305" xr:uid="{00000000-0005-0000-0000-0000E8130000}"/>
    <cellStyle name="Remarque 2 2 2 5 5 8 2" xfId="23593" xr:uid="{00000000-0005-0000-0000-0000E9130000}"/>
    <cellStyle name="Remarque 2 2 2 5 5 8 3" xfId="47553" xr:uid="{00000000-0005-0000-0000-0000EA130000}"/>
    <cellStyle name="Remarque 2 2 2 5 5 9" xfId="2519" xr:uid="{00000000-0005-0000-0000-0000EB130000}"/>
    <cellStyle name="Remarque 2 2 2 5 5 9 2" xfId="26533" xr:uid="{00000000-0005-0000-0000-0000EC130000}"/>
    <cellStyle name="Remarque 2 2 2 5 5 9 3" xfId="50493" xr:uid="{00000000-0005-0000-0000-0000ED130000}"/>
    <cellStyle name="Remarque 2 2 2 5 6" xfId="1250" xr:uid="{00000000-0005-0000-0000-0000EE130000}"/>
    <cellStyle name="Remarque 2 2 2 5 6 10" xfId="25282" xr:uid="{00000000-0005-0000-0000-0000EF130000}"/>
    <cellStyle name="Remarque 2 2 2 5 6 10 2" xfId="49242" xr:uid="{00000000-0005-0000-0000-0000F0130000}"/>
    <cellStyle name="Remarque 2 2 2 5 6 11" xfId="35595" xr:uid="{00000000-0005-0000-0000-0000F1130000}"/>
    <cellStyle name="Remarque 2 2 2 5 6 11 2" xfId="59555" xr:uid="{00000000-0005-0000-0000-0000F2130000}"/>
    <cellStyle name="Remarque 2 2 2 5 6 12" xfId="13947" xr:uid="{00000000-0005-0000-0000-0000F3130000}"/>
    <cellStyle name="Remarque 2 2 2 5 6 13" xfId="37907" xr:uid="{00000000-0005-0000-0000-0000F4130000}"/>
    <cellStyle name="Remarque 2 2 2 5 6 2" xfId="4156" xr:uid="{00000000-0005-0000-0000-0000F5130000}"/>
    <cellStyle name="Remarque 2 2 2 5 6 2 2" xfId="28170" xr:uid="{00000000-0005-0000-0000-0000F6130000}"/>
    <cellStyle name="Remarque 2 2 2 5 6 2 2 2" xfId="52130" xr:uid="{00000000-0005-0000-0000-0000F7130000}"/>
    <cellStyle name="Remarque 2 2 2 5 6 2 3" xfId="15417" xr:uid="{00000000-0005-0000-0000-0000F8130000}"/>
    <cellStyle name="Remarque 2 2 2 5 6 2 4" xfId="39377" xr:uid="{00000000-0005-0000-0000-0000F9130000}"/>
    <cellStyle name="Remarque 2 2 2 5 6 3" xfId="5590" xr:uid="{00000000-0005-0000-0000-0000FA130000}"/>
    <cellStyle name="Remarque 2 2 2 5 6 3 2" xfId="29604" xr:uid="{00000000-0005-0000-0000-0000FB130000}"/>
    <cellStyle name="Remarque 2 2 2 5 6 3 2 2" xfId="53564" xr:uid="{00000000-0005-0000-0000-0000FC130000}"/>
    <cellStyle name="Remarque 2 2 2 5 6 3 3" xfId="16851" xr:uid="{00000000-0005-0000-0000-0000FD130000}"/>
    <cellStyle name="Remarque 2 2 2 5 6 3 4" xfId="40811" xr:uid="{00000000-0005-0000-0000-0000FE130000}"/>
    <cellStyle name="Remarque 2 2 2 5 6 4" xfId="6984" xr:uid="{00000000-0005-0000-0000-0000FF130000}"/>
    <cellStyle name="Remarque 2 2 2 5 6 4 2" xfId="30998" xr:uid="{00000000-0005-0000-0000-000000140000}"/>
    <cellStyle name="Remarque 2 2 2 5 6 4 2 2" xfId="54958" xr:uid="{00000000-0005-0000-0000-000001140000}"/>
    <cellStyle name="Remarque 2 2 2 5 6 4 3" xfId="18245" xr:uid="{00000000-0005-0000-0000-000002140000}"/>
    <cellStyle name="Remarque 2 2 2 5 6 4 4" xfId="42205" xr:uid="{00000000-0005-0000-0000-000003140000}"/>
    <cellStyle name="Remarque 2 2 2 5 6 5" xfId="8372" xr:uid="{00000000-0005-0000-0000-000004140000}"/>
    <cellStyle name="Remarque 2 2 2 5 6 5 2" xfId="32386" xr:uid="{00000000-0005-0000-0000-000005140000}"/>
    <cellStyle name="Remarque 2 2 2 5 6 5 2 2" xfId="56346" xr:uid="{00000000-0005-0000-0000-000006140000}"/>
    <cellStyle name="Remarque 2 2 2 5 6 5 3" xfId="19633" xr:uid="{00000000-0005-0000-0000-000007140000}"/>
    <cellStyle name="Remarque 2 2 2 5 6 5 4" xfId="43593" xr:uid="{00000000-0005-0000-0000-000008140000}"/>
    <cellStyle name="Remarque 2 2 2 5 6 6" xfId="9757" xr:uid="{00000000-0005-0000-0000-000009140000}"/>
    <cellStyle name="Remarque 2 2 2 5 6 6 2" xfId="33771" xr:uid="{00000000-0005-0000-0000-00000A140000}"/>
    <cellStyle name="Remarque 2 2 2 5 6 6 2 2" xfId="57731" xr:uid="{00000000-0005-0000-0000-00000B140000}"/>
    <cellStyle name="Remarque 2 2 2 5 6 6 3" xfId="21018" xr:uid="{00000000-0005-0000-0000-00000C140000}"/>
    <cellStyle name="Remarque 2 2 2 5 6 6 4" xfId="44978" xr:uid="{00000000-0005-0000-0000-00000D140000}"/>
    <cellStyle name="Remarque 2 2 2 5 6 7" xfId="11214" xr:uid="{00000000-0005-0000-0000-00000E140000}"/>
    <cellStyle name="Remarque 2 2 2 5 6 7 2" xfId="35224" xr:uid="{00000000-0005-0000-0000-00000F140000}"/>
    <cellStyle name="Remarque 2 2 2 5 6 7 2 2" xfId="59184" xr:uid="{00000000-0005-0000-0000-000010140000}"/>
    <cellStyle name="Remarque 2 2 2 5 6 7 3" xfId="22481" xr:uid="{00000000-0005-0000-0000-000011140000}"/>
    <cellStyle name="Remarque 2 2 2 5 6 7 4" xfId="46441" xr:uid="{00000000-0005-0000-0000-000012140000}"/>
    <cellStyle name="Remarque 2 2 2 5 6 8" xfId="12878" xr:uid="{00000000-0005-0000-0000-000013140000}"/>
    <cellStyle name="Remarque 2 2 2 5 6 8 2" xfId="24190" xr:uid="{00000000-0005-0000-0000-000014140000}"/>
    <cellStyle name="Remarque 2 2 2 5 6 8 3" xfId="48150" xr:uid="{00000000-0005-0000-0000-000015140000}"/>
    <cellStyle name="Remarque 2 2 2 5 6 9" xfId="2686" xr:uid="{00000000-0005-0000-0000-000016140000}"/>
    <cellStyle name="Remarque 2 2 2 5 6 9 2" xfId="26700" xr:uid="{00000000-0005-0000-0000-000017140000}"/>
    <cellStyle name="Remarque 2 2 2 5 6 9 3" xfId="50660" xr:uid="{00000000-0005-0000-0000-000018140000}"/>
    <cellStyle name="Remarque 2 2 2 5 7" xfId="1419" xr:uid="{00000000-0005-0000-0000-000019140000}"/>
    <cellStyle name="Remarque 2 2 2 5 7 10" xfId="25451" xr:uid="{00000000-0005-0000-0000-00001A140000}"/>
    <cellStyle name="Remarque 2 2 2 5 7 10 2" xfId="49411" xr:uid="{00000000-0005-0000-0000-00001B140000}"/>
    <cellStyle name="Remarque 2 2 2 5 7 11" xfId="34150" xr:uid="{00000000-0005-0000-0000-00001C140000}"/>
    <cellStyle name="Remarque 2 2 2 5 7 11 2" xfId="58110" xr:uid="{00000000-0005-0000-0000-00001D140000}"/>
    <cellStyle name="Remarque 2 2 2 5 7 12" xfId="14116" xr:uid="{00000000-0005-0000-0000-00001E140000}"/>
    <cellStyle name="Remarque 2 2 2 5 7 13" xfId="38076" xr:uid="{00000000-0005-0000-0000-00001F140000}"/>
    <cellStyle name="Remarque 2 2 2 5 7 2" xfId="4325" xr:uid="{00000000-0005-0000-0000-000020140000}"/>
    <cellStyle name="Remarque 2 2 2 5 7 2 2" xfId="28339" xr:uid="{00000000-0005-0000-0000-000021140000}"/>
    <cellStyle name="Remarque 2 2 2 5 7 2 2 2" xfId="52299" xr:uid="{00000000-0005-0000-0000-000022140000}"/>
    <cellStyle name="Remarque 2 2 2 5 7 2 3" xfId="15586" xr:uid="{00000000-0005-0000-0000-000023140000}"/>
    <cellStyle name="Remarque 2 2 2 5 7 2 4" xfId="39546" xr:uid="{00000000-0005-0000-0000-000024140000}"/>
    <cellStyle name="Remarque 2 2 2 5 7 3" xfId="5759" xr:uid="{00000000-0005-0000-0000-000025140000}"/>
    <cellStyle name="Remarque 2 2 2 5 7 3 2" xfId="29773" xr:uid="{00000000-0005-0000-0000-000026140000}"/>
    <cellStyle name="Remarque 2 2 2 5 7 3 2 2" xfId="53733" xr:uid="{00000000-0005-0000-0000-000027140000}"/>
    <cellStyle name="Remarque 2 2 2 5 7 3 3" xfId="17020" xr:uid="{00000000-0005-0000-0000-000028140000}"/>
    <cellStyle name="Remarque 2 2 2 5 7 3 4" xfId="40980" xr:uid="{00000000-0005-0000-0000-000029140000}"/>
    <cellStyle name="Remarque 2 2 2 5 7 4" xfId="7153" xr:uid="{00000000-0005-0000-0000-00002A140000}"/>
    <cellStyle name="Remarque 2 2 2 5 7 4 2" xfId="31167" xr:uid="{00000000-0005-0000-0000-00002B140000}"/>
    <cellStyle name="Remarque 2 2 2 5 7 4 2 2" xfId="55127" xr:uid="{00000000-0005-0000-0000-00002C140000}"/>
    <cellStyle name="Remarque 2 2 2 5 7 4 3" xfId="18414" xr:uid="{00000000-0005-0000-0000-00002D140000}"/>
    <cellStyle name="Remarque 2 2 2 5 7 4 4" xfId="42374" xr:uid="{00000000-0005-0000-0000-00002E140000}"/>
    <cellStyle name="Remarque 2 2 2 5 7 5" xfId="8541" xr:uid="{00000000-0005-0000-0000-00002F140000}"/>
    <cellStyle name="Remarque 2 2 2 5 7 5 2" xfId="32555" xr:uid="{00000000-0005-0000-0000-000030140000}"/>
    <cellStyle name="Remarque 2 2 2 5 7 5 2 2" xfId="56515" xr:uid="{00000000-0005-0000-0000-000031140000}"/>
    <cellStyle name="Remarque 2 2 2 5 7 5 3" xfId="19802" xr:uid="{00000000-0005-0000-0000-000032140000}"/>
    <cellStyle name="Remarque 2 2 2 5 7 5 4" xfId="43762" xr:uid="{00000000-0005-0000-0000-000033140000}"/>
    <cellStyle name="Remarque 2 2 2 5 7 6" xfId="9926" xr:uid="{00000000-0005-0000-0000-000034140000}"/>
    <cellStyle name="Remarque 2 2 2 5 7 6 2" xfId="33940" xr:uid="{00000000-0005-0000-0000-000035140000}"/>
    <cellStyle name="Remarque 2 2 2 5 7 6 2 2" xfId="57900" xr:uid="{00000000-0005-0000-0000-000036140000}"/>
    <cellStyle name="Remarque 2 2 2 5 7 6 3" xfId="21187" xr:uid="{00000000-0005-0000-0000-000037140000}"/>
    <cellStyle name="Remarque 2 2 2 5 7 6 4" xfId="45147" xr:uid="{00000000-0005-0000-0000-000038140000}"/>
    <cellStyle name="Remarque 2 2 2 5 7 7" xfId="11383" xr:uid="{00000000-0005-0000-0000-000039140000}"/>
    <cellStyle name="Remarque 2 2 2 5 7 7 2" xfId="35393" xr:uid="{00000000-0005-0000-0000-00003A140000}"/>
    <cellStyle name="Remarque 2 2 2 5 7 7 2 2" xfId="59353" xr:uid="{00000000-0005-0000-0000-00003B140000}"/>
    <cellStyle name="Remarque 2 2 2 5 7 7 3" xfId="22650" xr:uid="{00000000-0005-0000-0000-00003C140000}"/>
    <cellStyle name="Remarque 2 2 2 5 7 7 4" xfId="46610" xr:uid="{00000000-0005-0000-0000-00003D140000}"/>
    <cellStyle name="Remarque 2 2 2 5 7 8" xfId="12273" xr:uid="{00000000-0005-0000-0000-00003E140000}"/>
    <cellStyle name="Remarque 2 2 2 5 7 8 2" xfId="23559" xr:uid="{00000000-0005-0000-0000-00003F140000}"/>
    <cellStyle name="Remarque 2 2 2 5 7 8 3" xfId="47519" xr:uid="{00000000-0005-0000-0000-000040140000}"/>
    <cellStyle name="Remarque 2 2 2 5 7 9" xfId="2855" xr:uid="{00000000-0005-0000-0000-000041140000}"/>
    <cellStyle name="Remarque 2 2 2 5 7 9 2" xfId="26869" xr:uid="{00000000-0005-0000-0000-000042140000}"/>
    <cellStyle name="Remarque 2 2 2 5 7 9 3" xfId="50829" xr:uid="{00000000-0005-0000-0000-000043140000}"/>
    <cellStyle name="Remarque 2 2 2 5 8" xfId="3274" xr:uid="{00000000-0005-0000-0000-000044140000}"/>
    <cellStyle name="Remarque 2 2 2 5 8 2" xfId="27288" xr:uid="{00000000-0005-0000-0000-000045140000}"/>
    <cellStyle name="Remarque 2 2 2 5 8 2 2" xfId="51248" xr:uid="{00000000-0005-0000-0000-000046140000}"/>
    <cellStyle name="Remarque 2 2 2 5 8 3" xfId="14535" xr:uid="{00000000-0005-0000-0000-000047140000}"/>
    <cellStyle name="Remarque 2 2 2 5 8 4" xfId="38495" xr:uid="{00000000-0005-0000-0000-000048140000}"/>
    <cellStyle name="Remarque 2 2 2 5 9" xfId="4708" xr:uid="{00000000-0005-0000-0000-000049140000}"/>
    <cellStyle name="Remarque 2 2 2 5 9 2" xfId="28722" xr:uid="{00000000-0005-0000-0000-00004A140000}"/>
    <cellStyle name="Remarque 2 2 2 5 9 2 2" xfId="52682" xr:uid="{00000000-0005-0000-0000-00004B140000}"/>
    <cellStyle name="Remarque 2 2 2 5 9 3" xfId="15969" xr:uid="{00000000-0005-0000-0000-00004C140000}"/>
    <cellStyle name="Remarque 2 2 2 5 9 4" xfId="39929" xr:uid="{00000000-0005-0000-0000-00004D140000}"/>
    <cellStyle name="Remarque 2 2 2 6" xfId="305" xr:uid="{00000000-0005-0000-0000-00004E140000}"/>
    <cellStyle name="Remarque 2 2 2 6 10" xfId="24337" xr:uid="{00000000-0005-0000-0000-00004F140000}"/>
    <cellStyle name="Remarque 2 2 2 6 10 2" xfId="48297" xr:uid="{00000000-0005-0000-0000-000050140000}"/>
    <cellStyle name="Remarque 2 2 2 6 11" xfId="34209" xr:uid="{00000000-0005-0000-0000-000051140000}"/>
    <cellStyle name="Remarque 2 2 2 6 11 2" xfId="58169" xr:uid="{00000000-0005-0000-0000-000052140000}"/>
    <cellStyle name="Remarque 2 2 2 6 12" xfId="13002" xr:uid="{00000000-0005-0000-0000-000053140000}"/>
    <cellStyle name="Remarque 2 2 2 6 13" xfId="36962" xr:uid="{00000000-0005-0000-0000-000054140000}"/>
    <cellStyle name="Remarque 2 2 2 6 2" xfId="3211" xr:uid="{00000000-0005-0000-0000-000055140000}"/>
    <cellStyle name="Remarque 2 2 2 6 2 2" xfId="27225" xr:uid="{00000000-0005-0000-0000-000056140000}"/>
    <cellStyle name="Remarque 2 2 2 6 2 2 2" xfId="51185" xr:uid="{00000000-0005-0000-0000-000057140000}"/>
    <cellStyle name="Remarque 2 2 2 6 2 3" xfId="14472" xr:uid="{00000000-0005-0000-0000-000058140000}"/>
    <cellStyle name="Remarque 2 2 2 6 2 4" xfId="38432" xr:uid="{00000000-0005-0000-0000-000059140000}"/>
    <cellStyle name="Remarque 2 2 2 6 3" xfId="4645" xr:uid="{00000000-0005-0000-0000-00005A140000}"/>
    <cellStyle name="Remarque 2 2 2 6 3 2" xfId="28659" xr:uid="{00000000-0005-0000-0000-00005B140000}"/>
    <cellStyle name="Remarque 2 2 2 6 3 2 2" xfId="52619" xr:uid="{00000000-0005-0000-0000-00005C140000}"/>
    <cellStyle name="Remarque 2 2 2 6 3 3" xfId="15906" xr:uid="{00000000-0005-0000-0000-00005D140000}"/>
    <cellStyle name="Remarque 2 2 2 6 3 4" xfId="39866" xr:uid="{00000000-0005-0000-0000-00005E140000}"/>
    <cellStyle name="Remarque 2 2 2 6 4" xfId="6039" xr:uid="{00000000-0005-0000-0000-00005F140000}"/>
    <cellStyle name="Remarque 2 2 2 6 4 2" xfId="30053" xr:uid="{00000000-0005-0000-0000-000060140000}"/>
    <cellStyle name="Remarque 2 2 2 6 4 2 2" xfId="54013" xr:uid="{00000000-0005-0000-0000-000061140000}"/>
    <cellStyle name="Remarque 2 2 2 6 4 3" xfId="17300" xr:uid="{00000000-0005-0000-0000-000062140000}"/>
    <cellStyle name="Remarque 2 2 2 6 4 4" xfId="41260" xr:uid="{00000000-0005-0000-0000-000063140000}"/>
    <cellStyle name="Remarque 2 2 2 6 5" xfId="7427" xr:uid="{00000000-0005-0000-0000-000064140000}"/>
    <cellStyle name="Remarque 2 2 2 6 5 2" xfId="31441" xr:uid="{00000000-0005-0000-0000-000065140000}"/>
    <cellStyle name="Remarque 2 2 2 6 5 2 2" xfId="55401" xr:uid="{00000000-0005-0000-0000-000066140000}"/>
    <cellStyle name="Remarque 2 2 2 6 5 3" xfId="18688" xr:uid="{00000000-0005-0000-0000-000067140000}"/>
    <cellStyle name="Remarque 2 2 2 6 5 4" xfId="42648" xr:uid="{00000000-0005-0000-0000-000068140000}"/>
    <cellStyle name="Remarque 2 2 2 6 6" xfId="8812" xr:uid="{00000000-0005-0000-0000-000069140000}"/>
    <cellStyle name="Remarque 2 2 2 6 6 2" xfId="32826" xr:uid="{00000000-0005-0000-0000-00006A140000}"/>
    <cellStyle name="Remarque 2 2 2 6 6 2 2" xfId="56786" xr:uid="{00000000-0005-0000-0000-00006B140000}"/>
    <cellStyle name="Remarque 2 2 2 6 6 3" xfId="20073" xr:uid="{00000000-0005-0000-0000-00006C140000}"/>
    <cellStyle name="Remarque 2 2 2 6 6 4" xfId="44033" xr:uid="{00000000-0005-0000-0000-00006D140000}"/>
    <cellStyle name="Remarque 2 2 2 6 7" xfId="10269" xr:uid="{00000000-0005-0000-0000-00006E140000}"/>
    <cellStyle name="Remarque 2 2 2 6 7 2" xfId="34279" xr:uid="{00000000-0005-0000-0000-00006F140000}"/>
    <cellStyle name="Remarque 2 2 2 6 7 2 2" xfId="58239" xr:uid="{00000000-0005-0000-0000-000070140000}"/>
    <cellStyle name="Remarque 2 2 2 6 7 3" xfId="21536" xr:uid="{00000000-0005-0000-0000-000071140000}"/>
    <cellStyle name="Remarque 2 2 2 6 7 4" xfId="45496" xr:uid="{00000000-0005-0000-0000-000072140000}"/>
    <cellStyle name="Remarque 2 2 2 6 8" xfId="12264" xr:uid="{00000000-0005-0000-0000-000073140000}"/>
    <cellStyle name="Remarque 2 2 2 6 8 2" xfId="23550" xr:uid="{00000000-0005-0000-0000-000074140000}"/>
    <cellStyle name="Remarque 2 2 2 6 8 3" xfId="47510" xr:uid="{00000000-0005-0000-0000-000075140000}"/>
    <cellStyle name="Remarque 2 2 2 6 9" xfId="1741" xr:uid="{00000000-0005-0000-0000-000076140000}"/>
    <cellStyle name="Remarque 2 2 2 6 9 2" xfId="25755" xr:uid="{00000000-0005-0000-0000-000077140000}"/>
    <cellStyle name="Remarque 2 2 2 6 9 3" xfId="49715" xr:uid="{00000000-0005-0000-0000-000078140000}"/>
    <cellStyle name="Remarque 2 2 2 7" xfId="618" xr:uid="{00000000-0005-0000-0000-000079140000}"/>
    <cellStyle name="Remarque 2 2 2 7 10" xfId="24650" xr:uid="{00000000-0005-0000-0000-00007A140000}"/>
    <cellStyle name="Remarque 2 2 2 7 10 2" xfId="48610" xr:uid="{00000000-0005-0000-0000-00007B140000}"/>
    <cellStyle name="Remarque 2 2 2 7 11" xfId="35662" xr:uid="{00000000-0005-0000-0000-00007C140000}"/>
    <cellStyle name="Remarque 2 2 2 7 11 2" xfId="59622" xr:uid="{00000000-0005-0000-0000-00007D140000}"/>
    <cellStyle name="Remarque 2 2 2 7 12" xfId="13315" xr:uid="{00000000-0005-0000-0000-00007E140000}"/>
    <cellStyle name="Remarque 2 2 2 7 13" xfId="37275" xr:uid="{00000000-0005-0000-0000-00007F140000}"/>
    <cellStyle name="Remarque 2 2 2 7 2" xfId="3524" xr:uid="{00000000-0005-0000-0000-000080140000}"/>
    <cellStyle name="Remarque 2 2 2 7 2 2" xfId="27538" xr:uid="{00000000-0005-0000-0000-000081140000}"/>
    <cellStyle name="Remarque 2 2 2 7 2 2 2" xfId="51498" xr:uid="{00000000-0005-0000-0000-000082140000}"/>
    <cellStyle name="Remarque 2 2 2 7 2 3" xfId="14785" xr:uid="{00000000-0005-0000-0000-000083140000}"/>
    <cellStyle name="Remarque 2 2 2 7 2 4" xfId="38745" xr:uid="{00000000-0005-0000-0000-000084140000}"/>
    <cellStyle name="Remarque 2 2 2 7 3" xfId="4958" xr:uid="{00000000-0005-0000-0000-000085140000}"/>
    <cellStyle name="Remarque 2 2 2 7 3 2" xfId="28972" xr:uid="{00000000-0005-0000-0000-000086140000}"/>
    <cellStyle name="Remarque 2 2 2 7 3 2 2" xfId="52932" xr:uid="{00000000-0005-0000-0000-000087140000}"/>
    <cellStyle name="Remarque 2 2 2 7 3 3" xfId="16219" xr:uid="{00000000-0005-0000-0000-000088140000}"/>
    <cellStyle name="Remarque 2 2 2 7 3 4" xfId="40179" xr:uid="{00000000-0005-0000-0000-000089140000}"/>
    <cellStyle name="Remarque 2 2 2 7 4" xfId="6352" xr:uid="{00000000-0005-0000-0000-00008A140000}"/>
    <cellStyle name="Remarque 2 2 2 7 4 2" xfId="30366" xr:uid="{00000000-0005-0000-0000-00008B140000}"/>
    <cellStyle name="Remarque 2 2 2 7 4 2 2" xfId="54326" xr:uid="{00000000-0005-0000-0000-00008C140000}"/>
    <cellStyle name="Remarque 2 2 2 7 4 3" xfId="17613" xr:uid="{00000000-0005-0000-0000-00008D140000}"/>
    <cellStyle name="Remarque 2 2 2 7 4 4" xfId="41573" xr:uid="{00000000-0005-0000-0000-00008E140000}"/>
    <cellStyle name="Remarque 2 2 2 7 5" xfId="7740" xr:uid="{00000000-0005-0000-0000-00008F140000}"/>
    <cellStyle name="Remarque 2 2 2 7 5 2" xfId="31754" xr:uid="{00000000-0005-0000-0000-000090140000}"/>
    <cellStyle name="Remarque 2 2 2 7 5 2 2" xfId="55714" xr:uid="{00000000-0005-0000-0000-000091140000}"/>
    <cellStyle name="Remarque 2 2 2 7 5 3" xfId="19001" xr:uid="{00000000-0005-0000-0000-000092140000}"/>
    <cellStyle name="Remarque 2 2 2 7 5 4" xfId="42961" xr:uid="{00000000-0005-0000-0000-000093140000}"/>
    <cellStyle name="Remarque 2 2 2 7 6" xfId="9125" xr:uid="{00000000-0005-0000-0000-000094140000}"/>
    <cellStyle name="Remarque 2 2 2 7 6 2" xfId="33139" xr:uid="{00000000-0005-0000-0000-000095140000}"/>
    <cellStyle name="Remarque 2 2 2 7 6 2 2" xfId="57099" xr:uid="{00000000-0005-0000-0000-000096140000}"/>
    <cellStyle name="Remarque 2 2 2 7 6 3" xfId="20386" xr:uid="{00000000-0005-0000-0000-000097140000}"/>
    <cellStyle name="Remarque 2 2 2 7 6 4" xfId="44346" xr:uid="{00000000-0005-0000-0000-000098140000}"/>
    <cellStyle name="Remarque 2 2 2 7 7" xfId="10582" xr:uid="{00000000-0005-0000-0000-000099140000}"/>
    <cellStyle name="Remarque 2 2 2 7 7 2" xfId="34592" xr:uid="{00000000-0005-0000-0000-00009A140000}"/>
    <cellStyle name="Remarque 2 2 2 7 7 2 2" xfId="58552" xr:uid="{00000000-0005-0000-0000-00009B140000}"/>
    <cellStyle name="Remarque 2 2 2 7 7 3" xfId="21849" xr:uid="{00000000-0005-0000-0000-00009C140000}"/>
    <cellStyle name="Remarque 2 2 2 7 7 4" xfId="45809" xr:uid="{00000000-0005-0000-0000-00009D140000}"/>
    <cellStyle name="Remarque 2 2 2 7 8" xfId="11983" xr:uid="{00000000-0005-0000-0000-00009E140000}"/>
    <cellStyle name="Remarque 2 2 2 7 8 2" xfId="23261" xr:uid="{00000000-0005-0000-0000-00009F140000}"/>
    <cellStyle name="Remarque 2 2 2 7 8 3" xfId="47221" xr:uid="{00000000-0005-0000-0000-0000A0140000}"/>
    <cellStyle name="Remarque 2 2 2 7 9" xfId="2054" xr:uid="{00000000-0005-0000-0000-0000A1140000}"/>
    <cellStyle name="Remarque 2 2 2 7 9 2" xfId="26068" xr:uid="{00000000-0005-0000-0000-0000A2140000}"/>
    <cellStyle name="Remarque 2 2 2 7 9 3" xfId="50028" xr:uid="{00000000-0005-0000-0000-0000A3140000}"/>
    <cellStyle name="Remarque 2 2 2 8" xfId="812" xr:uid="{00000000-0005-0000-0000-0000A4140000}"/>
    <cellStyle name="Remarque 2 2 2 8 10" xfId="24844" xr:uid="{00000000-0005-0000-0000-0000A5140000}"/>
    <cellStyle name="Remarque 2 2 2 8 10 2" xfId="48804" xr:uid="{00000000-0005-0000-0000-0000A6140000}"/>
    <cellStyle name="Remarque 2 2 2 8 11" xfId="36415" xr:uid="{00000000-0005-0000-0000-0000A7140000}"/>
    <cellStyle name="Remarque 2 2 2 8 11 2" xfId="60375" xr:uid="{00000000-0005-0000-0000-0000A8140000}"/>
    <cellStyle name="Remarque 2 2 2 8 12" xfId="13509" xr:uid="{00000000-0005-0000-0000-0000A9140000}"/>
    <cellStyle name="Remarque 2 2 2 8 13" xfId="37469" xr:uid="{00000000-0005-0000-0000-0000AA140000}"/>
    <cellStyle name="Remarque 2 2 2 8 2" xfId="3718" xr:uid="{00000000-0005-0000-0000-0000AB140000}"/>
    <cellStyle name="Remarque 2 2 2 8 2 2" xfId="27732" xr:uid="{00000000-0005-0000-0000-0000AC140000}"/>
    <cellStyle name="Remarque 2 2 2 8 2 2 2" xfId="51692" xr:uid="{00000000-0005-0000-0000-0000AD140000}"/>
    <cellStyle name="Remarque 2 2 2 8 2 3" xfId="14979" xr:uid="{00000000-0005-0000-0000-0000AE140000}"/>
    <cellStyle name="Remarque 2 2 2 8 2 4" xfId="38939" xr:uid="{00000000-0005-0000-0000-0000AF140000}"/>
    <cellStyle name="Remarque 2 2 2 8 3" xfId="5152" xr:uid="{00000000-0005-0000-0000-0000B0140000}"/>
    <cellStyle name="Remarque 2 2 2 8 3 2" xfId="29166" xr:uid="{00000000-0005-0000-0000-0000B1140000}"/>
    <cellStyle name="Remarque 2 2 2 8 3 2 2" xfId="53126" xr:uid="{00000000-0005-0000-0000-0000B2140000}"/>
    <cellStyle name="Remarque 2 2 2 8 3 3" xfId="16413" xr:uid="{00000000-0005-0000-0000-0000B3140000}"/>
    <cellStyle name="Remarque 2 2 2 8 3 4" xfId="40373" xr:uid="{00000000-0005-0000-0000-0000B4140000}"/>
    <cellStyle name="Remarque 2 2 2 8 4" xfId="6546" xr:uid="{00000000-0005-0000-0000-0000B5140000}"/>
    <cellStyle name="Remarque 2 2 2 8 4 2" xfId="30560" xr:uid="{00000000-0005-0000-0000-0000B6140000}"/>
    <cellStyle name="Remarque 2 2 2 8 4 2 2" xfId="54520" xr:uid="{00000000-0005-0000-0000-0000B7140000}"/>
    <cellStyle name="Remarque 2 2 2 8 4 3" xfId="17807" xr:uid="{00000000-0005-0000-0000-0000B8140000}"/>
    <cellStyle name="Remarque 2 2 2 8 4 4" xfId="41767" xr:uid="{00000000-0005-0000-0000-0000B9140000}"/>
    <cellStyle name="Remarque 2 2 2 8 5" xfId="7934" xr:uid="{00000000-0005-0000-0000-0000BA140000}"/>
    <cellStyle name="Remarque 2 2 2 8 5 2" xfId="31948" xr:uid="{00000000-0005-0000-0000-0000BB140000}"/>
    <cellStyle name="Remarque 2 2 2 8 5 2 2" xfId="55908" xr:uid="{00000000-0005-0000-0000-0000BC140000}"/>
    <cellStyle name="Remarque 2 2 2 8 5 3" xfId="19195" xr:uid="{00000000-0005-0000-0000-0000BD140000}"/>
    <cellStyle name="Remarque 2 2 2 8 5 4" xfId="43155" xr:uid="{00000000-0005-0000-0000-0000BE140000}"/>
    <cellStyle name="Remarque 2 2 2 8 6" xfId="9319" xr:uid="{00000000-0005-0000-0000-0000BF140000}"/>
    <cellStyle name="Remarque 2 2 2 8 6 2" xfId="33333" xr:uid="{00000000-0005-0000-0000-0000C0140000}"/>
    <cellStyle name="Remarque 2 2 2 8 6 2 2" xfId="57293" xr:uid="{00000000-0005-0000-0000-0000C1140000}"/>
    <cellStyle name="Remarque 2 2 2 8 6 3" xfId="20580" xr:uid="{00000000-0005-0000-0000-0000C2140000}"/>
    <cellStyle name="Remarque 2 2 2 8 6 4" xfId="44540" xr:uid="{00000000-0005-0000-0000-0000C3140000}"/>
    <cellStyle name="Remarque 2 2 2 8 7" xfId="10776" xr:uid="{00000000-0005-0000-0000-0000C4140000}"/>
    <cellStyle name="Remarque 2 2 2 8 7 2" xfId="34786" xr:uid="{00000000-0005-0000-0000-0000C5140000}"/>
    <cellStyle name="Remarque 2 2 2 8 7 2 2" xfId="58746" xr:uid="{00000000-0005-0000-0000-0000C6140000}"/>
    <cellStyle name="Remarque 2 2 2 8 7 3" xfId="22043" xr:uid="{00000000-0005-0000-0000-0000C7140000}"/>
    <cellStyle name="Remarque 2 2 2 8 7 4" xfId="46003" xr:uid="{00000000-0005-0000-0000-0000C8140000}"/>
    <cellStyle name="Remarque 2 2 2 8 8" xfId="11667" xr:uid="{00000000-0005-0000-0000-0000C9140000}"/>
    <cellStyle name="Remarque 2 2 2 8 8 2" xfId="22935" xr:uid="{00000000-0005-0000-0000-0000CA140000}"/>
    <cellStyle name="Remarque 2 2 2 8 8 3" xfId="46895" xr:uid="{00000000-0005-0000-0000-0000CB140000}"/>
    <cellStyle name="Remarque 2 2 2 8 9" xfId="2248" xr:uid="{00000000-0005-0000-0000-0000CC140000}"/>
    <cellStyle name="Remarque 2 2 2 8 9 2" xfId="26262" xr:uid="{00000000-0005-0000-0000-0000CD140000}"/>
    <cellStyle name="Remarque 2 2 2 8 9 3" xfId="50222" xr:uid="{00000000-0005-0000-0000-0000CE140000}"/>
    <cellStyle name="Remarque 2 2 2 9" xfId="1006" xr:uid="{00000000-0005-0000-0000-0000CF140000}"/>
    <cellStyle name="Remarque 2 2 2 9 10" xfId="25038" xr:uid="{00000000-0005-0000-0000-0000D0140000}"/>
    <cellStyle name="Remarque 2 2 2 9 10 2" xfId="48998" xr:uid="{00000000-0005-0000-0000-0000D1140000}"/>
    <cellStyle name="Remarque 2 2 2 9 11" xfId="35733" xr:uid="{00000000-0005-0000-0000-0000D2140000}"/>
    <cellStyle name="Remarque 2 2 2 9 11 2" xfId="59693" xr:uid="{00000000-0005-0000-0000-0000D3140000}"/>
    <cellStyle name="Remarque 2 2 2 9 12" xfId="13703" xr:uid="{00000000-0005-0000-0000-0000D4140000}"/>
    <cellStyle name="Remarque 2 2 2 9 13" xfId="37663" xr:uid="{00000000-0005-0000-0000-0000D5140000}"/>
    <cellStyle name="Remarque 2 2 2 9 2" xfId="3912" xr:uid="{00000000-0005-0000-0000-0000D6140000}"/>
    <cellStyle name="Remarque 2 2 2 9 2 2" xfId="27926" xr:uid="{00000000-0005-0000-0000-0000D7140000}"/>
    <cellStyle name="Remarque 2 2 2 9 2 2 2" xfId="51886" xr:uid="{00000000-0005-0000-0000-0000D8140000}"/>
    <cellStyle name="Remarque 2 2 2 9 2 3" xfId="15173" xr:uid="{00000000-0005-0000-0000-0000D9140000}"/>
    <cellStyle name="Remarque 2 2 2 9 2 4" xfId="39133" xr:uid="{00000000-0005-0000-0000-0000DA140000}"/>
    <cellStyle name="Remarque 2 2 2 9 3" xfId="5346" xr:uid="{00000000-0005-0000-0000-0000DB140000}"/>
    <cellStyle name="Remarque 2 2 2 9 3 2" xfId="29360" xr:uid="{00000000-0005-0000-0000-0000DC140000}"/>
    <cellStyle name="Remarque 2 2 2 9 3 2 2" xfId="53320" xr:uid="{00000000-0005-0000-0000-0000DD140000}"/>
    <cellStyle name="Remarque 2 2 2 9 3 3" xfId="16607" xr:uid="{00000000-0005-0000-0000-0000DE140000}"/>
    <cellStyle name="Remarque 2 2 2 9 3 4" xfId="40567" xr:uid="{00000000-0005-0000-0000-0000DF140000}"/>
    <cellStyle name="Remarque 2 2 2 9 4" xfId="6740" xr:uid="{00000000-0005-0000-0000-0000E0140000}"/>
    <cellStyle name="Remarque 2 2 2 9 4 2" xfId="30754" xr:uid="{00000000-0005-0000-0000-0000E1140000}"/>
    <cellStyle name="Remarque 2 2 2 9 4 2 2" xfId="54714" xr:uid="{00000000-0005-0000-0000-0000E2140000}"/>
    <cellStyle name="Remarque 2 2 2 9 4 3" xfId="18001" xr:uid="{00000000-0005-0000-0000-0000E3140000}"/>
    <cellStyle name="Remarque 2 2 2 9 4 4" xfId="41961" xr:uid="{00000000-0005-0000-0000-0000E4140000}"/>
    <cellStyle name="Remarque 2 2 2 9 5" xfId="8128" xr:uid="{00000000-0005-0000-0000-0000E5140000}"/>
    <cellStyle name="Remarque 2 2 2 9 5 2" xfId="32142" xr:uid="{00000000-0005-0000-0000-0000E6140000}"/>
    <cellStyle name="Remarque 2 2 2 9 5 2 2" xfId="56102" xr:uid="{00000000-0005-0000-0000-0000E7140000}"/>
    <cellStyle name="Remarque 2 2 2 9 5 3" xfId="19389" xr:uid="{00000000-0005-0000-0000-0000E8140000}"/>
    <cellStyle name="Remarque 2 2 2 9 5 4" xfId="43349" xr:uid="{00000000-0005-0000-0000-0000E9140000}"/>
    <cellStyle name="Remarque 2 2 2 9 6" xfId="9513" xr:uid="{00000000-0005-0000-0000-0000EA140000}"/>
    <cellStyle name="Remarque 2 2 2 9 6 2" xfId="33527" xr:uid="{00000000-0005-0000-0000-0000EB140000}"/>
    <cellStyle name="Remarque 2 2 2 9 6 2 2" xfId="57487" xr:uid="{00000000-0005-0000-0000-0000EC140000}"/>
    <cellStyle name="Remarque 2 2 2 9 6 3" xfId="20774" xr:uid="{00000000-0005-0000-0000-0000ED140000}"/>
    <cellStyle name="Remarque 2 2 2 9 6 4" xfId="44734" xr:uid="{00000000-0005-0000-0000-0000EE140000}"/>
    <cellStyle name="Remarque 2 2 2 9 7" xfId="10970" xr:uid="{00000000-0005-0000-0000-0000EF140000}"/>
    <cellStyle name="Remarque 2 2 2 9 7 2" xfId="34980" xr:uid="{00000000-0005-0000-0000-0000F0140000}"/>
    <cellStyle name="Remarque 2 2 2 9 7 2 2" xfId="58940" xr:uid="{00000000-0005-0000-0000-0000F1140000}"/>
    <cellStyle name="Remarque 2 2 2 9 7 3" xfId="22237" xr:uid="{00000000-0005-0000-0000-0000F2140000}"/>
    <cellStyle name="Remarque 2 2 2 9 7 4" xfId="46197" xr:uid="{00000000-0005-0000-0000-0000F3140000}"/>
    <cellStyle name="Remarque 2 2 2 9 8" xfId="11584" xr:uid="{00000000-0005-0000-0000-0000F4140000}"/>
    <cellStyle name="Remarque 2 2 2 9 8 2" xfId="22851" xr:uid="{00000000-0005-0000-0000-0000F5140000}"/>
    <cellStyle name="Remarque 2 2 2 9 8 3" xfId="46811" xr:uid="{00000000-0005-0000-0000-0000F6140000}"/>
    <cellStyle name="Remarque 2 2 2 9 9" xfId="2442" xr:uid="{00000000-0005-0000-0000-0000F7140000}"/>
    <cellStyle name="Remarque 2 2 2 9 9 2" xfId="26456" xr:uid="{00000000-0005-0000-0000-0000F8140000}"/>
    <cellStyle name="Remarque 2 2 2 9 9 3" xfId="50416" xr:uid="{00000000-0005-0000-0000-0000F9140000}"/>
    <cellStyle name="Remarque 2 2 3" xfId="40" xr:uid="{00000000-0005-0000-0000-0000FA140000}"/>
    <cellStyle name="Remarque 2 2 3 10" xfId="315" xr:uid="{00000000-0005-0000-0000-0000FB140000}"/>
    <cellStyle name="Remarque 2 2 3 10 10" xfId="24347" xr:uid="{00000000-0005-0000-0000-0000FC140000}"/>
    <cellStyle name="Remarque 2 2 3 10 10 2" xfId="48307" xr:uid="{00000000-0005-0000-0000-0000FD140000}"/>
    <cellStyle name="Remarque 2 2 3 10 11" xfId="36093" xr:uid="{00000000-0005-0000-0000-0000FE140000}"/>
    <cellStyle name="Remarque 2 2 3 10 11 2" xfId="60053" xr:uid="{00000000-0005-0000-0000-0000FF140000}"/>
    <cellStyle name="Remarque 2 2 3 10 12" xfId="13012" xr:uid="{00000000-0005-0000-0000-000000150000}"/>
    <cellStyle name="Remarque 2 2 3 10 13" xfId="36972" xr:uid="{00000000-0005-0000-0000-000001150000}"/>
    <cellStyle name="Remarque 2 2 3 10 2" xfId="3221" xr:uid="{00000000-0005-0000-0000-000002150000}"/>
    <cellStyle name="Remarque 2 2 3 10 2 2" xfId="27235" xr:uid="{00000000-0005-0000-0000-000003150000}"/>
    <cellStyle name="Remarque 2 2 3 10 2 2 2" xfId="51195" xr:uid="{00000000-0005-0000-0000-000004150000}"/>
    <cellStyle name="Remarque 2 2 3 10 2 3" xfId="14482" xr:uid="{00000000-0005-0000-0000-000005150000}"/>
    <cellStyle name="Remarque 2 2 3 10 2 4" xfId="38442" xr:uid="{00000000-0005-0000-0000-000006150000}"/>
    <cellStyle name="Remarque 2 2 3 10 3" xfId="4655" xr:uid="{00000000-0005-0000-0000-000007150000}"/>
    <cellStyle name="Remarque 2 2 3 10 3 2" xfId="28669" xr:uid="{00000000-0005-0000-0000-000008150000}"/>
    <cellStyle name="Remarque 2 2 3 10 3 2 2" xfId="52629" xr:uid="{00000000-0005-0000-0000-000009150000}"/>
    <cellStyle name="Remarque 2 2 3 10 3 3" xfId="15916" xr:uid="{00000000-0005-0000-0000-00000A150000}"/>
    <cellStyle name="Remarque 2 2 3 10 3 4" xfId="39876" xr:uid="{00000000-0005-0000-0000-00000B150000}"/>
    <cellStyle name="Remarque 2 2 3 10 4" xfId="6049" xr:uid="{00000000-0005-0000-0000-00000C150000}"/>
    <cellStyle name="Remarque 2 2 3 10 4 2" xfId="30063" xr:uid="{00000000-0005-0000-0000-00000D150000}"/>
    <cellStyle name="Remarque 2 2 3 10 4 2 2" xfId="54023" xr:uid="{00000000-0005-0000-0000-00000E150000}"/>
    <cellStyle name="Remarque 2 2 3 10 4 3" xfId="17310" xr:uid="{00000000-0005-0000-0000-00000F150000}"/>
    <cellStyle name="Remarque 2 2 3 10 4 4" xfId="41270" xr:uid="{00000000-0005-0000-0000-000010150000}"/>
    <cellStyle name="Remarque 2 2 3 10 5" xfId="7437" xr:uid="{00000000-0005-0000-0000-000011150000}"/>
    <cellStyle name="Remarque 2 2 3 10 5 2" xfId="31451" xr:uid="{00000000-0005-0000-0000-000012150000}"/>
    <cellStyle name="Remarque 2 2 3 10 5 2 2" xfId="55411" xr:uid="{00000000-0005-0000-0000-000013150000}"/>
    <cellStyle name="Remarque 2 2 3 10 5 3" xfId="18698" xr:uid="{00000000-0005-0000-0000-000014150000}"/>
    <cellStyle name="Remarque 2 2 3 10 5 4" xfId="42658" xr:uid="{00000000-0005-0000-0000-000015150000}"/>
    <cellStyle name="Remarque 2 2 3 10 6" xfId="8822" xr:uid="{00000000-0005-0000-0000-000016150000}"/>
    <cellStyle name="Remarque 2 2 3 10 6 2" xfId="32836" xr:uid="{00000000-0005-0000-0000-000017150000}"/>
    <cellStyle name="Remarque 2 2 3 10 6 2 2" xfId="56796" xr:uid="{00000000-0005-0000-0000-000018150000}"/>
    <cellStyle name="Remarque 2 2 3 10 6 3" xfId="20083" xr:uid="{00000000-0005-0000-0000-000019150000}"/>
    <cellStyle name="Remarque 2 2 3 10 6 4" xfId="44043" xr:uid="{00000000-0005-0000-0000-00001A150000}"/>
    <cellStyle name="Remarque 2 2 3 10 7" xfId="10279" xr:uid="{00000000-0005-0000-0000-00001B150000}"/>
    <cellStyle name="Remarque 2 2 3 10 7 2" xfId="34289" xr:uid="{00000000-0005-0000-0000-00001C150000}"/>
    <cellStyle name="Remarque 2 2 3 10 7 2 2" xfId="58249" xr:uid="{00000000-0005-0000-0000-00001D150000}"/>
    <cellStyle name="Remarque 2 2 3 10 7 3" xfId="21546" xr:uid="{00000000-0005-0000-0000-00001E150000}"/>
    <cellStyle name="Remarque 2 2 3 10 7 4" xfId="45506" xr:uid="{00000000-0005-0000-0000-00001F150000}"/>
    <cellStyle name="Remarque 2 2 3 10 8" xfId="11719" xr:uid="{00000000-0005-0000-0000-000020150000}"/>
    <cellStyle name="Remarque 2 2 3 10 8 2" xfId="22990" xr:uid="{00000000-0005-0000-0000-000021150000}"/>
    <cellStyle name="Remarque 2 2 3 10 8 3" xfId="46950" xr:uid="{00000000-0005-0000-0000-000022150000}"/>
    <cellStyle name="Remarque 2 2 3 10 9" xfId="1751" xr:uid="{00000000-0005-0000-0000-000023150000}"/>
    <cellStyle name="Remarque 2 2 3 10 9 2" xfId="25765" xr:uid="{00000000-0005-0000-0000-000024150000}"/>
    <cellStyle name="Remarque 2 2 3 10 9 3" xfId="49725" xr:uid="{00000000-0005-0000-0000-000025150000}"/>
    <cellStyle name="Remarque 2 2 3 11" xfId="1555" xr:uid="{00000000-0005-0000-0000-000026150000}"/>
    <cellStyle name="Remarque 2 2 3 11 10" xfId="25587" xr:uid="{00000000-0005-0000-0000-000027150000}"/>
    <cellStyle name="Remarque 2 2 3 11 10 2" xfId="49547" xr:uid="{00000000-0005-0000-0000-000028150000}"/>
    <cellStyle name="Remarque 2 2 3 11 11" xfId="35670" xr:uid="{00000000-0005-0000-0000-000029150000}"/>
    <cellStyle name="Remarque 2 2 3 11 11 2" xfId="59630" xr:uid="{00000000-0005-0000-0000-00002A150000}"/>
    <cellStyle name="Remarque 2 2 3 11 12" xfId="14252" xr:uid="{00000000-0005-0000-0000-00002B150000}"/>
    <cellStyle name="Remarque 2 2 3 11 13" xfId="38212" xr:uid="{00000000-0005-0000-0000-00002C150000}"/>
    <cellStyle name="Remarque 2 2 3 11 2" xfId="4461" xr:uid="{00000000-0005-0000-0000-00002D150000}"/>
    <cellStyle name="Remarque 2 2 3 11 2 2" xfId="28475" xr:uid="{00000000-0005-0000-0000-00002E150000}"/>
    <cellStyle name="Remarque 2 2 3 11 2 2 2" xfId="52435" xr:uid="{00000000-0005-0000-0000-00002F150000}"/>
    <cellStyle name="Remarque 2 2 3 11 2 3" xfId="15722" xr:uid="{00000000-0005-0000-0000-000030150000}"/>
    <cellStyle name="Remarque 2 2 3 11 2 4" xfId="39682" xr:uid="{00000000-0005-0000-0000-000031150000}"/>
    <cellStyle name="Remarque 2 2 3 11 3" xfId="5895" xr:uid="{00000000-0005-0000-0000-000032150000}"/>
    <cellStyle name="Remarque 2 2 3 11 3 2" xfId="29909" xr:uid="{00000000-0005-0000-0000-000033150000}"/>
    <cellStyle name="Remarque 2 2 3 11 3 2 2" xfId="53869" xr:uid="{00000000-0005-0000-0000-000034150000}"/>
    <cellStyle name="Remarque 2 2 3 11 3 3" xfId="17156" xr:uid="{00000000-0005-0000-0000-000035150000}"/>
    <cellStyle name="Remarque 2 2 3 11 3 4" xfId="41116" xr:uid="{00000000-0005-0000-0000-000036150000}"/>
    <cellStyle name="Remarque 2 2 3 11 4" xfId="7289" xr:uid="{00000000-0005-0000-0000-000037150000}"/>
    <cellStyle name="Remarque 2 2 3 11 4 2" xfId="31303" xr:uid="{00000000-0005-0000-0000-000038150000}"/>
    <cellStyle name="Remarque 2 2 3 11 4 2 2" xfId="55263" xr:uid="{00000000-0005-0000-0000-000039150000}"/>
    <cellStyle name="Remarque 2 2 3 11 4 3" xfId="18550" xr:uid="{00000000-0005-0000-0000-00003A150000}"/>
    <cellStyle name="Remarque 2 2 3 11 4 4" xfId="42510" xr:uid="{00000000-0005-0000-0000-00003B150000}"/>
    <cellStyle name="Remarque 2 2 3 11 5" xfId="8677" xr:uid="{00000000-0005-0000-0000-00003C150000}"/>
    <cellStyle name="Remarque 2 2 3 11 5 2" xfId="32691" xr:uid="{00000000-0005-0000-0000-00003D150000}"/>
    <cellStyle name="Remarque 2 2 3 11 5 2 2" xfId="56651" xr:uid="{00000000-0005-0000-0000-00003E150000}"/>
    <cellStyle name="Remarque 2 2 3 11 5 3" xfId="19938" xr:uid="{00000000-0005-0000-0000-00003F150000}"/>
    <cellStyle name="Remarque 2 2 3 11 5 4" xfId="43898" xr:uid="{00000000-0005-0000-0000-000040150000}"/>
    <cellStyle name="Remarque 2 2 3 11 6" xfId="10062" xr:uid="{00000000-0005-0000-0000-000041150000}"/>
    <cellStyle name="Remarque 2 2 3 11 6 2" xfId="34076" xr:uid="{00000000-0005-0000-0000-000042150000}"/>
    <cellStyle name="Remarque 2 2 3 11 6 2 2" xfId="58036" xr:uid="{00000000-0005-0000-0000-000043150000}"/>
    <cellStyle name="Remarque 2 2 3 11 6 3" xfId="21323" xr:uid="{00000000-0005-0000-0000-000044150000}"/>
    <cellStyle name="Remarque 2 2 3 11 6 4" xfId="45283" xr:uid="{00000000-0005-0000-0000-000045150000}"/>
    <cellStyle name="Remarque 2 2 3 11 7" xfId="11519" xr:uid="{00000000-0005-0000-0000-000046150000}"/>
    <cellStyle name="Remarque 2 2 3 11 7 2" xfId="35529" xr:uid="{00000000-0005-0000-0000-000047150000}"/>
    <cellStyle name="Remarque 2 2 3 11 7 2 2" xfId="59489" xr:uid="{00000000-0005-0000-0000-000048150000}"/>
    <cellStyle name="Remarque 2 2 3 11 7 3" xfId="22786" xr:uid="{00000000-0005-0000-0000-000049150000}"/>
    <cellStyle name="Remarque 2 2 3 11 7 4" xfId="46746" xr:uid="{00000000-0005-0000-0000-00004A150000}"/>
    <cellStyle name="Remarque 2 2 3 11 8" xfId="11798" xr:uid="{00000000-0005-0000-0000-00004B150000}"/>
    <cellStyle name="Remarque 2 2 3 11 8 2" xfId="23072" xr:uid="{00000000-0005-0000-0000-00004C150000}"/>
    <cellStyle name="Remarque 2 2 3 11 8 3" xfId="47032" xr:uid="{00000000-0005-0000-0000-00004D150000}"/>
    <cellStyle name="Remarque 2 2 3 11 9" xfId="2991" xr:uid="{00000000-0005-0000-0000-00004E150000}"/>
    <cellStyle name="Remarque 2 2 3 11 9 2" xfId="27005" xr:uid="{00000000-0005-0000-0000-00004F150000}"/>
    <cellStyle name="Remarque 2 2 3 11 9 3" xfId="50965" xr:uid="{00000000-0005-0000-0000-000050150000}"/>
    <cellStyle name="Remarque 2 2 3 12" xfId="198" xr:uid="{00000000-0005-0000-0000-000051150000}"/>
    <cellStyle name="Remarque 2 2 3 12 10" xfId="35978" xr:uid="{00000000-0005-0000-0000-000052150000}"/>
    <cellStyle name="Remarque 2 2 3 12 10 2" xfId="59938" xr:uid="{00000000-0005-0000-0000-000053150000}"/>
    <cellStyle name="Remarque 2 2 3 12 11" xfId="14365" xr:uid="{00000000-0005-0000-0000-000054150000}"/>
    <cellStyle name="Remarque 2 2 3 12 12" xfId="38325" xr:uid="{00000000-0005-0000-0000-000055150000}"/>
    <cellStyle name="Remarque 2 2 3 12 2" xfId="4543" xr:uid="{00000000-0005-0000-0000-000056150000}"/>
    <cellStyle name="Remarque 2 2 3 12 2 2" xfId="28557" xr:uid="{00000000-0005-0000-0000-000057150000}"/>
    <cellStyle name="Remarque 2 2 3 12 2 2 2" xfId="52517" xr:uid="{00000000-0005-0000-0000-000058150000}"/>
    <cellStyle name="Remarque 2 2 3 12 2 3" xfId="15804" xr:uid="{00000000-0005-0000-0000-000059150000}"/>
    <cellStyle name="Remarque 2 2 3 12 2 4" xfId="39764" xr:uid="{00000000-0005-0000-0000-00005A150000}"/>
    <cellStyle name="Remarque 2 2 3 12 3" xfId="3052" xr:uid="{00000000-0005-0000-0000-00005B150000}"/>
    <cellStyle name="Remarque 2 2 3 12 3 2" xfId="27066" xr:uid="{00000000-0005-0000-0000-00005C150000}"/>
    <cellStyle name="Remarque 2 2 3 12 3 2 2" xfId="51026" xr:uid="{00000000-0005-0000-0000-00005D150000}"/>
    <cellStyle name="Remarque 2 2 3 12 3 3" xfId="14313" xr:uid="{00000000-0005-0000-0000-00005E150000}"/>
    <cellStyle name="Remarque 2 2 3 12 3 4" xfId="38273" xr:uid="{00000000-0005-0000-0000-00005F150000}"/>
    <cellStyle name="Remarque 2 2 3 12 4" xfId="4573" xr:uid="{00000000-0005-0000-0000-000060150000}"/>
    <cellStyle name="Remarque 2 2 3 12 4 2" xfId="28587" xr:uid="{00000000-0005-0000-0000-000061150000}"/>
    <cellStyle name="Remarque 2 2 3 12 4 2 2" xfId="52547" xr:uid="{00000000-0005-0000-0000-000062150000}"/>
    <cellStyle name="Remarque 2 2 3 12 4 3" xfId="15834" xr:uid="{00000000-0005-0000-0000-000063150000}"/>
    <cellStyle name="Remarque 2 2 3 12 4 4" xfId="39794" xr:uid="{00000000-0005-0000-0000-000064150000}"/>
    <cellStyle name="Remarque 2 2 3 12 5" xfId="5970" xr:uid="{00000000-0005-0000-0000-000065150000}"/>
    <cellStyle name="Remarque 2 2 3 12 5 2" xfId="29984" xr:uid="{00000000-0005-0000-0000-000066150000}"/>
    <cellStyle name="Remarque 2 2 3 12 5 2 2" xfId="53944" xr:uid="{00000000-0005-0000-0000-000067150000}"/>
    <cellStyle name="Remarque 2 2 3 12 5 3" xfId="17231" xr:uid="{00000000-0005-0000-0000-000068150000}"/>
    <cellStyle name="Remarque 2 2 3 12 5 4" xfId="41191" xr:uid="{00000000-0005-0000-0000-000069150000}"/>
    <cellStyle name="Remarque 2 2 3 12 6" xfId="10164" xr:uid="{00000000-0005-0000-0000-00006A150000}"/>
    <cellStyle name="Remarque 2 2 3 12 6 2" xfId="34176" xr:uid="{00000000-0005-0000-0000-00006B150000}"/>
    <cellStyle name="Remarque 2 2 3 12 6 2 2" xfId="58136" xr:uid="{00000000-0005-0000-0000-00006C150000}"/>
    <cellStyle name="Remarque 2 2 3 12 6 3" xfId="21429" xr:uid="{00000000-0005-0000-0000-00006D150000}"/>
    <cellStyle name="Remarque 2 2 3 12 6 4" xfId="45389" xr:uid="{00000000-0005-0000-0000-00006E150000}"/>
    <cellStyle name="Remarque 2 2 3 12 7" xfId="12063" xr:uid="{00000000-0005-0000-0000-00006F150000}"/>
    <cellStyle name="Remarque 2 2 3 12 7 2" xfId="23344" xr:uid="{00000000-0005-0000-0000-000070150000}"/>
    <cellStyle name="Remarque 2 2 3 12 7 3" xfId="47304" xr:uid="{00000000-0005-0000-0000-000071150000}"/>
    <cellStyle name="Remarque 2 2 3 12 8" xfId="3104" xr:uid="{00000000-0005-0000-0000-000072150000}"/>
    <cellStyle name="Remarque 2 2 3 12 8 2" xfId="27118" xr:uid="{00000000-0005-0000-0000-000073150000}"/>
    <cellStyle name="Remarque 2 2 3 12 8 3" xfId="51078" xr:uid="{00000000-0005-0000-0000-000074150000}"/>
    <cellStyle name="Remarque 2 2 3 12 9" xfId="24230" xr:uid="{00000000-0005-0000-0000-000075150000}"/>
    <cellStyle name="Remarque 2 2 3 12 9 2" xfId="48190" xr:uid="{00000000-0005-0000-0000-000076150000}"/>
    <cellStyle name="Remarque 2 2 3 13" xfId="3072" xr:uid="{00000000-0005-0000-0000-000077150000}"/>
    <cellStyle name="Remarque 2 2 3 13 2" xfId="27086" xr:uid="{00000000-0005-0000-0000-000078150000}"/>
    <cellStyle name="Remarque 2 2 3 13 2 2" xfId="51046" xr:uid="{00000000-0005-0000-0000-000079150000}"/>
    <cellStyle name="Remarque 2 2 3 13 3" xfId="14333" xr:uid="{00000000-0005-0000-0000-00007A150000}"/>
    <cellStyle name="Remarque 2 2 3 13 4" xfId="38293" xr:uid="{00000000-0005-0000-0000-00007B150000}"/>
    <cellStyle name="Remarque 2 2 3 14" xfId="1629" xr:uid="{00000000-0005-0000-0000-00007C150000}"/>
    <cellStyle name="Remarque 2 2 3 14 2" xfId="25644" xr:uid="{00000000-0005-0000-0000-00007D150000}"/>
    <cellStyle name="Remarque 2 2 3 14 3" xfId="49604" xr:uid="{00000000-0005-0000-0000-00007E150000}"/>
    <cellStyle name="Remarque 2 2 3 15" xfId="1619" xr:uid="{00000000-0005-0000-0000-00007F150000}"/>
    <cellStyle name="Remarque 2 2 3 16" xfId="166" xr:uid="{00000000-0005-0000-0000-000080150000}"/>
    <cellStyle name="Remarque 2 2 3 2" xfId="63" xr:uid="{00000000-0005-0000-0000-000081150000}"/>
    <cellStyle name="Remarque 2 2 3 2 10" xfId="1207" xr:uid="{00000000-0005-0000-0000-000082150000}"/>
    <cellStyle name="Remarque 2 2 3 2 10 10" xfId="25239" xr:uid="{00000000-0005-0000-0000-000083150000}"/>
    <cellStyle name="Remarque 2 2 3 2 10 10 2" xfId="49199" xr:uid="{00000000-0005-0000-0000-000084150000}"/>
    <cellStyle name="Remarque 2 2 3 2 10 11" xfId="35914" xr:uid="{00000000-0005-0000-0000-000085150000}"/>
    <cellStyle name="Remarque 2 2 3 2 10 11 2" xfId="59874" xr:uid="{00000000-0005-0000-0000-000086150000}"/>
    <cellStyle name="Remarque 2 2 3 2 10 12" xfId="13904" xr:uid="{00000000-0005-0000-0000-000087150000}"/>
    <cellStyle name="Remarque 2 2 3 2 10 13" xfId="37864" xr:uid="{00000000-0005-0000-0000-000088150000}"/>
    <cellStyle name="Remarque 2 2 3 2 10 2" xfId="4113" xr:uid="{00000000-0005-0000-0000-000089150000}"/>
    <cellStyle name="Remarque 2 2 3 2 10 2 2" xfId="28127" xr:uid="{00000000-0005-0000-0000-00008A150000}"/>
    <cellStyle name="Remarque 2 2 3 2 10 2 2 2" xfId="52087" xr:uid="{00000000-0005-0000-0000-00008B150000}"/>
    <cellStyle name="Remarque 2 2 3 2 10 2 3" xfId="15374" xr:uid="{00000000-0005-0000-0000-00008C150000}"/>
    <cellStyle name="Remarque 2 2 3 2 10 2 4" xfId="39334" xr:uid="{00000000-0005-0000-0000-00008D150000}"/>
    <cellStyle name="Remarque 2 2 3 2 10 3" xfId="5547" xr:uid="{00000000-0005-0000-0000-00008E150000}"/>
    <cellStyle name="Remarque 2 2 3 2 10 3 2" xfId="29561" xr:uid="{00000000-0005-0000-0000-00008F150000}"/>
    <cellStyle name="Remarque 2 2 3 2 10 3 2 2" xfId="53521" xr:uid="{00000000-0005-0000-0000-000090150000}"/>
    <cellStyle name="Remarque 2 2 3 2 10 3 3" xfId="16808" xr:uid="{00000000-0005-0000-0000-000091150000}"/>
    <cellStyle name="Remarque 2 2 3 2 10 3 4" xfId="40768" xr:uid="{00000000-0005-0000-0000-000092150000}"/>
    <cellStyle name="Remarque 2 2 3 2 10 4" xfId="6941" xr:uid="{00000000-0005-0000-0000-000093150000}"/>
    <cellStyle name="Remarque 2 2 3 2 10 4 2" xfId="30955" xr:uid="{00000000-0005-0000-0000-000094150000}"/>
    <cellStyle name="Remarque 2 2 3 2 10 4 2 2" xfId="54915" xr:uid="{00000000-0005-0000-0000-000095150000}"/>
    <cellStyle name="Remarque 2 2 3 2 10 4 3" xfId="18202" xr:uid="{00000000-0005-0000-0000-000096150000}"/>
    <cellStyle name="Remarque 2 2 3 2 10 4 4" xfId="42162" xr:uid="{00000000-0005-0000-0000-000097150000}"/>
    <cellStyle name="Remarque 2 2 3 2 10 5" xfId="8329" xr:uid="{00000000-0005-0000-0000-000098150000}"/>
    <cellStyle name="Remarque 2 2 3 2 10 5 2" xfId="32343" xr:uid="{00000000-0005-0000-0000-000099150000}"/>
    <cellStyle name="Remarque 2 2 3 2 10 5 2 2" xfId="56303" xr:uid="{00000000-0005-0000-0000-00009A150000}"/>
    <cellStyle name="Remarque 2 2 3 2 10 5 3" xfId="19590" xr:uid="{00000000-0005-0000-0000-00009B150000}"/>
    <cellStyle name="Remarque 2 2 3 2 10 5 4" xfId="43550" xr:uid="{00000000-0005-0000-0000-00009C150000}"/>
    <cellStyle name="Remarque 2 2 3 2 10 6" xfId="9714" xr:uid="{00000000-0005-0000-0000-00009D150000}"/>
    <cellStyle name="Remarque 2 2 3 2 10 6 2" xfId="33728" xr:uid="{00000000-0005-0000-0000-00009E150000}"/>
    <cellStyle name="Remarque 2 2 3 2 10 6 2 2" xfId="57688" xr:uid="{00000000-0005-0000-0000-00009F150000}"/>
    <cellStyle name="Remarque 2 2 3 2 10 6 3" xfId="20975" xr:uid="{00000000-0005-0000-0000-0000A0150000}"/>
    <cellStyle name="Remarque 2 2 3 2 10 6 4" xfId="44935" xr:uid="{00000000-0005-0000-0000-0000A1150000}"/>
    <cellStyle name="Remarque 2 2 3 2 10 7" xfId="11171" xr:uid="{00000000-0005-0000-0000-0000A2150000}"/>
    <cellStyle name="Remarque 2 2 3 2 10 7 2" xfId="35181" xr:uid="{00000000-0005-0000-0000-0000A3150000}"/>
    <cellStyle name="Remarque 2 2 3 2 10 7 2 2" xfId="59141" xr:uid="{00000000-0005-0000-0000-0000A4150000}"/>
    <cellStyle name="Remarque 2 2 3 2 10 7 3" xfId="22438" xr:uid="{00000000-0005-0000-0000-0000A5150000}"/>
    <cellStyle name="Remarque 2 2 3 2 10 7 4" xfId="46398" xr:uid="{00000000-0005-0000-0000-0000A6150000}"/>
    <cellStyle name="Remarque 2 2 3 2 10 8" xfId="12506" xr:uid="{00000000-0005-0000-0000-0000A7150000}"/>
    <cellStyle name="Remarque 2 2 3 2 10 8 2" xfId="23803" xr:uid="{00000000-0005-0000-0000-0000A8150000}"/>
    <cellStyle name="Remarque 2 2 3 2 10 8 3" xfId="47763" xr:uid="{00000000-0005-0000-0000-0000A9150000}"/>
    <cellStyle name="Remarque 2 2 3 2 10 9" xfId="2643" xr:uid="{00000000-0005-0000-0000-0000AA150000}"/>
    <cellStyle name="Remarque 2 2 3 2 10 9 2" xfId="26657" xr:uid="{00000000-0005-0000-0000-0000AB150000}"/>
    <cellStyle name="Remarque 2 2 3 2 10 9 3" xfId="50617" xr:uid="{00000000-0005-0000-0000-0000AC150000}"/>
    <cellStyle name="Remarque 2 2 3 2 11" xfId="336" xr:uid="{00000000-0005-0000-0000-0000AD150000}"/>
    <cellStyle name="Remarque 2 2 3 2 11 10" xfId="24368" xr:uid="{00000000-0005-0000-0000-0000AE150000}"/>
    <cellStyle name="Remarque 2 2 3 2 11 10 2" xfId="48328" xr:uid="{00000000-0005-0000-0000-0000AF150000}"/>
    <cellStyle name="Remarque 2 2 3 2 11 11" xfId="35698" xr:uid="{00000000-0005-0000-0000-0000B0150000}"/>
    <cellStyle name="Remarque 2 2 3 2 11 11 2" xfId="59658" xr:uid="{00000000-0005-0000-0000-0000B1150000}"/>
    <cellStyle name="Remarque 2 2 3 2 11 12" xfId="13033" xr:uid="{00000000-0005-0000-0000-0000B2150000}"/>
    <cellStyle name="Remarque 2 2 3 2 11 13" xfId="36993" xr:uid="{00000000-0005-0000-0000-0000B3150000}"/>
    <cellStyle name="Remarque 2 2 3 2 11 2" xfId="3242" xr:uid="{00000000-0005-0000-0000-0000B4150000}"/>
    <cellStyle name="Remarque 2 2 3 2 11 2 2" xfId="27256" xr:uid="{00000000-0005-0000-0000-0000B5150000}"/>
    <cellStyle name="Remarque 2 2 3 2 11 2 2 2" xfId="51216" xr:uid="{00000000-0005-0000-0000-0000B6150000}"/>
    <cellStyle name="Remarque 2 2 3 2 11 2 3" xfId="14503" xr:uid="{00000000-0005-0000-0000-0000B7150000}"/>
    <cellStyle name="Remarque 2 2 3 2 11 2 4" xfId="38463" xr:uid="{00000000-0005-0000-0000-0000B8150000}"/>
    <cellStyle name="Remarque 2 2 3 2 11 3" xfId="4676" xr:uid="{00000000-0005-0000-0000-0000B9150000}"/>
    <cellStyle name="Remarque 2 2 3 2 11 3 2" xfId="28690" xr:uid="{00000000-0005-0000-0000-0000BA150000}"/>
    <cellStyle name="Remarque 2 2 3 2 11 3 2 2" xfId="52650" xr:uid="{00000000-0005-0000-0000-0000BB150000}"/>
    <cellStyle name="Remarque 2 2 3 2 11 3 3" xfId="15937" xr:uid="{00000000-0005-0000-0000-0000BC150000}"/>
    <cellStyle name="Remarque 2 2 3 2 11 3 4" xfId="39897" xr:uid="{00000000-0005-0000-0000-0000BD150000}"/>
    <cellStyle name="Remarque 2 2 3 2 11 4" xfId="6070" xr:uid="{00000000-0005-0000-0000-0000BE150000}"/>
    <cellStyle name="Remarque 2 2 3 2 11 4 2" xfId="30084" xr:uid="{00000000-0005-0000-0000-0000BF150000}"/>
    <cellStyle name="Remarque 2 2 3 2 11 4 2 2" xfId="54044" xr:uid="{00000000-0005-0000-0000-0000C0150000}"/>
    <cellStyle name="Remarque 2 2 3 2 11 4 3" xfId="17331" xr:uid="{00000000-0005-0000-0000-0000C1150000}"/>
    <cellStyle name="Remarque 2 2 3 2 11 4 4" xfId="41291" xr:uid="{00000000-0005-0000-0000-0000C2150000}"/>
    <cellStyle name="Remarque 2 2 3 2 11 5" xfId="7458" xr:uid="{00000000-0005-0000-0000-0000C3150000}"/>
    <cellStyle name="Remarque 2 2 3 2 11 5 2" xfId="31472" xr:uid="{00000000-0005-0000-0000-0000C4150000}"/>
    <cellStyle name="Remarque 2 2 3 2 11 5 2 2" xfId="55432" xr:uid="{00000000-0005-0000-0000-0000C5150000}"/>
    <cellStyle name="Remarque 2 2 3 2 11 5 3" xfId="18719" xr:uid="{00000000-0005-0000-0000-0000C6150000}"/>
    <cellStyle name="Remarque 2 2 3 2 11 5 4" xfId="42679" xr:uid="{00000000-0005-0000-0000-0000C7150000}"/>
    <cellStyle name="Remarque 2 2 3 2 11 6" xfId="8843" xr:uid="{00000000-0005-0000-0000-0000C8150000}"/>
    <cellStyle name="Remarque 2 2 3 2 11 6 2" xfId="32857" xr:uid="{00000000-0005-0000-0000-0000C9150000}"/>
    <cellStyle name="Remarque 2 2 3 2 11 6 2 2" xfId="56817" xr:uid="{00000000-0005-0000-0000-0000CA150000}"/>
    <cellStyle name="Remarque 2 2 3 2 11 6 3" xfId="20104" xr:uid="{00000000-0005-0000-0000-0000CB150000}"/>
    <cellStyle name="Remarque 2 2 3 2 11 6 4" xfId="44064" xr:uid="{00000000-0005-0000-0000-0000CC150000}"/>
    <cellStyle name="Remarque 2 2 3 2 11 7" xfId="10300" xr:uid="{00000000-0005-0000-0000-0000CD150000}"/>
    <cellStyle name="Remarque 2 2 3 2 11 7 2" xfId="34310" xr:uid="{00000000-0005-0000-0000-0000CE150000}"/>
    <cellStyle name="Remarque 2 2 3 2 11 7 2 2" xfId="58270" xr:uid="{00000000-0005-0000-0000-0000CF150000}"/>
    <cellStyle name="Remarque 2 2 3 2 11 7 3" xfId="21567" xr:uid="{00000000-0005-0000-0000-0000D0150000}"/>
    <cellStyle name="Remarque 2 2 3 2 11 7 4" xfId="45527" xr:uid="{00000000-0005-0000-0000-0000D1150000}"/>
    <cellStyle name="Remarque 2 2 3 2 11 8" xfId="12335" xr:uid="{00000000-0005-0000-0000-0000D2150000}"/>
    <cellStyle name="Remarque 2 2 3 2 11 8 2" xfId="23623" xr:uid="{00000000-0005-0000-0000-0000D3150000}"/>
    <cellStyle name="Remarque 2 2 3 2 11 8 3" xfId="47583" xr:uid="{00000000-0005-0000-0000-0000D4150000}"/>
    <cellStyle name="Remarque 2 2 3 2 11 9" xfId="1772" xr:uid="{00000000-0005-0000-0000-0000D5150000}"/>
    <cellStyle name="Remarque 2 2 3 2 11 9 2" xfId="25786" xr:uid="{00000000-0005-0000-0000-0000D6150000}"/>
    <cellStyle name="Remarque 2 2 3 2 11 9 3" xfId="49746" xr:uid="{00000000-0005-0000-0000-0000D7150000}"/>
    <cellStyle name="Remarque 2 2 3 2 12" xfId="1568" xr:uid="{00000000-0005-0000-0000-0000D8150000}"/>
    <cellStyle name="Remarque 2 2 3 2 12 10" xfId="25600" xr:uid="{00000000-0005-0000-0000-0000D9150000}"/>
    <cellStyle name="Remarque 2 2 3 2 12 10 2" xfId="49560" xr:uid="{00000000-0005-0000-0000-0000DA150000}"/>
    <cellStyle name="Remarque 2 2 3 2 12 11" xfId="23052" xr:uid="{00000000-0005-0000-0000-0000DB150000}"/>
    <cellStyle name="Remarque 2 2 3 2 12 11 2" xfId="47012" xr:uid="{00000000-0005-0000-0000-0000DC150000}"/>
    <cellStyle name="Remarque 2 2 3 2 12 12" xfId="14265" xr:uid="{00000000-0005-0000-0000-0000DD150000}"/>
    <cellStyle name="Remarque 2 2 3 2 12 13" xfId="38225" xr:uid="{00000000-0005-0000-0000-0000DE150000}"/>
    <cellStyle name="Remarque 2 2 3 2 12 2" xfId="4474" xr:uid="{00000000-0005-0000-0000-0000DF150000}"/>
    <cellStyle name="Remarque 2 2 3 2 12 2 2" xfId="28488" xr:uid="{00000000-0005-0000-0000-0000E0150000}"/>
    <cellStyle name="Remarque 2 2 3 2 12 2 2 2" xfId="52448" xr:uid="{00000000-0005-0000-0000-0000E1150000}"/>
    <cellStyle name="Remarque 2 2 3 2 12 2 3" xfId="15735" xr:uid="{00000000-0005-0000-0000-0000E2150000}"/>
    <cellStyle name="Remarque 2 2 3 2 12 2 4" xfId="39695" xr:uid="{00000000-0005-0000-0000-0000E3150000}"/>
    <cellStyle name="Remarque 2 2 3 2 12 3" xfId="5908" xr:uid="{00000000-0005-0000-0000-0000E4150000}"/>
    <cellStyle name="Remarque 2 2 3 2 12 3 2" xfId="29922" xr:uid="{00000000-0005-0000-0000-0000E5150000}"/>
    <cellStyle name="Remarque 2 2 3 2 12 3 2 2" xfId="53882" xr:uid="{00000000-0005-0000-0000-0000E6150000}"/>
    <cellStyle name="Remarque 2 2 3 2 12 3 3" xfId="17169" xr:uid="{00000000-0005-0000-0000-0000E7150000}"/>
    <cellStyle name="Remarque 2 2 3 2 12 3 4" xfId="41129" xr:uid="{00000000-0005-0000-0000-0000E8150000}"/>
    <cellStyle name="Remarque 2 2 3 2 12 4" xfId="7302" xr:uid="{00000000-0005-0000-0000-0000E9150000}"/>
    <cellStyle name="Remarque 2 2 3 2 12 4 2" xfId="31316" xr:uid="{00000000-0005-0000-0000-0000EA150000}"/>
    <cellStyle name="Remarque 2 2 3 2 12 4 2 2" xfId="55276" xr:uid="{00000000-0005-0000-0000-0000EB150000}"/>
    <cellStyle name="Remarque 2 2 3 2 12 4 3" xfId="18563" xr:uid="{00000000-0005-0000-0000-0000EC150000}"/>
    <cellStyle name="Remarque 2 2 3 2 12 4 4" xfId="42523" xr:uid="{00000000-0005-0000-0000-0000ED150000}"/>
    <cellStyle name="Remarque 2 2 3 2 12 5" xfId="8690" xr:uid="{00000000-0005-0000-0000-0000EE150000}"/>
    <cellStyle name="Remarque 2 2 3 2 12 5 2" xfId="32704" xr:uid="{00000000-0005-0000-0000-0000EF150000}"/>
    <cellStyle name="Remarque 2 2 3 2 12 5 2 2" xfId="56664" xr:uid="{00000000-0005-0000-0000-0000F0150000}"/>
    <cellStyle name="Remarque 2 2 3 2 12 5 3" xfId="19951" xr:uid="{00000000-0005-0000-0000-0000F1150000}"/>
    <cellStyle name="Remarque 2 2 3 2 12 5 4" xfId="43911" xr:uid="{00000000-0005-0000-0000-0000F2150000}"/>
    <cellStyle name="Remarque 2 2 3 2 12 6" xfId="10075" xr:uid="{00000000-0005-0000-0000-0000F3150000}"/>
    <cellStyle name="Remarque 2 2 3 2 12 6 2" xfId="34089" xr:uid="{00000000-0005-0000-0000-0000F4150000}"/>
    <cellStyle name="Remarque 2 2 3 2 12 6 2 2" xfId="58049" xr:uid="{00000000-0005-0000-0000-0000F5150000}"/>
    <cellStyle name="Remarque 2 2 3 2 12 6 3" xfId="21336" xr:uid="{00000000-0005-0000-0000-0000F6150000}"/>
    <cellStyle name="Remarque 2 2 3 2 12 6 4" xfId="45296" xr:uid="{00000000-0005-0000-0000-0000F7150000}"/>
    <cellStyle name="Remarque 2 2 3 2 12 7" xfId="11532" xr:uid="{00000000-0005-0000-0000-0000F8150000}"/>
    <cellStyle name="Remarque 2 2 3 2 12 7 2" xfId="35542" xr:uid="{00000000-0005-0000-0000-0000F9150000}"/>
    <cellStyle name="Remarque 2 2 3 2 12 7 2 2" xfId="59502" xr:uid="{00000000-0005-0000-0000-0000FA150000}"/>
    <cellStyle name="Remarque 2 2 3 2 12 7 3" xfId="22799" xr:uid="{00000000-0005-0000-0000-0000FB150000}"/>
    <cellStyle name="Remarque 2 2 3 2 12 7 4" xfId="46759" xr:uid="{00000000-0005-0000-0000-0000FC150000}"/>
    <cellStyle name="Remarque 2 2 3 2 12 8" xfId="12859" xr:uid="{00000000-0005-0000-0000-0000FD150000}"/>
    <cellStyle name="Remarque 2 2 3 2 12 8 2" xfId="24171" xr:uid="{00000000-0005-0000-0000-0000FE150000}"/>
    <cellStyle name="Remarque 2 2 3 2 12 8 3" xfId="48131" xr:uid="{00000000-0005-0000-0000-0000FF150000}"/>
    <cellStyle name="Remarque 2 2 3 2 12 9" xfId="3004" xr:uid="{00000000-0005-0000-0000-000000160000}"/>
    <cellStyle name="Remarque 2 2 3 2 12 9 2" xfId="27018" xr:uid="{00000000-0005-0000-0000-000001160000}"/>
    <cellStyle name="Remarque 2 2 3 2 12 9 3" xfId="50978" xr:uid="{00000000-0005-0000-0000-000002160000}"/>
    <cellStyle name="Remarque 2 2 3 2 13" xfId="211" xr:uid="{00000000-0005-0000-0000-000003160000}"/>
    <cellStyle name="Remarque 2 2 3 2 13 10" xfId="35932" xr:uid="{00000000-0005-0000-0000-000004160000}"/>
    <cellStyle name="Remarque 2 2 3 2 13 10 2" xfId="59892" xr:uid="{00000000-0005-0000-0000-000005160000}"/>
    <cellStyle name="Remarque 2 2 3 2 13 11" xfId="14378" xr:uid="{00000000-0005-0000-0000-000006160000}"/>
    <cellStyle name="Remarque 2 2 3 2 13 12" xfId="38338" xr:uid="{00000000-0005-0000-0000-000007160000}"/>
    <cellStyle name="Remarque 2 2 3 2 13 2" xfId="4556" xr:uid="{00000000-0005-0000-0000-000008160000}"/>
    <cellStyle name="Remarque 2 2 3 2 13 2 2" xfId="28570" xr:uid="{00000000-0005-0000-0000-000009160000}"/>
    <cellStyle name="Remarque 2 2 3 2 13 2 2 2" xfId="52530" xr:uid="{00000000-0005-0000-0000-00000A160000}"/>
    <cellStyle name="Remarque 2 2 3 2 13 2 3" xfId="15817" xr:uid="{00000000-0005-0000-0000-00000B160000}"/>
    <cellStyle name="Remarque 2 2 3 2 13 2 4" xfId="39777" xr:uid="{00000000-0005-0000-0000-00000C160000}"/>
    <cellStyle name="Remarque 2 2 3 2 13 3" xfId="5955" xr:uid="{00000000-0005-0000-0000-00000D160000}"/>
    <cellStyle name="Remarque 2 2 3 2 13 3 2" xfId="29969" xr:uid="{00000000-0005-0000-0000-00000E160000}"/>
    <cellStyle name="Remarque 2 2 3 2 13 3 2 2" xfId="53929" xr:uid="{00000000-0005-0000-0000-00000F160000}"/>
    <cellStyle name="Remarque 2 2 3 2 13 3 3" xfId="17216" xr:uid="{00000000-0005-0000-0000-000010160000}"/>
    <cellStyle name="Remarque 2 2 3 2 13 3 4" xfId="41176" xr:uid="{00000000-0005-0000-0000-000011160000}"/>
    <cellStyle name="Remarque 2 2 3 2 13 4" xfId="7349" xr:uid="{00000000-0005-0000-0000-000012160000}"/>
    <cellStyle name="Remarque 2 2 3 2 13 4 2" xfId="31363" xr:uid="{00000000-0005-0000-0000-000013160000}"/>
    <cellStyle name="Remarque 2 2 3 2 13 4 2 2" xfId="55323" xr:uid="{00000000-0005-0000-0000-000014160000}"/>
    <cellStyle name="Remarque 2 2 3 2 13 4 3" xfId="18610" xr:uid="{00000000-0005-0000-0000-000015160000}"/>
    <cellStyle name="Remarque 2 2 3 2 13 4 4" xfId="42570" xr:uid="{00000000-0005-0000-0000-000016160000}"/>
    <cellStyle name="Remarque 2 2 3 2 13 5" xfId="8737" xr:uid="{00000000-0005-0000-0000-000017160000}"/>
    <cellStyle name="Remarque 2 2 3 2 13 5 2" xfId="32751" xr:uid="{00000000-0005-0000-0000-000018160000}"/>
    <cellStyle name="Remarque 2 2 3 2 13 5 2 2" xfId="56711" xr:uid="{00000000-0005-0000-0000-000019160000}"/>
    <cellStyle name="Remarque 2 2 3 2 13 5 3" xfId="19998" xr:uid="{00000000-0005-0000-0000-00001A160000}"/>
    <cellStyle name="Remarque 2 2 3 2 13 5 4" xfId="43958" xr:uid="{00000000-0005-0000-0000-00001B160000}"/>
    <cellStyle name="Remarque 2 2 3 2 13 6" xfId="10177" xr:uid="{00000000-0005-0000-0000-00001C160000}"/>
    <cellStyle name="Remarque 2 2 3 2 13 6 2" xfId="34189" xr:uid="{00000000-0005-0000-0000-00001D160000}"/>
    <cellStyle name="Remarque 2 2 3 2 13 6 2 2" xfId="58149" xr:uid="{00000000-0005-0000-0000-00001E160000}"/>
    <cellStyle name="Remarque 2 2 3 2 13 6 3" xfId="21442" xr:uid="{00000000-0005-0000-0000-00001F160000}"/>
    <cellStyle name="Remarque 2 2 3 2 13 6 4" xfId="45402" xr:uid="{00000000-0005-0000-0000-000020160000}"/>
    <cellStyle name="Remarque 2 2 3 2 13 7" xfId="11951" xr:uid="{00000000-0005-0000-0000-000021160000}"/>
    <cellStyle name="Remarque 2 2 3 2 13 7 2" xfId="23229" xr:uid="{00000000-0005-0000-0000-000022160000}"/>
    <cellStyle name="Remarque 2 2 3 2 13 7 3" xfId="47189" xr:uid="{00000000-0005-0000-0000-000023160000}"/>
    <cellStyle name="Remarque 2 2 3 2 13 8" xfId="3117" xr:uid="{00000000-0005-0000-0000-000024160000}"/>
    <cellStyle name="Remarque 2 2 3 2 13 8 2" xfId="27131" xr:uid="{00000000-0005-0000-0000-000025160000}"/>
    <cellStyle name="Remarque 2 2 3 2 13 8 3" xfId="51091" xr:uid="{00000000-0005-0000-0000-000026160000}"/>
    <cellStyle name="Remarque 2 2 3 2 13 9" xfId="24243" xr:uid="{00000000-0005-0000-0000-000027160000}"/>
    <cellStyle name="Remarque 2 2 3 2 13 9 2" xfId="48203" xr:uid="{00000000-0005-0000-0000-000028160000}"/>
    <cellStyle name="Remarque 2 2 3 2 14" xfId="3085" xr:uid="{00000000-0005-0000-0000-000029160000}"/>
    <cellStyle name="Remarque 2 2 3 2 14 2" xfId="27099" xr:uid="{00000000-0005-0000-0000-00002A160000}"/>
    <cellStyle name="Remarque 2 2 3 2 14 2 2" xfId="51059" xr:uid="{00000000-0005-0000-0000-00002B160000}"/>
    <cellStyle name="Remarque 2 2 3 2 14 3" xfId="14346" xr:uid="{00000000-0005-0000-0000-00002C160000}"/>
    <cellStyle name="Remarque 2 2 3 2 14 4" xfId="38306" xr:uid="{00000000-0005-0000-0000-00002D160000}"/>
    <cellStyle name="Remarque 2 2 3 2 15" xfId="1643" xr:uid="{00000000-0005-0000-0000-00002E160000}"/>
    <cellStyle name="Remarque 2 2 3 2 15 2" xfId="25657" xr:uid="{00000000-0005-0000-0000-00002F160000}"/>
    <cellStyle name="Remarque 2 2 3 2 15 3" xfId="49617" xr:uid="{00000000-0005-0000-0000-000030160000}"/>
    <cellStyle name="Remarque 2 2 3 2 16" xfId="12923" xr:uid="{00000000-0005-0000-0000-000031160000}"/>
    <cellStyle name="Remarque 2 2 3 2 17" xfId="36864" xr:uid="{00000000-0005-0000-0000-000032160000}"/>
    <cellStyle name="Remarque 2 2 3 2 18" xfId="179" xr:uid="{00000000-0005-0000-0000-000033160000}"/>
    <cellStyle name="Remarque 2 2 3 2 2" xfId="77" xr:uid="{00000000-0005-0000-0000-000034160000}"/>
    <cellStyle name="Remarque 2 2 3 2 2 10" xfId="1371" xr:uid="{00000000-0005-0000-0000-000035160000}"/>
    <cellStyle name="Remarque 2 2 3 2 2 10 10" xfId="25403" xr:uid="{00000000-0005-0000-0000-000036160000}"/>
    <cellStyle name="Remarque 2 2 3 2 2 10 10 2" xfId="49363" xr:uid="{00000000-0005-0000-0000-000037160000}"/>
    <cellStyle name="Remarque 2 2 3 2 2 10 11" xfId="36395" xr:uid="{00000000-0005-0000-0000-000038160000}"/>
    <cellStyle name="Remarque 2 2 3 2 2 10 11 2" xfId="60355" xr:uid="{00000000-0005-0000-0000-000039160000}"/>
    <cellStyle name="Remarque 2 2 3 2 2 10 12" xfId="14068" xr:uid="{00000000-0005-0000-0000-00003A160000}"/>
    <cellStyle name="Remarque 2 2 3 2 2 10 13" xfId="38028" xr:uid="{00000000-0005-0000-0000-00003B160000}"/>
    <cellStyle name="Remarque 2 2 3 2 2 10 2" xfId="4277" xr:uid="{00000000-0005-0000-0000-00003C160000}"/>
    <cellStyle name="Remarque 2 2 3 2 2 10 2 2" xfId="28291" xr:uid="{00000000-0005-0000-0000-00003D160000}"/>
    <cellStyle name="Remarque 2 2 3 2 2 10 2 2 2" xfId="52251" xr:uid="{00000000-0005-0000-0000-00003E160000}"/>
    <cellStyle name="Remarque 2 2 3 2 2 10 2 3" xfId="15538" xr:uid="{00000000-0005-0000-0000-00003F160000}"/>
    <cellStyle name="Remarque 2 2 3 2 2 10 2 4" xfId="39498" xr:uid="{00000000-0005-0000-0000-000040160000}"/>
    <cellStyle name="Remarque 2 2 3 2 2 10 3" xfId="5711" xr:uid="{00000000-0005-0000-0000-000041160000}"/>
    <cellStyle name="Remarque 2 2 3 2 2 10 3 2" xfId="29725" xr:uid="{00000000-0005-0000-0000-000042160000}"/>
    <cellStyle name="Remarque 2 2 3 2 2 10 3 2 2" xfId="53685" xr:uid="{00000000-0005-0000-0000-000043160000}"/>
    <cellStyle name="Remarque 2 2 3 2 2 10 3 3" xfId="16972" xr:uid="{00000000-0005-0000-0000-000044160000}"/>
    <cellStyle name="Remarque 2 2 3 2 2 10 3 4" xfId="40932" xr:uid="{00000000-0005-0000-0000-000045160000}"/>
    <cellStyle name="Remarque 2 2 3 2 2 10 4" xfId="7105" xr:uid="{00000000-0005-0000-0000-000046160000}"/>
    <cellStyle name="Remarque 2 2 3 2 2 10 4 2" xfId="31119" xr:uid="{00000000-0005-0000-0000-000047160000}"/>
    <cellStyle name="Remarque 2 2 3 2 2 10 4 2 2" xfId="55079" xr:uid="{00000000-0005-0000-0000-000048160000}"/>
    <cellStyle name="Remarque 2 2 3 2 2 10 4 3" xfId="18366" xr:uid="{00000000-0005-0000-0000-000049160000}"/>
    <cellStyle name="Remarque 2 2 3 2 2 10 4 4" xfId="42326" xr:uid="{00000000-0005-0000-0000-00004A160000}"/>
    <cellStyle name="Remarque 2 2 3 2 2 10 5" xfId="8493" xr:uid="{00000000-0005-0000-0000-00004B160000}"/>
    <cellStyle name="Remarque 2 2 3 2 2 10 5 2" xfId="32507" xr:uid="{00000000-0005-0000-0000-00004C160000}"/>
    <cellStyle name="Remarque 2 2 3 2 2 10 5 2 2" xfId="56467" xr:uid="{00000000-0005-0000-0000-00004D160000}"/>
    <cellStyle name="Remarque 2 2 3 2 2 10 5 3" xfId="19754" xr:uid="{00000000-0005-0000-0000-00004E160000}"/>
    <cellStyle name="Remarque 2 2 3 2 2 10 5 4" xfId="43714" xr:uid="{00000000-0005-0000-0000-00004F160000}"/>
    <cellStyle name="Remarque 2 2 3 2 2 10 6" xfId="9878" xr:uid="{00000000-0005-0000-0000-000050160000}"/>
    <cellStyle name="Remarque 2 2 3 2 2 10 6 2" xfId="33892" xr:uid="{00000000-0005-0000-0000-000051160000}"/>
    <cellStyle name="Remarque 2 2 3 2 2 10 6 2 2" xfId="57852" xr:uid="{00000000-0005-0000-0000-000052160000}"/>
    <cellStyle name="Remarque 2 2 3 2 2 10 6 3" xfId="21139" xr:uid="{00000000-0005-0000-0000-000053160000}"/>
    <cellStyle name="Remarque 2 2 3 2 2 10 6 4" xfId="45099" xr:uid="{00000000-0005-0000-0000-000054160000}"/>
    <cellStyle name="Remarque 2 2 3 2 2 10 7" xfId="11335" xr:uid="{00000000-0005-0000-0000-000055160000}"/>
    <cellStyle name="Remarque 2 2 3 2 2 10 7 2" xfId="35345" xr:uid="{00000000-0005-0000-0000-000056160000}"/>
    <cellStyle name="Remarque 2 2 3 2 2 10 7 2 2" xfId="59305" xr:uid="{00000000-0005-0000-0000-000057160000}"/>
    <cellStyle name="Remarque 2 2 3 2 2 10 7 3" xfId="22602" xr:uid="{00000000-0005-0000-0000-000058160000}"/>
    <cellStyle name="Remarque 2 2 3 2 2 10 7 4" xfId="46562" xr:uid="{00000000-0005-0000-0000-000059160000}"/>
    <cellStyle name="Remarque 2 2 3 2 2 10 8" xfId="11787" xr:uid="{00000000-0005-0000-0000-00005A160000}"/>
    <cellStyle name="Remarque 2 2 3 2 2 10 8 2" xfId="23061" xr:uid="{00000000-0005-0000-0000-00005B160000}"/>
    <cellStyle name="Remarque 2 2 3 2 2 10 8 3" xfId="47021" xr:uid="{00000000-0005-0000-0000-00005C160000}"/>
    <cellStyle name="Remarque 2 2 3 2 2 10 9" xfId="2807" xr:uid="{00000000-0005-0000-0000-00005D160000}"/>
    <cellStyle name="Remarque 2 2 3 2 2 10 9 2" xfId="26821" xr:uid="{00000000-0005-0000-0000-00005E160000}"/>
    <cellStyle name="Remarque 2 2 3 2 2 10 9 3" xfId="50781" xr:uid="{00000000-0005-0000-0000-00005F160000}"/>
    <cellStyle name="Remarque 2 2 3 2 2 11" xfId="1582" xr:uid="{00000000-0005-0000-0000-000060160000}"/>
    <cellStyle name="Remarque 2 2 3 2 2 11 10" xfId="25614" xr:uid="{00000000-0005-0000-0000-000061160000}"/>
    <cellStyle name="Remarque 2 2 3 2 2 11 10 2" xfId="49574" xr:uid="{00000000-0005-0000-0000-000062160000}"/>
    <cellStyle name="Remarque 2 2 3 2 2 11 11" xfId="36841" xr:uid="{00000000-0005-0000-0000-000063160000}"/>
    <cellStyle name="Remarque 2 2 3 2 2 11 11 2" xfId="60801" xr:uid="{00000000-0005-0000-0000-000064160000}"/>
    <cellStyle name="Remarque 2 2 3 2 2 11 12" xfId="14279" xr:uid="{00000000-0005-0000-0000-000065160000}"/>
    <cellStyle name="Remarque 2 2 3 2 2 11 13" xfId="38239" xr:uid="{00000000-0005-0000-0000-000066160000}"/>
    <cellStyle name="Remarque 2 2 3 2 2 11 2" xfId="4488" xr:uid="{00000000-0005-0000-0000-000067160000}"/>
    <cellStyle name="Remarque 2 2 3 2 2 11 2 2" xfId="28502" xr:uid="{00000000-0005-0000-0000-000068160000}"/>
    <cellStyle name="Remarque 2 2 3 2 2 11 2 2 2" xfId="52462" xr:uid="{00000000-0005-0000-0000-000069160000}"/>
    <cellStyle name="Remarque 2 2 3 2 2 11 2 3" xfId="15749" xr:uid="{00000000-0005-0000-0000-00006A160000}"/>
    <cellStyle name="Remarque 2 2 3 2 2 11 2 4" xfId="39709" xr:uid="{00000000-0005-0000-0000-00006B160000}"/>
    <cellStyle name="Remarque 2 2 3 2 2 11 3" xfId="5922" xr:uid="{00000000-0005-0000-0000-00006C160000}"/>
    <cellStyle name="Remarque 2 2 3 2 2 11 3 2" xfId="29936" xr:uid="{00000000-0005-0000-0000-00006D160000}"/>
    <cellStyle name="Remarque 2 2 3 2 2 11 3 2 2" xfId="53896" xr:uid="{00000000-0005-0000-0000-00006E160000}"/>
    <cellStyle name="Remarque 2 2 3 2 2 11 3 3" xfId="17183" xr:uid="{00000000-0005-0000-0000-00006F160000}"/>
    <cellStyle name="Remarque 2 2 3 2 2 11 3 4" xfId="41143" xr:uid="{00000000-0005-0000-0000-000070160000}"/>
    <cellStyle name="Remarque 2 2 3 2 2 11 4" xfId="7316" xr:uid="{00000000-0005-0000-0000-000071160000}"/>
    <cellStyle name="Remarque 2 2 3 2 2 11 4 2" xfId="31330" xr:uid="{00000000-0005-0000-0000-000072160000}"/>
    <cellStyle name="Remarque 2 2 3 2 2 11 4 2 2" xfId="55290" xr:uid="{00000000-0005-0000-0000-000073160000}"/>
    <cellStyle name="Remarque 2 2 3 2 2 11 4 3" xfId="18577" xr:uid="{00000000-0005-0000-0000-000074160000}"/>
    <cellStyle name="Remarque 2 2 3 2 2 11 4 4" xfId="42537" xr:uid="{00000000-0005-0000-0000-000075160000}"/>
    <cellStyle name="Remarque 2 2 3 2 2 11 5" xfId="8704" xr:uid="{00000000-0005-0000-0000-000076160000}"/>
    <cellStyle name="Remarque 2 2 3 2 2 11 5 2" xfId="32718" xr:uid="{00000000-0005-0000-0000-000077160000}"/>
    <cellStyle name="Remarque 2 2 3 2 2 11 5 2 2" xfId="56678" xr:uid="{00000000-0005-0000-0000-000078160000}"/>
    <cellStyle name="Remarque 2 2 3 2 2 11 5 3" xfId="19965" xr:uid="{00000000-0005-0000-0000-000079160000}"/>
    <cellStyle name="Remarque 2 2 3 2 2 11 5 4" xfId="43925" xr:uid="{00000000-0005-0000-0000-00007A160000}"/>
    <cellStyle name="Remarque 2 2 3 2 2 11 6" xfId="10089" xr:uid="{00000000-0005-0000-0000-00007B160000}"/>
    <cellStyle name="Remarque 2 2 3 2 2 11 6 2" xfId="34103" xr:uid="{00000000-0005-0000-0000-00007C160000}"/>
    <cellStyle name="Remarque 2 2 3 2 2 11 6 2 2" xfId="58063" xr:uid="{00000000-0005-0000-0000-00007D160000}"/>
    <cellStyle name="Remarque 2 2 3 2 2 11 6 3" xfId="21350" xr:uid="{00000000-0005-0000-0000-00007E160000}"/>
    <cellStyle name="Remarque 2 2 3 2 2 11 6 4" xfId="45310" xr:uid="{00000000-0005-0000-0000-00007F160000}"/>
    <cellStyle name="Remarque 2 2 3 2 2 11 7" xfId="11546" xr:uid="{00000000-0005-0000-0000-000080160000}"/>
    <cellStyle name="Remarque 2 2 3 2 2 11 7 2" xfId="35556" xr:uid="{00000000-0005-0000-0000-000081160000}"/>
    <cellStyle name="Remarque 2 2 3 2 2 11 7 2 2" xfId="59516" xr:uid="{00000000-0005-0000-0000-000082160000}"/>
    <cellStyle name="Remarque 2 2 3 2 2 11 7 3" xfId="22813" xr:uid="{00000000-0005-0000-0000-000083160000}"/>
    <cellStyle name="Remarque 2 2 3 2 2 11 7 4" xfId="46773" xr:uid="{00000000-0005-0000-0000-000084160000}"/>
    <cellStyle name="Remarque 2 2 3 2 2 11 8" xfId="10124" xr:uid="{00000000-0005-0000-0000-000085160000}"/>
    <cellStyle name="Remarque 2 2 3 2 2 11 8 2" xfId="21385" xr:uid="{00000000-0005-0000-0000-000086160000}"/>
    <cellStyle name="Remarque 2 2 3 2 2 11 8 3" xfId="45345" xr:uid="{00000000-0005-0000-0000-000087160000}"/>
    <cellStyle name="Remarque 2 2 3 2 2 11 9" xfId="3018" xr:uid="{00000000-0005-0000-0000-000088160000}"/>
    <cellStyle name="Remarque 2 2 3 2 2 11 9 2" xfId="27032" xr:uid="{00000000-0005-0000-0000-000089160000}"/>
    <cellStyle name="Remarque 2 2 3 2 2 11 9 3" xfId="50992" xr:uid="{00000000-0005-0000-0000-00008A160000}"/>
    <cellStyle name="Remarque 2 2 3 2 2 12" xfId="1537" xr:uid="{00000000-0005-0000-0000-00008B160000}"/>
    <cellStyle name="Remarque 2 2 3 2 2 12 10" xfId="25569" xr:uid="{00000000-0005-0000-0000-00008C160000}"/>
    <cellStyle name="Remarque 2 2 3 2 2 12 10 2" xfId="49529" xr:uid="{00000000-0005-0000-0000-00008D160000}"/>
    <cellStyle name="Remarque 2 2 3 2 2 12 11" xfId="36269" xr:uid="{00000000-0005-0000-0000-00008E160000}"/>
    <cellStyle name="Remarque 2 2 3 2 2 12 11 2" xfId="60229" xr:uid="{00000000-0005-0000-0000-00008F160000}"/>
    <cellStyle name="Remarque 2 2 3 2 2 12 12" xfId="14234" xr:uid="{00000000-0005-0000-0000-000090160000}"/>
    <cellStyle name="Remarque 2 2 3 2 2 12 13" xfId="38194" xr:uid="{00000000-0005-0000-0000-000091160000}"/>
    <cellStyle name="Remarque 2 2 3 2 2 12 2" xfId="4443" xr:uid="{00000000-0005-0000-0000-000092160000}"/>
    <cellStyle name="Remarque 2 2 3 2 2 12 2 2" xfId="28457" xr:uid="{00000000-0005-0000-0000-000093160000}"/>
    <cellStyle name="Remarque 2 2 3 2 2 12 2 2 2" xfId="52417" xr:uid="{00000000-0005-0000-0000-000094160000}"/>
    <cellStyle name="Remarque 2 2 3 2 2 12 2 3" xfId="15704" xr:uid="{00000000-0005-0000-0000-000095160000}"/>
    <cellStyle name="Remarque 2 2 3 2 2 12 2 4" xfId="39664" xr:uid="{00000000-0005-0000-0000-000096160000}"/>
    <cellStyle name="Remarque 2 2 3 2 2 12 3" xfId="5877" xr:uid="{00000000-0005-0000-0000-000097160000}"/>
    <cellStyle name="Remarque 2 2 3 2 2 12 3 2" xfId="29891" xr:uid="{00000000-0005-0000-0000-000098160000}"/>
    <cellStyle name="Remarque 2 2 3 2 2 12 3 2 2" xfId="53851" xr:uid="{00000000-0005-0000-0000-000099160000}"/>
    <cellStyle name="Remarque 2 2 3 2 2 12 3 3" xfId="17138" xr:uid="{00000000-0005-0000-0000-00009A160000}"/>
    <cellStyle name="Remarque 2 2 3 2 2 12 3 4" xfId="41098" xr:uid="{00000000-0005-0000-0000-00009B160000}"/>
    <cellStyle name="Remarque 2 2 3 2 2 12 4" xfId="7271" xr:uid="{00000000-0005-0000-0000-00009C160000}"/>
    <cellStyle name="Remarque 2 2 3 2 2 12 4 2" xfId="31285" xr:uid="{00000000-0005-0000-0000-00009D160000}"/>
    <cellStyle name="Remarque 2 2 3 2 2 12 4 2 2" xfId="55245" xr:uid="{00000000-0005-0000-0000-00009E160000}"/>
    <cellStyle name="Remarque 2 2 3 2 2 12 4 3" xfId="18532" xr:uid="{00000000-0005-0000-0000-00009F160000}"/>
    <cellStyle name="Remarque 2 2 3 2 2 12 4 4" xfId="42492" xr:uid="{00000000-0005-0000-0000-0000A0160000}"/>
    <cellStyle name="Remarque 2 2 3 2 2 12 5" xfId="8659" xr:uid="{00000000-0005-0000-0000-0000A1160000}"/>
    <cellStyle name="Remarque 2 2 3 2 2 12 5 2" xfId="32673" xr:uid="{00000000-0005-0000-0000-0000A2160000}"/>
    <cellStyle name="Remarque 2 2 3 2 2 12 5 2 2" xfId="56633" xr:uid="{00000000-0005-0000-0000-0000A3160000}"/>
    <cellStyle name="Remarque 2 2 3 2 2 12 5 3" xfId="19920" xr:uid="{00000000-0005-0000-0000-0000A4160000}"/>
    <cellStyle name="Remarque 2 2 3 2 2 12 5 4" xfId="43880" xr:uid="{00000000-0005-0000-0000-0000A5160000}"/>
    <cellStyle name="Remarque 2 2 3 2 2 12 6" xfId="10044" xr:uid="{00000000-0005-0000-0000-0000A6160000}"/>
    <cellStyle name="Remarque 2 2 3 2 2 12 6 2" xfId="34058" xr:uid="{00000000-0005-0000-0000-0000A7160000}"/>
    <cellStyle name="Remarque 2 2 3 2 2 12 6 2 2" xfId="58018" xr:uid="{00000000-0005-0000-0000-0000A8160000}"/>
    <cellStyle name="Remarque 2 2 3 2 2 12 6 3" xfId="21305" xr:uid="{00000000-0005-0000-0000-0000A9160000}"/>
    <cellStyle name="Remarque 2 2 3 2 2 12 6 4" xfId="45265" xr:uid="{00000000-0005-0000-0000-0000AA160000}"/>
    <cellStyle name="Remarque 2 2 3 2 2 12 7" xfId="11501" xr:uid="{00000000-0005-0000-0000-0000AB160000}"/>
    <cellStyle name="Remarque 2 2 3 2 2 12 7 2" xfId="35511" xr:uid="{00000000-0005-0000-0000-0000AC160000}"/>
    <cellStyle name="Remarque 2 2 3 2 2 12 7 2 2" xfId="59471" xr:uid="{00000000-0005-0000-0000-0000AD160000}"/>
    <cellStyle name="Remarque 2 2 3 2 2 12 7 3" xfId="22768" xr:uid="{00000000-0005-0000-0000-0000AE160000}"/>
    <cellStyle name="Remarque 2 2 3 2 2 12 7 4" xfId="46728" xr:uid="{00000000-0005-0000-0000-0000AF160000}"/>
    <cellStyle name="Remarque 2 2 3 2 2 12 8" xfId="12455" xr:uid="{00000000-0005-0000-0000-0000B0160000}"/>
    <cellStyle name="Remarque 2 2 3 2 2 12 8 2" xfId="23749" xr:uid="{00000000-0005-0000-0000-0000B1160000}"/>
    <cellStyle name="Remarque 2 2 3 2 2 12 8 3" xfId="47709" xr:uid="{00000000-0005-0000-0000-0000B2160000}"/>
    <cellStyle name="Remarque 2 2 3 2 2 12 9" xfId="2973" xr:uid="{00000000-0005-0000-0000-0000B3160000}"/>
    <cellStyle name="Remarque 2 2 3 2 2 12 9 2" xfId="26987" xr:uid="{00000000-0005-0000-0000-0000B4160000}"/>
    <cellStyle name="Remarque 2 2 3 2 2 12 9 3" xfId="50947" xr:uid="{00000000-0005-0000-0000-0000B5160000}"/>
    <cellStyle name="Remarque 2 2 3 2 2 13" xfId="1599" xr:uid="{00000000-0005-0000-0000-0000B6160000}"/>
    <cellStyle name="Remarque 2 2 3 2 2 13 10" xfId="25631" xr:uid="{00000000-0005-0000-0000-0000B7160000}"/>
    <cellStyle name="Remarque 2 2 3 2 2 13 10 2" xfId="49591" xr:uid="{00000000-0005-0000-0000-0000B8160000}"/>
    <cellStyle name="Remarque 2 2 3 2 2 13 11" xfId="36858" xr:uid="{00000000-0005-0000-0000-0000B9160000}"/>
    <cellStyle name="Remarque 2 2 3 2 2 13 11 2" xfId="60818" xr:uid="{00000000-0005-0000-0000-0000BA160000}"/>
    <cellStyle name="Remarque 2 2 3 2 2 13 12" xfId="14296" xr:uid="{00000000-0005-0000-0000-0000BB160000}"/>
    <cellStyle name="Remarque 2 2 3 2 2 13 13" xfId="38256" xr:uid="{00000000-0005-0000-0000-0000BC160000}"/>
    <cellStyle name="Remarque 2 2 3 2 2 13 2" xfId="4505" xr:uid="{00000000-0005-0000-0000-0000BD160000}"/>
    <cellStyle name="Remarque 2 2 3 2 2 13 2 2" xfId="28519" xr:uid="{00000000-0005-0000-0000-0000BE160000}"/>
    <cellStyle name="Remarque 2 2 3 2 2 13 2 2 2" xfId="52479" xr:uid="{00000000-0005-0000-0000-0000BF160000}"/>
    <cellStyle name="Remarque 2 2 3 2 2 13 2 3" xfId="15766" xr:uid="{00000000-0005-0000-0000-0000C0160000}"/>
    <cellStyle name="Remarque 2 2 3 2 2 13 2 4" xfId="39726" xr:uid="{00000000-0005-0000-0000-0000C1160000}"/>
    <cellStyle name="Remarque 2 2 3 2 2 13 3" xfId="5939" xr:uid="{00000000-0005-0000-0000-0000C2160000}"/>
    <cellStyle name="Remarque 2 2 3 2 2 13 3 2" xfId="29953" xr:uid="{00000000-0005-0000-0000-0000C3160000}"/>
    <cellStyle name="Remarque 2 2 3 2 2 13 3 2 2" xfId="53913" xr:uid="{00000000-0005-0000-0000-0000C4160000}"/>
    <cellStyle name="Remarque 2 2 3 2 2 13 3 3" xfId="17200" xr:uid="{00000000-0005-0000-0000-0000C5160000}"/>
    <cellStyle name="Remarque 2 2 3 2 2 13 3 4" xfId="41160" xr:uid="{00000000-0005-0000-0000-0000C6160000}"/>
    <cellStyle name="Remarque 2 2 3 2 2 13 4" xfId="7333" xr:uid="{00000000-0005-0000-0000-0000C7160000}"/>
    <cellStyle name="Remarque 2 2 3 2 2 13 4 2" xfId="31347" xr:uid="{00000000-0005-0000-0000-0000C8160000}"/>
    <cellStyle name="Remarque 2 2 3 2 2 13 4 2 2" xfId="55307" xr:uid="{00000000-0005-0000-0000-0000C9160000}"/>
    <cellStyle name="Remarque 2 2 3 2 2 13 4 3" xfId="18594" xr:uid="{00000000-0005-0000-0000-0000CA160000}"/>
    <cellStyle name="Remarque 2 2 3 2 2 13 4 4" xfId="42554" xr:uid="{00000000-0005-0000-0000-0000CB160000}"/>
    <cellStyle name="Remarque 2 2 3 2 2 13 5" xfId="8721" xr:uid="{00000000-0005-0000-0000-0000CC160000}"/>
    <cellStyle name="Remarque 2 2 3 2 2 13 5 2" xfId="32735" xr:uid="{00000000-0005-0000-0000-0000CD160000}"/>
    <cellStyle name="Remarque 2 2 3 2 2 13 5 2 2" xfId="56695" xr:uid="{00000000-0005-0000-0000-0000CE160000}"/>
    <cellStyle name="Remarque 2 2 3 2 2 13 5 3" xfId="19982" xr:uid="{00000000-0005-0000-0000-0000CF160000}"/>
    <cellStyle name="Remarque 2 2 3 2 2 13 5 4" xfId="43942" xr:uid="{00000000-0005-0000-0000-0000D0160000}"/>
    <cellStyle name="Remarque 2 2 3 2 2 13 6" xfId="10106" xr:uid="{00000000-0005-0000-0000-0000D1160000}"/>
    <cellStyle name="Remarque 2 2 3 2 2 13 6 2" xfId="34120" xr:uid="{00000000-0005-0000-0000-0000D2160000}"/>
    <cellStyle name="Remarque 2 2 3 2 2 13 6 2 2" xfId="58080" xr:uid="{00000000-0005-0000-0000-0000D3160000}"/>
    <cellStyle name="Remarque 2 2 3 2 2 13 6 3" xfId="21367" xr:uid="{00000000-0005-0000-0000-0000D4160000}"/>
    <cellStyle name="Remarque 2 2 3 2 2 13 6 4" xfId="45327" xr:uid="{00000000-0005-0000-0000-0000D5160000}"/>
    <cellStyle name="Remarque 2 2 3 2 2 13 7" xfId="11563" xr:uid="{00000000-0005-0000-0000-0000D6160000}"/>
    <cellStyle name="Remarque 2 2 3 2 2 13 7 2" xfId="35573" xr:uid="{00000000-0005-0000-0000-0000D7160000}"/>
    <cellStyle name="Remarque 2 2 3 2 2 13 7 2 2" xfId="59533" xr:uid="{00000000-0005-0000-0000-0000D8160000}"/>
    <cellStyle name="Remarque 2 2 3 2 2 13 7 3" xfId="22830" xr:uid="{00000000-0005-0000-0000-0000D9160000}"/>
    <cellStyle name="Remarque 2 2 3 2 2 13 7 4" xfId="46790" xr:uid="{00000000-0005-0000-0000-0000DA160000}"/>
    <cellStyle name="Remarque 2 2 3 2 2 13 8" xfId="10138" xr:uid="{00000000-0005-0000-0000-0000DB160000}"/>
    <cellStyle name="Remarque 2 2 3 2 2 13 8 2" xfId="21401" xr:uid="{00000000-0005-0000-0000-0000DC160000}"/>
    <cellStyle name="Remarque 2 2 3 2 2 13 8 3" xfId="45361" xr:uid="{00000000-0005-0000-0000-0000DD160000}"/>
    <cellStyle name="Remarque 2 2 3 2 2 13 9" xfId="3035" xr:uid="{00000000-0005-0000-0000-0000DE160000}"/>
    <cellStyle name="Remarque 2 2 3 2 2 13 9 2" xfId="27049" xr:uid="{00000000-0005-0000-0000-0000DF160000}"/>
    <cellStyle name="Remarque 2 2 3 2 2 13 9 3" xfId="51009" xr:uid="{00000000-0005-0000-0000-0000E0160000}"/>
    <cellStyle name="Remarque 2 2 3 2 2 14" xfId="224" xr:uid="{00000000-0005-0000-0000-0000E1160000}"/>
    <cellStyle name="Remarque 2 2 3 2 2 14 10" xfId="35650" xr:uid="{00000000-0005-0000-0000-0000E2160000}"/>
    <cellStyle name="Remarque 2 2 3 2 2 14 10 2" xfId="59610" xr:uid="{00000000-0005-0000-0000-0000E3160000}"/>
    <cellStyle name="Remarque 2 2 3 2 2 14 11" xfId="14391" xr:uid="{00000000-0005-0000-0000-0000E4160000}"/>
    <cellStyle name="Remarque 2 2 3 2 2 14 12" xfId="38351" xr:uid="{00000000-0005-0000-0000-0000E5160000}"/>
    <cellStyle name="Remarque 2 2 3 2 2 14 2" xfId="4569" xr:uid="{00000000-0005-0000-0000-0000E6160000}"/>
    <cellStyle name="Remarque 2 2 3 2 2 14 2 2" xfId="28583" xr:uid="{00000000-0005-0000-0000-0000E7160000}"/>
    <cellStyle name="Remarque 2 2 3 2 2 14 2 2 2" xfId="52543" xr:uid="{00000000-0005-0000-0000-0000E8160000}"/>
    <cellStyle name="Remarque 2 2 3 2 2 14 2 3" xfId="15830" xr:uid="{00000000-0005-0000-0000-0000E9160000}"/>
    <cellStyle name="Remarque 2 2 3 2 2 14 2 4" xfId="39790" xr:uid="{00000000-0005-0000-0000-0000EA160000}"/>
    <cellStyle name="Remarque 2 2 3 2 2 14 3" xfId="5968" xr:uid="{00000000-0005-0000-0000-0000EB160000}"/>
    <cellStyle name="Remarque 2 2 3 2 2 14 3 2" xfId="29982" xr:uid="{00000000-0005-0000-0000-0000EC160000}"/>
    <cellStyle name="Remarque 2 2 3 2 2 14 3 2 2" xfId="53942" xr:uid="{00000000-0005-0000-0000-0000ED160000}"/>
    <cellStyle name="Remarque 2 2 3 2 2 14 3 3" xfId="17229" xr:uid="{00000000-0005-0000-0000-0000EE160000}"/>
    <cellStyle name="Remarque 2 2 3 2 2 14 3 4" xfId="41189" xr:uid="{00000000-0005-0000-0000-0000EF160000}"/>
    <cellStyle name="Remarque 2 2 3 2 2 14 4" xfId="7362" xr:uid="{00000000-0005-0000-0000-0000F0160000}"/>
    <cellStyle name="Remarque 2 2 3 2 2 14 4 2" xfId="31376" xr:uid="{00000000-0005-0000-0000-0000F1160000}"/>
    <cellStyle name="Remarque 2 2 3 2 2 14 4 2 2" xfId="55336" xr:uid="{00000000-0005-0000-0000-0000F2160000}"/>
    <cellStyle name="Remarque 2 2 3 2 2 14 4 3" xfId="18623" xr:uid="{00000000-0005-0000-0000-0000F3160000}"/>
    <cellStyle name="Remarque 2 2 3 2 2 14 4 4" xfId="42583" xr:uid="{00000000-0005-0000-0000-0000F4160000}"/>
    <cellStyle name="Remarque 2 2 3 2 2 14 5" xfId="8750" xr:uid="{00000000-0005-0000-0000-0000F5160000}"/>
    <cellStyle name="Remarque 2 2 3 2 2 14 5 2" xfId="32764" xr:uid="{00000000-0005-0000-0000-0000F6160000}"/>
    <cellStyle name="Remarque 2 2 3 2 2 14 5 2 2" xfId="56724" xr:uid="{00000000-0005-0000-0000-0000F7160000}"/>
    <cellStyle name="Remarque 2 2 3 2 2 14 5 3" xfId="20011" xr:uid="{00000000-0005-0000-0000-0000F8160000}"/>
    <cellStyle name="Remarque 2 2 3 2 2 14 5 4" xfId="43971" xr:uid="{00000000-0005-0000-0000-0000F9160000}"/>
    <cellStyle name="Remarque 2 2 3 2 2 14 6" xfId="10190" xr:uid="{00000000-0005-0000-0000-0000FA160000}"/>
    <cellStyle name="Remarque 2 2 3 2 2 14 6 2" xfId="34202" xr:uid="{00000000-0005-0000-0000-0000FB160000}"/>
    <cellStyle name="Remarque 2 2 3 2 2 14 6 2 2" xfId="58162" xr:uid="{00000000-0005-0000-0000-0000FC160000}"/>
    <cellStyle name="Remarque 2 2 3 2 2 14 6 3" xfId="21455" xr:uid="{00000000-0005-0000-0000-0000FD160000}"/>
    <cellStyle name="Remarque 2 2 3 2 2 14 6 4" xfId="45415" xr:uid="{00000000-0005-0000-0000-0000FE160000}"/>
    <cellStyle name="Remarque 2 2 3 2 2 14 7" xfId="11929" xr:uid="{00000000-0005-0000-0000-0000FF160000}"/>
    <cellStyle name="Remarque 2 2 3 2 2 14 7 2" xfId="23207" xr:uid="{00000000-0005-0000-0000-000000170000}"/>
    <cellStyle name="Remarque 2 2 3 2 2 14 7 3" xfId="47167" xr:uid="{00000000-0005-0000-0000-000001170000}"/>
    <cellStyle name="Remarque 2 2 3 2 2 14 8" xfId="3130" xr:uid="{00000000-0005-0000-0000-000002170000}"/>
    <cellStyle name="Remarque 2 2 3 2 2 14 8 2" xfId="27144" xr:uid="{00000000-0005-0000-0000-000003170000}"/>
    <cellStyle name="Remarque 2 2 3 2 2 14 8 3" xfId="51104" xr:uid="{00000000-0005-0000-0000-000004170000}"/>
    <cellStyle name="Remarque 2 2 3 2 2 14 9" xfId="24256" xr:uid="{00000000-0005-0000-0000-000005170000}"/>
    <cellStyle name="Remarque 2 2 3 2 2 14 9 2" xfId="48216" xr:uid="{00000000-0005-0000-0000-000006170000}"/>
    <cellStyle name="Remarque 2 2 3 2 2 15" xfId="3099" xr:uid="{00000000-0005-0000-0000-000007170000}"/>
    <cellStyle name="Remarque 2 2 3 2 2 15 2" xfId="27113" xr:uid="{00000000-0005-0000-0000-000008170000}"/>
    <cellStyle name="Remarque 2 2 3 2 2 15 2 2" xfId="51073" xr:uid="{00000000-0005-0000-0000-000009170000}"/>
    <cellStyle name="Remarque 2 2 3 2 2 15 3" xfId="14360" xr:uid="{00000000-0005-0000-0000-00000A170000}"/>
    <cellStyle name="Remarque 2 2 3 2 2 15 4" xfId="38320" xr:uid="{00000000-0005-0000-0000-00000B170000}"/>
    <cellStyle name="Remarque 2 2 3 2 2 16" xfId="4538" xr:uid="{00000000-0005-0000-0000-00000C170000}"/>
    <cellStyle name="Remarque 2 2 3 2 2 16 2" xfId="28552" xr:uid="{00000000-0005-0000-0000-00000D170000}"/>
    <cellStyle name="Remarque 2 2 3 2 2 16 2 2" xfId="52512" xr:uid="{00000000-0005-0000-0000-00000E170000}"/>
    <cellStyle name="Remarque 2 2 3 2 2 16 3" xfId="15799" xr:uid="{00000000-0005-0000-0000-00000F170000}"/>
    <cellStyle name="Remarque 2 2 3 2 2 16 4" xfId="39759" xr:uid="{00000000-0005-0000-0000-000010170000}"/>
    <cellStyle name="Remarque 2 2 3 2 2 17" xfId="3041" xr:uid="{00000000-0005-0000-0000-000011170000}"/>
    <cellStyle name="Remarque 2 2 3 2 2 17 2" xfId="27055" xr:uid="{00000000-0005-0000-0000-000012170000}"/>
    <cellStyle name="Remarque 2 2 3 2 2 17 2 2" xfId="51015" xr:uid="{00000000-0005-0000-0000-000013170000}"/>
    <cellStyle name="Remarque 2 2 3 2 2 17 3" xfId="14302" xr:uid="{00000000-0005-0000-0000-000014170000}"/>
    <cellStyle name="Remarque 2 2 3 2 2 17 4" xfId="38262" xr:uid="{00000000-0005-0000-0000-000015170000}"/>
    <cellStyle name="Remarque 2 2 3 2 2 18" xfId="3049" xr:uid="{00000000-0005-0000-0000-000016170000}"/>
    <cellStyle name="Remarque 2 2 3 2 2 18 2" xfId="27063" xr:uid="{00000000-0005-0000-0000-000017170000}"/>
    <cellStyle name="Remarque 2 2 3 2 2 18 2 2" xfId="51023" xr:uid="{00000000-0005-0000-0000-000018170000}"/>
    <cellStyle name="Remarque 2 2 3 2 2 18 3" xfId="14310" xr:uid="{00000000-0005-0000-0000-000019170000}"/>
    <cellStyle name="Remarque 2 2 3 2 2 18 4" xfId="38270" xr:uid="{00000000-0005-0000-0000-00001A170000}"/>
    <cellStyle name="Remarque 2 2 3 2 2 19" xfId="4580" xr:uid="{00000000-0005-0000-0000-00001B170000}"/>
    <cellStyle name="Remarque 2 2 3 2 2 19 2" xfId="28594" xr:uid="{00000000-0005-0000-0000-00001C170000}"/>
    <cellStyle name="Remarque 2 2 3 2 2 19 2 2" xfId="52554" xr:uid="{00000000-0005-0000-0000-00001D170000}"/>
    <cellStyle name="Remarque 2 2 3 2 2 19 3" xfId="15841" xr:uid="{00000000-0005-0000-0000-00001E170000}"/>
    <cellStyle name="Remarque 2 2 3 2 2 19 4" xfId="39801" xr:uid="{00000000-0005-0000-0000-00001F170000}"/>
    <cellStyle name="Remarque 2 2 3 2 2 2" xfId="113" xr:uid="{00000000-0005-0000-0000-000020170000}"/>
    <cellStyle name="Remarque 2 2 3 2 2 2 10" xfId="3172" xr:uid="{00000000-0005-0000-0000-000021170000}"/>
    <cellStyle name="Remarque 2 2 3 2 2 2 10 2" xfId="27186" xr:uid="{00000000-0005-0000-0000-000022170000}"/>
    <cellStyle name="Remarque 2 2 3 2 2 2 10 2 2" xfId="51146" xr:uid="{00000000-0005-0000-0000-000023170000}"/>
    <cellStyle name="Remarque 2 2 3 2 2 2 10 3" xfId="14433" xr:uid="{00000000-0005-0000-0000-000024170000}"/>
    <cellStyle name="Remarque 2 2 3 2 2 2 10 4" xfId="38393" xr:uid="{00000000-0005-0000-0000-000025170000}"/>
    <cellStyle name="Remarque 2 2 3 2 2 2 11" xfId="4606" xr:uid="{00000000-0005-0000-0000-000026170000}"/>
    <cellStyle name="Remarque 2 2 3 2 2 2 11 2" xfId="28620" xr:uid="{00000000-0005-0000-0000-000027170000}"/>
    <cellStyle name="Remarque 2 2 3 2 2 2 11 2 2" xfId="52580" xr:uid="{00000000-0005-0000-0000-000028170000}"/>
    <cellStyle name="Remarque 2 2 3 2 2 2 11 3" xfId="15867" xr:uid="{00000000-0005-0000-0000-000029170000}"/>
    <cellStyle name="Remarque 2 2 3 2 2 2 11 4" xfId="39827" xr:uid="{00000000-0005-0000-0000-00002A170000}"/>
    <cellStyle name="Remarque 2 2 3 2 2 2 12" xfId="6000" xr:uid="{00000000-0005-0000-0000-00002B170000}"/>
    <cellStyle name="Remarque 2 2 3 2 2 2 12 2" xfId="30014" xr:uid="{00000000-0005-0000-0000-00002C170000}"/>
    <cellStyle name="Remarque 2 2 3 2 2 2 12 2 2" xfId="53974" xr:uid="{00000000-0005-0000-0000-00002D170000}"/>
    <cellStyle name="Remarque 2 2 3 2 2 2 12 3" xfId="17261" xr:uid="{00000000-0005-0000-0000-00002E170000}"/>
    <cellStyle name="Remarque 2 2 3 2 2 2 12 4" xfId="41221" xr:uid="{00000000-0005-0000-0000-00002F170000}"/>
    <cellStyle name="Remarque 2 2 3 2 2 2 13" xfId="7388" xr:uid="{00000000-0005-0000-0000-000030170000}"/>
    <cellStyle name="Remarque 2 2 3 2 2 2 13 2" xfId="31402" xr:uid="{00000000-0005-0000-0000-000031170000}"/>
    <cellStyle name="Remarque 2 2 3 2 2 2 13 2 2" xfId="55362" xr:uid="{00000000-0005-0000-0000-000032170000}"/>
    <cellStyle name="Remarque 2 2 3 2 2 2 13 3" xfId="18649" xr:uid="{00000000-0005-0000-0000-000033170000}"/>
    <cellStyle name="Remarque 2 2 3 2 2 2 13 4" xfId="42609" xr:uid="{00000000-0005-0000-0000-000034170000}"/>
    <cellStyle name="Remarque 2 2 3 2 2 2 14" xfId="8773" xr:uid="{00000000-0005-0000-0000-000035170000}"/>
    <cellStyle name="Remarque 2 2 3 2 2 2 14 2" xfId="32787" xr:uid="{00000000-0005-0000-0000-000036170000}"/>
    <cellStyle name="Remarque 2 2 3 2 2 2 14 2 2" xfId="56747" xr:uid="{00000000-0005-0000-0000-000037170000}"/>
    <cellStyle name="Remarque 2 2 3 2 2 2 14 3" xfId="20034" xr:uid="{00000000-0005-0000-0000-000038170000}"/>
    <cellStyle name="Remarque 2 2 3 2 2 2 14 4" xfId="43994" xr:uid="{00000000-0005-0000-0000-000039170000}"/>
    <cellStyle name="Remarque 2 2 3 2 2 2 15" xfId="10230" xr:uid="{00000000-0005-0000-0000-00003A170000}"/>
    <cellStyle name="Remarque 2 2 3 2 2 2 15 2" xfId="34240" xr:uid="{00000000-0005-0000-0000-00003B170000}"/>
    <cellStyle name="Remarque 2 2 3 2 2 2 15 2 2" xfId="58200" xr:uid="{00000000-0005-0000-0000-00003C170000}"/>
    <cellStyle name="Remarque 2 2 3 2 2 2 15 3" xfId="21497" xr:uid="{00000000-0005-0000-0000-00003D170000}"/>
    <cellStyle name="Remarque 2 2 3 2 2 2 15 4" xfId="45457" xr:uid="{00000000-0005-0000-0000-00003E170000}"/>
    <cellStyle name="Remarque 2 2 3 2 2 2 16" xfId="12237" xr:uid="{00000000-0005-0000-0000-00003F170000}"/>
    <cellStyle name="Remarque 2 2 3 2 2 2 16 2" xfId="23521" xr:uid="{00000000-0005-0000-0000-000040170000}"/>
    <cellStyle name="Remarque 2 2 3 2 2 2 16 3" xfId="47481" xr:uid="{00000000-0005-0000-0000-000041170000}"/>
    <cellStyle name="Remarque 2 2 3 2 2 2 17" xfId="1702" xr:uid="{00000000-0005-0000-0000-000042170000}"/>
    <cellStyle name="Remarque 2 2 3 2 2 2 17 2" xfId="25716" xr:uid="{00000000-0005-0000-0000-000043170000}"/>
    <cellStyle name="Remarque 2 2 3 2 2 2 17 3" xfId="49676" xr:uid="{00000000-0005-0000-0000-000044170000}"/>
    <cellStyle name="Remarque 2 2 3 2 2 2 18" xfId="24298" xr:uid="{00000000-0005-0000-0000-000045170000}"/>
    <cellStyle name="Remarque 2 2 3 2 2 2 18 2" xfId="48258" xr:uid="{00000000-0005-0000-0000-000046170000}"/>
    <cellStyle name="Remarque 2 2 3 2 2 2 19" xfId="36192" xr:uid="{00000000-0005-0000-0000-000047170000}"/>
    <cellStyle name="Remarque 2 2 3 2 2 2 19 2" xfId="60152" xr:uid="{00000000-0005-0000-0000-000048170000}"/>
    <cellStyle name="Remarque 2 2 3 2 2 2 2" xfId="441" xr:uid="{00000000-0005-0000-0000-000049170000}"/>
    <cellStyle name="Remarque 2 2 3 2 2 2 2 10" xfId="6175" xr:uid="{00000000-0005-0000-0000-00004A170000}"/>
    <cellStyle name="Remarque 2 2 3 2 2 2 2 10 2" xfId="30189" xr:uid="{00000000-0005-0000-0000-00004B170000}"/>
    <cellStyle name="Remarque 2 2 3 2 2 2 2 10 2 2" xfId="54149" xr:uid="{00000000-0005-0000-0000-00004C170000}"/>
    <cellStyle name="Remarque 2 2 3 2 2 2 2 10 3" xfId="17436" xr:uid="{00000000-0005-0000-0000-00004D170000}"/>
    <cellStyle name="Remarque 2 2 3 2 2 2 2 10 4" xfId="41396" xr:uid="{00000000-0005-0000-0000-00004E170000}"/>
    <cellStyle name="Remarque 2 2 3 2 2 2 2 11" xfId="7563" xr:uid="{00000000-0005-0000-0000-00004F170000}"/>
    <cellStyle name="Remarque 2 2 3 2 2 2 2 11 2" xfId="31577" xr:uid="{00000000-0005-0000-0000-000050170000}"/>
    <cellStyle name="Remarque 2 2 3 2 2 2 2 11 2 2" xfId="55537" xr:uid="{00000000-0005-0000-0000-000051170000}"/>
    <cellStyle name="Remarque 2 2 3 2 2 2 2 11 3" xfId="18824" xr:uid="{00000000-0005-0000-0000-000052170000}"/>
    <cellStyle name="Remarque 2 2 3 2 2 2 2 11 4" xfId="42784" xr:uid="{00000000-0005-0000-0000-000053170000}"/>
    <cellStyle name="Remarque 2 2 3 2 2 2 2 12" xfId="8948" xr:uid="{00000000-0005-0000-0000-000054170000}"/>
    <cellStyle name="Remarque 2 2 3 2 2 2 2 12 2" xfId="32962" xr:uid="{00000000-0005-0000-0000-000055170000}"/>
    <cellStyle name="Remarque 2 2 3 2 2 2 2 12 2 2" xfId="56922" xr:uid="{00000000-0005-0000-0000-000056170000}"/>
    <cellStyle name="Remarque 2 2 3 2 2 2 2 12 3" xfId="20209" xr:uid="{00000000-0005-0000-0000-000057170000}"/>
    <cellStyle name="Remarque 2 2 3 2 2 2 2 12 4" xfId="44169" xr:uid="{00000000-0005-0000-0000-000058170000}"/>
    <cellStyle name="Remarque 2 2 3 2 2 2 2 13" xfId="10405" xr:uid="{00000000-0005-0000-0000-000059170000}"/>
    <cellStyle name="Remarque 2 2 3 2 2 2 2 13 2" xfId="34415" xr:uid="{00000000-0005-0000-0000-00005A170000}"/>
    <cellStyle name="Remarque 2 2 3 2 2 2 2 13 2 2" xfId="58375" xr:uid="{00000000-0005-0000-0000-00005B170000}"/>
    <cellStyle name="Remarque 2 2 3 2 2 2 2 13 3" xfId="21672" xr:uid="{00000000-0005-0000-0000-00005C170000}"/>
    <cellStyle name="Remarque 2 2 3 2 2 2 2 13 4" xfId="45632" xr:uid="{00000000-0005-0000-0000-00005D170000}"/>
    <cellStyle name="Remarque 2 2 3 2 2 2 2 14" xfId="11966" xr:uid="{00000000-0005-0000-0000-00005E170000}"/>
    <cellStyle name="Remarque 2 2 3 2 2 2 2 14 2" xfId="23244" xr:uid="{00000000-0005-0000-0000-00005F170000}"/>
    <cellStyle name="Remarque 2 2 3 2 2 2 2 14 3" xfId="47204" xr:uid="{00000000-0005-0000-0000-000060170000}"/>
    <cellStyle name="Remarque 2 2 3 2 2 2 2 15" xfId="1877" xr:uid="{00000000-0005-0000-0000-000061170000}"/>
    <cellStyle name="Remarque 2 2 3 2 2 2 2 15 2" xfId="25891" xr:uid="{00000000-0005-0000-0000-000062170000}"/>
    <cellStyle name="Remarque 2 2 3 2 2 2 2 15 3" xfId="49851" xr:uid="{00000000-0005-0000-0000-000063170000}"/>
    <cellStyle name="Remarque 2 2 3 2 2 2 2 16" xfId="24473" xr:uid="{00000000-0005-0000-0000-000064170000}"/>
    <cellStyle name="Remarque 2 2 3 2 2 2 2 16 2" xfId="48433" xr:uid="{00000000-0005-0000-0000-000065170000}"/>
    <cellStyle name="Remarque 2 2 3 2 2 2 2 17" xfId="35804" xr:uid="{00000000-0005-0000-0000-000066170000}"/>
    <cellStyle name="Remarque 2 2 3 2 2 2 2 17 2" xfId="59764" xr:uid="{00000000-0005-0000-0000-000067170000}"/>
    <cellStyle name="Remarque 2 2 3 2 2 2 2 18" xfId="13138" xr:uid="{00000000-0005-0000-0000-000068170000}"/>
    <cellStyle name="Remarque 2 2 3 2 2 2 2 19" xfId="37098" xr:uid="{00000000-0005-0000-0000-000069170000}"/>
    <cellStyle name="Remarque 2 2 3 2 2 2 2 2" xfId="577" xr:uid="{00000000-0005-0000-0000-00006A170000}"/>
    <cellStyle name="Remarque 2 2 3 2 2 2 2 2 10" xfId="24609" xr:uid="{00000000-0005-0000-0000-00006B170000}"/>
    <cellStyle name="Remarque 2 2 3 2 2 2 2 2 10 2" xfId="48569" xr:uid="{00000000-0005-0000-0000-00006C170000}"/>
    <cellStyle name="Remarque 2 2 3 2 2 2 2 2 11" xfId="35606" xr:uid="{00000000-0005-0000-0000-00006D170000}"/>
    <cellStyle name="Remarque 2 2 3 2 2 2 2 2 11 2" xfId="59566" xr:uid="{00000000-0005-0000-0000-00006E170000}"/>
    <cellStyle name="Remarque 2 2 3 2 2 2 2 2 12" xfId="13274" xr:uid="{00000000-0005-0000-0000-00006F170000}"/>
    <cellStyle name="Remarque 2 2 3 2 2 2 2 2 13" xfId="37234" xr:uid="{00000000-0005-0000-0000-000070170000}"/>
    <cellStyle name="Remarque 2 2 3 2 2 2 2 2 2" xfId="3483" xr:uid="{00000000-0005-0000-0000-000071170000}"/>
    <cellStyle name="Remarque 2 2 3 2 2 2 2 2 2 2" xfId="27497" xr:uid="{00000000-0005-0000-0000-000072170000}"/>
    <cellStyle name="Remarque 2 2 3 2 2 2 2 2 2 2 2" xfId="51457" xr:uid="{00000000-0005-0000-0000-000073170000}"/>
    <cellStyle name="Remarque 2 2 3 2 2 2 2 2 2 3" xfId="14744" xr:uid="{00000000-0005-0000-0000-000074170000}"/>
    <cellStyle name="Remarque 2 2 3 2 2 2 2 2 2 4" xfId="38704" xr:uid="{00000000-0005-0000-0000-000075170000}"/>
    <cellStyle name="Remarque 2 2 3 2 2 2 2 2 3" xfId="4917" xr:uid="{00000000-0005-0000-0000-000076170000}"/>
    <cellStyle name="Remarque 2 2 3 2 2 2 2 2 3 2" xfId="28931" xr:uid="{00000000-0005-0000-0000-000077170000}"/>
    <cellStyle name="Remarque 2 2 3 2 2 2 2 2 3 2 2" xfId="52891" xr:uid="{00000000-0005-0000-0000-000078170000}"/>
    <cellStyle name="Remarque 2 2 3 2 2 2 2 2 3 3" xfId="16178" xr:uid="{00000000-0005-0000-0000-000079170000}"/>
    <cellStyle name="Remarque 2 2 3 2 2 2 2 2 3 4" xfId="40138" xr:uid="{00000000-0005-0000-0000-00007A170000}"/>
    <cellStyle name="Remarque 2 2 3 2 2 2 2 2 4" xfId="6311" xr:uid="{00000000-0005-0000-0000-00007B170000}"/>
    <cellStyle name="Remarque 2 2 3 2 2 2 2 2 4 2" xfId="30325" xr:uid="{00000000-0005-0000-0000-00007C170000}"/>
    <cellStyle name="Remarque 2 2 3 2 2 2 2 2 4 2 2" xfId="54285" xr:uid="{00000000-0005-0000-0000-00007D170000}"/>
    <cellStyle name="Remarque 2 2 3 2 2 2 2 2 4 3" xfId="17572" xr:uid="{00000000-0005-0000-0000-00007E170000}"/>
    <cellStyle name="Remarque 2 2 3 2 2 2 2 2 4 4" xfId="41532" xr:uid="{00000000-0005-0000-0000-00007F170000}"/>
    <cellStyle name="Remarque 2 2 3 2 2 2 2 2 5" xfId="7699" xr:uid="{00000000-0005-0000-0000-000080170000}"/>
    <cellStyle name="Remarque 2 2 3 2 2 2 2 2 5 2" xfId="31713" xr:uid="{00000000-0005-0000-0000-000081170000}"/>
    <cellStyle name="Remarque 2 2 3 2 2 2 2 2 5 2 2" xfId="55673" xr:uid="{00000000-0005-0000-0000-000082170000}"/>
    <cellStyle name="Remarque 2 2 3 2 2 2 2 2 5 3" xfId="18960" xr:uid="{00000000-0005-0000-0000-000083170000}"/>
    <cellStyle name="Remarque 2 2 3 2 2 2 2 2 5 4" xfId="42920" xr:uid="{00000000-0005-0000-0000-000084170000}"/>
    <cellStyle name="Remarque 2 2 3 2 2 2 2 2 6" xfId="9084" xr:uid="{00000000-0005-0000-0000-000085170000}"/>
    <cellStyle name="Remarque 2 2 3 2 2 2 2 2 6 2" xfId="33098" xr:uid="{00000000-0005-0000-0000-000086170000}"/>
    <cellStyle name="Remarque 2 2 3 2 2 2 2 2 6 2 2" xfId="57058" xr:uid="{00000000-0005-0000-0000-000087170000}"/>
    <cellStyle name="Remarque 2 2 3 2 2 2 2 2 6 3" xfId="20345" xr:uid="{00000000-0005-0000-0000-000088170000}"/>
    <cellStyle name="Remarque 2 2 3 2 2 2 2 2 6 4" xfId="44305" xr:uid="{00000000-0005-0000-0000-000089170000}"/>
    <cellStyle name="Remarque 2 2 3 2 2 2 2 2 7" xfId="10541" xr:uid="{00000000-0005-0000-0000-00008A170000}"/>
    <cellStyle name="Remarque 2 2 3 2 2 2 2 2 7 2" xfId="34551" xr:uid="{00000000-0005-0000-0000-00008B170000}"/>
    <cellStyle name="Remarque 2 2 3 2 2 2 2 2 7 2 2" xfId="58511" xr:uid="{00000000-0005-0000-0000-00008C170000}"/>
    <cellStyle name="Remarque 2 2 3 2 2 2 2 2 7 3" xfId="21808" xr:uid="{00000000-0005-0000-0000-00008D170000}"/>
    <cellStyle name="Remarque 2 2 3 2 2 2 2 2 7 4" xfId="45768" xr:uid="{00000000-0005-0000-0000-00008E170000}"/>
    <cellStyle name="Remarque 2 2 3 2 2 2 2 2 8" xfId="12340" xr:uid="{00000000-0005-0000-0000-00008F170000}"/>
    <cellStyle name="Remarque 2 2 3 2 2 2 2 2 8 2" xfId="23628" xr:uid="{00000000-0005-0000-0000-000090170000}"/>
    <cellStyle name="Remarque 2 2 3 2 2 2 2 2 8 3" xfId="47588" xr:uid="{00000000-0005-0000-0000-000091170000}"/>
    <cellStyle name="Remarque 2 2 3 2 2 2 2 2 9" xfId="2013" xr:uid="{00000000-0005-0000-0000-000092170000}"/>
    <cellStyle name="Remarque 2 2 3 2 2 2 2 2 9 2" xfId="26027" xr:uid="{00000000-0005-0000-0000-000093170000}"/>
    <cellStyle name="Remarque 2 2 3 2 2 2 2 2 9 3" xfId="49987" xr:uid="{00000000-0005-0000-0000-000094170000}"/>
    <cellStyle name="Remarque 2 2 3 2 2 2 2 3" xfId="769" xr:uid="{00000000-0005-0000-0000-000095170000}"/>
    <cellStyle name="Remarque 2 2 3 2 2 2 2 3 10" xfId="24801" xr:uid="{00000000-0005-0000-0000-000096170000}"/>
    <cellStyle name="Remarque 2 2 3 2 2 2 2 3 10 2" xfId="48761" xr:uid="{00000000-0005-0000-0000-000097170000}"/>
    <cellStyle name="Remarque 2 2 3 2 2 2 2 3 11" xfId="36480" xr:uid="{00000000-0005-0000-0000-000098170000}"/>
    <cellStyle name="Remarque 2 2 3 2 2 2 2 3 11 2" xfId="60440" xr:uid="{00000000-0005-0000-0000-000099170000}"/>
    <cellStyle name="Remarque 2 2 3 2 2 2 2 3 12" xfId="13466" xr:uid="{00000000-0005-0000-0000-00009A170000}"/>
    <cellStyle name="Remarque 2 2 3 2 2 2 2 3 13" xfId="37426" xr:uid="{00000000-0005-0000-0000-00009B170000}"/>
    <cellStyle name="Remarque 2 2 3 2 2 2 2 3 2" xfId="3675" xr:uid="{00000000-0005-0000-0000-00009C170000}"/>
    <cellStyle name="Remarque 2 2 3 2 2 2 2 3 2 2" xfId="27689" xr:uid="{00000000-0005-0000-0000-00009D170000}"/>
    <cellStyle name="Remarque 2 2 3 2 2 2 2 3 2 2 2" xfId="51649" xr:uid="{00000000-0005-0000-0000-00009E170000}"/>
    <cellStyle name="Remarque 2 2 3 2 2 2 2 3 2 3" xfId="14936" xr:uid="{00000000-0005-0000-0000-00009F170000}"/>
    <cellStyle name="Remarque 2 2 3 2 2 2 2 3 2 4" xfId="38896" xr:uid="{00000000-0005-0000-0000-0000A0170000}"/>
    <cellStyle name="Remarque 2 2 3 2 2 2 2 3 3" xfId="5109" xr:uid="{00000000-0005-0000-0000-0000A1170000}"/>
    <cellStyle name="Remarque 2 2 3 2 2 2 2 3 3 2" xfId="29123" xr:uid="{00000000-0005-0000-0000-0000A2170000}"/>
    <cellStyle name="Remarque 2 2 3 2 2 2 2 3 3 2 2" xfId="53083" xr:uid="{00000000-0005-0000-0000-0000A3170000}"/>
    <cellStyle name="Remarque 2 2 3 2 2 2 2 3 3 3" xfId="16370" xr:uid="{00000000-0005-0000-0000-0000A4170000}"/>
    <cellStyle name="Remarque 2 2 3 2 2 2 2 3 3 4" xfId="40330" xr:uid="{00000000-0005-0000-0000-0000A5170000}"/>
    <cellStyle name="Remarque 2 2 3 2 2 2 2 3 4" xfId="6503" xr:uid="{00000000-0005-0000-0000-0000A6170000}"/>
    <cellStyle name="Remarque 2 2 3 2 2 2 2 3 4 2" xfId="30517" xr:uid="{00000000-0005-0000-0000-0000A7170000}"/>
    <cellStyle name="Remarque 2 2 3 2 2 2 2 3 4 2 2" xfId="54477" xr:uid="{00000000-0005-0000-0000-0000A8170000}"/>
    <cellStyle name="Remarque 2 2 3 2 2 2 2 3 4 3" xfId="17764" xr:uid="{00000000-0005-0000-0000-0000A9170000}"/>
    <cellStyle name="Remarque 2 2 3 2 2 2 2 3 4 4" xfId="41724" xr:uid="{00000000-0005-0000-0000-0000AA170000}"/>
    <cellStyle name="Remarque 2 2 3 2 2 2 2 3 5" xfId="7891" xr:uid="{00000000-0005-0000-0000-0000AB170000}"/>
    <cellStyle name="Remarque 2 2 3 2 2 2 2 3 5 2" xfId="31905" xr:uid="{00000000-0005-0000-0000-0000AC170000}"/>
    <cellStyle name="Remarque 2 2 3 2 2 2 2 3 5 2 2" xfId="55865" xr:uid="{00000000-0005-0000-0000-0000AD170000}"/>
    <cellStyle name="Remarque 2 2 3 2 2 2 2 3 5 3" xfId="19152" xr:uid="{00000000-0005-0000-0000-0000AE170000}"/>
    <cellStyle name="Remarque 2 2 3 2 2 2 2 3 5 4" xfId="43112" xr:uid="{00000000-0005-0000-0000-0000AF170000}"/>
    <cellStyle name="Remarque 2 2 3 2 2 2 2 3 6" xfId="9276" xr:uid="{00000000-0005-0000-0000-0000B0170000}"/>
    <cellStyle name="Remarque 2 2 3 2 2 2 2 3 6 2" xfId="33290" xr:uid="{00000000-0005-0000-0000-0000B1170000}"/>
    <cellStyle name="Remarque 2 2 3 2 2 2 2 3 6 2 2" xfId="57250" xr:uid="{00000000-0005-0000-0000-0000B2170000}"/>
    <cellStyle name="Remarque 2 2 3 2 2 2 2 3 6 3" xfId="20537" xr:uid="{00000000-0005-0000-0000-0000B3170000}"/>
    <cellStyle name="Remarque 2 2 3 2 2 2 2 3 6 4" xfId="44497" xr:uid="{00000000-0005-0000-0000-0000B4170000}"/>
    <cellStyle name="Remarque 2 2 3 2 2 2 2 3 7" xfId="10733" xr:uid="{00000000-0005-0000-0000-0000B5170000}"/>
    <cellStyle name="Remarque 2 2 3 2 2 2 2 3 7 2" xfId="34743" xr:uid="{00000000-0005-0000-0000-0000B6170000}"/>
    <cellStyle name="Remarque 2 2 3 2 2 2 2 3 7 2 2" xfId="58703" xr:uid="{00000000-0005-0000-0000-0000B7170000}"/>
    <cellStyle name="Remarque 2 2 3 2 2 2 2 3 7 3" xfId="22000" xr:uid="{00000000-0005-0000-0000-0000B8170000}"/>
    <cellStyle name="Remarque 2 2 3 2 2 2 2 3 7 4" xfId="45960" xr:uid="{00000000-0005-0000-0000-0000B9170000}"/>
    <cellStyle name="Remarque 2 2 3 2 2 2 2 3 8" xfId="11994" xr:uid="{00000000-0005-0000-0000-0000BA170000}"/>
    <cellStyle name="Remarque 2 2 3 2 2 2 2 3 8 2" xfId="23273" xr:uid="{00000000-0005-0000-0000-0000BB170000}"/>
    <cellStyle name="Remarque 2 2 3 2 2 2 2 3 8 3" xfId="47233" xr:uid="{00000000-0005-0000-0000-0000BC170000}"/>
    <cellStyle name="Remarque 2 2 3 2 2 2 2 3 9" xfId="2205" xr:uid="{00000000-0005-0000-0000-0000BD170000}"/>
    <cellStyle name="Remarque 2 2 3 2 2 2 2 3 9 2" xfId="26219" xr:uid="{00000000-0005-0000-0000-0000BE170000}"/>
    <cellStyle name="Remarque 2 2 3 2 2 2 2 3 9 3" xfId="50179" xr:uid="{00000000-0005-0000-0000-0000BF170000}"/>
    <cellStyle name="Remarque 2 2 3 2 2 2 2 4" xfId="963" xr:uid="{00000000-0005-0000-0000-0000C0170000}"/>
    <cellStyle name="Remarque 2 2 3 2 2 2 2 4 10" xfId="24995" xr:uid="{00000000-0005-0000-0000-0000C1170000}"/>
    <cellStyle name="Remarque 2 2 3 2 2 2 2 4 10 2" xfId="48955" xr:uid="{00000000-0005-0000-0000-0000C2170000}"/>
    <cellStyle name="Remarque 2 2 3 2 2 2 2 4 11" xfId="36521" xr:uid="{00000000-0005-0000-0000-0000C3170000}"/>
    <cellStyle name="Remarque 2 2 3 2 2 2 2 4 11 2" xfId="60481" xr:uid="{00000000-0005-0000-0000-0000C4170000}"/>
    <cellStyle name="Remarque 2 2 3 2 2 2 2 4 12" xfId="13660" xr:uid="{00000000-0005-0000-0000-0000C5170000}"/>
    <cellStyle name="Remarque 2 2 3 2 2 2 2 4 13" xfId="37620" xr:uid="{00000000-0005-0000-0000-0000C6170000}"/>
    <cellStyle name="Remarque 2 2 3 2 2 2 2 4 2" xfId="3869" xr:uid="{00000000-0005-0000-0000-0000C7170000}"/>
    <cellStyle name="Remarque 2 2 3 2 2 2 2 4 2 2" xfId="27883" xr:uid="{00000000-0005-0000-0000-0000C8170000}"/>
    <cellStyle name="Remarque 2 2 3 2 2 2 2 4 2 2 2" xfId="51843" xr:uid="{00000000-0005-0000-0000-0000C9170000}"/>
    <cellStyle name="Remarque 2 2 3 2 2 2 2 4 2 3" xfId="15130" xr:uid="{00000000-0005-0000-0000-0000CA170000}"/>
    <cellStyle name="Remarque 2 2 3 2 2 2 2 4 2 4" xfId="39090" xr:uid="{00000000-0005-0000-0000-0000CB170000}"/>
    <cellStyle name="Remarque 2 2 3 2 2 2 2 4 3" xfId="5303" xr:uid="{00000000-0005-0000-0000-0000CC170000}"/>
    <cellStyle name="Remarque 2 2 3 2 2 2 2 4 3 2" xfId="29317" xr:uid="{00000000-0005-0000-0000-0000CD170000}"/>
    <cellStyle name="Remarque 2 2 3 2 2 2 2 4 3 2 2" xfId="53277" xr:uid="{00000000-0005-0000-0000-0000CE170000}"/>
    <cellStyle name="Remarque 2 2 3 2 2 2 2 4 3 3" xfId="16564" xr:uid="{00000000-0005-0000-0000-0000CF170000}"/>
    <cellStyle name="Remarque 2 2 3 2 2 2 2 4 3 4" xfId="40524" xr:uid="{00000000-0005-0000-0000-0000D0170000}"/>
    <cellStyle name="Remarque 2 2 3 2 2 2 2 4 4" xfId="6697" xr:uid="{00000000-0005-0000-0000-0000D1170000}"/>
    <cellStyle name="Remarque 2 2 3 2 2 2 2 4 4 2" xfId="30711" xr:uid="{00000000-0005-0000-0000-0000D2170000}"/>
    <cellStyle name="Remarque 2 2 3 2 2 2 2 4 4 2 2" xfId="54671" xr:uid="{00000000-0005-0000-0000-0000D3170000}"/>
    <cellStyle name="Remarque 2 2 3 2 2 2 2 4 4 3" xfId="17958" xr:uid="{00000000-0005-0000-0000-0000D4170000}"/>
    <cellStyle name="Remarque 2 2 3 2 2 2 2 4 4 4" xfId="41918" xr:uid="{00000000-0005-0000-0000-0000D5170000}"/>
    <cellStyle name="Remarque 2 2 3 2 2 2 2 4 5" xfId="8085" xr:uid="{00000000-0005-0000-0000-0000D6170000}"/>
    <cellStyle name="Remarque 2 2 3 2 2 2 2 4 5 2" xfId="32099" xr:uid="{00000000-0005-0000-0000-0000D7170000}"/>
    <cellStyle name="Remarque 2 2 3 2 2 2 2 4 5 2 2" xfId="56059" xr:uid="{00000000-0005-0000-0000-0000D8170000}"/>
    <cellStyle name="Remarque 2 2 3 2 2 2 2 4 5 3" xfId="19346" xr:uid="{00000000-0005-0000-0000-0000D9170000}"/>
    <cellStyle name="Remarque 2 2 3 2 2 2 2 4 5 4" xfId="43306" xr:uid="{00000000-0005-0000-0000-0000DA170000}"/>
    <cellStyle name="Remarque 2 2 3 2 2 2 2 4 6" xfId="9470" xr:uid="{00000000-0005-0000-0000-0000DB170000}"/>
    <cellStyle name="Remarque 2 2 3 2 2 2 2 4 6 2" xfId="33484" xr:uid="{00000000-0005-0000-0000-0000DC170000}"/>
    <cellStyle name="Remarque 2 2 3 2 2 2 2 4 6 2 2" xfId="57444" xr:uid="{00000000-0005-0000-0000-0000DD170000}"/>
    <cellStyle name="Remarque 2 2 3 2 2 2 2 4 6 3" xfId="20731" xr:uid="{00000000-0005-0000-0000-0000DE170000}"/>
    <cellStyle name="Remarque 2 2 3 2 2 2 2 4 6 4" xfId="44691" xr:uid="{00000000-0005-0000-0000-0000DF170000}"/>
    <cellStyle name="Remarque 2 2 3 2 2 2 2 4 7" xfId="10927" xr:uid="{00000000-0005-0000-0000-0000E0170000}"/>
    <cellStyle name="Remarque 2 2 3 2 2 2 2 4 7 2" xfId="34937" xr:uid="{00000000-0005-0000-0000-0000E1170000}"/>
    <cellStyle name="Remarque 2 2 3 2 2 2 2 4 7 2 2" xfId="58897" xr:uid="{00000000-0005-0000-0000-0000E2170000}"/>
    <cellStyle name="Remarque 2 2 3 2 2 2 2 4 7 3" xfId="22194" xr:uid="{00000000-0005-0000-0000-0000E3170000}"/>
    <cellStyle name="Remarque 2 2 3 2 2 2 2 4 7 4" xfId="46154" xr:uid="{00000000-0005-0000-0000-0000E4170000}"/>
    <cellStyle name="Remarque 2 2 3 2 2 2 2 4 8" xfId="11641" xr:uid="{00000000-0005-0000-0000-0000E5170000}"/>
    <cellStyle name="Remarque 2 2 3 2 2 2 2 4 8 2" xfId="22909" xr:uid="{00000000-0005-0000-0000-0000E6170000}"/>
    <cellStyle name="Remarque 2 2 3 2 2 2 2 4 8 3" xfId="46869" xr:uid="{00000000-0005-0000-0000-0000E7170000}"/>
    <cellStyle name="Remarque 2 2 3 2 2 2 2 4 9" xfId="2399" xr:uid="{00000000-0005-0000-0000-0000E8170000}"/>
    <cellStyle name="Remarque 2 2 3 2 2 2 2 4 9 2" xfId="26413" xr:uid="{00000000-0005-0000-0000-0000E9170000}"/>
    <cellStyle name="Remarque 2 2 3 2 2 2 2 4 9 3" xfId="50373" xr:uid="{00000000-0005-0000-0000-0000EA170000}"/>
    <cellStyle name="Remarque 2 2 3 2 2 2 2 5" xfId="1156" xr:uid="{00000000-0005-0000-0000-0000EB170000}"/>
    <cellStyle name="Remarque 2 2 3 2 2 2 2 5 10" xfId="25188" xr:uid="{00000000-0005-0000-0000-0000EC170000}"/>
    <cellStyle name="Remarque 2 2 3 2 2 2 2 5 10 2" xfId="49148" xr:uid="{00000000-0005-0000-0000-0000ED170000}"/>
    <cellStyle name="Remarque 2 2 3 2 2 2 2 5 11" xfId="35790" xr:uid="{00000000-0005-0000-0000-0000EE170000}"/>
    <cellStyle name="Remarque 2 2 3 2 2 2 2 5 11 2" xfId="59750" xr:uid="{00000000-0005-0000-0000-0000EF170000}"/>
    <cellStyle name="Remarque 2 2 3 2 2 2 2 5 12" xfId="13853" xr:uid="{00000000-0005-0000-0000-0000F0170000}"/>
    <cellStyle name="Remarque 2 2 3 2 2 2 2 5 13" xfId="37813" xr:uid="{00000000-0005-0000-0000-0000F1170000}"/>
    <cellStyle name="Remarque 2 2 3 2 2 2 2 5 2" xfId="4062" xr:uid="{00000000-0005-0000-0000-0000F2170000}"/>
    <cellStyle name="Remarque 2 2 3 2 2 2 2 5 2 2" xfId="28076" xr:uid="{00000000-0005-0000-0000-0000F3170000}"/>
    <cellStyle name="Remarque 2 2 3 2 2 2 2 5 2 2 2" xfId="52036" xr:uid="{00000000-0005-0000-0000-0000F4170000}"/>
    <cellStyle name="Remarque 2 2 3 2 2 2 2 5 2 3" xfId="15323" xr:uid="{00000000-0005-0000-0000-0000F5170000}"/>
    <cellStyle name="Remarque 2 2 3 2 2 2 2 5 2 4" xfId="39283" xr:uid="{00000000-0005-0000-0000-0000F6170000}"/>
    <cellStyle name="Remarque 2 2 3 2 2 2 2 5 3" xfId="5496" xr:uid="{00000000-0005-0000-0000-0000F7170000}"/>
    <cellStyle name="Remarque 2 2 3 2 2 2 2 5 3 2" xfId="29510" xr:uid="{00000000-0005-0000-0000-0000F8170000}"/>
    <cellStyle name="Remarque 2 2 3 2 2 2 2 5 3 2 2" xfId="53470" xr:uid="{00000000-0005-0000-0000-0000F9170000}"/>
    <cellStyle name="Remarque 2 2 3 2 2 2 2 5 3 3" xfId="16757" xr:uid="{00000000-0005-0000-0000-0000FA170000}"/>
    <cellStyle name="Remarque 2 2 3 2 2 2 2 5 3 4" xfId="40717" xr:uid="{00000000-0005-0000-0000-0000FB170000}"/>
    <cellStyle name="Remarque 2 2 3 2 2 2 2 5 4" xfId="6890" xr:uid="{00000000-0005-0000-0000-0000FC170000}"/>
    <cellStyle name="Remarque 2 2 3 2 2 2 2 5 4 2" xfId="30904" xr:uid="{00000000-0005-0000-0000-0000FD170000}"/>
    <cellStyle name="Remarque 2 2 3 2 2 2 2 5 4 2 2" xfId="54864" xr:uid="{00000000-0005-0000-0000-0000FE170000}"/>
    <cellStyle name="Remarque 2 2 3 2 2 2 2 5 4 3" xfId="18151" xr:uid="{00000000-0005-0000-0000-0000FF170000}"/>
    <cellStyle name="Remarque 2 2 3 2 2 2 2 5 4 4" xfId="42111" xr:uid="{00000000-0005-0000-0000-000000180000}"/>
    <cellStyle name="Remarque 2 2 3 2 2 2 2 5 5" xfId="8278" xr:uid="{00000000-0005-0000-0000-000001180000}"/>
    <cellStyle name="Remarque 2 2 3 2 2 2 2 5 5 2" xfId="32292" xr:uid="{00000000-0005-0000-0000-000002180000}"/>
    <cellStyle name="Remarque 2 2 3 2 2 2 2 5 5 2 2" xfId="56252" xr:uid="{00000000-0005-0000-0000-000003180000}"/>
    <cellStyle name="Remarque 2 2 3 2 2 2 2 5 5 3" xfId="19539" xr:uid="{00000000-0005-0000-0000-000004180000}"/>
    <cellStyle name="Remarque 2 2 3 2 2 2 2 5 5 4" xfId="43499" xr:uid="{00000000-0005-0000-0000-000005180000}"/>
    <cellStyle name="Remarque 2 2 3 2 2 2 2 5 6" xfId="9663" xr:uid="{00000000-0005-0000-0000-000006180000}"/>
    <cellStyle name="Remarque 2 2 3 2 2 2 2 5 6 2" xfId="33677" xr:uid="{00000000-0005-0000-0000-000007180000}"/>
    <cellStyle name="Remarque 2 2 3 2 2 2 2 5 6 2 2" xfId="57637" xr:uid="{00000000-0005-0000-0000-000008180000}"/>
    <cellStyle name="Remarque 2 2 3 2 2 2 2 5 6 3" xfId="20924" xr:uid="{00000000-0005-0000-0000-000009180000}"/>
    <cellStyle name="Remarque 2 2 3 2 2 2 2 5 6 4" xfId="44884" xr:uid="{00000000-0005-0000-0000-00000A180000}"/>
    <cellStyle name="Remarque 2 2 3 2 2 2 2 5 7" xfId="11120" xr:uid="{00000000-0005-0000-0000-00000B180000}"/>
    <cellStyle name="Remarque 2 2 3 2 2 2 2 5 7 2" xfId="35130" xr:uid="{00000000-0005-0000-0000-00000C180000}"/>
    <cellStyle name="Remarque 2 2 3 2 2 2 2 5 7 2 2" xfId="59090" xr:uid="{00000000-0005-0000-0000-00000D180000}"/>
    <cellStyle name="Remarque 2 2 3 2 2 2 2 5 7 3" xfId="22387" xr:uid="{00000000-0005-0000-0000-00000E180000}"/>
    <cellStyle name="Remarque 2 2 3 2 2 2 2 5 7 4" xfId="46347" xr:uid="{00000000-0005-0000-0000-00000F180000}"/>
    <cellStyle name="Remarque 2 2 3 2 2 2 2 5 8" xfId="12617" xr:uid="{00000000-0005-0000-0000-000010180000}"/>
    <cellStyle name="Remarque 2 2 3 2 2 2 2 5 8 2" xfId="23919" xr:uid="{00000000-0005-0000-0000-000011180000}"/>
    <cellStyle name="Remarque 2 2 3 2 2 2 2 5 8 3" xfId="47879" xr:uid="{00000000-0005-0000-0000-000012180000}"/>
    <cellStyle name="Remarque 2 2 3 2 2 2 2 5 9" xfId="2592" xr:uid="{00000000-0005-0000-0000-000013180000}"/>
    <cellStyle name="Remarque 2 2 3 2 2 2 2 5 9 2" xfId="26606" xr:uid="{00000000-0005-0000-0000-000014180000}"/>
    <cellStyle name="Remarque 2 2 3 2 2 2 2 5 9 3" xfId="50566" xr:uid="{00000000-0005-0000-0000-000015180000}"/>
    <cellStyle name="Remarque 2 2 3 2 2 2 2 6" xfId="1323" xr:uid="{00000000-0005-0000-0000-000016180000}"/>
    <cellStyle name="Remarque 2 2 3 2 2 2 2 6 10" xfId="25355" xr:uid="{00000000-0005-0000-0000-000017180000}"/>
    <cellStyle name="Remarque 2 2 3 2 2 2 2 6 10 2" xfId="49315" xr:uid="{00000000-0005-0000-0000-000018180000}"/>
    <cellStyle name="Remarque 2 2 3 2 2 2 2 6 11" xfId="36461" xr:uid="{00000000-0005-0000-0000-000019180000}"/>
    <cellStyle name="Remarque 2 2 3 2 2 2 2 6 11 2" xfId="60421" xr:uid="{00000000-0005-0000-0000-00001A180000}"/>
    <cellStyle name="Remarque 2 2 3 2 2 2 2 6 12" xfId="14020" xr:uid="{00000000-0005-0000-0000-00001B180000}"/>
    <cellStyle name="Remarque 2 2 3 2 2 2 2 6 13" xfId="37980" xr:uid="{00000000-0005-0000-0000-00001C180000}"/>
    <cellStyle name="Remarque 2 2 3 2 2 2 2 6 2" xfId="4229" xr:uid="{00000000-0005-0000-0000-00001D180000}"/>
    <cellStyle name="Remarque 2 2 3 2 2 2 2 6 2 2" xfId="28243" xr:uid="{00000000-0005-0000-0000-00001E180000}"/>
    <cellStyle name="Remarque 2 2 3 2 2 2 2 6 2 2 2" xfId="52203" xr:uid="{00000000-0005-0000-0000-00001F180000}"/>
    <cellStyle name="Remarque 2 2 3 2 2 2 2 6 2 3" xfId="15490" xr:uid="{00000000-0005-0000-0000-000020180000}"/>
    <cellStyle name="Remarque 2 2 3 2 2 2 2 6 2 4" xfId="39450" xr:uid="{00000000-0005-0000-0000-000021180000}"/>
    <cellStyle name="Remarque 2 2 3 2 2 2 2 6 3" xfId="5663" xr:uid="{00000000-0005-0000-0000-000022180000}"/>
    <cellStyle name="Remarque 2 2 3 2 2 2 2 6 3 2" xfId="29677" xr:uid="{00000000-0005-0000-0000-000023180000}"/>
    <cellStyle name="Remarque 2 2 3 2 2 2 2 6 3 2 2" xfId="53637" xr:uid="{00000000-0005-0000-0000-000024180000}"/>
    <cellStyle name="Remarque 2 2 3 2 2 2 2 6 3 3" xfId="16924" xr:uid="{00000000-0005-0000-0000-000025180000}"/>
    <cellStyle name="Remarque 2 2 3 2 2 2 2 6 3 4" xfId="40884" xr:uid="{00000000-0005-0000-0000-000026180000}"/>
    <cellStyle name="Remarque 2 2 3 2 2 2 2 6 4" xfId="7057" xr:uid="{00000000-0005-0000-0000-000027180000}"/>
    <cellStyle name="Remarque 2 2 3 2 2 2 2 6 4 2" xfId="31071" xr:uid="{00000000-0005-0000-0000-000028180000}"/>
    <cellStyle name="Remarque 2 2 3 2 2 2 2 6 4 2 2" xfId="55031" xr:uid="{00000000-0005-0000-0000-000029180000}"/>
    <cellStyle name="Remarque 2 2 3 2 2 2 2 6 4 3" xfId="18318" xr:uid="{00000000-0005-0000-0000-00002A180000}"/>
    <cellStyle name="Remarque 2 2 3 2 2 2 2 6 4 4" xfId="42278" xr:uid="{00000000-0005-0000-0000-00002B180000}"/>
    <cellStyle name="Remarque 2 2 3 2 2 2 2 6 5" xfId="8445" xr:uid="{00000000-0005-0000-0000-00002C180000}"/>
    <cellStyle name="Remarque 2 2 3 2 2 2 2 6 5 2" xfId="32459" xr:uid="{00000000-0005-0000-0000-00002D180000}"/>
    <cellStyle name="Remarque 2 2 3 2 2 2 2 6 5 2 2" xfId="56419" xr:uid="{00000000-0005-0000-0000-00002E180000}"/>
    <cellStyle name="Remarque 2 2 3 2 2 2 2 6 5 3" xfId="19706" xr:uid="{00000000-0005-0000-0000-00002F180000}"/>
    <cellStyle name="Remarque 2 2 3 2 2 2 2 6 5 4" xfId="43666" xr:uid="{00000000-0005-0000-0000-000030180000}"/>
    <cellStyle name="Remarque 2 2 3 2 2 2 2 6 6" xfId="9830" xr:uid="{00000000-0005-0000-0000-000031180000}"/>
    <cellStyle name="Remarque 2 2 3 2 2 2 2 6 6 2" xfId="33844" xr:uid="{00000000-0005-0000-0000-000032180000}"/>
    <cellStyle name="Remarque 2 2 3 2 2 2 2 6 6 2 2" xfId="57804" xr:uid="{00000000-0005-0000-0000-000033180000}"/>
    <cellStyle name="Remarque 2 2 3 2 2 2 2 6 6 3" xfId="21091" xr:uid="{00000000-0005-0000-0000-000034180000}"/>
    <cellStyle name="Remarque 2 2 3 2 2 2 2 6 6 4" xfId="45051" xr:uid="{00000000-0005-0000-0000-000035180000}"/>
    <cellStyle name="Remarque 2 2 3 2 2 2 2 6 7" xfId="11287" xr:uid="{00000000-0005-0000-0000-000036180000}"/>
    <cellStyle name="Remarque 2 2 3 2 2 2 2 6 7 2" xfId="35297" xr:uid="{00000000-0005-0000-0000-000037180000}"/>
    <cellStyle name="Remarque 2 2 3 2 2 2 2 6 7 2 2" xfId="59257" xr:uid="{00000000-0005-0000-0000-000038180000}"/>
    <cellStyle name="Remarque 2 2 3 2 2 2 2 6 7 3" xfId="22554" xr:uid="{00000000-0005-0000-0000-000039180000}"/>
    <cellStyle name="Remarque 2 2 3 2 2 2 2 6 7 4" xfId="46514" xr:uid="{00000000-0005-0000-0000-00003A180000}"/>
    <cellStyle name="Remarque 2 2 3 2 2 2 2 6 8" xfId="11585" xr:uid="{00000000-0005-0000-0000-00003B180000}"/>
    <cellStyle name="Remarque 2 2 3 2 2 2 2 6 8 2" xfId="22852" xr:uid="{00000000-0005-0000-0000-00003C180000}"/>
    <cellStyle name="Remarque 2 2 3 2 2 2 2 6 8 3" xfId="46812" xr:uid="{00000000-0005-0000-0000-00003D180000}"/>
    <cellStyle name="Remarque 2 2 3 2 2 2 2 6 9" xfId="2759" xr:uid="{00000000-0005-0000-0000-00003E180000}"/>
    <cellStyle name="Remarque 2 2 3 2 2 2 2 6 9 2" xfId="26773" xr:uid="{00000000-0005-0000-0000-00003F180000}"/>
    <cellStyle name="Remarque 2 2 3 2 2 2 2 6 9 3" xfId="50733" xr:uid="{00000000-0005-0000-0000-000040180000}"/>
    <cellStyle name="Remarque 2 2 3 2 2 2 2 7" xfId="1492" xr:uid="{00000000-0005-0000-0000-000041180000}"/>
    <cellStyle name="Remarque 2 2 3 2 2 2 2 7 10" xfId="25524" xr:uid="{00000000-0005-0000-0000-000042180000}"/>
    <cellStyle name="Remarque 2 2 3 2 2 2 2 7 10 2" xfId="49484" xr:uid="{00000000-0005-0000-0000-000043180000}"/>
    <cellStyle name="Remarque 2 2 3 2 2 2 2 7 11" xfId="36369" xr:uid="{00000000-0005-0000-0000-000044180000}"/>
    <cellStyle name="Remarque 2 2 3 2 2 2 2 7 11 2" xfId="60329" xr:uid="{00000000-0005-0000-0000-000045180000}"/>
    <cellStyle name="Remarque 2 2 3 2 2 2 2 7 12" xfId="14189" xr:uid="{00000000-0005-0000-0000-000046180000}"/>
    <cellStyle name="Remarque 2 2 3 2 2 2 2 7 13" xfId="38149" xr:uid="{00000000-0005-0000-0000-000047180000}"/>
    <cellStyle name="Remarque 2 2 3 2 2 2 2 7 2" xfId="4398" xr:uid="{00000000-0005-0000-0000-000048180000}"/>
    <cellStyle name="Remarque 2 2 3 2 2 2 2 7 2 2" xfId="28412" xr:uid="{00000000-0005-0000-0000-000049180000}"/>
    <cellStyle name="Remarque 2 2 3 2 2 2 2 7 2 2 2" xfId="52372" xr:uid="{00000000-0005-0000-0000-00004A180000}"/>
    <cellStyle name="Remarque 2 2 3 2 2 2 2 7 2 3" xfId="15659" xr:uid="{00000000-0005-0000-0000-00004B180000}"/>
    <cellStyle name="Remarque 2 2 3 2 2 2 2 7 2 4" xfId="39619" xr:uid="{00000000-0005-0000-0000-00004C180000}"/>
    <cellStyle name="Remarque 2 2 3 2 2 2 2 7 3" xfId="5832" xr:uid="{00000000-0005-0000-0000-00004D180000}"/>
    <cellStyle name="Remarque 2 2 3 2 2 2 2 7 3 2" xfId="29846" xr:uid="{00000000-0005-0000-0000-00004E180000}"/>
    <cellStyle name="Remarque 2 2 3 2 2 2 2 7 3 2 2" xfId="53806" xr:uid="{00000000-0005-0000-0000-00004F180000}"/>
    <cellStyle name="Remarque 2 2 3 2 2 2 2 7 3 3" xfId="17093" xr:uid="{00000000-0005-0000-0000-000050180000}"/>
    <cellStyle name="Remarque 2 2 3 2 2 2 2 7 3 4" xfId="41053" xr:uid="{00000000-0005-0000-0000-000051180000}"/>
    <cellStyle name="Remarque 2 2 3 2 2 2 2 7 4" xfId="7226" xr:uid="{00000000-0005-0000-0000-000052180000}"/>
    <cellStyle name="Remarque 2 2 3 2 2 2 2 7 4 2" xfId="31240" xr:uid="{00000000-0005-0000-0000-000053180000}"/>
    <cellStyle name="Remarque 2 2 3 2 2 2 2 7 4 2 2" xfId="55200" xr:uid="{00000000-0005-0000-0000-000054180000}"/>
    <cellStyle name="Remarque 2 2 3 2 2 2 2 7 4 3" xfId="18487" xr:uid="{00000000-0005-0000-0000-000055180000}"/>
    <cellStyle name="Remarque 2 2 3 2 2 2 2 7 4 4" xfId="42447" xr:uid="{00000000-0005-0000-0000-000056180000}"/>
    <cellStyle name="Remarque 2 2 3 2 2 2 2 7 5" xfId="8614" xr:uid="{00000000-0005-0000-0000-000057180000}"/>
    <cellStyle name="Remarque 2 2 3 2 2 2 2 7 5 2" xfId="32628" xr:uid="{00000000-0005-0000-0000-000058180000}"/>
    <cellStyle name="Remarque 2 2 3 2 2 2 2 7 5 2 2" xfId="56588" xr:uid="{00000000-0005-0000-0000-000059180000}"/>
    <cellStyle name="Remarque 2 2 3 2 2 2 2 7 5 3" xfId="19875" xr:uid="{00000000-0005-0000-0000-00005A180000}"/>
    <cellStyle name="Remarque 2 2 3 2 2 2 2 7 5 4" xfId="43835" xr:uid="{00000000-0005-0000-0000-00005B180000}"/>
    <cellStyle name="Remarque 2 2 3 2 2 2 2 7 6" xfId="9999" xr:uid="{00000000-0005-0000-0000-00005C180000}"/>
    <cellStyle name="Remarque 2 2 3 2 2 2 2 7 6 2" xfId="34013" xr:uid="{00000000-0005-0000-0000-00005D180000}"/>
    <cellStyle name="Remarque 2 2 3 2 2 2 2 7 6 2 2" xfId="57973" xr:uid="{00000000-0005-0000-0000-00005E180000}"/>
    <cellStyle name="Remarque 2 2 3 2 2 2 2 7 6 3" xfId="21260" xr:uid="{00000000-0005-0000-0000-00005F180000}"/>
    <cellStyle name="Remarque 2 2 3 2 2 2 2 7 6 4" xfId="45220" xr:uid="{00000000-0005-0000-0000-000060180000}"/>
    <cellStyle name="Remarque 2 2 3 2 2 2 2 7 7" xfId="11456" xr:uid="{00000000-0005-0000-0000-000061180000}"/>
    <cellStyle name="Remarque 2 2 3 2 2 2 2 7 7 2" xfId="35466" xr:uid="{00000000-0005-0000-0000-000062180000}"/>
    <cellStyle name="Remarque 2 2 3 2 2 2 2 7 7 2 2" xfId="59426" xr:uid="{00000000-0005-0000-0000-000063180000}"/>
    <cellStyle name="Remarque 2 2 3 2 2 2 2 7 7 3" xfId="22723" xr:uid="{00000000-0005-0000-0000-000064180000}"/>
    <cellStyle name="Remarque 2 2 3 2 2 2 2 7 7 4" xfId="46683" xr:uid="{00000000-0005-0000-0000-000065180000}"/>
    <cellStyle name="Remarque 2 2 3 2 2 2 2 7 8" xfId="12352" xr:uid="{00000000-0005-0000-0000-000066180000}"/>
    <cellStyle name="Remarque 2 2 3 2 2 2 2 7 8 2" xfId="23640" xr:uid="{00000000-0005-0000-0000-000067180000}"/>
    <cellStyle name="Remarque 2 2 3 2 2 2 2 7 8 3" xfId="47600" xr:uid="{00000000-0005-0000-0000-000068180000}"/>
    <cellStyle name="Remarque 2 2 3 2 2 2 2 7 9" xfId="2928" xr:uid="{00000000-0005-0000-0000-000069180000}"/>
    <cellStyle name="Remarque 2 2 3 2 2 2 2 7 9 2" xfId="26942" xr:uid="{00000000-0005-0000-0000-00006A180000}"/>
    <cellStyle name="Remarque 2 2 3 2 2 2 2 7 9 3" xfId="50902" xr:uid="{00000000-0005-0000-0000-00006B180000}"/>
    <cellStyle name="Remarque 2 2 3 2 2 2 2 8" xfId="3347" xr:uid="{00000000-0005-0000-0000-00006C180000}"/>
    <cellStyle name="Remarque 2 2 3 2 2 2 2 8 2" xfId="27361" xr:uid="{00000000-0005-0000-0000-00006D180000}"/>
    <cellStyle name="Remarque 2 2 3 2 2 2 2 8 2 2" xfId="51321" xr:uid="{00000000-0005-0000-0000-00006E180000}"/>
    <cellStyle name="Remarque 2 2 3 2 2 2 2 8 3" xfId="14608" xr:uid="{00000000-0005-0000-0000-00006F180000}"/>
    <cellStyle name="Remarque 2 2 3 2 2 2 2 8 4" xfId="38568" xr:uid="{00000000-0005-0000-0000-000070180000}"/>
    <cellStyle name="Remarque 2 2 3 2 2 2 2 9" xfId="4781" xr:uid="{00000000-0005-0000-0000-000071180000}"/>
    <cellStyle name="Remarque 2 2 3 2 2 2 2 9 2" xfId="28795" xr:uid="{00000000-0005-0000-0000-000072180000}"/>
    <cellStyle name="Remarque 2 2 3 2 2 2 2 9 2 2" xfId="52755" xr:uid="{00000000-0005-0000-0000-000073180000}"/>
    <cellStyle name="Remarque 2 2 3 2 2 2 2 9 3" xfId="16042" xr:uid="{00000000-0005-0000-0000-000074180000}"/>
    <cellStyle name="Remarque 2 2 3 2 2 2 2 9 4" xfId="40002" xr:uid="{00000000-0005-0000-0000-000075180000}"/>
    <cellStyle name="Remarque 2 2 3 2 2 2 20" xfId="12963" xr:uid="{00000000-0005-0000-0000-000076180000}"/>
    <cellStyle name="Remarque 2 2 3 2 2 2 21" xfId="36923" xr:uid="{00000000-0005-0000-0000-000077180000}"/>
    <cellStyle name="Remarque 2 2 3 2 2 2 22" xfId="266" xr:uid="{00000000-0005-0000-0000-000078180000}"/>
    <cellStyle name="Remarque 2 2 3 2 2 2 3" xfId="365" xr:uid="{00000000-0005-0000-0000-000079180000}"/>
    <cellStyle name="Remarque 2 2 3 2 2 2 3 10" xfId="24397" xr:uid="{00000000-0005-0000-0000-00007A180000}"/>
    <cellStyle name="Remarque 2 2 3 2 2 2 3 10 2" xfId="48357" xr:uid="{00000000-0005-0000-0000-00007B180000}"/>
    <cellStyle name="Remarque 2 2 3 2 2 2 3 11" xfId="36285" xr:uid="{00000000-0005-0000-0000-00007C180000}"/>
    <cellStyle name="Remarque 2 2 3 2 2 2 3 11 2" xfId="60245" xr:uid="{00000000-0005-0000-0000-00007D180000}"/>
    <cellStyle name="Remarque 2 2 3 2 2 2 3 12" xfId="13062" xr:uid="{00000000-0005-0000-0000-00007E180000}"/>
    <cellStyle name="Remarque 2 2 3 2 2 2 3 13" xfId="37022" xr:uid="{00000000-0005-0000-0000-00007F180000}"/>
    <cellStyle name="Remarque 2 2 3 2 2 2 3 2" xfId="3271" xr:uid="{00000000-0005-0000-0000-000080180000}"/>
    <cellStyle name="Remarque 2 2 3 2 2 2 3 2 2" xfId="27285" xr:uid="{00000000-0005-0000-0000-000081180000}"/>
    <cellStyle name="Remarque 2 2 3 2 2 2 3 2 2 2" xfId="51245" xr:uid="{00000000-0005-0000-0000-000082180000}"/>
    <cellStyle name="Remarque 2 2 3 2 2 2 3 2 3" xfId="14532" xr:uid="{00000000-0005-0000-0000-000083180000}"/>
    <cellStyle name="Remarque 2 2 3 2 2 2 3 2 4" xfId="38492" xr:uid="{00000000-0005-0000-0000-000084180000}"/>
    <cellStyle name="Remarque 2 2 3 2 2 2 3 3" xfId="4705" xr:uid="{00000000-0005-0000-0000-000085180000}"/>
    <cellStyle name="Remarque 2 2 3 2 2 2 3 3 2" xfId="28719" xr:uid="{00000000-0005-0000-0000-000086180000}"/>
    <cellStyle name="Remarque 2 2 3 2 2 2 3 3 2 2" xfId="52679" xr:uid="{00000000-0005-0000-0000-000087180000}"/>
    <cellStyle name="Remarque 2 2 3 2 2 2 3 3 3" xfId="15966" xr:uid="{00000000-0005-0000-0000-000088180000}"/>
    <cellStyle name="Remarque 2 2 3 2 2 2 3 3 4" xfId="39926" xr:uid="{00000000-0005-0000-0000-000089180000}"/>
    <cellStyle name="Remarque 2 2 3 2 2 2 3 4" xfId="6099" xr:uid="{00000000-0005-0000-0000-00008A180000}"/>
    <cellStyle name="Remarque 2 2 3 2 2 2 3 4 2" xfId="30113" xr:uid="{00000000-0005-0000-0000-00008B180000}"/>
    <cellStyle name="Remarque 2 2 3 2 2 2 3 4 2 2" xfId="54073" xr:uid="{00000000-0005-0000-0000-00008C180000}"/>
    <cellStyle name="Remarque 2 2 3 2 2 2 3 4 3" xfId="17360" xr:uid="{00000000-0005-0000-0000-00008D180000}"/>
    <cellStyle name="Remarque 2 2 3 2 2 2 3 4 4" xfId="41320" xr:uid="{00000000-0005-0000-0000-00008E180000}"/>
    <cellStyle name="Remarque 2 2 3 2 2 2 3 5" xfId="7487" xr:uid="{00000000-0005-0000-0000-00008F180000}"/>
    <cellStyle name="Remarque 2 2 3 2 2 2 3 5 2" xfId="31501" xr:uid="{00000000-0005-0000-0000-000090180000}"/>
    <cellStyle name="Remarque 2 2 3 2 2 2 3 5 2 2" xfId="55461" xr:uid="{00000000-0005-0000-0000-000091180000}"/>
    <cellStyle name="Remarque 2 2 3 2 2 2 3 5 3" xfId="18748" xr:uid="{00000000-0005-0000-0000-000092180000}"/>
    <cellStyle name="Remarque 2 2 3 2 2 2 3 5 4" xfId="42708" xr:uid="{00000000-0005-0000-0000-000093180000}"/>
    <cellStyle name="Remarque 2 2 3 2 2 2 3 6" xfId="8872" xr:uid="{00000000-0005-0000-0000-000094180000}"/>
    <cellStyle name="Remarque 2 2 3 2 2 2 3 6 2" xfId="32886" xr:uid="{00000000-0005-0000-0000-000095180000}"/>
    <cellStyle name="Remarque 2 2 3 2 2 2 3 6 2 2" xfId="56846" xr:uid="{00000000-0005-0000-0000-000096180000}"/>
    <cellStyle name="Remarque 2 2 3 2 2 2 3 6 3" xfId="20133" xr:uid="{00000000-0005-0000-0000-000097180000}"/>
    <cellStyle name="Remarque 2 2 3 2 2 2 3 6 4" xfId="44093" xr:uid="{00000000-0005-0000-0000-000098180000}"/>
    <cellStyle name="Remarque 2 2 3 2 2 2 3 7" xfId="10329" xr:uid="{00000000-0005-0000-0000-000099180000}"/>
    <cellStyle name="Remarque 2 2 3 2 2 2 3 7 2" xfId="34339" xr:uid="{00000000-0005-0000-0000-00009A180000}"/>
    <cellStyle name="Remarque 2 2 3 2 2 2 3 7 2 2" xfId="58299" xr:uid="{00000000-0005-0000-0000-00009B180000}"/>
    <cellStyle name="Remarque 2 2 3 2 2 2 3 7 3" xfId="21596" xr:uid="{00000000-0005-0000-0000-00009C180000}"/>
    <cellStyle name="Remarque 2 2 3 2 2 2 3 7 4" xfId="45556" xr:uid="{00000000-0005-0000-0000-00009D180000}"/>
    <cellStyle name="Remarque 2 2 3 2 2 2 3 8" xfId="11698" xr:uid="{00000000-0005-0000-0000-00009E180000}"/>
    <cellStyle name="Remarque 2 2 3 2 2 2 3 8 2" xfId="22967" xr:uid="{00000000-0005-0000-0000-00009F180000}"/>
    <cellStyle name="Remarque 2 2 3 2 2 2 3 8 3" xfId="46927" xr:uid="{00000000-0005-0000-0000-0000A0180000}"/>
    <cellStyle name="Remarque 2 2 3 2 2 2 3 9" xfId="1801" xr:uid="{00000000-0005-0000-0000-0000A1180000}"/>
    <cellStyle name="Remarque 2 2 3 2 2 2 3 9 2" xfId="25815" xr:uid="{00000000-0005-0000-0000-0000A2180000}"/>
    <cellStyle name="Remarque 2 2 3 2 2 2 3 9 3" xfId="49775" xr:uid="{00000000-0005-0000-0000-0000A3180000}"/>
    <cellStyle name="Remarque 2 2 3 2 2 2 4" xfId="501" xr:uid="{00000000-0005-0000-0000-0000A4180000}"/>
    <cellStyle name="Remarque 2 2 3 2 2 2 4 10" xfId="24533" xr:uid="{00000000-0005-0000-0000-0000A5180000}"/>
    <cellStyle name="Remarque 2 2 3 2 2 2 4 10 2" xfId="48493" xr:uid="{00000000-0005-0000-0000-0000A6180000}"/>
    <cellStyle name="Remarque 2 2 3 2 2 2 4 11" xfId="36673" xr:uid="{00000000-0005-0000-0000-0000A7180000}"/>
    <cellStyle name="Remarque 2 2 3 2 2 2 4 11 2" xfId="60633" xr:uid="{00000000-0005-0000-0000-0000A8180000}"/>
    <cellStyle name="Remarque 2 2 3 2 2 2 4 12" xfId="13198" xr:uid="{00000000-0005-0000-0000-0000A9180000}"/>
    <cellStyle name="Remarque 2 2 3 2 2 2 4 13" xfId="37158" xr:uid="{00000000-0005-0000-0000-0000AA180000}"/>
    <cellStyle name="Remarque 2 2 3 2 2 2 4 2" xfId="3407" xr:uid="{00000000-0005-0000-0000-0000AB180000}"/>
    <cellStyle name="Remarque 2 2 3 2 2 2 4 2 2" xfId="27421" xr:uid="{00000000-0005-0000-0000-0000AC180000}"/>
    <cellStyle name="Remarque 2 2 3 2 2 2 4 2 2 2" xfId="51381" xr:uid="{00000000-0005-0000-0000-0000AD180000}"/>
    <cellStyle name="Remarque 2 2 3 2 2 2 4 2 3" xfId="14668" xr:uid="{00000000-0005-0000-0000-0000AE180000}"/>
    <cellStyle name="Remarque 2 2 3 2 2 2 4 2 4" xfId="38628" xr:uid="{00000000-0005-0000-0000-0000AF180000}"/>
    <cellStyle name="Remarque 2 2 3 2 2 2 4 3" xfId="4841" xr:uid="{00000000-0005-0000-0000-0000B0180000}"/>
    <cellStyle name="Remarque 2 2 3 2 2 2 4 3 2" xfId="28855" xr:uid="{00000000-0005-0000-0000-0000B1180000}"/>
    <cellStyle name="Remarque 2 2 3 2 2 2 4 3 2 2" xfId="52815" xr:uid="{00000000-0005-0000-0000-0000B2180000}"/>
    <cellStyle name="Remarque 2 2 3 2 2 2 4 3 3" xfId="16102" xr:uid="{00000000-0005-0000-0000-0000B3180000}"/>
    <cellStyle name="Remarque 2 2 3 2 2 2 4 3 4" xfId="40062" xr:uid="{00000000-0005-0000-0000-0000B4180000}"/>
    <cellStyle name="Remarque 2 2 3 2 2 2 4 4" xfId="6235" xr:uid="{00000000-0005-0000-0000-0000B5180000}"/>
    <cellStyle name="Remarque 2 2 3 2 2 2 4 4 2" xfId="30249" xr:uid="{00000000-0005-0000-0000-0000B6180000}"/>
    <cellStyle name="Remarque 2 2 3 2 2 2 4 4 2 2" xfId="54209" xr:uid="{00000000-0005-0000-0000-0000B7180000}"/>
    <cellStyle name="Remarque 2 2 3 2 2 2 4 4 3" xfId="17496" xr:uid="{00000000-0005-0000-0000-0000B8180000}"/>
    <cellStyle name="Remarque 2 2 3 2 2 2 4 4 4" xfId="41456" xr:uid="{00000000-0005-0000-0000-0000B9180000}"/>
    <cellStyle name="Remarque 2 2 3 2 2 2 4 5" xfId="7623" xr:uid="{00000000-0005-0000-0000-0000BA180000}"/>
    <cellStyle name="Remarque 2 2 3 2 2 2 4 5 2" xfId="31637" xr:uid="{00000000-0005-0000-0000-0000BB180000}"/>
    <cellStyle name="Remarque 2 2 3 2 2 2 4 5 2 2" xfId="55597" xr:uid="{00000000-0005-0000-0000-0000BC180000}"/>
    <cellStyle name="Remarque 2 2 3 2 2 2 4 5 3" xfId="18884" xr:uid="{00000000-0005-0000-0000-0000BD180000}"/>
    <cellStyle name="Remarque 2 2 3 2 2 2 4 5 4" xfId="42844" xr:uid="{00000000-0005-0000-0000-0000BE180000}"/>
    <cellStyle name="Remarque 2 2 3 2 2 2 4 6" xfId="9008" xr:uid="{00000000-0005-0000-0000-0000BF180000}"/>
    <cellStyle name="Remarque 2 2 3 2 2 2 4 6 2" xfId="33022" xr:uid="{00000000-0005-0000-0000-0000C0180000}"/>
    <cellStyle name="Remarque 2 2 3 2 2 2 4 6 2 2" xfId="56982" xr:uid="{00000000-0005-0000-0000-0000C1180000}"/>
    <cellStyle name="Remarque 2 2 3 2 2 2 4 6 3" xfId="20269" xr:uid="{00000000-0005-0000-0000-0000C2180000}"/>
    <cellStyle name="Remarque 2 2 3 2 2 2 4 6 4" xfId="44229" xr:uid="{00000000-0005-0000-0000-0000C3180000}"/>
    <cellStyle name="Remarque 2 2 3 2 2 2 4 7" xfId="10465" xr:uid="{00000000-0005-0000-0000-0000C4180000}"/>
    <cellStyle name="Remarque 2 2 3 2 2 2 4 7 2" xfId="34475" xr:uid="{00000000-0005-0000-0000-0000C5180000}"/>
    <cellStyle name="Remarque 2 2 3 2 2 2 4 7 2 2" xfId="58435" xr:uid="{00000000-0005-0000-0000-0000C6180000}"/>
    <cellStyle name="Remarque 2 2 3 2 2 2 4 7 3" xfId="21732" xr:uid="{00000000-0005-0000-0000-0000C7180000}"/>
    <cellStyle name="Remarque 2 2 3 2 2 2 4 7 4" xfId="45692" xr:uid="{00000000-0005-0000-0000-0000C8180000}"/>
    <cellStyle name="Remarque 2 2 3 2 2 2 4 8" xfId="12350" xr:uid="{00000000-0005-0000-0000-0000C9180000}"/>
    <cellStyle name="Remarque 2 2 3 2 2 2 4 8 2" xfId="23638" xr:uid="{00000000-0005-0000-0000-0000CA180000}"/>
    <cellStyle name="Remarque 2 2 3 2 2 2 4 8 3" xfId="47598" xr:uid="{00000000-0005-0000-0000-0000CB180000}"/>
    <cellStyle name="Remarque 2 2 3 2 2 2 4 9" xfId="1937" xr:uid="{00000000-0005-0000-0000-0000CC180000}"/>
    <cellStyle name="Remarque 2 2 3 2 2 2 4 9 2" xfId="25951" xr:uid="{00000000-0005-0000-0000-0000CD180000}"/>
    <cellStyle name="Remarque 2 2 3 2 2 2 4 9 3" xfId="49911" xr:uid="{00000000-0005-0000-0000-0000CE180000}"/>
    <cellStyle name="Remarque 2 2 3 2 2 2 5" xfId="693" xr:uid="{00000000-0005-0000-0000-0000CF180000}"/>
    <cellStyle name="Remarque 2 2 3 2 2 2 5 10" xfId="24725" xr:uid="{00000000-0005-0000-0000-0000D0180000}"/>
    <cellStyle name="Remarque 2 2 3 2 2 2 5 10 2" xfId="48685" xr:uid="{00000000-0005-0000-0000-0000D1180000}"/>
    <cellStyle name="Remarque 2 2 3 2 2 2 5 11" xfId="36781" xr:uid="{00000000-0005-0000-0000-0000D2180000}"/>
    <cellStyle name="Remarque 2 2 3 2 2 2 5 11 2" xfId="60741" xr:uid="{00000000-0005-0000-0000-0000D3180000}"/>
    <cellStyle name="Remarque 2 2 3 2 2 2 5 12" xfId="13390" xr:uid="{00000000-0005-0000-0000-0000D4180000}"/>
    <cellStyle name="Remarque 2 2 3 2 2 2 5 13" xfId="37350" xr:uid="{00000000-0005-0000-0000-0000D5180000}"/>
    <cellStyle name="Remarque 2 2 3 2 2 2 5 2" xfId="3599" xr:uid="{00000000-0005-0000-0000-0000D6180000}"/>
    <cellStyle name="Remarque 2 2 3 2 2 2 5 2 2" xfId="27613" xr:uid="{00000000-0005-0000-0000-0000D7180000}"/>
    <cellStyle name="Remarque 2 2 3 2 2 2 5 2 2 2" xfId="51573" xr:uid="{00000000-0005-0000-0000-0000D8180000}"/>
    <cellStyle name="Remarque 2 2 3 2 2 2 5 2 3" xfId="14860" xr:uid="{00000000-0005-0000-0000-0000D9180000}"/>
    <cellStyle name="Remarque 2 2 3 2 2 2 5 2 4" xfId="38820" xr:uid="{00000000-0005-0000-0000-0000DA180000}"/>
    <cellStyle name="Remarque 2 2 3 2 2 2 5 3" xfId="5033" xr:uid="{00000000-0005-0000-0000-0000DB180000}"/>
    <cellStyle name="Remarque 2 2 3 2 2 2 5 3 2" xfId="29047" xr:uid="{00000000-0005-0000-0000-0000DC180000}"/>
    <cellStyle name="Remarque 2 2 3 2 2 2 5 3 2 2" xfId="53007" xr:uid="{00000000-0005-0000-0000-0000DD180000}"/>
    <cellStyle name="Remarque 2 2 3 2 2 2 5 3 3" xfId="16294" xr:uid="{00000000-0005-0000-0000-0000DE180000}"/>
    <cellStyle name="Remarque 2 2 3 2 2 2 5 3 4" xfId="40254" xr:uid="{00000000-0005-0000-0000-0000DF180000}"/>
    <cellStyle name="Remarque 2 2 3 2 2 2 5 4" xfId="6427" xr:uid="{00000000-0005-0000-0000-0000E0180000}"/>
    <cellStyle name="Remarque 2 2 3 2 2 2 5 4 2" xfId="30441" xr:uid="{00000000-0005-0000-0000-0000E1180000}"/>
    <cellStyle name="Remarque 2 2 3 2 2 2 5 4 2 2" xfId="54401" xr:uid="{00000000-0005-0000-0000-0000E2180000}"/>
    <cellStyle name="Remarque 2 2 3 2 2 2 5 4 3" xfId="17688" xr:uid="{00000000-0005-0000-0000-0000E3180000}"/>
    <cellStyle name="Remarque 2 2 3 2 2 2 5 4 4" xfId="41648" xr:uid="{00000000-0005-0000-0000-0000E4180000}"/>
    <cellStyle name="Remarque 2 2 3 2 2 2 5 5" xfId="7815" xr:uid="{00000000-0005-0000-0000-0000E5180000}"/>
    <cellStyle name="Remarque 2 2 3 2 2 2 5 5 2" xfId="31829" xr:uid="{00000000-0005-0000-0000-0000E6180000}"/>
    <cellStyle name="Remarque 2 2 3 2 2 2 5 5 2 2" xfId="55789" xr:uid="{00000000-0005-0000-0000-0000E7180000}"/>
    <cellStyle name="Remarque 2 2 3 2 2 2 5 5 3" xfId="19076" xr:uid="{00000000-0005-0000-0000-0000E8180000}"/>
    <cellStyle name="Remarque 2 2 3 2 2 2 5 5 4" xfId="43036" xr:uid="{00000000-0005-0000-0000-0000E9180000}"/>
    <cellStyle name="Remarque 2 2 3 2 2 2 5 6" xfId="9200" xr:uid="{00000000-0005-0000-0000-0000EA180000}"/>
    <cellStyle name="Remarque 2 2 3 2 2 2 5 6 2" xfId="33214" xr:uid="{00000000-0005-0000-0000-0000EB180000}"/>
    <cellStyle name="Remarque 2 2 3 2 2 2 5 6 2 2" xfId="57174" xr:uid="{00000000-0005-0000-0000-0000EC180000}"/>
    <cellStyle name="Remarque 2 2 3 2 2 2 5 6 3" xfId="20461" xr:uid="{00000000-0005-0000-0000-0000ED180000}"/>
    <cellStyle name="Remarque 2 2 3 2 2 2 5 6 4" xfId="44421" xr:uid="{00000000-0005-0000-0000-0000EE180000}"/>
    <cellStyle name="Remarque 2 2 3 2 2 2 5 7" xfId="10657" xr:uid="{00000000-0005-0000-0000-0000EF180000}"/>
    <cellStyle name="Remarque 2 2 3 2 2 2 5 7 2" xfId="34667" xr:uid="{00000000-0005-0000-0000-0000F0180000}"/>
    <cellStyle name="Remarque 2 2 3 2 2 2 5 7 2 2" xfId="58627" xr:uid="{00000000-0005-0000-0000-0000F1180000}"/>
    <cellStyle name="Remarque 2 2 3 2 2 2 5 7 3" xfId="21924" xr:uid="{00000000-0005-0000-0000-0000F2180000}"/>
    <cellStyle name="Remarque 2 2 3 2 2 2 5 7 4" xfId="45884" xr:uid="{00000000-0005-0000-0000-0000F3180000}"/>
    <cellStyle name="Remarque 2 2 3 2 2 2 5 8" xfId="12860" xr:uid="{00000000-0005-0000-0000-0000F4180000}"/>
    <cellStyle name="Remarque 2 2 3 2 2 2 5 8 2" xfId="24172" xr:uid="{00000000-0005-0000-0000-0000F5180000}"/>
    <cellStyle name="Remarque 2 2 3 2 2 2 5 8 3" xfId="48132" xr:uid="{00000000-0005-0000-0000-0000F6180000}"/>
    <cellStyle name="Remarque 2 2 3 2 2 2 5 9" xfId="2129" xr:uid="{00000000-0005-0000-0000-0000F7180000}"/>
    <cellStyle name="Remarque 2 2 3 2 2 2 5 9 2" xfId="26143" xr:uid="{00000000-0005-0000-0000-0000F8180000}"/>
    <cellStyle name="Remarque 2 2 3 2 2 2 5 9 3" xfId="50103" xr:uid="{00000000-0005-0000-0000-0000F9180000}"/>
    <cellStyle name="Remarque 2 2 3 2 2 2 6" xfId="887" xr:uid="{00000000-0005-0000-0000-0000FA180000}"/>
    <cellStyle name="Remarque 2 2 3 2 2 2 6 10" xfId="24919" xr:uid="{00000000-0005-0000-0000-0000FB180000}"/>
    <cellStyle name="Remarque 2 2 3 2 2 2 6 10 2" xfId="48879" xr:uid="{00000000-0005-0000-0000-0000FC180000}"/>
    <cellStyle name="Remarque 2 2 3 2 2 2 6 11" xfId="35964" xr:uid="{00000000-0005-0000-0000-0000FD180000}"/>
    <cellStyle name="Remarque 2 2 3 2 2 2 6 11 2" xfId="59924" xr:uid="{00000000-0005-0000-0000-0000FE180000}"/>
    <cellStyle name="Remarque 2 2 3 2 2 2 6 12" xfId="13584" xr:uid="{00000000-0005-0000-0000-0000FF180000}"/>
    <cellStyle name="Remarque 2 2 3 2 2 2 6 13" xfId="37544" xr:uid="{00000000-0005-0000-0000-000000190000}"/>
    <cellStyle name="Remarque 2 2 3 2 2 2 6 2" xfId="3793" xr:uid="{00000000-0005-0000-0000-000001190000}"/>
    <cellStyle name="Remarque 2 2 3 2 2 2 6 2 2" xfId="27807" xr:uid="{00000000-0005-0000-0000-000002190000}"/>
    <cellStyle name="Remarque 2 2 3 2 2 2 6 2 2 2" xfId="51767" xr:uid="{00000000-0005-0000-0000-000003190000}"/>
    <cellStyle name="Remarque 2 2 3 2 2 2 6 2 3" xfId="15054" xr:uid="{00000000-0005-0000-0000-000004190000}"/>
    <cellStyle name="Remarque 2 2 3 2 2 2 6 2 4" xfId="39014" xr:uid="{00000000-0005-0000-0000-000005190000}"/>
    <cellStyle name="Remarque 2 2 3 2 2 2 6 3" xfId="5227" xr:uid="{00000000-0005-0000-0000-000006190000}"/>
    <cellStyle name="Remarque 2 2 3 2 2 2 6 3 2" xfId="29241" xr:uid="{00000000-0005-0000-0000-000007190000}"/>
    <cellStyle name="Remarque 2 2 3 2 2 2 6 3 2 2" xfId="53201" xr:uid="{00000000-0005-0000-0000-000008190000}"/>
    <cellStyle name="Remarque 2 2 3 2 2 2 6 3 3" xfId="16488" xr:uid="{00000000-0005-0000-0000-000009190000}"/>
    <cellStyle name="Remarque 2 2 3 2 2 2 6 3 4" xfId="40448" xr:uid="{00000000-0005-0000-0000-00000A190000}"/>
    <cellStyle name="Remarque 2 2 3 2 2 2 6 4" xfId="6621" xr:uid="{00000000-0005-0000-0000-00000B190000}"/>
    <cellStyle name="Remarque 2 2 3 2 2 2 6 4 2" xfId="30635" xr:uid="{00000000-0005-0000-0000-00000C190000}"/>
    <cellStyle name="Remarque 2 2 3 2 2 2 6 4 2 2" xfId="54595" xr:uid="{00000000-0005-0000-0000-00000D190000}"/>
    <cellStyle name="Remarque 2 2 3 2 2 2 6 4 3" xfId="17882" xr:uid="{00000000-0005-0000-0000-00000E190000}"/>
    <cellStyle name="Remarque 2 2 3 2 2 2 6 4 4" xfId="41842" xr:uid="{00000000-0005-0000-0000-00000F190000}"/>
    <cellStyle name="Remarque 2 2 3 2 2 2 6 5" xfId="8009" xr:uid="{00000000-0005-0000-0000-000010190000}"/>
    <cellStyle name="Remarque 2 2 3 2 2 2 6 5 2" xfId="32023" xr:uid="{00000000-0005-0000-0000-000011190000}"/>
    <cellStyle name="Remarque 2 2 3 2 2 2 6 5 2 2" xfId="55983" xr:uid="{00000000-0005-0000-0000-000012190000}"/>
    <cellStyle name="Remarque 2 2 3 2 2 2 6 5 3" xfId="19270" xr:uid="{00000000-0005-0000-0000-000013190000}"/>
    <cellStyle name="Remarque 2 2 3 2 2 2 6 5 4" xfId="43230" xr:uid="{00000000-0005-0000-0000-000014190000}"/>
    <cellStyle name="Remarque 2 2 3 2 2 2 6 6" xfId="9394" xr:uid="{00000000-0005-0000-0000-000015190000}"/>
    <cellStyle name="Remarque 2 2 3 2 2 2 6 6 2" xfId="33408" xr:uid="{00000000-0005-0000-0000-000016190000}"/>
    <cellStyle name="Remarque 2 2 3 2 2 2 6 6 2 2" xfId="57368" xr:uid="{00000000-0005-0000-0000-000017190000}"/>
    <cellStyle name="Remarque 2 2 3 2 2 2 6 6 3" xfId="20655" xr:uid="{00000000-0005-0000-0000-000018190000}"/>
    <cellStyle name="Remarque 2 2 3 2 2 2 6 6 4" xfId="44615" xr:uid="{00000000-0005-0000-0000-000019190000}"/>
    <cellStyle name="Remarque 2 2 3 2 2 2 6 7" xfId="10851" xr:uid="{00000000-0005-0000-0000-00001A190000}"/>
    <cellStyle name="Remarque 2 2 3 2 2 2 6 7 2" xfId="34861" xr:uid="{00000000-0005-0000-0000-00001B190000}"/>
    <cellStyle name="Remarque 2 2 3 2 2 2 6 7 2 2" xfId="58821" xr:uid="{00000000-0005-0000-0000-00001C190000}"/>
    <cellStyle name="Remarque 2 2 3 2 2 2 6 7 3" xfId="22118" xr:uid="{00000000-0005-0000-0000-00001D190000}"/>
    <cellStyle name="Remarque 2 2 3 2 2 2 6 7 4" xfId="46078" xr:uid="{00000000-0005-0000-0000-00001E190000}"/>
    <cellStyle name="Remarque 2 2 3 2 2 2 6 8" xfId="11655" xr:uid="{00000000-0005-0000-0000-00001F190000}"/>
    <cellStyle name="Remarque 2 2 3 2 2 2 6 8 2" xfId="22923" xr:uid="{00000000-0005-0000-0000-000020190000}"/>
    <cellStyle name="Remarque 2 2 3 2 2 2 6 8 3" xfId="46883" xr:uid="{00000000-0005-0000-0000-000021190000}"/>
    <cellStyle name="Remarque 2 2 3 2 2 2 6 9" xfId="2323" xr:uid="{00000000-0005-0000-0000-000022190000}"/>
    <cellStyle name="Remarque 2 2 3 2 2 2 6 9 2" xfId="26337" xr:uid="{00000000-0005-0000-0000-000023190000}"/>
    <cellStyle name="Remarque 2 2 3 2 2 2 6 9 3" xfId="50297" xr:uid="{00000000-0005-0000-0000-000024190000}"/>
    <cellStyle name="Remarque 2 2 3 2 2 2 7" xfId="1080" xr:uid="{00000000-0005-0000-0000-000025190000}"/>
    <cellStyle name="Remarque 2 2 3 2 2 2 7 10" xfId="25112" xr:uid="{00000000-0005-0000-0000-000026190000}"/>
    <cellStyle name="Remarque 2 2 3 2 2 2 7 10 2" xfId="49072" xr:uid="{00000000-0005-0000-0000-000027190000}"/>
    <cellStyle name="Remarque 2 2 3 2 2 2 7 11" xfId="35783" xr:uid="{00000000-0005-0000-0000-000028190000}"/>
    <cellStyle name="Remarque 2 2 3 2 2 2 7 11 2" xfId="59743" xr:uid="{00000000-0005-0000-0000-000029190000}"/>
    <cellStyle name="Remarque 2 2 3 2 2 2 7 12" xfId="13777" xr:uid="{00000000-0005-0000-0000-00002A190000}"/>
    <cellStyle name="Remarque 2 2 3 2 2 2 7 13" xfId="37737" xr:uid="{00000000-0005-0000-0000-00002B190000}"/>
    <cellStyle name="Remarque 2 2 3 2 2 2 7 2" xfId="3986" xr:uid="{00000000-0005-0000-0000-00002C190000}"/>
    <cellStyle name="Remarque 2 2 3 2 2 2 7 2 2" xfId="28000" xr:uid="{00000000-0005-0000-0000-00002D190000}"/>
    <cellStyle name="Remarque 2 2 3 2 2 2 7 2 2 2" xfId="51960" xr:uid="{00000000-0005-0000-0000-00002E190000}"/>
    <cellStyle name="Remarque 2 2 3 2 2 2 7 2 3" xfId="15247" xr:uid="{00000000-0005-0000-0000-00002F190000}"/>
    <cellStyle name="Remarque 2 2 3 2 2 2 7 2 4" xfId="39207" xr:uid="{00000000-0005-0000-0000-000030190000}"/>
    <cellStyle name="Remarque 2 2 3 2 2 2 7 3" xfId="5420" xr:uid="{00000000-0005-0000-0000-000031190000}"/>
    <cellStyle name="Remarque 2 2 3 2 2 2 7 3 2" xfId="29434" xr:uid="{00000000-0005-0000-0000-000032190000}"/>
    <cellStyle name="Remarque 2 2 3 2 2 2 7 3 2 2" xfId="53394" xr:uid="{00000000-0005-0000-0000-000033190000}"/>
    <cellStyle name="Remarque 2 2 3 2 2 2 7 3 3" xfId="16681" xr:uid="{00000000-0005-0000-0000-000034190000}"/>
    <cellStyle name="Remarque 2 2 3 2 2 2 7 3 4" xfId="40641" xr:uid="{00000000-0005-0000-0000-000035190000}"/>
    <cellStyle name="Remarque 2 2 3 2 2 2 7 4" xfId="6814" xr:uid="{00000000-0005-0000-0000-000036190000}"/>
    <cellStyle name="Remarque 2 2 3 2 2 2 7 4 2" xfId="30828" xr:uid="{00000000-0005-0000-0000-000037190000}"/>
    <cellStyle name="Remarque 2 2 3 2 2 2 7 4 2 2" xfId="54788" xr:uid="{00000000-0005-0000-0000-000038190000}"/>
    <cellStyle name="Remarque 2 2 3 2 2 2 7 4 3" xfId="18075" xr:uid="{00000000-0005-0000-0000-000039190000}"/>
    <cellStyle name="Remarque 2 2 3 2 2 2 7 4 4" xfId="42035" xr:uid="{00000000-0005-0000-0000-00003A190000}"/>
    <cellStyle name="Remarque 2 2 3 2 2 2 7 5" xfId="8202" xr:uid="{00000000-0005-0000-0000-00003B190000}"/>
    <cellStyle name="Remarque 2 2 3 2 2 2 7 5 2" xfId="32216" xr:uid="{00000000-0005-0000-0000-00003C190000}"/>
    <cellStyle name="Remarque 2 2 3 2 2 2 7 5 2 2" xfId="56176" xr:uid="{00000000-0005-0000-0000-00003D190000}"/>
    <cellStyle name="Remarque 2 2 3 2 2 2 7 5 3" xfId="19463" xr:uid="{00000000-0005-0000-0000-00003E190000}"/>
    <cellStyle name="Remarque 2 2 3 2 2 2 7 5 4" xfId="43423" xr:uid="{00000000-0005-0000-0000-00003F190000}"/>
    <cellStyle name="Remarque 2 2 3 2 2 2 7 6" xfId="9587" xr:uid="{00000000-0005-0000-0000-000040190000}"/>
    <cellStyle name="Remarque 2 2 3 2 2 2 7 6 2" xfId="33601" xr:uid="{00000000-0005-0000-0000-000041190000}"/>
    <cellStyle name="Remarque 2 2 3 2 2 2 7 6 2 2" xfId="57561" xr:uid="{00000000-0005-0000-0000-000042190000}"/>
    <cellStyle name="Remarque 2 2 3 2 2 2 7 6 3" xfId="20848" xr:uid="{00000000-0005-0000-0000-000043190000}"/>
    <cellStyle name="Remarque 2 2 3 2 2 2 7 6 4" xfId="44808" xr:uid="{00000000-0005-0000-0000-000044190000}"/>
    <cellStyle name="Remarque 2 2 3 2 2 2 7 7" xfId="11044" xr:uid="{00000000-0005-0000-0000-000045190000}"/>
    <cellStyle name="Remarque 2 2 3 2 2 2 7 7 2" xfId="35054" xr:uid="{00000000-0005-0000-0000-000046190000}"/>
    <cellStyle name="Remarque 2 2 3 2 2 2 7 7 2 2" xfId="59014" xr:uid="{00000000-0005-0000-0000-000047190000}"/>
    <cellStyle name="Remarque 2 2 3 2 2 2 7 7 3" xfId="22311" xr:uid="{00000000-0005-0000-0000-000048190000}"/>
    <cellStyle name="Remarque 2 2 3 2 2 2 7 7 4" xfId="46271" xr:uid="{00000000-0005-0000-0000-000049190000}"/>
    <cellStyle name="Remarque 2 2 3 2 2 2 7 8" xfId="12808" xr:uid="{00000000-0005-0000-0000-00004A190000}"/>
    <cellStyle name="Remarque 2 2 3 2 2 2 7 8 2" xfId="24119" xr:uid="{00000000-0005-0000-0000-00004B190000}"/>
    <cellStyle name="Remarque 2 2 3 2 2 2 7 8 3" xfId="48079" xr:uid="{00000000-0005-0000-0000-00004C190000}"/>
    <cellStyle name="Remarque 2 2 3 2 2 2 7 9" xfId="2516" xr:uid="{00000000-0005-0000-0000-00004D190000}"/>
    <cellStyle name="Remarque 2 2 3 2 2 2 7 9 2" xfId="26530" xr:uid="{00000000-0005-0000-0000-00004E190000}"/>
    <cellStyle name="Remarque 2 2 3 2 2 2 7 9 3" xfId="50490" xr:uid="{00000000-0005-0000-0000-00004F190000}"/>
    <cellStyle name="Remarque 2 2 3 2 2 2 8" xfId="1247" xr:uid="{00000000-0005-0000-0000-000050190000}"/>
    <cellStyle name="Remarque 2 2 3 2 2 2 8 10" xfId="25279" xr:uid="{00000000-0005-0000-0000-000051190000}"/>
    <cellStyle name="Remarque 2 2 3 2 2 2 8 10 2" xfId="49239" xr:uid="{00000000-0005-0000-0000-000052190000}"/>
    <cellStyle name="Remarque 2 2 3 2 2 2 8 11" xfId="36053" xr:uid="{00000000-0005-0000-0000-000053190000}"/>
    <cellStyle name="Remarque 2 2 3 2 2 2 8 11 2" xfId="60013" xr:uid="{00000000-0005-0000-0000-000054190000}"/>
    <cellStyle name="Remarque 2 2 3 2 2 2 8 12" xfId="13944" xr:uid="{00000000-0005-0000-0000-000055190000}"/>
    <cellStyle name="Remarque 2 2 3 2 2 2 8 13" xfId="37904" xr:uid="{00000000-0005-0000-0000-000056190000}"/>
    <cellStyle name="Remarque 2 2 3 2 2 2 8 2" xfId="4153" xr:uid="{00000000-0005-0000-0000-000057190000}"/>
    <cellStyle name="Remarque 2 2 3 2 2 2 8 2 2" xfId="28167" xr:uid="{00000000-0005-0000-0000-000058190000}"/>
    <cellStyle name="Remarque 2 2 3 2 2 2 8 2 2 2" xfId="52127" xr:uid="{00000000-0005-0000-0000-000059190000}"/>
    <cellStyle name="Remarque 2 2 3 2 2 2 8 2 3" xfId="15414" xr:uid="{00000000-0005-0000-0000-00005A190000}"/>
    <cellStyle name="Remarque 2 2 3 2 2 2 8 2 4" xfId="39374" xr:uid="{00000000-0005-0000-0000-00005B190000}"/>
    <cellStyle name="Remarque 2 2 3 2 2 2 8 3" xfId="5587" xr:uid="{00000000-0005-0000-0000-00005C190000}"/>
    <cellStyle name="Remarque 2 2 3 2 2 2 8 3 2" xfId="29601" xr:uid="{00000000-0005-0000-0000-00005D190000}"/>
    <cellStyle name="Remarque 2 2 3 2 2 2 8 3 2 2" xfId="53561" xr:uid="{00000000-0005-0000-0000-00005E190000}"/>
    <cellStyle name="Remarque 2 2 3 2 2 2 8 3 3" xfId="16848" xr:uid="{00000000-0005-0000-0000-00005F190000}"/>
    <cellStyle name="Remarque 2 2 3 2 2 2 8 3 4" xfId="40808" xr:uid="{00000000-0005-0000-0000-000060190000}"/>
    <cellStyle name="Remarque 2 2 3 2 2 2 8 4" xfId="6981" xr:uid="{00000000-0005-0000-0000-000061190000}"/>
    <cellStyle name="Remarque 2 2 3 2 2 2 8 4 2" xfId="30995" xr:uid="{00000000-0005-0000-0000-000062190000}"/>
    <cellStyle name="Remarque 2 2 3 2 2 2 8 4 2 2" xfId="54955" xr:uid="{00000000-0005-0000-0000-000063190000}"/>
    <cellStyle name="Remarque 2 2 3 2 2 2 8 4 3" xfId="18242" xr:uid="{00000000-0005-0000-0000-000064190000}"/>
    <cellStyle name="Remarque 2 2 3 2 2 2 8 4 4" xfId="42202" xr:uid="{00000000-0005-0000-0000-000065190000}"/>
    <cellStyle name="Remarque 2 2 3 2 2 2 8 5" xfId="8369" xr:uid="{00000000-0005-0000-0000-000066190000}"/>
    <cellStyle name="Remarque 2 2 3 2 2 2 8 5 2" xfId="32383" xr:uid="{00000000-0005-0000-0000-000067190000}"/>
    <cellStyle name="Remarque 2 2 3 2 2 2 8 5 2 2" xfId="56343" xr:uid="{00000000-0005-0000-0000-000068190000}"/>
    <cellStyle name="Remarque 2 2 3 2 2 2 8 5 3" xfId="19630" xr:uid="{00000000-0005-0000-0000-000069190000}"/>
    <cellStyle name="Remarque 2 2 3 2 2 2 8 5 4" xfId="43590" xr:uid="{00000000-0005-0000-0000-00006A190000}"/>
    <cellStyle name="Remarque 2 2 3 2 2 2 8 6" xfId="9754" xr:uid="{00000000-0005-0000-0000-00006B190000}"/>
    <cellStyle name="Remarque 2 2 3 2 2 2 8 6 2" xfId="33768" xr:uid="{00000000-0005-0000-0000-00006C190000}"/>
    <cellStyle name="Remarque 2 2 3 2 2 2 8 6 2 2" xfId="57728" xr:uid="{00000000-0005-0000-0000-00006D190000}"/>
    <cellStyle name="Remarque 2 2 3 2 2 2 8 6 3" xfId="21015" xr:uid="{00000000-0005-0000-0000-00006E190000}"/>
    <cellStyle name="Remarque 2 2 3 2 2 2 8 6 4" xfId="44975" xr:uid="{00000000-0005-0000-0000-00006F190000}"/>
    <cellStyle name="Remarque 2 2 3 2 2 2 8 7" xfId="11211" xr:uid="{00000000-0005-0000-0000-000070190000}"/>
    <cellStyle name="Remarque 2 2 3 2 2 2 8 7 2" xfId="35221" xr:uid="{00000000-0005-0000-0000-000071190000}"/>
    <cellStyle name="Remarque 2 2 3 2 2 2 8 7 2 2" xfId="59181" xr:uid="{00000000-0005-0000-0000-000072190000}"/>
    <cellStyle name="Remarque 2 2 3 2 2 2 8 7 3" xfId="22478" xr:uid="{00000000-0005-0000-0000-000073190000}"/>
    <cellStyle name="Remarque 2 2 3 2 2 2 8 7 4" xfId="46438" xr:uid="{00000000-0005-0000-0000-000074190000}"/>
    <cellStyle name="Remarque 2 2 3 2 2 2 8 8" xfId="11582" xr:uid="{00000000-0005-0000-0000-000075190000}"/>
    <cellStyle name="Remarque 2 2 3 2 2 2 8 8 2" xfId="22849" xr:uid="{00000000-0005-0000-0000-000076190000}"/>
    <cellStyle name="Remarque 2 2 3 2 2 2 8 8 3" xfId="46809" xr:uid="{00000000-0005-0000-0000-000077190000}"/>
    <cellStyle name="Remarque 2 2 3 2 2 2 8 9" xfId="2683" xr:uid="{00000000-0005-0000-0000-000078190000}"/>
    <cellStyle name="Remarque 2 2 3 2 2 2 8 9 2" xfId="26697" xr:uid="{00000000-0005-0000-0000-000079190000}"/>
    <cellStyle name="Remarque 2 2 3 2 2 2 8 9 3" xfId="50657" xr:uid="{00000000-0005-0000-0000-00007A190000}"/>
    <cellStyle name="Remarque 2 2 3 2 2 2 9" xfId="1416" xr:uid="{00000000-0005-0000-0000-00007B190000}"/>
    <cellStyle name="Remarque 2 2 3 2 2 2 9 10" xfId="25448" xr:uid="{00000000-0005-0000-0000-00007C190000}"/>
    <cellStyle name="Remarque 2 2 3 2 2 2 9 10 2" xfId="49408" xr:uid="{00000000-0005-0000-0000-00007D190000}"/>
    <cellStyle name="Remarque 2 2 3 2 2 2 9 11" xfId="35962" xr:uid="{00000000-0005-0000-0000-00007E190000}"/>
    <cellStyle name="Remarque 2 2 3 2 2 2 9 11 2" xfId="59922" xr:uid="{00000000-0005-0000-0000-00007F190000}"/>
    <cellStyle name="Remarque 2 2 3 2 2 2 9 12" xfId="14113" xr:uid="{00000000-0005-0000-0000-000080190000}"/>
    <cellStyle name="Remarque 2 2 3 2 2 2 9 13" xfId="38073" xr:uid="{00000000-0005-0000-0000-000081190000}"/>
    <cellStyle name="Remarque 2 2 3 2 2 2 9 2" xfId="4322" xr:uid="{00000000-0005-0000-0000-000082190000}"/>
    <cellStyle name="Remarque 2 2 3 2 2 2 9 2 2" xfId="28336" xr:uid="{00000000-0005-0000-0000-000083190000}"/>
    <cellStyle name="Remarque 2 2 3 2 2 2 9 2 2 2" xfId="52296" xr:uid="{00000000-0005-0000-0000-000084190000}"/>
    <cellStyle name="Remarque 2 2 3 2 2 2 9 2 3" xfId="15583" xr:uid="{00000000-0005-0000-0000-000085190000}"/>
    <cellStyle name="Remarque 2 2 3 2 2 2 9 2 4" xfId="39543" xr:uid="{00000000-0005-0000-0000-000086190000}"/>
    <cellStyle name="Remarque 2 2 3 2 2 2 9 3" xfId="5756" xr:uid="{00000000-0005-0000-0000-000087190000}"/>
    <cellStyle name="Remarque 2 2 3 2 2 2 9 3 2" xfId="29770" xr:uid="{00000000-0005-0000-0000-000088190000}"/>
    <cellStyle name="Remarque 2 2 3 2 2 2 9 3 2 2" xfId="53730" xr:uid="{00000000-0005-0000-0000-000089190000}"/>
    <cellStyle name="Remarque 2 2 3 2 2 2 9 3 3" xfId="17017" xr:uid="{00000000-0005-0000-0000-00008A190000}"/>
    <cellStyle name="Remarque 2 2 3 2 2 2 9 3 4" xfId="40977" xr:uid="{00000000-0005-0000-0000-00008B190000}"/>
    <cellStyle name="Remarque 2 2 3 2 2 2 9 4" xfId="7150" xr:uid="{00000000-0005-0000-0000-00008C190000}"/>
    <cellStyle name="Remarque 2 2 3 2 2 2 9 4 2" xfId="31164" xr:uid="{00000000-0005-0000-0000-00008D190000}"/>
    <cellStyle name="Remarque 2 2 3 2 2 2 9 4 2 2" xfId="55124" xr:uid="{00000000-0005-0000-0000-00008E190000}"/>
    <cellStyle name="Remarque 2 2 3 2 2 2 9 4 3" xfId="18411" xr:uid="{00000000-0005-0000-0000-00008F190000}"/>
    <cellStyle name="Remarque 2 2 3 2 2 2 9 4 4" xfId="42371" xr:uid="{00000000-0005-0000-0000-000090190000}"/>
    <cellStyle name="Remarque 2 2 3 2 2 2 9 5" xfId="8538" xr:uid="{00000000-0005-0000-0000-000091190000}"/>
    <cellStyle name="Remarque 2 2 3 2 2 2 9 5 2" xfId="32552" xr:uid="{00000000-0005-0000-0000-000092190000}"/>
    <cellStyle name="Remarque 2 2 3 2 2 2 9 5 2 2" xfId="56512" xr:uid="{00000000-0005-0000-0000-000093190000}"/>
    <cellStyle name="Remarque 2 2 3 2 2 2 9 5 3" xfId="19799" xr:uid="{00000000-0005-0000-0000-000094190000}"/>
    <cellStyle name="Remarque 2 2 3 2 2 2 9 5 4" xfId="43759" xr:uid="{00000000-0005-0000-0000-000095190000}"/>
    <cellStyle name="Remarque 2 2 3 2 2 2 9 6" xfId="9923" xr:uid="{00000000-0005-0000-0000-000096190000}"/>
    <cellStyle name="Remarque 2 2 3 2 2 2 9 6 2" xfId="33937" xr:uid="{00000000-0005-0000-0000-000097190000}"/>
    <cellStyle name="Remarque 2 2 3 2 2 2 9 6 2 2" xfId="57897" xr:uid="{00000000-0005-0000-0000-000098190000}"/>
    <cellStyle name="Remarque 2 2 3 2 2 2 9 6 3" xfId="21184" xr:uid="{00000000-0005-0000-0000-000099190000}"/>
    <cellStyle name="Remarque 2 2 3 2 2 2 9 6 4" xfId="45144" xr:uid="{00000000-0005-0000-0000-00009A190000}"/>
    <cellStyle name="Remarque 2 2 3 2 2 2 9 7" xfId="11380" xr:uid="{00000000-0005-0000-0000-00009B190000}"/>
    <cellStyle name="Remarque 2 2 3 2 2 2 9 7 2" xfId="35390" xr:uid="{00000000-0005-0000-0000-00009C190000}"/>
    <cellStyle name="Remarque 2 2 3 2 2 2 9 7 2 2" xfId="59350" xr:uid="{00000000-0005-0000-0000-00009D190000}"/>
    <cellStyle name="Remarque 2 2 3 2 2 2 9 7 3" xfId="22647" xr:uid="{00000000-0005-0000-0000-00009E190000}"/>
    <cellStyle name="Remarque 2 2 3 2 2 2 9 7 4" xfId="46607" xr:uid="{00000000-0005-0000-0000-00009F190000}"/>
    <cellStyle name="Remarque 2 2 3 2 2 2 9 8" xfId="12776" xr:uid="{00000000-0005-0000-0000-0000A0190000}"/>
    <cellStyle name="Remarque 2 2 3 2 2 2 9 8 2" xfId="24084" xr:uid="{00000000-0005-0000-0000-0000A1190000}"/>
    <cellStyle name="Remarque 2 2 3 2 2 2 9 8 3" xfId="48044" xr:uid="{00000000-0005-0000-0000-0000A2190000}"/>
    <cellStyle name="Remarque 2 2 3 2 2 2 9 9" xfId="2852" xr:uid="{00000000-0005-0000-0000-0000A3190000}"/>
    <cellStyle name="Remarque 2 2 3 2 2 2 9 9 2" xfId="26866" xr:uid="{00000000-0005-0000-0000-0000A4190000}"/>
    <cellStyle name="Remarque 2 2 3 2 2 2 9 9 3" xfId="50826" xr:uid="{00000000-0005-0000-0000-0000A5190000}"/>
    <cellStyle name="Remarque 2 2 3 2 2 20" xfId="10159" xr:uid="{00000000-0005-0000-0000-0000A6190000}"/>
    <cellStyle name="Remarque 2 2 3 2 2 20 2" xfId="34171" xr:uid="{00000000-0005-0000-0000-0000A7190000}"/>
    <cellStyle name="Remarque 2 2 3 2 2 20 2 2" xfId="58131" xr:uid="{00000000-0005-0000-0000-0000A8190000}"/>
    <cellStyle name="Remarque 2 2 3 2 2 20 3" xfId="21424" xr:uid="{00000000-0005-0000-0000-0000A9190000}"/>
    <cellStyle name="Remarque 2 2 3 2 2 20 4" xfId="45384" xr:uid="{00000000-0005-0000-0000-0000AA190000}"/>
    <cellStyle name="Remarque 2 2 3 2 2 21" xfId="11732" xr:uid="{00000000-0005-0000-0000-0000AB190000}"/>
    <cellStyle name="Remarque 2 2 3 2 2 21 2" xfId="23003" xr:uid="{00000000-0005-0000-0000-0000AC190000}"/>
    <cellStyle name="Remarque 2 2 3 2 2 21 3" xfId="46963" xr:uid="{00000000-0005-0000-0000-0000AD190000}"/>
    <cellStyle name="Remarque 2 2 3 2 2 22" xfId="1657" xr:uid="{00000000-0005-0000-0000-0000AE190000}"/>
    <cellStyle name="Remarque 2 2 3 2 2 22 2" xfId="25671" xr:uid="{00000000-0005-0000-0000-0000AF190000}"/>
    <cellStyle name="Remarque 2 2 3 2 2 22 3" xfId="49631" xr:uid="{00000000-0005-0000-0000-0000B0190000}"/>
    <cellStyle name="Remarque 2 2 3 2 2 23" xfId="24225" xr:uid="{00000000-0005-0000-0000-0000B1190000}"/>
    <cellStyle name="Remarque 2 2 3 2 2 23 2" xfId="48185" xr:uid="{00000000-0005-0000-0000-0000B2190000}"/>
    <cellStyle name="Remarque 2 2 3 2 2 24" xfId="36123" xr:uid="{00000000-0005-0000-0000-0000B3190000}"/>
    <cellStyle name="Remarque 2 2 3 2 2 24 2" xfId="60083" xr:uid="{00000000-0005-0000-0000-0000B4190000}"/>
    <cellStyle name="Remarque 2 2 3 2 2 25" xfId="12937" xr:uid="{00000000-0005-0000-0000-0000B5190000}"/>
    <cellStyle name="Remarque 2 2 3 2 2 26" xfId="36878" xr:uid="{00000000-0005-0000-0000-0000B6190000}"/>
    <cellStyle name="Remarque 2 2 3 2 2 27" xfId="193" xr:uid="{00000000-0005-0000-0000-0000B7190000}"/>
    <cellStyle name="Remarque 2 2 3 2 2 3" xfId="153" xr:uid="{00000000-0005-0000-0000-0000B8190000}"/>
    <cellStyle name="Remarque 2 2 3 2 2 3 10" xfId="6149" xr:uid="{00000000-0005-0000-0000-0000B9190000}"/>
    <cellStyle name="Remarque 2 2 3 2 2 3 10 2" xfId="30163" xr:uid="{00000000-0005-0000-0000-0000BA190000}"/>
    <cellStyle name="Remarque 2 2 3 2 2 3 10 2 2" xfId="54123" xr:uid="{00000000-0005-0000-0000-0000BB190000}"/>
    <cellStyle name="Remarque 2 2 3 2 2 3 10 3" xfId="17410" xr:uid="{00000000-0005-0000-0000-0000BC190000}"/>
    <cellStyle name="Remarque 2 2 3 2 2 3 10 4" xfId="41370" xr:uid="{00000000-0005-0000-0000-0000BD190000}"/>
    <cellStyle name="Remarque 2 2 3 2 2 3 11" xfId="7537" xr:uid="{00000000-0005-0000-0000-0000BE190000}"/>
    <cellStyle name="Remarque 2 2 3 2 2 3 11 2" xfId="31551" xr:uid="{00000000-0005-0000-0000-0000BF190000}"/>
    <cellStyle name="Remarque 2 2 3 2 2 3 11 2 2" xfId="55511" xr:uid="{00000000-0005-0000-0000-0000C0190000}"/>
    <cellStyle name="Remarque 2 2 3 2 2 3 11 3" xfId="18798" xr:uid="{00000000-0005-0000-0000-0000C1190000}"/>
    <cellStyle name="Remarque 2 2 3 2 2 3 11 4" xfId="42758" xr:uid="{00000000-0005-0000-0000-0000C2190000}"/>
    <cellStyle name="Remarque 2 2 3 2 2 3 12" xfId="8922" xr:uid="{00000000-0005-0000-0000-0000C3190000}"/>
    <cellStyle name="Remarque 2 2 3 2 2 3 12 2" xfId="32936" xr:uid="{00000000-0005-0000-0000-0000C4190000}"/>
    <cellStyle name="Remarque 2 2 3 2 2 3 12 2 2" xfId="56896" xr:uid="{00000000-0005-0000-0000-0000C5190000}"/>
    <cellStyle name="Remarque 2 2 3 2 2 3 12 3" xfId="20183" xr:uid="{00000000-0005-0000-0000-0000C6190000}"/>
    <cellStyle name="Remarque 2 2 3 2 2 3 12 4" xfId="44143" xr:uid="{00000000-0005-0000-0000-0000C7190000}"/>
    <cellStyle name="Remarque 2 2 3 2 2 3 13" xfId="10379" xr:uid="{00000000-0005-0000-0000-0000C8190000}"/>
    <cellStyle name="Remarque 2 2 3 2 2 3 13 2" xfId="34389" xr:uid="{00000000-0005-0000-0000-0000C9190000}"/>
    <cellStyle name="Remarque 2 2 3 2 2 3 13 2 2" xfId="58349" xr:uid="{00000000-0005-0000-0000-0000CA190000}"/>
    <cellStyle name="Remarque 2 2 3 2 2 3 13 3" xfId="21646" xr:uid="{00000000-0005-0000-0000-0000CB190000}"/>
    <cellStyle name="Remarque 2 2 3 2 2 3 13 4" xfId="45606" xr:uid="{00000000-0005-0000-0000-0000CC190000}"/>
    <cellStyle name="Remarque 2 2 3 2 2 3 14" xfId="12220" xr:uid="{00000000-0005-0000-0000-0000CD190000}"/>
    <cellStyle name="Remarque 2 2 3 2 2 3 14 2" xfId="23504" xr:uid="{00000000-0005-0000-0000-0000CE190000}"/>
    <cellStyle name="Remarque 2 2 3 2 2 3 14 3" xfId="47464" xr:uid="{00000000-0005-0000-0000-0000CF190000}"/>
    <cellStyle name="Remarque 2 2 3 2 2 3 15" xfId="1851" xr:uid="{00000000-0005-0000-0000-0000D0190000}"/>
    <cellStyle name="Remarque 2 2 3 2 2 3 15 2" xfId="25865" xr:uid="{00000000-0005-0000-0000-0000D1190000}"/>
    <cellStyle name="Remarque 2 2 3 2 2 3 15 3" xfId="49825" xr:uid="{00000000-0005-0000-0000-0000D2190000}"/>
    <cellStyle name="Remarque 2 2 3 2 2 3 16" xfId="24447" xr:uid="{00000000-0005-0000-0000-0000D3190000}"/>
    <cellStyle name="Remarque 2 2 3 2 2 3 16 2" xfId="48407" xr:uid="{00000000-0005-0000-0000-0000D4190000}"/>
    <cellStyle name="Remarque 2 2 3 2 2 3 17" xfId="36340" xr:uid="{00000000-0005-0000-0000-0000D5190000}"/>
    <cellStyle name="Remarque 2 2 3 2 2 3 17 2" xfId="60300" xr:uid="{00000000-0005-0000-0000-0000D6190000}"/>
    <cellStyle name="Remarque 2 2 3 2 2 3 18" xfId="13112" xr:uid="{00000000-0005-0000-0000-0000D7190000}"/>
    <cellStyle name="Remarque 2 2 3 2 2 3 19" xfId="37072" xr:uid="{00000000-0005-0000-0000-0000D8190000}"/>
    <cellStyle name="Remarque 2 2 3 2 2 3 2" xfId="551" xr:uid="{00000000-0005-0000-0000-0000D9190000}"/>
    <cellStyle name="Remarque 2 2 3 2 2 3 2 10" xfId="24583" xr:uid="{00000000-0005-0000-0000-0000DA190000}"/>
    <cellStyle name="Remarque 2 2 3 2 2 3 2 10 2" xfId="48543" xr:uid="{00000000-0005-0000-0000-0000DB190000}"/>
    <cellStyle name="Remarque 2 2 3 2 2 3 2 11" xfId="36609" xr:uid="{00000000-0005-0000-0000-0000DC190000}"/>
    <cellStyle name="Remarque 2 2 3 2 2 3 2 11 2" xfId="60569" xr:uid="{00000000-0005-0000-0000-0000DD190000}"/>
    <cellStyle name="Remarque 2 2 3 2 2 3 2 12" xfId="13248" xr:uid="{00000000-0005-0000-0000-0000DE190000}"/>
    <cellStyle name="Remarque 2 2 3 2 2 3 2 13" xfId="37208" xr:uid="{00000000-0005-0000-0000-0000DF190000}"/>
    <cellStyle name="Remarque 2 2 3 2 2 3 2 2" xfId="3457" xr:uid="{00000000-0005-0000-0000-0000E0190000}"/>
    <cellStyle name="Remarque 2 2 3 2 2 3 2 2 2" xfId="27471" xr:uid="{00000000-0005-0000-0000-0000E1190000}"/>
    <cellStyle name="Remarque 2 2 3 2 2 3 2 2 2 2" xfId="51431" xr:uid="{00000000-0005-0000-0000-0000E2190000}"/>
    <cellStyle name="Remarque 2 2 3 2 2 3 2 2 3" xfId="14718" xr:uid="{00000000-0005-0000-0000-0000E3190000}"/>
    <cellStyle name="Remarque 2 2 3 2 2 3 2 2 4" xfId="38678" xr:uid="{00000000-0005-0000-0000-0000E4190000}"/>
    <cellStyle name="Remarque 2 2 3 2 2 3 2 3" xfId="4891" xr:uid="{00000000-0005-0000-0000-0000E5190000}"/>
    <cellStyle name="Remarque 2 2 3 2 2 3 2 3 2" xfId="28905" xr:uid="{00000000-0005-0000-0000-0000E6190000}"/>
    <cellStyle name="Remarque 2 2 3 2 2 3 2 3 2 2" xfId="52865" xr:uid="{00000000-0005-0000-0000-0000E7190000}"/>
    <cellStyle name="Remarque 2 2 3 2 2 3 2 3 3" xfId="16152" xr:uid="{00000000-0005-0000-0000-0000E8190000}"/>
    <cellStyle name="Remarque 2 2 3 2 2 3 2 3 4" xfId="40112" xr:uid="{00000000-0005-0000-0000-0000E9190000}"/>
    <cellStyle name="Remarque 2 2 3 2 2 3 2 4" xfId="6285" xr:uid="{00000000-0005-0000-0000-0000EA190000}"/>
    <cellStyle name="Remarque 2 2 3 2 2 3 2 4 2" xfId="30299" xr:uid="{00000000-0005-0000-0000-0000EB190000}"/>
    <cellStyle name="Remarque 2 2 3 2 2 3 2 4 2 2" xfId="54259" xr:uid="{00000000-0005-0000-0000-0000EC190000}"/>
    <cellStyle name="Remarque 2 2 3 2 2 3 2 4 3" xfId="17546" xr:uid="{00000000-0005-0000-0000-0000ED190000}"/>
    <cellStyle name="Remarque 2 2 3 2 2 3 2 4 4" xfId="41506" xr:uid="{00000000-0005-0000-0000-0000EE190000}"/>
    <cellStyle name="Remarque 2 2 3 2 2 3 2 5" xfId="7673" xr:uid="{00000000-0005-0000-0000-0000EF190000}"/>
    <cellStyle name="Remarque 2 2 3 2 2 3 2 5 2" xfId="31687" xr:uid="{00000000-0005-0000-0000-0000F0190000}"/>
    <cellStyle name="Remarque 2 2 3 2 2 3 2 5 2 2" xfId="55647" xr:uid="{00000000-0005-0000-0000-0000F1190000}"/>
    <cellStyle name="Remarque 2 2 3 2 2 3 2 5 3" xfId="18934" xr:uid="{00000000-0005-0000-0000-0000F2190000}"/>
    <cellStyle name="Remarque 2 2 3 2 2 3 2 5 4" xfId="42894" xr:uid="{00000000-0005-0000-0000-0000F3190000}"/>
    <cellStyle name="Remarque 2 2 3 2 2 3 2 6" xfId="9058" xr:uid="{00000000-0005-0000-0000-0000F4190000}"/>
    <cellStyle name="Remarque 2 2 3 2 2 3 2 6 2" xfId="33072" xr:uid="{00000000-0005-0000-0000-0000F5190000}"/>
    <cellStyle name="Remarque 2 2 3 2 2 3 2 6 2 2" xfId="57032" xr:uid="{00000000-0005-0000-0000-0000F6190000}"/>
    <cellStyle name="Remarque 2 2 3 2 2 3 2 6 3" xfId="20319" xr:uid="{00000000-0005-0000-0000-0000F7190000}"/>
    <cellStyle name="Remarque 2 2 3 2 2 3 2 6 4" xfId="44279" xr:uid="{00000000-0005-0000-0000-0000F8190000}"/>
    <cellStyle name="Remarque 2 2 3 2 2 3 2 7" xfId="10515" xr:uid="{00000000-0005-0000-0000-0000F9190000}"/>
    <cellStyle name="Remarque 2 2 3 2 2 3 2 7 2" xfId="34525" xr:uid="{00000000-0005-0000-0000-0000FA190000}"/>
    <cellStyle name="Remarque 2 2 3 2 2 3 2 7 2 2" xfId="58485" xr:uid="{00000000-0005-0000-0000-0000FB190000}"/>
    <cellStyle name="Remarque 2 2 3 2 2 3 2 7 3" xfId="21782" xr:uid="{00000000-0005-0000-0000-0000FC190000}"/>
    <cellStyle name="Remarque 2 2 3 2 2 3 2 7 4" xfId="45742" xr:uid="{00000000-0005-0000-0000-0000FD190000}"/>
    <cellStyle name="Remarque 2 2 3 2 2 3 2 8" xfId="12725" xr:uid="{00000000-0005-0000-0000-0000FE190000}"/>
    <cellStyle name="Remarque 2 2 3 2 2 3 2 8 2" xfId="24031" xr:uid="{00000000-0005-0000-0000-0000FF190000}"/>
    <cellStyle name="Remarque 2 2 3 2 2 3 2 8 3" xfId="47991" xr:uid="{00000000-0005-0000-0000-0000001A0000}"/>
    <cellStyle name="Remarque 2 2 3 2 2 3 2 9" xfId="1987" xr:uid="{00000000-0005-0000-0000-0000011A0000}"/>
    <cellStyle name="Remarque 2 2 3 2 2 3 2 9 2" xfId="26001" xr:uid="{00000000-0005-0000-0000-0000021A0000}"/>
    <cellStyle name="Remarque 2 2 3 2 2 3 2 9 3" xfId="49961" xr:uid="{00000000-0005-0000-0000-0000031A0000}"/>
    <cellStyle name="Remarque 2 2 3 2 2 3 20" xfId="415" xr:uid="{00000000-0005-0000-0000-0000041A0000}"/>
    <cellStyle name="Remarque 2 2 3 2 2 3 3" xfId="743" xr:uid="{00000000-0005-0000-0000-0000051A0000}"/>
    <cellStyle name="Remarque 2 2 3 2 2 3 3 10" xfId="24775" xr:uid="{00000000-0005-0000-0000-0000061A0000}"/>
    <cellStyle name="Remarque 2 2 3 2 2 3 3 10 2" xfId="48735" xr:uid="{00000000-0005-0000-0000-0000071A0000}"/>
    <cellStyle name="Remarque 2 2 3 2 2 3 3 11" xfId="36717" xr:uid="{00000000-0005-0000-0000-0000081A0000}"/>
    <cellStyle name="Remarque 2 2 3 2 2 3 3 11 2" xfId="60677" xr:uid="{00000000-0005-0000-0000-0000091A0000}"/>
    <cellStyle name="Remarque 2 2 3 2 2 3 3 12" xfId="13440" xr:uid="{00000000-0005-0000-0000-00000A1A0000}"/>
    <cellStyle name="Remarque 2 2 3 2 2 3 3 13" xfId="37400" xr:uid="{00000000-0005-0000-0000-00000B1A0000}"/>
    <cellStyle name="Remarque 2 2 3 2 2 3 3 2" xfId="3649" xr:uid="{00000000-0005-0000-0000-00000C1A0000}"/>
    <cellStyle name="Remarque 2 2 3 2 2 3 3 2 2" xfId="27663" xr:uid="{00000000-0005-0000-0000-00000D1A0000}"/>
    <cellStyle name="Remarque 2 2 3 2 2 3 3 2 2 2" xfId="51623" xr:uid="{00000000-0005-0000-0000-00000E1A0000}"/>
    <cellStyle name="Remarque 2 2 3 2 2 3 3 2 3" xfId="14910" xr:uid="{00000000-0005-0000-0000-00000F1A0000}"/>
    <cellStyle name="Remarque 2 2 3 2 2 3 3 2 4" xfId="38870" xr:uid="{00000000-0005-0000-0000-0000101A0000}"/>
    <cellStyle name="Remarque 2 2 3 2 2 3 3 3" xfId="5083" xr:uid="{00000000-0005-0000-0000-0000111A0000}"/>
    <cellStyle name="Remarque 2 2 3 2 2 3 3 3 2" xfId="29097" xr:uid="{00000000-0005-0000-0000-0000121A0000}"/>
    <cellStyle name="Remarque 2 2 3 2 2 3 3 3 2 2" xfId="53057" xr:uid="{00000000-0005-0000-0000-0000131A0000}"/>
    <cellStyle name="Remarque 2 2 3 2 2 3 3 3 3" xfId="16344" xr:uid="{00000000-0005-0000-0000-0000141A0000}"/>
    <cellStyle name="Remarque 2 2 3 2 2 3 3 3 4" xfId="40304" xr:uid="{00000000-0005-0000-0000-0000151A0000}"/>
    <cellStyle name="Remarque 2 2 3 2 2 3 3 4" xfId="6477" xr:uid="{00000000-0005-0000-0000-0000161A0000}"/>
    <cellStyle name="Remarque 2 2 3 2 2 3 3 4 2" xfId="30491" xr:uid="{00000000-0005-0000-0000-0000171A0000}"/>
    <cellStyle name="Remarque 2 2 3 2 2 3 3 4 2 2" xfId="54451" xr:uid="{00000000-0005-0000-0000-0000181A0000}"/>
    <cellStyle name="Remarque 2 2 3 2 2 3 3 4 3" xfId="17738" xr:uid="{00000000-0005-0000-0000-0000191A0000}"/>
    <cellStyle name="Remarque 2 2 3 2 2 3 3 4 4" xfId="41698" xr:uid="{00000000-0005-0000-0000-00001A1A0000}"/>
    <cellStyle name="Remarque 2 2 3 2 2 3 3 5" xfId="7865" xr:uid="{00000000-0005-0000-0000-00001B1A0000}"/>
    <cellStyle name="Remarque 2 2 3 2 2 3 3 5 2" xfId="31879" xr:uid="{00000000-0005-0000-0000-00001C1A0000}"/>
    <cellStyle name="Remarque 2 2 3 2 2 3 3 5 2 2" xfId="55839" xr:uid="{00000000-0005-0000-0000-00001D1A0000}"/>
    <cellStyle name="Remarque 2 2 3 2 2 3 3 5 3" xfId="19126" xr:uid="{00000000-0005-0000-0000-00001E1A0000}"/>
    <cellStyle name="Remarque 2 2 3 2 2 3 3 5 4" xfId="43086" xr:uid="{00000000-0005-0000-0000-00001F1A0000}"/>
    <cellStyle name="Remarque 2 2 3 2 2 3 3 6" xfId="9250" xr:uid="{00000000-0005-0000-0000-0000201A0000}"/>
    <cellStyle name="Remarque 2 2 3 2 2 3 3 6 2" xfId="33264" xr:uid="{00000000-0005-0000-0000-0000211A0000}"/>
    <cellStyle name="Remarque 2 2 3 2 2 3 3 6 2 2" xfId="57224" xr:uid="{00000000-0005-0000-0000-0000221A0000}"/>
    <cellStyle name="Remarque 2 2 3 2 2 3 3 6 3" xfId="20511" xr:uid="{00000000-0005-0000-0000-0000231A0000}"/>
    <cellStyle name="Remarque 2 2 3 2 2 3 3 6 4" xfId="44471" xr:uid="{00000000-0005-0000-0000-0000241A0000}"/>
    <cellStyle name="Remarque 2 2 3 2 2 3 3 7" xfId="10707" xr:uid="{00000000-0005-0000-0000-0000251A0000}"/>
    <cellStyle name="Remarque 2 2 3 2 2 3 3 7 2" xfId="34717" xr:uid="{00000000-0005-0000-0000-0000261A0000}"/>
    <cellStyle name="Remarque 2 2 3 2 2 3 3 7 2 2" xfId="58677" xr:uid="{00000000-0005-0000-0000-0000271A0000}"/>
    <cellStyle name="Remarque 2 2 3 2 2 3 3 7 3" xfId="21974" xr:uid="{00000000-0005-0000-0000-0000281A0000}"/>
    <cellStyle name="Remarque 2 2 3 2 2 3 3 7 4" xfId="45934" xr:uid="{00000000-0005-0000-0000-0000291A0000}"/>
    <cellStyle name="Remarque 2 2 3 2 2 3 3 8" xfId="12054" xr:uid="{00000000-0005-0000-0000-00002A1A0000}"/>
    <cellStyle name="Remarque 2 2 3 2 2 3 3 8 2" xfId="23334" xr:uid="{00000000-0005-0000-0000-00002B1A0000}"/>
    <cellStyle name="Remarque 2 2 3 2 2 3 3 8 3" xfId="47294" xr:uid="{00000000-0005-0000-0000-00002C1A0000}"/>
    <cellStyle name="Remarque 2 2 3 2 2 3 3 9" xfId="2179" xr:uid="{00000000-0005-0000-0000-00002D1A0000}"/>
    <cellStyle name="Remarque 2 2 3 2 2 3 3 9 2" xfId="26193" xr:uid="{00000000-0005-0000-0000-00002E1A0000}"/>
    <cellStyle name="Remarque 2 2 3 2 2 3 3 9 3" xfId="50153" xr:uid="{00000000-0005-0000-0000-00002F1A0000}"/>
    <cellStyle name="Remarque 2 2 3 2 2 3 4" xfId="937" xr:uid="{00000000-0005-0000-0000-0000301A0000}"/>
    <cellStyle name="Remarque 2 2 3 2 2 3 4 10" xfId="24969" xr:uid="{00000000-0005-0000-0000-0000311A0000}"/>
    <cellStyle name="Remarque 2 2 3 2 2 3 4 10 2" xfId="48929" xr:uid="{00000000-0005-0000-0000-0000321A0000}"/>
    <cellStyle name="Remarque 2 2 3 2 2 3 4 11" xfId="36488" xr:uid="{00000000-0005-0000-0000-0000331A0000}"/>
    <cellStyle name="Remarque 2 2 3 2 2 3 4 11 2" xfId="60448" xr:uid="{00000000-0005-0000-0000-0000341A0000}"/>
    <cellStyle name="Remarque 2 2 3 2 2 3 4 12" xfId="13634" xr:uid="{00000000-0005-0000-0000-0000351A0000}"/>
    <cellStyle name="Remarque 2 2 3 2 2 3 4 13" xfId="37594" xr:uid="{00000000-0005-0000-0000-0000361A0000}"/>
    <cellStyle name="Remarque 2 2 3 2 2 3 4 2" xfId="3843" xr:uid="{00000000-0005-0000-0000-0000371A0000}"/>
    <cellStyle name="Remarque 2 2 3 2 2 3 4 2 2" xfId="27857" xr:uid="{00000000-0005-0000-0000-0000381A0000}"/>
    <cellStyle name="Remarque 2 2 3 2 2 3 4 2 2 2" xfId="51817" xr:uid="{00000000-0005-0000-0000-0000391A0000}"/>
    <cellStyle name="Remarque 2 2 3 2 2 3 4 2 3" xfId="15104" xr:uid="{00000000-0005-0000-0000-00003A1A0000}"/>
    <cellStyle name="Remarque 2 2 3 2 2 3 4 2 4" xfId="39064" xr:uid="{00000000-0005-0000-0000-00003B1A0000}"/>
    <cellStyle name="Remarque 2 2 3 2 2 3 4 3" xfId="5277" xr:uid="{00000000-0005-0000-0000-00003C1A0000}"/>
    <cellStyle name="Remarque 2 2 3 2 2 3 4 3 2" xfId="29291" xr:uid="{00000000-0005-0000-0000-00003D1A0000}"/>
    <cellStyle name="Remarque 2 2 3 2 2 3 4 3 2 2" xfId="53251" xr:uid="{00000000-0005-0000-0000-00003E1A0000}"/>
    <cellStyle name="Remarque 2 2 3 2 2 3 4 3 3" xfId="16538" xr:uid="{00000000-0005-0000-0000-00003F1A0000}"/>
    <cellStyle name="Remarque 2 2 3 2 2 3 4 3 4" xfId="40498" xr:uid="{00000000-0005-0000-0000-0000401A0000}"/>
    <cellStyle name="Remarque 2 2 3 2 2 3 4 4" xfId="6671" xr:uid="{00000000-0005-0000-0000-0000411A0000}"/>
    <cellStyle name="Remarque 2 2 3 2 2 3 4 4 2" xfId="30685" xr:uid="{00000000-0005-0000-0000-0000421A0000}"/>
    <cellStyle name="Remarque 2 2 3 2 2 3 4 4 2 2" xfId="54645" xr:uid="{00000000-0005-0000-0000-0000431A0000}"/>
    <cellStyle name="Remarque 2 2 3 2 2 3 4 4 3" xfId="17932" xr:uid="{00000000-0005-0000-0000-0000441A0000}"/>
    <cellStyle name="Remarque 2 2 3 2 2 3 4 4 4" xfId="41892" xr:uid="{00000000-0005-0000-0000-0000451A0000}"/>
    <cellStyle name="Remarque 2 2 3 2 2 3 4 5" xfId="8059" xr:uid="{00000000-0005-0000-0000-0000461A0000}"/>
    <cellStyle name="Remarque 2 2 3 2 2 3 4 5 2" xfId="32073" xr:uid="{00000000-0005-0000-0000-0000471A0000}"/>
    <cellStyle name="Remarque 2 2 3 2 2 3 4 5 2 2" xfId="56033" xr:uid="{00000000-0005-0000-0000-0000481A0000}"/>
    <cellStyle name="Remarque 2 2 3 2 2 3 4 5 3" xfId="19320" xr:uid="{00000000-0005-0000-0000-0000491A0000}"/>
    <cellStyle name="Remarque 2 2 3 2 2 3 4 5 4" xfId="43280" xr:uid="{00000000-0005-0000-0000-00004A1A0000}"/>
    <cellStyle name="Remarque 2 2 3 2 2 3 4 6" xfId="9444" xr:uid="{00000000-0005-0000-0000-00004B1A0000}"/>
    <cellStyle name="Remarque 2 2 3 2 2 3 4 6 2" xfId="33458" xr:uid="{00000000-0005-0000-0000-00004C1A0000}"/>
    <cellStyle name="Remarque 2 2 3 2 2 3 4 6 2 2" xfId="57418" xr:uid="{00000000-0005-0000-0000-00004D1A0000}"/>
    <cellStyle name="Remarque 2 2 3 2 2 3 4 6 3" xfId="20705" xr:uid="{00000000-0005-0000-0000-00004E1A0000}"/>
    <cellStyle name="Remarque 2 2 3 2 2 3 4 6 4" xfId="44665" xr:uid="{00000000-0005-0000-0000-00004F1A0000}"/>
    <cellStyle name="Remarque 2 2 3 2 2 3 4 7" xfId="10901" xr:uid="{00000000-0005-0000-0000-0000501A0000}"/>
    <cellStyle name="Remarque 2 2 3 2 2 3 4 7 2" xfId="34911" xr:uid="{00000000-0005-0000-0000-0000511A0000}"/>
    <cellStyle name="Remarque 2 2 3 2 2 3 4 7 2 2" xfId="58871" xr:uid="{00000000-0005-0000-0000-0000521A0000}"/>
    <cellStyle name="Remarque 2 2 3 2 2 3 4 7 3" xfId="22168" xr:uid="{00000000-0005-0000-0000-0000531A0000}"/>
    <cellStyle name="Remarque 2 2 3 2 2 3 4 7 4" xfId="46128" xr:uid="{00000000-0005-0000-0000-0000541A0000}"/>
    <cellStyle name="Remarque 2 2 3 2 2 3 4 8" xfId="12863" xr:uid="{00000000-0005-0000-0000-0000551A0000}"/>
    <cellStyle name="Remarque 2 2 3 2 2 3 4 8 2" xfId="24175" xr:uid="{00000000-0005-0000-0000-0000561A0000}"/>
    <cellStyle name="Remarque 2 2 3 2 2 3 4 8 3" xfId="48135" xr:uid="{00000000-0005-0000-0000-0000571A0000}"/>
    <cellStyle name="Remarque 2 2 3 2 2 3 4 9" xfId="2373" xr:uid="{00000000-0005-0000-0000-0000581A0000}"/>
    <cellStyle name="Remarque 2 2 3 2 2 3 4 9 2" xfId="26387" xr:uid="{00000000-0005-0000-0000-0000591A0000}"/>
    <cellStyle name="Remarque 2 2 3 2 2 3 4 9 3" xfId="50347" xr:uid="{00000000-0005-0000-0000-00005A1A0000}"/>
    <cellStyle name="Remarque 2 2 3 2 2 3 5" xfId="1130" xr:uid="{00000000-0005-0000-0000-00005B1A0000}"/>
    <cellStyle name="Remarque 2 2 3 2 2 3 5 10" xfId="25162" xr:uid="{00000000-0005-0000-0000-00005C1A0000}"/>
    <cellStyle name="Remarque 2 2 3 2 2 3 5 10 2" xfId="49122" xr:uid="{00000000-0005-0000-0000-00005D1A0000}"/>
    <cellStyle name="Remarque 2 2 3 2 2 3 5 11" xfId="36437" xr:uid="{00000000-0005-0000-0000-00005E1A0000}"/>
    <cellStyle name="Remarque 2 2 3 2 2 3 5 11 2" xfId="60397" xr:uid="{00000000-0005-0000-0000-00005F1A0000}"/>
    <cellStyle name="Remarque 2 2 3 2 2 3 5 12" xfId="13827" xr:uid="{00000000-0005-0000-0000-0000601A0000}"/>
    <cellStyle name="Remarque 2 2 3 2 2 3 5 13" xfId="37787" xr:uid="{00000000-0005-0000-0000-0000611A0000}"/>
    <cellStyle name="Remarque 2 2 3 2 2 3 5 2" xfId="4036" xr:uid="{00000000-0005-0000-0000-0000621A0000}"/>
    <cellStyle name="Remarque 2 2 3 2 2 3 5 2 2" xfId="28050" xr:uid="{00000000-0005-0000-0000-0000631A0000}"/>
    <cellStyle name="Remarque 2 2 3 2 2 3 5 2 2 2" xfId="52010" xr:uid="{00000000-0005-0000-0000-0000641A0000}"/>
    <cellStyle name="Remarque 2 2 3 2 2 3 5 2 3" xfId="15297" xr:uid="{00000000-0005-0000-0000-0000651A0000}"/>
    <cellStyle name="Remarque 2 2 3 2 2 3 5 2 4" xfId="39257" xr:uid="{00000000-0005-0000-0000-0000661A0000}"/>
    <cellStyle name="Remarque 2 2 3 2 2 3 5 3" xfId="5470" xr:uid="{00000000-0005-0000-0000-0000671A0000}"/>
    <cellStyle name="Remarque 2 2 3 2 2 3 5 3 2" xfId="29484" xr:uid="{00000000-0005-0000-0000-0000681A0000}"/>
    <cellStyle name="Remarque 2 2 3 2 2 3 5 3 2 2" xfId="53444" xr:uid="{00000000-0005-0000-0000-0000691A0000}"/>
    <cellStyle name="Remarque 2 2 3 2 2 3 5 3 3" xfId="16731" xr:uid="{00000000-0005-0000-0000-00006A1A0000}"/>
    <cellStyle name="Remarque 2 2 3 2 2 3 5 3 4" xfId="40691" xr:uid="{00000000-0005-0000-0000-00006B1A0000}"/>
    <cellStyle name="Remarque 2 2 3 2 2 3 5 4" xfId="6864" xr:uid="{00000000-0005-0000-0000-00006C1A0000}"/>
    <cellStyle name="Remarque 2 2 3 2 2 3 5 4 2" xfId="30878" xr:uid="{00000000-0005-0000-0000-00006D1A0000}"/>
    <cellStyle name="Remarque 2 2 3 2 2 3 5 4 2 2" xfId="54838" xr:uid="{00000000-0005-0000-0000-00006E1A0000}"/>
    <cellStyle name="Remarque 2 2 3 2 2 3 5 4 3" xfId="18125" xr:uid="{00000000-0005-0000-0000-00006F1A0000}"/>
    <cellStyle name="Remarque 2 2 3 2 2 3 5 4 4" xfId="42085" xr:uid="{00000000-0005-0000-0000-0000701A0000}"/>
    <cellStyle name="Remarque 2 2 3 2 2 3 5 5" xfId="8252" xr:uid="{00000000-0005-0000-0000-0000711A0000}"/>
    <cellStyle name="Remarque 2 2 3 2 2 3 5 5 2" xfId="32266" xr:uid="{00000000-0005-0000-0000-0000721A0000}"/>
    <cellStyle name="Remarque 2 2 3 2 2 3 5 5 2 2" xfId="56226" xr:uid="{00000000-0005-0000-0000-0000731A0000}"/>
    <cellStyle name="Remarque 2 2 3 2 2 3 5 5 3" xfId="19513" xr:uid="{00000000-0005-0000-0000-0000741A0000}"/>
    <cellStyle name="Remarque 2 2 3 2 2 3 5 5 4" xfId="43473" xr:uid="{00000000-0005-0000-0000-0000751A0000}"/>
    <cellStyle name="Remarque 2 2 3 2 2 3 5 6" xfId="9637" xr:uid="{00000000-0005-0000-0000-0000761A0000}"/>
    <cellStyle name="Remarque 2 2 3 2 2 3 5 6 2" xfId="33651" xr:uid="{00000000-0005-0000-0000-0000771A0000}"/>
    <cellStyle name="Remarque 2 2 3 2 2 3 5 6 2 2" xfId="57611" xr:uid="{00000000-0005-0000-0000-0000781A0000}"/>
    <cellStyle name="Remarque 2 2 3 2 2 3 5 6 3" xfId="20898" xr:uid="{00000000-0005-0000-0000-0000791A0000}"/>
    <cellStyle name="Remarque 2 2 3 2 2 3 5 6 4" xfId="44858" xr:uid="{00000000-0005-0000-0000-00007A1A0000}"/>
    <cellStyle name="Remarque 2 2 3 2 2 3 5 7" xfId="11094" xr:uid="{00000000-0005-0000-0000-00007B1A0000}"/>
    <cellStyle name="Remarque 2 2 3 2 2 3 5 7 2" xfId="35104" xr:uid="{00000000-0005-0000-0000-00007C1A0000}"/>
    <cellStyle name="Remarque 2 2 3 2 2 3 5 7 2 2" xfId="59064" xr:uid="{00000000-0005-0000-0000-00007D1A0000}"/>
    <cellStyle name="Remarque 2 2 3 2 2 3 5 7 3" xfId="22361" xr:uid="{00000000-0005-0000-0000-00007E1A0000}"/>
    <cellStyle name="Remarque 2 2 3 2 2 3 5 7 4" xfId="46321" xr:uid="{00000000-0005-0000-0000-00007F1A0000}"/>
    <cellStyle name="Remarque 2 2 3 2 2 3 5 8" xfId="12690" xr:uid="{00000000-0005-0000-0000-0000801A0000}"/>
    <cellStyle name="Remarque 2 2 3 2 2 3 5 8 2" xfId="23995" xr:uid="{00000000-0005-0000-0000-0000811A0000}"/>
    <cellStyle name="Remarque 2 2 3 2 2 3 5 8 3" xfId="47955" xr:uid="{00000000-0005-0000-0000-0000821A0000}"/>
    <cellStyle name="Remarque 2 2 3 2 2 3 5 9" xfId="2566" xr:uid="{00000000-0005-0000-0000-0000831A0000}"/>
    <cellStyle name="Remarque 2 2 3 2 2 3 5 9 2" xfId="26580" xr:uid="{00000000-0005-0000-0000-0000841A0000}"/>
    <cellStyle name="Remarque 2 2 3 2 2 3 5 9 3" xfId="50540" xr:uid="{00000000-0005-0000-0000-0000851A0000}"/>
    <cellStyle name="Remarque 2 2 3 2 2 3 6" xfId="1297" xr:uid="{00000000-0005-0000-0000-0000861A0000}"/>
    <cellStyle name="Remarque 2 2 3 2 2 3 6 10" xfId="25329" xr:uid="{00000000-0005-0000-0000-0000871A0000}"/>
    <cellStyle name="Remarque 2 2 3 2 2 3 6 10 2" xfId="49289" xr:uid="{00000000-0005-0000-0000-0000881A0000}"/>
    <cellStyle name="Remarque 2 2 3 2 2 3 6 11" xfId="36602" xr:uid="{00000000-0005-0000-0000-0000891A0000}"/>
    <cellStyle name="Remarque 2 2 3 2 2 3 6 11 2" xfId="60562" xr:uid="{00000000-0005-0000-0000-00008A1A0000}"/>
    <cellStyle name="Remarque 2 2 3 2 2 3 6 12" xfId="13994" xr:uid="{00000000-0005-0000-0000-00008B1A0000}"/>
    <cellStyle name="Remarque 2 2 3 2 2 3 6 13" xfId="37954" xr:uid="{00000000-0005-0000-0000-00008C1A0000}"/>
    <cellStyle name="Remarque 2 2 3 2 2 3 6 2" xfId="4203" xr:uid="{00000000-0005-0000-0000-00008D1A0000}"/>
    <cellStyle name="Remarque 2 2 3 2 2 3 6 2 2" xfId="28217" xr:uid="{00000000-0005-0000-0000-00008E1A0000}"/>
    <cellStyle name="Remarque 2 2 3 2 2 3 6 2 2 2" xfId="52177" xr:uid="{00000000-0005-0000-0000-00008F1A0000}"/>
    <cellStyle name="Remarque 2 2 3 2 2 3 6 2 3" xfId="15464" xr:uid="{00000000-0005-0000-0000-0000901A0000}"/>
    <cellStyle name="Remarque 2 2 3 2 2 3 6 2 4" xfId="39424" xr:uid="{00000000-0005-0000-0000-0000911A0000}"/>
    <cellStyle name="Remarque 2 2 3 2 2 3 6 3" xfId="5637" xr:uid="{00000000-0005-0000-0000-0000921A0000}"/>
    <cellStyle name="Remarque 2 2 3 2 2 3 6 3 2" xfId="29651" xr:uid="{00000000-0005-0000-0000-0000931A0000}"/>
    <cellStyle name="Remarque 2 2 3 2 2 3 6 3 2 2" xfId="53611" xr:uid="{00000000-0005-0000-0000-0000941A0000}"/>
    <cellStyle name="Remarque 2 2 3 2 2 3 6 3 3" xfId="16898" xr:uid="{00000000-0005-0000-0000-0000951A0000}"/>
    <cellStyle name="Remarque 2 2 3 2 2 3 6 3 4" xfId="40858" xr:uid="{00000000-0005-0000-0000-0000961A0000}"/>
    <cellStyle name="Remarque 2 2 3 2 2 3 6 4" xfId="7031" xr:uid="{00000000-0005-0000-0000-0000971A0000}"/>
    <cellStyle name="Remarque 2 2 3 2 2 3 6 4 2" xfId="31045" xr:uid="{00000000-0005-0000-0000-0000981A0000}"/>
    <cellStyle name="Remarque 2 2 3 2 2 3 6 4 2 2" xfId="55005" xr:uid="{00000000-0005-0000-0000-0000991A0000}"/>
    <cellStyle name="Remarque 2 2 3 2 2 3 6 4 3" xfId="18292" xr:uid="{00000000-0005-0000-0000-00009A1A0000}"/>
    <cellStyle name="Remarque 2 2 3 2 2 3 6 4 4" xfId="42252" xr:uid="{00000000-0005-0000-0000-00009B1A0000}"/>
    <cellStyle name="Remarque 2 2 3 2 2 3 6 5" xfId="8419" xr:uid="{00000000-0005-0000-0000-00009C1A0000}"/>
    <cellStyle name="Remarque 2 2 3 2 2 3 6 5 2" xfId="32433" xr:uid="{00000000-0005-0000-0000-00009D1A0000}"/>
    <cellStyle name="Remarque 2 2 3 2 2 3 6 5 2 2" xfId="56393" xr:uid="{00000000-0005-0000-0000-00009E1A0000}"/>
    <cellStyle name="Remarque 2 2 3 2 2 3 6 5 3" xfId="19680" xr:uid="{00000000-0005-0000-0000-00009F1A0000}"/>
    <cellStyle name="Remarque 2 2 3 2 2 3 6 5 4" xfId="43640" xr:uid="{00000000-0005-0000-0000-0000A01A0000}"/>
    <cellStyle name="Remarque 2 2 3 2 2 3 6 6" xfId="9804" xr:uid="{00000000-0005-0000-0000-0000A11A0000}"/>
    <cellStyle name="Remarque 2 2 3 2 2 3 6 6 2" xfId="33818" xr:uid="{00000000-0005-0000-0000-0000A21A0000}"/>
    <cellStyle name="Remarque 2 2 3 2 2 3 6 6 2 2" xfId="57778" xr:uid="{00000000-0005-0000-0000-0000A31A0000}"/>
    <cellStyle name="Remarque 2 2 3 2 2 3 6 6 3" xfId="21065" xr:uid="{00000000-0005-0000-0000-0000A41A0000}"/>
    <cellStyle name="Remarque 2 2 3 2 2 3 6 6 4" xfId="45025" xr:uid="{00000000-0005-0000-0000-0000A51A0000}"/>
    <cellStyle name="Remarque 2 2 3 2 2 3 6 7" xfId="11261" xr:uid="{00000000-0005-0000-0000-0000A61A0000}"/>
    <cellStyle name="Remarque 2 2 3 2 2 3 6 7 2" xfId="35271" xr:uid="{00000000-0005-0000-0000-0000A71A0000}"/>
    <cellStyle name="Remarque 2 2 3 2 2 3 6 7 2 2" xfId="59231" xr:uid="{00000000-0005-0000-0000-0000A81A0000}"/>
    <cellStyle name="Remarque 2 2 3 2 2 3 6 7 3" xfId="22528" xr:uid="{00000000-0005-0000-0000-0000A91A0000}"/>
    <cellStyle name="Remarque 2 2 3 2 2 3 6 7 4" xfId="46488" xr:uid="{00000000-0005-0000-0000-0000AA1A0000}"/>
    <cellStyle name="Remarque 2 2 3 2 2 3 6 8" xfId="12303" xr:uid="{00000000-0005-0000-0000-0000AB1A0000}"/>
    <cellStyle name="Remarque 2 2 3 2 2 3 6 8 2" xfId="23591" xr:uid="{00000000-0005-0000-0000-0000AC1A0000}"/>
    <cellStyle name="Remarque 2 2 3 2 2 3 6 8 3" xfId="47551" xr:uid="{00000000-0005-0000-0000-0000AD1A0000}"/>
    <cellStyle name="Remarque 2 2 3 2 2 3 6 9" xfId="2733" xr:uid="{00000000-0005-0000-0000-0000AE1A0000}"/>
    <cellStyle name="Remarque 2 2 3 2 2 3 6 9 2" xfId="26747" xr:uid="{00000000-0005-0000-0000-0000AF1A0000}"/>
    <cellStyle name="Remarque 2 2 3 2 2 3 6 9 3" xfId="50707" xr:uid="{00000000-0005-0000-0000-0000B01A0000}"/>
    <cellStyle name="Remarque 2 2 3 2 2 3 7" xfId="1466" xr:uid="{00000000-0005-0000-0000-0000B11A0000}"/>
    <cellStyle name="Remarque 2 2 3 2 2 3 7 10" xfId="25498" xr:uid="{00000000-0005-0000-0000-0000B21A0000}"/>
    <cellStyle name="Remarque 2 2 3 2 2 3 7 10 2" xfId="49458" xr:uid="{00000000-0005-0000-0000-0000B31A0000}"/>
    <cellStyle name="Remarque 2 2 3 2 2 3 7 11" xfId="36211" xr:uid="{00000000-0005-0000-0000-0000B41A0000}"/>
    <cellStyle name="Remarque 2 2 3 2 2 3 7 11 2" xfId="60171" xr:uid="{00000000-0005-0000-0000-0000B51A0000}"/>
    <cellStyle name="Remarque 2 2 3 2 2 3 7 12" xfId="14163" xr:uid="{00000000-0005-0000-0000-0000B61A0000}"/>
    <cellStyle name="Remarque 2 2 3 2 2 3 7 13" xfId="38123" xr:uid="{00000000-0005-0000-0000-0000B71A0000}"/>
    <cellStyle name="Remarque 2 2 3 2 2 3 7 2" xfId="4372" xr:uid="{00000000-0005-0000-0000-0000B81A0000}"/>
    <cellStyle name="Remarque 2 2 3 2 2 3 7 2 2" xfId="28386" xr:uid="{00000000-0005-0000-0000-0000B91A0000}"/>
    <cellStyle name="Remarque 2 2 3 2 2 3 7 2 2 2" xfId="52346" xr:uid="{00000000-0005-0000-0000-0000BA1A0000}"/>
    <cellStyle name="Remarque 2 2 3 2 2 3 7 2 3" xfId="15633" xr:uid="{00000000-0005-0000-0000-0000BB1A0000}"/>
    <cellStyle name="Remarque 2 2 3 2 2 3 7 2 4" xfId="39593" xr:uid="{00000000-0005-0000-0000-0000BC1A0000}"/>
    <cellStyle name="Remarque 2 2 3 2 2 3 7 3" xfId="5806" xr:uid="{00000000-0005-0000-0000-0000BD1A0000}"/>
    <cellStyle name="Remarque 2 2 3 2 2 3 7 3 2" xfId="29820" xr:uid="{00000000-0005-0000-0000-0000BE1A0000}"/>
    <cellStyle name="Remarque 2 2 3 2 2 3 7 3 2 2" xfId="53780" xr:uid="{00000000-0005-0000-0000-0000BF1A0000}"/>
    <cellStyle name="Remarque 2 2 3 2 2 3 7 3 3" xfId="17067" xr:uid="{00000000-0005-0000-0000-0000C01A0000}"/>
    <cellStyle name="Remarque 2 2 3 2 2 3 7 3 4" xfId="41027" xr:uid="{00000000-0005-0000-0000-0000C11A0000}"/>
    <cellStyle name="Remarque 2 2 3 2 2 3 7 4" xfId="7200" xr:uid="{00000000-0005-0000-0000-0000C21A0000}"/>
    <cellStyle name="Remarque 2 2 3 2 2 3 7 4 2" xfId="31214" xr:uid="{00000000-0005-0000-0000-0000C31A0000}"/>
    <cellStyle name="Remarque 2 2 3 2 2 3 7 4 2 2" xfId="55174" xr:uid="{00000000-0005-0000-0000-0000C41A0000}"/>
    <cellStyle name="Remarque 2 2 3 2 2 3 7 4 3" xfId="18461" xr:uid="{00000000-0005-0000-0000-0000C51A0000}"/>
    <cellStyle name="Remarque 2 2 3 2 2 3 7 4 4" xfId="42421" xr:uid="{00000000-0005-0000-0000-0000C61A0000}"/>
    <cellStyle name="Remarque 2 2 3 2 2 3 7 5" xfId="8588" xr:uid="{00000000-0005-0000-0000-0000C71A0000}"/>
    <cellStyle name="Remarque 2 2 3 2 2 3 7 5 2" xfId="32602" xr:uid="{00000000-0005-0000-0000-0000C81A0000}"/>
    <cellStyle name="Remarque 2 2 3 2 2 3 7 5 2 2" xfId="56562" xr:uid="{00000000-0005-0000-0000-0000C91A0000}"/>
    <cellStyle name="Remarque 2 2 3 2 2 3 7 5 3" xfId="19849" xr:uid="{00000000-0005-0000-0000-0000CA1A0000}"/>
    <cellStyle name="Remarque 2 2 3 2 2 3 7 5 4" xfId="43809" xr:uid="{00000000-0005-0000-0000-0000CB1A0000}"/>
    <cellStyle name="Remarque 2 2 3 2 2 3 7 6" xfId="9973" xr:uid="{00000000-0005-0000-0000-0000CC1A0000}"/>
    <cellStyle name="Remarque 2 2 3 2 2 3 7 6 2" xfId="33987" xr:uid="{00000000-0005-0000-0000-0000CD1A0000}"/>
    <cellStyle name="Remarque 2 2 3 2 2 3 7 6 2 2" xfId="57947" xr:uid="{00000000-0005-0000-0000-0000CE1A0000}"/>
    <cellStyle name="Remarque 2 2 3 2 2 3 7 6 3" xfId="21234" xr:uid="{00000000-0005-0000-0000-0000CF1A0000}"/>
    <cellStyle name="Remarque 2 2 3 2 2 3 7 6 4" xfId="45194" xr:uid="{00000000-0005-0000-0000-0000D01A0000}"/>
    <cellStyle name="Remarque 2 2 3 2 2 3 7 7" xfId="11430" xr:uid="{00000000-0005-0000-0000-0000D11A0000}"/>
    <cellStyle name="Remarque 2 2 3 2 2 3 7 7 2" xfId="35440" xr:uid="{00000000-0005-0000-0000-0000D21A0000}"/>
    <cellStyle name="Remarque 2 2 3 2 2 3 7 7 2 2" xfId="59400" xr:uid="{00000000-0005-0000-0000-0000D31A0000}"/>
    <cellStyle name="Remarque 2 2 3 2 2 3 7 7 3" xfId="22697" xr:uid="{00000000-0005-0000-0000-0000D41A0000}"/>
    <cellStyle name="Remarque 2 2 3 2 2 3 7 7 4" xfId="46657" xr:uid="{00000000-0005-0000-0000-0000D51A0000}"/>
    <cellStyle name="Remarque 2 2 3 2 2 3 7 8" xfId="12188" xr:uid="{00000000-0005-0000-0000-0000D61A0000}"/>
    <cellStyle name="Remarque 2 2 3 2 2 3 7 8 2" xfId="23471" xr:uid="{00000000-0005-0000-0000-0000D71A0000}"/>
    <cellStyle name="Remarque 2 2 3 2 2 3 7 8 3" xfId="47431" xr:uid="{00000000-0005-0000-0000-0000D81A0000}"/>
    <cellStyle name="Remarque 2 2 3 2 2 3 7 9" xfId="2902" xr:uid="{00000000-0005-0000-0000-0000D91A0000}"/>
    <cellStyle name="Remarque 2 2 3 2 2 3 7 9 2" xfId="26916" xr:uid="{00000000-0005-0000-0000-0000DA1A0000}"/>
    <cellStyle name="Remarque 2 2 3 2 2 3 7 9 3" xfId="50876" xr:uid="{00000000-0005-0000-0000-0000DB1A0000}"/>
    <cellStyle name="Remarque 2 2 3 2 2 3 8" xfId="3321" xr:uid="{00000000-0005-0000-0000-0000DC1A0000}"/>
    <cellStyle name="Remarque 2 2 3 2 2 3 8 2" xfId="27335" xr:uid="{00000000-0005-0000-0000-0000DD1A0000}"/>
    <cellStyle name="Remarque 2 2 3 2 2 3 8 2 2" xfId="51295" xr:uid="{00000000-0005-0000-0000-0000DE1A0000}"/>
    <cellStyle name="Remarque 2 2 3 2 2 3 8 3" xfId="14582" xr:uid="{00000000-0005-0000-0000-0000DF1A0000}"/>
    <cellStyle name="Remarque 2 2 3 2 2 3 8 4" xfId="38542" xr:uid="{00000000-0005-0000-0000-0000E01A0000}"/>
    <cellStyle name="Remarque 2 2 3 2 2 3 9" xfId="4755" xr:uid="{00000000-0005-0000-0000-0000E11A0000}"/>
    <cellStyle name="Remarque 2 2 3 2 2 3 9 2" xfId="28769" xr:uid="{00000000-0005-0000-0000-0000E21A0000}"/>
    <cellStyle name="Remarque 2 2 3 2 2 3 9 2 2" xfId="52729" xr:uid="{00000000-0005-0000-0000-0000E31A0000}"/>
    <cellStyle name="Remarque 2 2 3 2 2 3 9 3" xfId="16016" xr:uid="{00000000-0005-0000-0000-0000E41A0000}"/>
    <cellStyle name="Remarque 2 2 3 2 2 3 9 4" xfId="39976" xr:uid="{00000000-0005-0000-0000-0000E51A0000}"/>
    <cellStyle name="Remarque 2 2 3 2 2 4" xfId="455" xr:uid="{00000000-0005-0000-0000-0000E61A0000}"/>
    <cellStyle name="Remarque 2 2 3 2 2 4 10" xfId="6189" xr:uid="{00000000-0005-0000-0000-0000E71A0000}"/>
    <cellStyle name="Remarque 2 2 3 2 2 4 10 2" xfId="30203" xr:uid="{00000000-0005-0000-0000-0000E81A0000}"/>
    <cellStyle name="Remarque 2 2 3 2 2 4 10 2 2" xfId="54163" xr:uid="{00000000-0005-0000-0000-0000E91A0000}"/>
    <cellStyle name="Remarque 2 2 3 2 2 4 10 3" xfId="17450" xr:uid="{00000000-0005-0000-0000-0000EA1A0000}"/>
    <cellStyle name="Remarque 2 2 3 2 2 4 10 4" xfId="41410" xr:uid="{00000000-0005-0000-0000-0000EB1A0000}"/>
    <cellStyle name="Remarque 2 2 3 2 2 4 11" xfId="7577" xr:uid="{00000000-0005-0000-0000-0000EC1A0000}"/>
    <cellStyle name="Remarque 2 2 3 2 2 4 11 2" xfId="31591" xr:uid="{00000000-0005-0000-0000-0000ED1A0000}"/>
    <cellStyle name="Remarque 2 2 3 2 2 4 11 2 2" xfId="55551" xr:uid="{00000000-0005-0000-0000-0000EE1A0000}"/>
    <cellStyle name="Remarque 2 2 3 2 2 4 11 3" xfId="18838" xr:uid="{00000000-0005-0000-0000-0000EF1A0000}"/>
    <cellStyle name="Remarque 2 2 3 2 2 4 11 4" xfId="42798" xr:uid="{00000000-0005-0000-0000-0000F01A0000}"/>
    <cellStyle name="Remarque 2 2 3 2 2 4 12" xfId="8962" xr:uid="{00000000-0005-0000-0000-0000F11A0000}"/>
    <cellStyle name="Remarque 2 2 3 2 2 4 12 2" xfId="32976" xr:uid="{00000000-0005-0000-0000-0000F21A0000}"/>
    <cellStyle name="Remarque 2 2 3 2 2 4 12 2 2" xfId="56936" xr:uid="{00000000-0005-0000-0000-0000F31A0000}"/>
    <cellStyle name="Remarque 2 2 3 2 2 4 12 3" xfId="20223" xr:uid="{00000000-0005-0000-0000-0000F41A0000}"/>
    <cellStyle name="Remarque 2 2 3 2 2 4 12 4" xfId="44183" xr:uid="{00000000-0005-0000-0000-0000F51A0000}"/>
    <cellStyle name="Remarque 2 2 3 2 2 4 13" xfId="10419" xr:uid="{00000000-0005-0000-0000-0000F61A0000}"/>
    <cellStyle name="Remarque 2 2 3 2 2 4 13 2" xfId="34429" xr:uid="{00000000-0005-0000-0000-0000F71A0000}"/>
    <cellStyle name="Remarque 2 2 3 2 2 4 13 2 2" xfId="58389" xr:uid="{00000000-0005-0000-0000-0000F81A0000}"/>
    <cellStyle name="Remarque 2 2 3 2 2 4 13 3" xfId="21686" xr:uid="{00000000-0005-0000-0000-0000F91A0000}"/>
    <cellStyle name="Remarque 2 2 3 2 2 4 13 4" xfId="45646" xr:uid="{00000000-0005-0000-0000-0000FA1A0000}"/>
    <cellStyle name="Remarque 2 2 3 2 2 4 14" xfId="12659" xr:uid="{00000000-0005-0000-0000-0000FB1A0000}"/>
    <cellStyle name="Remarque 2 2 3 2 2 4 14 2" xfId="23964" xr:uid="{00000000-0005-0000-0000-0000FC1A0000}"/>
    <cellStyle name="Remarque 2 2 3 2 2 4 14 3" xfId="47924" xr:uid="{00000000-0005-0000-0000-0000FD1A0000}"/>
    <cellStyle name="Remarque 2 2 3 2 2 4 15" xfId="1891" xr:uid="{00000000-0005-0000-0000-0000FE1A0000}"/>
    <cellStyle name="Remarque 2 2 3 2 2 4 15 2" xfId="25905" xr:uid="{00000000-0005-0000-0000-0000FF1A0000}"/>
    <cellStyle name="Remarque 2 2 3 2 2 4 15 3" xfId="49865" xr:uid="{00000000-0005-0000-0000-0000001B0000}"/>
    <cellStyle name="Remarque 2 2 3 2 2 4 16" xfId="24487" xr:uid="{00000000-0005-0000-0000-0000011B0000}"/>
    <cellStyle name="Remarque 2 2 3 2 2 4 16 2" xfId="48447" xr:uid="{00000000-0005-0000-0000-0000021B0000}"/>
    <cellStyle name="Remarque 2 2 3 2 2 4 17" xfId="35996" xr:uid="{00000000-0005-0000-0000-0000031B0000}"/>
    <cellStyle name="Remarque 2 2 3 2 2 4 17 2" xfId="59956" xr:uid="{00000000-0005-0000-0000-0000041B0000}"/>
    <cellStyle name="Remarque 2 2 3 2 2 4 18" xfId="13152" xr:uid="{00000000-0005-0000-0000-0000051B0000}"/>
    <cellStyle name="Remarque 2 2 3 2 2 4 19" xfId="37112" xr:uid="{00000000-0005-0000-0000-0000061B0000}"/>
    <cellStyle name="Remarque 2 2 3 2 2 4 2" xfId="591" xr:uid="{00000000-0005-0000-0000-0000071B0000}"/>
    <cellStyle name="Remarque 2 2 3 2 2 4 2 10" xfId="24623" xr:uid="{00000000-0005-0000-0000-0000081B0000}"/>
    <cellStyle name="Remarque 2 2 3 2 2 4 2 10 2" xfId="48583" xr:uid="{00000000-0005-0000-0000-0000091B0000}"/>
    <cellStyle name="Remarque 2 2 3 2 2 4 2 11" xfId="36181" xr:uid="{00000000-0005-0000-0000-00000A1B0000}"/>
    <cellStyle name="Remarque 2 2 3 2 2 4 2 11 2" xfId="60141" xr:uid="{00000000-0005-0000-0000-00000B1B0000}"/>
    <cellStyle name="Remarque 2 2 3 2 2 4 2 12" xfId="13288" xr:uid="{00000000-0005-0000-0000-00000C1B0000}"/>
    <cellStyle name="Remarque 2 2 3 2 2 4 2 13" xfId="37248" xr:uid="{00000000-0005-0000-0000-00000D1B0000}"/>
    <cellStyle name="Remarque 2 2 3 2 2 4 2 2" xfId="3497" xr:uid="{00000000-0005-0000-0000-00000E1B0000}"/>
    <cellStyle name="Remarque 2 2 3 2 2 4 2 2 2" xfId="27511" xr:uid="{00000000-0005-0000-0000-00000F1B0000}"/>
    <cellStyle name="Remarque 2 2 3 2 2 4 2 2 2 2" xfId="51471" xr:uid="{00000000-0005-0000-0000-0000101B0000}"/>
    <cellStyle name="Remarque 2 2 3 2 2 4 2 2 3" xfId="14758" xr:uid="{00000000-0005-0000-0000-0000111B0000}"/>
    <cellStyle name="Remarque 2 2 3 2 2 4 2 2 4" xfId="38718" xr:uid="{00000000-0005-0000-0000-0000121B0000}"/>
    <cellStyle name="Remarque 2 2 3 2 2 4 2 3" xfId="4931" xr:uid="{00000000-0005-0000-0000-0000131B0000}"/>
    <cellStyle name="Remarque 2 2 3 2 2 4 2 3 2" xfId="28945" xr:uid="{00000000-0005-0000-0000-0000141B0000}"/>
    <cellStyle name="Remarque 2 2 3 2 2 4 2 3 2 2" xfId="52905" xr:uid="{00000000-0005-0000-0000-0000151B0000}"/>
    <cellStyle name="Remarque 2 2 3 2 2 4 2 3 3" xfId="16192" xr:uid="{00000000-0005-0000-0000-0000161B0000}"/>
    <cellStyle name="Remarque 2 2 3 2 2 4 2 3 4" xfId="40152" xr:uid="{00000000-0005-0000-0000-0000171B0000}"/>
    <cellStyle name="Remarque 2 2 3 2 2 4 2 4" xfId="6325" xr:uid="{00000000-0005-0000-0000-0000181B0000}"/>
    <cellStyle name="Remarque 2 2 3 2 2 4 2 4 2" xfId="30339" xr:uid="{00000000-0005-0000-0000-0000191B0000}"/>
    <cellStyle name="Remarque 2 2 3 2 2 4 2 4 2 2" xfId="54299" xr:uid="{00000000-0005-0000-0000-00001A1B0000}"/>
    <cellStyle name="Remarque 2 2 3 2 2 4 2 4 3" xfId="17586" xr:uid="{00000000-0005-0000-0000-00001B1B0000}"/>
    <cellStyle name="Remarque 2 2 3 2 2 4 2 4 4" xfId="41546" xr:uid="{00000000-0005-0000-0000-00001C1B0000}"/>
    <cellStyle name="Remarque 2 2 3 2 2 4 2 5" xfId="7713" xr:uid="{00000000-0005-0000-0000-00001D1B0000}"/>
    <cellStyle name="Remarque 2 2 3 2 2 4 2 5 2" xfId="31727" xr:uid="{00000000-0005-0000-0000-00001E1B0000}"/>
    <cellStyle name="Remarque 2 2 3 2 2 4 2 5 2 2" xfId="55687" xr:uid="{00000000-0005-0000-0000-00001F1B0000}"/>
    <cellStyle name="Remarque 2 2 3 2 2 4 2 5 3" xfId="18974" xr:uid="{00000000-0005-0000-0000-0000201B0000}"/>
    <cellStyle name="Remarque 2 2 3 2 2 4 2 5 4" xfId="42934" xr:uid="{00000000-0005-0000-0000-0000211B0000}"/>
    <cellStyle name="Remarque 2 2 3 2 2 4 2 6" xfId="9098" xr:uid="{00000000-0005-0000-0000-0000221B0000}"/>
    <cellStyle name="Remarque 2 2 3 2 2 4 2 6 2" xfId="33112" xr:uid="{00000000-0005-0000-0000-0000231B0000}"/>
    <cellStyle name="Remarque 2 2 3 2 2 4 2 6 2 2" xfId="57072" xr:uid="{00000000-0005-0000-0000-0000241B0000}"/>
    <cellStyle name="Remarque 2 2 3 2 2 4 2 6 3" xfId="20359" xr:uid="{00000000-0005-0000-0000-0000251B0000}"/>
    <cellStyle name="Remarque 2 2 3 2 2 4 2 6 4" xfId="44319" xr:uid="{00000000-0005-0000-0000-0000261B0000}"/>
    <cellStyle name="Remarque 2 2 3 2 2 4 2 7" xfId="10555" xr:uid="{00000000-0005-0000-0000-0000271B0000}"/>
    <cellStyle name="Remarque 2 2 3 2 2 4 2 7 2" xfId="34565" xr:uid="{00000000-0005-0000-0000-0000281B0000}"/>
    <cellStyle name="Remarque 2 2 3 2 2 4 2 7 2 2" xfId="58525" xr:uid="{00000000-0005-0000-0000-0000291B0000}"/>
    <cellStyle name="Remarque 2 2 3 2 2 4 2 7 3" xfId="21822" xr:uid="{00000000-0005-0000-0000-00002A1B0000}"/>
    <cellStyle name="Remarque 2 2 3 2 2 4 2 7 4" xfId="45782" xr:uid="{00000000-0005-0000-0000-00002B1B0000}"/>
    <cellStyle name="Remarque 2 2 3 2 2 4 2 8" xfId="12006" xr:uid="{00000000-0005-0000-0000-00002C1B0000}"/>
    <cellStyle name="Remarque 2 2 3 2 2 4 2 8 2" xfId="23285" xr:uid="{00000000-0005-0000-0000-00002D1B0000}"/>
    <cellStyle name="Remarque 2 2 3 2 2 4 2 8 3" xfId="47245" xr:uid="{00000000-0005-0000-0000-00002E1B0000}"/>
    <cellStyle name="Remarque 2 2 3 2 2 4 2 9" xfId="2027" xr:uid="{00000000-0005-0000-0000-00002F1B0000}"/>
    <cellStyle name="Remarque 2 2 3 2 2 4 2 9 2" xfId="26041" xr:uid="{00000000-0005-0000-0000-0000301B0000}"/>
    <cellStyle name="Remarque 2 2 3 2 2 4 2 9 3" xfId="50001" xr:uid="{00000000-0005-0000-0000-0000311B0000}"/>
    <cellStyle name="Remarque 2 2 3 2 2 4 3" xfId="783" xr:uid="{00000000-0005-0000-0000-0000321B0000}"/>
    <cellStyle name="Remarque 2 2 3 2 2 4 3 10" xfId="24815" xr:uid="{00000000-0005-0000-0000-0000331B0000}"/>
    <cellStyle name="Remarque 2 2 3 2 2 4 3 10 2" xfId="48775" xr:uid="{00000000-0005-0000-0000-0000341B0000}"/>
    <cellStyle name="Remarque 2 2 3 2 2 4 3 11" xfId="35690" xr:uid="{00000000-0005-0000-0000-0000351B0000}"/>
    <cellStyle name="Remarque 2 2 3 2 2 4 3 11 2" xfId="59650" xr:uid="{00000000-0005-0000-0000-0000361B0000}"/>
    <cellStyle name="Remarque 2 2 3 2 2 4 3 12" xfId="13480" xr:uid="{00000000-0005-0000-0000-0000371B0000}"/>
    <cellStyle name="Remarque 2 2 3 2 2 4 3 13" xfId="37440" xr:uid="{00000000-0005-0000-0000-0000381B0000}"/>
    <cellStyle name="Remarque 2 2 3 2 2 4 3 2" xfId="3689" xr:uid="{00000000-0005-0000-0000-0000391B0000}"/>
    <cellStyle name="Remarque 2 2 3 2 2 4 3 2 2" xfId="27703" xr:uid="{00000000-0005-0000-0000-00003A1B0000}"/>
    <cellStyle name="Remarque 2 2 3 2 2 4 3 2 2 2" xfId="51663" xr:uid="{00000000-0005-0000-0000-00003B1B0000}"/>
    <cellStyle name="Remarque 2 2 3 2 2 4 3 2 3" xfId="14950" xr:uid="{00000000-0005-0000-0000-00003C1B0000}"/>
    <cellStyle name="Remarque 2 2 3 2 2 4 3 2 4" xfId="38910" xr:uid="{00000000-0005-0000-0000-00003D1B0000}"/>
    <cellStyle name="Remarque 2 2 3 2 2 4 3 3" xfId="5123" xr:uid="{00000000-0005-0000-0000-00003E1B0000}"/>
    <cellStyle name="Remarque 2 2 3 2 2 4 3 3 2" xfId="29137" xr:uid="{00000000-0005-0000-0000-00003F1B0000}"/>
    <cellStyle name="Remarque 2 2 3 2 2 4 3 3 2 2" xfId="53097" xr:uid="{00000000-0005-0000-0000-0000401B0000}"/>
    <cellStyle name="Remarque 2 2 3 2 2 4 3 3 3" xfId="16384" xr:uid="{00000000-0005-0000-0000-0000411B0000}"/>
    <cellStyle name="Remarque 2 2 3 2 2 4 3 3 4" xfId="40344" xr:uid="{00000000-0005-0000-0000-0000421B0000}"/>
    <cellStyle name="Remarque 2 2 3 2 2 4 3 4" xfId="6517" xr:uid="{00000000-0005-0000-0000-0000431B0000}"/>
    <cellStyle name="Remarque 2 2 3 2 2 4 3 4 2" xfId="30531" xr:uid="{00000000-0005-0000-0000-0000441B0000}"/>
    <cellStyle name="Remarque 2 2 3 2 2 4 3 4 2 2" xfId="54491" xr:uid="{00000000-0005-0000-0000-0000451B0000}"/>
    <cellStyle name="Remarque 2 2 3 2 2 4 3 4 3" xfId="17778" xr:uid="{00000000-0005-0000-0000-0000461B0000}"/>
    <cellStyle name="Remarque 2 2 3 2 2 4 3 4 4" xfId="41738" xr:uid="{00000000-0005-0000-0000-0000471B0000}"/>
    <cellStyle name="Remarque 2 2 3 2 2 4 3 5" xfId="7905" xr:uid="{00000000-0005-0000-0000-0000481B0000}"/>
    <cellStyle name="Remarque 2 2 3 2 2 4 3 5 2" xfId="31919" xr:uid="{00000000-0005-0000-0000-0000491B0000}"/>
    <cellStyle name="Remarque 2 2 3 2 2 4 3 5 2 2" xfId="55879" xr:uid="{00000000-0005-0000-0000-00004A1B0000}"/>
    <cellStyle name="Remarque 2 2 3 2 2 4 3 5 3" xfId="19166" xr:uid="{00000000-0005-0000-0000-00004B1B0000}"/>
    <cellStyle name="Remarque 2 2 3 2 2 4 3 5 4" xfId="43126" xr:uid="{00000000-0005-0000-0000-00004C1B0000}"/>
    <cellStyle name="Remarque 2 2 3 2 2 4 3 6" xfId="9290" xr:uid="{00000000-0005-0000-0000-00004D1B0000}"/>
    <cellStyle name="Remarque 2 2 3 2 2 4 3 6 2" xfId="33304" xr:uid="{00000000-0005-0000-0000-00004E1B0000}"/>
    <cellStyle name="Remarque 2 2 3 2 2 4 3 6 2 2" xfId="57264" xr:uid="{00000000-0005-0000-0000-00004F1B0000}"/>
    <cellStyle name="Remarque 2 2 3 2 2 4 3 6 3" xfId="20551" xr:uid="{00000000-0005-0000-0000-0000501B0000}"/>
    <cellStyle name="Remarque 2 2 3 2 2 4 3 6 4" xfId="44511" xr:uid="{00000000-0005-0000-0000-0000511B0000}"/>
    <cellStyle name="Remarque 2 2 3 2 2 4 3 7" xfId="10747" xr:uid="{00000000-0005-0000-0000-0000521B0000}"/>
    <cellStyle name="Remarque 2 2 3 2 2 4 3 7 2" xfId="34757" xr:uid="{00000000-0005-0000-0000-0000531B0000}"/>
    <cellStyle name="Remarque 2 2 3 2 2 4 3 7 2 2" xfId="58717" xr:uid="{00000000-0005-0000-0000-0000541B0000}"/>
    <cellStyle name="Remarque 2 2 3 2 2 4 3 7 3" xfId="22014" xr:uid="{00000000-0005-0000-0000-0000551B0000}"/>
    <cellStyle name="Remarque 2 2 3 2 2 4 3 7 4" xfId="45974" xr:uid="{00000000-0005-0000-0000-0000561B0000}"/>
    <cellStyle name="Remarque 2 2 3 2 2 4 3 8" xfId="11900" xr:uid="{00000000-0005-0000-0000-0000571B0000}"/>
    <cellStyle name="Remarque 2 2 3 2 2 4 3 8 2" xfId="23177" xr:uid="{00000000-0005-0000-0000-0000581B0000}"/>
    <cellStyle name="Remarque 2 2 3 2 2 4 3 8 3" xfId="47137" xr:uid="{00000000-0005-0000-0000-0000591B0000}"/>
    <cellStyle name="Remarque 2 2 3 2 2 4 3 9" xfId="2219" xr:uid="{00000000-0005-0000-0000-00005A1B0000}"/>
    <cellStyle name="Remarque 2 2 3 2 2 4 3 9 2" xfId="26233" xr:uid="{00000000-0005-0000-0000-00005B1B0000}"/>
    <cellStyle name="Remarque 2 2 3 2 2 4 3 9 3" xfId="50193" xr:uid="{00000000-0005-0000-0000-00005C1B0000}"/>
    <cellStyle name="Remarque 2 2 3 2 2 4 4" xfId="977" xr:uid="{00000000-0005-0000-0000-00005D1B0000}"/>
    <cellStyle name="Remarque 2 2 3 2 2 4 4 10" xfId="25009" xr:uid="{00000000-0005-0000-0000-00005E1B0000}"/>
    <cellStyle name="Remarque 2 2 3 2 2 4 4 10 2" xfId="48969" xr:uid="{00000000-0005-0000-0000-00005F1B0000}"/>
    <cellStyle name="Remarque 2 2 3 2 2 4 4 11" xfId="36253" xr:uid="{00000000-0005-0000-0000-0000601B0000}"/>
    <cellStyle name="Remarque 2 2 3 2 2 4 4 11 2" xfId="60213" xr:uid="{00000000-0005-0000-0000-0000611B0000}"/>
    <cellStyle name="Remarque 2 2 3 2 2 4 4 12" xfId="13674" xr:uid="{00000000-0005-0000-0000-0000621B0000}"/>
    <cellStyle name="Remarque 2 2 3 2 2 4 4 13" xfId="37634" xr:uid="{00000000-0005-0000-0000-0000631B0000}"/>
    <cellStyle name="Remarque 2 2 3 2 2 4 4 2" xfId="3883" xr:uid="{00000000-0005-0000-0000-0000641B0000}"/>
    <cellStyle name="Remarque 2 2 3 2 2 4 4 2 2" xfId="27897" xr:uid="{00000000-0005-0000-0000-0000651B0000}"/>
    <cellStyle name="Remarque 2 2 3 2 2 4 4 2 2 2" xfId="51857" xr:uid="{00000000-0005-0000-0000-0000661B0000}"/>
    <cellStyle name="Remarque 2 2 3 2 2 4 4 2 3" xfId="15144" xr:uid="{00000000-0005-0000-0000-0000671B0000}"/>
    <cellStyle name="Remarque 2 2 3 2 2 4 4 2 4" xfId="39104" xr:uid="{00000000-0005-0000-0000-0000681B0000}"/>
    <cellStyle name="Remarque 2 2 3 2 2 4 4 3" xfId="5317" xr:uid="{00000000-0005-0000-0000-0000691B0000}"/>
    <cellStyle name="Remarque 2 2 3 2 2 4 4 3 2" xfId="29331" xr:uid="{00000000-0005-0000-0000-00006A1B0000}"/>
    <cellStyle name="Remarque 2 2 3 2 2 4 4 3 2 2" xfId="53291" xr:uid="{00000000-0005-0000-0000-00006B1B0000}"/>
    <cellStyle name="Remarque 2 2 3 2 2 4 4 3 3" xfId="16578" xr:uid="{00000000-0005-0000-0000-00006C1B0000}"/>
    <cellStyle name="Remarque 2 2 3 2 2 4 4 3 4" xfId="40538" xr:uid="{00000000-0005-0000-0000-00006D1B0000}"/>
    <cellStyle name="Remarque 2 2 3 2 2 4 4 4" xfId="6711" xr:uid="{00000000-0005-0000-0000-00006E1B0000}"/>
    <cellStyle name="Remarque 2 2 3 2 2 4 4 4 2" xfId="30725" xr:uid="{00000000-0005-0000-0000-00006F1B0000}"/>
    <cellStyle name="Remarque 2 2 3 2 2 4 4 4 2 2" xfId="54685" xr:uid="{00000000-0005-0000-0000-0000701B0000}"/>
    <cellStyle name="Remarque 2 2 3 2 2 4 4 4 3" xfId="17972" xr:uid="{00000000-0005-0000-0000-0000711B0000}"/>
    <cellStyle name="Remarque 2 2 3 2 2 4 4 4 4" xfId="41932" xr:uid="{00000000-0005-0000-0000-0000721B0000}"/>
    <cellStyle name="Remarque 2 2 3 2 2 4 4 5" xfId="8099" xr:uid="{00000000-0005-0000-0000-0000731B0000}"/>
    <cellStyle name="Remarque 2 2 3 2 2 4 4 5 2" xfId="32113" xr:uid="{00000000-0005-0000-0000-0000741B0000}"/>
    <cellStyle name="Remarque 2 2 3 2 2 4 4 5 2 2" xfId="56073" xr:uid="{00000000-0005-0000-0000-0000751B0000}"/>
    <cellStyle name="Remarque 2 2 3 2 2 4 4 5 3" xfId="19360" xr:uid="{00000000-0005-0000-0000-0000761B0000}"/>
    <cellStyle name="Remarque 2 2 3 2 2 4 4 5 4" xfId="43320" xr:uid="{00000000-0005-0000-0000-0000771B0000}"/>
    <cellStyle name="Remarque 2 2 3 2 2 4 4 6" xfId="9484" xr:uid="{00000000-0005-0000-0000-0000781B0000}"/>
    <cellStyle name="Remarque 2 2 3 2 2 4 4 6 2" xfId="33498" xr:uid="{00000000-0005-0000-0000-0000791B0000}"/>
    <cellStyle name="Remarque 2 2 3 2 2 4 4 6 2 2" xfId="57458" xr:uid="{00000000-0005-0000-0000-00007A1B0000}"/>
    <cellStyle name="Remarque 2 2 3 2 2 4 4 6 3" xfId="20745" xr:uid="{00000000-0005-0000-0000-00007B1B0000}"/>
    <cellStyle name="Remarque 2 2 3 2 2 4 4 6 4" xfId="44705" xr:uid="{00000000-0005-0000-0000-00007C1B0000}"/>
    <cellStyle name="Remarque 2 2 3 2 2 4 4 7" xfId="10941" xr:uid="{00000000-0005-0000-0000-00007D1B0000}"/>
    <cellStyle name="Remarque 2 2 3 2 2 4 4 7 2" xfId="34951" xr:uid="{00000000-0005-0000-0000-00007E1B0000}"/>
    <cellStyle name="Remarque 2 2 3 2 2 4 4 7 2 2" xfId="58911" xr:uid="{00000000-0005-0000-0000-00007F1B0000}"/>
    <cellStyle name="Remarque 2 2 3 2 2 4 4 7 3" xfId="22208" xr:uid="{00000000-0005-0000-0000-0000801B0000}"/>
    <cellStyle name="Remarque 2 2 3 2 2 4 4 7 4" xfId="46168" xr:uid="{00000000-0005-0000-0000-0000811B0000}"/>
    <cellStyle name="Remarque 2 2 3 2 2 4 4 8" xfId="12805" xr:uid="{00000000-0005-0000-0000-0000821B0000}"/>
    <cellStyle name="Remarque 2 2 3 2 2 4 4 8 2" xfId="24116" xr:uid="{00000000-0005-0000-0000-0000831B0000}"/>
    <cellStyle name="Remarque 2 2 3 2 2 4 4 8 3" xfId="48076" xr:uid="{00000000-0005-0000-0000-0000841B0000}"/>
    <cellStyle name="Remarque 2 2 3 2 2 4 4 9" xfId="2413" xr:uid="{00000000-0005-0000-0000-0000851B0000}"/>
    <cellStyle name="Remarque 2 2 3 2 2 4 4 9 2" xfId="26427" xr:uid="{00000000-0005-0000-0000-0000861B0000}"/>
    <cellStyle name="Remarque 2 2 3 2 2 4 4 9 3" xfId="50387" xr:uid="{00000000-0005-0000-0000-0000871B0000}"/>
    <cellStyle name="Remarque 2 2 3 2 2 4 5" xfId="1170" xr:uid="{00000000-0005-0000-0000-0000881B0000}"/>
    <cellStyle name="Remarque 2 2 3 2 2 4 5 10" xfId="25202" xr:uid="{00000000-0005-0000-0000-0000891B0000}"/>
    <cellStyle name="Remarque 2 2 3 2 2 4 5 10 2" xfId="49162" xr:uid="{00000000-0005-0000-0000-00008A1B0000}"/>
    <cellStyle name="Remarque 2 2 3 2 2 4 5 11" xfId="36062" xr:uid="{00000000-0005-0000-0000-00008B1B0000}"/>
    <cellStyle name="Remarque 2 2 3 2 2 4 5 11 2" xfId="60022" xr:uid="{00000000-0005-0000-0000-00008C1B0000}"/>
    <cellStyle name="Remarque 2 2 3 2 2 4 5 12" xfId="13867" xr:uid="{00000000-0005-0000-0000-00008D1B0000}"/>
    <cellStyle name="Remarque 2 2 3 2 2 4 5 13" xfId="37827" xr:uid="{00000000-0005-0000-0000-00008E1B0000}"/>
    <cellStyle name="Remarque 2 2 3 2 2 4 5 2" xfId="4076" xr:uid="{00000000-0005-0000-0000-00008F1B0000}"/>
    <cellStyle name="Remarque 2 2 3 2 2 4 5 2 2" xfId="28090" xr:uid="{00000000-0005-0000-0000-0000901B0000}"/>
    <cellStyle name="Remarque 2 2 3 2 2 4 5 2 2 2" xfId="52050" xr:uid="{00000000-0005-0000-0000-0000911B0000}"/>
    <cellStyle name="Remarque 2 2 3 2 2 4 5 2 3" xfId="15337" xr:uid="{00000000-0005-0000-0000-0000921B0000}"/>
    <cellStyle name="Remarque 2 2 3 2 2 4 5 2 4" xfId="39297" xr:uid="{00000000-0005-0000-0000-0000931B0000}"/>
    <cellStyle name="Remarque 2 2 3 2 2 4 5 3" xfId="5510" xr:uid="{00000000-0005-0000-0000-0000941B0000}"/>
    <cellStyle name="Remarque 2 2 3 2 2 4 5 3 2" xfId="29524" xr:uid="{00000000-0005-0000-0000-0000951B0000}"/>
    <cellStyle name="Remarque 2 2 3 2 2 4 5 3 2 2" xfId="53484" xr:uid="{00000000-0005-0000-0000-0000961B0000}"/>
    <cellStyle name="Remarque 2 2 3 2 2 4 5 3 3" xfId="16771" xr:uid="{00000000-0005-0000-0000-0000971B0000}"/>
    <cellStyle name="Remarque 2 2 3 2 2 4 5 3 4" xfId="40731" xr:uid="{00000000-0005-0000-0000-0000981B0000}"/>
    <cellStyle name="Remarque 2 2 3 2 2 4 5 4" xfId="6904" xr:uid="{00000000-0005-0000-0000-0000991B0000}"/>
    <cellStyle name="Remarque 2 2 3 2 2 4 5 4 2" xfId="30918" xr:uid="{00000000-0005-0000-0000-00009A1B0000}"/>
    <cellStyle name="Remarque 2 2 3 2 2 4 5 4 2 2" xfId="54878" xr:uid="{00000000-0005-0000-0000-00009B1B0000}"/>
    <cellStyle name="Remarque 2 2 3 2 2 4 5 4 3" xfId="18165" xr:uid="{00000000-0005-0000-0000-00009C1B0000}"/>
    <cellStyle name="Remarque 2 2 3 2 2 4 5 4 4" xfId="42125" xr:uid="{00000000-0005-0000-0000-00009D1B0000}"/>
    <cellStyle name="Remarque 2 2 3 2 2 4 5 5" xfId="8292" xr:uid="{00000000-0005-0000-0000-00009E1B0000}"/>
    <cellStyle name="Remarque 2 2 3 2 2 4 5 5 2" xfId="32306" xr:uid="{00000000-0005-0000-0000-00009F1B0000}"/>
    <cellStyle name="Remarque 2 2 3 2 2 4 5 5 2 2" xfId="56266" xr:uid="{00000000-0005-0000-0000-0000A01B0000}"/>
    <cellStyle name="Remarque 2 2 3 2 2 4 5 5 3" xfId="19553" xr:uid="{00000000-0005-0000-0000-0000A11B0000}"/>
    <cellStyle name="Remarque 2 2 3 2 2 4 5 5 4" xfId="43513" xr:uid="{00000000-0005-0000-0000-0000A21B0000}"/>
    <cellStyle name="Remarque 2 2 3 2 2 4 5 6" xfId="9677" xr:uid="{00000000-0005-0000-0000-0000A31B0000}"/>
    <cellStyle name="Remarque 2 2 3 2 2 4 5 6 2" xfId="33691" xr:uid="{00000000-0005-0000-0000-0000A41B0000}"/>
    <cellStyle name="Remarque 2 2 3 2 2 4 5 6 2 2" xfId="57651" xr:uid="{00000000-0005-0000-0000-0000A51B0000}"/>
    <cellStyle name="Remarque 2 2 3 2 2 4 5 6 3" xfId="20938" xr:uid="{00000000-0005-0000-0000-0000A61B0000}"/>
    <cellStyle name="Remarque 2 2 3 2 2 4 5 6 4" xfId="44898" xr:uid="{00000000-0005-0000-0000-0000A71B0000}"/>
    <cellStyle name="Remarque 2 2 3 2 2 4 5 7" xfId="11134" xr:uid="{00000000-0005-0000-0000-0000A81B0000}"/>
    <cellStyle name="Remarque 2 2 3 2 2 4 5 7 2" xfId="35144" xr:uid="{00000000-0005-0000-0000-0000A91B0000}"/>
    <cellStyle name="Remarque 2 2 3 2 2 4 5 7 2 2" xfId="59104" xr:uid="{00000000-0005-0000-0000-0000AA1B0000}"/>
    <cellStyle name="Remarque 2 2 3 2 2 4 5 7 3" xfId="22401" xr:uid="{00000000-0005-0000-0000-0000AB1B0000}"/>
    <cellStyle name="Remarque 2 2 3 2 2 4 5 7 4" xfId="46361" xr:uid="{00000000-0005-0000-0000-0000AC1B0000}"/>
    <cellStyle name="Remarque 2 2 3 2 2 4 5 8" xfId="12620" xr:uid="{00000000-0005-0000-0000-0000AD1B0000}"/>
    <cellStyle name="Remarque 2 2 3 2 2 4 5 8 2" xfId="23923" xr:uid="{00000000-0005-0000-0000-0000AE1B0000}"/>
    <cellStyle name="Remarque 2 2 3 2 2 4 5 8 3" xfId="47883" xr:uid="{00000000-0005-0000-0000-0000AF1B0000}"/>
    <cellStyle name="Remarque 2 2 3 2 2 4 5 9" xfId="2606" xr:uid="{00000000-0005-0000-0000-0000B01B0000}"/>
    <cellStyle name="Remarque 2 2 3 2 2 4 5 9 2" xfId="26620" xr:uid="{00000000-0005-0000-0000-0000B11B0000}"/>
    <cellStyle name="Remarque 2 2 3 2 2 4 5 9 3" xfId="50580" xr:uid="{00000000-0005-0000-0000-0000B21B0000}"/>
    <cellStyle name="Remarque 2 2 3 2 2 4 6" xfId="1337" xr:uid="{00000000-0005-0000-0000-0000B31B0000}"/>
    <cellStyle name="Remarque 2 2 3 2 2 4 6 10" xfId="25369" xr:uid="{00000000-0005-0000-0000-0000B41B0000}"/>
    <cellStyle name="Remarque 2 2 3 2 2 4 6 10 2" xfId="49329" xr:uid="{00000000-0005-0000-0000-0000B51B0000}"/>
    <cellStyle name="Remarque 2 2 3 2 2 4 6 11" xfId="35619" xr:uid="{00000000-0005-0000-0000-0000B61B0000}"/>
    <cellStyle name="Remarque 2 2 3 2 2 4 6 11 2" xfId="59579" xr:uid="{00000000-0005-0000-0000-0000B71B0000}"/>
    <cellStyle name="Remarque 2 2 3 2 2 4 6 12" xfId="14034" xr:uid="{00000000-0005-0000-0000-0000B81B0000}"/>
    <cellStyle name="Remarque 2 2 3 2 2 4 6 13" xfId="37994" xr:uid="{00000000-0005-0000-0000-0000B91B0000}"/>
    <cellStyle name="Remarque 2 2 3 2 2 4 6 2" xfId="4243" xr:uid="{00000000-0005-0000-0000-0000BA1B0000}"/>
    <cellStyle name="Remarque 2 2 3 2 2 4 6 2 2" xfId="28257" xr:uid="{00000000-0005-0000-0000-0000BB1B0000}"/>
    <cellStyle name="Remarque 2 2 3 2 2 4 6 2 2 2" xfId="52217" xr:uid="{00000000-0005-0000-0000-0000BC1B0000}"/>
    <cellStyle name="Remarque 2 2 3 2 2 4 6 2 3" xfId="15504" xr:uid="{00000000-0005-0000-0000-0000BD1B0000}"/>
    <cellStyle name="Remarque 2 2 3 2 2 4 6 2 4" xfId="39464" xr:uid="{00000000-0005-0000-0000-0000BE1B0000}"/>
    <cellStyle name="Remarque 2 2 3 2 2 4 6 3" xfId="5677" xr:uid="{00000000-0005-0000-0000-0000BF1B0000}"/>
    <cellStyle name="Remarque 2 2 3 2 2 4 6 3 2" xfId="29691" xr:uid="{00000000-0005-0000-0000-0000C01B0000}"/>
    <cellStyle name="Remarque 2 2 3 2 2 4 6 3 2 2" xfId="53651" xr:uid="{00000000-0005-0000-0000-0000C11B0000}"/>
    <cellStyle name="Remarque 2 2 3 2 2 4 6 3 3" xfId="16938" xr:uid="{00000000-0005-0000-0000-0000C21B0000}"/>
    <cellStyle name="Remarque 2 2 3 2 2 4 6 3 4" xfId="40898" xr:uid="{00000000-0005-0000-0000-0000C31B0000}"/>
    <cellStyle name="Remarque 2 2 3 2 2 4 6 4" xfId="7071" xr:uid="{00000000-0005-0000-0000-0000C41B0000}"/>
    <cellStyle name="Remarque 2 2 3 2 2 4 6 4 2" xfId="31085" xr:uid="{00000000-0005-0000-0000-0000C51B0000}"/>
    <cellStyle name="Remarque 2 2 3 2 2 4 6 4 2 2" xfId="55045" xr:uid="{00000000-0005-0000-0000-0000C61B0000}"/>
    <cellStyle name="Remarque 2 2 3 2 2 4 6 4 3" xfId="18332" xr:uid="{00000000-0005-0000-0000-0000C71B0000}"/>
    <cellStyle name="Remarque 2 2 3 2 2 4 6 4 4" xfId="42292" xr:uid="{00000000-0005-0000-0000-0000C81B0000}"/>
    <cellStyle name="Remarque 2 2 3 2 2 4 6 5" xfId="8459" xr:uid="{00000000-0005-0000-0000-0000C91B0000}"/>
    <cellStyle name="Remarque 2 2 3 2 2 4 6 5 2" xfId="32473" xr:uid="{00000000-0005-0000-0000-0000CA1B0000}"/>
    <cellStyle name="Remarque 2 2 3 2 2 4 6 5 2 2" xfId="56433" xr:uid="{00000000-0005-0000-0000-0000CB1B0000}"/>
    <cellStyle name="Remarque 2 2 3 2 2 4 6 5 3" xfId="19720" xr:uid="{00000000-0005-0000-0000-0000CC1B0000}"/>
    <cellStyle name="Remarque 2 2 3 2 2 4 6 5 4" xfId="43680" xr:uid="{00000000-0005-0000-0000-0000CD1B0000}"/>
    <cellStyle name="Remarque 2 2 3 2 2 4 6 6" xfId="9844" xr:uid="{00000000-0005-0000-0000-0000CE1B0000}"/>
    <cellStyle name="Remarque 2 2 3 2 2 4 6 6 2" xfId="33858" xr:uid="{00000000-0005-0000-0000-0000CF1B0000}"/>
    <cellStyle name="Remarque 2 2 3 2 2 4 6 6 2 2" xfId="57818" xr:uid="{00000000-0005-0000-0000-0000D01B0000}"/>
    <cellStyle name="Remarque 2 2 3 2 2 4 6 6 3" xfId="21105" xr:uid="{00000000-0005-0000-0000-0000D11B0000}"/>
    <cellStyle name="Remarque 2 2 3 2 2 4 6 6 4" xfId="45065" xr:uid="{00000000-0005-0000-0000-0000D21B0000}"/>
    <cellStyle name="Remarque 2 2 3 2 2 4 6 7" xfId="11301" xr:uid="{00000000-0005-0000-0000-0000D31B0000}"/>
    <cellStyle name="Remarque 2 2 3 2 2 4 6 7 2" xfId="35311" xr:uid="{00000000-0005-0000-0000-0000D41B0000}"/>
    <cellStyle name="Remarque 2 2 3 2 2 4 6 7 2 2" xfId="59271" xr:uid="{00000000-0005-0000-0000-0000D51B0000}"/>
    <cellStyle name="Remarque 2 2 3 2 2 4 6 7 3" xfId="22568" xr:uid="{00000000-0005-0000-0000-0000D61B0000}"/>
    <cellStyle name="Remarque 2 2 3 2 2 4 6 7 4" xfId="46528" xr:uid="{00000000-0005-0000-0000-0000D71B0000}"/>
    <cellStyle name="Remarque 2 2 3 2 2 4 6 8" xfId="11684" xr:uid="{00000000-0005-0000-0000-0000D81B0000}"/>
    <cellStyle name="Remarque 2 2 3 2 2 4 6 8 2" xfId="22953" xr:uid="{00000000-0005-0000-0000-0000D91B0000}"/>
    <cellStyle name="Remarque 2 2 3 2 2 4 6 8 3" xfId="46913" xr:uid="{00000000-0005-0000-0000-0000DA1B0000}"/>
    <cellStyle name="Remarque 2 2 3 2 2 4 6 9" xfId="2773" xr:uid="{00000000-0005-0000-0000-0000DB1B0000}"/>
    <cellStyle name="Remarque 2 2 3 2 2 4 6 9 2" xfId="26787" xr:uid="{00000000-0005-0000-0000-0000DC1B0000}"/>
    <cellStyle name="Remarque 2 2 3 2 2 4 6 9 3" xfId="50747" xr:uid="{00000000-0005-0000-0000-0000DD1B0000}"/>
    <cellStyle name="Remarque 2 2 3 2 2 4 7" xfId="1506" xr:uid="{00000000-0005-0000-0000-0000DE1B0000}"/>
    <cellStyle name="Remarque 2 2 3 2 2 4 7 10" xfId="25538" xr:uid="{00000000-0005-0000-0000-0000DF1B0000}"/>
    <cellStyle name="Remarque 2 2 3 2 2 4 7 10 2" xfId="49498" xr:uid="{00000000-0005-0000-0000-0000E01B0000}"/>
    <cellStyle name="Remarque 2 2 3 2 2 4 7 11" xfId="36485" xr:uid="{00000000-0005-0000-0000-0000E11B0000}"/>
    <cellStyle name="Remarque 2 2 3 2 2 4 7 11 2" xfId="60445" xr:uid="{00000000-0005-0000-0000-0000E21B0000}"/>
    <cellStyle name="Remarque 2 2 3 2 2 4 7 12" xfId="14203" xr:uid="{00000000-0005-0000-0000-0000E31B0000}"/>
    <cellStyle name="Remarque 2 2 3 2 2 4 7 13" xfId="38163" xr:uid="{00000000-0005-0000-0000-0000E41B0000}"/>
    <cellStyle name="Remarque 2 2 3 2 2 4 7 2" xfId="4412" xr:uid="{00000000-0005-0000-0000-0000E51B0000}"/>
    <cellStyle name="Remarque 2 2 3 2 2 4 7 2 2" xfId="28426" xr:uid="{00000000-0005-0000-0000-0000E61B0000}"/>
    <cellStyle name="Remarque 2 2 3 2 2 4 7 2 2 2" xfId="52386" xr:uid="{00000000-0005-0000-0000-0000E71B0000}"/>
    <cellStyle name="Remarque 2 2 3 2 2 4 7 2 3" xfId="15673" xr:uid="{00000000-0005-0000-0000-0000E81B0000}"/>
    <cellStyle name="Remarque 2 2 3 2 2 4 7 2 4" xfId="39633" xr:uid="{00000000-0005-0000-0000-0000E91B0000}"/>
    <cellStyle name="Remarque 2 2 3 2 2 4 7 3" xfId="5846" xr:uid="{00000000-0005-0000-0000-0000EA1B0000}"/>
    <cellStyle name="Remarque 2 2 3 2 2 4 7 3 2" xfId="29860" xr:uid="{00000000-0005-0000-0000-0000EB1B0000}"/>
    <cellStyle name="Remarque 2 2 3 2 2 4 7 3 2 2" xfId="53820" xr:uid="{00000000-0005-0000-0000-0000EC1B0000}"/>
    <cellStyle name="Remarque 2 2 3 2 2 4 7 3 3" xfId="17107" xr:uid="{00000000-0005-0000-0000-0000ED1B0000}"/>
    <cellStyle name="Remarque 2 2 3 2 2 4 7 3 4" xfId="41067" xr:uid="{00000000-0005-0000-0000-0000EE1B0000}"/>
    <cellStyle name="Remarque 2 2 3 2 2 4 7 4" xfId="7240" xr:uid="{00000000-0005-0000-0000-0000EF1B0000}"/>
    <cellStyle name="Remarque 2 2 3 2 2 4 7 4 2" xfId="31254" xr:uid="{00000000-0005-0000-0000-0000F01B0000}"/>
    <cellStyle name="Remarque 2 2 3 2 2 4 7 4 2 2" xfId="55214" xr:uid="{00000000-0005-0000-0000-0000F11B0000}"/>
    <cellStyle name="Remarque 2 2 3 2 2 4 7 4 3" xfId="18501" xr:uid="{00000000-0005-0000-0000-0000F21B0000}"/>
    <cellStyle name="Remarque 2 2 3 2 2 4 7 4 4" xfId="42461" xr:uid="{00000000-0005-0000-0000-0000F31B0000}"/>
    <cellStyle name="Remarque 2 2 3 2 2 4 7 5" xfId="8628" xr:uid="{00000000-0005-0000-0000-0000F41B0000}"/>
    <cellStyle name="Remarque 2 2 3 2 2 4 7 5 2" xfId="32642" xr:uid="{00000000-0005-0000-0000-0000F51B0000}"/>
    <cellStyle name="Remarque 2 2 3 2 2 4 7 5 2 2" xfId="56602" xr:uid="{00000000-0005-0000-0000-0000F61B0000}"/>
    <cellStyle name="Remarque 2 2 3 2 2 4 7 5 3" xfId="19889" xr:uid="{00000000-0005-0000-0000-0000F71B0000}"/>
    <cellStyle name="Remarque 2 2 3 2 2 4 7 5 4" xfId="43849" xr:uid="{00000000-0005-0000-0000-0000F81B0000}"/>
    <cellStyle name="Remarque 2 2 3 2 2 4 7 6" xfId="10013" xr:uid="{00000000-0005-0000-0000-0000F91B0000}"/>
    <cellStyle name="Remarque 2 2 3 2 2 4 7 6 2" xfId="34027" xr:uid="{00000000-0005-0000-0000-0000FA1B0000}"/>
    <cellStyle name="Remarque 2 2 3 2 2 4 7 6 2 2" xfId="57987" xr:uid="{00000000-0005-0000-0000-0000FB1B0000}"/>
    <cellStyle name="Remarque 2 2 3 2 2 4 7 6 3" xfId="21274" xr:uid="{00000000-0005-0000-0000-0000FC1B0000}"/>
    <cellStyle name="Remarque 2 2 3 2 2 4 7 6 4" xfId="45234" xr:uid="{00000000-0005-0000-0000-0000FD1B0000}"/>
    <cellStyle name="Remarque 2 2 3 2 2 4 7 7" xfId="11470" xr:uid="{00000000-0005-0000-0000-0000FE1B0000}"/>
    <cellStyle name="Remarque 2 2 3 2 2 4 7 7 2" xfId="35480" xr:uid="{00000000-0005-0000-0000-0000FF1B0000}"/>
    <cellStyle name="Remarque 2 2 3 2 2 4 7 7 2 2" xfId="59440" xr:uid="{00000000-0005-0000-0000-0000001C0000}"/>
    <cellStyle name="Remarque 2 2 3 2 2 4 7 7 3" xfId="22737" xr:uid="{00000000-0005-0000-0000-0000011C0000}"/>
    <cellStyle name="Remarque 2 2 3 2 2 4 7 7 4" xfId="46697" xr:uid="{00000000-0005-0000-0000-0000021C0000}"/>
    <cellStyle name="Remarque 2 2 3 2 2 4 7 8" xfId="12259" xr:uid="{00000000-0005-0000-0000-0000031C0000}"/>
    <cellStyle name="Remarque 2 2 3 2 2 4 7 8 2" xfId="23544" xr:uid="{00000000-0005-0000-0000-0000041C0000}"/>
    <cellStyle name="Remarque 2 2 3 2 2 4 7 8 3" xfId="47504" xr:uid="{00000000-0005-0000-0000-0000051C0000}"/>
    <cellStyle name="Remarque 2 2 3 2 2 4 7 9" xfId="2942" xr:uid="{00000000-0005-0000-0000-0000061C0000}"/>
    <cellStyle name="Remarque 2 2 3 2 2 4 7 9 2" xfId="26956" xr:uid="{00000000-0005-0000-0000-0000071C0000}"/>
    <cellStyle name="Remarque 2 2 3 2 2 4 7 9 3" xfId="50916" xr:uid="{00000000-0005-0000-0000-0000081C0000}"/>
    <cellStyle name="Remarque 2 2 3 2 2 4 8" xfId="3361" xr:uid="{00000000-0005-0000-0000-0000091C0000}"/>
    <cellStyle name="Remarque 2 2 3 2 2 4 8 2" xfId="27375" xr:uid="{00000000-0005-0000-0000-00000A1C0000}"/>
    <cellStyle name="Remarque 2 2 3 2 2 4 8 2 2" xfId="51335" xr:uid="{00000000-0005-0000-0000-00000B1C0000}"/>
    <cellStyle name="Remarque 2 2 3 2 2 4 8 3" xfId="14622" xr:uid="{00000000-0005-0000-0000-00000C1C0000}"/>
    <cellStyle name="Remarque 2 2 3 2 2 4 8 4" xfId="38582" xr:uid="{00000000-0005-0000-0000-00000D1C0000}"/>
    <cellStyle name="Remarque 2 2 3 2 2 4 9" xfId="4795" xr:uid="{00000000-0005-0000-0000-00000E1C0000}"/>
    <cellStyle name="Remarque 2 2 3 2 2 4 9 2" xfId="28809" xr:uid="{00000000-0005-0000-0000-00000F1C0000}"/>
    <cellStyle name="Remarque 2 2 3 2 2 4 9 2 2" xfId="52769" xr:uid="{00000000-0005-0000-0000-0000101C0000}"/>
    <cellStyle name="Remarque 2 2 3 2 2 4 9 3" xfId="16056" xr:uid="{00000000-0005-0000-0000-0000111C0000}"/>
    <cellStyle name="Remarque 2 2 3 2 2 4 9 4" xfId="40016" xr:uid="{00000000-0005-0000-0000-0000121C0000}"/>
    <cellStyle name="Remarque 2 2 3 2 2 5" xfId="269" xr:uid="{00000000-0005-0000-0000-0000131C0000}"/>
    <cellStyle name="Remarque 2 2 3 2 2 5 10" xfId="24301" xr:uid="{00000000-0005-0000-0000-0000141C0000}"/>
    <cellStyle name="Remarque 2 2 3 2 2 5 10 2" xfId="48261" xr:uid="{00000000-0005-0000-0000-0000151C0000}"/>
    <cellStyle name="Remarque 2 2 3 2 2 5 11" xfId="35609" xr:uid="{00000000-0005-0000-0000-0000161C0000}"/>
    <cellStyle name="Remarque 2 2 3 2 2 5 11 2" xfId="59569" xr:uid="{00000000-0005-0000-0000-0000171C0000}"/>
    <cellStyle name="Remarque 2 2 3 2 2 5 12" xfId="12966" xr:uid="{00000000-0005-0000-0000-0000181C0000}"/>
    <cellStyle name="Remarque 2 2 3 2 2 5 13" xfId="36926" xr:uid="{00000000-0005-0000-0000-0000191C0000}"/>
    <cellStyle name="Remarque 2 2 3 2 2 5 2" xfId="3175" xr:uid="{00000000-0005-0000-0000-00001A1C0000}"/>
    <cellStyle name="Remarque 2 2 3 2 2 5 2 2" xfId="27189" xr:uid="{00000000-0005-0000-0000-00001B1C0000}"/>
    <cellStyle name="Remarque 2 2 3 2 2 5 2 2 2" xfId="51149" xr:uid="{00000000-0005-0000-0000-00001C1C0000}"/>
    <cellStyle name="Remarque 2 2 3 2 2 5 2 3" xfId="14436" xr:uid="{00000000-0005-0000-0000-00001D1C0000}"/>
    <cellStyle name="Remarque 2 2 3 2 2 5 2 4" xfId="38396" xr:uid="{00000000-0005-0000-0000-00001E1C0000}"/>
    <cellStyle name="Remarque 2 2 3 2 2 5 3" xfId="4609" xr:uid="{00000000-0005-0000-0000-00001F1C0000}"/>
    <cellStyle name="Remarque 2 2 3 2 2 5 3 2" xfId="28623" xr:uid="{00000000-0005-0000-0000-0000201C0000}"/>
    <cellStyle name="Remarque 2 2 3 2 2 5 3 2 2" xfId="52583" xr:uid="{00000000-0005-0000-0000-0000211C0000}"/>
    <cellStyle name="Remarque 2 2 3 2 2 5 3 3" xfId="15870" xr:uid="{00000000-0005-0000-0000-0000221C0000}"/>
    <cellStyle name="Remarque 2 2 3 2 2 5 3 4" xfId="39830" xr:uid="{00000000-0005-0000-0000-0000231C0000}"/>
    <cellStyle name="Remarque 2 2 3 2 2 5 4" xfId="6003" xr:uid="{00000000-0005-0000-0000-0000241C0000}"/>
    <cellStyle name="Remarque 2 2 3 2 2 5 4 2" xfId="30017" xr:uid="{00000000-0005-0000-0000-0000251C0000}"/>
    <cellStyle name="Remarque 2 2 3 2 2 5 4 2 2" xfId="53977" xr:uid="{00000000-0005-0000-0000-0000261C0000}"/>
    <cellStyle name="Remarque 2 2 3 2 2 5 4 3" xfId="17264" xr:uid="{00000000-0005-0000-0000-0000271C0000}"/>
    <cellStyle name="Remarque 2 2 3 2 2 5 4 4" xfId="41224" xr:uid="{00000000-0005-0000-0000-0000281C0000}"/>
    <cellStyle name="Remarque 2 2 3 2 2 5 5" xfId="7391" xr:uid="{00000000-0005-0000-0000-0000291C0000}"/>
    <cellStyle name="Remarque 2 2 3 2 2 5 5 2" xfId="31405" xr:uid="{00000000-0005-0000-0000-00002A1C0000}"/>
    <cellStyle name="Remarque 2 2 3 2 2 5 5 2 2" xfId="55365" xr:uid="{00000000-0005-0000-0000-00002B1C0000}"/>
    <cellStyle name="Remarque 2 2 3 2 2 5 5 3" xfId="18652" xr:uid="{00000000-0005-0000-0000-00002C1C0000}"/>
    <cellStyle name="Remarque 2 2 3 2 2 5 5 4" xfId="42612" xr:uid="{00000000-0005-0000-0000-00002D1C0000}"/>
    <cellStyle name="Remarque 2 2 3 2 2 5 6" xfId="8776" xr:uid="{00000000-0005-0000-0000-00002E1C0000}"/>
    <cellStyle name="Remarque 2 2 3 2 2 5 6 2" xfId="32790" xr:uid="{00000000-0005-0000-0000-00002F1C0000}"/>
    <cellStyle name="Remarque 2 2 3 2 2 5 6 2 2" xfId="56750" xr:uid="{00000000-0005-0000-0000-0000301C0000}"/>
    <cellStyle name="Remarque 2 2 3 2 2 5 6 3" xfId="20037" xr:uid="{00000000-0005-0000-0000-0000311C0000}"/>
    <cellStyle name="Remarque 2 2 3 2 2 5 6 4" xfId="43997" xr:uid="{00000000-0005-0000-0000-0000321C0000}"/>
    <cellStyle name="Remarque 2 2 3 2 2 5 7" xfId="10233" xr:uid="{00000000-0005-0000-0000-0000331C0000}"/>
    <cellStyle name="Remarque 2 2 3 2 2 5 7 2" xfId="34243" xr:uid="{00000000-0005-0000-0000-0000341C0000}"/>
    <cellStyle name="Remarque 2 2 3 2 2 5 7 2 2" xfId="58203" xr:uid="{00000000-0005-0000-0000-0000351C0000}"/>
    <cellStyle name="Remarque 2 2 3 2 2 5 7 3" xfId="21500" xr:uid="{00000000-0005-0000-0000-0000361C0000}"/>
    <cellStyle name="Remarque 2 2 3 2 2 5 7 4" xfId="45460" xr:uid="{00000000-0005-0000-0000-0000371C0000}"/>
    <cellStyle name="Remarque 2 2 3 2 2 5 8" xfId="11739" xr:uid="{00000000-0005-0000-0000-0000381C0000}"/>
    <cellStyle name="Remarque 2 2 3 2 2 5 8 2" xfId="23010" xr:uid="{00000000-0005-0000-0000-0000391C0000}"/>
    <cellStyle name="Remarque 2 2 3 2 2 5 8 3" xfId="46970" xr:uid="{00000000-0005-0000-0000-00003A1C0000}"/>
    <cellStyle name="Remarque 2 2 3 2 2 5 9" xfId="1705" xr:uid="{00000000-0005-0000-0000-00003B1C0000}"/>
    <cellStyle name="Remarque 2 2 3 2 2 5 9 2" xfId="25719" xr:uid="{00000000-0005-0000-0000-00003C1C0000}"/>
    <cellStyle name="Remarque 2 2 3 2 2 5 9 3" xfId="49679" xr:uid="{00000000-0005-0000-0000-00003D1C0000}"/>
    <cellStyle name="Remarque 2 2 3 2 2 6" xfId="648" xr:uid="{00000000-0005-0000-0000-00003E1C0000}"/>
    <cellStyle name="Remarque 2 2 3 2 2 6 10" xfId="24680" xr:uid="{00000000-0005-0000-0000-00003F1C0000}"/>
    <cellStyle name="Remarque 2 2 3 2 2 6 10 2" xfId="48640" xr:uid="{00000000-0005-0000-0000-0000401C0000}"/>
    <cellStyle name="Remarque 2 2 3 2 2 6 11" xfId="35672" xr:uid="{00000000-0005-0000-0000-0000411C0000}"/>
    <cellStyle name="Remarque 2 2 3 2 2 6 11 2" xfId="59632" xr:uid="{00000000-0005-0000-0000-0000421C0000}"/>
    <cellStyle name="Remarque 2 2 3 2 2 6 12" xfId="13345" xr:uid="{00000000-0005-0000-0000-0000431C0000}"/>
    <cellStyle name="Remarque 2 2 3 2 2 6 13" xfId="37305" xr:uid="{00000000-0005-0000-0000-0000441C0000}"/>
    <cellStyle name="Remarque 2 2 3 2 2 6 2" xfId="3554" xr:uid="{00000000-0005-0000-0000-0000451C0000}"/>
    <cellStyle name="Remarque 2 2 3 2 2 6 2 2" xfId="27568" xr:uid="{00000000-0005-0000-0000-0000461C0000}"/>
    <cellStyle name="Remarque 2 2 3 2 2 6 2 2 2" xfId="51528" xr:uid="{00000000-0005-0000-0000-0000471C0000}"/>
    <cellStyle name="Remarque 2 2 3 2 2 6 2 3" xfId="14815" xr:uid="{00000000-0005-0000-0000-0000481C0000}"/>
    <cellStyle name="Remarque 2 2 3 2 2 6 2 4" xfId="38775" xr:uid="{00000000-0005-0000-0000-0000491C0000}"/>
    <cellStyle name="Remarque 2 2 3 2 2 6 3" xfId="4988" xr:uid="{00000000-0005-0000-0000-00004A1C0000}"/>
    <cellStyle name="Remarque 2 2 3 2 2 6 3 2" xfId="29002" xr:uid="{00000000-0005-0000-0000-00004B1C0000}"/>
    <cellStyle name="Remarque 2 2 3 2 2 6 3 2 2" xfId="52962" xr:uid="{00000000-0005-0000-0000-00004C1C0000}"/>
    <cellStyle name="Remarque 2 2 3 2 2 6 3 3" xfId="16249" xr:uid="{00000000-0005-0000-0000-00004D1C0000}"/>
    <cellStyle name="Remarque 2 2 3 2 2 6 3 4" xfId="40209" xr:uid="{00000000-0005-0000-0000-00004E1C0000}"/>
    <cellStyle name="Remarque 2 2 3 2 2 6 4" xfId="6382" xr:uid="{00000000-0005-0000-0000-00004F1C0000}"/>
    <cellStyle name="Remarque 2 2 3 2 2 6 4 2" xfId="30396" xr:uid="{00000000-0005-0000-0000-0000501C0000}"/>
    <cellStyle name="Remarque 2 2 3 2 2 6 4 2 2" xfId="54356" xr:uid="{00000000-0005-0000-0000-0000511C0000}"/>
    <cellStyle name="Remarque 2 2 3 2 2 6 4 3" xfId="17643" xr:uid="{00000000-0005-0000-0000-0000521C0000}"/>
    <cellStyle name="Remarque 2 2 3 2 2 6 4 4" xfId="41603" xr:uid="{00000000-0005-0000-0000-0000531C0000}"/>
    <cellStyle name="Remarque 2 2 3 2 2 6 5" xfId="7770" xr:uid="{00000000-0005-0000-0000-0000541C0000}"/>
    <cellStyle name="Remarque 2 2 3 2 2 6 5 2" xfId="31784" xr:uid="{00000000-0005-0000-0000-0000551C0000}"/>
    <cellStyle name="Remarque 2 2 3 2 2 6 5 2 2" xfId="55744" xr:uid="{00000000-0005-0000-0000-0000561C0000}"/>
    <cellStyle name="Remarque 2 2 3 2 2 6 5 3" xfId="19031" xr:uid="{00000000-0005-0000-0000-0000571C0000}"/>
    <cellStyle name="Remarque 2 2 3 2 2 6 5 4" xfId="42991" xr:uid="{00000000-0005-0000-0000-0000581C0000}"/>
    <cellStyle name="Remarque 2 2 3 2 2 6 6" xfId="9155" xr:uid="{00000000-0005-0000-0000-0000591C0000}"/>
    <cellStyle name="Remarque 2 2 3 2 2 6 6 2" xfId="33169" xr:uid="{00000000-0005-0000-0000-00005A1C0000}"/>
    <cellStyle name="Remarque 2 2 3 2 2 6 6 2 2" xfId="57129" xr:uid="{00000000-0005-0000-0000-00005B1C0000}"/>
    <cellStyle name="Remarque 2 2 3 2 2 6 6 3" xfId="20416" xr:uid="{00000000-0005-0000-0000-00005C1C0000}"/>
    <cellStyle name="Remarque 2 2 3 2 2 6 6 4" xfId="44376" xr:uid="{00000000-0005-0000-0000-00005D1C0000}"/>
    <cellStyle name="Remarque 2 2 3 2 2 6 7" xfId="10612" xr:uid="{00000000-0005-0000-0000-00005E1C0000}"/>
    <cellStyle name="Remarque 2 2 3 2 2 6 7 2" xfId="34622" xr:uid="{00000000-0005-0000-0000-00005F1C0000}"/>
    <cellStyle name="Remarque 2 2 3 2 2 6 7 2 2" xfId="58582" xr:uid="{00000000-0005-0000-0000-0000601C0000}"/>
    <cellStyle name="Remarque 2 2 3 2 2 6 7 3" xfId="21879" xr:uid="{00000000-0005-0000-0000-0000611C0000}"/>
    <cellStyle name="Remarque 2 2 3 2 2 6 7 4" xfId="45839" xr:uid="{00000000-0005-0000-0000-0000621C0000}"/>
    <cellStyle name="Remarque 2 2 3 2 2 6 8" xfId="12366" xr:uid="{00000000-0005-0000-0000-0000631C0000}"/>
    <cellStyle name="Remarque 2 2 3 2 2 6 8 2" xfId="23655" xr:uid="{00000000-0005-0000-0000-0000641C0000}"/>
    <cellStyle name="Remarque 2 2 3 2 2 6 8 3" xfId="47615" xr:uid="{00000000-0005-0000-0000-0000651C0000}"/>
    <cellStyle name="Remarque 2 2 3 2 2 6 9" xfId="2084" xr:uid="{00000000-0005-0000-0000-0000661C0000}"/>
    <cellStyle name="Remarque 2 2 3 2 2 6 9 2" xfId="26098" xr:uid="{00000000-0005-0000-0000-0000671C0000}"/>
    <cellStyle name="Remarque 2 2 3 2 2 6 9 3" xfId="50058" xr:uid="{00000000-0005-0000-0000-0000681C0000}"/>
    <cellStyle name="Remarque 2 2 3 2 2 7" xfId="842" xr:uid="{00000000-0005-0000-0000-0000691C0000}"/>
    <cellStyle name="Remarque 2 2 3 2 2 7 10" xfId="24874" xr:uid="{00000000-0005-0000-0000-00006A1C0000}"/>
    <cellStyle name="Remarque 2 2 3 2 2 7 10 2" xfId="48834" xr:uid="{00000000-0005-0000-0000-00006B1C0000}"/>
    <cellStyle name="Remarque 2 2 3 2 2 7 11" xfId="34140" xr:uid="{00000000-0005-0000-0000-00006C1C0000}"/>
    <cellStyle name="Remarque 2 2 3 2 2 7 11 2" xfId="58100" xr:uid="{00000000-0005-0000-0000-00006D1C0000}"/>
    <cellStyle name="Remarque 2 2 3 2 2 7 12" xfId="13539" xr:uid="{00000000-0005-0000-0000-00006E1C0000}"/>
    <cellStyle name="Remarque 2 2 3 2 2 7 13" xfId="37499" xr:uid="{00000000-0005-0000-0000-00006F1C0000}"/>
    <cellStyle name="Remarque 2 2 3 2 2 7 2" xfId="3748" xr:uid="{00000000-0005-0000-0000-0000701C0000}"/>
    <cellStyle name="Remarque 2 2 3 2 2 7 2 2" xfId="27762" xr:uid="{00000000-0005-0000-0000-0000711C0000}"/>
    <cellStyle name="Remarque 2 2 3 2 2 7 2 2 2" xfId="51722" xr:uid="{00000000-0005-0000-0000-0000721C0000}"/>
    <cellStyle name="Remarque 2 2 3 2 2 7 2 3" xfId="15009" xr:uid="{00000000-0005-0000-0000-0000731C0000}"/>
    <cellStyle name="Remarque 2 2 3 2 2 7 2 4" xfId="38969" xr:uid="{00000000-0005-0000-0000-0000741C0000}"/>
    <cellStyle name="Remarque 2 2 3 2 2 7 3" xfId="5182" xr:uid="{00000000-0005-0000-0000-0000751C0000}"/>
    <cellStyle name="Remarque 2 2 3 2 2 7 3 2" xfId="29196" xr:uid="{00000000-0005-0000-0000-0000761C0000}"/>
    <cellStyle name="Remarque 2 2 3 2 2 7 3 2 2" xfId="53156" xr:uid="{00000000-0005-0000-0000-0000771C0000}"/>
    <cellStyle name="Remarque 2 2 3 2 2 7 3 3" xfId="16443" xr:uid="{00000000-0005-0000-0000-0000781C0000}"/>
    <cellStyle name="Remarque 2 2 3 2 2 7 3 4" xfId="40403" xr:uid="{00000000-0005-0000-0000-0000791C0000}"/>
    <cellStyle name="Remarque 2 2 3 2 2 7 4" xfId="6576" xr:uid="{00000000-0005-0000-0000-00007A1C0000}"/>
    <cellStyle name="Remarque 2 2 3 2 2 7 4 2" xfId="30590" xr:uid="{00000000-0005-0000-0000-00007B1C0000}"/>
    <cellStyle name="Remarque 2 2 3 2 2 7 4 2 2" xfId="54550" xr:uid="{00000000-0005-0000-0000-00007C1C0000}"/>
    <cellStyle name="Remarque 2 2 3 2 2 7 4 3" xfId="17837" xr:uid="{00000000-0005-0000-0000-00007D1C0000}"/>
    <cellStyle name="Remarque 2 2 3 2 2 7 4 4" xfId="41797" xr:uid="{00000000-0005-0000-0000-00007E1C0000}"/>
    <cellStyle name="Remarque 2 2 3 2 2 7 5" xfId="7964" xr:uid="{00000000-0005-0000-0000-00007F1C0000}"/>
    <cellStyle name="Remarque 2 2 3 2 2 7 5 2" xfId="31978" xr:uid="{00000000-0005-0000-0000-0000801C0000}"/>
    <cellStyle name="Remarque 2 2 3 2 2 7 5 2 2" xfId="55938" xr:uid="{00000000-0005-0000-0000-0000811C0000}"/>
    <cellStyle name="Remarque 2 2 3 2 2 7 5 3" xfId="19225" xr:uid="{00000000-0005-0000-0000-0000821C0000}"/>
    <cellStyle name="Remarque 2 2 3 2 2 7 5 4" xfId="43185" xr:uid="{00000000-0005-0000-0000-0000831C0000}"/>
    <cellStyle name="Remarque 2 2 3 2 2 7 6" xfId="9349" xr:uid="{00000000-0005-0000-0000-0000841C0000}"/>
    <cellStyle name="Remarque 2 2 3 2 2 7 6 2" xfId="33363" xr:uid="{00000000-0005-0000-0000-0000851C0000}"/>
    <cellStyle name="Remarque 2 2 3 2 2 7 6 2 2" xfId="57323" xr:uid="{00000000-0005-0000-0000-0000861C0000}"/>
    <cellStyle name="Remarque 2 2 3 2 2 7 6 3" xfId="20610" xr:uid="{00000000-0005-0000-0000-0000871C0000}"/>
    <cellStyle name="Remarque 2 2 3 2 2 7 6 4" xfId="44570" xr:uid="{00000000-0005-0000-0000-0000881C0000}"/>
    <cellStyle name="Remarque 2 2 3 2 2 7 7" xfId="10806" xr:uid="{00000000-0005-0000-0000-0000891C0000}"/>
    <cellStyle name="Remarque 2 2 3 2 2 7 7 2" xfId="34816" xr:uid="{00000000-0005-0000-0000-00008A1C0000}"/>
    <cellStyle name="Remarque 2 2 3 2 2 7 7 2 2" xfId="58776" xr:uid="{00000000-0005-0000-0000-00008B1C0000}"/>
    <cellStyle name="Remarque 2 2 3 2 2 7 7 3" xfId="22073" xr:uid="{00000000-0005-0000-0000-00008C1C0000}"/>
    <cellStyle name="Remarque 2 2 3 2 2 7 7 4" xfId="46033" xr:uid="{00000000-0005-0000-0000-00008D1C0000}"/>
    <cellStyle name="Remarque 2 2 3 2 2 7 8" xfId="12088" xr:uid="{00000000-0005-0000-0000-00008E1C0000}"/>
    <cellStyle name="Remarque 2 2 3 2 2 7 8 2" xfId="23371" xr:uid="{00000000-0005-0000-0000-00008F1C0000}"/>
    <cellStyle name="Remarque 2 2 3 2 2 7 8 3" xfId="47331" xr:uid="{00000000-0005-0000-0000-0000901C0000}"/>
    <cellStyle name="Remarque 2 2 3 2 2 7 9" xfId="2278" xr:uid="{00000000-0005-0000-0000-0000911C0000}"/>
    <cellStyle name="Remarque 2 2 3 2 2 7 9 2" xfId="26292" xr:uid="{00000000-0005-0000-0000-0000921C0000}"/>
    <cellStyle name="Remarque 2 2 3 2 2 7 9 3" xfId="50252" xr:uid="{00000000-0005-0000-0000-0000931C0000}"/>
    <cellStyle name="Remarque 2 2 3 2 2 8" xfId="1035" xr:uid="{00000000-0005-0000-0000-0000941C0000}"/>
    <cellStyle name="Remarque 2 2 3 2 2 8 10" xfId="25067" xr:uid="{00000000-0005-0000-0000-0000951C0000}"/>
    <cellStyle name="Remarque 2 2 3 2 2 8 10 2" xfId="49027" xr:uid="{00000000-0005-0000-0000-0000961C0000}"/>
    <cellStyle name="Remarque 2 2 3 2 2 8 11" xfId="36178" xr:uid="{00000000-0005-0000-0000-0000971C0000}"/>
    <cellStyle name="Remarque 2 2 3 2 2 8 11 2" xfId="60138" xr:uid="{00000000-0005-0000-0000-0000981C0000}"/>
    <cellStyle name="Remarque 2 2 3 2 2 8 12" xfId="13732" xr:uid="{00000000-0005-0000-0000-0000991C0000}"/>
    <cellStyle name="Remarque 2 2 3 2 2 8 13" xfId="37692" xr:uid="{00000000-0005-0000-0000-00009A1C0000}"/>
    <cellStyle name="Remarque 2 2 3 2 2 8 2" xfId="3941" xr:uid="{00000000-0005-0000-0000-00009B1C0000}"/>
    <cellStyle name="Remarque 2 2 3 2 2 8 2 2" xfId="27955" xr:uid="{00000000-0005-0000-0000-00009C1C0000}"/>
    <cellStyle name="Remarque 2 2 3 2 2 8 2 2 2" xfId="51915" xr:uid="{00000000-0005-0000-0000-00009D1C0000}"/>
    <cellStyle name="Remarque 2 2 3 2 2 8 2 3" xfId="15202" xr:uid="{00000000-0005-0000-0000-00009E1C0000}"/>
    <cellStyle name="Remarque 2 2 3 2 2 8 2 4" xfId="39162" xr:uid="{00000000-0005-0000-0000-00009F1C0000}"/>
    <cellStyle name="Remarque 2 2 3 2 2 8 3" xfId="5375" xr:uid="{00000000-0005-0000-0000-0000A01C0000}"/>
    <cellStyle name="Remarque 2 2 3 2 2 8 3 2" xfId="29389" xr:uid="{00000000-0005-0000-0000-0000A11C0000}"/>
    <cellStyle name="Remarque 2 2 3 2 2 8 3 2 2" xfId="53349" xr:uid="{00000000-0005-0000-0000-0000A21C0000}"/>
    <cellStyle name="Remarque 2 2 3 2 2 8 3 3" xfId="16636" xr:uid="{00000000-0005-0000-0000-0000A31C0000}"/>
    <cellStyle name="Remarque 2 2 3 2 2 8 3 4" xfId="40596" xr:uid="{00000000-0005-0000-0000-0000A41C0000}"/>
    <cellStyle name="Remarque 2 2 3 2 2 8 4" xfId="6769" xr:uid="{00000000-0005-0000-0000-0000A51C0000}"/>
    <cellStyle name="Remarque 2 2 3 2 2 8 4 2" xfId="30783" xr:uid="{00000000-0005-0000-0000-0000A61C0000}"/>
    <cellStyle name="Remarque 2 2 3 2 2 8 4 2 2" xfId="54743" xr:uid="{00000000-0005-0000-0000-0000A71C0000}"/>
    <cellStyle name="Remarque 2 2 3 2 2 8 4 3" xfId="18030" xr:uid="{00000000-0005-0000-0000-0000A81C0000}"/>
    <cellStyle name="Remarque 2 2 3 2 2 8 4 4" xfId="41990" xr:uid="{00000000-0005-0000-0000-0000A91C0000}"/>
    <cellStyle name="Remarque 2 2 3 2 2 8 5" xfId="8157" xr:uid="{00000000-0005-0000-0000-0000AA1C0000}"/>
    <cellStyle name="Remarque 2 2 3 2 2 8 5 2" xfId="32171" xr:uid="{00000000-0005-0000-0000-0000AB1C0000}"/>
    <cellStyle name="Remarque 2 2 3 2 2 8 5 2 2" xfId="56131" xr:uid="{00000000-0005-0000-0000-0000AC1C0000}"/>
    <cellStyle name="Remarque 2 2 3 2 2 8 5 3" xfId="19418" xr:uid="{00000000-0005-0000-0000-0000AD1C0000}"/>
    <cellStyle name="Remarque 2 2 3 2 2 8 5 4" xfId="43378" xr:uid="{00000000-0005-0000-0000-0000AE1C0000}"/>
    <cellStyle name="Remarque 2 2 3 2 2 8 6" xfId="9542" xr:uid="{00000000-0005-0000-0000-0000AF1C0000}"/>
    <cellStyle name="Remarque 2 2 3 2 2 8 6 2" xfId="33556" xr:uid="{00000000-0005-0000-0000-0000B01C0000}"/>
    <cellStyle name="Remarque 2 2 3 2 2 8 6 2 2" xfId="57516" xr:uid="{00000000-0005-0000-0000-0000B11C0000}"/>
    <cellStyle name="Remarque 2 2 3 2 2 8 6 3" xfId="20803" xr:uid="{00000000-0005-0000-0000-0000B21C0000}"/>
    <cellStyle name="Remarque 2 2 3 2 2 8 6 4" xfId="44763" xr:uid="{00000000-0005-0000-0000-0000B31C0000}"/>
    <cellStyle name="Remarque 2 2 3 2 2 8 7" xfId="10999" xr:uid="{00000000-0005-0000-0000-0000B41C0000}"/>
    <cellStyle name="Remarque 2 2 3 2 2 8 7 2" xfId="35009" xr:uid="{00000000-0005-0000-0000-0000B51C0000}"/>
    <cellStyle name="Remarque 2 2 3 2 2 8 7 2 2" xfId="58969" xr:uid="{00000000-0005-0000-0000-0000B61C0000}"/>
    <cellStyle name="Remarque 2 2 3 2 2 8 7 3" xfId="22266" xr:uid="{00000000-0005-0000-0000-0000B71C0000}"/>
    <cellStyle name="Remarque 2 2 3 2 2 8 7 4" xfId="46226" xr:uid="{00000000-0005-0000-0000-0000B81C0000}"/>
    <cellStyle name="Remarque 2 2 3 2 2 8 8" xfId="11711" xr:uid="{00000000-0005-0000-0000-0000B91C0000}"/>
    <cellStyle name="Remarque 2 2 3 2 2 8 8 2" xfId="22981" xr:uid="{00000000-0005-0000-0000-0000BA1C0000}"/>
    <cellStyle name="Remarque 2 2 3 2 2 8 8 3" xfId="46941" xr:uid="{00000000-0005-0000-0000-0000BB1C0000}"/>
    <cellStyle name="Remarque 2 2 3 2 2 8 9" xfId="2471" xr:uid="{00000000-0005-0000-0000-0000BC1C0000}"/>
    <cellStyle name="Remarque 2 2 3 2 2 8 9 2" xfId="26485" xr:uid="{00000000-0005-0000-0000-0000BD1C0000}"/>
    <cellStyle name="Remarque 2 2 3 2 2 8 9 3" xfId="50445" xr:uid="{00000000-0005-0000-0000-0000BE1C0000}"/>
    <cellStyle name="Remarque 2 2 3 2 2 9" xfId="1221" xr:uid="{00000000-0005-0000-0000-0000BF1C0000}"/>
    <cellStyle name="Remarque 2 2 3 2 2 9 10" xfId="25253" xr:uid="{00000000-0005-0000-0000-0000C01C0000}"/>
    <cellStyle name="Remarque 2 2 3 2 2 9 10 2" xfId="49213" xr:uid="{00000000-0005-0000-0000-0000C11C0000}"/>
    <cellStyle name="Remarque 2 2 3 2 2 9 11" xfId="35994" xr:uid="{00000000-0005-0000-0000-0000C21C0000}"/>
    <cellStyle name="Remarque 2 2 3 2 2 9 11 2" xfId="59954" xr:uid="{00000000-0005-0000-0000-0000C31C0000}"/>
    <cellStyle name="Remarque 2 2 3 2 2 9 12" xfId="13918" xr:uid="{00000000-0005-0000-0000-0000C41C0000}"/>
    <cellStyle name="Remarque 2 2 3 2 2 9 13" xfId="37878" xr:uid="{00000000-0005-0000-0000-0000C51C0000}"/>
    <cellStyle name="Remarque 2 2 3 2 2 9 2" xfId="4127" xr:uid="{00000000-0005-0000-0000-0000C61C0000}"/>
    <cellStyle name="Remarque 2 2 3 2 2 9 2 2" xfId="28141" xr:uid="{00000000-0005-0000-0000-0000C71C0000}"/>
    <cellStyle name="Remarque 2 2 3 2 2 9 2 2 2" xfId="52101" xr:uid="{00000000-0005-0000-0000-0000C81C0000}"/>
    <cellStyle name="Remarque 2 2 3 2 2 9 2 3" xfId="15388" xr:uid="{00000000-0005-0000-0000-0000C91C0000}"/>
    <cellStyle name="Remarque 2 2 3 2 2 9 2 4" xfId="39348" xr:uid="{00000000-0005-0000-0000-0000CA1C0000}"/>
    <cellStyle name="Remarque 2 2 3 2 2 9 3" xfId="5561" xr:uid="{00000000-0005-0000-0000-0000CB1C0000}"/>
    <cellStyle name="Remarque 2 2 3 2 2 9 3 2" xfId="29575" xr:uid="{00000000-0005-0000-0000-0000CC1C0000}"/>
    <cellStyle name="Remarque 2 2 3 2 2 9 3 2 2" xfId="53535" xr:uid="{00000000-0005-0000-0000-0000CD1C0000}"/>
    <cellStyle name="Remarque 2 2 3 2 2 9 3 3" xfId="16822" xr:uid="{00000000-0005-0000-0000-0000CE1C0000}"/>
    <cellStyle name="Remarque 2 2 3 2 2 9 3 4" xfId="40782" xr:uid="{00000000-0005-0000-0000-0000CF1C0000}"/>
    <cellStyle name="Remarque 2 2 3 2 2 9 4" xfId="6955" xr:uid="{00000000-0005-0000-0000-0000D01C0000}"/>
    <cellStyle name="Remarque 2 2 3 2 2 9 4 2" xfId="30969" xr:uid="{00000000-0005-0000-0000-0000D11C0000}"/>
    <cellStyle name="Remarque 2 2 3 2 2 9 4 2 2" xfId="54929" xr:uid="{00000000-0005-0000-0000-0000D21C0000}"/>
    <cellStyle name="Remarque 2 2 3 2 2 9 4 3" xfId="18216" xr:uid="{00000000-0005-0000-0000-0000D31C0000}"/>
    <cellStyle name="Remarque 2 2 3 2 2 9 4 4" xfId="42176" xr:uid="{00000000-0005-0000-0000-0000D41C0000}"/>
    <cellStyle name="Remarque 2 2 3 2 2 9 5" xfId="8343" xr:uid="{00000000-0005-0000-0000-0000D51C0000}"/>
    <cellStyle name="Remarque 2 2 3 2 2 9 5 2" xfId="32357" xr:uid="{00000000-0005-0000-0000-0000D61C0000}"/>
    <cellStyle name="Remarque 2 2 3 2 2 9 5 2 2" xfId="56317" xr:uid="{00000000-0005-0000-0000-0000D71C0000}"/>
    <cellStyle name="Remarque 2 2 3 2 2 9 5 3" xfId="19604" xr:uid="{00000000-0005-0000-0000-0000D81C0000}"/>
    <cellStyle name="Remarque 2 2 3 2 2 9 5 4" xfId="43564" xr:uid="{00000000-0005-0000-0000-0000D91C0000}"/>
    <cellStyle name="Remarque 2 2 3 2 2 9 6" xfId="9728" xr:uid="{00000000-0005-0000-0000-0000DA1C0000}"/>
    <cellStyle name="Remarque 2 2 3 2 2 9 6 2" xfId="33742" xr:uid="{00000000-0005-0000-0000-0000DB1C0000}"/>
    <cellStyle name="Remarque 2 2 3 2 2 9 6 2 2" xfId="57702" xr:uid="{00000000-0005-0000-0000-0000DC1C0000}"/>
    <cellStyle name="Remarque 2 2 3 2 2 9 6 3" xfId="20989" xr:uid="{00000000-0005-0000-0000-0000DD1C0000}"/>
    <cellStyle name="Remarque 2 2 3 2 2 9 6 4" xfId="44949" xr:uid="{00000000-0005-0000-0000-0000DE1C0000}"/>
    <cellStyle name="Remarque 2 2 3 2 2 9 7" xfId="11185" xr:uid="{00000000-0005-0000-0000-0000DF1C0000}"/>
    <cellStyle name="Remarque 2 2 3 2 2 9 7 2" xfId="35195" xr:uid="{00000000-0005-0000-0000-0000E01C0000}"/>
    <cellStyle name="Remarque 2 2 3 2 2 9 7 2 2" xfId="59155" xr:uid="{00000000-0005-0000-0000-0000E11C0000}"/>
    <cellStyle name="Remarque 2 2 3 2 2 9 7 3" xfId="22452" xr:uid="{00000000-0005-0000-0000-0000E21C0000}"/>
    <cellStyle name="Remarque 2 2 3 2 2 9 7 4" xfId="46412" xr:uid="{00000000-0005-0000-0000-0000E31C0000}"/>
    <cellStyle name="Remarque 2 2 3 2 2 9 8" xfId="12300" xr:uid="{00000000-0005-0000-0000-0000E41C0000}"/>
    <cellStyle name="Remarque 2 2 3 2 2 9 8 2" xfId="23588" xr:uid="{00000000-0005-0000-0000-0000E51C0000}"/>
    <cellStyle name="Remarque 2 2 3 2 2 9 8 3" xfId="47548" xr:uid="{00000000-0005-0000-0000-0000E61C0000}"/>
    <cellStyle name="Remarque 2 2 3 2 2 9 9" xfId="2657" xr:uid="{00000000-0005-0000-0000-0000E71C0000}"/>
    <cellStyle name="Remarque 2 2 3 2 2 9 9 2" xfId="26671" xr:uid="{00000000-0005-0000-0000-0000E81C0000}"/>
    <cellStyle name="Remarque 2 2 3 2 2 9 9 3" xfId="50631" xr:uid="{00000000-0005-0000-0000-0000E91C0000}"/>
    <cellStyle name="Remarque 2 2 3 2 3" xfId="99" xr:uid="{00000000-0005-0000-0000-0000EA1C0000}"/>
    <cellStyle name="Remarque 2 2 3 2 3 10" xfId="36900" xr:uid="{00000000-0005-0000-0000-0000EB1C0000}"/>
    <cellStyle name="Remarque 2 2 3 2 3 11" xfId="243" xr:uid="{00000000-0005-0000-0000-0000EC1C0000}"/>
    <cellStyle name="Remarque 2 2 3 2 3 2" xfId="477" xr:uid="{00000000-0005-0000-0000-0000ED1C0000}"/>
    <cellStyle name="Remarque 2 2 3 2 3 2 10" xfId="6211" xr:uid="{00000000-0005-0000-0000-0000EE1C0000}"/>
    <cellStyle name="Remarque 2 2 3 2 3 2 10 2" xfId="30225" xr:uid="{00000000-0005-0000-0000-0000EF1C0000}"/>
    <cellStyle name="Remarque 2 2 3 2 3 2 10 2 2" xfId="54185" xr:uid="{00000000-0005-0000-0000-0000F01C0000}"/>
    <cellStyle name="Remarque 2 2 3 2 3 2 10 3" xfId="17472" xr:uid="{00000000-0005-0000-0000-0000F11C0000}"/>
    <cellStyle name="Remarque 2 2 3 2 3 2 10 4" xfId="41432" xr:uid="{00000000-0005-0000-0000-0000F21C0000}"/>
    <cellStyle name="Remarque 2 2 3 2 3 2 11" xfId="7599" xr:uid="{00000000-0005-0000-0000-0000F31C0000}"/>
    <cellStyle name="Remarque 2 2 3 2 3 2 11 2" xfId="31613" xr:uid="{00000000-0005-0000-0000-0000F41C0000}"/>
    <cellStyle name="Remarque 2 2 3 2 3 2 11 2 2" xfId="55573" xr:uid="{00000000-0005-0000-0000-0000F51C0000}"/>
    <cellStyle name="Remarque 2 2 3 2 3 2 11 3" xfId="18860" xr:uid="{00000000-0005-0000-0000-0000F61C0000}"/>
    <cellStyle name="Remarque 2 2 3 2 3 2 11 4" xfId="42820" xr:uid="{00000000-0005-0000-0000-0000F71C0000}"/>
    <cellStyle name="Remarque 2 2 3 2 3 2 12" xfId="8984" xr:uid="{00000000-0005-0000-0000-0000F81C0000}"/>
    <cellStyle name="Remarque 2 2 3 2 3 2 12 2" xfId="32998" xr:uid="{00000000-0005-0000-0000-0000F91C0000}"/>
    <cellStyle name="Remarque 2 2 3 2 3 2 12 2 2" xfId="56958" xr:uid="{00000000-0005-0000-0000-0000FA1C0000}"/>
    <cellStyle name="Remarque 2 2 3 2 3 2 12 3" xfId="20245" xr:uid="{00000000-0005-0000-0000-0000FB1C0000}"/>
    <cellStyle name="Remarque 2 2 3 2 3 2 12 4" xfId="44205" xr:uid="{00000000-0005-0000-0000-0000FC1C0000}"/>
    <cellStyle name="Remarque 2 2 3 2 3 2 13" xfId="10441" xr:uid="{00000000-0005-0000-0000-0000FD1C0000}"/>
    <cellStyle name="Remarque 2 2 3 2 3 2 13 2" xfId="34451" xr:uid="{00000000-0005-0000-0000-0000FE1C0000}"/>
    <cellStyle name="Remarque 2 2 3 2 3 2 13 2 2" xfId="58411" xr:uid="{00000000-0005-0000-0000-0000FF1C0000}"/>
    <cellStyle name="Remarque 2 2 3 2 3 2 13 3" xfId="21708" xr:uid="{00000000-0005-0000-0000-0000001D0000}"/>
    <cellStyle name="Remarque 2 2 3 2 3 2 13 4" xfId="45668" xr:uid="{00000000-0005-0000-0000-0000011D0000}"/>
    <cellStyle name="Remarque 2 2 3 2 3 2 14" xfId="12276" xr:uid="{00000000-0005-0000-0000-0000021D0000}"/>
    <cellStyle name="Remarque 2 2 3 2 3 2 14 2" xfId="23562" xr:uid="{00000000-0005-0000-0000-0000031D0000}"/>
    <cellStyle name="Remarque 2 2 3 2 3 2 14 3" xfId="47522" xr:uid="{00000000-0005-0000-0000-0000041D0000}"/>
    <cellStyle name="Remarque 2 2 3 2 3 2 15" xfId="1913" xr:uid="{00000000-0005-0000-0000-0000051D0000}"/>
    <cellStyle name="Remarque 2 2 3 2 3 2 15 2" xfId="25927" xr:uid="{00000000-0005-0000-0000-0000061D0000}"/>
    <cellStyle name="Remarque 2 2 3 2 3 2 15 3" xfId="49887" xr:uid="{00000000-0005-0000-0000-0000071D0000}"/>
    <cellStyle name="Remarque 2 2 3 2 3 2 16" xfId="24509" xr:uid="{00000000-0005-0000-0000-0000081D0000}"/>
    <cellStyle name="Remarque 2 2 3 2 3 2 16 2" xfId="48469" xr:uid="{00000000-0005-0000-0000-0000091D0000}"/>
    <cellStyle name="Remarque 2 2 3 2 3 2 17" xfId="36443" xr:uid="{00000000-0005-0000-0000-00000A1D0000}"/>
    <cellStyle name="Remarque 2 2 3 2 3 2 17 2" xfId="60403" xr:uid="{00000000-0005-0000-0000-00000B1D0000}"/>
    <cellStyle name="Remarque 2 2 3 2 3 2 18" xfId="13174" xr:uid="{00000000-0005-0000-0000-00000C1D0000}"/>
    <cellStyle name="Remarque 2 2 3 2 3 2 19" xfId="37134" xr:uid="{00000000-0005-0000-0000-00000D1D0000}"/>
    <cellStyle name="Remarque 2 2 3 2 3 2 2" xfId="613" xr:uid="{00000000-0005-0000-0000-00000E1D0000}"/>
    <cellStyle name="Remarque 2 2 3 2 3 2 2 10" xfId="24645" xr:uid="{00000000-0005-0000-0000-00000F1D0000}"/>
    <cellStyle name="Remarque 2 2 3 2 3 2 2 10 2" xfId="48605" xr:uid="{00000000-0005-0000-0000-0000101D0000}"/>
    <cellStyle name="Remarque 2 2 3 2 3 2 2 11" xfId="36349" xr:uid="{00000000-0005-0000-0000-0000111D0000}"/>
    <cellStyle name="Remarque 2 2 3 2 3 2 2 11 2" xfId="60309" xr:uid="{00000000-0005-0000-0000-0000121D0000}"/>
    <cellStyle name="Remarque 2 2 3 2 3 2 2 12" xfId="13310" xr:uid="{00000000-0005-0000-0000-0000131D0000}"/>
    <cellStyle name="Remarque 2 2 3 2 3 2 2 13" xfId="37270" xr:uid="{00000000-0005-0000-0000-0000141D0000}"/>
    <cellStyle name="Remarque 2 2 3 2 3 2 2 2" xfId="3519" xr:uid="{00000000-0005-0000-0000-0000151D0000}"/>
    <cellStyle name="Remarque 2 2 3 2 3 2 2 2 2" xfId="27533" xr:uid="{00000000-0005-0000-0000-0000161D0000}"/>
    <cellStyle name="Remarque 2 2 3 2 3 2 2 2 2 2" xfId="51493" xr:uid="{00000000-0005-0000-0000-0000171D0000}"/>
    <cellStyle name="Remarque 2 2 3 2 3 2 2 2 3" xfId="14780" xr:uid="{00000000-0005-0000-0000-0000181D0000}"/>
    <cellStyle name="Remarque 2 2 3 2 3 2 2 2 4" xfId="38740" xr:uid="{00000000-0005-0000-0000-0000191D0000}"/>
    <cellStyle name="Remarque 2 2 3 2 3 2 2 3" xfId="4953" xr:uid="{00000000-0005-0000-0000-00001A1D0000}"/>
    <cellStyle name="Remarque 2 2 3 2 3 2 2 3 2" xfId="28967" xr:uid="{00000000-0005-0000-0000-00001B1D0000}"/>
    <cellStyle name="Remarque 2 2 3 2 3 2 2 3 2 2" xfId="52927" xr:uid="{00000000-0005-0000-0000-00001C1D0000}"/>
    <cellStyle name="Remarque 2 2 3 2 3 2 2 3 3" xfId="16214" xr:uid="{00000000-0005-0000-0000-00001D1D0000}"/>
    <cellStyle name="Remarque 2 2 3 2 3 2 2 3 4" xfId="40174" xr:uid="{00000000-0005-0000-0000-00001E1D0000}"/>
    <cellStyle name="Remarque 2 2 3 2 3 2 2 4" xfId="6347" xr:uid="{00000000-0005-0000-0000-00001F1D0000}"/>
    <cellStyle name="Remarque 2 2 3 2 3 2 2 4 2" xfId="30361" xr:uid="{00000000-0005-0000-0000-0000201D0000}"/>
    <cellStyle name="Remarque 2 2 3 2 3 2 2 4 2 2" xfId="54321" xr:uid="{00000000-0005-0000-0000-0000211D0000}"/>
    <cellStyle name="Remarque 2 2 3 2 3 2 2 4 3" xfId="17608" xr:uid="{00000000-0005-0000-0000-0000221D0000}"/>
    <cellStyle name="Remarque 2 2 3 2 3 2 2 4 4" xfId="41568" xr:uid="{00000000-0005-0000-0000-0000231D0000}"/>
    <cellStyle name="Remarque 2 2 3 2 3 2 2 5" xfId="7735" xr:uid="{00000000-0005-0000-0000-0000241D0000}"/>
    <cellStyle name="Remarque 2 2 3 2 3 2 2 5 2" xfId="31749" xr:uid="{00000000-0005-0000-0000-0000251D0000}"/>
    <cellStyle name="Remarque 2 2 3 2 3 2 2 5 2 2" xfId="55709" xr:uid="{00000000-0005-0000-0000-0000261D0000}"/>
    <cellStyle name="Remarque 2 2 3 2 3 2 2 5 3" xfId="18996" xr:uid="{00000000-0005-0000-0000-0000271D0000}"/>
    <cellStyle name="Remarque 2 2 3 2 3 2 2 5 4" xfId="42956" xr:uid="{00000000-0005-0000-0000-0000281D0000}"/>
    <cellStyle name="Remarque 2 2 3 2 3 2 2 6" xfId="9120" xr:uid="{00000000-0005-0000-0000-0000291D0000}"/>
    <cellStyle name="Remarque 2 2 3 2 3 2 2 6 2" xfId="33134" xr:uid="{00000000-0005-0000-0000-00002A1D0000}"/>
    <cellStyle name="Remarque 2 2 3 2 3 2 2 6 2 2" xfId="57094" xr:uid="{00000000-0005-0000-0000-00002B1D0000}"/>
    <cellStyle name="Remarque 2 2 3 2 3 2 2 6 3" xfId="20381" xr:uid="{00000000-0005-0000-0000-00002C1D0000}"/>
    <cellStyle name="Remarque 2 2 3 2 3 2 2 6 4" xfId="44341" xr:uid="{00000000-0005-0000-0000-00002D1D0000}"/>
    <cellStyle name="Remarque 2 2 3 2 3 2 2 7" xfId="10577" xr:uid="{00000000-0005-0000-0000-00002E1D0000}"/>
    <cellStyle name="Remarque 2 2 3 2 3 2 2 7 2" xfId="34587" xr:uid="{00000000-0005-0000-0000-00002F1D0000}"/>
    <cellStyle name="Remarque 2 2 3 2 3 2 2 7 2 2" xfId="58547" xr:uid="{00000000-0005-0000-0000-0000301D0000}"/>
    <cellStyle name="Remarque 2 2 3 2 3 2 2 7 3" xfId="21844" xr:uid="{00000000-0005-0000-0000-0000311D0000}"/>
    <cellStyle name="Remarque 2 2 3 2 3 2 2 7 4" xfId="45804" xr:uid="{00000000-0005-0000-0000-0000321D0000}"/>
    <cellStyle name="Remarque 2 2 3 2 3 2 2 8" xfId="11914" xr:uid="{00000000-0005-0000-0000-0000331D0000}"/>
    <cellStyle name="Remarque 2 2 3 2 3 2 2 8 2" xfId="23192" xr:uid="{00000000-0005-0000-0000-0000341D0000}"/>
    <cellStyle name="Remarque 2 2 3 2 3 2 2 8 3" xfId="47152" xr:uid="{00000000-0005-0000-0000-0000351D0000}"/>
    <cellStyle name="Remarque 2 2 3 2 3 2 2 9" xfId="2049" xr:uid="{00000000-0005-0000-0000-0000361D0000}"/>
    <cellStyle name="Remarque 2 2 3 2 3 2 2 9 2" xfId="26063" xr:uid="{00000000-0005-0000-0000-0000371D0000}"/>
    <cellStyle name="Remarque 2 2 3 2 3 2 2 9 3" xfId="50023" xr:uid="{00000000-0005-0000-0000-0000381D0000}"/>
    <cellStyle name="Remarque 2 2 3 2 3 2 3" xfId="805" xr:uid="{00000000-0005-0000-0000-0000391D0000}"/>
    <cellStyle name="Remarque 2 2 3 2 3 2 3 10" xfId="24837" xr:uid="{00000000-0005-0000-0000-00003A1D0000}"/>
    <cellStyle name="Remarque 2 2 3 2 3 2 3 10 2" xfId="48797" xr:uid="{00000000-0005-0000-0000-00003B1D0000}"/>
    <cellStyle name="Remarque 2 2 3 2 3 2 3 11" xfId="36104" xr:uid="{00000000-0005-0000-0000-00003C1D0000}"/>
    <cellStyle name="Remarque 2 2 3 2 3 2 3 11 2" xfId="60064" xr:uid="{00000000-0005-0000-0000-00003D1D0000}"/>
    <cellStyle name="Remarque 2 2 3 2 3 2 3 12" xfId="13502" xr:uid="{00000000-0005-0000-0000-00003E1D0000}"/>
    <cellStyle name="Remarque 2 2 3 2 3 2 3 13" xfId="37462" xr:uid="{00000000-0005-0000-0000-00003F1D0000}"/>
    <cellStyle name="Remarque 2 2 3 2 3 2 3 2" xfId="3711" xr:uid="{00000000-0005-0000-0000-0000401D0000}"/>
    <cellStyle name="Remarque 2 2 3 2 3 2 3 2 2" xfId="27725" xr:uid="{00000000-0005-0000-0000-0000411D0000}"/>
    <cellStyle name="Remarque 2 2 3 2 3 2 3 2 2 2" xfId="51685" xr:uid="{00000000-0005-0000-0000-0000421D0000}"/>
    <cellStyle name="Remarque 2 2 3 2 3 2 3 2 3" xfId="14972" xr:uid="{00000000-0005-0000-0000-0000431D0000}"/>
    <cellStyle name="Remarque 2 2 3 2 3 2 3 2 4" xfId="38932" xr:uid="{00000000-0005-0000-0000-0000441D0000}"/>
    <cellStyle name="Remarque 2 2 3 2 3 2 3 3" xfId="5145" xr:uid="{00000000-0005-0000-0000-0000451D0000}"/>
    <cellStyle name="Remarque 2 2 3 2 3 2 3 3 2" xfId="29159" xr:uid="{00000000-0005-0000-0000-0000461D0000}"/>
    <cellStyle name="Remarque 2 2 3 2 3 2 3 3 2 2" xfId="53119" xr:uid="{00000000-0005-0000-0000-0000471D0000}"/>
    <cellStyle name="Remarque 2 2 3 2 3 2 3 3 3" xfId="16406" xr:uid="{00000000-0005-0000-0000-0000481D0000}"/>
    <cellStyle name="Remarque 2 2 3 2 3 2 3 3 4" xfId="40366" xr:uid="{00000000-0005-0000-0000-0000491D0000}"/>
    <cellStyle name="Remarque 2 2 3 2 3 2 3 4" xfId="6539" xr:uid="{00000000-0005-0000-0000-00004A1D0000}"/>
    <cellStyle name="Remarque 2 2 3 2 3 2 3 4 2" xfId="30553" xr:uid="{00000000-0005-0000-0000-00004B1D0000}"/>
    <cellStyle name="Remarque 2 2 3 2 3 2 3 4 2 2" xfId="54513" xr:uid="{00000000-0005-0000-0000-00004C1D0000}"/>
    <cellStyle name="Remarque 2 2 3 2 3 2 3 4 3" xfId="17800" xr:uid="{00000000-0005-0000-0000-00004D1D0000}"/>
    <cellStyle name="Remarque 2 2 3 2 3 2 3 4 4" xfId="41760" xr:uid="{00000000-0005-0000-0000-00004E1D0000}"/>
    <cellStyle name="Remarque 2 2 3 2 3 2 3 5" xfId="7927" xr:uid="{00000000-0005-0000-0000-00004F1D0000}"/>
    <cellStyle name="Remarque 2 2 3 2 3 2 3 5 2" xfId="31941" xr:uid="{00000000-0005-0000-0000-0000501D0000}"/>
    <cellStyle name="Remarque 2 2 3 2 3 2 3 5 2 2" xfId="55901" xr:uid="{00000000-0005-0000-0000-0000511D0000}"/>
    <cellStyle name="Remarque 2 2 3 2 3 2 3 5 3" xfId="19188" xr:uid="{00000000-0005-0000-0000-0000521D0000}"/>
    <cellStyle name="Remarque 2 2 3 2 3 2 3 5 4" xfId="43148" xr:uid="{00000000-0005-0000-0000-0000531D0000}"/>
    <cellStyle name="Remarque 2 2 3 2 3 2 3 6" xfId="9312" xr:uid="{00000000-0005-0000-0000-0000541D0000}"/>
    <cellStyle name="Remarque 2 2 3 2 3 2 3 6 2" xfId="33326" xr:uid="{00000000-0005-0000-0000-0000551D0000}"/>
    <cellStyle name="Remarque 2 2 3 2 3 2 3 6 2 2" xfId="57286" xr:uid="{00000000-0005-0000-0000-0000561D0000}"/>
    <cellStyle name="Remarque 2 2 3 2 3 2 3 6 3" xfId="20573" xr:uid="{00000000-0005-0000-0000-0000571D0000}"/>
    <cellStyle name="Remarque 2 2 3 2 3 2 3 6 4" xfId="44533" xr:uid="{00000000-0005-0000-0000-0000581D0000}"/>
    <cellStyle name="Remarque 2 2 3 2 3 2 3 7" xfId="10769" xr:uid="{00000000-0005-0000-0000-0000591D0000}"/>
    <cellStyle name="Remarque 2 2 3 2 3 2 3 7 2" xfId="34779" xr:uid="{00000000-0005-0000-0000-00005A1D0000}"/>
    <cellStyle name="Remarque 2 2 3 2 3 2 3 7 2 2" xfId="58739" xr:uid="{00000000-0005-0000-0000-00005B1D0000}"/>
    <cellStyle name="Remarque 2 2 3 2 3 2 3 7 3" xfId="22036" xr:uid="{00000000-0005-0000-0000-00005C1D0000}"/>
    <cellStyle name="Remarque 2 2 3 2 3 2 3 7 4" xfId="45996" xr:uid="{00000000-0005-0000-0000-00005D1D0000}"/>
    <cellStyle name="Remarque 2 2 3 2 3 2 3 8" xfId="10121" xr:uid="{00000000-0005-0000-0000-00005E1D0000}"/>
    <cellStyle name="Remarque 2 2 3 2 3 2 3 8 2" xfId="21382" xr:uid="{00000000-0005-0000-0000-00005F1D0000}"/>
    <cellStyle name="Remarque 2 2 3 2 3 2 3 8 3" xfId="45342" xr:uid="{00000000-0005-0000-0000-0000601D0000}"/>
    <cellStyle name="Remarque 2 2 3 2 3 2 3 9" xfId="2241" xr:uid="{00000000-0005-0000-0000-0000611D0000}"/>
    <cellStyle name="Remarque 2 2 3 2 3 2 3 9 2" xfId="26255" xr:uid="{00000000-0005-0000-0000-0000621D0000}"/>
    <cellStyle name="Remarque 2 2 3 2 3 2 3 9 3" xfId="50215" xr:uid="{00000000-0005-0000-0000-0000631D0000}"/>
    <cellStyle name="Remarque 2 2 3 2 3 2 4" xfId="999" xr:uid="{00000000-0005-0000-0000-0000641D0000}"/>
    <cellStyle name="Remarque 2 2 3 2 3 2 4 10" xfId="25031" xr:uid="{00000000-0005-0000-0000-0000651D0000}"/>
    <cellStyle name="Remarque 2 2 3 2 3 2 4 10 2" xfId="48991" xr:uid="{00000000-0005-0000-0000-0000661D0000}"/>
    <cellStyle name="Remarque 2 2 3 2 3 2 4 11" xfId="35627" xr:uid="{00000000-0005-0000-0000-0000671D0000}"/>
    <cellStyle name="Remarque 2 2 3 2 3 2 4 11 2" xfId="59587" xr:uid="{00000000-0005-0000-0000-0000681D0000}"/>
    <cellStyle name="Remarque 2 2 3 2 3 2 4 12" xfId="13696" xr:uid="{00000000-0005-0000-0000-0000691D0000}"/>
    <cellStyle name="Remarque 2 2 3 2 3 2 4 13" xfId="37656" xr:uid="{00000000-0005-0000-0000-00006A1D0000}"/>
    <cellStyle name="Remarque 2 2 3 2 3 2 4 2" xfId="3905" xr:uid="{00000000-0005-0000-0000-00006B1D0000}"/>
    <cellStyle name="Remarque 2 2 3 2 3 2 4 2 2" xfId="27919" xr:uid="{00000000-0005-0000-0000-00006C1D0000}"/>
    <cellStyle name="Remarque 2 2 3 2 3 2 4 2 2 2" xfId="51879" xr:uid="{00000000-0005-0000-0000-00006D1D0000}"/>
    <cellStyle name="Remarque 2 2 3 2 3 2 4 2 3" xfId="15166" xr:uid="{00000000-0005-0000-0000-00006E1D0000}"/>
    <cellStyle name="Remarque 2 2 3 2 3 2 4 2 4" xfId="39126" xr:uid="{00000000-0005-0000-0000-00006F1D0000}"/>
    <cellStyle name="Remarque 2 2 3 2 3 2 4 3" xfId="5339" xr:uid="{00000000-0005-0000-0000-0000701D0000}"/>
    <cellStyle name="Remarque 2 2 3 2 3 2 4 3 2" xfId="29353" xr:uid="{00000000-0005-0000-0000-0000711D0000}"/>
    <cellStyle name="Remarque 2 2 3 2 3 2 4 3 2 2" xfId="53313" xr:uid="{00000000-0005-0000-0000-0000721D0000}"/>
    <cellStyle name="Remarque 2 2 3 2 3 2 4 3 3" xfId="16600" xr:uid="{00000000-0005-0000-0000-0000731D0000}"/>
    <cellStyle name="Remarque 2 2 3 2 3 2 4 3 4" xfId="40560" xr:uid="{00000000-0005-0000-0000-0000741D0000}"/>
    <cellStyle name="Remarque 2 2 3 2 3 2 4 4" xfId="6733" xr:uid="{00000000-0005-0000-0000-0000751D0000}"/>
    <cellStyle name="Remarque 2 2 3 2 3 2 4 4 2" xfId="30747" xr:uid="{00000000-0005-0000-0000-0000761D0000}"/>
    <cellStyle name="Remarque 2 2 3 2 3 2 4 4 2 2" xfId="54707" xr:uid="{00000000-0005-0000-0000-0000771D0000}"/>
    <cellStyle name="Remarque 2 2 3 2 3 2 4 4 3" xfId="17994" xr:uid="{00000000-0005-0000-0000-0000781D0000}"/>
    <cellStyle name="Remarque 2 2 3 2 3 2 4 4 4" xfId="41954" xr:uid="{00000000-0005-0000-0000-0000791D0000}"/>
    <cellStyle name="Remarque 2 2 3 2 3 2 4 5" xfId="8121" xr:uid="{00000000-0005-0000-0000-00007A1D0000}"/>
    <cellStyle name="Remarque 2 2 3 2 3 2 4 5 2" xfId="32135" xr:uid="{00000000-0005-0000-0000-00007B1D0000}"/>
    <cellStyle name="Remarque 2 2 3 2 3 2 4 5 2 2" xfId="56095" xr:uid="{00000000-0005-0000-0000-00007C1D0000}"/>
    <cellStyle name="Remarque 2 2 3 2 3 2 4 5 3" xfId="19382" xr:uid="{00000000-0005-0000-0000-00007D1D0000}"/>
    <cellStyle name="Remarque 2 2 3 2 3 2 4 5 4" xfId="43342" xr:uid="{00000000-0005-0000-0000-00007E1D0000}"/>
    <cellStyle name="Remarque 2 2 3 2 3 2 4 6" xfId="9506" xr:uid="{00000000-0005-0000-0000-00007F1D0000}"/>
    <cellStyle name="Remarque 2 2 3 2 3 2 4 6 2" xfId="33520" xr:uid="{00000000-0005-0000-0000-0000801D0000}"/>
    <cellStyle name="Remarque 2 2 3 2 3 2 4 6 2 2" xfId="57480" xr:uid="{00000000-0005-0000-0000-0000811D0000}"/>
    <cellStyle name="Remarque 2 2 3 2 3 2 4 6 3" xfId="20767" xr:uid="{00000000-0005-0000-0000-0000821D0000}"/>
    <cellStyle name="Remarque 2 2 3 2 3 2 4 6 4" xfId="44727" xr:uid="{00000000-0005-0000-0000-0000831D0000}"/>
    <cellStyle name="Remarque 2 2 3 2 3 2 4 7" xfId="10963" xr:uid="{00000000-0005-0000-0000-0000841D0000}"/>
    <cellStyle name="Remarque 2 2 3 2 3 2 4 7 2" xfId="34973" xr:uid="{00000000-0005-0000-0000-0000851D0000}"/>
    <cellStyle name="Remarque 2 2 3 2 3 2 4 7 2 2" xfId="58933" xr:uid="{00000000-0005-0000-0000-0000861D0000}"/>
    <cellStyle name="Remarque 2 2 3 2 3 2 4 7 3" xfId="22230" xr:uid="{00000000-0005-0000-0000-0000871D0000}"/>
    <cellStyle name="Remarque 2 2 3 2 3 2 4 7 4" xfId="46190" xr:uid="{00000000-0005-0000-0000-0000881D0000}"/>
    <cellStyle name="Remarque 2 2 3 2 3 2 4 8" xfId="12631" xr:uid="{00000000-0005-0000-0000-0000891D0000}"/>
    <cellStyle name="Remarque 2 2 3 2 3 2 4 8 2" xfId="23935" xr:uid="{00000000-0005-0000-0000-00008A1D0000}"/>
    <cellStyle name="Remarque 2 2 3 2 3 2 4 8 3" xfId="47895" xr:uid="{00000000-0005-0000-0000-00008B1D0000}"/>
    <cellStyle name="Remarque 2 2 3 2 3 2 4 9" xfId="2435" xr:uid="{00000000-0005-0000-0000-00008C1D0000}"/>
    <cellStyle name="Remarque 2 2 3 2 3 2 4 9 2" xfId="26449" xr:uid="{00000000-0005-0000-0000-00008D1D0000}"/>
    <cellStyle name="Remarque 2 2 3 2 3 2 4 9 3" xfId="50409" xr:uid="{00000000-0005-0000-0000-00008E1D0000}"/>
    <cellStyle name="Remarque 2 2 3 2 3 2 5" xfId="1192" xr:uid="{00000000-0005-0000-0000-00008F1D0000}"/>
    <cellStyle name="Remarque 2 2 3 2 3 2 5 10" xfId="25224" xr:uid="{00000000-0005-0000-0000-0000901D0000}"/>
    <cellStyle name="Remarque 2 2 3 2 3 2 5 10 2" xfId="49184" xr:uid="{00000000-0005-0000-0000-0000911D0000}"/>
    <cellStyle name="Remarque 2 2 3 2 3 2 5 11" xfId="35825" xr:uid="{00000000-0005-0000-0000-0000921D0000}"/>
    <cellStyle name="Remarque 2 2 3 2 3 2 5 11 2" xfId="59785" xr:uid="{00000000-0005-0000-0000-0000931D0000}"/>
    <cellStyle name="Remarque 2 2 3 2 3 2 5 12" xfId="13889" xr:uid="{00000000-0005-0000-0000-0000941D0000}"/>
    <cellStyle name="Remarque 2 2 3 2 3 2 5 13" xfId="37849" xr:uid="{00000000-0005-0000-0000-0000951D0000}"/>
    <cellStyle name="Remarque 2 2 3 2 3 2 5 2" xfId="4098" xr:uid="{00000000-0005-0000-0000-0000961D0000}"/>
    <cellStyle name="Remarque 2 2 3 2 3 2 5 2 2" xfId="28112" xr:uid="{00000000-0005-0000-0000-0000971D0000}"/>
    <cellStyle name="Remarque 2 2 3 2 3 2 5 2 2 2" xfId="52072" xr:uid="{00000000-0005-0000-0000-0000981D0000}"/>
    <cellStyle name="Remarque 2 2 3 2 3 2 5 2 3" xfId="15359" xr:uid="{00000000-0005-0000-0000-0000991D0000}"/>
    <cellStyle name="Remarque 2 2 3 2 3 2 5 2 4" xfId="39319" xr:uid="{00000000-0005-0000-0000-00009A1D0000}"/>
    <cellStyle name="Remarque 2 2 3 2 3 2 5 3" xfId="5532" xr:uid="{00000000-0005-0000-0000-00009B1D0000}"/>
    <cellStyle name="Remarque 2 2 3 2 3 2 5 3 2" xfId="29546" xr:uid="{00000000-0005-0000-0000-00009C1D0000}"/>
    <cellStyle name="Remarque 2 2 3 2 3 2 5 3 2 2" xfId="53506" xr:uid="{00000000-0005-0000-0000-00009D1D0000}"/>
    <cellStyle name="Remarque 2 2 3 2 3 2 5 3 3" xfId="16793" xr:uid="{00000000-0005-0000-0000-00009E1D0000}"/>
    <cellStyle name="Remarque 2 2 3 2 3 2 5 3 4" xfId="40753" xr:uid="{00000000-0005-0000-0000-00009F1D0000}"/>
    <cellStyle name="Remarque 2 2 3 2 3 2 5 4" xfId="6926" xr:uid="{00000000-0005-0000-0000-0000A01D0000}"/>
    <cellStyle name="Remarque 2 2 3 2 3 2 5 4 2" xfId="30940" xr:uid="{00000000-0005-0000-0000-0000A11D0000}"/>
    <cellStyle name="Remarque 2 2 3 2 3 2 5 4 2 2" xfId="54900" xr:uid="{00000000-0005-0000-0000-0000A21D0000}"/>
    <cellStyle name="Remarque 2 2 3 2 3 2 5 4 3" xfId="18187" xr:uid="{00000000-0005-0000-0000-0000A31D0000}"/>
    <cellStyle name="Remarque 2 2 3 2 3 2 5 4 4" xfId="42147" xr:uid="{00000000-0005-0000-0000-0000A41D0000}"/>
    <cellStyle name="Remarque 2 2 3 2 3 2 5 5" xfId="8314" xr:uid="{00000000-0005-0000-0000-0000A51D0000}"/>
    <cellStyle name="Remarque 2 2 3 2 3 2 5 5 2" xfId="32328" xr:uid="{00000000-0005-0000-0000-0000A61D0000}"/>
    <cellStyle name="Remarque 2 2 3 2 3 2 5 5 2 2" xfId="56288" xr:uid="{00000000-0005-0000-0000-0000A71D0000}"/>
    <cellStyle name="Remarque 2 2 3 2 3 2 5 5 3" xfId="19575" xr:uid="{00000000-0005-0000-0000-0000A81D0000}"/>
    <cellStyle name="Remarque 2 2 3 2 3 2 5 5 4" xfId="43535" xr:uid="{00000000-0005-0000-0000-0000A91D0000}"/>
    <cellStyle name="Remarque 2 2 3 2 3 2 5 6" xfId="9699" xr:uid="{00000000-0005-0000-0000-0000AA1D0000}"/>
    <cellStyle name="Remarque 2 2 3 2 3 2 5 6 2" xfId="33713" xr:uid="{00000000-0005-0000-0000-0000AB1D0000}"/>
    <cellStyle name="Remarque 2 2 3 2 3 2 5 6 2 2" xfId="57673" xr:uid="{00000000-0005-0000-0000-0000AC1D0000}"/>
    <cellStyle name="Remarque 2 2 3 2 3 2 5 6 3" xfId="20960" xr:uid="{00000000-0005-0000-0000-0000AD1D0000}"/>
    <cellStyle name="Remarque 2 2 3 2 3 2 5 6 4" xfId="44920" xr:uid="{00000000-0005-0000-0000-0000AE1D0000}"/>
    <cellStyle name="Remarque 2 2 3 2 3 2 5 7" xfId="11156" xr:uid="{00000000-0005-0000-0000-0000AF1D0000}"/>
    <cellStyle name="Remarque 2 2 3 2 3 2 5 7 2" xfId="35166" xr:uid="{00000000-0005-0000-0000-0000B01D0000}"/>
    <cellStyle name="Remarque 2 2 3 2 3 2 5 7 2 2" xfId="59126" xr:uid="{00000000-0005-0000-0000-0000B11D0000}"/>
    <cellStyle name="Remarque 2 2 3 2 3 2 5 7 3" xfId="22423" xr:uid="{00000000-0005-0000-0000-0000B21D0000}"/>
    <cellStyle name="Remarque 2 2 3 2 3 2 5 7 4" xfId="46383" xr:uid="{00000000-0005-0000-0000-0000B31D0000}"/>
    <cellStyle name="Remarque 2 2 3 2 3 2 5 8" xfId="11743" xr:uid="{00000000-0005-0000-0000-0000B41D0000}"/>
    <cellStyle name="Remarque 2 2 3 2 3 2 5 8 2" xfId="23014" xr:uid="{00000000-0005-0000-0000-0000B51D0000}"/>
    <cellStyle name="Remarque 2 2 3 2 3 2 5 8 3" xfId="46974" xr:uid="{00000000-0005-0000-0000-0000B61D0000}"/>
    <cellStyle name="Remarque 2 2 3 2 3 2 5 9" xfId="2628" xr:uid="{00000000-0005-0000-0000-0000B71D0000}"/>
    <cellStyle name="Remarque 2 2 3 2 3 2 5 9 2" xfId="26642" xr:uid="{00000000-0005-0000-0000-0000B81D0000}"/>
    <cellStyle name="Remarque 2 2 3 2 3 2 5 9 3" xfId="50602" xr:uid="{00000000-0005-0000-0000-0000B91D0000}"/>
    <cellStyle name="Remarque 2 2 3 2 3 2 6" xfId="1359" xr:uid="{00000000-0005-0000-0000-0000BA1D0000}"/>
    <cellStyle name="Remarque 2 2 3 2 3 2 6 10" xfId="25391" xr:uid="{00000000-0005-0000-0000-0000BB1D0000}"/>
    <cellStyle name="Remarque 2 2 3 2 3 2 6 10 2" xfId="49351" xr:uid="{00000000-0005-0000-0000-0000BC1D0000}"/>
    <cellStyle name="Remarque 2 2 3 2 3 2 6 11" xfId="35982" xr:uid="{00000000-0005-0000-0000-0000BD1D0000}"/>
    <cellStyle name="Remarque 2 2 3 2 3 2 6 11 2" xfId="59942" xr:uid="{00000000-0005-0000-0000-0000BE1D0000}"/>
    <cellStyle name="Remarque 2 2 3 2 3 2 6 12" xfId="14056" xr:uid="{00000000-0005-0000-0000-0000BF1D0000}"/>
    <cellStyle name="Remarque 2 2 3 2 3 2 6 13" xfId="38016" xr:uid="{00000000-0005-0000-0000-0000C01D0000}"/>
    <cellStyle name="Remarque 2 2 3 2 3 2 6 2" xfId="4265" xr:uid="{00000000-0005-0000-0000-0000C11D0000}"/>
    <cellStyle name="Remarque 2 2 3 2 3 2 6 2 2" xfId="28279" xr:uid="{00000000-0005-0000-0000-0000C21D0000}"/>
    <cellStyle name="Remarque 2 2 3 2 3 2 6 2 2 2" xfId="52239" xr:uid="{00000000-0005-0000-0000-0000C31D0000}"/>
    <cellStyle name="Remarque 2 2 3 2 3 2 6 2 3" xfId="15526" xr:uid="{00000000-0005-0000-0000-0000C41D0000}"/>
    <cellStyle name="Remarque 2 2 3 2 3 2 6 2 4" xfId="39486" xr:uid="{00000000-0005-0000-0000-0000C51D0000}"/>
    <cellStyle name="Remarque 2 2 3 2 3 2 6 3" xfId="5699" xr:uid="{00000000-0005-0000-0000-0000C61D0000}"/>
    <cellStyle name="Remarque 2 2 3 2 3 2 6 3 2" xfId="29713" xr:uid="{00000000-0005-0000-0000-0000C71D0000}"/>
    <cellStyle name="Remarque 2 2 3 2 3 2 6 3 2 2" xfId="53673" xr:uid="{00000000-0005-0000-0000-0000C81D0000}"/>
    <cellStyle name="Remarque 2 2 3 2 3 2 6 3 3" xfId="16960" xr:uid="{00000000-0005-0000-0000-0000C91D0000}"/>
    <cellStyle name="Remarque 2 2 3 2 3 2 6 3 4" xfId="40920" xr:uid="{00000000-0005-0000-0000-0000CA1D0000}"/>
    <cellStyle name="Remarque 2 2 3 2 3 2 6 4" xfId="7093" xr:uid="{00000000-0005-0000-0000-0000CB1D0000}"/>
    <cellStyle name="Remarque 2 2 3 2 3 2 6 4 2" xfId="31107" xr:uid="{00000000-0005-0000-0000-0000CC1D0000}"/>
    <cellStyle name="Remarque 2 2 3 2 3 2 6 4 2 2" xfId="55067" xr:uid="{00000000-0005-0000-0000-0000CD1D0000}"/>
    <cellStyle name="Remarque 2 2 3 2 3 2 6 4 3" xfId="18354" xr:uid="{00000000-0005-0000-0000-0000CE1D0000}"/>
    <cellStyle name="Remarque 2 2 3 2 3 2 6 4 4" xfId="42314" xr:uid="{00000000-0005-0000-0000-0000CF1D0000}"/>
    <cellStyle name="Remarque 2 2 3 2 3 2 6 5" xfId="8481" xr:uid="{00000000-0005-0000-0000-0000D01D0000}"/>
    <cellStyle name="Remarque 2 2 3 2 3 2 6 5 2" xfId="32495" xr:uid="{00000000-0005-0000-0000-0000D11D0000}"/>
    <cellStyle name="Remarque 2 2 3 2 3 2 6 5 2 2" xfId="56455" xr:uid="{00000000-0005-0000-0000-0000D21D0000}"/>
    <cellStyle name="Remarque 2 2 3 2 3 2 6 5 3" xfId="19742" xr:uid="{00000000-0005-0000-0000-0000D31D0000}"/>
    <cellStyle name="Remarque 2 2 3 2 3 2 6 5 4" xfId="43702" xr:uid="{00000000-0005-0000-0000-0000D41D0000}"/>
    <cellStyle name="Remarque 2 2 3 2 3 2 6 6" xfId="9866" xr:uid="{00000000-0005-0000-0000-0000D51D0000}"/>
    <cellStyle name="Remarque 2 2 3 2 3 2 6 6 2" xfId="33880" xr:uid="{00000000-0005-0000-0000-0000D61D0000}"/>
    <cellStyle name="Remarque 2 2 3 2 3 2 6 6 2 2" xfId="57840" xr:uid="{00000000-0005-0000-0000-0000D71D0000}"/>
    <cellStyle name="Remarque 2 2 3 2 3 2 6 6 3" xfId="21127" xr:uid="{00000000-0005-0000-0000-0000D81D0000}"/>
    <cellStyle name="Remarque 2 2 3 2 3 2 6 6 4" xfId="45087" xr:uid="{00000000-0005-0000-0000-0000D91D0000}"/>
    <cellStyle name="Remarque 2 2 3 2 3 2 6 7" xfId="11323" xr:uid="{00000000-0005-0000-0000-0000DA1D0000}"/>
    <cellStyle name="Remarque 2 2 3 2 3 2 6 7 2" xfId="35333" xr:uid="{00000000-0005-0000-0000-0000DB1D0000}"/>
    <cellStyle name="Remarque 2 2 3 2 3 2 6 7 2 2" xfId="59293" xr:uid="{00000000-0005-0000-0000-0000DC1D0000}"/>
    <cellStyle name="Remarque 2 2 3 2 3 2 6 7 3" xfId="22590" xr:uid="{00000000-0005-0000-0000-0000DD1D0000}"/>
    <cellStyle name="Remarque 2 2 3 2 3 2 6 7 4" xfId="46550" xr:uid="{00000000-0005-0000-0000-0000DE1D0000}"/>
    <cellStyle name="Remarque 2 2 3 2 3 2 6 8" xfId="12556" xr:uid="{00000000-0005-0000-0000-0000DF1D0000}"/>
    <cellStyle name="Remarque 2 2 3 2 3 2 6 8 2" xfId="23855" xr:uid="{00000000-0005-0000-0000-0000E01D0000}"/>
    <cellStyle name="Remarque 2 2 3 2 3 2 6 8 3" xfId="47815" xr:uid="{00000000-0005-0000-0000-0000E11D0000}"/>
    <cellStyle name="Remarque 2 2 3 2 3 2 6 9" xfId="2795" xr:uid="{00000000-0005-0000-0000-0000E21D0000}"/>
    <cellStyle name="Remarque 2 2 3 2 3 2 6 9 2" xfId="26809" xr:uid="{00000000-0005-0000-0000-0000E31D0000}"/>
    <cellStyle name="Remarque 2 2 3 2 3 2 6 9 3" xfId="50769" xr:uid="{00000000-0005-0000-0000-0000E41D0000}"/>
    <cellStyle name="Remarque 2 2 3 2 3 2 7" xfId="1528" xr:uid="{00000000-0005-0000-0000-0000E51D0000}"/>
    <cellStyle name="Remarque 2 2 3 2 3 2 7 10" xfId="25560" xr:uid="{00000000-0005-0000-0000-0000E61D0000}"/>
    <cellStyle name="Remarque 2 2 3 2 3 2 7 10 2" xfId="49520" xr:uid="{00000000-0005-0000-0000-0000E71D0000}"/>
    <cellStyle name="Remarque 2 2 3 2 3 2 7 11" xfId="36146" xr:uid="{00000000-0005-0000-0000-0000E81D0000}"/>
    <cellStyle name="Remarque 2 2 3 2 3 2 7 11 2" xfId="60106" xr:uid="{00000000-0005-0000-0000-0000E91D0000}"/>
    <cellStyle name="Remarque 2 2 3 2 3 2 7 12" xfId="14225" xr:uid="{00000000-0005-0000-0000-0000EA1D0000}"/>
    <cellStyle name="Remarque 2 2 3 2 3 2 7 13" xfId="38185" xr:uid="{00000000-0005-0000-0000-0000EB1D0000}"/>
    <cellStyle name="Remarque 2 2 3 2 3 2 7 2" xfId="4434" xr:uid="{00000000-0005-0000-0000-0000EC1D0000}"/>
    <cellStyle name="Remarque 2 2 3 2 3 2 7 2 2" xfId="28448" xr:uid="{00000000-0005-0000-0000-0000ED1D0000}"/>
    <cellStyle name="Remarque 2 2 3 2 3 2 7 2 2 2" xfId="52408" xr:uid="{00000000-0005-0000-0000-0000EE1D0000}"/>
    <cellStyle name="Remarque 2 2 3 2 3 2 7 2 3" xfId="15695" xr:uid="{00000000-0005-0000-0000-0000EF1D0000}"/>
    <cellStyle name="Remarque 2 2 3 2 3 2 7 2 4" xfId="39655" xr:uid="{00000000-0005-0000-0000-0000F01D0000}"/>
    <cellStyle name="Remarque 2 2 3 2 3 2 7 3" xfId="5868" xr:uid="{00000000-0005-0000-0000-0000F11D0000}"/>
    <cellStyle name="Remarque 2 2 3 2 3 2 7 3 2" xfId="29882" xr:uid="{00000000-0005-0000-0000-0000F21D0000}"/>
    <cellStyle name="Remarque 2 2 3 2 3 2 7 3 2 2" xfId="53842" xr:uid="{00000000-0005-0000-0000-0000F31D0000}"/>
    <cellStyle name="Remarque 2 2 3 2 3 2 7 3 3" xfId="17129" xr:uid="{00000000-0005-0000-0000-0000F41D0000}"/>
    <cellStyle name="Remarque 2 2 3 2 3 2 7 3 4" xfId="41089" xr:uid="{00000000-0005-0000-0000-0000F51D0000}"/>
    <cellStyle name="Remarque 2 2 3 2 3 2 7 4" xfId="7262" xr:uid="{00000000-0005-0000-0000-0000F61D0000}"/>
    <cellStyle name="Remarque 2 2 3 2 3 2 7 4 2" xfId="31276" xr:uid="{00000000-0005-0000-0000-0000F71D0000}"/>
    <cellStyle name="Remarque 2 2 3 2 3 2 7 4 2 2" xfId="55236" xr:uid="{00000000-0005-0000-0000-0000F81D0000}"/>
    <cellStyle name="Remarque 2 2 3 2 3 2 7 4 3" xfId="18523" xr:uid="{00000000-0005-0000-0000-0000F91D0000}"/>
    <cellStyle name="Remarque 2 2 3 2 3 2 7 4 4" xfId="42483" xr:uid="{00000000-0005-0000-0000-0000FA1D0000}"/>
    <cellStyle name="Remarque 2 2 3 2 3 2 7 5" xfId="8650" xr:uid="{00000000-0005-0000-0000-0000FB1D0000}"/>
    <cellStyle name="Remarque 2 2 3 2 3 2 7 5 2" xfId="32664" xr:uid="{00000000-0005-0000-0000-0000FC1D0000}"/>
    <cellStyle name="Remarque 2 2 3 2 3 2 7 5 2 2" xfId="56624" xr:uid="{00000000-0005-0000-0000-0000FD1D0000}"/>
    <cellStyle name="Remarque 2 2 3 2 3 2 7 5 3" xfId="19911" xr:uid="{00000000-0005-0000-0000-0000FE1D0000}"/>
    <cellStyle name="Remarque 2 2 3 2 3 2 7 5 4" xfId="43871" xr:uid="{00000000-0005-0000-0000-0000FF1D0000}"/>
    <cellStyle name="Remarque 2 2 3 2 3 2 7 6" xfId="10035" xr:uid="{00000000-0005-0000-0000-0000001E0000}"/>
    <cellStyle name="Remarque 2 2 3 2 3 2 7 6 2" xfId="34049" xr:uid="{00000000-0005-0000-0000-0000011E0000}"/>
    <cellStyle name="Remarque 2 2 3 2 3 2 7 6 2 2" xfId="58009" xr:uid="{00000000-0005-0000-0000-0000021E0000}"/>
    <cellStyle name="Remarque 2 2 3 2 3 2 7 6 3" xfId="21296" xr:uid="{00000000-0005-0000-0000-0000031E0000}"/>
    <cellStyle name="Remarque 2 2 3 2 3 2 7 6 4" xfId="45256" xr:uid="{00000000-0005-0000-0000-0000041E0000}"/>
    <cellStyle name="Remarque 2 2 3 2 3 2 7 7" xfId="11492" xr:uid="{00000000-0005-0000-0000-0000051E0000}"/>
    <cellStyle name="Remarque 2 2 3 2 3 2 7 7 2" xfId="35502" xr:uid="{00000000-0005-0000-0000-0000061E0000}"/>
    <cellStyle name="Remarque 2 2 3 2 3 2 7 7 2 2" xfId="59462" xr:uid="{00000000-0005-0000-0000-0000071E0000}"/>
    <cellStyle name="Remarque 2 2 3 2 3 2 7 7 3" xfId="22759" xr:uid="{00000000-0005-0000-0000-0000081E0000}"/>
    <cellStyle name="Remarque 2 2 3 2 3 2 7 7 4" xfId="46719" xr:uid="{00000000-0005-0000-0000-0000091E0000}"/>
    <cellStyle name="Remarque 2 2 3 2 3 2 7 8" xfId="12811" xr:uid="{00000000-0005-0000-0000-00000A1E0000}"/>
    <cellStyle name="Remarque 2 2 3 2 3 2 7 8 2" xfId="24122" xr:uid="{00000000-0005-0000-0000-00000B1E0000}"/>
    <cellStyle name="Remarque 2 2 3 2 3 2 7 8 3" xfId="48082" xr:uid="{00000000-0005-0000-0000-00000C1E0000}"/>
    <cellStyle name="Remarque 2 2 3 2 3 2 7 9" xfId="2964" xr:uid="{00000000-0005-0000-0000-00000D1E0000}"/>
    <cellStyle name="Remarque 2 2 3 2 3 2 7 9 2" xfId="26978" xr:uid="{00000000-0005-0000-0000-00000E1E0000}"/>
    <cellStyle name="Remarque 2 2 3 2 3 2 7 9 3" xfId="50938" xr:uid="{00000000-0005-0000-0000-00000F1E0000}"/>
    <cellStyle name="Remarque 2 2 3 2 3 2 8" xfId="3383" xr:uid="{00000000-0005-0000-0000-0000101E0000}"/>
    <cellStyle name="Remarque 2 2 3 2 3 2 8 2" xfId="27397" xr:uid="{00000000-0005-0000-0000-0000111E0000}"/>
    <cellStyle name="Remarque 2 2 3 2 3 2 8 2 2" xfId="51357" xr:uid="{00000000-0005-0000-0000-0000121E0000}"/>
    <cellStyle name="Remarque 2 2 3 2 3 2 8 3" xfId="14644" xr:uid="{00000000-0005-0000-0000-0000131E0000}"/>
    <cellStyle name="Remarque 2 2 3 2 3 2 8 4" xfId="38604" xr:uid="{00000000-0005-0000-0000-0000141E0000}"/>
    <cellStyle name="Remarque 2 2 3 2 3 2 9" xfId="4817" xr:uid="{00000000-0005-0000-0000-0000151E0000}"/>
    <cellStyle name="Remarque 2 2 3 2 3 2 9 2" xfId="28831" xr:uid="{00000000-0005-0000-0000-0000161E0000}"/>
    <cellStyle name="Remarque 2 2 3 2 3 2 9 2 2" xfId="52791" xr:uid="{00000000-0005-0000-0000-0000171E0000}"/>
    <cellStyle name="Remarque 2 2 3 2 3 2 9 3" xfId="16078" xr:uid="{00000000-0005-0000-0000-0000181E0000}"/>
    <cellStyle name="Remarque 2 2 3 2 3 2 9 4" xfId="40038" xr:uid="{00000000-0005-0000-0000-0000191E0000}"/>
    <cellStyle name="Remarque 2 2 3 2 3 3" xfId="478" xr:uid="{00000000-0005-0000-0000-00001A1E0000}"/>
    <cellStyle name="Remarque 2 2 3 2 3 3 10" xfId="24510" xr:uid="{00000000-0005-0000-0000-00001B1E0000}"/>
    <cellStyle name="Remarque 2 2 3 2 3 3 10 2" xfId="48470" xr:uid="{00000000-0005-0000-0000-00001C1E0000}"/>
    <cellStyle name="Remarque 2 2 3 2 3 3 11" xfId="34214" xr:uid="{00000000-0005-0000-0000-00001D1E0000}"/>
    <cellStyle name="Remarque 2 2 3 2 3 3 11 2" xfId="58174" xr:uid="{00000000-0005-0000-0000-00001E1E0000}"/>
    <cellStyle name="Remarque 2 2 3 2 3 3 12" xfId="13175" xr:uid="{00000000-0005-0000-0000-00001F1E0000}"/>
    <cellStyle name="Remarque 2 2 3 2 3 3 13" xfId="37135" xr:uid="{00000000-0005-0000-0000-0000201E0000}"/>
    <cellStyle name="Remarque 2 2 3 2 3 3 2" xfId="3384" xr:uid="{00000000-0005-0000-0000-0000211E0000}"/>
    <cellStyle name="Remarque 2 2 3 2 3 3 2 2" xfId="27398" xr:uid="{00000000-0005-0000-0000-0000221E0000}"/>
    <cellStyle name="Remarque 2 2 3 2 3 3 2 2 2" xfId="51358" xr:uid="{00000000-0005-0000-0000-0000231E0000}"/>
    <cellStyle name="Remarque 2 2 3 2 3 3 2 3" xfId="14645" xr:uid="{00000000-0005-0000-0000-0000241E0000}"/>
    <cellStyle name="Remarque 2 2 3 2 3 3 2 4" xfId="38605" xr:uid="{00000000-0005-0000-0000-0000251E0000}"/>
    <cellStyle name="Remarque 2 2 3 2 3 3 3" xfId="4818" xr:uid="{00000000-0005-0000-0000-0000261E0000}"/>
    <cellStyle name="Remarque 2 2 3 2 3 3 3 2" xfId="28832" xr:uid="{00000000-0005-0000-0000-0000271E0000}"/>
    <cellStyle name="Remarque 2 2 3 2 3 3 3 2 2" xfId="52792" xr:uid="{00000000-0005-0000-0000-0000281E0000}"/>
    <cellStyle name="Remarque 2 2 3 2 3 3 3 3" xfId="16079" xr:uid="{00000000-0005-0000-0000-0000291E0000}"/>
    <cellStyle name="Remarque 2 2 3 2 3 3 3 4" xfId="40039" xr:uid="{00000000-0005-0000-0000-00002A1E0000}"/>
    <cellStyle name="Remarque 2 2 3 2 3 3 4" xfId="6212" xr:uid="{00000000-0005-0000-0000-00002B1E0000}"/>
    <cellStyle name="Remarque 2 2 3 2 3 3 4 2" xfId="30226" xr:uid="{00000000-0005-0000-0000-00002C1E0000}"/>
    <cellStyle name="Remarque 2 2 3 2 3 3 4 2 2" xfId="54186" xr:uid="{00000000-0005-0000-0000-00002D1E0000}"/>
    <cellStyle name="Remarque 2 2 3 2 3 3 4 3" xfId="17473" xr:uid="{00000000-0005-0000-0000-00002E1E0000}"/>
    <cellStyle name="Remarque 2 2 3 2 3 3 4 4" xfId="41433" xr:uid="{00000000-0005-0000-0000-00002F1E0000}"/>
    <cellStyle name="Remarque 2 2 3 2 3 3 5" xfId="7600" xr:uid="{00000000-0005-0000-0000-0000301E0000}"/>
    <cellStyle name="Remarque 2 2 3 2 3 3 5 2" xfId="31614" xr:uid="{00000000-0005-0000-0000-0000311E0000}"/>
    <cellStyle name="Remarque 2 2 3 2 3 3 5 2 2" xfId="55574" xr:uid="{00000000-0005-0000-0000-0000321E0000}"/>
    <cellStyle name="Remarque 2 2 3 2 3 3 5 3" xfId="18861" xr:uid="{00000000-0005-0000-0000-0000331E0000}"/>
    <cellStyle name="Remarque 2 2 3 2 3 3 5 4" xfId="42821" xr:uid="{00000000-0005-0000-0000-0000341E0000}"/>
    <cellStyle name="Remarque 2 2 3 2 3 3 6" xfId="8985" xr:uid="{00000000-0005-0000-0000-0000351E0000}"/>
    <cellStyle name="Remarque 2 2 3 2 3 3 6 2" xfId="32999" xr:uid="{00000000-0005-0000-0000-0000361E0000}"/>
    <cellStyle name="Remarque 2 2 3 2 3 3 6 2 2" xfId="56959" xr:uid="{00000000-0005-0000-0000-0000371E0000}"/>
    <cellStyle name="Remarque 2 2 3 2 3 3 6 3" xfId="20246" xr:uid="{00000000-0005-0000-0000-0000381E0000}"/>
    <cellStyle name="Remarque 2 2 3 2 3 3 6 4" xfId="44206" xr:uid="{00000000-0005-0000-0000-0000391E0000}"/>
    <cellStyle name="Remarque 2 2 3 2 3 3 7" xfId="10442" xr:uid="{00000000-0005-0000-0000-00003A1E0000}"/>
    <cellStyle name="Remarque 2 2 3 2 3 3 7 2" xfId="34452" xr:uid="{00000000-0005-0000-0000-00003B1E0000}"/>
    <cellStyle name="Remarque 2 2 3 2 3 3 7 2 2" xfId="58412" xr:uid="{00000000-0005-0000-0000-00003C1E0000}"/>
    <cellStyle name="Remarque 2 2 3 2 3 3 7 3" xfId="21709" xr:uid="{00000000-0005-0000-0000-00003D1E0000}"/>
    <cellStyle name="Remarque 2 2 3 2 3 3 7 4" xfId="45669" xr:uid="{00000000-0005-0000-0000-00003E1E0000}"/>
    <cellStyle name="Remarque 2 2 3 2 3 3 8" xfId="12090" xr:uid="{00000000-0005-0000-0000-00003F1E0000}"/>
    <cellStyle name="Remarque 2 2 3 2 3 3 8 2" xfId="23373" xr:uid="{00000000-0005-0000-0000-0000401E0000}"/>
    <cellStyle name="Remarque 2 2 3 2 3 3 8 3" xfId="47333" xr:uid="{00000000-0005-0000-0000-0000411E0000}"/>
    <cellStyle name="Remarque 2 2 3 2 3 3 9" xfId="1914" xr:uid="{00000000-0005-0000-0000-0000421E0000}"/>
    <cellStyle name="Remarque 2 2 3 2 3 3 9 2" xfId="25928" xr:uid="{00000000-0005-0000-0000-0000431E0000}"/>
    <cellStyle name="Remarque 2 2 3 2 3 3 9 3" xfId="49888" xr:uid="{00000000-0005-0000-0000-0000441E0000}"/>
    <cellStyle name="Remarque 2 2 3 2 3 4" xfId="670" xr:uid="{00000000-0005-0000-0000-0000451E0000}"/>
    <cellStyle name="Remarque 2 2 3 2 3 4 10" xfId="24702" xr:uid="{00000000-0005-0000-0000-0000461E0000}"/>
    <cellStyle name="Remarque 2 2 3 2 3 4 10 2" xfId="48662" xr:uid="{00000000-0005-0000-0000-0000471E0000}"/>
    <cellStyle name="Remarque 2 2 3 2 3 4 11" xfId="23718" xr:uid="{00000000-0005-0000-0000-0000481E0000}"/>
    <cellStyle name="Remarque 2 2 3 2 3 4 11 2" xfId="47678" xr:uid="{00000000-0005-0000-0000-0000491E0000}"/>
    <cellStyle name="Remarque 2 2 3 2 3 4 12" xfId="13367" xr:uid="{00000000-0005-0000-0000-00004A1E0000}"/>
    <cellStyle name="Remarque 2 2 3 2 3 4 13" xfId="37327" xr:uid="{00000000-0005-0000-0000-00004B1E0000}"/>
    <cellStyle name="Remarque 2 2 3 2 3 4 2" xfId="3576" xr:uid="{00000000-0005-0000-0000-00004C1E0000}"/>
    <cellStyle name="Remarque 2 2 3 2 3 4 2 2" xfId="27590" xr:uid="{00000000-0005-0000-0000-00004D1E0000}"/>
    <cellStyle name="Remarque 2 2 3 2 3 4 2 2 2" xfId="51550" xr:uid="{00000000-0005-0000-0000-00004E1E0000}"/>
    <cellStyle name="Remarque 2 2 3 2 3 4 2 3" xfId="14837" xr:uid="{00000000-0005-0000-0000-00004F1E0000}"/>
    <cellStyle name="Remarque 2 2 3 2 3 4 2 4" xfId="38797" xr:uid="{00000000-0005-0000-0000-0000501E0000}"/>
    <cellStyle name="Remarque 2 2 3 2 3 4 3" xfId="5010" xr:uid="{00000000-0005-0000-0000-0000511E0000}"/>
    <cellStyle name="Remarque 2 2 3 2 3 4 3 2" xfId="29024" xr:uid="{00000000-0005-0000-0000-0000521E0000}"/>
    <cellStyle name="Remarque 2 2 3 2 3 4 3 2 2" xfId="52984" xr:uid="{00000000-0005-0000-0000-0000531E0000}"/>
    <cellStyle name="Remarque 2 2 3 2 3 4 3 3" xfId="16271" xr:uid="{00000000-0005-0000-0000-0000541E0000}"/>
    <cellStyle name="Remarque 2 2 3 2 3 4 3 4" xfId="40231" xr:uid="{00000000-0005-0000-0000-0000551E0000}"/>
    <cellStyle name="Remarque 2 2 3 2 3 4 4" xfId="6404" xr:uid="{00000000-0005-0000-0000-0000561E0000}"/>
    <cellStyle name="Remarque 2 2 3 2 3 4 4 2" xfId="30418" xr:uid="{00000000-0005-0000-0000-0000571E0000}"/>
    <cellStyle name="Remarque 2 2 3 2 3 4 4 2 2" xfId="54378" xr:uid="{00000000-0005-0000-0000-0000581E0000}"/>
    <cellStyle name="Remarque 2 2 3 2 3 4 4 3" xfId="17665" xr:uid="{00000000-0005-0000-0000-0000591E0000}"/>
    <cellStyle name="Remarque 2 2 3 2 3 4 4 4" xfId="41625" xr:uid="{00000000-0005-0000-0000-00005A1E0000}"/>
    <cellStyle name="Remarque 2 2 3 2 3 4 5" xfId="7792" xr:uid="{00000000-0005-0000-0000-00005B1E0000}"/>
    <cellStyle name="Remarque 2 2 3 2 3 4 5 2" xfId="31806" xr:uid="{00000000-0005-0000-0000-00005C1E0000}"/>
    <cellStyle name="Remarque 2 2 3 2 3 4 5 2 2" xfId="55766" xr:uid="{00000000-0005-0000-0000-00005D1E0000}"/>
    <cellStyle name="Remarque 2 2 3 2 3 4 5 3" xfId="19053" xr:uid="{00000000-0005-0000-0000-00005E1E0000}"/>
    <cellStyle name="Remarque 2 2 3 2 3 4 5 4" xfId="43013" xr:uid="{00000000-0005-0000-0000-00005F1E0000}"/>
    <cellStyle name="Remarque 2 2 3 2 3 4 6" xfId="9177" xr:uid="{00000000-0005-0000-0000-0000601E0000}"/>
    <cellStyle name="Remarque 2 2 3 2 3 4 6 2" xfId="33191" xr:uid="{00000000-0005-0000-0000-0000611E0000}"/>
    <cellStyle name="Remarque 2 2 3 2 3 4 6 2 2" xfId="57151" xr:uid="{00000000-0005-0000-0000-0000621E0000}"/>
    <cellStyle name="Remarque 2 2 3 2 3 4 6 3" xfId="20438" xr:uid="{00000000-0005-0000-0000-0000631E0000}"/>
    <cellStyle name="Remarque 2 2 3 2 3 4 6 4" xfId="44398" xr:uid="{00000000-0005-0000-0000-0000641E0000}"/>
    <cellStyle name="Remarque 2 2 3 2 3 4 7" xfId="10634" xr:uid="{00000000-0005-0000-0000-0000651E0000}"/>
    <cellStyle name="Remarque 2 2 3 2 3 4 7 2" xfId="34644" xr:uid="{00000000-0005-0000-0000-0000661E0000}"/>
    <cellStyle name="Remarque 2 2 3 2 3 4 7 2 2" xfId="58604" xr:uid="{00000000-0005-0000-0000-0000671E0000}"/>
    <cellStyle name="Remarque 2 2 3 2 3 4 7 3" xfId="21901" xr:uid="{00000000-0005-0000-0000-0000681E0000}"/>
    <cellStyle name="Remarque 2 2 3 2 3 4 7 4" xfId="45861" xr:uid="{00000000-0005-0000-0000-0000691E0000}"/>
    <cellStyle name="Remarque 2 2 3 2 3 4 8" xfId="12039" xr:uid="{00000000-0005-0000-0000-00006A1E0000}"/>
    <cellStyle name="Remarque 2 2 3 2 3 4 8 2" xfId="23319" xr:uid="{00000000-0005-0000-0000-00006B1E0000}"/>
    <cellStyle name="Remarque 2 2 3 2 3 4 8 3" xfId="47279" xr:uid="{00000000-0005-0000-0000-00006C1E0000}"/>
    <cellStyle name="Remarque 2 2 3 2 3 4 9" xfId="2106" xr:uid="{00000000-0005-0000-0000-00006D1E0000}"/>
    <cellStyle name="Remarque 2 2 3 2 3 4 9 2" xfId="26120" xr:uid="{00000000-0005-0000-0000-00006E1E0000}"/>
    <cellStyle name="Remarque 2 2 3 2 3 4 9 3" xfId="50080" xr:uid="{00000000-0005-0000-0000-00006F1E0000}"/>
    <cellStyle name="Remarque 2 2 3 2 3 5" xfId="864" xr:uid="{00000000-0005-0000-0000-0000701E0000}"/>
    <cellStyle name="Remarque 2 2 3 2 3 5 10" xfId="24896" xr:uid="{00000000-0005-0000-0000-0000711E0000}"/>
    <cellStyle name="Remarque 2 2 3 2 3 5 10 2" xfId="48856" xr:uid="{00000000-0005-0000-0000-0000721E0000}"/>
    <cellStyle name="Remarque 2 2 3 2 3 5 11" xfId="36568" xr:uid="{00000000-0005-0000-0000-0000731E0000}"/>
    <cellStyle name="Remarque 2 2 3 2 3 5 11 2" xfId="60528" xr:uid="{00000000-0005-0000-0000-0000741E0000}"/>
    <cellStyle name="Remarque 2 2 3 2 3 5 12" xfId="13561" xr:uid="{00000000-0005-0000-0000-0000751E0000}"/>
    <cellStyle name="Remarque 2 2 3 2 3 5 13" xfId="37521" xr:uid="{00000000-0005-0000-0000-0000761E0000}"/>
    <cellStyle name="Remarque 2 2 3 2 3 5 2" xfId="3770" xr:uid="{00000000-0005-0000-0000-0000771E0000}"/>
    <cellStyle name="Remarque 2 2 3 2 3 5 2 2" xfId="27784" xr:uid="{00000000-0005-0000-0000-0000781E0000}"/>
    <cellStyle name="Remarque 2 2 3 2 3 5 2 2 2" xfId="51744" xr:uid="{00000000-0005-0000-0000-0000791E0000}"/>
    <cellStyle name="Remarque 2 2 3 2 3 5 2 3" xfId="15031" xr:uid="{00000000-0005-0000-0000-00007A1E0000}"/>
    <cellStyle name="Remarque 2 2 3 2 3 5 2 4" xfId="38991" xr:uid="{00000000-0005-0000-0000-00007B1E0000}"/>
    <cellStyle name="Remarque 2 2 3 2 3 5 3" xfId="5204" xr:uid="{00000000-0005-0000-0000-00007C1E0000}"/>
    <cellStyle name="Remarque 2 2 3 2 3 5 3 2" xfId="29218" xr:uid="{00000000-0005-0000-0000-00007D1E0000}"/>
    <cellStyle name="Remarque 2 2 3 2 3 5 3 2 2" xfId="53178" xr:uid="{00000000-0005-0000-0000-00007E1E0000}"/>
    <cellStyle name="Remarque 2 2 3 2 3 5 3 3" xfId="16465" xr:uid="{00000000-0005-0000-0000-00007F1E0000}"/>
    <cellStyle name="Remarque 2 2 3 2 3 5 3 4" xfId="40425" xr:uid="{00000000-0005-0000-0000-0000801E0000}"/>
    <cellStyle name="Remarque 2 2 3 2 3 5 4" xfId="6598" xr:uid="{00000000-0005-0000-0000-0000811E0000}"/>
    <cellStyle name="Remarque 2 2 3 2 3 5 4 2" xfId="30612" xr:uid="{00000000-0005-0000-0000-0000821E0000}"/>
    <cellStyle name="Remarque 2 2 3 2 3 5 4 2 2" xfId="54572" xr:uid="{00000000-0005-0000-0000-0000831E0000}"/>
    <cellStyle name="Remarque 2 2 3 2 3 5 4 3" xfId="17859" xr:uid="{00000000-0005-0000-0000-0000841E0000}"/>
    <cellStyle name="Remarque 2 2 3 2 3 5 4 4" xfId="41819" xr:uid="{00000000-0005-0000-0000-0000851E0000}"/>
    <cellStyle name="Remarque 2 2 3 2 3 5 5" xfId="7986" xr:uid="{00000000-0005-0000-0000-0000861E0000}"/>
    <cellStyle name="Remarque 2 2 3 2 3 5 5 2" xfId="32000" xr:uid="{00000000-0005-0000-0000-0000871E0000}"/>
    <cellStyle name="Remarque 2 2 3 2 3 5 5 2 2" xfId="55960" xr:uid="{00000000-0005-0000-0000-0000881E0000}"/>
    <cellStyle name="Remarque 2 2 3 2 3 5 5 3" xfId="19247" xr:uid="{00000000-0005-0000-0000-0000891E0000}"/>
    <cellStyle name="Remarque 2 2 3 2 3 5 5 4" xfId="43207" xr:uid="{00000000-0005-0000-0000-00008A1E0000}"/>
    <cellStyle name="Remarque 2 2 3 2 3 5 6" xfId="9371" xr:uid="{00000000-0005-0000-0000-00008B1E0000}"/>
    <cellStyle name="Remarque 2 2 3 2 3 5 6 2" xfId="33385" xr:uid="{00000000-0005-0000-0000-00008C1E0000}"/>
    <cellStyle name="Remarque 2 2 3 2 3 5 6 2 2" xfId="57345" xr:uid="{00000000-0005-0000-0000-00008D1E0000}"/>
    <cellStyle name="Remarque 2 2 3 2 3 5 6 3" xfId="20632" xr:uid="{00000000-0005-0000-0000-00008E1E0000}"/>
    <cellStyle name="Remarque 2 2 3 2 3 5 6 4" xfId="44592" xr:uid="{00000000-0005-0000-0000-00008F1E0000}"/>
    <cellStyle name="Remarque 2 2 3 2 3 5 7" xfId="10828" xr:uid="{00000000-0005-0000-0000-0000901E0000}"/>
    <cellStyle name="Remarque 2 2 3 2 3 5 7 2" xfId="34838" xr:uid="{00000000-0005-0000-0000-0000911E0000}"/>
    <cellStyle name="Remarque 2 2 3 2 3 5 7 2 2" xfId="58798" xr:uid="{00000000-0005-0000-0000-0000921E0000}"/>
    <cellStyle name="Remarque 2 2 3 2 3 5 7 3" xfId="22095" xr:uid="{00000000-0005-0000-0000-0000931E0000}"/>
    <cellStyle name="Remarque 2 2 3 2 3 5 7 4" xfId="46055" xr:uid="{00000000-0005-0000-0000-0000941E0000}"/>
    <cellStyle name="Remarque 2 2 3 2 3 5 8" xfId="10112" xr:uid="{00000000-0005-0000-0000-0000951E0000}"/>
    <cellStyle name="Remarque 2 2 3 2 3 5 8 2" xfId="21373" xr:uid="{00000000-0005-0000-0000-0000961E0000}"/>
    <cellStyle name="Remarque 2 2 3 2 3 5 8 3" xfId="45333" xr:uid="{00000000-0005-0000-0000-0000971E0000}"/>
    <cellStyle name="Remarque 2 2 3 2 3 5 9" xfId="2300" xr:uid="{00000000-0005-0000-0000-0000981E0000}"/>
    <cellStyle name="Remarque 2 2 3 2 3 5 9 2" xfId="26314" xr:uid="{00000000-0005-0000-0000-0000991E0000}"/>
    <cellStyle name="Remarque 2 2 3 2 3 5 9 3" xfId="50274" xr:uid="{00000000-0005-0000-0000-00009A1E0000}"/>
    <cellStyle name="Remarque 2 2 3 2 3 6" xfId="1057" xr:uid="{00000000-0005-0000-0000-00009B1E0000}"/>
    <cellStyle name="Remarque 2 2 3 2 3 6 10" xfId="25089" xr:uid="{00000000-0005-0000-0000-00009C1E0000}"/>
    <cellStyle name="Remarque 2 2 3 2 3 6 10 2" xfId="49049" xr:uid="{00000000-0005-0000-0000-00009D1E0000}"/>
    <cellStyle name="Remarque 2 2 3 2 3 6 11" xfId="36131" xr:uid="{00000000-0005-0000-0000-00009E1E0000}"/>
    <cellStyle name="Remarque 2 2 3 2 3 6 11 2" xfId="60091" xr:uid="{00000000-0005-0000-0000-00009F1E0000}"/>
    <cellStyle name="Remarque 2 2 3 2 3 6 12" xfId="13754" xr:uid="{00000000-0005-0000-0000-0000A01E0000}"/>
    <cellStyle name="Remarque 2 2 3 2 3 6 13" xfId="37714" xr:uid="{00000000-0005-0000-0000-0000A11E0000}"/>
    <cellStyle name="Remarque 2 2 3 2 3 6 2" xfId="3963" xr:uid="{00000000-0005-0000-0000-0000A21E0000}"/>
    <cellStyle name="Remarque 2 2 3 2 3 6 2 2" xfId="27977" xr:uid="{00000000-0005-0000-0000-0000A31E0000}"/>
    <cellStyle name="Remarque 2 2 3 2 3 6 2 2 2" xfId="51937" xr:uid="{00000000-0005-0000-0000-0000A41E0000}"/>
    <cellStyle name="Remarque 2 2 3 2 3 6 2 3" xfId="15224" xr:uid="{00000000-0005-0000-0000-0000A51E0000}"/>
    <cellStyle name="Remarque 2 2 3 2 3 6 2 4" xfId="39184" xr:uid="{00000000-0005-0000-0000-0000A61E0000}"/>
    <cellStyle name="Remarque 2 2 3 2 3 6 3" xfId="5397" xr:uid="{00000000-0005-0000-0000-0000A71E0000}"/>
    <cellStyle name="Remarque 2 2 3 2 3 6 3 2" xfId="29411" xr:uid="{00000000-0005-0000-0000-0000A81E0000}"/>
    <cellStyle name="Remarque 2 2 3 2 3 6 3 2 2" xfId="53371" xr:uid="{00000000-0005-0000-0000-0000A91E0000}"/>
    <cellStyle name="Remarque 2 2 3 2 3 6 3 3" xfId="16658" xr:uid="{00000000-0005-0000-0000-0000AA1E0000}"/>
    <cellStyle name="Remarque 2 2 3 2 3 6 3 4" xfId="40618" xr:uid="{00000000-0005-0000-0000-0000AB1E0000}"/>
    <cellStyle name="Remarque 2 2 3 2 3 6 4" xfId="6791" xr:uid="{00000000-0005-0000-0000-0000AC1E0000}"/>
    <cellStyle name="Remarque 2 2 3 2 3 6 4 2" xfId="30805" xr:uid="{00000000-0005-0000-0000-0000AD1E0000}"/>
    <cellStyle name="Remarque 2 2 3 2 3 6 4 2 2" xfId="54765" xr:uid="{00000000-0005-0000-0000-0000AE1E0000}"/>
    <cellStyle name="Remarque 2 2 3 2 3 6 4 3" xfId="18052" xr:uid="{00000000-0005-0000-0000-0000AF1E0000}"/>
    <cellStyle name="Remarque 2 2 3 2 3 6 4 4" xfId="42012" xr:uid="{00000000-0005-0000-0000-0000B01E0000}"/>
    <cellStyle name="Remarque 2 2 3 2 3 6 5" xfId="8179" xr:uid="{00000000-0005-0000-0000-0000B11E0000}"/>
    <cellStyle name="Remarque 2 2 3 2 3 6 5 2" xfId="32193" xr:uid="{00000000-0005-0000-0000-0000B21E0000}"/>
    <cellStyle name="Remarque 2 2 3 2 3 6 5 2 2" xfId="56153" xr:uid="{00000000-0005-0000-0000-0000B31E0000}"/>
    <cellStyle name="Remarque 2 2 3 2 3 6 5 3" xfId="19440" xr:uid="{00000000-0005-0000-0000-0000B41E0000}"/>
    <cellStyle name="Remarque 2 2 3 2 3 6 5 4" xfId="43400" xr:uid="{00000000-0005-0000-0000-0000B51E0000}"/>
    <cellStyle name="Remarque 2 2 3 2 3 6 6" xfId="9564" xr:uid="{00000000-0005-0000-0000-0000B61E0000}"/>
    <cellStyle name="Remarque 2 2 3 2 3 6 6 2" xfId="33578" xr:uid="{00000000-0005-0000-0000-0000B71E0000}"/>
    <cellStyle name="Remarque 2 2 3 2 3 6 6 2 2" xfId="57538" xr:uid="{00000000-0005-0000-0000-0000B81E0000}"/>
    <cellStyle name="Remarque 2 2 3 2 3 6 6 3" xfId="20825" xr:uid="{00000000-0005-0000-0000-0000B91E0000}"/>
    <cellStyle name="Remarque 2 2 3 2 3 6 6 4" xfId="44785" xr:uid="{00000000-0005-0000-0000-0000BA1E0000}"/>
    <cellStyle name="Remarque 2 2 3 2 3 6 7" xfId="11021" xr:uid="{00000000-0005-0000-0000-0000BB1E0000}"/>
    <cellStyle name="Remarque 2 2 3 2 3 6 7 2" xfId="35031" xr:uid="{00000000-0005-0000-0000-0000BC1E0000}"/>
    <cellStyle name="Remarque 2 2 3 2 3 6 7 2 2" xfId="58991" xr:uid="{00000000-0005-0000-0000-0000BD1E0000}"/>
    <cellStyle name="Remarque 2 2 3 2 3 6 7 3" xfId="22288" xr:uid="{00000000-0005-0000-0000-0000BE1E0000}"/>
    <cellStyle name="Remarque 2 2 3 2 3 6 7 4" xfId="46248" xr:uid="{00000000-0005-0000-0000-0000BF1E0000}"/>
    <cellStyle name="Remarque 2 2 3 2 3 6 8" xfId="12440" xr:uid="{00000000-0005-0000-0000-0000C01E0000}"/>
    <cellStyle name="Remarque 2 2 3 2 3 6 8 2" xfId="23732" xr:uid="{00000000-0005-0000-0000-0000C11E0000}"/>
    <cellStyle name="Remarque 2 2 3 2 3 6 8 3" xfId="47692" xr:uid="{00000000-0005-0000-0000-0000C21E0000}"/>
    <cellStyle name="Remarque 2 2 3 2 3 6 9" xfId="2493" xr:uid="{00000000-0005-0000-0000-0000C31E0000}"/>
    <cellStyle name="Remarque 2 2 3 2 3 6 9 2" xfId="26507" xr:uid="{00000000-0005-0000-0000-0000C41E0000}"/>
    <cellStyle name="Remarque 2 2 3 2 3 6 9 3" xfId="50467" xr:uid="{00000000-0005-0000-0000-0000C51E0000}"/>
    <cellStyle name="Remarque 2 2 3 2 3 7" xfId="1393" xr:uid="{00000000-0005-0000-0000-0000C61E0000}"/>
    <cellStyle name="Remarque 2 2 3 2 3 7 10" xfId="25425" xr:uid="{00000000-0005-0000-0000-0000C71E0000}"/>
    <cellStyle name="Remarque 2 2 3 2 3 7 10 2" xfId="49385" xr:uid="{00000000-0005-0000-0000-0000C81E0000}"/>
    <cellStyle name="Remarque 2 2 3 2 3 7 11" xfId="36000" xr:uid="{00000000-0005-0000-0000-0000C91E0000}"/>
    <cellStyle name="Remarque 2 2 3 2 3 7 11 2" xfId="59960" xr:uid="{00000000-0005-0000-0000-0000CA1E0000}"/>
    <cellStyle name="Remarque 2 2 3 2 3 7 12" xfId="14090" xr:uid="{00000000-0005-0000-0000-0000CB1E0000}"/>
    <cellStyle name="Remarque 2 2 3 2 3 7 13" xfId="38050" xr:uid="{00000000-0005-0000-0000-0000CC1E0000}"/>
    <cellStyle name="Remarque 2 2 3 2 3 7 2" xfId="4299" xr:uid="{00000000-0005-0000-0000-0000CD1E0000}"/>
    <cellStyle name="Remarque 2 2 3 2 3 7 2 2" xfId="28313" xr:uid="{00000000-0005-0000-0000-0000CE1E0000}"/>
    <cellStyle name="Remarque 2 2 3 2 3 7 2 2 2" xfId="52273" xr:uid="{00000000-0005-0000-0000-0000CF1E0000}"/>
    <cellStyle name="Remarque 2 2 3 2 3 7 2 3" xfId="15560" xr:uid="{00000000-0005-0000-0000-0000D01E0000}"/>
    <cellStyle name="Remarque 2 2 3 2 3 7 2 4" xfId="39520" xr:uid="{00000000-0005-0000-0000-0000D11E0000}"/>
    <cellStyle name="Remarque 2 2 3 2 3 7 3" xfId="5733" xr:uid="{00000000-0005-0000-0000-0000D21E0000}"/>
    <cellStyle name="Remarque 2 2 3 2 3 7 3 2" xfId="29747" xr:uid="{00000000-0005-0000-0000-0000D31E0000}"/>
    <cellStyle name="Remarque 2 2 3 2 3 7 3 2 2" xfId="53707" xr:uid="{00000000-0005-0000-0000-0000D41E0000}"/>
    <cellStyle name="Remarque 2 2 3 2 3 7 3 3" xfId="16994" xr:uid="{00000000-0005-0000-0000-0000D51E0000}"/>
    <cellStyle name="Remarque 2 2 3 2 3 7 3 4" xfId="40954" xr:uid="{00000000-0005-0000-0000-0000D61E0000}"/>
    <cellStyle name="Remarque 2 2 3 2 3 7 4" xfId="7127" xr:uid="{00000000-0005-0000-0000-0000D71E0000}"/>
    <cellStyle name="Remarque 2 2 3 2 3 7 4 2" xfId="31141" xr:uid="{00000000-0005-0000-0000-0000D81E0000}"/>
    <cellStyle name="Remarque 2 2 3 2 3 7 4 2 2" xfId="55101" xr:uid="{00000000-0005-0000-0000-0000D91E0000}"/>
    <cellStyle name="Remarque 2 2 3 2 3 7 4 3" xfId="18388" xr:uid="{00000000-0005-0000-0000-0000DA1E0000}"/>
    <cellStyle name="Remarque 2 2 3 2 3 7 4 4" xfId="42348" xr:uid="{00000000-0005-0000-0000-0000DB1E0000}"/>
    <cellStyle name="Remarque 2 2 3 2 3 7 5" xfId="8515" xr:uid="{00000000-0005-0000-0000-0000DC1E0000}"/>
    <cellStyle name="Remarque 2 2 3 2 3 7 5 2" xfId="32529" xr:uid="{00000000-0005-0000-0000-0000DD1E0000}"/>
    <cellStyle name="Remarque 2 2 3 2 3 7 5 2 2" xfId="56489" xr:uid="{00000000-0005-0000-0000-0000DE1E0000}"/>
    <cellStyle name="Remarque 2 2 3 2 3 7 5 3" xfId="19776" xr:uid="{00000000-0005-0000-0000-0000DF1E0000}"/>
    <cellStyle name="Remarque 2 2 3 2 3 7 5 4" xfId="43736" xr:uid="{00000000-0005-0000-0000-0000E01E0000}"/>
    <cellStyle name="Remarque 2 2 3 2 3 7 6" xfId="9900" xr:uid="{00000000-0005-0000-0000-0000E11E0000}"/>
    <cellStyle name="Remarque 2 2 3 2 3 7 6 2" xfId="33914" xr:uid="{00000000-0005-0000-0000-0000E21E0000}"/>
    <cellStyle name="Remarque 2 2 3 2 3 7 6 2 2" xfId="57874" xr:uid="{00000000-0005-0000-0000-0000E31E0000}"/>
    <cellStyle name="Remarque 2 2 3 2 3 7 6 3" xfId="21161" xr:uid="{00000000-0005-0000-0000-0000E41E0000}"/>
    <cellStyle name="Remarque 2 2 3 2 3 7 6 4" xfId="45121" xr:uid="{00000000-0005-0000-0000-0000E51E0000}"/>
    <cellStyle name="Remarque 2 2 3 2 3 7 7" xfId="11357" xr:uid="{00000000-0005-0000-0000-0000E61E0000}"/>
    <cellStyle name="Remarque 2 2 3 2 3 7 7 2" xfId="35367" xr:uid="{00000000-0005-0000-0000-0000E71E0000}"/>
    <cellStyle name="Remarque 2 2 3 2 3 7 7 2 2" xfId="59327" xr:uid="{00000000-0005-0000-0000-0000E81E0000}"/>
    <cellStyle name="Remarque 2 2 3 2 3 7 7 3" xfId="22624" xr:uid="{00000000-0005-0000-0000-0000E91E0000}"/>
    <cellStyle name="Remarque 2 2 3 2 3 7 7 4" xfId="46584" xr:uid="{00000000-0005-0000-0000-0000EA1E0000}"/>
    <cellStyle name="Remarque 2 2 3 2 3 7 8" xfId="12205" xr:uid="{00000000-0005-0000-0000-0000EB1E0000}"/>
    <cellStyle name="Remarque 2 2 3 2 3 7 8 2" xfId="23488" xr:uid="{00000000-0005-0000-0000-0000EC1E0000}"/>
    <cellStyle name="Remarque 2 2 3 2 3 7 8 3" xfId="47448" xr:uid="{00000000-0005-0000-0000-0000ED1E0000}"/>
    <cellStyle name="Remarque 2 2 3 2 3 7 9" xfId="2829" xr:uid="{00000000-0005-0000-0000-0000EE1E0000}"/>
    <cellStyle name="Remarque 2 2 3 2 3 7 9 2" xfId="26843" xr:uid="{00000000-0005-0000-0000-0000EF1E0000}"/>
    <cellStyle name="Remarque 2 2 3 2 3 7 9 3" xfId="50803" xr:uid="{00000000-0005-0000-0000-0000F01E0000}"/>
    <cellStyle name="Remarque 2 2 3 2 3 8" xfId="3149" xr:uid="{00000000-0005-0000-0000-0000F11E0000}"/>
    <cellStyle name="Remarque 2 2 3 2 3 8 2" xfId="27163" xr:uid="{00000000-0005-0000-0000-0000F21E0000}"/>
    <cellStyle name="Remarque 2 2 3 2 3 8 2 2" xfId="51123" xr:uid="{00000000-0005-0000-0000-0000F31E0000}"/>
    <cellStyle name="Remarque 2 2 3 2 3 8 3" xfId="14410" xr:uid="{00000000-0005-0000-0000-0000F41E0000}"/>
    <cellStyle name="Remarque 2 2 3 2 3 8 4" xfId="38370" xr:uid="{00000000-0005-0000-0000-0000F51E0000}"/>
    <cellStyle name="Remarque 2 2 3 2 3 9" xfId="1679" xr:uid="{00000000-0005-0000-0000-0000F61E0000}"/>
    <cellStyle name="Remarque 2 2 3 2 3 9 2" xfId="25693" xr:uid="{00000000-0005-0000-0000-0000F71E0000}"/>
    <cellStyle name="Remarque 2 2 3 2 3 9 3" xfId="49653" xr:uid="{00000000-0005-0000-0000-0000F81E0000}"/>
    <cellStyle name="Remarque 2 2 3 2 4" xfId="139" xr:uid="{00000000-0005-0000-0000-0000F91E0000}"/>
    <cellStyle name="Remarque 2 2 3 2 4 10" xfId="6135" xr:uid="{00000000-0005-0000-0000-0000FA1E0000}"/>
    <cellStyle name="Remarque 2 2 3 2 4 10 2" xfId="30149" xr:uid="{00000000-0005-0000-0000-0000FB1E0000}"/>
    <cellStyle name="Remarque 2 2 3 2 4 10 2 2" xfId="54109" xr:uid="{00000000-0005-0000-0000-0000FC1E0000}"/>
    <cellStyle name="Remarque 2 2 3 2 4 10 3" xfId="17396" xr:uid="{00000000-0005-0000-0000-0000FD1E0000}"/>
    <cellStyle name="Remarque 2 2 3 2 4 10 4" xfId="41356" xr:uid="{00000000-0005-0000-0000-0000FE1E0000}"/>
    <cellStyle name="Remarque 2 2 3 2 4 11" xfId="7523" xr:uid="{00000000-0005-0000-0000-0000FF1E0000}"/>
    <cellStyle name="Remarque 2 2 3 2 4 11 2" xfId="31537" xr:uid="{00000000-0005-0000-0000-0000001F0000}"/>
    <cellStyle name="Remarque 2 2 3 2 4 11 2 2" xfId="55497" xr:uid="{00000000-0005-0000-0000-0000011F0000}"/>
    <cellStyle name="Remarque 2 2 3 2 4 11 3" xfId="18784" xr:uid="{00000000-0005-0000-0000-0000021F0000}"/>
    <cellStyle name="Remarque 2 2 3 2 4 11 4" xfId="42744" xr:uid="{00000000-0005-0000-0000-0000031F0000}"/>
    <cellStyle name="Remarque 2 2 3 2 4 12" xfId="8908" xr:uid="{00000000-0005-0000-0000-0000041F0000}"/>
    <cellStyle name="Remarque 2 2 3 2 4 12 2" xfId="32922" xr:uid="{00000000-0005-0000-0000-0000051F0000}"/>
    <cellStyle name="Remarque 2 2 3 2 4 12 2 2" xfId="56882" xr:uid="{00000000-0005-0000-0000-0000061F0000}"/>
    <cellStyle name="Remarque 2 2 3 2 4 12 3" xfId="20169" xr:uid="{00000000-0005-0000-0000-0000071F0000}"/>
    <cellStyle name="Remarque 2 2 3 2 4 12 4" xfId="44129" xr:uid="{00000000-0005-0000-0000-0000081F0000}"/>
    <cellStyle name="Remarque 2 2 3 2 4 13" xfId="10365" xr:uid="{00000000-0005-0000-0000-0000091F0000}"/>
    <cellStyle name="Remarque 2 2 3 2 4 13 2" xfId="34375" xr:uid="{00000000-0005-0000-0000-00000A1F0000}"/>
    <cellStyle name="Remarque 2 2 3 2 4 13 2 2" xfId="58335" xr:uid="{00000000-0005-0000-0000-00000B1F0000}"/>
    <cellStyle name="Remarque 2 2 3 2 4 13 3" xfId="21632" xr:uid="{00000000-0005-0000-0000-00000C1F0000}"/>
    <cellStyle name="Remarque 2 2 3 2 4 13 4" xfId="45592" xr:uid="{00000000-0005-0000-0000-00000D1F0000}"/>
    <cellStyle name="Remarque 2 2 3 2 4 14" xfId="12304" xr:uid="{00000000-0005-0000-0000-00000E1F0000}"/>
    <cellStyle name="Remarque 2 2 3 2 4 14 2" xfId="23592" xr:uid="{00000000-0005-0000-0000-00000F1F0000}"/>
    <cellStyle name="Remarque 2 2 3 2 4 14 3" xfId="47552" xr:uid="{00000000-0005-0000-0000-0000101F0000}"/>
    <cellStyle name="Remarque 2 2 3 2 4 15" xfId="1837" xr:uid="{00000000-0005-0000-0000-0000111F0000}"/>
    <cellStyle name="Remarque 2 2 3 2 4 15 2" xfId="25851" xr:uid="{00000000-0005-0000-0000-0000121F0000}"/>
    <cellStyle name="Remarque 2 2 3 2 4 15 3" xfId="49811" xr:uid="{00000000-0005-0000-0000-0000131F0000}"/>
    <cellStyle name="Remarque 2 2 3 2 4 16" xfId="24433" xr:uid="{00000000-0005-0000-0000-0000141F0000}"/>
    <cellStyle name="Remarque 2 2 3 2 4 16 2" xfId="48393" xr:uid="{00000000-0005-0000-0000-0000151F0000}"/>
    <cellStyle name="Remarque 2 2 3 2 4 17" xfId="36447" xr:uid="{00000000-0005-0000-0000-0000161F0000}"/>
    <cellStyle name="Remarque 2 2 3 2 4 17 2" xfId="60407" xr:uid="{00000000-0005-0000-0000-0000171F0000}"/>
    <cellStyle name="Remarque 2 2 3 2 4 18" xfId="13098" xr:uid="{00000000-0005-0000-0000-0000181F0000}"/>
    <cellStyle name="Remarque 2 2 3 2 4 19" xfId="37058" xr:uid="{00000000-0005-0000-0000-0000191F0000}"/>
    <cellStyle name="Remarque 2 2 3 2 4 2" xfId="537" xr:uid="{00000000-0005-0000-0000-00001A1F0000}"/>
    <cellStyle name="Remarque 2 2 3 2 4 2 10" xfId="24569" xr:uid="{00000000-0005-0000-0000-00001B1F0000}"/>
    <cellStyle name="Remarque 2 2 3 2 4 2 10 2" xfId="48529" xr:uid="{00000000-0005-0000-0000-00001C1F0000}"/>
    <cellStyle name="Remarque 2 2 3 2 4 2 11" xfId="35622" xr:uid="{00000000-0005-0000-0000-00001D1F0000}"/>
    <cellStyle name="Remarque 2 2 3 2 4 2 11 2" xfId="59582" xr:uid="{00000000-0005-0000-0000-00001E1F0000}"/>
    <cellStyle name="Remarque 2 2 3 2 4 2 12" xfId="13234" xr:uid="{00000000-0005-0000-0000-00001F1F0000}"/>
    <cellStyle name="Remarque 2 2 3 2 4 2 13" xfId="37194" xr:uid="{00000000-0005-0000-0000-0000201F0000}"/>
    <cellStyle name="Remarque 2 2 3 2 4 2 2" xfId="3443" xr:uid="{00000000-0005-0000-0000-0000211F0000}"/>
    <cellStyle name="Remarque 2 2 3 2 4 2 2 2" xfId="27457" xr:uid="{00000000-0005-0000-0000-0000221F0000}"/>
    <cellStyle name="Remarque 2 2 3 2 4 2 2 2 2" xfId="51417" xr:uid="{00000000-0005-0000-0000-0000231F0000}"/>
    <cellStyle name="Remarque 2 2 3 2 4 2 2 3" xfId="14704" xr:uid="{00000000-0005-0000-0000-0000241F0000}"/>
    <cellStyle name="Remarque 2 2 3 2 4 2 2 4" xfId="38664" xr:uid="{00000000-0005-0000-0000-0000251F0000}"/>
    <cellStyle name="Remarque 2 2 3 2 4 2 3" xfId="4877" xr:uid="{00000000-0005-0000-0000-0000261F0000}"/>
    <cellStyle name="Remarque 2 2 3 2 4 2 3 2" xfId="28891" xr:uid="{00000000-0005-0000-0000-0000271F0000}"/>
    <cellStyle name="Remarque 2 2 3 2 4 2 3 2 2" xfId="52851" xr:uid="{00000000-0005-0000-0000-0000281F0000}"/>
    <cellStyle name="Remarque 2 2 3 2 4 2 3 3" xfId="16138" xr:uid="{00000000-0005-0000-0000-0000291F0000}"/>
    <cellStyle name="Remarque 2 2 3 2 4 2 3 4" xfId="40098" xr:uid="{00000000-0005-0000-0000-00002A1F0000}"/>
    <cellStyle name="Remarque 2 2 3 2 4 2 4" xfId="6271" xr:uid="{00000000-0005-0000-0000-00002B1F0000}"/>
    <cellStyle name="Remarque 2 2 3 2 4 2 4 2" xfId="30285" xr:uid="{00000000-0005-0000-0000-00002C1F0000}"/>
    <cellStyle name="Remarque 2 2 3 2 4 2 4 2 2" xfId="54245" xr:uid="{00000000-0005-0000-0000-00002D1F0000}"/>
    <cellStyle name="Remarque 2 2 3 2 4 2 4 3" xfId="17532" xr:uid="{00000000-0005-0000-0000-00002E1F0000}"/>
    <cellStyle name="Remarque 2 2 3 2 4 2 4 4" xfId="41492" xr:uid="{00000000-0005-0000-0000-00002F1F0000}"/>
    <cellStyle name="Remarque 2 2 3 2 4 2 5" xfId="7659" xr:uid="{00000000-0005-0000-0000-0000301F0000}"/>
    <cellStyle name="Remarque 2 2 3 2 4 2 5 2" xfId="31673" xr:uid="{00000000-0005-0000-0000-0000311F0000}"/>
    <cellStyle name="Remarque 2 2 3 2 4 2 5 2 2" xfId="55633" xr:uid="{00000000-0005-0000-0000-0000321F0000}"/>
    <cellStyle name="Remarque 2 2 3 2 4 2 5 3" xfId="18920" xr:uid="{00000000-0005-0000-0000-0000331F0000}"/>
    <cellStyle name="Remarque 2 2 3 2 4 2 5 4" xfId="42880" xr:uid="{00000000-0005-0000-0000-0000341F0000}"/>
    <cellStyle name="Remarque 2 2 3 2 4 2 6" xfId="9044" xr:uid="{00000000-0005-0000-0000-0000351F0000}"/>
    <cellStyle name="Remarque 2 2 3 2 4 2 6 2" xfId="33058" xr:uid="{00000000-0005-0000-0000-0000361F0000}"/>
    <cellStyle name="Remarque 2 2 3 2 4 2 6 2 2" xfId="57018" xr:uid="{00000000-0005-0000-0000-0000371F0000}"/>
    <cellStyle name="Remarque 2 2 3 2 4 2 6 3" xfId="20305" xr:uid="{00000000-0005-0000-0000-0000381F0000}"/>
    <cellStyle name="Remarque 2 2 3 2 4 2 6 4" xfId="44265" xr:uid="{00000000-0005-0000-0000-0000391F0000}"/>
    <cellStyle name="Remarque 2 2 3 2 4 2 7" xfId="10501" xr:uid="{00000000-0005-0000-0000-00003A1F0000}"/>
    <cellStyle name="Remarque 2 2 3 2 4 2 7 2" xfId="34511" xr:uid="{00000000-0005-0000-0000-00003B1F0000}"/>
    <cellStyle name="Remarque 2 2 3 2 4 2 7 2 2" xfId="58471" xr:uid="{00000000-0005-0000-0000-00003C1F0000}"/>
    <cellStyle name="Remarque 2 2 3 2 4 2 7 3" xfId="21768" xr:uid="{00000000-0005-0000-0000-00003D1F0000}"/>
    <cellStyle name="Remarque 2 2 3 2 4 2 7 4" xfId="45728" xr:uid="{00000000-0005-0000-0000-00003E1F0000}"/>
    <cellStyle name="Remarque 2 2 3 2 4 2 8" xfId="12809" xr:uid="{00000000-0005-0000-0000-00003F1F0000}"/>
    <cellStyle name="Remarque 2 2 3 2 4 2 8 2" xfId="24120" xr:uid="{00000000-0005-0000-0000-0000401F0000}"/>
    <cellStyle name="Remarque 2 2 3 2 4 2 8 3" xfId="48080" xr:uid="{00000000-0005-0000-0000-0000411F0000}"/>
    <cellStyle name="Remarque 2 2 3 2 4 2 9" xfId="1973" xr:uid="{00000000-0005-0000-0000-0000421F0000}"/>
    <cellStyle name="Remarque 2 2 3 2 4 2 9 2" xfId="25987" xr:uid="{00000000-0005-0000-0000-0000431F0000}"/>
    <cellStyle name="Remarque 2 2 3 2 4 2 9 3" xfId="49947" xr:uid="{00000000-0005-0000-0000-0000441F0000}"/>
    <cellStyle name="Remarque 2 2 3 2 4 20" xfId="401" xr:uid="{00000000-0005-0000-0000-0000451F0000}"/>
    <cellStyle name="Remarque 2 2 3 2 4 3" xfId="729" xr:uid="{00000000-0005-0000-0000-0000461F0000}"/>
    <cellStyle name="Remarque 2 2 3 2 4 3 10" xfId="24761" xr:uid="{00000000-0005-0000-0000-0000471F0000}"/>
    <cellStyle name="Remarque 2 2 3 2 4 3 10 2" xfId="48721" xr:uid="{00000000-0005-0000-0000-0000481F0000}"/>
    <cellStyle name="Remarque 2 2 3 2 4 3 11" xfId="35716" xr:uid="{00000000-0005-0000-0000-0000491F0000}"/>
    <cellStyle name="Remarque 2 2 3 2 4 3 11 2" xfId="59676" xr:uid="{00000000-0005-0000-0000-00004A1F0000}"/>
    <cellStyle name="Remarque 2 2 3 2 4 3 12" xfId="13426" xr:uid="{00000000-0005-0000-0000-00004B1F0000}"/>
    <cellStyle name="Remarque 2 2 3 2 4 3 13" xfId="37386" xr:uid="{00000000-0005-0000-0000-00004C1F0000}"/>
    <cellStyle name="Remarque 2 2 3 2 4 3 2" xfId="3635" xr:uid="{00000000-0005-0000-0000-00004D1F0000}"/>
    <cellStyle name="Remarque 2 2 3 2 4 3 2 2" xfId="27649" xr:uid="{00000000-0005-0000-0000-00004E1F0000}"/>
    <cellStyle name="Remarque 2 2 3 2 4 3 2 2 2" xfId="51609" xr:uid="{00000000-0005-0000-0000-00004F1F0000}"/>
    <cellStyle name="Remarque 2 2 3 2 4 3 2 3" xfId="14896" xr:uid="{00000000-0005-0000-0000-0000501F0000}"/>
    <cellStyle name="Remarque 2 2 3 2 4 3 2 4" xfId="38856" xr:uid="{00000000-0005-0000-0000-0000511F0000}"/>
    <cellStyle name="Remarque 2 2 3 2 4 3 3" xfId="5069" xr:uid="{00000000-0005-0000-0000-0000521F0000}"/>
    <cellStyle name="Remarque 2 2 3 2 4 3 3 2" xfId="29083" xr:uid="{00000000-0005-0000-0000-0000531F0000}"/>
    <cellStyle name="Remarque 2 2 3 2 4 3 3 2 2" xfId="53043" xr:uid="{00000000-0005-0000-0000-0000541F0000}"/>
    <cellStyle name="Remarque 2 2 3 2 4 3 3 3" xfId="16330" xr:uid="{00000000-0005-0000-0000-0000551F0000}"/>
    <cellStyle name="Remarque 2 2 3 2 4 3 3 4" xfId="40290" xr:uid="{00000000-0005-0000-0000-0000561F0000}"/>
    <cellStyle name="Remarque 2 2 3 2 4 3 4" xfId="6463" xr:uid="{00000000-0005-0000-0000-0000571F0000}"/>
    <cellStyle name="Remarque 2 2 3 2 4 3 4 2" xfId="30477" xr:uid="{00000000-0005-0000-0000-0000581F0000}"/>
    <cellStyle name="Remarque 2 2 3 2 4 3 4 2 2" xfId="54437" xr:uid="{00000000-0005-0000-0000-0000591F0000}"/>
    <cellStyle name="Remarque 2 2 3 2 4 3 4 3" xfId="17724" xr:uid="{00000000-0005-0000-0000-00005A1F0000}"/>
    <cellStyle name="Remarque 2 2 3 2 4 3 4 4" xfId="41684" xr:uid="{00000000-0005-0000-0000-00005B1F0000}"/>
    <cellStyle name="Remarque 2 2 3 2 4 3 5" xfId="7851" xr:uid="{00000000-0005-0000-0000-00005C1F0000}"/>
    <cellStyle name="Remarque 2 2 3 2 4 3 5 2" xfId="31865" xr:uid="{00000000-0005-0000-0000-00005D1F0000}"/>
    <cellStyle name="Remarque 2 2 3 2 4 3 5 2 2" xfId="55825" xr:uid="{00000000-0005-0000-0000-00005E1F0000}"/>
    <cellStyle name="Remarque 2 2 3 2 4 3 5 3" xfId="19112" xr:uid="{00000000-0005-0000-0000-00005F1F0000}"/>
    <cellStyle name="Remarque 2 2 3 2 4 3 5 4" xfId="43072" xr:uid="{00000000-0005-0000-0000-0000601F0000}"/>
    <cellStyle name="Remarque 2 2 3 2 4 3 6" xfId="9236" xr:uid="{00000000-0005-0000-0000-0000611F0000}"/>
    <cellStyle name="Remarque 2 2 3 2 4 3 6 2" xfId="33250" xr:uid="{00000000-0005-0000-0000-0000621F0000}"/>
    <cellStyle name="Remarque 2 2 3 2 4 3 6 2 2" xfId="57210" xr:uid="{00000000-0005-0000-0000-0000631F0000}"/>
    <cellStyle name="Remarque 2 2 3 2 4 3 6 3" xfId="20497" xr:uid="{00000000-0005-0000-0000-0000641F0000}"/>
    <cellStyle name="Remarque 2 2 3 2 4 3 6 4" xfId="44457" xr:uid="{00000000-0005-0000-0000-0000651F0000}"/>
    <cellStyle name="Remarque 2 2 3 2 4 3 7" xfId="10693" xr:uid="{00000000-0005-0000-0000-0000661F0000}"/>
    <cellStyle name="Remarque 2 2 3 2 4 3 7 2" xfId="34703" xr:uid="{00000000-0005-0000-0000-0000671F0000}"/>
    <cellStyle name="Remarque 2 2 3 2 4 3 7 2 2" xfId="58663" xr:uid="{00000000-0005-0000-0000-0000681F0000}"/>
    <cellStyle name="Remarque 2 2 3 2 4 3 7 3" xfId="21960" xr:uid="{00000000-0005-0000-0000-0000691F0000}"/>
    <cellStyle name="Remarque 2 2 3 2 4 3 7 4" xfId="45920" xr:uid="{00000000-0005-0000-0000-00006A1F0000}"/>
    <cellStyle name="Remarque 2 2 3 2 4 3 8" xfId="12466" xr:uid="{00000000-0005-0000-0000-00006B1F0000}"/>
    <cellStyle name="Remarque 2 2 3 2 4 3 8 2" xfId="23761" xr:uid="{00000000-0005-0000-0000-00006C1F0000}"/>
    <cellStyle name="Remarque 2 2 3 2 4 3 8 3" xfId="47721" xr:uid="{00000000-0005-0000-0000-00006D1F0000}"/>
    <cellStyle name="Remarque 2 2 3 2 4 3 9" xfId="2165" xr:uid="{00000000-0005-0000-0000-00006E1F0000}"/>
    <cellStyle name="Remarque 2 2 3 2 4 3 9 2" xfId="26179" xr:uid="{00000000-0005-0000-0000-00006F1F0000}"/>
    <cellStyle name="Remarque 2 2 3 2 4 3 9 3" xfId="50139" xr:uid="{00000000-0005-0000-0000-0000701F0000}"/>
    <cellStyle name="Remarque 2 2 3 2 4 4" xfId="923" xr:uid="{00000000-0005-0000-0000-0000711F0000}"/>
    <cellStyle name="Remarque 2 2 3 2 4 4 10" xfId="24955" xr:uid="{00000000-0005-0000-0000-0000721F0000}"/>
    <cellStyle name="Remarque 2 2 3 2 4 4 10 2" xfId="48915" xr:uid="{00000000-0005-0000-0000-0000731F0000}"/>
    <cellStyle name="Remarque 2 2 3 2 4 4 11" xfId="29990" xr:uid="{00000000-0005-0000-0000-0000741F0000}"/>
    <cellStyle name="Remarque 2 2 3 2 4 4 11 2" xfId="53950" xr:uid="{00000000-0005-0000-0000-0000751F0000}"/>
    <cellStyle name="Remarque 2 2 3 2 4 4 12" xfId="13620" xr:uid="{00000000-0005-0000-0000-0000761F0000}"/>
    <cellStyle name="Remarque 2 2 3 2 4 4 13" xfId="37580" xr:uid="{00000000-0005-0000-0000-0000771F0000}"/>
    <cellStyle name="Remarque 2 2 3 2 4 4 2" xfId="3829" xr:uid="{00000000-0005-0000-0000-0000781F0000}"/>
    <cellStyle name="Remarque 2 2 3 2 4 4 2 2" xfId="27843" xr:uid="{00000000-0005-0000-0000-0000791F0000}"/>
    <cellStyle name="Remarque 2 2 3 2 4 4 2 2 2" xfId="51803" xr:uid="{00000000-0005-0000-0000-00007A1F0000}"/>
    <cellStyle name="Remarque 2 2 3 2 4 4 2 3" xfId="15090" xr:uid="{00000000-0005-0000-0000-00007B1F0000}"/>
    <cellStyle name="Remarque 2 2 3 2 4 4 2 4" xfId="39050" xr:uid="{00000000-0005-0000-0000-00007C1F0000}"/>
    <cellStyle name="Remarque 2 2 3 2 4 4 3" xfId="5263" xr:uid="{00000000-0005-0000-0000-00007D1F0000}"/>
    <cellStyle name="Remarque 2 2 3 2 4 4 3 2" xfId="29277" xr:uid="{00000000-0005-0000-0000-00007E1F0000}"/>
    <cellStyle name="Remarque 2 2 3 2 4 4 3 2 2" xfId="53237" xr:uid="{00000000-0005-0000-0000-00007F1F0000}"/>
    <cellStyle name="Remarque 2 2 3 2 4 4 3 3" xfId="16524" xr:uid="{00000000-0005-0000-0000-0000801F0000}"/>
    <cellStyle name="Remarque 2 2 3 2 4 4 3 4" xfId="40484" xr:uid="{00000000-0005-0000-0000-0000811F0000}"/>
    <cellStyle name="Remarque 2 2 3 2 4 4 4" xfId="6657" xr:uid="{00000000-0005-0000-0000-0000821F0000}"/>
    <cellStyle name="Remarque 2 2 3 2 4 4 4 2" xfId="30671" xr:uid="{00000000-0005-0000-0000-0000831F0000}"/>
    <cellStyle name="Remarque 2 2 3 2 4 4 4 2 2" xfId="54631" xr:uid="{00000000-0005-0000-0000-0000841F0000}"/>
    <cellStyle name="Remarque 2 2 3 2 4 4 4 3" xfId="17918" xr:uid="{00000000-0005-0000-0000-0000851F0000}"/>
    <cellStyle name="Remarque 2 2 3 2 4 4 4 4" xfId="41878" xr:uid="{00000000-0005-0000-0000-0000861F0000}"/>
    <cellStyle name="Remarque 2 2 3 2 4 4 5" xfId="8045" xr:uid="{00000000-0005-0000-0000-0000871F0000}"/>
    <cellStyle name="Remarque 2 2 3 2 4 4 5 2" xfId="32059" xr:uid="{00000000-0005-0000-0000-0000881F0000}"/>
    <cellStyle name="Remarque 2 2 3 2 4 4 5 2 2" xfId="56019" xr:uid="{00000000-0005-0000-0000-0000891F0000}"/>
    <cellStyle name="Remarque 2 2 3 2 4 4 5 3" xfId="19306" xr:uid="{00000000-0005-0000-0000-00008A1F0000}"/>
    <cellStyle name="Remarque 2 2 3 2 4 4 5 4" xfId="43266" xr:uid="{00000000-0005-0000-0000-00008B1F0000}"/>
    <cellStyle name="Remarque 2 2 3 2 4 4 6" xfId="9430" xr:uid="{00000000-0005-0000-0000-00008C1F0000}"/>
    <cellStyle name="Remarque 2 2 3 2 4 4 6 2" xfId="33444" xr:uid="{00000000-0005-0000-0000-00008D1F0000}"/>
    <cellStyle name="Remarque 2 2 3 2 4 4 6 2 2" xfId="57404" xr:uid="{00000000-0005-0000-0000-00008E1F0000}"/>
    <cellStyle name="Remarque 2 2 3 2 4 4 6 3" xfId="20691" xr:uid="{00000000-0005-0000-0000-00008F1F0000}"/>
    <cellStyle name="Remarque 2 2 3 2 4 4 6 4" xfId="44651" xr:uid="{00000000-0005-0000-0000-0000901F0000}"/>
    <cellStyle name="Remarque 2 2 3 2 4 4 7" xfId="10887" xr:uid="{00000000-0005-0000-0000-0000911F0000}"/>
    <cellStyle name="Remarque 2 2 3 2 4 4 7 2" xfId="34897" xr:uid="{00000000-0005-0000-0000-0000921F0000}"/>
    <cellStyle name="Remarque 2 2 3 2 4 4 7 2 2" xfId="58857" xr:uid="{00000000-0005-0000-0000-0000931F0000}"/>
    <cellStyle name="Remarque 2 2 3 2 4 4 7 3" xfId="22154" xr:uid="{00000000-0005-0000-0000-0000941F0000}"/>
    <cellStyle name="Remarque 2 2 3 2 4 4 7 4" xfId="46114" xr:uid="{00000000-0005-0000-0000-0000951F0000}"/>
    <cellStyle name="Remarque 2 2 3 2 4 4 8" xfId="12628" xr:uid="{00000000-0005-0000-0000-0000961F0000}"/>
    <cellStyle name="Remarque 2 2 3 2 4 4 8 2" xfId="23932" xr:uid="{00000000-0005-0000-0000-0000971F0000}"/>
    <cellStyle name="Remarque 2 2 3 2 4 4 8 3" xfId="47892" xr:uid="{00000000-0005-0000-0000-0000981F0000}"/>
    <cellStyle name="Remarque 2 2 3 2 4 4 9" xfId="2359" xr:uid="{00000000-0005-0000-0000-0000991F0000}"/>
    <cellStyle name="Remarque 2 2 3 2 4 4 9 2" xfId="26373" xr:uid="{00000000-0005-0000-0000-00009A1F0000}"/>
    <cellStyle name="Remarque 2 2 3 2 4 4 9 3" xfId="50333" xr:uid="{00000000-0005-0000-0000-00009B1F0000}"/>
    <cellStyle name="Remarque 2 2 3 2 4 5" xfId="1116" xr:uid="{00000000-0005-0000-0000-00009C1F0000}"/>
    <cellStyle name="Remarque 2 2 3 2 4 5 10" xfId="25148" xr:uid="{00000000-0005-0000-0000-00009D1F0000}"/>
    <cellStyle name="Remarque 2 2 3 2 4 5 10 2" xfId="49108" xr:uid="{00000000-0005-0000-0000-00009E1F0000}"/>
    <cellStyle name="Remarque 2 2 3 2 4 5 11" xfId="35905" xr:uid="{00000000-0005-0000-0000-00009F1F0000}"/>
    <cellStyle name="Remarque 2 2 3 2 4 5 11 2" xfId="59865" xr:uid="{00000000-0005-0000-0000-0000A01F0000}"/>
    <cellStyle name="Remarque 2 2 3 2 4 5 12" xfId="13813" xr:uid="{00000000-0005-0000-0000-0000A11F0000}"/>
    <cellStyle name="Remarque 2 2 3 2 4 5 13" xfId="37773" xr:uid="{00000000-0005-0000-0000-0000A21F0000}"/>
    <cellStyle name="Remarque 2 2 3 2 4 5 2" xfId="4022" xr:uid="{00000000-0005-0000-0000-0000A31F0000}"/>
    <cellStyle name="Remarque 2 2 3 2 4 5 2 2" xfId="28036" xr:uid="{00000000-0005-0000-0000-0000A41F0000}"/>
    <cellStyle name="Remarque 2 2 3 2 4 5 2 2 2" xfId="51996" xr:uid="{00000000-0005-0000-0000-0000A51F0000}"/>
    <cellStyle name="Remarque 2 2 3 2 4 5 2 3" xfId="15283" xr:uid="{00000000-0005-0000-0000-0000A61F0000}"/>
    <cellStyle name="Remarque 2 2 3 2 4 5 2 4" xfId="39243" xr:uid="{00000000-0005-0000-0000-0000A71F0000}"/>
    <cellStyle name="Remarque 2 2 3 2 4 5 3" xfId="5456" xr:uid="{00000000-0005-0000-0000-0000A81F0000}"/>
    <cellStyle name="Remarque 2 2 3 2 4 5 3 2" xfId="29470" xr:uid="{00000000-0005-0000-0000-0000A91F0000}"/>
    <cellStyle name="Remarque 2 2 3 2 4 5 3 2 2" xfId="53430" xr:uid="{00000000-0005-0000-0000-0000AA1F0000}"/>
    <cellStyle name="Remarque 2 2 3 2 4 5 3 3" xfId="16717" xr:uid="{00000000-0005-0000-0000-0000AB1F0000}"/>
    <cellStyle name="Remarque 2 2 3 2 4 5 3 4" xfId="40677" xr:uid="{00000000-0005-0000-0000-0000AC1F0000}"/>
    <cellStyle name="Remarque 2 2 3 2 4 5 4" xfId="6850" xr:uid="{00000000-0005-0000-0000-0000AD1F0000}"/>
    <cellStyle name="Remarque 2 2 3 2 4 5 4 2" xfId="30864" xr:uid="{00000000-0005-0000-0000-0000AE1F0000}"/>
    <cellStyle name="Remarque 2 2 3 2 4 5 4 2 2" xfId="54824" xr:uid="{00000000-0005-0000-0000-0000AF1F0000}"/>
    <cellStyle name="Remarque 2 2 3 2 4 5 4 3" xfId="18111" xr:uid="{00000000-0005-0000-0000-0000B01F0000}"/>
    <cellStyle name="Remarque 2 2 3 2 4 5 4 4" xfId="42071" xr:uid="{00000000-0005-0000-0000-0000B11F0000}"/>
    <cellStyle name="Remarque 2 2 3 2 4 5 5" xfId="8238" xr:uid="{00000000-0005-0000-0000-0000B21F0000}"/>
    <cellStyle name="Remarque 2 2 3 2 4 5 5 2" xfId="32252" xr:uid="{00000000-0005-0000-0000-0000B31F0000}"/>
    <cellStyle name="Remarque 2 2 3 2 4 5 5 2 2" xfId="56212" xr:uid="{00000000-0005-0000-0000-0000B41F0000}"/>
    <cellStyle name="Remarque 2 2 3 2 4 5 5 3" xfId="19499" xr:uid="{00000000-0005-0000-0000-0000B51F0000}"/>
    <cellStyle name="Remarque 2 2 3 2 4 5 5 4" xfId="43459" xr:uid="{00000000-0005-0000-0000-0000B61F0000}"/>
    <cellStyle name="Remarque 2 2 3 2 4 5 6" xfId="9623" xr:uid="{00000000-0005-0000-0000-0000B71F0000}"/>
    <cellStyle name="Remarque 2 2 3 2 4 5 6 2" xfId="33637" xr:uid="{00000000-0005-0000-0000-0000B81F0000}"/>
    <cellStyle name="Remarque 2 2 3 2 4 5 6 2 2" xfId="57597" xr:uid="{00000000-0005-0000-0000-0000B91F0000}"/>
    <cellStyle name="Remarque 2 2 3 2 4 5 6 3" xfId="20884" xr:uid="{00000000-0005-0000-0000-0000BA1F0000}"/>
    <cellStyle name="Remarque 2 2 3 2 4 5 6 4" xfId="44844" xr:uid="{00000000-0005-0000-0000-0000BB1F0000}"/>
    <cellStyle name="Remarque 2 2 3 2 4 5 7" xfId="11080" xr:uid="{00000000-0005-0000-0000-0000BC1F0000}"/>
    <cellStyle name="Remarque 2 2 3 2 4 5 7 2" xfId="35090" xr:uid="{00000000-0005-0000-0000-0000BD1F0000}"/>
    <cellStyle name="Remarque 2 2 3 2 4 5 7 2 2" xfId="59050" xr:uid="{00000000-0005-0000-0000-0000BE1F0000}"/>
    <cellStyle name="Remarque 2 2 3 2 4 5 7 3" xfId="22347" xr:uid="{00000000-0005-0000-0000-0000BF1F0000}"/>
    <cellStyle name="Remarque 2 2 3 2 4 5 7 4" xfId="46307" xr:uid="{00000000-0005-0000-0000-0000C01F0000}"/>
    <cellStyle name="Remarque 2 2 3 2 4 5 8" xfId="12869" xr:uid="{00000000-0005-0000-0000-0000C11F0000}"/>
    <cellStyle name="Remarque 2 2 3 2 4 5 8 2" xfId="24181" xr:uid="{00000000-0005-0000-0000-0000C21F0000}"/>
    <cellStyle name="Remarque 2 2 3 2 4 5 8 3" xfId="48141" xr:uid="{00000000-0005-0000-0000-0000C31F0000}"/>
    <cellStyle name="Remarque 2 2 3 2 4 5 9" xfId="2552" xr:uid="{00000000-0005-0000-0000-0000C41F0000}"/>
    <cellStyle name="Remarque 2 2 3 2 4 5 9 2" xfId="26566" xr:uid="{00000000-0005-0000-0000-0000C51F0000}"/>
    <cellStyle name="Remarque 2 2 3 2 4 5 9 3" xfId="50526" xr:uid="{00000000-0005-0000-0000-0000C61F0000}"/>
    <cellStyle name="Remarque 2 2 3 2 4 6" xfId="1283" xr:uid="{00000000-0005-0000-0000-0000C71F0000}"/>
    <cellStyle name="Remarque 2 2 3 2 4 6 10" xfId="25315" xr:uid="{00000000-0005-0000-0000-0000C81F0000}"/>
    <cellStyle name="Remarque 2 2 3 2 4 6 10 2" xfId="49275" xr:uid="{00000000-0005-0000-0000-0000C91F0000}"/>
    <cellStyle name="Remarque 2 2 3 2 4 6 11" xfId="35589" xr:uid="{00000000-0005-0000-0000-0000CA1F0000}"/>
    <cellStyle name="Remarque 2 2 3 2 4 6 11 2" xfId="59549" xr:uid="{00000000-0005-0000-0000-0000CB1F0000}"/>
    <cellStyle name="Remarque 2 2 3 2 4 6 12" xfId="13980" xr:uid="{00000000-0005-0000-0000-0000CC1F0000}"/>
    <cellStyle name="Remarque 2 2 3 2 4 6 13" xfId="37940" xr:uid="{00000000-0005-0000-0000-0000CD1F0000}"/>
    <cellStyle name="Remarque 2 2 3 2 4 6 2" xfId="4189" xr:uid="{00000000-0005-0000-0000-0000CE1F0000}"/>
    <cellStyle name="Remarque 2 2 3 2 4 6 2 2" xfId="28203" xr:uid="{00000000-0005-0000-0000-0000CF1F0000}"/>
    <cellStyle name="Remarque 2 2 3 2 4 6 2 2 2" xfId="52163" xr:uid="{00000000-0005-0000-0000-0000D01F0000}"/>
    <cellStyle name="Remarque 2 2 3 2 4 6 2 3" xfId="15450" xr:uid="{00000000-0005-0000-0000-0000D11F0000}"/>
    <cellStyle name="Remarque 2 2 3 2 4 6 2 4" xfId="39410" xr:uid="{00000000-0005-0000-0000-0000D21F0000}"/>
    <cellStyle name="Remarque 2 2 3 2 4 6 3" xfId="5623" xr:uid="{00000000-0005-0000-0000-0000D31F0000}"/>
    <cellStyle name="Remarque 2 2 3 2 4 6 3 2" xfId="29637" xr:uid="{00000000-0005-0000-0000-0000D41F0000}"/>
    <cellStyle name="Remarque 2 2 3 2 4 6 3 2 2" xfId="53597" xr:uid="{00000000-0005-0000-0000-0000D51F0000}"/>
    <cellStyle name="Remarque 2 2 3 2 4 6 3 3" xfId="16884" xr:uid="{00000000-0005-0000-0000-0000D61F0000}"/>
    <cellStyle name="Remarque 2 2 3 2 4 6 3 4" xfId="40844" xr:uid="{00000000-0005-0000-0000-0000D71F0000}"/>
    <cellStyle name="Remarque 2 2 3 2 4 6 4" xfId="7017" xr:uid="{00000000-0005-0000-0000-0000D81F0000}"/>
    <cellStyle name="Remarque 2 2 3 2 4 6 4 2" xfId="31031" xr:uid="{00000000-0005-0000-0000-0000D91F0000}"/>
    <cellStyle name="Remarque 2 2 3 2 4 6 4 2 2" xfId="54991" xr:uid="{00000000-0005-0000-0000-0000DA1F0000}"/>
    <cellStyle name="Remarque 2 2 3 2 4 6 4 3" xfId="18278" xr:uid="{00000000-0005-0000-0000-0000DB1F0000}"/>
    <cellStyle name="Remarque 2 2 3 2 4 6 4 4" xfId="42238" xr:uid="{00000000-0005-0000-0000-0000DC1F0000}"/>
    <cellStyle name="Remarque 2 2 3 2 4 6 5" xfId="8405" xr:uid="{00000000-0005-0000-0000-0000DD1F0000}"/>
    <cellStyle name="Remarque 2 2 3 2 4 6 5 2" xfId="32419" xr:uid="{00000000-0005-0000-0000-0000DE1F0000}"/>
    <cellStyle name="Remarque 2 2 3 2 4 6 5 2 2" xfId="56379" xr:uid="{00000000-0005-0000-0000-0000DF1F0000}"/>
    <cellStyle name="Remarque 2 2 3 2 4 6 5 3" xfId="19666" xr:uid="{00000000-0005-0000-0000-0000E01F0000}"/>
    <cellStyle name="Remarque 2 2 3 2 4 6 5 4" xfId="43626" xr:uid="{00000000-0005-0000-0000-0000E11F0000}"/>
    <cellStyle name="Remarque 2 2 3 2 4 6 6" xfId="9790" xr:uid="{00000000-0005-0000-0000-0000E21F0000}"/>
    <cellStyle name="Remarque 2 2 3 2 4 6 6 2" xfId="33804" xr:uid="{00000000-0005-0000-0000-0000E31F0000}"/>
    <cellStyle name="Remarque 2 2 3 2 4 6 6 2 2" xfId="57764" xr:uid="{00000000-0005-0000-0000-0000E41F0000}"/>
    <cellStyle name="Remarque 2 2 3 2 4 6 6 3" xfId="21051" xr:uid="{00000000-0005-0000-0000-0000E51F0000}"/>
    <cellStyle name="Remarque 2 2 3 2 4 6 6 4" xfId="45011" xr:uid="{00000000-0005-0000-0000-0000E61F0000}"/>
    <cellStyle name="Remarque 2 2 3 2 4 6 7" xfId="11247" xr:uid="{00000000-0005-0000-0000-0000E71F0000}"/>
    <cellStyle name="Remarque 2 2 3 2 4 6 7 2" xfId="35257" xr:uid="{00000000-0005-0000-0000-0000E81F0000}"/>
    <cellStyle name="Remarque 2 2 3 2 4 6 7 2 2" xfId="59217" xr:uid="{00000000-0005-0000-0000-0000E91F0000}"/>
    <cellStyle name="Remarque 2 2 3 2 4 6 7 3" xfId="22514" xr:uid="{00000000-0005-0000-0000-0000EA1F0000}"/>
    <cellStyle name="Remarque 2 2 3 2 4 6 7 4" xfId="46474" xr:uid="{00000000-0005-0000-0000-0000EB1F0000}"/>
    <cellStyle name="Remarque 2 2 3 2 4 6 8" xfId="12509" xr:uid="{00000000-0005-0000-0000-0000EC1F0000}"/>
    <cellStyle name="Remarque 2 2 3 2 4 6 8 2" xfId="23806" xr:uid="{00000000-0005-0000-0000-0000ED1F0000}"/>
    <cellStyle name="Remarque 2 2 3 2 4 6 8 3" xfId="47766" xr:uid="{00000000-0005-0000-0000-0000EE1F0000}"/>
    <cellStyle name="Remarque 2 2 3 2 4 6 9" xfId="2719" xr:uid="{00000000-0005-0000-0000-0000EF1F0000}"/>
    <cellStyle name="Remarque 2 2 3 2 4 6 9 2" xfId="26733" xr:uid="{00000000-0005-0000-0000-0000F01F0000}"/>
    <cellStyle name="Remarque 2 2 3 2 4 6 9 3" xfId="50693" xr:uid="{00000000-0005-0000-0000-0000F11F0000}"/>
    <cellStyle name="Remarque 2 2 3 2 4 7" xfId="1452" xr:uid="{00000000-0005-0000-0000-0000F21F0000}"/>
    <cellStyle name="Remarque 2 2 3 2 4 7 10" xfId="25484" xr:uid="{00000000-0005-0000-0000-0000F31F0000}"/>
    <cellStyle name="Remarque 2 2 3 2 4 7 10 2" xfId="49444" xr:uid="{00000000-0005-0000-0000-0000F41F0000}"/>
    <cellStyle name="Remarque 2 2 3 2 4 7 11" xfId="36201" xr:uid="{00000000-0005-0000-0000-0000F51F0000}"/>
    <cellStyle name="Remarque 2 2 3 2 4 7 11 2" xfId="60161" xr:uid="{00000000-0005-0000-0000-0000F61F0000}"/>
    <cellStyle name="Remarque 2 2 3 2 4 7 12" xfId="14149" xr:uid="{00000000-0005-0000-0000-0000F71F0000}"/>
    <cellStyle name="Remarque 2 2 3 2 4 7 13" xfId="38109" xr:uid="{00000000-0005-0000-0000-0000F81F0000}"/>
    <cellStyle name="Remarque 2 2 3 2 4 7 2" xfId="4358" xr:uid="{00000000-0005-0000-0000-0000F91F0000}"/>
    <cellStyle name="Remarque 2 2 3 2 4 7 2 2" xfId="28372" xr:uid="{00000000-0005-0000-0000-0000FA1F0000}"/>
    <cellStyle name="Remarque 2 2 3 2 4 7 2 2 2" xfId="52332" xr:uid="{00000000-0005-0000-0000-0000FB1F0000}"/>
    <cellStyle name="Remarque 2 2 3 2 4 7 2 3" xfId="15619" xr:uid="{00000000-0005-0000-0000-0000FC1F0000}"/>
    <cellStyle name="Remarque 2 2 3 2 4 7 2 4" xfId="39579" xr:uid="{00000000-0005-0000-0000-0000FD1F0000}"/>
    <cellStyle name="Remarque 2 2 3 2 4 7 3" xfId="5792" xr:uid="{00000000-0005-0000-0000-0000FE1F0000}"/>
    <cellStyle name="Remarque 2 2 3 2 4 7 3 2" xfId="29806" xr:uid="{00000000-0005-0000-0000-0000FF1F0000}"/>
    <cellStyle name="Remarque 2 2 3 2 4 7 3 2 2" xfId="53766" xr:uid="{00000000-0005-0000-0000-000000200000}"/>
    <cellStyle name="Remarque 2 2 3 2 4 7 3 3" xfId="17053" xr:uid="{00000000-0005-0000-0000-000001200000}"/>
    <cellStyle name="Remarque 2 2 3 2 4 7 3 4" xfId="41013" xr:uid="{00000000-0005-0000-0000-000002200000}"/>
    <cellStyle name="Remarque 2 2 3 2 4 7 4" xfId="7186" xr:uid="{00000000-0005-0000-0000-000003200000}"/>
    <cellStyle name="Remarque 2 2 3 2 4 7 4 2" xfId="31200" xr:uid="{00000000-0005-0000-0000-000004200000}"/>
    <cellStyle name="Remarque 2 2 3 2 4 7 4 2 2" xfId="55160" xr:uid="{00000000-0005-0000-0000-000005200000}"/>
    <cellStyle name="Remarque 2 2 3 2 4 7 4 3" xfId="18447" xr:uid="{00000000-0005-0000-0000-000006200000}"/>
    <cellStyle name="Remarque 2 2 3 2 4 7 4 4" xfId="42407" xr:uid="{00000000-0005-0000-0000-000007200000}"/>
    <cellStyle name="Remarque 2 2 3 2 4 7 5" xfId="8574" xr:uid="{00000000-0005-0000-0000-000008200000}"/>
    <cellStyle name="Remarque 2 2 3 2 4 7 5 2" xfId="32588" xr:uid="{00000000-0005-0000-0000-000009200000}"/>
    <cellStyle name="Remarque 2 2 3 2 4 7 5 2 2" xfId="56548" xr:uid="{00000000-0005-0000-0000-00000A200000}"/>
    <cellStyle name="Remarque 2 2 3 2 4 7 5 3" xfId="19835" xr:uid="{00000000-0005-0000-0000-00000B200000}"/>
    <cellStyle name="Remarque 2 2 3 2 4 7 5 4" xfId="43795" xr:uid="{00000000-0005-0000-0000-00000C200000}"/>
    <cellStyle name="Remarque 2 2 3 2 4 7 6" xfId="9959" xr:uid="{00000000-0005-0000-0000-00000D200000}"/>
    <cellStyle name="Remarque 2 2 3 2 4 7 6 2" xfId="33973" xr:uid="{00000000-0005-0000-0000-00000E200000}"/>
    <cellStyle name="Remarque 2 2 3 2 4 7 6 2 2" xfId="57933" xr:uid="{00000000-0005-0000-0000-00000F200000}"/>
    <cellStyle name="Remarque 2 2 3 2 4 7 6 3" xfId="21220" xr:uid="{00000000-0005-0000-0000-000010200000}"/>
    <cellStyle name="Remarque 2 2 3 2 4 7 6 4" xfId="45180" xr:uid="{00000000-0005-0000-0000-000011200000}"/>
    <cellStyle name="Remarque 2 2 3 2 4 7 7" xfId="11416" xr:uid="{00000000-0005-0000-0000-000012200000}"/>
    <cellStyle name="Remarque 2 2 3 2 4 7 7 2" xfId="35426" xr:uid="{00000000-0005-0000-0000-000013200000}"/>
    <cellStyle name="Remarque 2 2 3 2 4 7 7 2 2" xfId="59386" xr:uid="{00000000-0005-0000-0000-000014200000}"/>
    <cellStyle name="Remarque 2 2 3 2 4 7 7 3" xfId="22683" xr:uid="{00000000-0005-0000-0000-000015200000}"/>
    <cellStyle name="Remarque 2 2 3 2 4 7 7 4" xfId="46643" xr:uid="{00000000-0005-0000-0000-000016200000}"/>
    <cellStyle name="Remarque 2 2 3 2 4 7 8" xfId="10201" xr:uid="{00000000-0005-0000-0000-000017200000}"/>
    <cellStyle name="Remarque 2 2 3 2 4 7 8 2" xfId="21467" xr:uid="{00000000-0005-0000-0000-000018200000}"/>
    <cellStyle name="Remarque 2 2 3 2 4 7 8 3" xfId="45427" xr:uid="{00000000-0005-0000-0000-000019200000}"/>
    <cellStyle name="Remarque 2 2 3 2 4 7 9" xfId="2888" xr:uid="{00000000-0005-0000-0000-00001A200000}"/>
    <cellStyle name="Remarque 2 2 3 2 4 7 9 2" xfId="26902" xr:uid="{00000000-0005-0000-0000-00001B200000}"/>
    <cellStyle name="Remarque 2 2 3 2 4 7 9 3" xfId="50862" xr:uid="{00000000-0005-0000-0000-00001C200000}"/>
    <cellStyle name="Remarque 2 2 3 2 4 8" xfId="3307" xr:uid="{00000000-0005-0000-0000-00001D200000}"/>
    <cellStyle name="Remarque 2 2 3 2 4 8 2" xfId="27321" xr:uid="{00000000-0005-0000-0000-00001E200000}"/>
    <cellStyle name="Remarque 2 2 3 2 4 8 2 2" xfId="51281" xr:uid="{00000000-0005-0000-0000-00001F200000}"/>
    <cellStyle name="Remarque 2 2 3 2 4 8 3" xfId="14568" xr:uid="{00000000-0005-0000-0000-000020200000}"/>
    <cellStyle name="Remarque 2 2 3 2 4 8 4" xfId="38528" xr:uid="{00000000-0005-0000-0000-000021200000}"/>
    <cellStyle name="Remarque 2 2 3 2 4 9" xfId="4741" xr:uid="{00000000-0005-0000-0000-000022200000}"/>
    <cellStyle name="Remarque 2 2 3 2 4 9 2" xfId="28755" xr:uid="{00000000-0005-0000-0000-000023200000}"/>
    <cellStyle name="Remarque 2 2 3 2 4 9 2 2" xfId="52715" xr:uid="{00000000-0005-0000-0000-000024200000}"/>
    <cellStyle name="Remarque 2 2 3 2 4 9 3" xfId="16002" xr:uid="{00000000-0005-0000-0000-000025200000}"/>
    <cellStyle name="Remarque 2 2 3 2 4 9 4" xfId="39962" xr:uid="{00000000-0005-0000-0000-000026200000}"/>
    <cellStyle name="Remarque 2 2 3 2 5" xfId="377" xr:uid="{00000000-0005-0000-0000-000027200000}"/>
    <cellStyle name="Remarque 2 2 3 2 5 10" xfId="6111" xr:uid="{00000000-0005-0000-0000-000028200000}"/>
    <cellStyle name="Remarque 2 2 3 2 5 10 2" xfId="30125" xr:uid="{00000000-0005-0000-0000-000029200000}"/>
    <cellStyle name="Remarque 2 2 3 2 5 10 2 2" xfId="54085" xr:uid="{00000000-0005-0000-0000-00002A200000}"/>
    <cellStyle name="Remarque 2 2 3 2 5 10 3" xfId="17372" xr:uid="{00000000-0005-0000-0000-00002B200000}"/>
    <cellStyle name="Remarque 2 2 3 2 5 10 4" xfId="41332" xr:uid="{00000000-0005-0000-0000-00002C200000}"/>
    <cellStyle name="Remarque 2 2 3 2 5 11" xfId="7499" xr:uid="{00000000-0005-0000-0000-00002D200000}"/>
    <cellStyle name="Remarque 2 2 3 2 5 11 2" xfId="31513" xr:uid="{00000000-0005-0000-0000-00002E200000}"/>
    <cellStyle name="Remarque 2 2 3 2 5 11 2 2" xfId="55473" xr:uid="{00000000-0005-0000-0000-00002F200000}"/>
    <cellStyle name="Remarque 2 2 3 2 5 11 3" xfId="18760" xr:uid="{00000000-0005-0000-0000-000030200000}"/>
    <cellStyle name="Remarque 2 2 3 2 5 11 4" xfId="42720" xr:uid="{00000000-0005-0000-0000-000031200000}"/>
    <cellStyle name="Remarque 2 2 3 2 5 12" xfId="8884" xr:uid="{00000000-0005-0000-0000-000032200000}"/>
    <cellStyle name="Remarque 2 2 3 2 5 12 2" xfId="32898" xr:uid="{00000000-0005-0000-0000-000033200000}"/>
    <cellStyle name="Remarque 2 2 3 2 5 12 2 2" xfId="56858" xr:uid="{00000000-0005-0000-0000-000034200000}"/>
    <cellStyle name="Remarque 2 2 3 2 5 12 3" xfId="20145" xr:uid="{00000000-0005-0000-0000-000035200000}"/>
    <cellStyle name="Remarque 2 2 3 2 5 12 4" xfId="44105" xr:uid="{00000000-0005-0000-0000-000036200000}"/>
    <cellStyle name="Remarque 2 2 3 2 5 13" xfId="10341" xr:uid="{00000000-0005-0000-0000-000037200000}"/>
    <cellStyle name="Remarque 2 2 3 2 5 13 2" xfId="34351" xr:uid="{00000000-0005-0000-0000-000038200000}"/>
    <cellStyle name="Remarque 2 2 3 2 5 13 2 2" xfId="58311" xr:uid="{00000000-0005-0000-0000-000039200000}"/>
    <cellStyle name="Remarque 2 2 3 2 5 13 3" xfId="21608" xr:uid="{00000000-0005-0000-0000-00003A200000}"/>
    <cellStyle name="Remarque 2 2 3 2 5 13 4" xfId="45568" xr:uid="{00000000-0005-0000-0000-00003B200000}"/>
    <cellStyle name="Remarque 2 2 3 2 5 14" xfId="12069" xr:uid="{00000000-0005-0000-0000-00003C200000}"/>
    <cellStyle name="Remarque 2 2 3 2 5 14 2" xfId="23350" xr:uid="{00000000-0005-0000-0000-00003D200000}"/>
    <cellStyle name="Remarque 2 2 3 2 5 14 3" xfId="47310" xr:uid="{00000000-0005-0000-0000-00003E200000}"/>
    <cellStyle name="Remarque 2 2 3 2 5 15" xfId="1813" xr:uid="{00000000-0005-0000-0000-00003F200000}"/>
    <cellStyle name="Remarque 2 2 3 2 5 15 2" xfId="25827" xr:uid="{00000000-0005-0000-0000-000040200000}"/>
    <cellStyle name="Remarque 2 2 3 2 5 15 3" xfId="49787" xr:uid="{00000000-0005-0000-0000-000041200000}"/>
    <cellStyle name="Remarque 2 2 3 2 5 16" xfId="24409" xr:uid="{00000000-0005-0000-0000-000042200000}"/>
    <cellStyle name="Remarque 2 2 3 2 5 16 2" xfId="48369" xr:uid="{00000000-0005-0000-0000-000043200000}"/>
    <cellStyle name="Remarque 2 2 3 2 5 17" xfId="36039" xr:uid="{00000000-0005-0000-0000-000044200000}"/>
    <cellStyle name="Remarque 2 2 3 2 5 17 2" xfId="59999" xr:uid="{00000000-0005-0000-0000-000045200000}"/>
    <cellStyle name="Remarque 2 2 3 2 5 18" xfId="13074" xr:uid="{00000000-0005-0000-0000-000046200000}"/>
    <cellStyle name="Remarque 2 2 3 2 5 19" xfId="37034" xr:uid="{00000000-0005-0000-0000-000047200000}"/>
    <cellStyle name="Remarque 2 2 3 2 5 2" xfId="513" xr:uid="{00000000-0005-0000-0000-000048200000}"/>
    <cellStyle name="Remarque 2 2 3 2 5 2 10" xfId="24545" xr:uid="{00000000-0005-0000-0000-000049200000}"/>
    <cellStyle name="Remarque 2 2 3 2 5 2 10 2" xfId="48505" xr:uid="{00000000-0005-0000-0000-00004A200000}"/>
    <cellStyle name="Remarque 2 2 3 2 5 2 11" xfId="36715" xr:uid="{00000000-0005-0000-0000-00004B200000}"/>
    <cellStyle name="Remarque 2 2 3 2 5 2 11 2" xfId="60675" xr:uid="{00000000-0005-0000-0000-00004C200000}"/>
    <cellStyle name="Remarque 2 2 3 2 5 2 12" xfId="13210" xr:uid="{00000000-0005-0000-0000-00004D200000}"/>
    <cellStyle name="Remarque 2 2 3 2 5 2 13" xfId="37170" xr:uid="{00000000-0005-0000-0000-00004E200000}"/>
    <cellStyle name="Remarque 2 2 3 2 5 2 2" xfId="3419" xr:uid="{00000000-0005-0000-0000-00004F200000}"/>
    <cellStyle name="Remarque 2 2 3 2 5 2 2 2" xfId="27433" xr:uid="{00000000-0005-0000-0000-000050200000}"/>
    <cellStyle name="Remarque 2 2 3 2 5 2 2 2 2" xfId="51393" xr:uid="{00000000-0005-0000-0000-000051200000}"/>
    <cellStyle name="Remarque 2 2 3 2 5 2 2 3" xfId="14680" xr:uid="{00000000-0005-0000-0000-000052200000}"/>
    <cellStyle name="Remarque 2 2 3 2 5 2 2 4" xfId="38640" xr:uid="{00000000-0005-0000-0000-000053200000}"/>
    <cellStyle name="Remarque 2 2 3 2 5 2 3" xfId="4853" xr:uid="{00000000-0005-0000-0000-000054200000}"/>
    <cellStyle name="Remarque 2 2 3 2 5 2 3 2" xfId="28867" xr:uid="{00000000-0005-0000-0000-000055200000}"/>
    <cellStyle name="Remarque 2 2 3 2 5 2 3 2 2" xfId="52827" xr:uid="{00000000-0005-0000-0000-000056200000}"/>
    <cellStyle name="Remarque 2 2 3 2 5 2 3 3" xfId="16114" xr:uid="{00000000-0005-0000-0000-000057200000}"/>
    <cellStyle name="Remarque 2 2 3 2 5 2 3 4" xfId="40074" xr:uid="{00000000-0005-0000-0000-000058200000}"/>
    <cellStyle name="Remarque 2 2 3 2 5 2 4" xfId="6247" xr:uid="{00000000-0005-0000-0000-000059200000}"/>
    <cellStyle name="Remarque 2 2 3 2 5 2 4 2" xfId="30261" xr:uid="{00000000-0005-0000-0000-00005A200000}"/>
    <cellStyle name="Remarque 2 2 3 2 5 2 4 2 2" xfId="54221" xr:uid="{00000000-0005-0000-0000-00005B200000}"/>
    <cellStyle name="Remarque 2 2 3 2 5 2 4 3" xfId="17508" xr:uid="{00000000-0005-0000-0000-00005C200000}"/>
    <cellStyle name="Remarque 2 2 3 2 5 2 4 4" xfId="41468" xr:uid="{00000000-0005-0000-0000-00005D200000}"/>
    <cellStyle name="Remarque 2 2 3 2 5 2 5" xfId="7635" xr:uid="{00000000-0005-0000-0000-00005E200000}"/>
    <cellStyle name="Remarque 2 2 3 2 5 2 5 2" xfId="31649" xr:uid="{00000000-0005-0000-0000-00005F200000}"/>
    <cellStyle name="Remarque 2 2 3 2 5 2 5 2 2" xfId="55609" xr:uid="{00000000-0005-0000-0000-000060200000}"/>
    <cellStyle name="Remarque 2 2 3 2 5 2 5 3" xfId="18896" xr:uid="{00000000-0005-0000-0000-000061200000}"/>
    <cellStyle name="Remarque 2 2 3 2 5 2 5 4" xfId="42856" xr:uid="{00000000-0005-0000-0000-000062200000}"/>
    <cellStyle name="Remarque 2 2 3 2 5 2 6" xfId="9020" xr:uid="{00000000-0005-0000-0000-000063200000}"/>
    <cellStyle name="Remarque 2 2 3 2 5 2 6 2" xfId="33034" xr:uid="{00000000-0005-0000-0000-000064200000}"/>
    <cellStyle name="Remarque 2 2 3 2 5 2 6 2 2" xfId="56994" xr:uid="{00000000-0005-0000-0000-000065200000}"/>
    <cellStyle name="Remarque 2 2 3 2 5 2 6 3" xfId="20281" xr:uid="{00000000-0005-0000-0000-000066200000}"/>
    <cellStyle name="Remarque 2 2 3 2 5 2 6 4" xfId="44241" xr:uid="{00000000-0005-0000-0000-000067200000}"/>
    <cellStyle name="Remarque 2 2 3 2 5 2 7" xfId="10477" xr:uid="{00000000-0005-0000-0000-000068200000}"/>
    <cellStyle name="Remarque 2 2 3 2 5 2 7 2" xfId="34487" xr:uid="{00000000-0005-0000-0000-000069200000}"/>
    <cellStyle name="Remarque 2 2 3 2 5 2 7 2 2" xfId="58447" xr:uid="{00000000-0005-0000-0000-00006A200000}"/>
    <cellStyle name="Remarque 2 2 3 2 5 2 7 3" xfId="21744" xr:uid="{00000000-0005-0000-0000-00006B200000}"/>
    <cellStyle name="Remarque 2 2 3 2 5 2 7 4" xfId="45704" xr:uid="{00000000-0005-0000-0000-00006C200000}"/>
    <cellStyle name="Remarque 2 2 3 2 5 2 8" xfId="12599" xr:uid="{00000000-0005-0000-0000-00006D200000}"/>
    <cellStyle name="Remarque 2 2 3 2 5 2 8 2" xfId="23900" xr:uid="{00000000-0005-0000-0000-00006E200000}"/>
    <cellStyle name="Remarque 2 2 3 2 5 2 8 3" xfId="47860" xr:uid="{00000000-0005-0000-0000-00006F200000}"/>
    <cellStyle name="Remarque 2 2 3 2 5 2 9" xfId="1949" xr:uid="{00000000-0005-0000-0000-000070200000}"/>
    <cellStyle name="Remarque 2 2 3 2 5 2 9 2" xfId="25963" xr:uid="{00000000-0005-0000-0000-000071200000}"/>
    <cellStyle name="Remarque 2 2 3 2 5 2 9 3" xfId="49923" xr:uid="{00000000-0005-0000-0000-000072200000}"/>
    <cellStyle name="Remarque 2 2 3 2 5 3" xfId="705" xr:uid="{00000000-0005-0000-0000-000073200000}"/>
    <cellStyle name="Remarque 2 2 3 2 5 3 10" xfId="24737" xr:uid="{00000000-0005-0000-0000-000074200000}"/>
    <cellStyle name="Remarque 2 2 3 2 5 3 10 2" xfId="48697" xr:uid="{00000000-0005-0000-0000-000075200000}"/>
    <cellStyle name="Remarque 2 2 3 2 5 3 11" xfId="36352" xr:uid="{00000000-0005-0000-0000-000076200000}"/>
    <cellStyle name="Remarque 2 2 3 2 5 3 11 2" xfId="60312" xr:uid="{00000000-0005-0000-0000-000077200000}"/>
    <cellStyle name="Remarque 2 2 3 2 5 3 12" xfId="13402" xr:uid="{00000000-0005-0000-0000-000078200000}"/>
    <cellStyle name="Remarque 2 2 3 2 5 3 13" xfId="37362" xr:uid="{00000000-0005-0000-0000-000079200000}"/>
    <cellStyle name="Remarque 2 2 3 2 5 3 2" xfId="3611" xr:uid="{00000000-0005-0000-0000-00007A200000}"/>
    <cellStyle name="Remarque 2 2 3 2 5 3 2 2" xfId="27625" xr:uid="{00000000-0005-0000-0000-00007B200000}"/>
    <cellStyle name="Remarque 2 2 3 2 5 3 2 2 2" xfId="51585" xr:uid="{00000000-0005-0000-0000-00007C200000}"/>
    <cellStyle name="Remarque 2 2 3 2 5 3 2 3" xfId="14872" xr:uid="{00000000-0005-0000-0000-00007D200000}"/>
    <cellStyle name="Remarque 2 2 3 2 5 3 2 4" xfId="38832" xr:uid="{00000000-0005-0000-0000-00007E200000}"/>
    <cellStyle name="Remarque 2 2 3 2 5 3 3" xfId="5045" xr:uid="{00000000-0005-0000-0000-00007F200000}"/>
    <cellStyle name="Remarque 2 2 3 2 5 3 3 2" xfId="29059" xr:uid="{00000000-0005-0000-0000-000080200000}"/>
    <cellStyle name="Remarque 2 2 3 2 5 3 3 2 2" xfId="53019" xr:uid="{00000000-0005-0000-0000-000081200000}"/>
    <cellStyle name="Remarque 2 2 3 2 5 3 3 3" xfId="16306" xr:uid="{00000000-0005-0000-0000-000082200000}"/>
    <cellStyle name="Remarque 2 2 3 2 5 3 3 4" xfId="40266" xr:uid="{00000000-0005-0000-0000-000083200000}"/>
    <cellStyle name="Remarque 2 2 3 2 5 3 4" xfId="6439" xr:uid="{00000000-0005-0000-0000-000084200000}"/>
    <cellStyle name="Remarque 2 2 3 2 5 3 4 2" xfId="30453" xr:uid="{00000000-0005-0000-0000-000085200000}"/>
    <cellStyle name="Remarque 2 2 3 2 5 3 4 2 2" xfId="54413" xr:uid="{00000000-0005-0000-0000-000086200000}"/>
    <cellStyle name="Remarque 2 2 3 2 5 3 4 3" xfId="17700" xr:uid="{00000000-0005-0000-0000-000087200000}"/>
    <cellStyle name="Remarque 2 2 3 2 5 3 4 4" xfId="41660" xr:uid="{00000000-0005-0000-0000-000088200000}"/>
    <cellStyle name="Remarque 2 2 3 2 5 3 5" xfId="7827" xr:uid="{00000000-0005-0000-0000-000089200000}"/>
    <cellStyle name="Remarque 2 2 3 2 5 3 5 2" xfId="31841" xr:uid="{00000000-0005-0000-0000-00008A200000}"/>
    <cellStyle name="Remarque 2 2 3 2 5 3 5 2 2" xfId="55801" xr:uid="{00000000-0005-0000-0000-00008B200000}"/>
    <cellStyle name="Remarque 2 2 3 2 5 3 5 3" xfId="19088" xr:uid="{00000000-0005-0000-0000-00008C200000}"/>
    <cellStyle name="Remarque 2 2 3 2 5 3 5 4" xfId="43048" xr:uid="{00000000-0005-0000-0000-00008D200000}"/>
    <cellStyle name="Remarque 2 2 3 2 5 3 6" xfId="9212" xr:uid="{00000000-0005-0000-0000-00008E200000}"/>
    <cellStyle name="Remarque 2 2 3 2 5 3 6 2" xfId="33226" xr:uid="{00000000-0005-0000-0000-00008F200000}"/>
    <cellStyle name="Remarque 2 2 3 2 5 3 6 2 2" xfId="57186" xr:uid="{00000000-0005-0000-0000-000090200000}"/>
    <cellStyle name="Remarque 2 2 3 2 5 3 6 3" xfId="20473" xr:uid="{00000000-0005-0000-0000-000091200000}"/>
    <cellStyle name="Remarque 2 2 3 2 5 3 6 4" xfId="44433" xr:uid="{00000000-0005-0000-0000-000092200000}"/>
    <cellStyle name="Remarque 2 2 3 2 5 3 7" xfId="10669" xr:uid="{00000000-0005-0000-0000-000093200000}"/>
    <cellStyle name="Remarque 2 2 3 2 5 3 7 2" xfId="34679" xr:uid="{00000000-0005-0000-0000-000094200000}"/>
    <cellStyle name="Remarque 2 2 3 2 5 3 7 2 2" xfId="58639" xr:uid="{00000000-0005-0000-0000-000095200000}"/>
    <cellStyle name="Remarque 2 2 3 2 5 3 7 3" xfId="21936" xr:uid="{00000000-0005-0000-0000-000096200000}"/>
    <cellStyle name="Remarque 2 2 3 2 5 3 7 4" xfId="45896" xr:uid="{00000000-0005-0000-0000-000097200000}"/>
    <cellStyle name="Remarque 2 2 3 2 5 3 8" xfId="11862" xr:uid="{00000000-0005-0000-0000-000098200000}"/>
    <cellStyle name="Remarque 2 2 3 2 5 3 8 2" xfId="23138" xr:uid="{00000000-0005-0000-0000-000099200000}"/>
    <cellStyle name="Remarque 2 2 3 2 5 3 8 3" xfId="47098" xr:uid="{00000000-0005-0000-0000-00009A200000}"/>
    <cellStyle name="Remarque 2 2 3 2 5 3 9" xfId="2141" xr:uid="{00000000-0005-0000-0000-00009B200000}"/>
    <cellStyle name="Remarque 2 2 3 2 5 3 9 2" xfId="26155" xr:uid="{00000000-0005-0000-0000-00009C200000}"/>
    <cellStyle name="Remarque 2 2 3 2 5 3 9 3" xfId="50115" xr:uid="{00000000-0005-0000-0000-00009D200000}"/>
    <cellStyle name="Remarque 2 2 3 2 5 4" xfId="899" xr:uid="{00000000-0005-0000-0000-00009E200000}"/>
    <cellStyle name="Remarque 2 2 3 2 5 4 10" xfId="24931" xr:uid="{00000000-0005-0000-0000-00009F200000}"/>
    <cellStyle name="Remarque 2 2 3 2 5 4 10 2" xfId="48891" xr:uid="{00000000-0005-0000-0000-0000A0200000}"/>
    <cellStyle name="Remarque 2 2 3 2 5 4 11" xfId="36834" xr:uid="{00000000-0005-0000-0000-0000A1200000}"/>
    <cellStyle name="Remarque 2 2 3 2 5 4 11 2" xfId="60794" xr:uid="{00000000-0005-0000-0000-0000A2200000}"/>
    <cellStyle name="Remarque 2 2 3 2 5 4 12" xfId="13596" xr:uid="{00000000-0005-0000-0000-0000A3200000}"/>
    <cellStyle name="Remarque 2 2 3 2 5 4 13" xfId="37556" xr:uid="{00000000-0005-0000-0000-0000A4200000}"/>
    <cellStyle name="Remarque 2 2 3 2 5 4 2" xfId="3805" xr:uid="{00000000-0005-0000-0000-0000A5200000}"/>
    <cellStyle name="Remarque 2 2 3 2 5 4 2 2" xfId="27819" xr:uid="{00000000-0005-0000-0000-0000A6200000}"/>
    <cellStyle name="Remarque 2 2 3 2 5 4 2 2 2" xfId="51779" xr:uid="{00000000-0005-0000-0000-0000A7200000}"/>
    <cellStyle name="Remarque 2 2 3 2 5 4 2 3" xfId="15066" xr:uid="{00000000-0005-0000-0000-0000A8200000}"/>
    <cellStyle name="Remarque 2 2 3 2 5 4 2 4" xfId="39026" xr:uid="{00000000-0005-0000-0000-0000A9200000}"/>
    <cellStyle name="Remarque 2 2 3 2 5 4 3" xfId="5239" xr:uid="{00000000-0005-0000-0000-0000AA200000}"/>
    <cellStyle name="Remarque 2 2 3 2 5 4 3 2" xfId="29253" xr:uid="{00000000-0005-0000-0000-0000AB200000}"/>
    <cellStyle name="Remarque 2 2 3 2 5 4 3 2 2" xfId="53213" xr:uid="{00000000-0005-0000-0000-0000AC200000}"/>
    <cellStyle name="Remarque 2 2 3 2 5 4 3 3" xfId="16500" xr:uid="{00000000-0005-0000-0000-0000AD200000}"/>
    <cellStyle name="Remarque 2 2 3 2 5 4 3 4" xfId="40460" xr:uid="{00000000-0005-0000-0000-0000AE200000}"/>
    <cellStyle name="Remarque 2 2 3 2 5 4 4" xfId="6633" xr:uid="{00000000-0005-0000-0000-0000AF200000}"/>
    <cellStyle name="Remarque 2 2 3 2 5 4 4 2" xfId="30647" xr:uid="{00000000-0005-0000-0000-0000B0200000}"/>
    <cellStyle name="Remarque 2 2 3 2 5 4 4 2 2" xfId="54607" xr:uid="{00000000-0005-0000-0000-0000B1200000}"/>
    <cellStyle name="Remarque 2 2 3 2 5 4 4 3" xfId="17894" xr:uid="{00000000-0005-0000-0000-0000B2200000}"/>
    <cellStyle name="Remarque 2 2 3 2 5 4 4 4" xfId="41854" xr:uid="{00000000-0005-0000-0000-0000B3200000}"/>
    <cellStyle name="Remarque 2 2 3 2 5 4 5" xfId="8021" xr:uid="{00000000-0005-0000-0000-0000B4200000}"/>
    <cellStyle name="Remarque 2 2 3 2 5 4 5 2" xfId="32035" xr:uid="{00000000-0005-0000-0000-0000B5200000}"/>
    <cellStyle name="Remarque 2 2 3 2 5 4 5 2 2" xfId="55995" xr:uid="{00000000-0005-0000-0000-0000B6200000}"/>
    <cellStyle name="Remarque 2 2 3 2 5 4 5 3" xfId="19282" xr:uid="{00000000-0005-0000-0000-0000B7200000}"/>
    <cellStyle name="Remarque 2 2 3 2 5 4 5 4" xfId="43242" xr:uid="{00000000-0005-0000-0000-0000B8200000}"/>
    <cellStyle name="Remarque 2 2 3 2 5 4 6" xfId="9406" xr:uid="{00000000-0005-0000-0000-0000B9200000}"/>
    <cellStyle name="Remarque 2 2 3 2 5 4 6 2" xfId="33420" xr:uid="{00000000-0005-0000-0000-0000BA200000}"/>
    <cellStyle name="Remarque 2 2 3 2 5 4 6 2 2" xfId="57380" xr:uid="{00000000-0005-0000-0000-0000BB200000}"/>
    <cellStyle name="Remarque 2 2 3 2 5 4 6 3" xfId="20667" xr:uid="{00000000-0005-0000-0000-0000BC200000}"/>
    <cellStyle name="Remarque 2 2 3 2 5 4 6 4" xfId="44627" xr:uid="{00000000-0005-0000-0000-0000BD200000}"/>
    <cellStyle name="Remarque 2 2 3 2 5 4 7" xfId="10863" xr:uid="{00000000-0005-0000-0000-0000BE200000}"/>
    <cellStyle name="Remarque 2 2 3 2 5 4 7 2" xfId="34873" xr:uid="{00000000-0005-0000-0000-0000BF200000}"/>
    <cellStyle name="Remarque 2 2 3 2 5 4 7 2 2" xfId="58833" xr:uid="{00000000-0005-0000-0000-0000C0200000}"/>
    <cellStyle name="Remarque 2 2 3 2 5 4 7 3" xfId="22130" xr:uid="{00000000-0005-0000-0000-0000C1200000}"/>
    <cellStyle name="Remarque 2 2 3 2 5 4 7 4" xfId="46090" xr:uid="{00000000-0005-0000-0000-0000C2200000}"/>
    <cellStyle name="Remarque 2 2 3 2 5 4 8" xfId="11986" xr:uid="{00000000-0005-0000-0000-0000C3200000}"/>
    <cellStyle name="Remarque 2 2 3 2 5 4 8 2" xfId="23265" xr:uid="{00000000-0005-0000-0000-0000C4200000}"/>
    <cellStyle name="Remarque 2 2 3 2 5 4 8 3" xfId="47225" xr:uid="{00000000-0005-0000-0000-0000C5200000}"/>
    <cellStyle name="Remarque 2 2 3 2 5 4 9" xfId="2335" xr:uid="{00000000-0005-0000-0000-0000C6200000}"/>
    <cellStyle name="Remarque 2 2 3 2 5 4 9 2" xfId="26349" xr:uid="{00000000-0005-0000-0000-0000C7200000}"/>
    <cellStyle name="Remarque 2 2 3 2 5 4 9 3" xfId="50309" xr:uid="{00000000-0005-0000-0000-0000C8200000}"/>
    <cellStyle name="Remarque 2 2 3 2 5 5" xfId="1092" xr:uid="{00000000-0005-0000-0000-0000C9200000}"/>
    <cellStyle name="Remarque 2 2 3 2 5 5 10" xfId="25124" xr:uid="{00000000-0005-0000-0000-0000CA200000}"/>
    <cellStyle name="Remarque 2 2 3 2 5 5 10 2" xfId="49084" xr:uid="{00000000-0005-0000-0000-0000CB200000}"/>
    <cellStyle name="Remarque 2 2 3 2 5 5 11" xfId="34210" xr:uid="{00000000-0005-0000-0000-0000CC200000}"/>
    <cellStyle name="Remarque 2 2 3 2 5 5 11 2" xfId="58170" xr:uid="{00000000-0005-0000-0000-0000CD200000}"/>
    <cellStyle name="Remarque 2 2 3 2 5 5 12" xfId="13789" xr:uid="{00000000-0005-0000-0000-0000CE200000}"/>
    <cellStyle name="Remarque 2 2 3 2 5 5 13" xfId="37749" xr:uid="{00000000-0005-0000-0000-0000CF200000}"/>
    <cellStyle name="Remarque 2 2 3 2 5 5 2" xfId="3998" xr:uid="{00000000-0005-0000-0000-0000D0200000}"/>
    <cellStyle name="Remarque 2 2 3 2 5 5 2 2" xfId="28012" xr:uid="{00000000-0005-0000-0000-0000D1200000}"/>
    <cellStyle name="Remarque 2 2 3 2 5 5 2 2 2" xfId="51972" xr:uid="{00000000-0005-0000-0000-0000D2200000}"/>
    <cellStyle name="Remarque 2 2 3 2 5 5 2 3" xfId="15259" xr:uid="{00000000-0005-0000-0000-0000D3200000}"/>
    <cellStyle name="Remarque 2 2 3 2 5 5 2 4" xfId="39219" xr:uid="{00000000-0005-0000-0000-0000D4200000}"/>
    <cellStyle name="Remarque 2 2 3 2 5 5 3" xfId="5432" xr:uid="{00000000-0005-0000-0000-0000D5200000}"/>
    <cellStyle name="Remarque 2 2 3 2 5 5 3 2" xfId="29446" xr:uid="{00000000-0005-0000-0000-0000D6200000}"/>
    <cellStyle name="Remarque 2 2 3 2 5 5 3 2 2" xfId="53406" xr:uid="{00000000-0005-0000-0000-0000D7200000}"/>
    <cellStyle name="Remarque 2 2 3 2 5 5 3 3" xfId="16693" xr:uid="{00000000-0005-0000-0000-0000D8200000}"/>
    <cellStyle name="Remarque 2 2 3 2 5 5 3 4" xfId="40653" xr:uid="{00000000-0005-0000-0000-0000D9200000}"/>
    <cellStyle name="Remarque 2 2 3 2 5 5 4" xfId="6826" xr:uid="{00000000-0005-0000-0000-0000DA200000}"/>
    <cellStyle name="Remarque 2 2 3 2 5 5 4 2" xfId="30840" xr:uid="{00000000-0005-0000-0000-0000DB200000}"/>
    <cellStyle name="Remarque 2 2 3 2 5 5 4 2 2" xfId="54800" xr:uid="{00000000-0005-0000-0000-0000DC200000}"/>
    <cellStyle name="Remarque 2 2 3 2 5 5 4 3" xfId="18087" xr:uid="{00000000-0005-0000-0000-0000DD200000}"/>
    <cellStyle name="Remarque 2 2 3 2 5 5 4 4" xfId="42047" xr:uid="{00000000-0005-0000-0000-0000DE200000}"/>
    <cellStyle name="Remarque 2 2 3 2 5 5 5" xfId="8214" xr:uid="{00000000-0005-0000-0000-0000DF200000}"/>
    <cellStyle name="Remarque 2 2 3 2 5 5 5 2" xfId="32228" xr:uid="{00000000-0005-0000-0000-0000E0200000}"/>
    <cellStyle name="Remarque 2 2 3 2 5 5 5 2 2" xfId="56188" xr:uid="{00000000-0005-0000-0000-0000E1200000}"/>
    <cellStyle name="Remarque 2 2 3 2 5 5 5 3" xfId="19475" xr:uid="{00000000-0005-0000-0000-0000E2200000}"/>
    <cellStyle name="Remarque 2 2 3 2 5 5 5 4" xfId="43435" xr:uid="{00000000-0005-0000-0000-0000E3200000}"/>
    <cellStyle name="Remarque 2 2 3 2 5 5 6" xfId="9599" xr:uid="{00000000-0005-0000-0000-0000E4200000}"/>
    <cellStyle name="Remarque 2 2 3 2 5 5 6 2" xfId="33613" xr:uid="{00000000-0005-0000-0000-0000E5200000}"/>
    <cellStyle name="Remarque 2 2 3 2 5 5 6 2 2" xfId="57573" xr:uid="{00000000-0005-0000-0000-0000E6200000}"/>
    <cellStyle name="Remarque 2 2 3 2 5 5 6 3" xfId="20860" xr:uid="{00000000-0005-0000-0000-0000E7200000}"/>
    <cellStyle name="Remarque 2 2 3 2 5 5 6 4" xfId="44820" xr:uid="{00000000-0005-0000-0000-0000E8200000}"/>
    <cellStyle name="Remarque 2 2 3 2 5 5 7" xfId="11056" xr:uid="{00000000-0005-0000-0000-0000E9200000}"/>
    <cellStyle name="Remarque 2 2 3 2 5 5 7 2" xfId="35066" xr:uid="{00000000-0005-0000-0000-0000EA200000}"/>
    <cellStyle name="Remarque 2 2 3 2 5 5 7 2 2" xfId="59026" xr:uid="{00000000-0005-0000-0000-0000EB200000}"/>
    <cellStyle name="Remarque 2 2 3 2 5 5 7 3" xfId="22323" xr:uid="{00000000-0005-0000-0000-0000EC200000}"/>
    <cellStyle name="Remarque 2 2 3 2 5 5 7 4" xfId="46283" xr:uid="{00000000-0005-0000-0000-0000ED200000}"/>
    <cellStyle name="Remarque 2 2 3 2 5 5 8" xfId="11898" xr:uid="{00000000-0005-0000-0000-0000EE200000}"/>
    <cellStyle name="Remarque 2 2 3 2 5 5 8 2" xfId="23175" xr:uid="{00000000-0005-0000-0000-0000EF200000}"/>
    <cellStyle name="Remarque 2 2 3 2 5 5 8 3" xfId="47135" xr:uid="{00000000-0005-0000-0000-0000F0200000}"/>
    <cellStyle name="Remarque 2 2 3 2 5 5 9" xfId="2528" xr:uid="{00000000-0005-0000-0000-0000F1200000}"/>
    <cellStyle name="Remarque 2 2 3 2 5 5 9 2" xfId="26542" xr:uid="{00000000-0005-0000-0000-0000F2200000}"/>
    <cellStyle name="Remarque 2 2 3 2 5 5 9 3" xfId="50502" xr:uid="{00000000-0005-0000-0000-0000F3200000}"/>
    <cellStyle name="Remarque 2 2 3 2 5 6" xfId="1259" xr:uid="{00000000-0005-0000-0000-0000F4200000}"/>
    <cellStyle name="Remarque 2 2 3 2 5 6 10" xfId="25291" xr:uid="{00000000-0005-0000-0000-0000F5200000}"/>
    <cellStyle name="Remarque 2 2 3 2 5 6 10 2" xfId="49251" xr:uid="{00000000-0005-0000-0000-0000F6200000}"/>
    <cellStyle name="Remarque 2 2 3 2 5 6 11" xfId="36555" xr:uid="{00000000-0005-0000-0000-0000F7200000}"/>
    <cellStyle name="Remarque 2 2 3 2 5 6 11 2" xfId="60515" xr:uid="{00000000-0005-0000-0000-0000F8200000}"/>
    <cellStyle name="Remarque 2 2 3 2 5 6 12" xfId="13956" xr:uid="{00000000-0005-0000-0000-0000F9200000}"/>
    <cellStyle name="Remarque 2 2 3 2 5 6 13" xfId="37916" xr:uid="{00000000-0005-0000-0000-0000FA200000}"/>
    <cellStyle name="Remarque 2 2 3 2 5 6 2" xfId="4165" xr:uid="{00000000-0005-0000-0000-0000FB200000}"/>
    <cellStyle name="Remarque 2 2 3 2 5 6 2 2" xfId="28179" xr:uid="{00000000-0005-0000-0000-0000FC200000}"/>
    <cellStyle name="Remarque 2 2 3 2 5 6 2 2 2" xfId="52139" xr:uid="{00000000-0005-0000-0000-0000FD200000}"/>
    <cellStyle name="Remarque 2 2 3 2 5 6 2 3" xfId="15426" xr:uid="{00000000-0005-0000-0000-0000FE200000}"/>
    <cellStyle name="Remarque 2 2 3 2 5 6 2 4" xfId="39386" xr:uid="{00000000-0005-0000-0000-0000FF200000}"/>
    <cellStyle name="Remarque 2 2 3 2 5 6 3" xfId="5599" xr:uid="{00000000-0005-0000-0000-000000210000}"/>
    <cellStyle name="Remarque 2 2 3 2 5 6 3 2" xfId="29613" xr:uid="{00000000-0005-0000-0000-000001210000}"/>
    <cellStyle name="Remarque 2 2 3 2 5 6 3 2 2" xfId="53573" xr:uid="{00000000-0005-0000-0000-000002210000}"/>
    <cellStyle name="Remarque 2 2 3 2 5 6 3 3" xfId="16860" xr:uid="{00000000-0005-0000-0000-000003210000}"/>
    <cellStyle name="Remarque 2 2 3 2 5 6 3 4" xfId="40820" xr:uid="{00000000-0005-0000-0000-000004210000}"/>
    <cellStyle name="Remarque 2 2 3 2 5 6 4" xfId="6993" xr:uid="{00000000-0005-0000-0000-000005210000}"/>
    <cellStyle name="Remarque 2 2 3 2 5 6 4 2" xfId="31007" xr:uid="{00000000-0005-0000-0000-000006210000}"/>
    <cellStyle name="Remarque 2 2 3 2 5 6 4 2 2" xfId="54967" xr:uid="{00000000-0005-0000-0000-000007210000}"/>
    <cellStyle name="Remarque 2 2 3 2 5 6 4 3" xfId="18254" xr:uid="{00000000-0005-0000-0000-000008210000}"/>
    <cellStyle name="Remarque 2 2 3 2 5 6 4 4" xfId="42214" xr:uid="{00000000-0005-0000-0000-000009210000}"/>
    <cellStyle name="Remarque 2 2 3 2 5 6 5" xfId="8381" xr:uid="{00000000-0005-0000-0000-00000A210000}"/>
    <cellStyle name="Remarque 2 2 3 2 5 6 5 2" xfId="32395" xr:uid="{00000000-0005-0000-0000-00000B210000}"/>
    <cellStyle name="Remarque 2 2 3 2 5 6 5 2 2" xfId="56355" xr:uid="{00000000-0005-0000-0000-00000C210000}"/>
    <cellStyle name="Remarque 2 2 3 2 5 6 5 3" xfId="19642" xr:uid="{00000000-0005-0000-0000-00000D210000}"/>
    <cellStyle name="Remarque 2 2 3 2 5 6 5 4" xfId="43602" xr:uid="{00000000-0005-0000-0000-00000E210000}"/>
    <cellStyle name="Remarque 2 2 3 2 5 6 6" xfId="9766" xr:uid="{00000000-0005-0000-0000-00000F210000}"/>
    <cellStyle name="Remarque 2 2 3 2 5 6 6 2" xfId="33780" xr:uid="{00000000-0005-0000-0000-000010210000}"/>
    <cellStyle name="Remarque 2 2 3 2 5 6 6 2 2" xfId="57740" xr:uid="{00000000-0005-0000-0000-000011210000}"/>
    <cellStyle name="Remarque 2 2 3 2 5 6 6 3" xfId="21027" xr:uid="{00000000-0005-0000-0000-000012210000}"/>
    <cellStyle name="Remarque 2 2 3 2 5 6 6 4" xfId="44987" xr:uid="{00000000-0005-0000-0000-000013210000}"/>
    <cellStyle name="Remarque 2 2 3 2 5 6 7" xfId="11223" xr:uid="{00000000-0005-0000-0000-000014210000}"/>
    <cellStyle name="Remarque 2 2 3 2 5 6 7 2" xfId="35233" xr:uid="{00000000-0005-0000-0000-000015210000}"/>
    <cellStyle name="Remarque 2 2 3 2 5 6 7 2 2" xfId="59193" xr:uid="{00000000-0005-0000-0000-000016210000}"/>
    <cellStyle name="Remarque 2 2 3 2 5 6 7 3" xfId="22490" xr:uid="{00000000-0005-0000-0000-000017210000}"/>
    <cellStyle name="Remarque 2 2 3 2 5 6 7 4" xfId="46450" xr:uid="{00000000-0005-0000-0000-000018210000}"/>
    <cellStyle name="Remarque 2 2 3 2 5 6 8" xfId="12163" xr:uid="{00000000-0005-0000-0000-000019210000}"/>
    <cellStyle name="Remarque 2 2 3 2 5 6 8 2" xfId="23446" xr:uid="{00000000-0005-0000-0000-00001A210000}"/>
    <cellStyle name="Remarque 2 2 3 2 5 6 8 3" xfId="47406" xr:uid="{00000000-0005-0000-0000-00001B210000}"/>
    <cellStyle name="Remarque 2 2 3 2 5 6 9" xfId="2695" xr:uid="{00000000-0005-0000-0000-00001C210000}"/>
    <cellStyle name="Remarque 2 2 3 2 5 6 9 2" xfId="26709" xr:uid="{00000000-0005-0000-0000-00001D210000}"/>
    <cellStyle name="Remarque 2 2 3 2 5 6 9 3" xfId="50669" xr:uid="{00000000-0005-0000-0000-00001E210000}"/>
    <cellStyle name="Remarque 2 2 3 2 5 7" xfId="1428" xr:uid="{00000000-0005-0000-0000-00001F210000}"/>
    <cellStyle name="Remarque 2 2 3 2 5 7 10" xfId="25460" xr:uid="{00000000-0005-0000-0000-000020210000}"/>
    <cellStyle name="Remarque 2 2 3 2 5 7 10 2" xfId="49420" xr:uid="{00000000-0005-0000-0000-000021210000}"/>
    <cellStyle name="Remarque 2 2 3 2 5 7 11" xfId="36054" xr:uid="{00000000-0005-0000-0000-000022210000}"/>
    <cellStyle name="Remarque 2 2 3 2 5 7 11 2" xfId="60014" xr:uid="{00000000-0005-0000-0000-000023210000}"/>
    <cellStyle name="Remarque 2 2 3 2 5 7 12" xfId="14125" xr:uid="{00000000-0005-0000-0000-000024210000}"/>
    <cellStyle name="Remarque 2 2 3 2 5 7 13" xfId="38085" xr:uid="{00000000-0005-0000-0000-000025210000}"/>
    <cellStyle name="Remarque 2 2 3 2 5 7 2" xfId="4334" xr:uid="{00000000-0005-0000-0000-000026210000}"/>
    <cellStyle name="Remarque 2 2 3 2 5 7 2 2" xfId="28348" xr:uid="{00000000-0005-0000-0000-000027210000}"/>
    <cellStyle name="Remarque 2 2 3 2 5 7 2 2 2" xfId="52308" xr:uid="{00000000-0005-0000-0000-000028210000}"/>
    <cellStyle name="Remarque 2 2 3 2 5 7 2 3" xfId="15595" xr:uid="{00000000-0005-0000-0000-000029210000}"/>
    <cellStyle name="Remarque 2 2 3 2 5 7 2 4" xfId="39555" xr:uid="{00000000-0005-0000-0000-00002A210000}"/>
    <cellStyle name="Remarque 2 2 3 2 5 7 3" xfId="5768" xr:uid="{00000000-0005-0000-0000-00002B210000}"/>
    <cellStyle name="Remarque 2 2 3 2 5 7 3 2" xfId="29782" xr:uid="{00000000-0005-0000-0000-00002C210000}"/>
    <cellStyle name="Remarque 2 2 3 2 5 7 3 2 2" xfId="53742" xr:uid="{00000000-0005-0000-0000-00002D210000}"/>
    <cellStyle name="Remarque 2 2 3 2 5 7 3 3" xfId="17029" xr:uid="{00000000-0005-0000-0000-00002E210000}"/>
    <cellStyle name="Remarque 2 2 3 2 5 7 3 4" xfId="40989" xr:uid="{00000000-0005-0000-0000-00002F210000}"/>
    <cellStyle name="Remarque 2 2 3 2 5 7 4" xfId="7162" xr:uid="{00000000-0005-0000-0000-000030210000}"/>
    <cellStyle name="Remarque 2 2 3 2 5 7 4 2" xfId="31176" xr:uid="{00000000-0005-0000-0000-000031210000}"/>
    <cellStyle name="Remarque 2 2 3 2 5 7 4 2 2" xfId="55136" xr:uid="{00000000-0005-0000-0000-000032210000}"/>
    <cellStyle name="Remarque 2 2 3 2 5 7 4 3" xfId="18423" xr:uid="{00000000-0005-0000-0000-000033210000}"/>
    <cellStyle name="Remarque 2 2 3 2 5 7 4 4" xfId="42383" xr:uid="{00000000-0005-0000-0000-000034210000}"/>
    <cellStyle name="Remarque 2 2 3 2 5 7 5" xfId="8550" xr:uid="{00000000-0005-0000-0000-000035210000}"/>
    <cellStyle name="Remarque 2 2 3 2 5 7 5 2" xfId="32564" xr:uid="{00000000-0005-0000-0000-000036210000}"/>
    <cellStyle name="Remarque 2 2 3 2 5 7 5 2 2" xfId="56524" xr:uid="{00000000-0005-0000-0000-000037210000}"/>
    <cellStyle name="Remarque 2 2 3 2 5 7 5 3" xfId="19811" xr:uid="{00000000-0005-0000-0000-000038210000}"/>
    <cellStyle name="Remarque 2 2 3 2 5 7 5 4" xfId="43771" xr:uid="{00000000-0005-0000-0000-000039210000}"/>
    <cellStyle name="Remarque 2 2 3 2 5 7 6" xfId="9935" xr:uid="{00000000-0005-0000-0000-00003A210000}"/>
    <cellStyle name="Remarque 2 2 3 2 5 7 6 2" xfId="33949" xr:uid="{00000000-0005-0000-0000-00003B210000}"/>
    <cellStyle name="Remarque 2 2 3 2 5 7 6 2 2" xfId="57909" xr:uid="{00000000-0005-0000-0000-00003C210000}"/>
    <cellStyle name="Remarque 2 2 3 2 5 7 6 3" xfId="21196" xr:uid="{00000000-0005-0000-0000-00003D210000}"/>
    <cellStyle name="Remarque 2 2 3 2 5 7 6 4" xfId="45156" xr:uid="{00000000-0005-0000-0000-00003E210000}"/>
    <cellStyle name="Remarque 2 2 3 2 5 7 7" xfId="11392" xr:uid="{00000000-0005-0000-0000-00003F210000}"/>
    <cellStyle name="Remarque 2 2 3 2 5 7 7 2" xfId="35402" xr:uid="{00000000-0005-0000-0000-000040210000}"/>
    <cellStyle name="Remarque 2 2 3 2 5 7 7 2 2" xfId="59362" xr:uid="{00000000-0005-0000-0000-000041210000}"/>
    <cellStyle name="Remarque 2 2 3 2 5 7 7 3" xfId="22659" xr:uid="{00000000-0005-0000-0000-000042210000}"/>
    <cellStyle name="Remarque 2 2 3 2 5 7 7 4" xfId="46619" xr:uid="{00000000-0005-0000-0000-000043210000}"/>
    <cellStyle name="Remarque 2 2 3 2 5 7 8" xfId="11856" xr:uid="{00000000-0005-0000-0000-000044210000}"/>
    <cellStyle name="Remarque 2 2 3 2 5 7 8 2" xfId="23132" xr:uid="{00000000-0005-0000-0000-000045210000}"/>
    <cellStyle name="Remarque 2 2 3 2 5 7 8 3" xfId="47092" xr:uid="{00000000-0005-0000-0000-000046210000}"/>
    <cellStyle name="Remarque 2 2 3 2 5 7 9" xfId="2864" xr:uid="{00000000-0005-0000-0000-000047210000}"/>
    <cellStyle name="Remarque 2 2 3 2 5 7 9 2" xfId="26878" xr:uid="{00000000-0005-0000-0000-000048210000}"/>
    <cellStyle name="Remarque 2 2 3 2 5 7 9 3" xfId="50838" xr:uid="{00000000-0005-0000-0000-000049210000}"/>
    <cellStyle name="Remarque 2 2 3 2 5 8" xfId="3283" xr:uid="{00000000-0005-0000-0000-00004A210000}"/>
    <cellStyle name="Remarque 2 2 3 2 5 8 2" xfId="27297" xr:uid="{00000000-0005-0000-0000-00004B210000}"/>
    <cellStyle name="Remarque 2 2 3 2 5 8 2 2" xfId="51257" xr:uid="{00000000-0005-0000-0000-00004C210000}"/>
    <cellStyle name="Remarque 2 2 3 2 5 8 3" xfId="14544" xr:uid="{00000000-0005-0000-0000-00004D210000}"/>
    <cellStyle name="Remarque 2 2 3 2 5 8 4" xfId="38504" xr:uid="{00000000-0005-0000-0000-00004E210000}"/>
    <cellStyle name="Remarque 2 2 3 2 5 9" xfId="4717" xr:uid="{00000000-0005-0000-0000-00004F210000}"/>
    <cellStyle name="Remarque 2 2 3 2 5 9 2" xfId="28731" xr:uid="{00000000-0005-0000-0000-000050210000}"/>
    <cellStyle name="Remarque 2 2 3 2 5 9 2 2" xfId="52691" xr:uid="{00000000-0005-0000-0000-000051210000}"/>
    <cellStyle name="Remarque 2 2 3 2 5 9 3" xfId="15978" xr:uid="{00000000-0005-0000-0000-000052210000}"/>
    <cellStyle name="Remarque 2 2 3 2 5 9 4" xfId="39938" xr:uid="{00000000-0005-0000-0000-000053210000}"/>
    <cellStyle name="Remarque 2 2 3 2 6" xfId="331" xr:uid="{00000000-0005-0000-0000-000054210000}"/>
    <cellStyle name="Remarque 2 2 3 2 6 10" xfId="24363" xr:uid="{00000000-0005-0000-0000-000055210000}"/>
    <cellStyle name="Remarque 2 2 3 2 6 10 2" xfId="48323" xr:uid="{00000000-0005-0000-0000-000056210000}"/>
    <cellStyle name="Remarque 2 2 3 2 6 11" xfId="36502" xr:uid="{00000000-0005-0000-0000-000057210000}"/>
    <cellStyle name="Remarque 2 2 3 2 6 11 2" xfId="60462" xr:uid="{00000000-0005-0000-0000-000058210000}"/>
    <cellStyle name="Remarque 2 2 3 2 6 12" xfId="13028" xr:uid="{00000000-0005-0000-0000-000059210000}"/>
    <cellStyle name="Remarque 2 2 3 2 6 13" xfId="36988" xr:uid="{00000000-0005-0000-0000-00005A210000}"/>
    <cellStyle name="Remarque 2 2 3 2 6 2" xfId="3237" xr:uid="{00000000-0005-0000-0000-00005B210000}"/>
    <cellStyle name="Remarque 2 2 3 2 6 2 2" xfId="27251" xr:uid="{00000000-0005-0000-0000-00005C210000}"/>
    <cellStyle name="Remarque 2 2 3 2 6 2 2 2" xfId="51211" xr:uid="{00000000-0005-0000-0000-00005D210000}"/>
    <cellStyle name="Remarque 2 2 3 2 6 2 3" xfId="14498" xr:uid="{00000000-0005-0000-0000-00005E210000}"/>
    <cellStyle name="Remarque 2 2 3 2 6 2 4" xfId="38458" xr:uid="{00000000-0005-0000-0000-00005F210000}"/>
    <cellStyle name="Remarque 2 2 3 2 6 3" xfId="4671" xr:uid="{00000000-0005-0000-0000-000060210000}"/>
    <cellStyle name="Remarque 2 2 3 2 6 3 2" xfId="28685" xr:uid="{00000000-0005-0000-0000-000061210000}"/>
    <cellStyle name="Remarque 2 2 3 2 6 3 2 2" xfId="52645" xr:uid="{00000000-0005-0000-0000-000062210000}"/>
    <cellStyle name="Remarque 2 2 3 2 6 3 3" xfId="15932" xr:uid="{00000000-0005-0000-0000-000063210000}"/>
    <cellStyle name="Remarque 2 2 3 2 6 3 4" xfId="39892" xr:uid="{00000000-0005-0000-0000-000064210000}"/>
    <cellStyle name="Remarque 2 2 3 2 6 4" xfId="6065" xr:uid="{00000000-0005-0000-0000-000065210000}"/>
    <cellStyle name="Remarque 2 2 3 2 6 4 2" xfId="30079" xr:uid="{00000000-0005-0000-0000-000066210000}"/>
    <cellStyle name="Remarque 2 2 3 2 6 4 2 2" xfId="54039" xr:uid="{00000000-0005-0000-0000-000067210000}"/>
    <cellStyle name="Remarque 2 2 3 2 6 4 3" xfId="17326" xr:uid="{00000000-0005-0000-0000-000068210000}"/>
    <cellStyle name="Remarque 2 2 3 2 6 4 4" xfId="41286" xr:uid="{00000000-0005-0000-0000-000069210000}"/>
    <cellStyle name="Remarque 2 2 3 2 6 5" xfId="7453" xr:uid="{00000000-0005-0000-0000-00006A210000}"/>
    <cellStyle name="Remarque 2 2 3 2 6 5 2" xfId="31467" xr:uid="{00000000-0005-0000-0000-00006B210000}"/>
    <cellStyle name="Remarque 2 2 3 2 6 5 2 2" xfId="55427" xr:uid="{00000000-0005-0000-0000-00006C210000}"/>
    <cellStyle name="Remarque 2 2 3 2 6 5 3" xfId="18714" xr:uid="{00000000-0005-0000-0000-00006D210000}"/>
    <cellStyle name="Remarque 2 2 3 2 6 5 4" xfId="42674" xr:uid="{00000000-0005-0000-0000-00006E210000}"/>
    <cellStyle name="Remarque 2 2 3 2 6 6" xfId="8838" xr:uid="{00000000-0005-0000-0000-00006F210000}"/>
    <cellStyle name="Remarque 2 2 3 2 6 6 2" xfId="32852" xr:uid="{00000000-0005-0000-0000-000070210000}"/>
    <cellStyle name="Remarque 2 2 3 2 6 6 2 2" xfId="56812" xr:uid="{00000000-0005-0000-0000-000071210000}"/>
    <cellStyle name="Remarque 2 2 3 2 6 6 3" xfId="20099" xr:uid="{00000000-0005-0000-0000-000072210000}"/>
    <cellStyle name="Remarque 2 2 3 2 6 6 4" xfId="44059" xr:uid="{00000000-0005-0000-0000-000073210000}"/>
    <cellStyle name="Remarque 2 2 3 2 6 7" xfId="10295" xr:uid="{00000000-0005-0000-0000-000074210000}"/>
    <cellStyle name="Remarque 2 2 3 2 6 7 2" xfId="34305" xr:uid="{00000000-0005-0000-0000-000075210000}"/>
    <cellStyle name="Remarque 2 2 3 2 6 7 2 2" xfId="58265" xr:uid="{00000000-0005-0000-0000-000076210000}"/>
    <cellStyle name="Remarque 2 2 3 2 6 7 3" xfId="21562" xr:uid="{00000000-0005-0000-0000-000077210000}"/>
    <cellStyle name="Remarque 2 2 3 2 6 7 4" xfId="45522" xr:uid="{00000000-0005-0000-0000-000078210000}"/>
    <cellStyle name="Remarque 2 2 3 2 6 8" xfId="12865" xr:uid="{00000000-0005-0000-0000-000079210000}"/>
    <cellStyle name="Remarque 2 2 3 2 6 8 2" xfId="24177" xr:uid="{00000000-0005-0000-0000-00007A210000}"/>
    <cellStyle name="Remarque 2 2 3 2 6 8 3" xfId="48137" xr:uid="{00000000-0005-0000-0000-00007B210000}"/>
    <cellStyle name="Remarque 2 2 3 2 6 9" xfId="1767" xr:uid="{00000000-0005-0000-0000-00007C210000}"/>
    <cellStyle name="Remarque 2 2 3 2 6 9 2" xfId="25781" xr:uid="{00000000-0005-0000-0000-00007D210000}"/>
    <cellStyle name="Remarque 2 2 3 2 6 9 3" xfId="49741" xr:uid="{00000000-0005-0000-0000-00007E210000}"/>
    <cellStyle name="Remarque 2 2 3 2 7" xfId="634" xr:uid="{00000000-0005-0000-0000-00007F210000}"/>
    <cellStyle name="Remarque 2 2 3 2 7 10" xfId="24666" xr:uid="{00000000-0005-0000-0000-000080210000}"/>
    <cellStyle name="Remarque 2 2 3 2 7 10 2" xfId="48626" xr:uid="{00000000-0005-0000-0000-000081210000}"/>
    <cellStyle name="Remarque 2 2 3 2 7 11" xfId="35709" xr:uid="{00000000-0005-0000-0000-000082210000}"/>
    <cellStyle name="Remarque 2 2 3 2 7 11 2" xfId="59669" xr:uid="{00000000-0005-0000-0000-000083210000}"/>
    <cellStyle name="Remarque 2 2 3 2 7 12" xfId="13331" xr:uid="{00000000-0005-0000-0000-000084210000}"/>
    <cellStyle name="Remarque 2 2 3 2 7 13" xfId="37291" xr:uid="{00000000-0005-0000-0000-000085210000}"/>
    <cellStyle name="Remarque 2 2 3 2 7 2" xfId="3540" xr:uid="{00000000-0005-0000-0000-000086210000}"/>
    <cellStyle name="Remarque 2 2 3 2 7 2 2" xfId="27554" xr:uid="{00000000-0005-0000-0000-000087210000}"/>
    <cellStyle name="Remarque 2 2 3 2 7 2 2 2" xfId="51514" xr:uid="{00000000-0005-0000-0000-000088210000}"/>
    <cellStyle name="Remarque 2 2 3 2 7 2 3" xfId="14801" xr:uid="{00000000-0005-0000-0000-000089210000}"/>
    <cellStyle name="Remarque 2 2 3 2 7 2 4" xfId="38761" xr:uid="{00000000-0005-0000-0000-00008A210000}"/>
    <cellStyle name="Remarque 2 2 3 2 7 3" xfId="4974" xr:uid="{00000000-0005-0000-0000-00008B210000}"/>
    <cellStyle name="Remarque 2 2 3 2 7 3 2" xfId="28988" xr:uid="{00000000-0005-0000-0000-00008C210000}"/>
    <cellStyle name="Remarque 2 2 3 2 7 3 2 2" xfId="52948" xr:uid="{00000000-0005-0000-0000-00008D210000}"/>
    <cellStyle name="Remarque 2 2 3 2 7 3 3" xfId="16235" xr:uid="{00000000-0005-0000-0000-00008E210000}"/>
    <cellStyle name="Remarque 2 2 3 2 7 3 4" xfId="40195" xr:uid="{00000000-0005-0000-0000-00008F210000}"/>
    <cellStyle name="Remarque 2 2 3 2 7 4" xfId="6368" xr:uid="{00000000-0005-0000-0000-000090210000}"/>
    <cellStyle name="Remarque 2 2 3 2 7 4 2" xfId="30382" xr:uid="{00000000-0005-0000-0000-000091210000}"/>
    <cellStyle name="Remarque 2 2 3 2 7 4 2 2" xfId="54342" xr:uid="{00000000-0005-0000-0000-000092210000}"/>
    <cellStyle name="Remarque 2 2 3 2 7 4 3" xfId="17629" xr:uid="{00000000-0005-0000-0000-000093210000}"/>
    <cellStyle name="Remarque 2 2 3 2 7 4 4" xfId="41589" xr:uid="{00000000-0005-0000-0000-000094210000}"/>
    <cellStyle name="Remarque 2 2 3 2 7 5" xfId="7756" xr:uid="{00000000-0005-0000-0000-000095210000}"/>
    <cellStyle name="Remarque 2 2 3 2 7 5 2" xfId="31770" xr:uid="{00000000-0005-0000-0000-000096210000}"/>
    <cellStyle name="Remarque 2 2 3 2 7 5 2 2" xfId="55730" xr:uid="{00000000-0005-0000-0000-000097210000}"/>
    <cellStyle name="Remarque 2 2 3 2 7 5 3" xfId="19017" xr:uid="{00000000-0005-0000-0000-000098210000}"/>
    <cellStyle name="Remarque 2 2 3 2 7 5 4" xfId="42977" xr:uid="{00000000-0005-0000-0000-000099210000}"/>
    <cellStyle name="Remarque 2 2 3 2 7 6" xfId="9141" xr:uid="{00000000-0005-0000-0000-00009A210000}"/>
    <cellStyle name="Remarque 2 2 3 2 7 6 2" xfId="33155" xr:uid="{00000000-0005-0000-0000-00009B210000}"/>
    <cellStyle name="Remarque 2 2 3 2 7 6 2 2" xfId="57115" xr:uid="{00000000-0005-0000-0000-00009C210000}"/>
    <cellStyle name="Remarque 2 2 3 2 7 6 3" xfId="20402" xr:uid="{00000000-0005-0000-0000-00009D210000}"/>
    <cellStyle name="Remarque 2 2 3 2 7 6 4" xfId="44362" xr:uid="{00000000-0005-0000-0000-00009E210000}"/>
    <cellStyle name="Remarque 2 2 3 2 7 7" xfId="10598" xr:uid="{00000000-0005-0000-0000-00009F210000}"/>
    <cellStyle name="Remarque 2 2 3 2 7 7 2" xfId="34608" xr:uid="{00000000-0005-0000-0000-0000A0210000}"/>
    <cellStyle name="Remarque 2 2 3 2 7 7 2 2" xfId="58568" xr:uid="{00000000-0005-0000-0000-0000A1210000}"/>
    <cellStyle name="Remarque 2 2 3 2 7 7 3" xfId="21865" xr:uid="{00000000-0005-0000-0000-0000A2210000}"/>
    <cellStyle name="Remarque 2 2 3 2 7 7 4" xfId="45825" xr:uid="{00000000-0005-0000-0000-0000A3210000}"/>
    <cellStyle name="Remarque 2 2 3 2 7 8" xfId="12707" xr:uid="{00000000-0005-0000-0000-0000A4210000}"/>
    <cellStyle name="Remarque 2 2 3 2 7 8 2" xfId="24012" xr:uid="{00000000-0005-0000-0000-0000A5210000}"/>
    <cellStyle name="Remarque 2 2 3 2 7 8 3" xfId="47972" xr:uid="{00000000-0005-0000-0000-0000A6210000}"/>
    <cellStyle name="Remarque 2 2 3 2 7 9" xfId="2070" xr:uid="{00000000-0005-0000-0000-0000A7210000}"/>
    <cellStyle name="Remarque 2 2 3 2 7 9 2" xfId="26084" xr:uid="{00000000-0005-0000-0000-0000A8210000}"/>
    <cellStyle name="Remarque 2 2 3 2 7 9 3" xfId="50044" xr:uid="{00000000-0005-0000-0000-0000A9210000}"/>
    <cellStyle name="Remarque 2 2 3 2 8" xfId="828" xr:uid="{00000000-0005-0000-0000-0000AA210000}"/>
    <cellStyle name="Remarque 2 2 3 2 8 10" xfId="24860" xr:uid="{00000000-0005-0000-0000-0000AB210000}"/>
    <cellStyle name="Remarque 2 2 3 2 8 10 2" xfId="48820" xr:uid="{00000000-0005-0000-0000-0000AC210000}"/>
    <cellStyle name="Remarque 2 2 3 2 8 11" xfId="36141" xr:uid="{00000000-0005-0000-0000-0000AD210000}"/>
    <cellStyle name="Remarque 2 2 3 2 8 11 2" xfId="60101" xr:uid="{00000000-0005-0000-0000-0000AE210000}"/>
    <cellStyle name="Remarque 2 2 3 2 8 12" xfId="13525" xr:uid="{00000000-0005-0000-0000-0000AF210000}"/>
    <cellStyle name="Remarque 2 2 3 2 8 13" xfId="37485" xr:uid="{00000000-0005-0000-0000-0000B0210000}"/>
    <cellStyle name="Remarque 2 2 3 2 8 2" xfId="3734" xr:uid="{00000000-0005-0000-0000-0000B1210000}"/>
    <cellStyle name="Remarque 2 2 3 2 8 2 2" xfId="27748" xr:uid="{00000000-0005-0000-0000-0000B2210000}"/>
    <cellStyle name="Remarque 2 2 3 2 8 2 2 2" xfId="51708" xr:uid="{00000000-0005-0000-0000-0000B3210000}"/>
    <cellStyle name="Remarque 2 2 3 2 8 2 3" xfId="14995" xr:uid="{00000000-0005-0000-0000-0000B4210000}"/>
    <cellStyle name="Remarque 2 2 3 2 8 2 4" xfId="38955" xr:uid="{00000000-0005-0000-0000-0000B5210000}"/>
    <cellStyle name="Remarque 2 2 3 2 8 3" xfId="5168" xr:uid="{00000000-0005-0000-0000-0000B6210000}"/>
    <cellStyle name="Remarque 2 2 3 2 8 3 2" xfId="29182" xr:uid="{00000000-0005-0000-0000-0000B7210000}"/>
    <cellStyle name="Remarque 2 2 3 2 8 3 2 2" xfId="53142" xr:uid="{00000000-0005-0000-0000-0000B8210000}"/>
    <cellStyle name="Remarque 2 2 3 2 8 3 3" xfId="16429" xr:uid="{00000000-0005-0000-0000-0000B9210000}"/>
    <cellStyle name="Remarque 2 2 3 2 8 3 4" xfId="40389" xr:uid="{00000000-0005-0000-0000-0000BA210000}"/>
    <cellStyle name="Remarque 2 2 3 2 8 4" xfId="6562" xr:uid="{00000000-0005-0000-0000-0000BB210000}"/>
    <cellStyle name="Remarque 2 2 3 2 8 4 2" xfId="30576" xr:uid="{00000000-0005-0000-0000-0000BC210000}"/>
    <cellStyle name="Remarque 2 2 3 2 8 4 2 2" xfId="54536" xr:uid="{00000000-0005-0000-0000-0000BD210000}"/>
    <cellStyle name="Remarque 2 2 3 2 8 4 3" xfId="17823" xr:uid="{00000000-0005-0000-0000-0000BE210000}"/>
    <cellStyle name="Remarque 2 2 3 2 8 4 4" xfId="41783" xr:uid="{00000000-0005-0000-0000-0000BF210000}"/>
    <cellStyle name="Remarque 2 2 3 2 8 5" xfId="7950" xr:uid="{00000000-0005-0000-0000-0000C0210000}"/>
    <cellStyle name="Remarque 2 2 3 2 8 5 2" xfId="31964" xr:uid="{00000000-0005-0000-0000-0000C1210000}"/>
    <cellStyle name="Remarque 2 2 3 2 8 5 2 2" xfId="55924" xr:uid="{00000000-0005-0000-0000-0000C2210000}"/>
    <cellStyle name="Remarque 2 2 3 2 8 5 3" xfId="19211" xr:uid="{00000000-0005-0000-0000-0000C3210000}"/>
    <cellStyle name="Remarque 2 2 3 2 8 5 4" xfId="43171" xr:uid="{00000000-0005-0000-0000-0000C4210000}"/>
    <cellStyle name="Remarque 2 2 3 2 8 6" xfId="9335" xr:uid="{00000000-0005-0000-0000-0000C5210000}"/>
    <cellStyle name="Remarque 2 2 3 2 8 6 2" xfId="33349" xr:uid="{00000000-0005-0000-0000-0000C6210000}"/>
    <cellStyle name="Remarque 2 2 3 2 8 6 2 2" xfId="57309" xr:uid="{00000000-0005-0000-0000-0000C7210000}"/>
    <cellStyle name="Remarque 2 2 3 2 8 6 3" xfId="20596" xr:uid="{00000000-0005-0000-0000-0000C8210000}"/>
    <cellStyle name="Remarque 2 2 3 2 8 6 4" xfId="44556" xr:uid="{00000000-0005-0000-0000-0000C9210000}"/>
    <cellStyle name="Remarque 2 2 3 2 8 7" xfId="10792" xr:uid="{00000000-0005-0000-0000-0000CA210000}"/>
    <cellStyle name="Remarque 2 2 3 2 8 7 2" xfId="34802" xr:uid="{00000000-0005-0000-0000-0000CB210000}"/>
    <cellStyle name="Remarque 2 2 3 2 8 7 2 2" xfId="58762" xr:uid="{00000000-0005-0000-0000-0000CC210000}"/>
    <cellStyle name="Remarque 2 2 3 2 8 7 3" xfId="22059" xr:uid="{00000000-0005-0000-0000-0000CD210000}"/>
    <cellStyle name="Remarque 2 2 3 2 8 7 4" xfId="46019" xr:uid="{00000000-0005-0000-0000-0000CE210000}"/>
    <cellStyle name="Remarque 2 2 3 2 8 8" xfId="12184" xr:uid="{00000000-0005-0000-0000-0000CF210000}"/>
    <cellStyle name="Remarque 2 2 3 2 8 8 2" xfId="23467" xr:uid="{00000000-0005-0000-0000-0000D0210000}"/>
    <cellStyle name="Remarque 2 2 3 2 8 8 3" xfId="47427" xr:uid="{00000000-0005-0000-0000-0000D1210000}"/>
    <cellStyle name="Remarque 2 2 3 2 8 9" xfId="2264" xr:uid="{00000000-0005-0000-0000-0000D2210000}"/>
    <cellStyle name="Remarque 2 2 3 2 8 9 2" xfId="26278" xr:uid="{00000000-0005-0000-0000-0000D3210000}"/>
    <cellStyle name="Remarque 2 2 3 2 8 9 3" xfId="50238" xr:uid="{00000000-0005-0000-0000-0000D4210000}"/>
    <cellStyle name="Remarque 2 2 3 2 9" xfId="1021" xr:uid="{00000000-0005-0000-0000-0000D5210000}"/>
    <cellStyle name="Remarque 2 2 3 2 9 10" xfId="25053" xr:uid="{00000000-0005-0000-0000-0000D6210000}"/>
    <cellStyle name="Remarque 2 2 3 2 9 10 2" xfId="49013" xr:uid="{00000000-0005-0000-0000-0000D7210000}"/>
    <cellStyle name="Remarque 2 2 3 2 9 11" xfId="36095" xr:uid="{00000000-0005-0000-0000-0000D8210000}"/>
    <cellStyle name="Remarque 2 2 3 2 9 11 2" xfId="60055" xr:uid="{00000000-0005-0000-0000-0000D9210000}"/>
    <cellStyle name="Remarque 2 2 3 2 9 12" xfId="13718" xr:uid="{00000000-0005-0000-0000-0000DA210000}"/>
    <cellStyle name="Remarque 2 2 3 2 9 13" xfId="37678" xr:uid="{00000000-0005-0000-0000-0000DB210000}"/>
    <cellStyle name="Remarque 2 2 3 2 9 2" xfId="3927" xr:uid="{00000000-0005-0000-0000-0000DC210000}"/>
    <cellStyle name="Remarque 2 2 3 2 9 2 2" xfId="27941" xr:uid="{00000000-0005-0000-0000-0000DD210000}"/>
    <cellStyle name="Remarque 2 2 3 2 9 2 2 2" xfId="51901" xr:uid="{00000000-0005-0000-0000-0000DE210000}"/>
    <cellStyle name="Remarque 2 2 3 2 9 2 3" xfId="15188" xr:uid="{00000000-0005-0000-0000-0000DF210000}"/>
    <cellStyle name="Remarque 2 2 3 2 9 2 4" xfId="39148" xr:uid="{00000000-0005-0000-0000-0000E0210000}"/>
    <cellStyle name="Remarque 2 2 3 2 9 3" xfId="5361" xr:uid="{00000000-0005-0000-0000-0000E1210000}"/>
    <cellStyle name="Remarque 2 2 3 2 9 3 2" xfId="29375" xr:uid="{00000000-0005-0000-0000-0000E2210000}"/>
    <cellStyle name="Remarque 2 2 3 2 9 3 2 2" xfId="53335" xr:uid="{00000000-0005-0000-0000-0000E3210000}"/>
    <cellStyle name="Remarque 2 2 3 2 9 3 3" xfId="16622" xr:uid="{00000000-0005-0000-0000-0000E4210000}"/>
    <cellStyle name="Remarque 2 2 3 2 9 3 4" xfId="40582" xr:uid="{00000000-0005-0000-0000-0000E5210000}"/>
    <cellStyle name="Remarque 2 2 3 2 9 4" xfId="6755" xr:uid="{00000000-0005-0000-0000-0000E6210000}"/>
    <cellStyle name="Remarque 2 2 3 2 9 4 2" xfId="30769" xr:uid="{00000000-0005-0000-0000-0000E7210000}"/>
    <cellStyle name="Remarque 2 2 3 2 9 4 2 2" xfId="54729" xr:uid="{00000000-0005-0000-0000-0000E8210000}"/>
    <cellStyle name="Remarque 2 2 3 2 9 4 3" xfId="18016" xr:uid="{00000000-0005-0000-0000-0000E9210000}"/>
    <cellStyle name="Remarque 2 2 3 2 9 4 4" xfId="41976" xr:uid="{00000000-0005-0000-0000-0000EA210000}"/>
    <cellStyle name="Remarque 2 2 3 2 9 5" xfId="8143" xr:uid="{00000000-0005-0000-0000-0000EB210000}"/>
    <cellStyle name="Remarque 2 2 3 2 9 5 2" xfId="32157" xr:uid="{00000000-0005-0000-0000-0000EC210000}"/>
    <cellStyle name="Remarque 2 2 3 2 9 5 2 2" xfId="56117" xr:uid="{00000000-0005-0000-0000-0000ED210000}"/>
    <cellStyle name="Remarque 2 2 3 2 9 5 3" xfId="19404" xr:uid="{00000000-0005-0000-0000-0000EE210000}"/>
    <cellStyle name="Remarque 2 2 3 2 9 5 4" xfId="43364" xr:uid="{00000000-0005-0000-0000-0000EF210000}"/>
    <cellStyle name="Remarque 2 2 3 2 9 6" xfId="9528" xr:uid="{00000000-0005-0000-0000-0000F0210000}"/>
    <cellStyle name="Remarque 2 2 3 2 9 6 2" xfId="33542" xr:uid="{00000000-0005-0000-0000-0000F1210000}"/>
    <cellStyle name="Remarque 2 2 3 2 9 6 2 2" xfId="57502" xr:uid="{00000000-0005-0000-0000-0000F2210000}"/>
    <cellStyle name="Remarque 2 2 3 2 9 6 3" xfId="20789" xr:uid="{00000000-0005-0000-0000-0000F3210000}"/>
    <cellStyle name="Remarque 2 2 3 2 9 6 4" xfId="44749" xr:uid="{00000000-0005-0000-0000-0000F4210000}"/>
    <cellStyle name="Remarque 2 2 3 2 9 7" xfId="10985" xr:uid="{00000000-0005-0000-0000-0000F5210000}"/>
    <cellStyle name="Remarque 2 2 3 2 9 7 2" xfId="34995" xr:uid="{00000000-0005-0000-0000-0000F6210000}"/>
    <cellStyle name="Remarque 2 2 3 2 9 7 2 2" xfId="58955" xr:uid="{00000000-0005-0000-0000-0000F7210000}"/>
    <cellStyle name="Remarque 2 2 3 2 9 7 3" xfId="22252" xr:uid="{00000000-0005-0000-0000-0000F8210000}"/>
    <cellStyle name="Remarque 2 2 3 2 9 7 4" xfId="46212" xr:uid="{00000000-0005-0000-0000-0000F9210000}"/>
    <cellStyle name="Remarque 2 2 3 2 9 8" xfId="11692" xr:uid="{00000000-0005-0000-0000-0000FA210000}"/>
    <cellStyle name="Remarque 2 2 3 2 9 8 2" xfId="22961" xr:uid="{00000000-0005-0000-0000-0000FB210000}"/>
    <cellStyle name="Remarque 2 2 3 2 9 8 3" xfId="46921" xr:uid="{00000000-0005-0000-0000-0000FC210000}"/>
    <cellStyle name="Remarque 2 2 3 2 9 9" xfId="2457" xr:uid="{00000000-0005-0000-0000-0000FD210000}"/>
    <cellStyle name="Remarque 2 2 3 2 9 9 2" xfId="26471" xr:uid="{00000000-0005-0000-0000-0000FE210000}"/>
    <cellStyle name="Remarque 2 2 3 2 9 9 3" xfId="50431" xr:uid="{00000000-0005-0000-0000-0000FF210000}"/>
    <cellStyle name="Remarque 2 2 3 3" xfId="50" xr:uid="{00000000-0005-0000-0000-000000220000}"/>
    <cellStyle name="Remarque 2 2 3 3 10" xfId="3159" xr:uid="{00000000-0005-0000-0000-000001220000}"/>
    <cellStyle name="Remarque 2 2 3 3 10 2" xfId="27173" xr:uid="{00000000-0005-0000-0000-000002220000}"/>
    <cellStyle name="Remarque 2 2 3 3 10 2 2" xfId="51133" xr:uid="{00000000-0005-0000-0000-000003220000}"/>
    <cellStyle name="Remarque 2 2 3 3 10 3" xfId="14420" xr:uid="{00000000-0005-0000-0000-000004220000}"/>
    <cellStyle name="Remarque 2 2 3 3 10 4" xfId="38380" xr:uid="{00000000-0005-0000-0000-000005220000}"/>
    <cellStyle name="Remarque 2 2 3 3 11" xfId="4593" xr:uid="{00000000-0005-0000-0000-000006220000}"/>
    <cellStyle name="Remarque 2 2 3 3 11 2" xfId="28607" xr:uid="{00000000-0005-0000-0000-000007220000}"/>
    <cellStyle name="Remarque 2 2 3 3 11 2 2" xfId="52567" xr:uid="{00000000-0005-0000-0000-000008220000}"/>
    <cellStyle name="Remarque 2 2 3 3 11 3" xfId="15854" xr:uid="{00000000-0005-0000-0000-000009220000}"/>
    <cellStyle name="Remarque 2 2 3 3 11 4" xfId="39814" xr:uid="{00000000-0005-0000-0000-00000A220000}"/>
    <cellStyle name="Remarque 2 2 3 3 12" xfId="5987" xr:uid="{00000000-0005-0000-0000-00000B220000}"/>
    <cellStyle name="Remarque 2 2 3 3 12 2" xfId="30001" xr:uid="{00000000-0005-0000-0000-00000C220000}"/>
    <cellStyle name="Remarque 2 2 3 3 12 2 2" xfId="53961" xr:uid="{00000000-0005-0000-0000-00000D220000}"/>
    <cellStyle name="Remarque 2 2 3 3 12 3" xfId="17248" xr:uid="{00000000-0005-0000-0000-00000E220000}"/>
    <cellStyle name="Remarque 2 2 3 3 12 4" xfId="41208" xr:uid="{00000000-0005-0000-0000-00000F220000}"/>
    <cellStyle name="Remarque 2 2 3 3 13" xfId="7375" xr:uid="{00000000-0005-0000-0000-000010220000}"/>
    <cellStyle name="Remarque 2 2 3 3 13 2" xfId="31389" xr:uid="{00000000-0005-0000-0000-000011220000}"/>
    <cellStyle name="Remarque 2 2 3 3 13 2 2" xfId="55349" xr:uid="{00000000-0005-0000-0000-000012220000}"/>
    <cellStyle name="Remarque 2 2 3 3 13 3" xfId="18636" xr:uid="{00000000-0005-0000-0000-000013220000}"/>
    <cellStyle name="Remarque 2 2 3 3 13 4" xfId="42596" xr:uid="{00000000-0005-0000-0000-000014220000}"/>
    <cellStyle name="Remarque 2 2 3 3 14" xfId="8760" xr:uid="{00000000-0005-0000-0000-000015220000}"/>
    <cellStyle name="Remarque 2 2 3 3 14 2" xfId="32774" xr:uid="{00000000-0005-0000-0000-000016220000}"/>
    <cellStyle name="Remarque 2 2 3 3 14 2 2" xfId="56734" xr:uid="{00000000-0005-0000-0000-000017220000}"/>
    <cellStyle name="Remarque 2 2 3 3 14 3" xfId="20021" xr:uid="{00000000-0005-0000-0000-000018220000}"/>
    <cellStyle name="Remarque 2 2 3 3 14 4" xfId="43981" xr:uid="{00000000-0005-0000-0000-000019220000}"/>
    <cellStyle name="Remarque 2 2 3 3 15" xfId="10217" xr:uid="{00000000-0005-0000-0000-00001A220000}"/>
    <cellStyle name="Remarque 2 2 3 3 15 2" xfId="34227" xr:uid="{00000000-0005-0000-0000-00001B220000}"/>
    <cellStyle name="Remarque 2 2 3 3 15 2 2" xfId="58187" xr:uid="{00000000-0005-0000-0000-00001C220000}"/>
    <cellStyle name="Remarque 2 2 3 3 15 3" xfId="21484" xr:uid="{00000000-0005-0000-0000-00001D220000}"/>
    <cellStyle name="Remarque 2 2 3 3 15 4" xfId="45444" xr:uid="{00000000-0005-0000-0000-00001E220000}"/>
    <cellStyle name="Remarque 2 2 3 3 16" xfId="10113" xr:uid="{00000000-0005-0000-0000-00001F220000}"/>
    <cellStyle name="Remarque 2 2 3 3 16 2" xfId="21374" xr:uid="{00000000-0005-0000-0000-000020220000}"/>
    <cellStyle name="Remarque 2 2 3 3 16 3" xfId="45334" xr:uid="{00000000-0005-0000-0000-000021220000}"/>
    <cellStyle name="Remarque 2 2 3 3 17" xfId="1689" xr:uid="{00000000-0005-0000-0000-000022220000}"/>
    <cellStyle name="Remarque 2 2 3 3 17 2" xfId="25703" xr:uid="{00000000-0005-0000-0000-000023220000}"/>
    <cellStyle name="Remarque 2 2 3 3 17 3" xfId="49663" xr:uid="{00000000-0005-0000-0000-000024220000}"/>
    <cellStyle name="Remarque 2 2 3 3 18" xfId="24285" xr:uid="{00000000-0005-0000-0000-000025220000}"/>
    <cellStyle name="Remarque 2 2 3 3 18 2" xfId="48245" xr:uid="{00000000-0005-0000-0000-000026220000}"/>
    <cellStyle name="Remarque 2 2 3 3 19" xfId="36659" xr:uid="{00000000-0005-0000-0000-000027220000}"/>
    <cellStyle name="Remarque 2 2 3 3 19 2" xfId="60619" xr:uid="{00000000-0005-0000-0000-000028220000}"/>
    <cellStyle name="Remarque 2 2 3 3 2" xfId="428" xr:uid="{00000000-0005-0000-0000-000029220000}"/>
    <cellStyle name="Remarque 2 2 3 3 2 10" xfId="6162" xr:uid="{00000000-0005-0000-0000-00002A220000}"/>
    <cellStyle name="Remarque 2 2 3 3 2 10 2" xfId="30176" xr:uid="{00000000-0005-0000-0000-00002B220000}"/>
    <cellStyle name="Remarque 2 2 3 3 2 10 2 2" xfId="54136" xr:uid="{00000000-0005-0000-0000-00002C220000}"/>
    <cellStyle name="Remarque 2 2 3 3 2 10 3" xfId="17423" xr:uid="{00000000-0005-0000-0000-00002D220000}"/>
    <cellStyle name="Remarque 2 2 3 3 2 10 4" xfId="41383" xr:uid="{00000000-0005-0000-0000-00002E220000}"/>
    <cellStyle name="Remarque 2 2 3 3 2 11" xfId="7550" xr:uid="{00000000-0005-0000-0000-00002F220000}"/>
    <cellStyle name="Remarque 2 2 3 3 2 11 2" xfId="31564" xr:uid="{00000000-0005-0000-0000-000030220000}"/>
    <cellStyle name="Remarque 2 2 3 3 2 11 2 2" xfId="55524" xr:uid="{00000000-0005-0000-0000-000031220000}"/>
    <cellStyle name="Remarque 2 2 3 3 2 11 3" xfId="18811" xr:uid="{00000000-0005-0000-0000-000032220000}"/>
    <cellStyle name="Remarque 2 2 3 3 2 11 4" xfId="42771" xr:uid="{00000000-0005-0000-0000-000033220000}"/>
    <cellStyle name="Remarque 2 2 3 3 2 12" xfId="8935" xr:uid="{00000000-0005-0000-0000-000034220000}"/>
    <cellStyle name="Remarque 2 2 3 3 2 12 2" xfId="32949" xr:uid="{00000000-0005-0000-0000-000035220000}"/>
    <cellStyle name="Remarque 2 2 3 3 2 12 2 2" xfId="56909" xr:uid="{00000000-0005-0000-0000-000036220000}"/>
    <cellStyle name="Remarque 2 2 3 3 2 12 3" xfId="20196" xr:uid="{00000000-0005-0000-0000-000037220000}"/>
    <cellStyle name="Remarque 2 2 3 3 2 12 4" xfId="44156" xr:uid="{00000000-0005-0000-0000-000038220000}"/>
    <cellStyle name="Remarque 2 2 3 3 2 13" xfId="10392" xr:uid="{00000000-0005-0000-0000-000039220000}"/>
    <cellStyle name="Remarque 2 2 3 3 2 13 2" xfId="34402" xr:uid="{00000000-0005-0000-0000-00003A220000}"/>
    <cellStyle name="Remarque 2 2 3 3 2 13 2 2" xfId="58362" xr:uid="{00000000-0005-0000-0000-00003B220000}"/>
    <cellStyle name="Remarque 2 2 3 3 2 13 3" xfId="21659" xr:uid="{00000000-0005-0000-0000-00003C220000}"/>
    <cellStyle name="Remarque 2 2 3 3 2 13 4" xfId="45619" xr:uid="{00000000-0005-0000-0000-00003D220000}"/>
    <cellStyle name="Remarque 2 2 3 3 2 14" xfId="12898" xr:uid="{00000000-0005-0000-0000-00003E220000}"/>
    <cellStyle name="Remarque 2 2 3 3 2 14 2" xfId="24211" xr:uid="{00000000-0005-0000-0000-00003F220000}"/>
    <cellStyle name="Remarque 2 2 3 3 2 14 3" xfId="48171" xr:uid="{00000000-0005-0000-0000-000040220000}"/>
    <cellStyle name="Remarque 2 2 3 3 2 15" xfId="1864" xr:uid="{00000000-0005-0000-0000-000041220000}"/>
    <cellStyle name="Remarque 2 2 3 3 2 15 2" xfId="25878" xr:uid="{00000000-0005-0000-0000-000042220000}"/>
    <cellStyle name="Remarque 2 2 3 3 2 15 3" xfId="49838" xr:uid="{00000000-0005-0000-0000-000043220000}"/>
    <cellStyle name="Remarque 2 2 3 3 2 16" xfId="24460" xr:uid="{00000000-0005-0000-0000-000044220000}"/>
    <cellStyle name="Remarque 2 2 3 3 2 16 2" xfId="48420" xr:uid="{00000000-0005-0000-0000-000045220000}"/>
    <cellStyle name="Remarque 2 2 3 3 2 17" xfId="36530" xr:uid="{00000000-0005-0000-0000-000046220000}"/>
    <cellStyle name="Remarque 2 2 3 3 2 17 2" xfId="60490" xr:uid="{00000000-0005-0000-0000-000047220000}"/>
    <cellStyle name="Remarque 2 2 3 3 2 18" xfId="13125" xr:uid="{00000000-0005-0000-0000-000048220000}"/>
    <cellStyle name="Remarque 2 2 3 3 2 19" xfId="37085" xr:uid="{00000000-0005-0000-0000-000049220000}"/>
    <cellStyle name="Remarque 2 2 3 3 2 2" xfId="564" xr:uid="{00000000-0005-0000-0000-00004A220000}"/>
    <cellStyle name="Remarque 2 2 3 3 2 2 10" xfId="24596" xr:uid="{00000000-0005-0000-0000-00004B220000}"/>
    <cellStyle name="Remarque 2 2 3 3 2 2 10 2" xfId="48556" xr:uid="{00000000-0005-0000-0000-00004C220000}"/>
    <cellStyle name="Remarque 2 2 3 3 2 2 11" xfId="36453" xr:uid="{00000000-0005-0000-0000-00004D220000}"/>
    <cellStyle name="Remarque 2 2 3 3 2 2 11 2" xfId="60413" xr:uid="{00000000-0005-0000-0000-00004E220000}"/>
    <cellStyle name="Remarque 2 2 3 3 2 2 12" xfId="13261" xr:uid="{00000000-0005-0000-0000-00004F220000}"/>
    <cellStyle name="Remarque 2 2 3 3 2 2 13" xfId="37221" xr:uid="{00000000-0005-0000-0000-000050220000}"/>
    <cellStyle name="Remarque 2 2 3 3 2 2 2" xfId="3470" xr:uid="{00000000-0005-0000-0000-000051220000}"/>
    <cellStyle name="Remarque 2 2 3 3 2 2 2 2" xfId="27484" xr:uid="{00000000-0005-0000-0000-000052220000}"/>
    <cellStyle name="Remarque 2 2 3 3 2 2 2 2 2" xfId="51444" xr:uid="{00000000-0005-0000-0000-000053220000}"/>
    <cellStyle name="Remarque 2 2 3 3 2 2 2 3" xfId="14731" xr:uid="{00000000-0005-0000-0000-000054220000}"/>
    <cellStyle name="Remarque 2 2 3 3 2 2 2 4" xfId="38691" xr:uid="{00000000-0005-0000-0000-000055220000}"/>
    <cellStyle name="Remarque 2 2 3 3 2 2 3" xfId="4904" xr:uid="{00000000-0005-0000-0000-000056220000}"/>
    <cellStyle name="Remarque 2 2 3 3 2 2 3 2" xfId="28918" xr:uid="{00000000-0005-0000-0000-000057220000}"/>
    <cellStyle name="Remarque 2 2 3 3 2 2 3 2 2" xfId="52878" xr:uid="{00000000-0005-0000-0000-000058220000}"/>
    <cellStyle name="Remarque 2 2 3 3 2 2 3 3" xfId="16165" xr:uid="{00000000-0005-0000-0000-000059220000}"/>
    <cellStyle name="Remarque 2 2 3 3 2 2 3 4" xfId="40125" xr:uid="{00000000-0005-0000-0000-00005A220000}"/>
    <cellStyle name="Remarque 2 2 3 3 2 2 4" xfId="6298" xr:uid="{00000000-0005-0000-0000-00005B220000}"/>
    <cellStyle name="Remarque 2 2 3 3 2 2 4 2" xfId="30312" xr:uid="{00000000-0005-0000-0000-00005C220000}"/>
    <cellStyle name="Remarque 2 2 3 3 2 2 4 2 2" xfId="54272" xr:uid="{00000000-0005-0000-0000-00005D220000}"/>
    <cellStyle name="Remarque 2 2 3 3 2 2 4 3" xfId="17559" xr:uid="{00000000-0005-0000-0000-00005E220000}"/>
    <cellStyle name="Remarque 2 2 3 3 2 2 4 4" xfId="41519" xr:uid="{00000000-0005-0000-0000-00005F220000}"/>
    <cellStyle name="Remarque 2 2 3 3 2 2 5" xfId="7686" xr:uid="{00000000-0005-0000-0000-000060220000}"/>
    <cellStyle name="Remarque 2 2 3 3 2 2 5 2" xfId="31700" xr:uid="{00000000-0005-0000-0000-000061220000}"/>
    <cellStyle name="Remarque 2 2 3 3 2 2 5 2 2" xfId="55660" xr:uid="{00000000-0005-0000-0000-000062220000}"/>
    <cellStyle name="Remarque 2 2 3 3 2 2 5 3" xfId="18947" xr:uid="{00000000-0005-0000-0000-000063220000}"/>
    <cellStyle name="Remarque 2 2 3 3 2 2 5 4" xfId="42907" xr:uid="{00000000-0005-0000-0000-000064220000}"/>
    <cellStyle name="Remarque 2 2 3 3 2 2 6" xfId="9071" xr:uid="{00000000-0005-0000-0000-000065220000}"/>
    <cellStyle name="Remarque 2 2 3 3 2 2 6 2" xfId="33085" xr:uid="{00000000-0005-0000-0000-000066220000}"/>
    <cellStyle name="Remarque 2 2 3 3 2 2 6 2 2" xfId="57045" xr:uid="{00000000-0005-0000-0000-000067220000}"/>
    <cellStyle name="Remarque 2 2 3 3 2 2 6 3" xfId="20332" xr:uid="{00000000-0005-0000-0000-000068220000}"/>
    <cellStyle name="Remarque 2 2 3 3 2 2 6 4" xfId="44292" xr:uid="{00000000-0005-0000-0000-000069220000}"/>
    <cellStyle name="Remarque 2 2 3 3 2 2 7" xfId="10528" xr:uid="{00000000-0005-0000-0000-00006A220000}"/>
    <cellStyle name="Remarque 2 2 3 3 2 2 7 2" xfId="34538" xr:uid="{00000000-0005-0000-0000-00006B220000}"/>
    <cellStyle name="Remarque 2 2 3 3 2 2 7 2 2" xfId="58498" xr:uid="{00000000-0005-0000-0000-00006C220000}"/>
    <cellStyle name="Remarque 2 2 3 3 2 2 7 3" xfId="21795" xr:uid="{00000000-0005-0000-0000-00006D220000}"/>
    <cellStyle name="Remarque 2 2 3 3 2 2 7 4" xfId="45755" xr:uid="{00000000-0005-0000-0000-00006E220000}"/>
    <cellStyle name="Remarque 2 2 3 3 2 2 8" xfId="11796" xr:uid="{00000000-0005-0000-0000-00006F220000}"/>
    <cellStyle name="Remarque 2 2 3 3 2 2 8 2" xfId="23070" xr:uid="{00000000-0005-0000-0000-000070220000}"/>
    <cellStyle name="Remarque 2 2 3 3 2 2 8 3" xfId="47030" xr:uid="{00000000-0005-0000-0000-000071220000}"/>
    <cellStyle name="Remarque 2 2 3 3 2 2 9" xfId="2000" xr:uid="{00000000-0005-0000-0000-000072220000}"/>
    <cellStyle name="Remarque 2 2 3 3 2 2 9 2" xfId="26014" xr:uid="{00000000-0005-0000-0000-000073220000}"/>
    <cellStyle name="Remarque 2 2 3 3 2 2 9 3" xfId="49974" xr:uid="{00000000-0005-0000-0000-000074220000}"/>
    <cellStyle name="Remarque 2 2 3 3 2 3" xfId="756" xr:uid="{00000000-0005-0000-0000-000075220000}"/>
    <cellStyle name="Remarque 2 2 3 3 2 3 10" xfId="24788" xr:uid="{00000000-0005-0000-0000-000076220000}"/>
    <cellStyle name="Remarque 2 2 3 3 2 3 10 2" xfId="48748" xr:uid="{00000000-0005-0000-0000-000077220000}"/>
    <cellStyle name="Remarque 2 2 3 3 2 3 11" xfId="35999" xr:uid="{00000000-0005-0000-0000-000078220000}"/>
    <cellStyle name="Remarque 2 2 3 3 2 3 11 2" xfId="59959" xr:uid="{00000000-0005-0000-0000-000079220000}"/>
    <cellStyle name="Remarque 2 2 3 3 2 3 12" xfId="13453" xr:uid="{00000000-0005-0000-0000-00007A220000}"/>
    <cellStyle name="Remarque 2 2 3 3 2 3 13" xfId="37413" xr:uid="{00000000-0005-0000-0000-00007B220000}"/>
    <cellStyle name="Remarque 2 2 3 3 2 3 2" xfId="3662" xr:uid="{00000000-0005-0000-0000-00007C220000}"/>
    <cellStyle name="Remarque 2 2 3 3 2 3 2 2" xfId="27676" xr:uid="{00000000-0005-0000-0000-00007D220000}"/>
    <cellStyle name="Remarque 2 2 3 3 2 3 2 2 2" xfId="51636" xr:uid="{00000000-0005-0000-0000-00007E220000}"/>
    <cellStyle name="Remarque 2 2 3 3 2 3 2 3" xfId="14923" xr:uid="{00000000-0005-0000-0000-00007F220000}"/>
    <cellStyle name="Remarque 2 2 3 3 2 3 2 4" xfId="38883" xr:uid="{00000000-0005-0000-0000-000080220000}"/>
    <cellStyle name="Remarque 2 2 3 3 2 3 3" xfId="5096" xr:uid="{00000000-0005-0000-0000-000081220000}"/>
    <cellStyle name="Remarque 2 2 3 3 2 3 3 2" xfId="29110" xr:uid="{00000000-0005-0000-0000-000082220000}"/>
    <cellStyle name="Remarque 2 2 3 3 2 3 3 2 2" xfId="53070" xr:uid="{00000000-0005-0000-0000-000083220000}"/>
    <cellStyle name="Remarque 2 2 3 3 2 3 3 3" xfId="16357" xr:uid="{00000000-0005-0000-0000-000084220000}"/>
    <cellStyle name="Remarque 2 2 3 3 2 3 3 4" xfId="40317" xr:uid="{00000000-0005-0000-0000-000085220000}"/>
    <cellStyle name="Remarque 2 2 3 3 2 3 4" xfId="6490" xr:uid="{00000000-0005-0000-0000-000086220000}"/>
    <cellStyle name="Remarque 2 2 3 3 2 3 4 2" xfId="30504" xr:uid="{00000000-0005-0000-0000-000087220000}"/>
    <cellStyle name="Remarque 2 2 3 3 2 3 4 2 2" xfId="54464" xr:uid="{00000000-0005-0000-0000-000088220000}"/>
    <cellStyle name="Remarque 2 2 3 3 2 3 4 3" xfId="17751" xr:uid="{00000000-0005-0000-0000-000089220000}"/>
    <cellStyle name="Remarque 2 2 3 3 2 3 4 4" xfId="41711" xr:uid="{00000000-0005-0000-0000-00008A220000}"/>
    <cellStyle name="Remarque 2 2 3 3 2 3 5" xfId="7878" xr:uid="{00000000-0005-0000-0000-00008B220000}"/>
    <cellStyle name="Remarque 2 2 3 3 2 3 5 2" xfId="31892" xr:uid="{00000000-0005-0000-0000-00008C220000}"/>
    <cellStyle name="Remarque 2 2 3 3 2 3 5 2 2" xfId="55852" xr:uid="{00000000-0005-0000-0000-00008D220000}"/>
    <cellStyle name="Remarque 2 2 3 3 2 3 5 3" xfId="19139" xr:uid="{00000000-0005-0000-0000-00008E220000}"/>
    <cellStyle name="Remarque 2 2 3 3 2 3 5 4" xfId="43099" xr:uid="{00000000-0005-0000-0000-00008F220000}"/>
    <cellStyle name="Remarque 2 2 3 3 2 3 6" xfId="9263" xr:uid="{00000000-0005-0000-0000-000090220000}"/>
    <cellStyle name="Remarque 2 2 3 3 2 3 6 2" xfId="33277" xr:uid="{00000000-0005-0000-0000-000091220000}"/>
    <cellStyle name="Remarque 2 2 3 3 2 3 6 2 2" xfId="57237" xr:uid="{00000000-0005-0000-0000-000092220000}"/>
    <cellStyle name="Remarque 2 2 3 3 2 3 6 3" xfId="20524" xr:uid="{00000000-0005-0000-0000-000093220000}"/>
    <cellStyle name="Remarque 2 2 3 3 2 3 6 4" xfId="44484" xr:uid="{00000000-0005-0000-0000-000094220000}"/>
    <cellStyle name="Remarque 2 2 3 3 2 3 7" xfId="10720" xr:uid="{00000000-0005-0000-0000-000095220000}"/>
    <cellStyle name="Remarque 2 2 3 3 2 3 7 2" xfId="34730" xr:uid="{00000000-0005-0000-0000-000096220000}"/>
    <cellStyle name="Remarque 2 2 3 3 2 3 7 2 2" xfId="58690" xr:uid="{00000000-0005-0000-0000-000097220000}"/>
    <cellStyle name="Remarque 2 2 3 3 2 3 7 3" xfId="21987" xr:uid="{00000000-0005-0000-0000-000098220000}"/>
    <cellStyle name="Remarque 2 2 3 3 2 3 7 4" xfId="45947" xr:uid="{00000000-0005-0000-0000-000099220000}"/>
    <cellStyle name="Remarque 2 2 3 3 2 3 8" xfId="12016" xr:uid="{00000000-0005-0000-0000-00009A220000}"/>
    <cellStyle name="Remarque 2 2 3 3 2 3 8 2" xfId="23295" xr:uid="{00000000-0005-0000-0000-00009B220000}"/>
    <cellStyle name="Remarque 2 2 3 3 2 3 8 3" xfId="47255" xr:uid="{00000000-0005-0000-0000-00009C220000}"/>
    <cellStyle name="Remarque 2 2 3 3 2 3 9" xfId="2192" xr:uid="{00000000-0005-0000-0000-00009D220000}"/>
    <cellStyle name="Remarque 2 2 3 3 2 3 9 2" xfId="26206" xr:uid="{00000000-0005-0000-0000-00009E220000}"/>
    <cellStyle name="Remarque 2 2 3 3 2 3 9 3" xfId="50166" xr:uid="{00000000-0005-0000-0000-00009F220000}"/>
    <cellStyle name="Remarque 2 2 3 3 2 4" xfId="950" xr:uid="{00000000-0005-0000-0000-0000A0220000}"/>
    <cellStyle name="Remarque 2 2 3 3 2 4 10" xfId="24982" xr:uid="{00000000-0005-0000-0000-0000A1220000}"/>
    <cellStyle name="Remarque 2 2 3 3 2 4 10 2" xfId="48942" xr:uid="{00000000-0005-0000-0000-0000A2220000}"/>
    <cellStyle name="Remarque 2 2 3 3 2 4 11" xfId="24267" xr:uid="{00000000-0005-0000-0000-0000A3220000}"/>
    <cellStyle name="Remarque 2 2 3 3 2 4 11 2" xfId="48227" xr:uid="{00000000-0005-0000-0000-0000A4220000}"/>
    <cellStyle name="Remarque 2 2 3 3 2 4 12" xfId="13647" xr:uid="{00000000-0005-0000-0000-0000A5220000}"/>
    <cellStyle name="Remarque 2 2 3 3 2 4 13" xfId="37607" xr:uid="{00000000-0005-0000-0000-0000A6220000}"/>
    <cellStyle name="Remarque 2 2 3 3 2 4 2" xfId="3856" xr:uid="{00000000-0005-0000-0000-0000A7220000}"/>
    <cellStyle name="Remarque 2 2 3 3 2 4 2 2" xfId="27870" xr:uid="{00000000-0005-0000-0000-0000A8220000}"/>
    <cellStyle name="Remarque 2 2 3 3 2 4 2 2 2" xfId="51830" xr:uid="{00000000-0005-0000-0000-0000A9220000}"/>
    <cellStyle name="Remarque 2 2 3 3 2 4 2 3" xfId="15117" xr:uid="{00000000-0005-0000-0000-0000AA220000}"/>
    <cellStyle name="Remarque 2 2 3 3 2 4 2 4" xfId="39077" xr:uid="{00000000-0005-0000-0000-0000AB220000}"/>
    <cellStyle name="Remarque 2 2 3 3 2 4 3" xfId="5290" xr:uid="{00000000-0005-0000-0000-0000AC220000}"/>
    <cellStyle name="Remarque 2 2 3 3 2 4 3 2" xfId="29304" xr:uid="{00000000-0005-0000-0000-0000AD220000}"/>
    <cellStyle name="Remarque 2 2 3 3 2 4 3 2 2" xfId="53264" xr:uid="{00000000-0005-0000-0000-0000AE220000}"/>
    <cellStyle name="Remarque 2 2 3 3 2 4 3 3" xfId="16551" xr:uid="{00000000-0005-0000-0000-0000AF220000}"/>
    <cellStyle name="Remarque 2 2 3 3 2 4 3 4" xfId="40511" xr:uid="{00000000-0005-0000-0000-0000B0220000}"/>
    <cellStyle name="Remarque 2 2 3 3 2 4 4" xfId="6684" xr:uid="{00000000-0005-0000-0000-0000B1220000}"/>
    <cellStyle name="Remarque 2 2 3 3 2 4 4 2" xfId="30698" xr:uid="{00000000-0005-0000-0000-0000B2220000}"/>
    <cellStyle name="Remarque 2 2 3 3 2 4 4 2 2" xfId="54658" xr:uid="{00000000-0005-0000-0000-0000B3220000}"/>
    <cellStyle name="Remarque 2 2 3 3 2 4 4 3" xfId="17945" xr:uid="{00000000-0005-0000-0000-0000B4220000}"/>
    <cellStyle name="Remarque 2 2 3 3 2 4 4 4" xfId="41905" xr:uid="{00000000-0005-0000-0000-0000B5220000}"/>
    <cellStyle name="Remarque 2 2 3 3 2 4 5" xfId="8072" xr:uid="{00000000-0005-0000-0000-0000B6220000}"/>
    <cellStyle name="Remarque 2 2 3 3 2 4 5 2" xfId="32086" xr:uid="{00000000-0005-0000-0000-0000B7220000}"/>
    <cellStyle name="Remarque 2 2 3 3 2 4 5 2 2" xfId="56046" xr:uid="{00000000-0005-0000-0000-0000B8220000}"/>
    <cellStyle name="Remarque 2 2 3 3 2 4 5 3" xfId="19333" xr:uid="{00000000-0005-0000-0000-0000B9220000}"/>
    <cellStyle name="Remarque 2 2 3 3 2 4 5 4" xfId="43293" xr:uid="{00000000-0005-0000-0000-0000BA220000}"/>
    <cellStyle name="Remarque 2 2 3 3 2 4 6" xfId="9457" xr:uid="{00000000-0005-0000-0000-0000BB220000}"/>
    <cellStyle name="Remarque 2 2 3 3 2 4 6 2" xfId="33471" xr:uid="{00000000-0005-0000-0000-0000BC220000}"/>
    <cellStyle name="Remarque 2 2 3 3 2 4 6 2 2" xfId="57431" xr:uid="{00000000-0005-0000-0000-0000BD220000}"/>
    <cellStyle name="Remarque 2 2 3 3 2 4 6 3" xfId="20718" xr:uid="{00000000-0005-0000-0000-0000BE220000}"/>
    <cellStyle name="Remarque 2 2 3 3 2 4 6 4" xfId="44678" xr:uid="{00000000-0005-0000-0000-0000BF220000}"/>
    <cellStyle name="Remarque 2 2 3 3 2 4 7" xfId="10914" xr:uid="{00000000-0005-0000-0000-0000C0220000}"/>
    <cellStyle name="Remarque 2 2 3 3 2 4 7 2" xfId="34924" xr:uid="{00000000-0005-0000-0000-0000C1220000}"/>
    <cellStyle name="Remarque 2 2 3 3 2 4 7 2 2" xfId="58884" xr:uid="{00000000-0005-0000-0000-0000C2220000}"/>
    <cellStyle name="Remarque 2 2 3 3 2 4 7 3" xfId="22181" xr:uid="{00000000-0005-0000-0000-0000C3220000}"/>
    <cellStyle name="Remarque 2 2 3 3 2 4 7 4" xfId="46141" xr:uid="{00000000-0005-0000-0000-0000C4220000}"/>
    <cellStyle name="Remarque 2 2 3 3 2 4 8" xfId="11863" xr:uid="{00000000-0005-0000-0000-0000C5220000}"/>
    <cellStyle name="Remarque 2 2 3 3 2 4 8 2" xfId="23139" xr:uid="{00000000-0005-0000-0000-0000C6220000}"/>
    <cellStyle name="Remarque 2 2 3 3 2 4 8 3" xfId="47099" xr:uid="{00000000-0005-0000-0000-0000C7220000}"/>
    <cellStyle name="Remarque 2 2 3 3 2 4 9" xfId="2386" xr:uid="{00000000-0005-0000-0000-0000C8220000}"/>
    <cellStyle name="Remarque 2 2 3 3 2 4 9 2" xfId="26400" xr:uid="{00000000-0005-0000-0000-0000C9220000}"/>
    <cellStyle name="Remarque 2 2 3 3 2 4 9 3" xfId="50360" xr:uid="{00000000-0005-0000-0000-0000CA220000}"/>
    <cellStyle name="Remarque 2 2 3 3 2 5" xfId="1143" xr:uid="{00000000-0005-0000-0000-0000CB220000}"/>
    <cellStyle name="Remarque 2 2 3 3 2 5 10" xfId="25175" xr:uid="{00000000-0005-0000-0000-0000CC220000}"/>
    <cellStyle name="Remarque 2 2 3 3 2 5 10 2" xfId="49135" xr:uid="{00000000-0005-0000-0000-0000CD220000}"/>
    <cellStyle name="Remarque 2 2 3 3 2 5 11" xfId="36402" xr:uid="{00000000-0005-0000-0000-0000CE220000}"/>
    <cellStyle name="Remarque 2 2 3 3 2 5 11 2" xfId="60362" xr:uid="{00000000-0005-0000-0000-0000CF220000}"/>
    <cellStyle name="Remarque 2 2 3 3 2 5 12" xfId="13840" xr:uid="{00000000-0005-0000-0000-0000D0220000}"/>
    <cellStyle name="Remarque 2 2 3 3 2 5 13" xfId="37800" xr:uid="{00000000-0005-0000-0000-0000D1220000}"/>
    <cellStyle name="Remarque 2 2 3 3 2 5 2" xfId="4049" xr:uid="{00000000-0005-0000-0000-0000D2220000}"/>
    <cellStyle name="Remarque 2 2 3 3 2 5 2 2" xfId="28063" xr:uid="{00000000-0005-0000-0000-0000D3220000}"/>
    <cellStyle name="Remarque 2 2 3 3 2 5 2 2 2" xfId="52023" xr:uid="{00000000-0005-0000-0000-0000D4220000}"/>
    <cellStyle name="Remarque 2 2 3 3 2 5 2 3" xfId="15310" xr:uid="{00000000-0005-0000-0000-0000D5220000}"/>
    <cellStyle name="Remarque 2 2 3 3 2 5 2 4" xfId="39270" xr:uid="{00000000-0005-0000-0000-0000D6220000}"/>
    <cellStyle name="Remarque 2 2 3 3 2 5 3" xfId="5483" xr:uid="{00000000-0005-0000-0000-0000D7220000}"/>
    <cellStyle name="Remarque 2 2 3 3 2 5 3 2" xfId="29497" xr:uid="{00000000-0005-0000-0000-0000D8220000}"/>
    <cellStyle name="Remarque 2 2 3 3 2 5 3 2 2" xfId="53457" xr:uid="{00000000-0005-0000-0000-0000D9220000}"/>
    <cellStyle name="Remarque 2 2 3 3 2 5 3 3" xfId="16744" xr:uid="{00000000-0005-0000-0000-0000DA220000}"/>
    <cellStyle name="Remarque 2 2 3 3 2 5 3 4" xfId="40704" xr:uid="{00000000-0005-0000-0000-0000DB220000}"/>
    <cellStyle name="Remarque 2 2 3 3 2 5 4" xfId="6877" xr:uid="{00000000-0005-0000-0000-0000DC220000}"/>
    <cellStyle name="Remarque 2 2 3 3 2 5 4 2" xfId="30891" xr:uid="{00000000-0005-0000-0000-0000DD220000}"/>
    <cellStyle name="Remarque 2 2 3 3 2 5 4 2 2" xfId="54851" xr:uid="{00000000-0005-0000-0000-0000DE220000}"/>
    <cellStyle name="Remarque 2 2 3 3 2 5 4 3" xfId="18138" xr:uid="{00000000-0005-0000-0000-0000DF220000}"/>
    <cellStyle name="Remarque 2 2 3 3 2 5 4 4" xfId="42098" xr:uid="{00000000-0005-0000-0000-0000E0220000}"/>
    <cellStyle name="Remarque 2 2 3 3 2 5 5" xfId="8265" xr:uid="{00000000-0005-0000-0000-0000E1220000}"/>
    <cellStyle name="Remarque 2 2 3 3 2 5 5 2" xfId="32279" xr:uid="{00000000-0005-0000-0000-0000E2220000}"/>
    <cellStyle name="Remarque 2 2 3 3 2 5 5 2 2" xfId="56239" xr:uid="{00000000-0005-0000-0000-0000E3220000}"/>
    <cellStyle name="Remarque 2 2 3 3 2 5 5 3" xfId="19526" xr:uid="{00000000-0005-0000-0000-0000E4220000}"/>
    <cellStyle name="Remarque 2 2 3 3 2 5 5 4" xfId="43486" xr:uid="{00000000-0005-0000-0000-0000E5220000}"/>
    <cellStyle name="Remarque 2 2 3 3 2 5 6" xfId="9650" xr:uid="{00000000-0005-0000-0000-0000E6220000}"/>
    <cellStyle name="Remarque 2 2 3 3 2 5 6 2" xfId="33664" xr:uid="{00000000-0005-0000-0000-0000E7220000}"/>
    <cellStyle name="Remarque 2 2 3 3 2 5 6 2 2" xfId="57624" xr:uid="{00000000-0005-0000-0000-0000E8220000}"/>
    <cellStyle name="Remarque 2 2 3 3 2 5 6 3" xfId="20911" xr:uid="{00000000-0005-0000-0000-0000E9220000}"/>
    <cellStyle name="Remarque 2 2 3 3 2 5 6 4" xfId="44871" xr:uid="{00000000-0005-0000-0000-0000EA220000}"/>
    <cellStyle name="Remarque 2 2 3 3 2 5 7" xfId="11107" xr:uid="{00000000-0005-0000-0000-0000EB220000}"/>
    <cellStyle name="Remarque 2 2 3 3 2 5 7 2" xfId="35117" xr:uid="{00000000-0005-0000-0000-0000EC220000}"/>
    <cellStyle name="Remarque 2 2 3 3 2 5 7 2 2" xfId="59077" xr:uid="{00000000-0005-0000-0000-0000ED220000}"/>
    <cellStyle name="Remarque 2 2 3 3 2 5 7 3" xfId="22374" xr:uid="{00000000-0005-0000-0000-0000EE220000}"/>
    <cellStyle name="Remarque 2 2 3 3 2 5 7 4" xfId="46334" xr:uid="{00000000-0005-0000-0000-0000EF220000}"/>
    <cellStyle name="Remarque 2 2 3 3 2 5 8" xfId="12546" xr:uid="{00000000-0005-0000-0000-0000F0220000}"/>
    <cellStyle name="Remarque 2 2 3 3 2 5 8 2" xfId="23844" xr:uid="{00000000-0005-0000-0000-0000F1220000}"/>
    <cellStyle name="Remarque 2 2 3 3 2 5 8 3" xfId="47804" xr:uid="{00000000-0005-0000-0000-0000F2220000}"/>
    <cellStyle name="Remarque 2 2 3 3 2 5 9" xfId="2579" xr:uid="{00000000-0005-0000-0000-0000F3220000}"/>
    <cellStyle name="Remarque 2 2 3 3 2 5 9 2" xfId="26593" xr:uid="{00000000-0005-0000-0000-0000F4220000}"/>
    <cellStyle name="Remarque 2 2 3 3 2 5 9 3" xfId="50553" xr:uid="{00000000-0005-0000-0000-0000F5220000}"/>
    <cellStyle name="Remarque 2 2 3 3 2 6" xfId="1310" xr:uid="{00000000-0005-0000-0000-0000F6220000}"/>
    <cellStyle name="Remarque 2 2 3 3 2 6 10" xfId="25342" xr:uid="{00000000-0005-0000-0000-0000F7220000}"/>
    <cellStyle name="Remarque 2 2 3 3 2 6 10 2" xfId="49302" xr:uid="{00000000-0005-0000-0000-0000F8220000}"/>
    <cellStyle name="Remarque 2 2 3 3 2 6 11" xfId="35892" xr:uid="{00000000-0005-0000-0000-0000F9220000}"/>
    <cellStyle name="Remarque 2 2 3 3 2 6 11 2" xfId="59852" xr:uid="{00000000-0005-0000-0000-0000FA220000}"/>
    <cellStyle name="Remarque 2 2 3 3 2 6 12" xfId="14007" xr:uid="{00000000-0005-0000-0000-0000FB220000}"/>
    <cellStyle name="Remarque 2 2 3 3 2 6 13" xfId="37967" xr:uid="{00000000-0005-0000-0000-0000FC220000}"/>
    <cellStyle name="Remarque 2 2 3 3 2 6 2" xfId="4216" xr:uid="{00000000-0005-0000-0000-0000FD220000}"/>
    <cellStyle name="Remarque 2 2 3 3 2 6 2 2" xfId="28230" xr:uid="{00000000-0005-0000-0000-0000FE220000}"/>
    <cellStyle name="Remarque 2 2 3 3 2 6 2 2 2" xfId="52190" xr:uid="{00000000-0005-0000-0000-0000FF220000}"/>
    <cellStyle name="Remarque 2 2 3 3 2 6 2 3" xfId="15477" xr:uid="{00000000-0005-0000-0000-000000230000}"/>
    <cellStyle name="Remarque 2 2 3 3 2 6 2 4" xfId="39437" xr:uid="{00000000-0005-0000-0000-000001230000}"/>
    <cellStyle name="Remarque 2 2 3 3 2 6 3" xfId="5650" xr:uid="{00000000-0005-0000-0000-000002230000}"/>
    <cellStyle name="Remarque 2 2 3 3 2 6 3 2" xfId="29664" xr:uid="{00000000-0005-0000-0000-000003230000}"/>
    <cellStyle name="Remarque 2 2 3 3 2 6 3 2 2" xfId="53624" xr:uid="{00000000-0005-0000-0000-000004230000}"/>
    <cellStyle name="Remarque 2 2 3 3 2 6 3 3" xfId="16911" xr:uid="{00000000-0005-0000-0000-000005230000}"/>
    <cellStyle name="Remarque 2 2 3 3 2 6 3 4" xfId="40871" xr:uid="{00000000-0005-0000-0000-000006230000}"/>
    <cellStyle name="Remarque 2 2 3 3 2 6 4" xfId="7044" xr:uid="{00000000-0005-0000-0000-000007230000}"/>
    <cellStyle name="Remarque 2 2 3 3 2 6 4 2" xfId="31058" xr:uid="{00000000-0005-0000-0000-000008230000}"/>
    <cellStyle name="Remarque 2 2 3 3 2 6 4 2 2" xfId="55018" xr:uid="{00000000-0005-0000-0000-000009230000}"/>
    <cellStyle name="Remarque 2 2 3 3 2 6 4 3" xfId="18305" xr:uid="{00000000-0005-0000-0000-00000A230000}"/>
    <cellStyle name="Remarque 2 2 3 3 2 6 4 4" xfId="42265" xr:uid="{00000000-0005-0000-0000-00000B230000}"/>
    <cellStyle name="Remarque 2 2 3 3 2 6 5" xfId="8432" xr:uid="{00000000-0005-0000-0000-00000C230000}"/>
    <cellStyle name="Remarque 2 2 3 3 2 6 5 2" xfId="32446" xr:uid="{00000000-0005-0000-0000-00000D230000}"/>
    <cellStyle name="Remarque 2 2 3 3 2 6 5 2 2" xfId="56406" xr:uid="{00000000-0005-0000-0000-00000E230000}"/>
    <cellStyle name="Remarque 2 2 3 3 2 6 5 3" xfId="19693" xr:uid="{00000000-0005-0000-0000-00000F230000}"/>
    <cellStyle name="Remarque 2 2 3 3 2 6 5 4" xfId="43653" xr:uid="{00000000-0005-0000-0000-000010230000}"/>
    <cellStyle name="Remarque 2 2 3 3 2 6 6" xfId="9817" xr:uid="{00000000-0005-0000-0000-000011230000}"/>
    <cellStyle name="Remarque 2 2 3 3 2 6 6 2" xfId="33831" xr:uid="{00000000-0005-0000-0000-000012230000}"/>
    <cellStyle name="Remarque 2 2 3 3 2 6 6 2 2" xfId="57791" xr:uid="{00000000-0005-0000-0000-000013230000}"/>
    <cellStyle name="Remarque 2 2 3 3 2 6 6 3" xfId="21078" xr:uid="{00000000-0005-0000-0000-000014230000}"/>
    <cellStyle name="Remarque 2 2 3 3 2 6 6 4" xfId="45038" xr:uid="{00000000-0005-0000-0000-000015230000}"/>
    <cellStyle name="Remarque 2 2 3 3 2 6 7" xfId="11274" xr:uid="{00000000-0005-0000-0000-000016230000}"/>
    <cellStyle name="Remarque 2 2 3 3 2 6 7 2" xfId="35284" xr:uid="{00000000-0005-0000-0000-000017230000}"/>
    <cellStyle name="Remarque 2 2 3 3 2 6 7 2 2" xfId="59244" xr:uid="{00000000-0005-0000-0000-000018230000}"/>
    <cellStyle name="Remarque 2 2 3 3 2 6 7 3" xfId="22541" xr:uid="{00000000-0005-0000-0000-000019230000}"/>
    <cellStyle name="Remarque 2 2 3 3 2 6 7 4" xfId="46501" xr:uid="{00000000-0005-0000-0000-00001A230000}"/>
    <cellStyle name="Remarque 2 2 3 3 2 6 8" xfId="12403" xr:uid="{00000000-0005-0000-0000-00001B230000}"/>
    <cellStyle name="Remarque 2 2 3 3 2 6 8 2" xfId="23694" xr:uid="{00000000-0005-0000-0000-00001C230000}"/>
    <cellStyle name="Remarque 2 2 3 3 2 6 8 3" xfId="47654" xr:uid="{00000000-0005-0000-0000-00001D230000}"/>
    <cellStyle name="Remarque 2 2 3 3 2 6 9" xfId="2746" xr:uid="{00000000-0005-0000-0000-00001E230000}"/>
    <cellStyle name="Remarque 2 2 3 3 2 6 9 2" xfId="26760" xr:uid="{00000000-0005-0000-0000-00001F230000}"/>
    <cellStyle name="Remarque 2 2 3 3 2 6 9 3" xfId="50720" xr:uid="{00000000-0005-0000-0000-000020230000}"/>
    <cellStyle name="Remarque 2 2 3 3 2 7" xfId="1479" xr:uid="{00000000-0005-0000-0000-000021230000}"/>
    <cellStyle name="Remarque 2 2 3 3 2 7 10" xfId="25511" xr:uid="{00000000-0005-0000-0000-000022230000}"/>
    <cellStyle name="Remarque 2 2 3 3 2 7 10 2" xfId="49471" xr:uid="{00000000-0005-0000-0000-000023230000}"/>
    <cellStyle name="Remarque 2 2 3 3 2 7 11" xfId="36524" xr:uid="{00000000-0005-0000-0000-000024230000}"/>
    <cellStyle name="Remarque 2 2 3 3 2 7 11 2" xfId="60484" xr:uid="{00000000-0005-0000-0000-000025230000}"/>
    <cellStyle name="Remarque 2 2 3 3 2 7 12" xfId="14176" xr:uid="{00000000-0005-0000-0000-000026230000}"/>
    <cellStyle name="Remarque 2 2 3 3 2 7 13" xfId="38136" xr:uid="{00000000-0005-0000-0000-000027230000}"/>
    <cellStyle name="Remarque 2 2 3 3 2 7 2" xfId="4385" xr:uid="{00000000-0005-0000-0000-000028230000}"/>
    <cellStyle name="Remarque 2 2 3 3 2 7 2 2" xfId="28399" xr:uid="{00000000-0005-0000-0000-000029230000}"/>
    <cellStyle name="Remarque 2 2 3 3 2 7 2 2 2" xfId="52359" xr:uid="{00000000-0005-0000-0000-00002A230000}"/>
    <cellStyle name="Remarque 2 2 3 3 2 7 2 3" xfId="15646" xr:uid="{00000000-0005-0000-0000-00002B230000}"/>
    <cellStyle name="Remarque 2 2 3 3 2 7 2 4" xfId="39606" xr:uid="{00000000-0005-0000-0000-00002C230000}"/>
    <cellStyle name="Remarque 2 2 3 3 2 7 3" xfId="5819" xr:uid="{00000000-0005-0000-0000-00002D230000}"/>
    <cellStyle name="Remarque 2 2 3 3 2 7 3 2" xfId="29833" xr:uid="{00000000-0005-0000-0000-00002E230000}"/>
    <cellStyle name="Remarque 2 2 3 3 2 7 3 2 2" xfId="53793" xr:uid="{00000000-0005-0000-0000-00002F230000}"/>
    <cellStyle name="Remarque 2 2 3 3 2 7 3 3" xfId="17080" xr:uid="{00000000-0005-0000-0000-000030230000}"/>
    <cellStyle name="Remarque 2 2 3 3 2 7 3 4" xfId="41040" xr:uid="{00000000-0005-0000-0000-000031230000}"/>
    <cellStyle name="Remarque 2 2 3 3 2 7 4" xfId="7213" xr:uid="{00000000-0005-0000-0000-000032230000}"/>
    <cellStyle name="Remarque 2 2 3 3 2 7 4 2" xfId="31227" xr:uid="{00000000-0005-0000-0000-000033230000}"/>
    <cellStyle name="Remarque 2 2 3 3 2 7 4 2 2" xfId="55187" xr:uid="{00000000-0005-0000-0000-000034230000}"/>
    <cellStyle name="Remarque 2 2 3 3 2 7 4 3" xfId="18474" xr:uid="{00000000-0005-0000-0000-000035230000}"/>
    <cellStyle name="Remarque 2 2 3 3 2 7 4 4" xfId="42434" xr:uid="{00000000-0005-0000-0000-000036230000}"/>
    <cellStyle name="Remarque 2 2 3 3 2 7 5" xfId="8601" xr:uid="{00000000-0005-0000-0000-000037230000}"/>
    <cellStyle name="Remarque 2 2 3 3 2 7 5 2" xfId="32615" xr:uid="{00000000-0005-0000-0000-000038230000}"/>
    <cellStyle name="Remarque 2 2 3 3 2 7 5 2 2" xfId="56575" xr:uid="{00000000-0005-0000-0000-000039230000}"/>
    <cellStyle name="Remarque 2 2 3 3 2 7 5 3" xfId="19862" xr:uid="{00000000-0005-0000-0000-00003A230000}"/>
    <cellStyle name="Remarque 2 2 3 3 2 7 5 4" xfId="43822" xr:uid="{00000000-0005-0000-0000-00003B230000}"/>
    <cellStyle name="Remarque 2 2 3 3 2 7 6" xfId="9986" xr:uid="{00000000-0005-0000-0000-00003C230000}"/>
    <cellStyle name="Remarque 2 2 3 3 2 7 6 2" xfId="34000" xr:uid="{00000000-0005-0000-0000-00003D230000}"/>
    <cellStyle name="Remarque 2 2 3 3 2 7 6 2 2" xfId="57960" xr:uid="{00000000-0005-0000-0000-00003E230000}"/>
    <cellStyle name="Remarque 2 2 3 3 2 7 6 3" xfId="21247" xr:uid="{00000000-0005-0000-0000-00003F230000}"/>
    <cellStyle name="Remarque 2 2 3 3 2 7 6 4" xfId="45207" xr:uid="{00000000-0005-0000-0000-000040230000}"/>
    <cellStyle name="Remarque 2 2 3 3 2 7 7" xfId="11443" xr:uid="{00000000-0005-0000-0000-000041230000}"/>
    <cellStyle name="Remarque 2 2 3 3 2 7 7 2" xfId="35453" xr:uid="{00000000-0005-0000-0000-000042230000}"/>
    <cellStyle name="Remarque 2 2 3 3 2 7 7 2 2" xfId="59413" xr:uid="{00000000-0005-0000-0000-000043230000}"/>
    <cellStyle name="Remarque 2 2 3 3 2 7 7 3" xfId="22710" xr:uid="{00000000-0005-0000-0000-000044230000}"/>
    <cellStyle name="Remarque 2 2 3 3 2 7 7 4" xfId="46670" xr:uid="{00000000-0005-0000-0000-000045230000}"/>
    <cellStyle name="Remarque 2 2 3 3 2 7 8" xfId="12396" xr:uid="{00000000-0005-0000-0000-000046230000}"/>
    <cellStyle name="Remarque 2 2 3 3 2 7 8 2" xfId="23686" xr:uid="{00000000-0005-0000-0000-000047230000}"/>
    <cellStyle name="Remarque 2 2 3 3 2 7 8 3" xfId="47646" xr:uid="{00000000-0005-0000-0000-000048230000}"/>
    <cellStyle name="Remarque 2 2 3 3 2 7 9" xfId="2915" xr:uid="{00000000-0005-0000-0000-000049230000}"/>
    <cellStyle name="Remarque 2 2 3 3 2 7 9 2" xfId="26929" xr:uid="{00000000-0005-0000-0000-00004A230000}"/>
    <cellStyle name="Remarque 2 2 3 3 2 7 9 3" xfId="50889" xr:uid="{00000000-0005-0000-0000-00004B230000}"/>
    <cellStyle name="Remarque 2 2 3 3 2 8" xfId="3334" xr:uid="{00000000-0005-0000-0000-00004C230000}"/>
    <cellStyle name="Remarque 2 2 3 3 2 8 2" xfId="27348" xr:uid="{00000000-0005-0000-0000-00004D230000}"/>
    <cellStyle name="Remarque 2 2 3 3 2 8 2 2" xfId="51308" xr:uid="{00000000-0005-0000-0000-00004E230000}"/>
    <cellStyle name="Remarque 2 2 3 3 2 8 3" xfId="14595" xr:uid="{00000000-0005-0000-0000-00004F230000}"/>
    <cellStyle name="Remarque 2 2 3 3 2 8 4" xfId="38555" xr:uid="{00000000-0005-0000-0000-000050230000}"/>
    <cellStyle name="Remarque 2 2 3 3 2 9" xfId="4768" xr:uid="{00000000-0005-0000-0000-000051230000}"/>
    <cellStyle name="Remarque 2 2 3 3 2 9 2" xfId="28782" xr:uid="{00000000-0005-0000-0000-000052230000}"/>
    <cellStyle name="Remarque 2 2 3 3 2 9 2 2" xfId="52742" xr:uid="{00000000-0005-0000-0000-000053230000}"/>
    <cellStyle name="Remarque 2 2 3 3 2 9 3" xfId="16029" xr:uid="{00000000-0005-0000-0000-000054230000}"/>
    <cellStyle name="Remarque 2 2 3 3 2 9 4" xfId="39989" xr:uid="{00000000-0005-0000-0000-000055230000}"/>
    <cellStyle name="Remarque 2 2 3 3 20" xfId="12950" xr:uid="{00000000-0005-0000-0000-000056230000}"/>
    <cellStyle name="Remarque 2 2 3 3 21" xfId="36910" xr:uid="{00000000-0005-0000-0000-000057230000}"/>
    <cellStyle name="Remarque 2 2 3 3 22" xfId="253" xr:uid="{00000000-0005-0000-0000-000058230000}"/>
    <cellStyle name="Remarque 2 2 3 3 3" xfId="352" xr:uid="{00000000-0005-0000-0000-000059230000}"/>
    <cellStyle name="Remarque 2 2 3 3 3 10" xfId="24384" xr:uid="{00000000-0005-0000-0000-00005A230000}"/>
    <cellStyle name="Remarque 2 2 3 3 3 10 2" xfId="48344" xr:uid="{00000000-0005-0000-0000-00005B230000}"/>
    <cellStyle name="Remarque 2 2 3 3 3 11" xfId="35705" xr:uid="{00000000-0005-0000-0000-00005C230000}"/>
    <cellStyle name="Remarque 2 2 3 3 3 11 2" xfId="59665" xr:uid="{00000000-0005-0000-0000-00005D230000}"/>
    <cellStyle name="Remarque 2 2 3 3 3 12" xfId="13049" xr:uid="{00000000-0005-0000-0000-00005E230000}"/>
    <cellStyle name="Remarque 2 2 3 3 3 13" xfId="37009" xr:uid="{00000000-0005-0000-0000-00005F230000}"/>
    <cellStyle name="Remarque 2 2 3 3 3 2" xfId="3258" xr:uid="{00000000-0005-0000-0000-000060230000}"/>
    <cellStyle name="Remarque 2 2 3 3 3 2 2" xfId="27272" xr:uid="{00000000-0005-0000-0000-000061230000}"/>
    <cellStyle name="Remarque 2 2 3 3 3 2 2 2" xfId="51232" xr:uid="{00000000-0005-0000-0000-000062230000}"/>
    <cellStyle name="Remarque 2 2 3 3 3 2 3" xfId="14519" xr:uid="{00000000-0005-0000-0000-000063230000}"/>
    <cellStyle name="Remarque 2 2 3 3 3 2 4" xfId="38479" xr:uid="{00000000-0005-0000-0000-000064230000}"/>
    <cellStyle name="Remarque 2 2 3 3 3 3" xfId="4692" xr:uid="{00000000-0005-0000-0000-000065230000}"/>
    <cellStyle name="Remarque 2 2 3 3 3 3 2" xfId="28706" xr:uid="{00000000-0005-0000-0000-000066230000}"/>
    <cellStyle name="Remarque 2 2 3 3 3 3 2 2" xfId="52666" xr:uid="{00000000-0005-0000-0000-000067230000}"/>
    <cellStyle name="Remarque 2 2 3 3 3 3 3" xfId="15953" xr:uid="{00000000-0005-0000-0000-000068230000}"/>
    <cellStyle name="Remarque 2 2 3 3 3 3 4" xfId="39913" xr:uid="{00000000-0005-0000-0000-000069230000}"/>
    <cellStyle name="Remarque 2 2 3 3 3 4" xfId="6086" xr:uid="{00000000-0005-0000-0000-00006A230000}"/>
    <cellStyle name="Remarque 2 2 3 3 3 4 2" xfId="30100" xr:uid="{00000000-0005-0000-0000-00006B230000}"/>
    <cellStyle name="Remarque 2 2 3 3 3 4 2 2" xfId="54060" xr:uid="{00000000-0005-0000-0000-00006C230000}"/>
    <cellStyle name="Remarque 2 2 3 3 3 4 3" xfId="17347" xr:uid="{00000000-0005-0000-0000-00006D230000}"/>
    <cellStyle name="Remarque 2 2 3 3 3 4 4" xfId="41307" xr:uid="{00000000-0005-0000-0000-00006E230000}"/>
    <cellStyle name="Remarque 2 2 3 3 3 5" xfId="7474" xr:uid="{00000000-0005-0000-0000-00006F230000}"/>
    <cellStyle name="Remarque 2 2 3 3 3 5 2" xfId="31488" xr:uid="{00000000-0005-0000-0000-000070230000}"/>
    <cellStyle name="Remarque 2 2 3 3 3 5 2 2" xfId="55448" xr:uid="{00000000-0005-0000-0000-000071230000}"/>
    <cellStyle name="Remarque 2 2 3 3 3 5 3" xfId="18735" xr:uid="{00000000-0005-0000-0000-000072230000}"/>
    <cellStyle name="Remarque 2 2 3 3 3 5 4" xfId="42695" xr:uid="{00000000-0005-0000-0000-000073230000}"/>
    <cellStyle name="Remarque 2 2 3 3 3 6" xfId="8859" xr:uid="{00000000-0005-0000-0000-000074230000}"/>
    <cellStyle name="Remarque 2 2 3 3 3 6 2" xfId="32873" xr:uid="{00000000-0005-0000-0000-000075230000}"/>
    <cellStyle name="Remarque 2 2 3 3 3 6 2 2" xfId="56833" xr:uid="{00000000-0005-0000-0000-000076230000}"/>
    <cellStyle name="Remarque 2 2 3 3 3 6 3" xfId="20120" xr:uid="{00000000-0005-0000-0000-000077230000}"/>
    <cellStyle name="Remarque 2 2 3 3 3 6 4" xfId="44080" xr:uid="{00000000-0005-0000-0000-000078230000}"/>
    <cellStyle name="Remarque 2 2 3 3 3 7" xfId="10316" xr:uid="{00000000-0005-0000-0000-000079230000}"/>
    <cellStyle name="Remarque 2 2 3 3 3 7 2" xfId="34326" xr:uid="{00000000-0005-0000-0000-00007A230000}"/>
    <cellStyle name="Remarque 2 2 3 3 3 7 2 2" xfId="58286" xr:uid="{00000000-0005-0000-0000-00007B230000}"/>
    <cellStyle name="Remarque 2 2 3 3 3 7 3" xfId="21583" xr:uid="{00000000-0005-0000-0000-00007C230000}"/>
    <cellStyle name="Remarque 2 2 3 3 3 7 4" xfId="45543" xr:uid="{00000000-0005-0000-0000-00007D230000}"/>
    <cellStyle name="Remarque 2 2 3 3 3 8" xfId="11838" xr:uid="{00000000-0005-0000-0000-00007E230000}"/>
    <cellStyle name="Remarque 2 2 3 3 3 8 2" xfId="23113" xr:uid="{00000000-0005-0000-0000-00007F230000}"/>
    <cellStyle name="Remarque 2 2 3 3 3 8 3" xfId="47073" xr:uid="{00000000-0005-0000-0000-000080230000}"/>
    <cellStyle name="Remarque 2 2 3 3 3 9" xfId="1788" xr:uid="{00000000-0005-0000-0000-000081230000}"/>
    <cellStyle name="Remarque 2 2 3 3 3 9 2" xfId="25802" xr:uid="{00000000-0005-0000-0000-000082230000}"/>
    <cellStyle name="Remarque 2 2 3 3 3 9 3" xfId="49762" xr:uid="{00000000-0005-0000-0000-000083230000}"/>
    <cellStyle name="Remarque 2 2 3 3 4" xfId="488" xr:uid="{00000000-0005-0000-0000-000084230000}"/>
    <cellStyle name="Remarque 2 2 3 3 4 10" xfId="24520" xr:uid="{00000000-0005-0000-0000-000085230000}"/>
    <cellStyle name="Remarque 2 2 3 3 4 10 2" xfId="48480" xr:uid="{00000000-0005-0000-0000-000086230000}"/>
    <cellStyle name="Remarque 2 2 3 3 4 11" xfId="34149" xr:uid="{00000000-0005-0000-0000-000087230000}"/>
    <cellStyle name="Remarque 2 2 3 3 4 11 2" xfId="58109" xr:uid="{00000000-0005-0000-0000-000088230000}"/>
    <cellStyle name="Remarque 2 2 3 3 4 12" xfId="13185" xr:uid="{00000000-0005-0000-0000-000089230000}"/>
    <cellStyle name="Remarque 2 2 3 3 4 13" xfId="37145" xr:uid="{00000000-0005-0000-0000-00008A230000}"/>
    <cellStyle name="Remarque 2 2 3 3 4 2" xfId="3394" xr:uid="{00000000-0005-0000-0000-00008B230000}"/>
    <cellStyle name="Remarque 2 2 3 3 4 2 2" xfId="27408" xr:uid="{00000000-0005-0000-0000-00008C230000}"/>
    <cellStyle name="Remarque 2 2 3 3 4 2 2 2" xfId="51368" xr:uid="{00000000-0005-0000-0000-00008D230000}"/>
    <cellStyle name="Remarque 2 2 3 3 4 2 3" xfId="14655" xr:uid="{00000000-0005-0000-0000-00008E230000}"/>
    <cellStyle name="Remarque 2 2 3 3 4 2 4" xfId="38615" xr:uid="{00000000-0005-0000-0000-00008F230000}"/>
    <cellStyle name="Remarque 2 2 3 3 4 3" xfId="4828" xr:uid="{00000000-0005-0000-0000-000090230000}"/>
    <cellStyle name="Remarque 2 2 3 3 4 3 2" xfId="28842" xr:uid="{00000000-0005-0000-0000-000091230000}"/>
    <cellStyle name="Remarque 2 2 3 3 4 3 2 2" xfId="52802" xr:uid="{00000000-0005-0000-0000-000092230000}"/>
    <cellStyle name="Remarque 2 2 3 3 4 3 3" xfId="16089" xr:uid="{00000000-0005-0000-0000-000093230000}"/>
    <cellStyle name="Remarque 2 2 3 3 4 3 4" xfId="40049" xr:uid="{00000000-0005-0000-0000-000094230000}"/>
    <cellStyle name="Remarque 2 2 3 3 4 4" xfId="6222" xr:uid="{00000000-0005-0000-0000-000095230000}"/>
    <cellStyle name="Remarque 2 2 3 3 4 4 2" xfId="30236" xr:uid="{00000000-0005-0000-0000-000096230000}"/>
    <cellStyle name="Remarque 2 2 3 3 4 4 2 2" xfId="54196" xr:uid="{00000000-0005-0000-0000-000097230000}"/>
    <cellStyle name="Remarque 2 2 3 3 4 4 3" xfId="17483" xr:uid="{00000000-0005-0000-0000-000098230000}"/>
    <cellStyle name="Remarque 2 2 3 3 4 4 4" xfId="41443" xr:uid="{00000000-0005-0000-0000-000099230000}"/>
    <cellStyle name="Remarque 2 2 3 3 4 5" xfId="7610" xr:uid="{00000000-0005-0000-0000-00009A230000}"/>
    <cellStyle name="Remarque 2 2 3 3 4 5 2" xfId="31624" xr:uid="{00000000-0005-0000-0000-00009B230000}"/>
    <cellStyle name="Remarque 2 2 3 3 4 5 2 2" xfId="55584" xr:uid="{00000000-0005-0000-0000-00009C230000}"/>
    <cellStyle name="Remarque 2 2 3 3 4 5 3" xfId="18871" xr:uid="{00000000-0005-0000-0000-00009D230000}"/>
    <cellStyle name="Remarque 2 2 3 3 4 5 4" xfId="42831" xr:uid="{00000000-0005-0000-0000-00009E230000}"/>
    <cellStyle name="Remarque 2 2 3 3 4 6" xfId="8995" xr:uid="{00000000-0005-0000-0000-00009F230000}"/>
    <cellStyle name="Remarque 2 2 3 3 4 6 2" xfId="33009" xr:uid="{00000000-0005-0000-0000-0000A0230000}"/>
    <cellStyle name="Remarque 2 2 3 3 4 6 2 2" xfId="56969" xr:uid="{00000000-0005-0000-0000-0000A1230000}"/>
    <cellStyle name="Remarque 2 2 3 3 4 6 3" xfId="20256" xr:uid="{00000000-0005-0000-0000-0000A2230000}"/>
    <cellStyle name="Remarque 2 2 3 3 4 6 4" xfId="44216" xr:uid="{00000000-0005-0000-0000-0000A3230000}"/>
    <cellStyle name="Remarque 2 2 3 3 4 7" xfId="10452" xr:uid="{00000000-0005-0000-0000-0000A4230000}"/>
    <cellStyle name="Remarque 2 2 3 3 4 7 2" xfId="34462" xr:uid="{00000000-0005-0000-0000-0000A5230000}"/>
    <cellStyle name="Remarque 2 2 3 3 4 7 2 2" xfId="58422" xr:uid="{00000000-0005-0000-0000-0000A6230000}"/>
    <cellStyle name="Remarque 2 2 3 3 4 7 3" xfId="21719" xr:uid="{00000000-0005-0000-0000-0000A7230000}"/>
    <cellStyle name="Remarque 2 2 3 3 4 7 4" xfId="45679" xr:uid="{00000000-0005-0000-0000-0000A8230000}"/>
    <cellStyle name="Remarque 2 2 3 3 4 8" xfId="12784" xr:uid="{00000000-0005-0000-0000-0000A9230000}"/>
    <cellStyle name="Remarque 2 2 3 3 4 8 2" xfId="24093" xr:uid="{00000000-0005-0000-0000-0000AA230000}"/>
    <cellStyle name="Remarque 2 2 3 3 4 8 3" xfId="48053" xr:uid="{00000000-0005-0000-0000-0000AB230000}"/>
    <cellStyle name="Remarque 2 2 3 3 4 9" xfId="1924" xr:uid="{00000000-0005-0000-0000-0000AC230000}"/>
    <cellStyle name="Remarque 2 2 3 3 4 9 2" xfId="25938" xr:uid="{00000000-0005-0000-0000-0000AD230000}"/>
    <cellStyle name="Remarque 2 2 3 3 4 9 3" xfId="49898" xr:uid="{00000000-0005-0000-0000-0000AE230000}"/>
    <cellStyle name="Remarque 2 2 3 3 5" xfId="680" xr:uid="{00000000-0005-0000-0000-0000AF230000}"/>
    <cellStyle name="Remarque 2 2 3 3 5 10" xfId="24712" xr:uid="{00000000-0005-0000-0000-0000B0230000}"/>
    <cellStyle name="Remarque 2 2 3 3 5 10 2" xfId="48672" xr:uid="{00000000-0005-0000-0000-0000B1230000}"/>
    <cellStyle name="Remarque 2 2 3 3 5 11" xfId="35578" xr:uid="{00000000-0005-0000-0000-0000B2230000}"/>
    <cellStyle name="Remarque 2 2 3 3 5 11 2" xfId="59538" xr:uid="{00000000-0005-0000-0000-0000B3230000}"/>
    <cellStyle name="Remarque 2 2 3 3 5 12" xfId="13377" xr:uid="{00000000-0005-0000-0000-0000B4230000}"/>
    <cellStyle name="Remarque 2 2 3 3 5 13" xfId="37337" xr:uid="{00000000-0005-0000-0000-0000B5230000}"/>
    <cellStyle name="Remarque 2 2 3 3 5 2" xfId="3586" xr:uid="{00000000-0005-0000-0000-0000B6230000}"/>
    <cellStyle name="Remarque 2 2 3 3 5 2 2" xfId="27600" xr:uid="{00000000-0005-0000-0000-0000B7230000}"/>
    <cellStyle name="Remarque 2 2 3 3 5 2 2 2" xfId="51560" xr:uid="{00000000-0005-0000-0000-0000B8230000}"/>
    <cellStyle name="Remarque 2 2 3 3 5 2 3" xfId="14847" xr:uid="{00000000-0005-0000-0000-0000B9230000}"/>
    <cellStyle name="Remarque 2 2 3 3 5 2 4" xfId="38807" xr:uid="{00000000-0005-0000-0000-0000BA230000}"/>
    <cellStyle name="Remarque 2 2 3 3 5 3" xfId="5020" xr:uid="{00000000-0005-0000-0000-0000BB230000}"/>
    <cellStyle name="Remarque 2 2 3 3 5 3 2" xfId="29034" xr:uid="{00000000-0005-0000-0000-0000BC230000}"/>
    <cellStyle name="Remarque 2 2 3 3 5 3 2 2" xfId="52994" xr:uid="{00000000-0005-0000-0000-0000BD230000}"/>
    <cellStyle name="Remarque 2 2 3 3 5 3 3" xfId="16281" xr:uid="{00000000-0005-0000-0000-0000BE230000}"/>
    <cellStyle name="Remarque 2 2 3 3 5 3 4" xfId="40241" xr:uid="{00000000-0005-0000-0000-0000BF230000}"/>
    <cellStyle name="Remarque 2 2 3 3 5 4" xfId="6414" xr:uid="{00000000-0005-0000-0000-0000C0230000}"/>
    <cellStyle name="Remarque 2 2 3 3 5 4 2" xfId="30428" xr:uid="{00000000-0005-0000-0000-0000C1230000}"/>
    <cellStyle name="Remarque 2 2 3 3 5 4 2 2" xfId="54388" xr:uid="{00000000-0005-0000-0000-0000C2230000}"/>
    <cellStyle name="Remarque 2 2 3 3 5 4 3" xfId="17675" xr:uid="{00000000-0005-0000-0000-0000C3230000}"/>
    <cellStyle name="Remarque 2 2 3 3 5 4 4" xfId="41635" xr:uid="{00000000-0005-0000-0000-0000C4230000}"/>
    <cellStyle name="Remarque 2 2 3 3 5 5" xfId="7802" xr:uid="{00000000-0005-0000-0000-0000C5230000}"/>
    <cellStyle name="Remarque 2 2 3 3 5 5 2" xfId="31816" xr:uid="{00000000-0005-0000-0000-0000C6230000}"/>
    <cellStyle name="Remarque 2 2 3 3 5 5 2 2" xfId="55776" xr:uid="{00000000-0005-0000-0000-0000C7230000}"/>
    <cellStyle name="Remarque 2 2 3 3 5 5 3" xfId="19063" xr:uid="{00000000-0005-0000-0000-0000C8230000}"/>
    <cellStyle name="Remarque 2 2 3 3 5 5 4" xfId="43023" xr:uid="{00000000-0005-0000-0000-0000C9230000}"/>
    <cellStyle name="Remarque 2 2 3 3 5 6" xfId="9187" xr:uid="{00000000-0005-0000-0000-0000CA230000}"/>
    <cellStyle name="Remarque 2 2 3 3 5 6 2" xfId="33201" xr:uid="{00000000-0005-0000-0000-0000CB230000}"/>
    <cellStyle name="Remarque 2 2 3 3 5 6 2 2" xfId="57161" xr:uid="{00000000-0005-0000-0000-0000CC230000}"/>
    <cellStyle name="Remarque 2 2 3 3 5 6 3" xfId="20448" xr:uid="{00000000-0005-0000-0000-0000CD230000}"/>
    <cellStyle name="Remarque 2 2 3 3 5 6 4" xfId="44408" xr:uid="{00000000-0005-0000-0000-0000CE230000}"/>
    <cellStyle name="Remarque 2 2 3 3 5 7" xfId="10644" xr:uid="{00000000-0005-0000-0000-0000CF230000}"/>
    <cellStyle name="Remarque 2 2 3 3 5 7 2" xfId="34654" xr:uid="{00000000-0005-0000-0000-0000D0230000}"/>
    <cellStyle name="Remarque 2 2 3 3 5 7 2 2" xfId="58614" xr:uid="{00000000-0005-0000-0000-0000D1230000}"/>
    <cellStyle name="Remarque 2 2 3 3 5 7 3" xfId="21911" xr:uid="{00000000-0005-0000-0000-0000D2230000}"/>
    <cellStyle name="Remarque 2 2 3 3 5 7 4" xfId="45871" xr:uid="{00000000-0005-0000-0000-0000D3230000}"/>
    <cellStyle name="Remarque 2 2 3 3 5 8" xfId="11632" xr:uid="{00000000-0005-0000-0000-0000D4230000}"/>
    <cellStyle name="Remarque 2 2 3 3 5 8 2" xfId="22900" xr:uid="{00000000-0005-0000-0000-0000D5230000}"/>
    <cellStyle name="Remarque 2 2 3 3 5 8 3" xfId="46860" xr:uid="{00000000-0005-0000-0000-0000D6230000}"/>
    <cellStyle name="Remarque 2 2 3 3 5 9" xfId="2116" xr:uid="{00000000-0005-0000-0000-0000D7230000}"/>
    <cellStyle name="Remarque 2 2 3 3 5 9 2" xfId="26130" xr:uid="{00000000-0005-0000-0000-0000D8230000}"/>
    <cellStyle name="Remarque 2 2 3 3 5 9 3" xfId="50090" xr:uid="{00000000-0005-0000-0000-0000D9230000}"/>
    <cellStyle name="Remarque 2 2 3 3 6" xfId="874" xr:uid="{00000000-0005-0000-0000-0000DA230000}"/>
    <cellStyle name="Remarque 2 2 3 3 6 10" xfId="24906" xr:uid="{00000000-0005-0000-0000-0000DB230000}"/>
    <cellStyle name="Remarque 2 2 3 3 6 10 2" xfId="48866" xr:uid="{00000000-0005-0000-0000-0000DC230000}"/>
    <cellStyle name="Remarque 2 2 3 3 6 11" xfId="24264" xr:uid="{00000000-0005-0000-0000-0000DD230000}"/>
    <cellStyle name="Remarque 2 2 3 3 6 11 2" xfId="48224" xr:uid="{00000000-0005-0000-0000-0000DE230000}"/>
    <cellStyle name="Remarque 2 2 3 3 6 12" xfId="13571" xr:uid="{00000000-0005-0000-0000-0000DF230000}"/>
    <cellStyle name="Remarque 2 2 3 3 6 13" xfId="37531" xr:uid="{00000000-0005-0000-0000-0000E0230000}"/>
    <cellStyle name="Remarque 2 2 3 3 6 2" xfId="3780" xr:uid="{00000000-0005-0000-0000-0000E1230000}"/>
    <cellStyle name="Remarque 2 2 3 3 6 2 2" xfId="27794" xr:uid="{00000000-0005-0000-0000-0000E2230000}"/>
    <cellStyle name="Remarque 2 2 3 3 6 2 2 2" xfId="51754" xr:uid="{00000000-0005-0000-0000-0000E3230000}"/>
    <cellStyle name="Remarque 2 2 3 3 6 2 3" xfId="15041" xr:uid="{00000000-0005-0000-0000-0000E4230000}"/>
    <cellStyle name="Remarque 2 2 3 3 6 2 4" xfId="39001" xr:uid="{00000000-0005-0000-0000-0000E5230000}"/>
    <cellStyle name="Remarque 2 2 3 3 6 3" xfId="5214" xr:uid="{00000000-0005-0000-0000-0000E6230000}"/>
    <cellStyle name="Remarque 2 2 3 3 6 3 2" xfId="29228" xr:uid="{00000000-0005-0000-0000-0000E7230000}"/>
    <cellStyle name="Remarque 2 2 3 3 6 3 2 2" xfId="53188" xr:uid="{00000000-0005-0000-0000-0000E8230000}"/>
    <cellStyle name="Remarque 2 2 3 3 6 3 3" xfId="16475" xr:uid="{00000000-0005-0000-0000-0000E9230000}"/>
    <cellStyle name="Remarque 2 2 3 3 6 3 4" xfId="40435" xr:uid="{00000000-0005-0000-0000-0000EA230000}"/>
    <cellStyle name="Remarque 2 2 3 3 6 4" xfId="6608" xr:uid="{00000000-0005-0000-0000-0000EB230000}"/>
    <cellStyle name="Remarque 2 2 3 3 6 4 2" xfId="30622" xr:uid="{00000000-0005-0000-0000-0000EC230000}"/>
    <cellStyle name="Remarque 2 2 3 3 6 4 2 2" xfId="54582" xr:uid="{00000000-0005-0000-0000-0000ED230000}"/>
    <cellStyle name="Remarque 2 2 3 3 6 4 3" xfId="17869" xr:uid="{00000000-0005-0000-0000-0000EE230000}"/>
    <cellStyle name="Remarque 2 2 3 3 6 4 4" xfId="41829" xr:uid="{00000000-0005-0000-0000-0000EF230000}"/>
    <cellStyle name="Remarque 2 2 3 3 6 5" xfId="7996" xr:uid="{00000000-0005-0000-0000-0000F0230000}"/>
    <cellStyle name="Remarque 2 2 3 3 6 5 2" xfId="32010" xr:uid="{00000000-0005-0000-0000-0000F1230000}"/>
    <cellStyle name="Remarque 2 2 3 3 6 5 2 2" xfId="55970" xr:uid="{00000000-0005-0000-0000-0000F2230000}"/>
    <cellStyle name="Remarque 2 2 3 3 6 5 3" xfId="19257" xr:uid="{00000000-0005-0000-0000-0000F3230000}"/>
    <cellStyle name="Remarque 2 2 3 3 6 5 4" xfId="43217" xr:uid="{00000000-0005-0000-0000-0000F4230000}"/>
    <cellStyle name="Remarque 2 2 3 3 6 6" xfId="9381" xr:uid="{00000000-0005-0000-0000-0000F5230000}"/>
    <cellStyle name="Remarque 2 2 3 3 6 6 2" xfId="33395" xr:uid="{00000000-0005-0000-0000-0000F6230000}"/>
    <cellStyle name="Remarque 2 2 3 3 6 6 2 2" xfId="57355" xr:uid="{00000000-0005-0000-0000-0000F7230000}"/>
    <cellStyle name="Remarque 2 2 3 3 6 6 3" xfId="20642" xr:uid="{00000000-0005-0000-0000-0000F8230000}"/>
    <cellStyle name="Remarque 2 2 3 3 6 6 4" xfId="44602" xr:uid="{00000000-0005-0000-0000-0000F9230000}"/>
    <cellStyle name="Remarque 2 2 3 3 6 7" xfId="10838" xr:uid="{00000000-0005-0000-0000-0000FA230000}"/>
    <cellStyle name="Remarque 2 2 3 3 6 7 2" xfId="34848" xr:uid="{00000000-0005-0000-0000-0000FB230000}"/>
    <cellStyle name="Remarque 2 2 3 3 6 7 2 2" xfId="58808" xr:uid="{00000000-0005-0000-0000-0000FC230000}"/>
    <cellStyle name="Remarque 2 2 3 3 6 7 3" xfId="22105" xr:uid="{00000000-0005-0000-0000-0000FD230000}"/>
    <cellStyle name="Remarque 2 2 3 3 6 7 4" xfId="46065" xr:uid="{00000000-0005-0000-0000-0000FE230000}"/>
    <cellStyle name="Remarque 2 2 3 3 6 8" xfId="11857" xr:uid="{00000000-0005-0000-0000-0000FF230000}"/>
    <cellStyle name="Remarque 2 2 3 3 6 8 2" xfId="23133" xr:uid="{00000000-0005-0000-0000-000000240000}"/>
    <cellStyle name="Remarque 2 2 3 3 6 8 3" xfId="47093" xr:uid="{00000000-0005-0000-0000-000001240000}"/>
    <cellStyle name="Remarque 2 2 3 3 6 9" xfId="2310" xr:uid="{00000000-0005-0000-0000-000002240000}"/>
    <cellStyle name="Remarque 2 2 3 3 6 9 2" xfId="26324" xr:uid="{00000000-0005-0000-0000-000003240000}"/>
    <cellStyle name="Remarque 2 2 3 3 6 9 3" xfId="50284" xr:uid="{00000000-0005-0000-0000-000004240000}"/>
    <cellStyle name="Remarque 2 2 3 3 7" xfId="1067" xr:uid="{00000000-0005-0000-0000-000005240000}"/>
    <cellStyle name="Remarque 2 2 3 3 7 10" xfId="25099" xr:uid="{00000000-0005-0000-0000-000006240000}"/>
    <cellStyle name="Remarque 2 2 3 3 7 10 2" xfId="49059" xr:uid="{00000000-0005-0000-0000-000007240000}"/>
    <cellStyle name="Remarque 2 2 3 3 7 11" xfId="35986" xr:uid="{00000000-0005-0000-0000-000008240000}"/>
    <cellStyle name="Remarque 2 2 3 3 7 11 2" xfId="59946" xr:uid="{00000000-0005-0000-0000-000009240000}"/>
    <cellStyle name="Remarque 2 2 3 3 7 12" xfId="13764" xr:uid="{00000000-0005-0000-0000-00000A240000}"/>
    <cellStyle name="Remarque 2 2 3 3 7 13" xfId="37724" xr:uid="{00000000-0005-0000-0000-00000B240000}"/>
    <cellStyle name="Remarque 2 2 3 3 7 2" xfId="3973" xr:uid="{00000000-0005-0000-0000-00000C240000}"/>
    <cellStyle name="Remarque 2 2 3 3 7 2 2" xfId="27987" xr:uid="{00000000-0005-0000-0000-00000D240000}"/>
    <cellStyle name="Remarque 2 2 3 3 7 2 2 2" xfId="51947" xr:uid="{00000000-0005-0000-0000-00000E240000}"/>
    <cellStyle name="Remarque 2 2 3 3 7 2 3" xfId="15234" xr:uid="{00000000-0005-0000-0000-00000F240000}"/>
    <cellStyle name="Remarque 2 2 3 3 7 2 4" xfId="39194" xr:uid="{00000000-0005-0000-0000-000010240000}"/>
    <cellStyle name="Remarque 2 2 3 3 7 3" xfId="5407" xr:uid="{00000000-0005-0000-0000-000011240000}"/>
    <cellStyle name="Remarque 2 2 3 3 7 3 2" xfId="29421" xr:uid="{00000000-0005-0000-0000-000012240000}"/>
    <cellStyle name="Remarque 2 2 3 3 7 3 2 2" xfId="53381" xr:uid="{00000000-0005-0000-0000-000013240000}"/>
    <cellStyle name="Remarque 2 2 3 3 7 3 3" xfId="16668" xr:uid="{00000000-0005-0000-0000-000014240000}"/>
    <cellStyle name="Remarque 2 2 3 3 7 3 4" xfId="40628" xr:uid="{00000000-0005-0000-0000-000015240000}"/>
    <cellStyle name="Remarque 2 2 3 3 7 4" xfId="6801" xr:uid="{00000000-0005-0000-0000-000016240000}"/>
    <cellStyle name="Remarque 2 2 3 3 7 4 2" xfId="30815" xr:uid="{00000000-0005-0000-0000-000017240000}"/>
    <cellStyle name="Remarque 2 2 3 3 7 4 2 2" xfId="54775" xr:uid="{00000000-0005-0000-0000-000018240000}"/>
    <cellStyle name="Remarque 2 2 3 3 7 4 3" xfId="18062" xr:uid="{00000000-0005-0000-0000-000019240000}"/>
    <cellStyle name="Remarque 2 2 3 3 7 4 4" xfId="42022" xr:uid="{00000000-0005-0000-0000-00001A240000}"/>
    <cellStyle name="Remarque 2 2 3 3 7 5" xfId="8189" xr:uid="{00000000-0005-0000-0000-00001B240000}"/>
    <cellStyle name="Remarque 2 2 3 3 7 5 2" xfId="32203" xr:uid="{00000000-0005-0000-0000-00001C240000}"/>
    <cellStyle name="Remarque 2 2 3 3 7 5 2 2" xfId="56163" xr:uid="{00000000-0005-0000-0000-00001D240000}"/>
    <cellStyle name="Remarque 2 2 3 3 7 5 3" xfId="19450" xr:uid="{00000000-0005-0000-0000-00001E240000}"/>
    <cellStyle name="Remarque 2 2 3 3 7 5 4" xfId="43410" xr:uid="{00000000-0005-0000-0000-00001F240000}"/>
    <cellStyle name="Remarque 2 2 3 3 7 6" xfId="9574" xr:uid="{00000000-0005-0000-0000-000020240000}"/>
    <cellStyle name="Remarque 2 2 3 3 7 6 2" xfId="33588" xr:uid="{00000000-0005-0000-0000-000021240000}"/>
    <cellStyle name="Remarque 2 2 3 3 7 6 2 2" xfId="57548" xr:uid="{00000000-0005-0000-0000-000022240000}"/>
    <cellStyle name="Remarque 2 2 3 3 7 6 3" xfId="20835" xr:uid="{00000000-0005-0000-0000-000023240000}"/>
    <cellStyle name="Remarque 2 2 3 3 7 6 4" xfId="44795" xr:uid="{00000000-0005-0000-0000-000024240000}"/>
    <cellStyle name="Remarque 2 2 3 3 7 7" xfId="11031" xr:uid="{00000000-0005-0000-0000-000025240000}"/>
    <cellStyle name="Remarque 2 2 3 3 7 7 2" xfId="35041" xr:uid="{00000000-0005-0000-0000-000026240000}"/>
    <cellStyle name="Remarque 2 2 3 3 7 7 2 2" xfId="59001" xr:uid="{00000000-0005-0000-0000-000027240000}"/>
    <cellStyle name="Remarque 2 2 3 3 7 7 3" xfId="22298" xr:uid="{00000000-0005-0000-0000-000028240000}"/>
    <cellStyle name="Remarque 2 2 3 3 7 7 4" xfId="46258" xr:uid="{00000000-0005-0000-0000-000029240000}"/>
    <cellStyle name="Remarque 2 2 3 3 7 8" xfId="12830" xr:uid="{00000000-0005-0000-0000-00002A240000}"/>
    <cellStyle name="Remarque 2 2 3 3 7 8 2" xfId="24141" xr:uid="{00000000-0005-0000-0000-00002B240000}"/>
    <cellStyle name="Remarque 2 2 3 3 7 8 3" xfId="48101" xr:uid="{00000000-0005-0000-0000-00002C240000}"/>
    <cellStyle name="Remarque 2 2 3 3 7 9" xfId="2503" xr:uid="{00000000-0005-0000-0000-00002D240000}"/>
    <cellStyle name="Remarque 2 2 3 3 7 9 2" xfId="26517" xr:uid="{00000000-0005-0000-0000-00002E240000}"/>
    <cellStyle name="Remarque 2 2 3 3 7 9 3" xfId="50477" xr:uid="{00000000-0005-0000-0000-00002F240000}"/>
    <cellStyle name="Remarque 2 2 3 3 8" xfId="1234" xr:uid="{00000000-0005-0000-0000-000030240000}"/>
    <cellStyle name="Remarque 2 2 3 3 8 10" xfId="25266" xr:uid="{00000000-0005-0000-0000-000031240000}"/>
    <cellStyle name="Remarque 2 2 3 3 8 10 2" xfId="49226" xr:uid="{00000000-0005-0000-0000-000032240000}"/>
    <cellStyle name="Remarque 2 2 3 3 8 11" xfId="35984" xr:uid="{00000000-0005-0000-0000-000033240000}"/>
    <cellStyle name="Remarque 2 2 3 3 8 11 2" xfId="59944" xr:uid="{00000000-0005-0000-0000-000034240000}"/>
    <cellStyle name="Remarque 2 2 3 3 8 12" xfId="13931" xr:uid="{00000000-0005-0000-0000-000035240000}"/>
    <cellStyle name="Remarque 2 2 3 3 8 13" xfId="37891" xr:uid="{00000000-0005-0000-0000-000036240000}"/>
    <cellStyle name="Remarque 2 2 3 3 8 2" xfId="4140" xr:uid="{00000000-0005-0000-0000-000037240000}"/>
    <cellStyle name="Remarque 2 2 3 3 8 2 2" xfId="28154" xr:uid="{00000000-0005-0000-0000-000038240000}"/>
    <cellStyle name="Remarque 2 2 3 3 8 2 2 2" xfId="52114" xr:uid="{00000000-0005-0000-0000-000039240000}"/>
    <cellStyle name="Remarque 2 2 3 3 8 2 3" xfId="15401" xr:uid="{00000000-0005-0000-0000-00003A240000}"/>
    <cellStyle name="Remarque 2 2 3 3 8 2 4" xfId="39361" xr:uid="{00000000-0005-0000-0000-00003B240000}"/>
    <cellStyle name="Remarque 2 2 3 3 8 3" xfId="5574" xr:uid="{00000000-0005-0000-0000-00003C240000}"/>
    <cellStyle name="Remarque 2 2 3 3 8 3 2" xfId="29588" xr:uid="{00000000-0005-0000-0000-00003D240000}"/>
    <cellStyle name="Remarque 2 2 3 3 8 3 2 2" xfId="53548" xr:uid="{00000000-0005-0000-0000-00003E240000}"/>
    <cellStyle name="Remarque 2 2 3 3 8 3 3" xfId="16835" xr:uid="{00000000-0005-0000-0000-00003F240000}"/>
    <cellStyle name="Remarque 2 2 3 3 8 3 4" xfId="40795" xr:uid="{00000000-0005-0000-0000-000040240000}"/>
    <cellStyle name="Remarque 2 2 3 3 8 4" xfId="6968" xr:uid="{00000000-0005-0000-0000-000041240000}"/>
    <cellStyle name="Remarque 2 2 3 3 8 4 2" xfId="30982" xr:uid="{00000000-0005-0000-0000-000042240000}"/>
    <cellStyle name="Remarque 2 2 3 3 8 4 2 2" xfId="54942" xr:uid="{00000000-0005-0000-0000-000043240000}"/>
    <cellStyle name="Remarque 2 2 3 3 8 4 3" xfId="18229" xr:uid="{00000000-0005-0000-0000-000044240000}"/>
    <cellStyle name="Remarque 2 2 3 3 8 4 4" xfId="42189" xr:uid="{00000000-0005-0000-0000-000045240000}"/>
    <cellStyle name="Remarque 2 2 3 3 8 5" xfId="8356" xr:uid="{00000000-0005-0000-0000-000046240000}"/>
    <cellStyle name="Remarque 2 2 3 3 8 5 2" xfId="32370" xr:uid="{00000000-0005-0000-0000-000047240000}"/>
    <cellStyle name="Remarque 2 2 3 3 8 5 2 2" xfId="56330" xr:uid="{00000000-0005-0000-0000-000048240000}"/>
    <cellStyle name="Remarque 2 2 3 3 8 5 3" xfId="19617" xr:uid="{00000000-0005-0000-0000-000049240000}"/>
    <cellStyle name="Remarque 2 2 3 3 8 5 4" xfId="43577" xr:uid="{00000000-0005-0000-0000-00004A240000}"/>
    <cellStyle name="Remarque 2 2 3 3 8 6" xfId="9741" xr:uid="{00000000-0005-0000-0000-00004B240000}"/>
    <cellStyle name="Remarque 2 2 3 3 8 6 2" xfId="33755" xr:uid="{00000000-0005-0000-0000-00004C240000}"/>
    <cellStyle name="Remarque 2 2 3 3 8 6 2 2" xfId="57715" xr:uid="{00000000-0005-0000-0000-00004D240000}"/>
    <cellStyle name="Remarque 2 2 3 3 8 6 3" xfId="21002" xr:uid="{00000000-0005-0000-0000-00004E240000}"/>
    <cellStyle name="Remarque 2 2 3 3 8 6 4" xfId="44962" xr:uid="{00000000-0005-0000-0000-00004F240000}"/>
    <cellStyle name="Remarque 2 2 3 3 8 7" xfId="11198" xr:uid="{00000000-0005-0000-0000-000050240000}"/>
    <cellStyle name="Remarque 2 2 3 3 8 7 2" xfId="35208" xr:uid="{00000000-0005-0000-0000-000051240000}"/>
    <cellStyle name="Remarque 2 2 3 3 8 7 2 2" xfId="59168" xr:uid="{00000000-0005-0000-0000-000052240000}"/>
    <cellStyle name="Remarque 2 2 3 3 8 7 3" xfId="22465" xr:uid="{00000000-0005-0000-0000-000053240000}"/>
    <cellStyle name="Remarque 2 2 3 3 8 7 4" xfId="46425" xr:uid="{00000000-0005-0000-0000-000054240000}"/>
    <cellStyle name="Remarque 2 2 3 3 8 8" xfId="12400" xr:uid="{00000000-0005-0000-0000-000055240000}"/>
    <cellStyle name="Remarque 2 2 3 3 8 8 2" xfId="23691" xr:uid="{00000000-0005-0000-0000-000056240000}"/>
    <cellStyle name="Remarque 2 2 3 3 8 8 3" xfId="47651" xr:uid="{00000000-0005-0000-0000-000057240000}"/>
    <cellStyle name="Remarque 2 2 3 3 8 9" xfId="2670" xr:uid="{00000000-0005-0000-0000-000058240000}"/>
    <cellStyle name="Remarque 2 2 3 3 8 9 2" xfId="26684" xr:uid="{00000000-0005-0000-0000-000059240000}"/>
    <cellStyle name="Remarque 2 2 3 3 8 9 3" xfId="50644" xr:uid="{00000000-0005-0000-0000-00005A240000}"/>
    <cellStyle name="Remarque 2 2 3 3 9" xfId="1403" xr:uid="{00000000-0005-0000-0000-00005B240000}"/>
    <cellStyle name="Remarque 2 2 3 3 9 10" xfId="25435" xr:uid="{00000000-0005-0000-0000-00005C240000}"/>
    <cellStyle name="Remarque 2 2 3 3 9 10 2" xfId="49395" xr:uid="{00000000-0005-0000-0000-00005D240000}"/>
    <cellStyle name="Remarque 2 2 3 3 9 11" xfId="36714" xr:uid="{00000000-0005-0000-0000-00005E240000}"/>
    <cellStyle name="Remarque 2 2 3 3 9 11 2" xfId="60674" xr:uid="{00000000-0005-0000-0000-00005F240000}"/>
    <cellStyle name="Remarque 2 2 3 3 9 12" xfId="14100" xr:uid="{00000000-0005-0000-0000-000060240000}"/>
    <cellStyle name="Remarque 2 2 3 3 9 13" xfId="38060" xr:uid="{00000000-0005-0000-0000-000061240000}"/>
    <cellStyle name="Remarque 2 2 3 3 9 2" xfId="4309" xr:uid="{00000000-0005-0000-0000-000062240000}"/>
    <cellStyle name="Remarque 2 2 3 3 9 2 2" xfId="28323" xr:uid="{00000000-0005-0000-0000-000063240000}"/>
    <cellStyle name="Remarque 2 2 3 3 9 2 2 2" xfId="52283" xr:uid="{00000000-0005-0000-0000-000064240000}"/>
    <cellStyle name="Remarque 2 2 3 3 9 2 3" xfId="15570" xr:uid="{00000000-0005-0000-0000-000065240000}"/>
    <cellStyle name="Remarque 2 2 3 3 9 2 4" xfId="39530" xr:uid="{00000000-0005-0000-0000-000066240000}"/>
    <cellStyle name="Remarque 2 2 3 3 9 3" xfId="5743" xr:uid="{00000000-0005-0000-0000-000067240000}"/>
    <cellStyle name="Remarque 2 2 3 3 9 3 2" xfId="29757" xr:uid="{00000000-0005-0000-0000-000068240000}"/>
    <cellStyle name="Remarque 2 2 3 3 9 3 2 2" xfId="53717" xr:uid="{00000000-0005-0000-0000-000069240000}"/>
    <cellStyle name="Remarque 2 2 3 3 9 3 3" xfId="17004" xr:uid="{00000000-0005-0000-0000-00006A240000}"/>
    <cellStyle name="Remarque 2 2 3 3 9 3 4" xfId="40964" xr:uid="{00000000-0005-0000-0000-00006B240000}"/>
    <cellStyle name="Remarque 2 2 3 3 9 4" xfId="7137" xr:uid="{00000000-0005-0000-0000-00006C240000}"/>
    <cellStyle name="Remarque 2 2 3 3 9 4 2" xfId="31151" xr:uid="{00000000-0005-0000-0000-00006D240000}"/>
    <cellStyle name="Remarque 2 2 3 3 9 4 2 2" xfId="55111" xr:uid="{00000000-0005-0000-0000-00006E240000}"/>
    <cellStyle name="Remarque 2 2 3 3 9 4 3" xfId="18398" xr:uid="{00000000-0005-0000-0000-00006F240000}"/>
    <cellStyle name="Remarque 2 2 3 3 9 4 4" xfId="42358" xr:uid="{00000000-0005-0000-0000-000070240000}"/>
    <cellStyle name="Remarque 2 2 3 3 9 5" xfId="8525" xr:uid="{00000000-0005-0000-0000-000071240000}"/>
    <cellStyle name="Remarque 2 2 3 3 9 5 2" xfId="32539" xr:uid="{00000000-0005-0000-0000-000072240000}"/>
    <cellStyle name="Remarque 2 2 3 3 9 5 2 2" xfId="56499" xr:uid="{00000000-0005-0000-0000-000073240000}"/>
    <cellStyle name="Remarque 2 2 3 3 9 5 3" xfId="19786" xr:uid="{00000000-0005-0000-0000-000074240000}"/>
    <cellStyle name="Remarque 2 2 3 3 9 5 4" xfId="43746" xr:uid="{00000000-0005-0000-0000-000075240000}"/>
    <cellStyle name="Remarque 2 2 3 3 9 6" xfId="9910" xr:uid="{00000000-0005-0000-0000-000076240000}"/>
    <cellStyle name="Remarque 2 2 3 3 9 6 2" xfId="33924" xr:uid="{00000000-0005-0000-0000-000077240000}"/>
    <cellStyle name="Remarque 2 2 3 3 9 6 2 2" xfId="57884" xr:uid="{00000000-0005-0000-0000-000078240000}"/>
    <cellStyle name="Remarque 2 2 3 3 9 6 3" xfId="21171" xr:uid="{00000000-0005-0000-0000-000079240000}"/>
    <cellStyle name="Remarque 2 2 3 3 9 6 4" xfId="45131" xr:uid="{00000000-0005-0000-0000-00007A240000}"/>
    <cellStyle name="Remarque 2 2 3 3 9 7" xfId="11367" xr:uid="{00000000-0005-0000-0000-00007B240000}"/>
    <cellStyle name="Remarque 2 2 3 3 9 7 2" xfId="35377" xr:uid="{00000000-0005-0000-0000-00007C240000}"/>
    <cellStyle name="Remarque 2 2 3 3 9 7 2 2" xfId="59337" xr:uid="{00000000-0005-0000-0000-00007D240000}"/>
    <cellStyle name="Remarque 2 2 3 3 9 7 3" xfId="22634" xr:uid="{00000000-0005-0000-0000-00007E240000}"/>
    <cellStyle name="Remarque 2 2 3 3 9 7 4" xfId="46594" xr:uid="{00000000-0005-0000-0000-00007F240000}"/>
    <cellStyle name="Remarque 2 2 3 3 9 8" xfId="11611" xr:uid="{00000000-0005-0000-0000-000080240000}"/>
    <cellStyle name="Remarque 2 2 3 3 9 8 2" xfId="22878" xr:uid="{00000000-0005-0000-0000-000081240000}"/>
    <cellStyle name="Remarque 2 2 3 3 9 8 3" xfId="46838" xr:uid="{00000000-0005-0000-0000-000082240000}"/>
    <cellStyle name="Remarque 2 2 3 3 9 9" xfId="2839" xr:uid="{00000000-0005-0000-0000-000083240000}"/>
    <cellStyle name="Remarque 2 2 3 3 9 9 2" xfId="26853" xr:uid="{00000000-0005-0000-0000-000084240000}"/>
    <cellStyle name="Remarque 2 2 3 3 9 9 3" xfId="50813" xr:uid="{00000000-0005-0000-0000-000085240000}"/>
    <cellStyle name="Remarque 2 2 3 4" xfId="86" xr:uid="{00000000-0005-0000-0000-000086240000}"/>
    <cellStyle name="Remarque 2 2 3 4 10" xfId="36884" xr:uid="{00000000-0005-0000-0000-000087240000}"/>
    <cellStyle name="Remarque 2 2 3 4 11" xfId="227" xr:uid="{00000000-0005-0000-0000-000088240000}"/>
    <cellStyle name="Remarque 2 2 3 4 2" xfId="461" xr:uid="{00000000-0005-0000-0000-000089240000}"/>
    <cellStyle name="Remarque 2 2 3 4 2 10" xfId="6195" xr:uid="{00000000-0005-0000-0000-00008A240000}"/>
    <cellStyle name="Remarque 2 2 3 4 2 10 2" xfId="30209" xr:uid="{00000000-0005-0000-0000-00008B240000}"/>
    <cellStyle name="Remarque 2 2 3 4 2 10 2 2" xfId="54169" xr:uid="{00000000-0005-0000-0000-00008C240000}"/>
    <cellStyle name="Remarque 2 2 3 4 2 10 3" xfId="17456" xr:uid="{00000000-0005-0000-0000-00008D240000}"/>
    <cellStyle name="Remarque 2 2 3 4 2 10 4" xfId="41416" xr:uid="{00000000-0005-0000-0000-00008E240000}"/>
    <cellStyle name="Remarque 2 2 3 4 2 11" xfId="7583" xr:uid="{00000000-0005-0000-0000-00008F240000}"/>
    <cellStyle name="Remarque 2 2 3 4 2 11 2" xfId="31597" xr:uid="{00000000-0005-0000-0000-000090240000}"/>
    <cellStyle name="Remarque 2 2 3 4 2 11 2 2" xfId="55557" xr:uid="{00000000-0005-0000-0000-000091240000}"/>
    <cellStyle name="Remarque 2 2 3 4 2 11 3" xfId="18844" xr:uid="{00000000-0005-0000-0000-000092240000}"/>
    <cellStyle name="Remarque 2 2 3 4 2 11 4" xfId="42804" xr:uid="{00000000-0005-0000-0000-000093240000}"/>
    <cellStyle name="Remarque 2 2 3 4 2 12" xfId="8968" xr:uid="{00000000-0005-0000-0000-000094240000}"/>
    <cellStyle name="Remarque 2 2 3 4 2 12 2" xfId="32982" xr:uid="{00000000-0005-0000-0000-000095240000}"/>
    <cellStyle name="Remarque 2 2 3 4 2 12 2 2" xfId="56942" xr:uid="{00000000-0005-0000-0000-000096240000}"/>
    <cellStyle name="Remarque 2 2 3 4 2 12 3" xfId="20229" xr:uid="{00000000-0005-0000-0000-000097240000}"/>
    <cellStyle name="Remarque 2 2 3 4 2 12 4" xfId="44189" xr:uid="{00000000-0005-0000-0000-000098240000}"/>
    <cellStyle name="Remarque 2 2 3 4 2 13" xfId="10425" xr:uid="{00000000-0005-0000-0000-000099240000}"/>
    <cellStyle name="Remarque 2 2 3 4 2 13 2" xfId="34435" xr:uid="{00000000-0005-0000-0000-00009A240000}"/>
    <cellStyle name="Remarque 2 2 3 4 2 13 2 2" xfId="58395" xr:uid="{00000000-0005-0000-0000-00009B240000}"/>
    <cellStyle name="Remarque 2 2 3 4 2 13 3" xfId="21692" xr:uid="{00000000-0005-0000-0000-00009C240000}"/>
    <cellStyle name="Remarque 2 2 3 4 2 13 4" xfId="45652" xr:uid="{00000000-0005-0000-0000-00009D240000}"/>
    <cellStyle name="Remarque 2 2 3 4 2 14" xfId="11596" xr:uid="{00000000-0005-0000-0000-00009E240000}"/>
    <cellStyle name="Remarque 2 2 3 4 2 14 2" xfId="22863" xr:uid="{00000000-0005-0000-0000-00009F240000}"/>
    <cellStyle name="Remarque 2 2 3 4 2 14 3" xfId="46823" xr:uid="{00000000-0005-0000-0000-0000A0240000}"/>
    <cellStyle name="Remarque 2 2 3 4 2 15" xfId="1897" xr:uid="{00000000-0005-0000-0000-0000A1240000}"/>
    <cellStyle name="Remarque 2 2 3 4 2 15 2" xfId="25911" xr:uid="{00000000-0005-0000-0000-0000A2240000}"/>
    <cellStyle name="Remarque 2 2 3 4 2 15 3" xfId="49871" xr:uid="{00000000-0005-0000-0000-0000A3240000}"/>
    <cellStyle name="Remarque 2 2 3 4 2 16" xfId="24493" xr:uid="{00000000-0005-0000-0000-0000A4240000}"/>
    <cellStyle name="Remarque 2 2 3 4 2 16 2" xfId="48453" xr:uid="{00000000-0005-0000-0000-0000A5240000}"/>
    <cellStyle name="Remarque 2 2 3 4 2 17" xfId="36298" xr:uid="{00000000-0005-0000-0000-0000A6240000}"/>
    <cellStyle name="Remarque 2 2 3 4 2 17 2" xfId="60258" xr:uid="{00000000-0005-0000-0000-0000A7240000}"/>
    <cellStyle name="Remarque 2 2 3 4 2 18" xfId="13158" xr:uid="{00000000-0005-0000-0000-0000A8240000}"/>
    <cellStyle name="Remarque 2 2 3 4 2 19" xfId="37118" xr:uid="{00000000-0005-0000-0000-0000A9240000}"/>
    <cellStyle name="Remarque 2 2 3 4 2 2" xfId="597" xr:uid="{00000000-0005-0000-0000-0000AA240000}"/>
    <cellStyle name="Remarque 2 2 3 4 2 2 10" xfId="24629" xr:uid="{00000000-0005-0000-0000-0000AB240000}"/>
    <cellStyle name="Remarque 2 2 3 4 2 2 10 2" xfId="48589" xr:uid="{00000000-0005-0000-0000-0000AC240000}"/>
    <cellStyle name="Remarque 2 2 3 4 2 2 11" xfId="35764" xr:uid="{00000000-0005-0000-0000-0000AD240000}"/>
    <cellStyle name="Remarque 2 2 3 4 2 2 11 2" xfId="59724" xr:uid="{00000000-0005-0000-0000-0000AE240000}"/>
    <cellStyle name="Remarque 2 2 3 4 2 2 12" xfId="13294" xr:uid="{00000000-0005-0000-0000-0000AF240000}"/>
    <cellStyle name="Remarque 2 2 3 4 2 2 13" xfId="37254" xr:uid="{00000000-0005-0000-0000-0000B0240000}"/>
    <cellStyle name="Remarque 2 2 3 4 2 2 2" xfId="3503" xr:uid="{00000000-0005-0000-0000-0000B1240000}"/>
    <cellStyle name="Remarque 2 2 3 4 2 2 2 2" xfId="27517" xr:uid="{00000000-0005-0000-0000-0000B2240000}"/>
    <cellStyle name="Remarque 2 2 3 4 2 2 2 2 2" xfId="51477" xr:uid="{00000000-0005-0000-0000-0000B3240000}"/>
    <cellStyle name="Remarque 2 2 3 4 2 2 2 3" xfId="14764" xr:uid="{00000000-0005-0000-0000-0000B4240000}"/>
    <cellStyle name="Remarque 2 2 3 4 2 2 2 4" xfId="38724" xr:uid="{00000000-0005-0000-0000-0000B5240000}"/>
    <cellStyle name="Remarque 2 2 3 4 2 2 3" xfId="4937" xr:uid="{00000000-0005-0000-0000-0000B6240000}"/>
    <cellStyle name="Remarque 2 2 3 4 2 2 3 2" xfId="28951" xr:uid="{00000000-0005-0000-0000-0000B7240000}"/>
    <cellStyle name="Remarque 2 2 3 4 2 2 3 2 2" xfId="52911" xr:uid="{00000000-0005-0000-0000-0000B8240000}"/>
    <cellStyle name="Remarque 2 2 3 4 2 2 3 3" xfId="16198" xr:uid="{00000000-0005-0000-0000-0000B9240000}"/>
    <cellStyle name="Remarque 2 2 3 4 2 2 3 4" xfId="40158" xr:uid="{00000000-0005-0000-0000-0000BA240000}"/>
    <cellStyle name="Remarque 2 2 3 4 2 2 4" xfId="6331" xr:uid="{00000000-0005-0000-0000-0000BB240000}"/>
    <cellStyle name="Remarque 2 2 3 4 2 2 4 2" xfId="30345" xr:uid="{00000000-0005-0000-0000-0000BC240000}"/>
    <cellStyle name="Remarque 2 2 3 4 2 2 4 2 2" xfId="54305" xr:uid="{00000000-0005-0000-0000-0000BD240000}"/>
    <cellStyle name="Remarque 2 2 3 4 2 2 4 3" xfId="17592" xr:uid="{00000000-0005-0000-0000-0000BE240000}"/>
    <cellStyle name="Remarque 2 2 3 4 2 2 4 4" xfId="41552" xr:uid="{00000000-0005-0000-0000-0000BF240000}"/>
    <cellStyle name="Remarque 2 2 3 4 2 2 5" xfId="7719" xr:uid="{00000000-0005-0000-0000-0000C0240000}"/>
    <cellStyle name="Remarque 2 2 3 4 2 2 5 2" xfId="31733" xr:uid="{00000000-0005-0000-0000-0000C1240000}"/>
    <cellStyle name="Remarque 2 2 3 4 2 2 5 2 2" xfId="55693" xr:uid="{00000000-0005-0000-0000-0000C2240000}"/>
    <cellStyle name="Remarque 2 2 3 4 2 2 5 3" xfId="18980" xr:uid="{00000000-0005-0000-0000-0000C3240000}"/>
    <cellStyle name="Remarque 2 2 3 4 2 2 5 4" xfId="42940" xr:uid="{00000000-0005-0000-0000-0000C4240000}"/>
    <cellStyle name="Remarque 2 2 3 4 2 2 6" xfId="9104" xr:uid="{00000000-0005-0000-0000-0000C5240000}"/>
    <cellStyle name="Remarque 2 2 3 4 2 2 6 2" xfId="33118" xr:uid="{00000000-0005-0000-0000-0000C6240000}"/>
    <cellStyle name="Remarque 2 2 3 4 2 2 6 2 2" xfId="57078" xr:uid="{00000000-0005-0000-0000-0000C7240000}"/>
    <cellStyle name="Remarque 2 2 3 4 2 2 6 3" xfId="20365" xr:uid="{00000000-0005-0000-0000-0000C8240000}"/>
    <cellStyle name="Remarque 2 2 3 4 2 2 6 4" xfId="44325" xr:uid="{00000000-0005-0000-0000-0000C9240000}"/>
    <cellStyle name="Remarque 2 2 3 4 2 2 7" xfId="10561" xr:uid="{00000000-0005-0000-0000-0000CA240000}"/>
    <cellStyle name="Remarque 2 2 3 4 2 2 7 2" xfId="34571" xr:uid="{00000000-0005-0000-0000-0000CB240000}"/>
    <cellStyle name="Remarque 2 2 3 4 2 2 7 2 2" xfId="58531" xr:uid="{00000000-0005-0000-0000-0000CC240000}"/>
    <cellStyle name="Remarque 2 2 3 4 2 2 7 3" xfId="21828" xr:uid="{00000000-0005-0000-0000-0000CD240000}"/>
    <cellStyle name="Remarque 2 2 3 4 2 2 7 4" xfId="45788" xr:uid="{00000000-0005-0000-0000-0000CE240000}"/>
    <cellStyle name="Remarque 2 2 3 4 2 2 8" xfId="12134" xr:uid="{00000000-0005-0000-0000-0000CF240000}"/>
    <cellStyle name="Remarque 2 2 3 4 2 2 8 2" xfId="23417" xr:uid="{00000000-0005-0000-0000-0000D0240000}"/>
    <cellStyle name="Remarque 2 2 3 4 2 2 8 3" xfId="47377" xr:uid="{00000000-0005-0000-0000-0000D1240000}"/>
    <cellStyle name="Remarque 2 2 3 4 2 2 9" xfId="2033" xr:uid="{00000000-0005-0000-0000-0000D2240000}"/>
    <cellStyle name="Remarque 2 2 3 4 2 2 9 2" xfId="26047" xr:uid="{00000000-0005-0000-0000-0000D3240000}"/>
    <cellStyle name="Remarque 2 2 3 4 2 2 9 3" xfId="50007" xr:uid="{00000000-0005-0000-0000-0000D4240000}"/>
    <cellStyle name="Remarque 2 2 3 4 2 3" xfId="789" xr:uid="{00000000-0005-0000-0000-0000D5240000}"/>
    <cellStyle name="Remarque 2 2 3 4 2 3 10" xfId="24821" xr:uid="{00000000-0005-0000-0000-0000D6240000}"/>
    <cellStyle name="Remarque 2 2 3 4 2 3 10 2" xfId="48781" xr:uid="{00000000-0005-0000-0000-0000D7240000}"/>
    <cellStyle name="Remarque 2 2 3 4 2 3 11" xfId="21406" xr:uid="{00000000-0005-0000-0000-0000D8240000}"/>
    <cellStyle name="Remarque 2 2 3 4 2 3 11 2" xfId="45366" xr:uid="{00000000-0005-0000-0000-0000D9240000}"/>
    <cellStyle name="Remarque 2 2 3 4 2 3 12" xfId="13486" xr:uid="{00000000-0005-0000-0000-0000DA240000}"/>
    <cellStyle name="Remarque 2 2 3 4 2 3 13" xfId="37446" xr:uid="{00000000-0005-0000-0000-0000DB240000}"/>
    <cellStyle name="Remarque 2 2 3 4 2 3 2" xfId="3695" xr:uid="{00000000-0005-0000-0000-0000DC240000}"/>
    <cellStyle name="Remarque 2 2 3 4 2 3 2 2" xfId="27709" xr:uid="{00000000-0005-0000-0000-0000DD240000}"/>
    <cellStyle name="Remarque 2 2 3 4 2 3 2 2 2" xfId="51669" xr:uid="{00000000-0005-0000-0000-0000DE240000}"/>
    <cellStyle name="Remarque 2 2 3 4 2 3 2 3" xfId="14956" xr:uid="{00000000-0005-0000-0000-0000DF240000}"/>
    <cellStyle name="Remarque 2 2 3 4 2 3 2 4" xfId="38916" xr:uid="{00000000-0005-0000-0000-0000E0240000}"/>
    <cellStyle name="Remarque 2 2 3 4 2 3 3" xfId="5129" xr:uid="{00000000-0005-0000-0000-0000E1240000}"/>
    <cellStyle name="Remarque 2 2 3 4 2 3 3 2" xfId="29143" xr:uid="{00000000-0005-0000-0000-0000E2240000}"/>
    <cellStyle name="Remarque 2 2 3 4 2 3 3 2 2" xfId="53103" xr:uid="{00000000-0005-0000-0000-0000E3240000}"/>
    <cellStyle name="Remarque 2 2 3 4 2 3 3 3" xfId="16390" xr:uid="{00000000-0005-0000-0000-0000E4240000}"/>
    <cellStyle name="Remarque 2 2 3 4 2 3 3 4" xfId="40350" xr:uid="{00000000-0005-0000-0000-0000E5240000}"/>
    <cellStyle name="Remarque 2 2 3 4 2 3 4" xfId="6523" xr:uid="{00000000-0005-0000-0000-0000E6240000}"/>
    <cellStyle name="Remarque 2 2 3 4 2 3 4 2" xfId="30537" xr:uid="{00000000-0005-0000-0000-0000E7240000}"/>
    <cellStyle name="Remarque 2 2 3 4 2 3 4 2 2" xfId="54497" xr:uid="{00000000-0005-0000-0000-0000E8240000}"/>
    <cellStyle name="Remarque 2 2 3 4 2 3 4 3" xfId="17784" xr:uid="{00000000-0005-0000-0000-0000E9240000}"/>
    <cellStyle name="Remarque 2 2 3 4 2 3 4 4" xfId="41744" xr:uid="{00000000-0005-0000-0000-0000EA240000}"/>
    <cellStyle name="Remarque 2 2 3 4 2 3 5" xfId="7911" xr:uid="{00000000-0005-0000-0000-0000EB240000}"/>
    <cellStyle name="Remarque 2 2 3 4 2 3 5 2" xfId="31925" xr:uid="{00000000-0005-0000-0000-0000EC240000}"/>
    <cellStyle name="Remarque 2 2 3 4 2 3 5 2 2" xfId="55885" xr:uid="{00000000-0005-0000-0000-0000ED240000}"/>
    <cellStyle name="Remarque 2 2 3 4 2 3 5 3" xfId="19172" xr:uid="{00000000-0005-0000-0000-0000EE240000}"/>
    <cellStyle name="Remarque 2 2 3 4 2 3 5 4" xfId="43132" xr:uid="{00000000-0005-0000-0000-0000EF240000}"/>
    <cellStyle name="Remarque 2 2 3 4 2 3 6" xfId="9296" xr:uid="{00000000-0005-0000-0000-0000F0240000}"/>
    <cellStyle name="Remarque 2 2 3 4 2 3 6 2" xfId="33310" xr:uid="{00000000-0005-0000-0000-0000F1240000}"/>
    <cellStyle name="Remarque 2 2 3 4 2 3 6 2 2" xfId="57270" xr:uid="{00000000-0005-0000-0000-0000F2240000}"/>
    <cellStyle name="Remarque 2 2 3 4 2 3 6 3" xfId="20557" xr:uid="{00000000-0005-0000-0000-0000F3240000}"/>
    <cellStyle name="Remarque 2 2 3 4 2 3 6 4" xfId="44517" xr:uid="{00000000-0005-0000-0000-0000F4240000}"/>
    <cellStyle name="Remarque 2 2 3 4 2 3 7" xfId="10753" xr:uid="{00000000-0005-0000-0000-0000F5240000}"/>
    <cellStyle name="Remarque 2 2 3 4 2 3 7 2" xfId="34763" xr:uid="{00000000-0005-0000-0000-0000F6240000}"/>
    <cellStyle name="Remarque 2 2 3 4 2 3 7 2 2" xfId="58723" xr:uid="{00000000-0005-0000-0000-0000F7240000}"/>
    <cellStyle name="Remarque 2 2 3 4 2 3 7 3" xfId="22020" xr:uid="{00000000-0005-0000-0000-0000F8240000}"/>
    <cellStyle name="Remarque 2 2 3 4 2 3 7 4" xfId="45980" xr:uid="{00000000-0005-0000-0000-0000F9240000}"/>
    <cellStyle name="Remarque 2 2 3 4 2 3 8" xfId="12037" xr:uid="{00000000-0005-0000-0000-0000FA240000}"/>
    <cellStyle name="Remarque 2 2 3 4 2 3 8 2" xfId="23317" xr:uid="{00000000-0005-0000-0000-0000FB240000}"/>
    <cellStyle name="Remarque 2 2 3 4 2 3 8 3" xfId="47277" xr:uid="{00000000-0005-0000-0000-0000FC240000}"/>
    <cellStyle name="Remarque 2 2 3 4 2 3 9" xfId="2225" xr:uid="{00000000-0005-0000-0000-0000FD240000}"/>
    <cellStyle name="Remarque 2 2 3 4 2 3 9 2" xfId="26239" xr:uid="{00000000-0005-0000-0000-0000FE240000}"/>
    <cellStyle name="Remarque 2 2 3 4 2 3 9 3" xfId="50199" xr:uid="{00000000-0005-0000-0000-0000FF240000}"/>
    <cellStyle name="Remarque 2 2 3 4 2 4" xfId="983" xr:uid="{00000000-0005-0000-0000-000000250000}"/>
    <cellStyle name="Remarque 2 2 3 4 2 4 10" xfId="25015" xr:uid="{00000000-0005-0000-0000-000001250000}"/>
    <cellStyle name="Remarque 2 2 3 4 2 4 10 2" xfId="48975" xr:uid="{00000000-0005-0000-0000-000002250000}"/>
    <cellStyle name="Remarque 2 2 3 4 2 4 11" xfId="36816" xr:uid="{00000000-0005-0000-0000-000003250000}"/>
    <cellStyle name="Remarque 2 2 3 4 2 4 11 2" xfId="60776" xr:uid="{00000000-0005-0000-0000-000004250000}"/>
    <cellStyle name="Remarque 2 2 3 4 2 4 12" xfId="13680" xr:uid="{00000000-0005-0000-0000-000005250000}"/>
    <cellStyle name="Remarque 2 2 3 4 2 4 13" xfId="37640" xr:uid="{00000000-0005-0000-0000-000006250000}"/>
    <cellStyle name="Remarque 2 2 3 4 2 4 2" xfId="3889" xr:uid="{00000000-0005-0000-0000-000007250000}"/>
    <cellStyle name="Remarque 2 2 3 4 2 4 2 2" xfId="27903" xr:uid="{00000000-0005-0000-0000-000008250000}"/>
    <cellStyle name="Remarque 2 2 3 4 2 4 2 2 2" xfId="51863" xr:uid="{00000000-0005-0000-0000-000009250000}"/>
    <cellStyle name="Remarque 2 2 3 4 2 4 2 3" xfId="15150" xr:uid="{00000000-0005-0000-0000-00000A250000}"/>
    <cellStyle name="Remarque 2 2 3 4 2 4 2 4" xfId="39110" xr:uid="{00000000-0005-0000-0000-00000B250000}"/>
    <cellStyle name="Remarque 2 2 3 4 2 4 3" xfId="5323" xr:uid="{00000000-0005-0000-0000-00000C250000}"/>
    <cellStyle name="Remarque 2 2 3 4 2 4 3 2" xfId="29337" xr:uid="{00000000-0005-0000-0000-00000D250000}"/>
    <cellStyle name="Remarque 2 2 3 4 2 4 3 2 2" xfId="53297" xr:uid="{00000000-0005-0000-0000-00000E250000}"/>
    <cellStyle name="Remarque 2 2 3 4 2 4 3 3" xfId="16584" xr:uid="{00000000-0005-0000-0000-00000F250000}"/>
    <cellStyle name="Remarque 2 2 3 4 2 4 3 4" xfId="40544" xr:uid="{00000000-0005-0000-0000-000010250000}"/>
    <cellStyle name="Remarque 2 2 3 4 2 4 4" xfId="6717" xr:uid="{00000000-0005-0000-0000-000011250000}"/>
    <cellStyle name="Remarque 2 2 3 4 2 4 4 2" xfId="30731" xr:uid="{00000000-0005-0000-0000-000012250000}"/>
    <cellStyle name="Remarque 2 2 3 4 2 4 4 2 2" xfId="54691" xr:uid="{00000000-0005-0000-0000-000013250000}"/>
    <cellStyle name="Remarque 2 2 3 4 2 4 4 3" xfId="17978" xr:uid="{00000000-0005-0000-0000-000014250000}"/>
    <cellStyle name="Remarque 2 2 3 4 2 4 4 4" xfId="41938" xr:uid="{00000000-0005-0000-0000-000015250000}"/>
    <cellStyle name="Remarque 2 2 3 4 2 4 5" xfId="8105" xr:uid="{00000000-0005-0000-0000-000016250000}"/>
    <cellStyle name="Remarque 2 2 3 4 2 4 5 2" xfId="32119" xr:uid="{00000000-0005-0000-0000-000017250000}"/>
    <cellStyle name="Remarque 2 2 3 4 2 4 5 2 2" xfId="56079" xr:uid="{00000000-0005-0000-0000-000018250000}"/>
    <cellStyle name="Remarque 2 2 3 4 2 4 5 3" xfId="19366" xr:uid="{00000000-0005-0000-0000-000019250000}"/>
    <cellStyle name="Remarque 2 2 3 4 2 4 5 4" xfId="43326" xr:uid="{00000000-0005-0000-0000-00001A250000}"/>
    <cellStyle name="Remarque 2 2 3 4 2 4 6" xfId="9490" xr:uid="{00000000-0005-0000-0000-00001B250000}"/>
    <cellStyle name="Remarque 2 2 3 4 2 4 6 2" xfId="33504" xr:uid="{00000000-0005-0000-0000-00001C250000}"/>
    <cellStyle name="Remarque 2 2 3 4 2 4 6 2 2" xfId="57464" xr:uid="{00000000-0005-0000-0000-00001D250000}"/>
    <cellStyle name="Remarque 2 2 3 4 2 4 6 3" xfId="20751" xr:uid="{00000000-0005-0000-0000-00001E250000}"/>
    <cellStyle name="Remarque 2 2 3 4 2 4 6 4" xfId="44711" xr:uid="{00000000-0005-0000-0000-00001F250000}"/>
    <cellStyle name="Remarque 2 2 3 4 2 4 7" xfId="10947" xr:uid="{00000000-0005-0000-0000-000020250000}"/>
    <cellStyle name="Remarque 2 2 3 4 2 4 7 2" xfId="34957" xr:uid="{00000000-0005-0000-0000-000021250000}"/>
    <cellStyle name="Remarque 2 2 3 4 2 4 7 2 2" xfId="58917" xr:uid="{00000000-0005-0000-0000-000022250000}"/>
    <cellStyle name="Remarque 2 2 3 4 2 4 7 3" xfId="22214" xr:uid="{00000000-0005-0000-0000-000023250000}"/>
    <cellStyle name="Remarque 2 2 3 4 2 4 7 4" xfId="46174" xr:uid="{00000000-0005-0000-0000-000024250000}"/>
    <cellStyle name="Remarque 2 2 3 4 2 4 8" xfId="11804" xr:uid="{00000000-0005-0000-0000-000025250000}"/>
    <cellStyle name="Remarque 2 2 3 4 2 4 8 2" xfId="23078" xr:uid="{00000000-0005-0000-0000-000026250000}"/>
    <cellStyle name="Remarque 2 2 3 4 2 4 8 3" xfId="47038" xr:uid="{00000000-0005-0000-0000-000027250000}"/>
    <cellStyle name="Remarque 2 2 3 4 2 4 9" xfId="2419" xr:uid="{00000000-0005-0000-0000-000028250000}"/>
    <cellStyle name="Remarque 2 2 3 4 2 4 9 2" xfId="26433" xr:uid="{00000000-0005-0000-0000-000029250000}"/>
    <cellStyle name="Remarque 2 2 3 4 2 4 9 3" xfId="50393" xr:uid="{00000000-0005-0000-0000-00002A250000}"/>
    <cellStyle name="Remarque 2 2 3 4 2 5" xfId="1176" xr:uid="{00000000-0005-0000-0000-00002B250000}"/>
    <cellStyle name="Remarque 2 2 3 4 2 5 10" xfId="25208" xr:uid="{00000000-0005-0000-0000-00002C250000}"/>
    <cellStyle name="Remarque 2 2 3 4 2 5 10 2" xfId="49168" xr:uid="{00000000-0005-0000-0000-00002D250000}"/>
    <cellStyle name="Remarque 2 2 3 4 2 5 11" xfId="35605" xr:uid="{00000000-0005-0000-0000-00002E250000}"/>
    <cellStyle name="Remarque 2 2 3 4 2 5 11 2" xfId="59565" xr:uid="{00000000-0005-0000-0000-00002F250000}"/>
    <cellStyle name="Remarque 2 2 3 4 2 5 12" xfId="13873" xr:uid="{00000000-0005-0000-0000-000030250000}"/>
    <cellStyle name="Remarque 2 2 3 4 2 5 13" xfId="37833" xr:uid="{00000000-0005-0000-0000-000031250000}"/>
    <cellStyle name="Remarque 2 2 3 4 2 5 2" xfId="4082" xr:uid="{00000000-0005-0000-0000-000032250000}"/>
    <cellStyle name="Remarque 2 2 3 4 2 5 2 2" xfId="28096" xr:uid="{00000000-0005-0000-0000-000033250000}"/>
    <cellStyle name="Remarque 2 2 3 4 2 5 2 2 2" xfId="52056" xr:uid="{00000000-0005-0000-0000-000034250000}"/>
    <cellStyle name="Remarque 2 2 3 4 2 5 2 3" xfId="15343" xr:uid="{00000000-0005-0000-0000-000035250000}"/>
    <cellStyle name="Remarque 2 2 3 4 2 5 2 4" xfId="39303" xr:uid="{00000000-0005-0000-0000-000036250000}"/>
    <cellStyle name="Remarque 2 2 3 4 2 5 3" xfId="5516" xr:uid="{00000000-0005-0000-0000-000037250000}"/>
    <cellStyle name="Remarque 2 2 3 4 2 5 3 2" xfId="29530" xr:uid="{00000000-0005-0000-0000-000038250000}"/>
    <cellStyle name="Remarque 2 2 3 4 2 5 3 2 2" xfId="53490" xr:uid="{00000000-0005-0000-0000-000039250000}"/>
    <cellStyle name="Remarque 2 2 3 4 2 5 3 3" xfId="16777" xr:uid="{00000000-0005-0000-0000-00003A250000}"/>
    <cellStyle name="Remarque 2 2 3 4 2 5 3 4" xfId="40737" xr:uid="{00000000-0005-0000-0000-00003B250000}"/>
    <cellStyle name="Remarque 2 2 3 4 2 5 4" xfId="6910" xr:uid="{00000000-0005-0000-0000-00003C250000}"/>
    <cellStyle name="Remarque 2 2 3 4 2 5 4 2" xfId="30924" xr:uid="{00000000-0005-0000-0000-00003D250000}"/>
    <cellStyle name="Remarque 2 2 3 4 2 5 4 2 2" xfId="54884" xr:uid="{00000000-0005-0000-0000-00003E250000}"/>
    <cellStyle name="Remarque 2 2 3 4 2 5 4 3" xfId="18171" xr:uid="{00000000-0005-0000-0000-00003F250000}"/>
    <cellStyle name="Remarque 2 2 3 4 2 5 4 4" xfId="42131" xr:uid="{00000000-0005-0000-0000-000040250000}"/>
    <cellStyle name="Remarque 2 2 3 4 2 5 5" xfId="8298" xr:uid="{00000000-0005-0000-0000-000041250000}"/>
    <cellStyle name="Remarque 2 2 3 4 2 5 5 2" xfId="32312" xr:uid="{00000000-0005-0000-0000-000042250000}"/>
    <cellStyle name="Remarque 2 2 3 4 2 5 5 2 2" xfId="56272" xr:uid="{00000000-0005-0000-0000-000043250000}"/>
    <cellStyle name="Remarque 2 2 3 4 2 5 5 3" xfId="19559" xr:uid="{00000000-0005-0000-0000-000044250000}"/>
    <cellStyle name="Remarque 2 2 3 4 2 5 5 4" xfId="43519" xr:uid="{00000000-0005-0000-0000-000045250000}"/>
    <cellStyle name="Remarque 2 2 3 4 2 5 6" xfId="9683" xr:uid="{00000000-0005-0000-0000-000046250000}"/>
    <cellStyle name="Remarque 2 2 3 4 2 5 6 2" xfId="33697" xr:uid="{00000000-0005-0000-0000-000047250000}"/>
    <cellStyle name="Remarque 2 2 3 4 2 5 6 2 2" xfId="57657" xr:uid="{00000000-0005-0000-0000-000048250000}"/>
    <cellStyle name="Remarque 2 2 3 4 2 5 6 3" xfId="20944" xr:uid="{00000000-0005-0000-0000-000049250000}"/>
    <cellStyle name="Remarque 2 2 3 4 2 5 6 4" xfId="44904" xr:uid="{00000000-0005-0000-0000-00004A250000}"/>
    <cellStyle name="Remarque 2 2 3 4 2 5 7" xfId="11140" xr:uid="{00000000-0005-0000-0000-00004B250000}"/>
    <cellStyle name="Remarque 2 2 3 4 2 5 7 2" xfId="35150" xr:uid="{00000000-0005-0000-0000-00004C250000}"/>
    <cellStyle name="Remarque 2 2 3 4 2 5 7 2 2" xfId="59110" xr:uid="{00000000-0005-0000-0000-00004D250000}"/>
    <cellStyle name="Remarque 2 2 3 4 2 5 7 3" xfId="22407" xr:uid="{00000000-0005-0000-0000-00004E250000}"/>
    <cellStyle name="Remarque 2 2 3 4 2 5 7 4" xfId="46367" xr:uid="{00000000-0005-0000-0000-00004F250000}"/>
    <cellStyle name="Remarque 2 2 3 4 2 5 8" xfId="11613" xr:uid="{00000000-0005-0000-0000-000050250000}"/>
    <cellStyle name="Remarque 2 2 3 4 2 5 8 2" xfId="22881" xr:uid="{00000000-0005-0000-0000-000051250000}"/>
    <cellStyle name="Remarque 2 2 3 4 2 5 8 3" xfId="46841" xr:uid="{00000000-0005-0000-0000-000052250000}"/>
    <cellStyle name="Remarque 2 2 3 4 2 5 9" xfId="2612" xr:uid="{00000000-0005-0000-0000-000053250000}"/>
    <cellStyle name="Remarque 2 2 3 4 2 5 9 2" xfId="26626" xr:uid="{00000000-0005-0000-0000-000054250000}"/>
    <cellStyle name="Remarque 2 2 3 4 2 5 9 3" xfId="50586" xr:uid="{00000000-0005-0000-0000-000055250000}"/>
    <cellStyle name="Remarque 2 2 3 4 2 6" xfId="1343" xr:uid="{00000000-0005-0000-0000-000056250000}"/>
    <cellStyle name="Remarque 2 2 3 4 2 6 10" xfId="25375" xr:uid="{00000000-0005-0000-0000-000057250000}"/>
    <cellStyle name="Remarque 2 2 3 4 2 6 10 2" xfId="49335" xr:uid="{00000000-0005-0000-0000-000058250000}"/>
    <cellStyle name="Remarque 2 2 3 4 2 6 11" xfId="35839" xr:uid="{00000000-0005-0000-0000-000059250000}"/>
    <cellStyle name="Remarque 2 2 3 4 2 6 11 2" xfId="59799" xr:uid="{00000000-0005-0000-0000-00005A250000}"/>
    <cellStyle name="Remarque 2 2 3 4 2 6 12" xfId="14040" xr:uid="{00000000-0005-0000-0000-00005B250000}"/>
    <cellStyle name="Remarque 2 2 3 4 2 6 13" xfId="38000" xr:uid="{00000000-0005-0000-0000-00005C250000}"/>
    <cellStyle name="Remarque 2 2 3 4 2 6 2" xfId="4249" xr:uid="{00000000-0005-0000-0000-00005D250000}"/>
    <cellStyle name="Remarque 2 2 3 4 2 6 2 2" xfId="28263" xr:uid="{00000000-0005-0000-0000-00005E250000}"/>
    <cellStyle name="Remarque 2 2 3 4 2 6 2 2 2" xfId="52223" xr:uid="{00000000-0005-0000-0000-00005F250000}"/>
    <cellStyle name="Remarque 2 2 3 4 2 6 2 3" xfId="15510" xr:uid="{00000000-0005-0000-0000-000060250000}"/>
    <cellStyle name="Remarque 2 2 3 4 2 6 2 4" xfId="39470" xr:uid="{00000000-0005-0000-0000-000061250000}"/>
    <cellStyle name="Remarque 2 2 3 4 2 6 3" xfId="5683" xr:uid="{00000000-0005-0000-0000-000062250000}"/>
    <cellStyle name="Remarque 2 2 3 4 2 6 3 2" xfId="29697" xr:uid="{00000000-0005-0000-0000-000063250000}"/>
    <cellStyle name="Remarque 2 2 3 4 2 6 3 2 2" xfId="53657" xr:uid="{00000000-0005-0000-0000-000064250000}"/>
    <cellStyle name="Remarque 2 2 3 4 2 6 3 3" xfId="16944" xr:uid="{00000000-0005-0000-0000-000065250000}"/>
    <cellStyle name="Remarque 2 2 3 4 2 6 3 4" xfId="40904" xr:uid="{00000000-0005-0000-0000-000066250000}"/>
    <cellStyle name="Remarque 2 2 3 4 2 6 4" xfId="7077" xr:uid="{00000000-0005-0000-0000-000067250000}"/>
    <cellStyle name="Remarque 2 2 3 4 2 6 4 2" xfId="31091" xr:uid="{00000000-0005-0000-0000-000068250000}"/>
    <cellStyle name="Remarque 2 2 3 4 2 6 4 2 2" xfId="55051" xr:uid="{00000000-0005-0000-0000-000069250000}"/>
    <cellStyle name="Remarque 2 2 3 4 2 6 4 3" xfId="18338" xr:uid="{00000000-0005-0000-0000-00006A250000}"/>
    <cellStyle name="Remarque 2 2 3 4 2 6 4 4" xfId="42298" xr:uid="{00000000-0005-0000-0000-00006B250000}"/>
    <cellStyle name="Remarque 2 2 3 4 2 6 5" xfId="8465" xr:uid="{00000000-0005-0000-0000-00006C250000}"/>
    <cellStyle name="Remarque 2 2 3 4 2 6 5 2" xfId="32479" xr:uid="{00000000-0005-0000-0000-00006D250000}"/>
    <cellStyle name="Remarque 2 2 3 4 2 6 5 2 2" xfId="56439" xr:uid="{00000000-0005-0000-0000-00006E250000}"/>
    <cellStyle name="Remarque 2 2 3 4 2 6 5 3" xfId="19726" xr:uid="{00000000-0005-0000-0000-00006F250000}"/>
    <cellStyle name="Remarque 2 2 3 4 2 6 5 4" xfId="43686" xr:uid="{00000000-0005-0000-0000-000070250000}"/>
    <cellStyle name="Remarque 2 2 3 4 2 6 6" xfId="9850" xr:uid="{00000000-0005-0000-0000-000071250000}"/>
    <cellStyle name="Remarque 2 2 3 4 2 6 6 2" xfId="33864" xr:uid="{00000000-0005-0000-0000-000072250000}"/>
    <cellStyle name="Remarque 2 2 3 4 2 6 6 2 2" xfId="57824" xr:uid="{00000000-0005-0000-0000-000073250000}"/>
    <cellStyle name="Remarque 2 2 3 4 2 6 6 3" xfId="21111" xr:uid="{00000000-0005-0000-0000-000074250000}"/>
    <cellStyle name="Remarque 2 2 3 4 2 6 6 4" xfId="45071" xr:uid="{00000000-0005-0000-0000-000075250000}"/>
    <cellStyle name="Remarque 2 2 3 4 2 6 7" xfId="11307" xr:uid="{00000000-0005-0000-0000-000076250000}"/>
    <cellStyle name="Remarque 2 2 3 4 2 6 7 2" xfId="35317" xr:uid="{00000000-0005-0000-0000-000077250000}"/>
    <cellStyle name="Remarque 2 2 3 4 2 6 7 2 2" xfId="59277" xr:uid="{00000000-0005-0000-0000-000078250000}"/>
    <cellStyle name="Remarque 2 2 3 4 2 6 7 3" xfId="22574" xr:uid="{00000000-0005-0000-0000-000079250000}"/>
    <cellStyle name="Remarque 2 2 3 4 2 6 7 4" xfId="46534" xr:uid="{00000000-0005-0000-0000-00007A250000}"/>
    <cellStyle name="Remarque 2 2 3 4 2 6 8" xfId="11877" xr:uid="{00000000-0005-0000-0000-00007B250000}"/>
    <cellStyle name="Remarque 2 2 3 4 2 6 8 2" xfId="23154" xr:uid="{00000000-0005-0000-0000-00007C250000}"/>
    <cellStyle name="Remarque 2 2 3 4 2 6 8 3" xfId="47114" xr:uid="{00000000-0005-0000-0000-00007D250000}"/>
    <cellStyle name="Remarque 2 2 3 4 2 6 9" xfId="2779" xr:uid="{00000000-0005-0000-0000-00007E250000}"/>
    <cellStyle name="Remarque 2 2 3 4 2 6 9 2" xfId="26793" xr:uid="{00000000-0005-0000-0000-00007F250000}"/>
    <cellStyle name="Remarque 2 2 3 4 2 6 9 3" xfId="50753" xr:uid="{00000000-0005-0000-0000-000080250000}"/>
    <cellStyle name="Remarque 2 2 3 4 2 7" xfId="1512" xr:uid="{00000000-0005-0000-0000-000081250000}"/>
    <cellStyle name="Remarque 2 2 3 4 2 7 10" xfId="25544" xr:uid="{00000000-0005-0000-0000-000082250000}"/>
    <cellStyle name="Remarque 2 2 3 4 2 7 10 2" xfId="49504" xr:uid="{00000000-0005-0000-0000-000083250000}"/>
    <cellStyle name="Remarque 2 2 3 4 2 7 11" xfId="36337" xr:uid="{00000000-0005-0000-0000-000084250000}"/>
    <cellStyle name="Remarque 2 2 3 4 2 7 11 2" xfId="60297" xr:uid="{00000000-0005-0000-0000-000085250000}"/>
    <cellStyle name="Remarque 2 2 3 4 2 7 12" xfId="14209" xr:uid="{00000000-0005-0000-0000-000086250000}"/>
    <cellStyle name="Remarque 2 2 3 4 2 7 13" xfId="38169" xr:uid="{00000000-0005-0000-0000-000087250000}"/>
    <cellStyle name="Remarque 2 2 3 4 2 7 2" xfId="4418" xr:uid="{00000000-0005-0000-0000-000088250000}"/>
    <cellStyle name="Remarque 2 2 3 4 2 7 2 2" xfId="28432" xr:uid="{00000000-0005-0000-0000-000089250000}"/>
    <cellStyle name="Remarque 2 2 3 4 2 7 2 2 2" xfId="52392" xr:uid="{00000000-0005-0000-0000-00008A250000}"/>
    <cellStyle name="Remarque 2 2 3 4 2 7 2 3" xfId="15679" xr:uid="{00000000-0005-0000-0000-00008B250000}"/>
    <cellStyle name="Remarque 2 2 3 4 2 7 2 4" xfId="39639" xr:uid="{00000000-0005-0000-0000-00008C250000}"/>
    <cellStyle name="Remarque 2 2 3 4 2 7 3" xfId="5852" xr:uid="{00000000-0005-0000-0000-00008D250000}"/>
    <cellStyle name="Remarque 2 2 3 4 2 7 3 2" xfId="29866" xr:uid="{00000000-0005-0000-0000-00008E250000}"/>
    <cellStyle name="Remarque 2 2 3 4 2 7 3 2 2" xfId="53826" xr:uid="{00000000-0005-0000-0000-00008F250000}"/>
    <cellStyle name="Remarque 2 2 3 4 2 7 3 3" xfId="17113" xr:uid="{00000000-0005-0000-0000-000090250000}"/>
    <cellStyle name="Remarque 2 2 3 4 2 7 3 4" xfId="41073" xr:uid="{00000000-0005-0000-0000-000091250000}"/>
    <cellStyle name="Remarque 2 2 3 4 2 7 4" xfId="7246" xr:uid="{00000000-0005-0000-0000-000092250000}"/>
    <cellStyle name="Remarque 2 2 3 4 2 7 4 2" xfId="31260" xr:uid="{00000000-0005-0000-0000-000093250000}"/>
    <cellStyle name="Remarque 2 2 3 4 2 7 4 2 2" xfId="55220" xr:uid="{00000000-0005-0000-0000-000094250000}"/>
    <cellStyle name="Remarque 2 2 3 4 2 7 4 3" xfId="18507" xr:uid="{00000000-0005-0000-0000-000095250000}"/>
    <cellStyle name="Remarque 2 2 3 4 2 7 4 4" xfId="42467" xr:uid="{00000000-0005-0000-0000-000096250000}"/>
    <cellStyle name="Remarque 2 2 3 4 2 7 5" xfId="8634" xr:uid="{00000000-0005-0000-0000-000097250000}"/>
    <cellStyle name="Remarque 2 2 3 4 2 7 5 2" xfId="32648" xr:uid="{00000000-0005-0000-0000-000098250000}"/>
    <cellStyle name="Remarque 2 2 3 4 2 7 5 2 2" xfId="56608" xr:uid="{00000000-0005-0000-0000-000099250000}"/>
    <cellStyle name="Remarque 2 2 3 4 2 7 5 3" xfId="19895" xr:uid="{00000000-0005-0000-0000-00009A250000}"/>
    <cellStyle name="Remarque 2 2 3 4 2 7 5 4" xfId="43855" xr:uid="{00000000-0005-0000-0000-00009B250000}"/>
    <cellStyle name="Remarque 2 2 3 4 2 7 6" xfId="10019" xr:uid="{00000000-0005-0000-0000-00009C250000}"/>
    <cellStyle name="Remarque 2 2 3 4 2 7 6 2" xfId="34033" xr:uid="{00000000-0005-0000-0000-00009D250000}"/>
    <cellStyle name="Remarque 2 2 3 4 2 7 6 2 2" xfId="57993" xr:uid="{00000000-0005-0000-0000-00009E250000}"/>
    <cellStyle name="Remarque 2 2 3 4 2 7 6 3" xfId="21280" xr:uid="{00000000-0005-0000-0000-00009F250000}"/>
    <cellStyle name="Remarque 2 2 3 4 2 7 6 4" xfId="45240" xr:uid="{00000000-0005-0000-0000-0000A0250000}"/>
    <cellStyle name="Remarque 2 2 3 4 2 7 7" xfId="11476" xr:uid="{00000000-0005-0000-0000-0000A1250000}"/>
    <cellStyle name="Remarque 2 2 3 4 2 7 7 2" xfId="35486" xr:uid="{00000000-0005-0000-0000-0000A2250000}"/>
    <cellStyle name="Remarque 2 2 3 4 2 7 7 2 2" xfId="59446" xr:uid="{00000000-0005-0000-0000-0000A3250000}"/>
    <cellStyle name="Remarque 2 2 3 4 2 7 7 3" xfId="22743" xr:uid="{00000000-0005-0000-0000-0000A4250000}"/>
    <cellStyle name="Remarque 2 2 3 4 2 7 7 4" xfId="46703" xr:uid="{00000000-0005-0000-0000-0000A5250000}"/>
    <cellStyle name="Remarque 2 2 3 4 2 7 8" xfId="12203" xr:uid="{00000000-0005-0000-0000-0000A6250000}"/>
    <cellStyle name="Remarque 2 2 3 4 2 7 8 2" xfId="23486" xr:uid="{00000000-0005-0000-0000-0000A7250000}"/>
    <cellStyle name="Remarque 2 2 3 4 2 7 8 3" xfId="47446" xr:uid="{00000000-0005-0000-0000-0000A8250000}"/>
    <cellStyle name="Remarque 2 2 3 4 2 7 9" xfId="2948" xr:uid="{00000000-0005-0000-0000-0000A9250000}"/>
    <cellStyle name="Remarque 2 2 3 4 2 7 9 2" xfId="26962" xr:uid="{00000000-0005-0000-0000-0000AA250000}"/>
    <cellStyle name="Remarque 2 2 3 4 2 7 9 3" xfId="50922" xr:uid="{00000000-0005-0000-0000-0000AB250000}"/>
    <cellStyle name="Remarque 2 2 3 4 2 8" xfId="3367" xr:uid="{00000000-0005-0000-0000-0000AC250000}"/>
    <cellStyle name="Remarque 2 2 3 4 2 8 2" xfId="27381" xr:uid="{00000000-0005-0000-0000-0000AD250000}"/>
    <cellStyle name="Remarque 2 2 3 4 2 8 2 2" xfId="51341" xr:uid="{00000000-0005-0000-0000-0000AE250000}"/>
    <cellStyle name="Remarque 2 2 3 4 2 8 3" xfId="14628" xr:uid="{00000000-0005-0000-0000-0000AF250000}"/>
    <cellStyle name="Remarque 2 2 3 4 2 8 4" xfId="38588" xr:uid="{00000000-0005-0000-0000-0000B0250000}"/>
    <cellStyle name="Remarque 2 2 3 4 2 9" xfId="4801" xr:uid="{00000000-0005-0000-0000-0000B1250000}"/>
    <cellStyle name="Remarque 2 2 3 4 2 9 2" xfId="28815" xr:uid="{00000000-0005-0000-0000-0000B2250000}"/>
    <cellStyle name="Remarque 2 2 3 4 2 9 2 2" xfId="52775" xr:uid="{00000000-0005-0000-0000-0000B3250000}"/>
    <cellStyle name="Remarque 2 2 3 4 2 9 3" xfId="16062" xr:uid="{00000000-0005-0000-0000-0000B4250000}"/>
    <cellStyle name="Remarque 2 2 3 4 2 9 4" xfId="40022" xr:uid="{00000000-0005-0000-0000-0000B5250000}"/>
    <cellStyle name="Remarque 2 2 3 4 3" xfId="267" xr:uid="{00000000-0005-0000-0000-0000B6250000}"/>
    <cellStyle name="Remarque 2 2 3 4 3 10" xfId="24299" xr:uid="{00000000-0005-0000-0000-0000B7250000}"/>
    <cellStyle name="Remarque 2 2 3 4 3 10 2" xfId="48259" xr:uid="{00000000-0005-0000-0000-0000B8250000}"/>
    <cellStyle name="Remarque 2 2 3 4 3 11" xfId="36603" xr:uid="{00000000-0005-0000-0000-0000B9250000}"/>
    <cellStyle name="Remarque 2 2 3 4 3 11 2" xfId="60563" xr:uid="{00000000-0005-0000-0000-0000BA250000}"/>
    <cellStyle name="Remarque 2 2 3 4 3 12" xfId="12964" xr:uid="{00000000-0005-0000-0000-0000BB250000}"/>
    <cellStyle name="Remarque 2 2 3 4 3 13" xfId="36924" xr:uid="{00000000-0005-0000-0000-0000BC250000}"/>
    <cellStyle name="Remarque 2 2 3 4 3 2" xfId="3173" xr:uid="{00000000-0005-0000-0000-0000BD250000}"/>
    <cellStyle name="Remarque 2 2 3 4 3 2 2" xfId="27187" xr:uid="{00000000-0005-0000-0000-0000BE250000}"/>
    <cellStyle name="Remarque 2 2 3 4 3 2 2 2" xfId="51147" xr:uid="{00000000-0005-0000-0000-0000BF250000}"/>
    <cellStyle name="Remarque 2 2 3 4 3 2 3" xfId="14434" xr:uid="{00000000-0005-0000-0000-0000C0250000}"/>
    <cellStyle name="Remarque 2 2 3 4 3 2 4" xfId="38394" xr:uid="{00000000-0005-0000-0000-0000C1250000}"/>
    <cellStyle name="Remarque 2 2 3 4 3 3" xfId="4607" xr:uid="{00000000-0005-0000-0000-0000C2250000}"/>
    <cellStyle name="Remarque 2 2 3 4 3 3 2" xfId="28621" xr:uid="{00000000-0005-0000-0000-0000C3250000}"/>
    <cellStyle name="Remarque 2 2 3 4 3 3 2 2" xfId="52581" xr:uid="{00000000-0005-0000-0000-0000C4250000}"/>
    <cellStyle name="Remarque 2 2 3 4 3 3 3" xfId="15868" xr:uid="{00000000-0005-0000-0000-0000C5250000}"/>
    <cellStyle name="Remarque 2 2 3 4 3 3 4" xfId="39828" xr:uid="{00000000-0005-0000-0000-0000C6250000}"/>
    <cellStyle name="Remarque 2 2 3 4 3 4" xfId="6001" xr:uid="{00000000-0005-0000-0000-0000C7250000}"/>
    <cellStyle name="Remarque 2 2 3 4 3 4 2" xfId="30015" xr:uid="{00000000-0005-0000-0000-0000C8250000}"/>
    <cellStyle name="Remarque 2 2 3 4 3 4 2 2" xfId="53975" xr:uid="{00000000-0005-0000-0000-0000C9250000}"/>
    <cellStyle name="Remarque 2 2 3 4 3 4 3" xfId="17262" xr:uid="{00000000-0005-0000-0000-0000CA250000}"/>
    <cellStyle name="Remarque 2 2 3 4 3 4 4" xfId="41222" xr:uid="{00000000-0005-0000-0000-0000CB250000}"/>
    <cellStyle name="Remarque 2 2 3 4 3 5" xfId="7389" xr:uid="{00000000-0005-0000-0000-0000CC250000}"/>
    <cellStyle name="Remarque 2 2 3 4 3 5 2" xfId="31403" xr:uid="{00000000-0005-0000-0000-0000CD250000}"/>
    <cellStyle name="Remarque 2 2 3 4 3 5 2 2" xfId="55363" xr:uid="{00000000-0005-0000-0000-0000CE250000}"/>
    <cellStyle name="Remarque 2 2 3 4 3 5 3" xfId="18650" xr:uid="{00000000-0005-0000-0000-0000CF250000}"/>
    <cellStyle name="Remarque 2 2 3 4 3 5 4" xfId="42610" xr:uid="{00000000-0005-0000-0000-0000D0250000}"/>
    <cellStyle name="Remarque 2 2 3 4 3 6" xfId="8774" xr:uid="{00000000-0005-0000-0000-0000D1250000}"/>
    <cellStyle name="Remarque 2 2 3 4 3 6 2" xfId="32788" xr:uid="{00000000-0005-0000-0000-0000D2250000}"/>
    <cellStyle name="Remarque 2 2 3 4 3 6 2 2" xfId="56748" xr:uid="{00000000-0005-0000-0000-0000D3250000}"/>
    <cellStyle name="Remarque 2 2 3 4 3 6 3" xfId="20035" xr:uid="{00000000-0005-0000-0000-0000D4250000}"/>
    <cellStyle name="Remarque 2 2 3 4 3 6 4" xfId="43995" xr:uid="{00000000-0005-0000-0000-0000D5250000}"/>
    <cellStyle name="Remarque 2 2 3 4 3 7" xfId="10231" xr:uid="{00000000-0005-0000-0000-0000D6250000}"/>
    <cellStyle name="Remarque 2 2 3 4 3 7 2" xfId="34241" xr:uid="{00000000-0005-0000-0000-0000D7250000}"/>
    <cellStyle name="Remarque 2 2 3 4 3 7 2 2" xfId="58201" xr:uid="{00000000-0005-0000-0000-0000D8250000}"/>
    <cellStyle name="Remarque 2 2 3 4 3 7 3" xfId="21498" xr:uid="{00000000-0005-0000-0000-0000D9250000}"/>
    <cellStyle name="Remarque 2 2 3 4 3 7 4" xfId="45458" xr:uid="{00000000-0005-0000-0000-0000DA250000}"/>
    <cellStyle name="Remarque 2 2 3 4 3 8" xfId="12051" xr:uid="{00000000-0005-0000-0000-0000DB250000}"/>
    <cellStyle name="Remarque 2 2 3 4 3 8 2" xfId="23331" xr:uid="{00000000-0005-0000-0000-0000DC250000}"/>
    <cellStyle name="Remarque 2 2 3 4 3 8 3" xfId="47291" xr:uid="{00000000-0005-0000-0000-0000DD250000}"/>
    <cellStyle name="Remarque 2 2 3 4 3 9" xfId="1703" xr:uid="{00000000-0005-0000-0000-0000DE250000}"/>
    <cellStyle name="Remarque 2 2 3 4 3 9 2" xfId="25717" xr:uid="{00000000-0005-0000-0000-0000DF250000}"/>
    <cellStyle name="Remarque 2 2 3 4 3 9 3" xfId="49677" xr:uid="{00000000-0005-0000-0000-0000E0250000}"/>
    <cellStyle name="Remarque 2 2 3 4 4" xfId="654" xr:uid="{00000000-0005-0000-0000-0000E1250000}"/>
    <cellStyle name="Remarque 2 2 3 4 4 10" xfId="24686" xr:uid="{00000000-0005-0000-0000-0000E2250000}"/>
    <cellStyle name="Remarque 2 2 3 4 4 10 2" xfId="48646" xr:uid="{00000000-0005-0000-0000-0000E3250000}"/>
    <cellStyle name="Remarque 2 2 3 4 4 11" xfId="35634" xr:uid="{00000000-0005-0000-0000-0000E4250000}"/>
    <cellStyle name="Remarque 2 2 3 4 4 11 2" xfId="59594" xr:uid="{00000000-0005-0000-0000-0000E5250000}"/>
    <cellStyle name="Remarque 2 2 3 4 4 12" xfId="13351" xr:uid="{00000000-0005-0000-0000-0000E6250000}"/>
    <cellStyle name="Remarque 2 2 3 4 4 13" xfId="37311" xr:uid="{00000000-0005-0000-0000-0000E7250000}"/>
    <cellStyle name="Remarque 2 2 3 4 4 2" xfId="3560" xr:uid="{00000000-0005-0000-0000-0000E8250000}"/>
    <cellStyle name="Remarque 2 2 3 4 4 2 2" xfId="27574" xr:uid="{00000000-0005-0000-0000-0000E9250000}"/>
    <cellStyle name="Remarque 2 2 3 4 4 2 2 2" xfId="51534" xr:uid="{00000000-0005-0000-0000-0000EA250000}"/>
    <cellStyle name="Remarque 2 2 3 4 4 2 3" xfId="14821" xr:uid="{00000000-0005-0000-0000-0000EB250000}"/>
    <cellStyle name="Remarque 2 2 3 4 4 2 4" xfId="38781" xr:uid="{00000000-0005-0000-0000-0000EC250000}"/>
    <cellStyle name="Remarque 2 2 3 4 4 3" xfId="4994" xr:uid="{00000000-0005-0000-0000-0000ED250000}"/>
    <cellStyle name="Remarque 2 2 3 4 4 3 2" xfId="29008" xr:uid="{00000000-0005-0000-0000-0000EE250000}"/>
    <cellStyle name="Remarque 2 2 3 4 4 3 2 2" xfId="52968" xr:uid="{00000000-0005-0000-0000-0000EF250000}"/>
    <cellStyle name="Remarque 2 2 3 4 4 3 3" xfId="16255" xr:uid="{00000000-0005-0000-0000-0000F0250000}"/>
    <cellStyle name="Remarque 2 2 3 4 4 3 4" xfId="40215" xr:uid="{00000000-0005-0000-0000-0000F1250000}"/>
    <cellStyle name="Remarque 2 2 3 4 4 4" xfId="6388" xr:uid="{00000000-0005-0000-0000-0000F2250000}"/>
    <cellStyle name="Remarque 2 2 3 4 4 4 2" xfId="30402" xr:uid="{00000000-0005-0000-0000-0000F3250000}"/>
    <cellStyle name="Remarque 2 2 3 4 4 4 2 2" xfId="54362" xr:uid="{00000000-0005-0000-0000-0000F4250000}"/>
    <cellStyle name="Remarque 2 2 3 4 4 4 3" xfId="17649" xr:uid="{00000000-0005-0000-0000-0000F5250000}"/>
    <cellStyle name="Remarque 2 2 3 4 4 4 4" xfId="41609" xr:uid="{00000000-0005-0000-0000-0000F6250000}"/>
    <cellStyle name="Remarque 2 2 3 4 4 5" xfId="7776" xr:uid="{00000000-0005-0000-0000-0000F7250000}"/>
    <cellStyle name="Remarque 2 2 3 4 4 5 2" xfId="31790" xr:uid="{00000000-0005-0000-0000-0000F8250000}"/>
    <cellStyle name="Remarque 2 2 3 4 4 5 2 2" xfId="55750" xr:uid="{00000000-0005-0000-0000-0000F9250000}"/>
    <cellStyle name="Remarque 2 2 3 4 4 5 3" xfId="19037" xr:uid="{00000000-0005-0000-0000-0000FA250000}"/>
    <cellStyle name="Remarque 2 2 3 4 4 5 4" xfId="42997" xr:uid="{00000000-0005-0000-0000-0000FB250000}"/>
    <cellStyle name="Remarque 2 2 3 4 4 6" xfId="9161" xr:uid="{00000000-0005-0000-0000-0000FC250000}"/>
    <cellStyle name="Remarque 2 2 3 4 4 6 2" xfId="33175" xr:uid="{00000000-0005-0000-0000-0000FD250000}"/>
    <cellStyle name="Remarque 2 2 3 4 4 6 2 2" xfId="57135" xr:uid="{00000000-0005-0000-0000-0000FE250000}"/>
    <cellStyle name="Remarque 2 2 3 4 4 6 3" xfId="20422" xr:uid="{00000000-0005-0000-0000-0000FF250000}"/>
    <cellStyle name="Remarque 2 2 3 4 4 6 4" xfId="44382" xr:uid="{00000000-0005-0000-0000-000000260000}"/>
    <cellStyle name="Remarque 2 2 3 4 4 7" xfId="10618" xr:uid="{00000000-0005-0000-0000-000001260000}"/>
    <cellStyle name="Remarque 2 2 3 4 4 7 2" xfId="34628" xr:uid="{00000000-0005-0000-0000-000002260000}"/>
    <cellStyle name="Remarque 2 2 3 4 4 7 2 2" xfId="58588" xr:uid="{00000000-0005-0000-0000-000003260000}"/>
    <cellStyle name="Remarque 2 2 3 4 4 7 3" xfId="21885" xr:uid="{00000000-0005-0000-0000-000004260000}"/>
    <cellStyle name="Remarque 2 2 3 4 4 7 4" xfId="45845" xr:uid="{00000000-0005-0000-0000-000005260000}"/>
    <cellStyle name="Remarque 2 2 3 4 4 8" xfId="12493" xr:uid="{00000000-0005-0000-0000-000006260000}"/>
    <cellStyle name="Remarque 2 2 3 4 4 8 2" xfId="23790" xr:uid="{00000000-0005-0000-0000-000007260000}"/>
    <cellStyle name="Remarque 2 2 3 4 4 8 3" xfId="47750" xr:uid="{00000000-0005-0000-0000-000008260000}"/>
    <cellStyle name="Remarque 2 2 3 4 4 9" xfId="2090" xr:uid="{00000000-0005-0000-0000-000009260000}"/>
    <cellStyle name="Remarque 2 2 3 4 4 9 2" xfId="26104" xr:uid="{00000000-0005-0000-0000-00000A260000}"/>
    <cellStyle name="Remarque 2 2 3 4 4 9 3" xfId="50064" xr:uid="{00000000-0005-0000-0000-00000B260000}"/>
    <cellStyle name="Remarque 2 2 3 4 5" xfId="848" xr:uid="{00000000-0005-0000-0000-00000C260000}"/>
    <cellStyle name="Remarque 2 2 3 4 5 10" xfId="24880" xr:uid="{00000000-0005-0000-0000-00000D260000}"/>
    <cellStyle name="Remarque 2 2 3 4 5 10 2" xfId="48840" xr:uid="{00000000-0005-0000-0000-00000E260000}"/>
    <cellStyle name="Remarque 2 2 3 4 5 11" xfId="36564" xr:uid="{00000000-0005-0000-0000-00000F260000}"/>
    <cellStyle name="Remarque 2 2 3 4 5 11 2" xfId="60524" xr:uid="{00000000-0005-0000-0000-000010260000}"/>
    <cellStyle name="Remarque 2 2 3 4 5 12" xfId="13545" xr:uid="{00000000-0005-0000-0000-000011260000}"/>
    <cellStyle name="Remarque 2 2 3 4 5 13" xfId="37505" xr:uid="{00000000-0005-0000-0000-000012260000}"/>
    <cellStyle name="Remarque 2 2 3 4 5 2" xfId="3754" xr:uid="{00000000-0005-0000-0000-000013260000}"/>
    <cellStyle name="Remarque 2 2 3 4 5 2 2" xfId="27768" xr:uid="{00000000-0005-0000-0000-000014260000}"/>
    <cellStyle name="Remarque 2 2 3 4 5 2 2 2" xfId="51728" xr:uid="{00000000-0005-0000-0000-000015260000}"/>
    <cellStyle name="Remarque 2 2 3 4 5 2 3" xfId="15015" xr:uid="{00000000-0005-0000-0000-000016260000}"/>
    <cellStyle name="Remarque 2 2 3 4 5 2 4" xfId="38975" xr:uid="{00000000-0005-0000-0000-000017260000}"/>
    <cellStyle name="Remarque 2 2 3 4 5 3" xfId="5188" xr:uid="{00000000-0005-0000-0000-000018260000}"/>
    <cellStyle name="Remarque 2 2 3 4 5 3 2" xfId="29202" xr:uid="{00000000-0005-0000-0000-000019260000}"/>
    <cellStyle name="Remarque 2 2 3 4 5 3 2 2" xfId="53162" xr:uid="{00000000-0005-0000-0000-00001A260000}"/>
    <cellStyle name="Remarque 2 2 3 4 5 3 3" xfId="16449" xr:uid="{00000000-0005-0000-0000-00001B260000}"/>
    <cellStyle name="Remarque 2 2 3 4 5 3 4" xfId="40409" xr:uid="{00000000-0005-0000-0000-00001C260000}"/>
    <cellStyle name="Remarque 2 2 3 4 5 4" xfId="6582" xr:uid="{00000000-0005-0000-0000-00001D260000}"/>
    <cellStyle name="Remarque 2 2 3 4 5 4 2" xfId="30596" xr:uid="{00000000-0005-0000-0000-00001E260000}"/>
    <cellStyle name="Remarque 2 2 3 4 5 4 2 2" xfId="54556" xr:uid="{00000000-0005-0000-0000-00001F260000}"/>
    <cellStyle name="Remarque 2 2 3 4 5 4 3" xfId="17843" xr:uid="{00000000-0005-0000-0000-000020260000}"/>
    <cellStyle name="Remarque 2 2 3 4 5 4 4" xfId="41803" xr:uid="{00000000-0005-0000-0000-000021260000}"/>
    <cellStyle name="Remarque 2 2 3 4 5 5" xfId="7970" xr:uid="{00000000-0005-0000-0000-000022260000}"/>
    <cellStyle name="Remarque 2 2 3 4 5 5 2" xfId="31984" xr:uid="{00000000-0005-0000-0000-000023260000}"/>
    <cellStyle name="Remarque 2 2 3 4 5 5 2 2" xfId="55944" xr:uid="{00000000-0005-0000-0000-000024260000}"/>
    <cellStyle name="Remarque 2 2 3 4 5 5 3" xfId="19231" xr:uid="{00000000-0005-0000-0000-000025260000}"/>
    <cellStyle name="Remarque 2 2 3 4 5 5 4" xfId="43191" xr:uid="{00000000-0005-0000-0000-000026260000}"/>
    <cellStyle name="Remarque 2 2 3 4 5 6" xfId="9355" xr:uid="{00000000-0005-0000-0000-000027260000}"/>
    <cellStyle name="Remarque 2 2 3 4 5 6 2" xfId="33369" xr:uid="{00000000-0005-0000-0000-000028260000}"/>
    <cellStyle name="Remarque 2 2 3 4 5 6 2 2" xfId="57329" xr:uid="{00000000-0005-0000-0000-000029260000}"/>
    <cellStyle name="Remarque 2 2 3 4 5 6 3" xfId="20616" xr:uid="{00000000-0005-0000-0000-00002A260000}"/>
    <cellStyle name="Remarque 2 2 3 4 5 6 4" xfId="44576" xr:uid="{00000000-0005-0000-0000-00002B260000}"/>
    <cellStyle name="Remarque 2 2 3 4 5 7" xfId="10812" xr:uid="{00000000-0005-0000-0000-00002C260000}"/>
    <cellStyle name="Remarque 2 2 3 4 5 7 2" xfId="34822" xr:uid="{00000000-0005-0000-0000-00002D260000}"/>
    <cellStyle name="Remarque 2 2 3 4 5 7 2 2" xfId="58782" xr:uid="{00000000-0005-0000-0000-00002E260000}"/>
    <cellStyle name="Remarque 2 2 3 4 5 7 3" xfId="22079" xr:uid="{00000000-0005-0000-0000-00002F260000}"/>
    <cellStyle name="Remarque 2 2 3 4 5 7 4" xfId="46039" xr:uid="{00000000-0005-0000-0000-000030260000}"/>
    <cellStyle name="Remarque 2 2 3 4 5 8" xfId="12206" xr:uid="{00000000-0005-0000-0000-000031260000}"/>
    <cellStyle name="Remarque 2 2 3 4 5 8 2" xfId="23490" xr:uid="{00000000-0005-0000-0000-000032260000}"/>
    <cellStyle name="Remarque 2 2 3 4 5 8 3" xfId="47450" xr:uid="{00000000-0005-0000-0000-000033260000}"/>
    <cellStyle name="Remarque 2 2 3 4 5 9" xfId="2284" xr:uid="{00000000-0005-0000-0000-000034260000}"/>
    <cellStyle name="Remarque 2 2 3 4 5 9 2" xfId="26298" xr:uid="{00000000-0005-0000-0000-000035260000}"/>
    <cellStyle name="Remarque 2 2 3 4 5 9 3" xfId="50258" xr:uid="{00000000-0005-0000-0000-000036260000}"/>
    <cellStyle name="Remarque 2 2 3 4 6" xfId="1041" xr:uid="{00000000-0005-0000-0000-000037260000}"/>
    <cellStyle name="Remarque 2 2 3 4 6 10" xfId="25073" xr:uid="{00000000-0005-0000-0000-000038260000}"/>
    <cellStyle name="Remarque 2 2 3 4 6 10 2" xfId="49033" xr:uid="{00000000-0005-0000-0000-000039260000}"/>
    <cellStyle name="Remarque 2 2 3 4 6 11" xfId="36066" xr:uid="{00000000-0005-0000-0000-00003A260000}"/>
    <cellStyle name="Remarque 2 2 3 4 6 11 2" xfId="60026" xr:uid="{00000000-0005-0000-0000-00003B260000}"/>
    <cellStyle name="Remarque 2 2 3 4 6 12" xfId="13738" xr:uid="{00000000-0005-0000-0000-00003C260000}"/>
    <cellStyle name="Remarque 2 2 3 4 6 13" xfId="37698" xr:uid="{00000000-0005-0000-0000-00003D260000}"/>
    <cellStyle name="Remarque 2 2 3 4 6 2" xfId="3947" xr:uid="{00000000-0005-0000-0000-00003E260000}"/>
    <cellStyle name="Remarque 2 2 3 4 6 2 2" xfId="27961" xr:uid="{00000000-0005-0000-0000-00003F260000}"/>
    <cellStyle name="Remarque 2 2 3 4 6 2 2 2" xfId="51921" xr:uid="{00000000-0005-0000-0000-000040260000}"/>
    <cellStyle name="Remarque 2 2 3 4 6 2 3" xfId="15208" xr:uid="{00000000-0005-0000-0000-000041260000}"/>
    <cellStyle name="Remarque 2 2 3 4 6 2 4" xfId="39168" xr:uid="{00000000-0005-0000-0000-000042260000}"/>
    <cellStyle name="Remarque 2 2 3 4 6 3" xfId="5381" xr:uid="{00000000-0005-0000-0000-000043260000}"/>
    <cellStyle name="Remarque 2 2 3 4 6 3 2" xfId="29395" xr:uid="{00000000-0005-0000-0000-000044260000}"/>
    <cellStyle name="Remarque 2 2 3 4 6 3 2 2" xfId="53355" xr:uid="{00000000-0005-0000-0000-000045260000}"/>
    <cellStyle name="Remarque 2 2 3 4 6 3 3" xfId="16642" xr:uid="{00000000-0005-0000-0000-000046260000}"/>
    <cellStyle name="Remarque 2 2 3 4 6 3 4" xfId="40602" xr:uid="{00000000-0005-0000-0000-000047260000}"/>
    <cellStyle name="Remarque 2 2 3 4 6 4" xfId="6775" xr:uid="{00000000-0005-0000-0000-000048260000}"/>
    <cellStyle name="Remarque 2 2 3 4 6 4 2" xfId="30789" xr:uid="{00000000-0005-0000-0000-000049260000}"/>
    <cellStyle name="Remarque 2 2 3 4 6 4 2 2" xfId="54749" xr:uid="{00000000-0005-0000-0000-00004A260000}"/>
    <cellStyle name="Remarque 2 2 3 4 6 4 3" xfId="18036" xr:uid="{00000000-0005-0000-0000-00004B260000}"/>
    <cellStyle name="Remarque 2 2 3 4 6 4 4" xfId="41996" xr:uid="{00000000-0005-0000-0000-00004C260000}"/>
    <cellStyle name="Remarque 2 2 3 4 6 5" xfId="8163" xr:uid="{00000000-0005-0000-0000-00004D260000}"/>
    <cellStyle name="Remarque 2 2 3 4 6 5 2" xfId="32177" xr:uid="{00000000-0005-0000-0000-00004E260000}"/>
    <cellStyle name="Remarque 2 2 3 4 6 5 2 2" xfId="56137" xr:uid="{00000000-0005-0000-0000-00004F260000}"/>
    <cellStyle name="Remarque 2 2 3 4 6 5 3" xfId="19424" xr:uid="{00000000-0005-0000-0000-000050260000}"/>
    <cellStyle name="Remarque 2 2 3 4 6 5 4" xfId="43384" xr:uid="{00000000-0005-0000-0000-000051260000}"/>
    <cellStyle name="Remarque 2 2 3 4 6 6" xfId="9548" xr:uid="{00000000-0005-0000-0000-000052260000}"/>
    <cellStyle name="Remarque 2 2 3 4 6 6 2" xfId="33562" xr:uid="{00000000-0005-0000-0000-000053260000}"/>
    <cellStyle name="Remarque 2 2 3 4 6 6 2 2" xfId="57522" xr:uid="{00000000-0005-0000-0000-000054260000}"/>
    <cellStyle name="Remarque 2 2 3 4 6 6 3" xfId="20809" xr:uid="{00000000-0005-0000-0000-000055260000}"/>
    <cellStyle name="Remarque 2 2 3 4 6 6 4" xfId="44769" xr:uid="{00000000-0005-0000-0000-000056260000}"/>
    <cellStyle name="Remarque 2 2 3 4 6 7" xfId="11005" xr:uid="{00000000-0005-0000-0000-000057260000}"/>
    <cellStyle name="Remarque 2 2 3 4 6 7 2" xfId="35015" xr:uid="{00000000-0005-0000-0000-000058260000}"/>
    <cellStyle name="Remarque 2 2 3 4 6 7 2 2" xfId="58975" xr:uid="{00000000-0005-0000-0000-000059260000}"/>
    <cellStyle name="Remarque 2 2 3 4 6 7 3" xfId="22272" xr:uid="{00000000-0005-0000-0000-00005A260000}"/>
    <cellStyle name="Remarque 2 2 3 4 6 7 4" xfId="46232" xr:uid="{00000000-0005-0000-0000-00005B260000}"/>
    <cellStyle name="Remarque 2 2 3 4 6 8" xfId="11910" xr:uid="{00000000-0005-0000-0000-00005C260000}"/>
    <cellStyle name="Remarque 2 2 3 4 6 8 2" xfId="23188" xr:uid="{00000000-0005-0000-0000-00005D260000}"/>
    <cellStyle name="Remarque 2 2 3 4 6 8 3" xfId="47148" xr:uid="{00000000-0005-0000-0000-00005E260000}"/>
    <cellStyle name="Remarque 2 2 3 4 6 9" xfId="2477" xr:uid="{00000000-0005-0000-0000-00005F260000}"/>
    <cellStyle name="Remarque 2 2 3 4 6 9 2" xfId="26491" xr:uid="{00000000-0005-0000-0000-000060260000}"/>
    <cellStyle name="Remarque 2 2 3 4 6 9 3" xfId="50451" xr:uid="{00000000-0005-0000-0000-000061260000}"/>
    <cellStyle name="Remarque 2 2 3 4 7" xfId="1377" xr:uid="{00000000-0005-0000-0000-000062260000}"/>
    <cellStyle name="Remarque 2 2 3 4 7 10" xfId="25409" xr:uid="{00000000-0005-0000-0000-000063260000}"/>
    <cellStyle name="Remarque 2 2 3 4 7 10 2" xfId="49369" xr:uid="{00000000-0005-0000-0000-000064260000}"/>
    <cellStyle name="Remarque 2 2 3 4 7 11" xfId="35746" xr:uid="{00000000-0005-0000-0000-000065260000}"/>
    <cellStyle name="Remarque 2 2 3 4 7 11 2" xfId="59706" xr:uid="{00000000-0005-0000-0000-000066260000}"/>
    <cellStyle name="Remarque 2 2 3 4 7 12" xfId="14074" xr:uid="{00000000-0005-0000-0000-000067260000}"/>
    <cellStyle name="Remarque 2 2 3 4 7 13" xfId="38034" xr:uid="{00000000-0005-0000-0000-000068260000}"/>
    <cellStyle name="Remarque 2 2 3 4 7 2" xfId="4283" xr:uid="{00000000-0005-0000-0000-000069260000}"/>
    <cellStyle name="Remarque 2 2 3 4 7 2 2" xfId="28297" xr:uid="{00000000-0005-0000-0000-00006A260000}"/>
    <cellStyle name="Remarque 2 2 3 4 7 2 2 2" xfId="52257" xr:uid="{00000000-0005-0000-0000-00006B260000}"/>
    <cellStyle name="Remarque 2 2 3 4 7 2 3" xfId="15544" xr:uid="{00000000-0005-0000-0000-00006C260000}"/>
    <cellStyle name="Remarque 2 2 3 4 7 2 4" xfId="39504" xr:uid="{00000000-0005-0000-0000-00006D260000}"/>
    <cellStyle name="Remarque 2 2 3 4 7 3" xfId="5717" xr:uid="{00000000-0005-0000-0000-00006E260000}"/>
    <cellStyle name="Remarque 2 2 3 4 7 3 2" xfId="29731" xr:uid="{00000000-0005-0000-0000-00006F260000}"/>
    <cellStyle name="Remarque 2 2 3 4 7 3 2 2" xfId="53691" xr:uid="{00000000-0005-0000-0000-000070260000}"/>
    <cellStyle name="Remarque 2 2 3 4 7 3 3" xfId="16978" xr:uid="{00000000-0005-0000-0000-000071260000}"/>
    <cellStyle name="Remarque 2 2 3 4 7 3 4" xfId="40938" xr:uid="{00000000-0005-0000-0000-000072260000}"/>
    <cellStyle name="Remarque 2 2 3 4 7 4" xfId="7111" xr:uid="{00000000-0005-0000-0000-000073260000}"/>
    <cellStyle name="Remarque 2 2 3 4 7 4 2" xfId="31125" xr:uid="{00000000-0005-0000-0000-000074260000}"/>
    <cellStyle name="Remarque 2 2 3 4 7 4 2 2" xfId="55085" xr:uid="{00000000-0005-0000-0000-000075260000}"/>
    <cellStyle name="Remarque 2 2 3 4 7 4 3" xfId="18372" xr:uid="{00000000-0005-0000-0000-000076260000}"/>
    <cellStyle name="Remarque 2 2 3 4 7 4 4" xfId="42332" xr:uid="{00000000-0005-0000-0000-000077260000}"/>
    <cellStyle name="Remarque 2 2 3 4 7 5" xfId="8499" xr:uid="{00000000-0005-0000-0000-000078260000}"/>
    <cellStyle name="Remarque 2 2 3 4 7 5 2" xfId="32513" xr:uid="{00000000-0005-0000-0000-000079260000}"/>
    <cellStyle name="Remarque 2 2 3 4 7 5 2 2" xfId="56473" xr:uid="{00000000-0005-0000-0000-00007A260000}"/>
    <cellStyle name="Remarque 2 2 3 4 7 5 3" xfId="19760" xr:uid="{00000000-0005-0000-0000-00007B260000}"/>
    <cellStyle name="Remarque 2 2 3 4 7 5 4" xfId="43720" xr:uid="{00000000-0005-0000-0000-00007C260000}"/>
    <cellStyle name="Remarque 2 2 3 4 7 6" xfId="9884" xr:uid="{00000000-0005-0000-0000-00007D260000}"/>
    <cellStyle name="Remarque 2 2 3 4 7 6 2" xfId="33898" xr:uid="{00000000-0005-0000-0000-00007E260000}"/>
    <cellStyle name="Remarque 2 2 3 4 7 6 2 2" xfId="57858" xr:uid="{00000000-0005-0000-0000-00007F260000}"/>
    <cellStyle name="Remarque 2 2 3 4 7 6 3" xfId="21145" xr:uid="{00000000-0005-0000-0000-000080260000}"/>
    <cellStyle name="Remarque 2 2 3 4 7 6 4" xfId="45105" xr:uid="{00000000-0005-0000-0000-000081260000}"/>
    <cellStyle name="Remarque 2 2 3 4 7 7" xfId="11341" xr:uid="{00000000-0005-0000-0000-000082260000}"/>
    <cellStyle name="Remarque 2 2 3 4 7 7 2" xfId="35351" xr:uid="{00000000-0005-0000-0000-000083260000}"/>
    <cellStyle name="Remarque 2 2 3 4 7 7 2 2" xfId="59311" xr:uid="{00000000-0005-0000-0000-000084260000}"/>
    <cellStyle name="Remarque 2 2 3 4 7 7 3" xfId="22608" xr:uid="{00000000-0005-0000-0000-000085260000}"/>
    <cellStyle name="Remarque 2 2 3 4 7 7 4" xfId="46568" xr:uid="{00000000-0005-0000-0000-000086260000}"/>
    <cellStyle name="Remarque 2 2 3 4 7 8" xfId="12741" xr:uid="{00000000-0005-0000-0000-000087260000}"/>
    <cellStyle name="Remarque 2 2 3 4 7 8 2" xfId="24047" xr:uid="{00000000-0005-0000-0000-000088260000}"/>
    <cellStyle name="Remarque 2 2 3 4 7 8 3" xfId="48007" xr:uid="{00000000-0005-0000-0000-000089260000}"/>
    <cellStyle name="Remarque 2 2 3 4 7 9" xfId="2813" xr:uid="{00000000-0005-0000-0000-00008A260000}"/>
    <cellStyle name="Remarque 2 2 3 4 7 9 2" xfId="26827" xr:uid="{00000000-0005-0000-0000-00008B260000}"/>
    <cellStyle name="Remarque 2 2 3 4 7 9 3" xfId="50787" xr:uid="{00000000-0005-0000-0000-00008C260000}"/>
    <cellStyle name="Remarque 2 2 3 4 8" xfId="3133" xr:uid="{00000000-0005-0000-0000-00008D260000}"/>
    <cellStyle name="Remarque 2 2 3 4 8 2" xfId="27147" xr:uid="{00000000-0005-0000-0000-00008E260000}"/>
    <cellStyle name="Remarque 2 2 3 4 8 2 2" xfId="51107" xr:uid="{00000000-0005-0000-0000-00008F260000}"/>
    <cellStyle name="Remarque 2 2 3 4 8 3" xfId="14394" xr:uid="{00000000-0005-0000-0000-000090260000}"/>
    <cellStyle name="Remarque 2 2 3 4 8 4" xfId="38354" xr:uid="{00000000-0005-0000-0000-000091260000}"/>
    <cellStyle name="Remarque 2 2 3 4 9" xfId="1663" xr:uid="{00000000-0005-0000-0000-000092260000}"/>
    <cellStyle name="Remarque 2 2 3 4 9 2" xfId="25677" xr:uid="{00000000-0005-0000-0000-000093260000}"/>
    <cellStyle name="Remarque 2 2 3 4 9 3" xfId="49637" xr:uid="{00000000-0005-0000-0000-000094260000}"/>
    <cellStyle name="Remarque 2 2 3 5" xfId="126" xr:uid="{00000000-0005-0000-0000-000095260000}"/>
    <cellStyle name="Remarque 2 2 3 5 10" xfId="6121" xr:uid="{00000000-0005-0000-0000-000096260000}"/>
    <cellStyle name="Remarque 2 2 3 5 10 2" xfId="30135" xr:uid="{00000000-0005-0000-0000-000097260000}"/>
    <cellStyle name="Remarque 2 2 3 5 10 2 2" xfId="54095" xr:uid="{00000000-0005-0000-0000-000098260000}"/>
    <cellStyle name="Remarque 2 2 3 5 10 3" xfId="17382" xr:uid="{00000000-0005-0000-0000-000099260000}"/>
    <cellStyle name="Remarque 2 2 3 5 10 4" xfId="41342" xr:uid="{00000000-0005-0000-0000-00009A260000}"/>
    <cellStyle name="Remarque 2 2 3 5 11" xfId="7509" xr:uid="{00000000-0005-0000-0000-00009B260000}"/>
    <cellStyle name="Remarque 2 2 3 5 11 2" xfId="31523" xr:uid="{00000000-0005-0000-0000-00009C260000}"/>
    <cellStyle name="Remarque 2 2 3 5 11 2 2" xfId="55483" xr:uid="{00000000-0005-0000-0000-00009D260000}"/>
    <cellStyle name="Remarque 2 2 3 5 11 3" xfId="18770" xr:uid="{00000000-0005-0000-0000-00009E260000}"/>
    <cellStyle name="Remarque 2 2 3 5 11 4" xfId="42730" xr:uid="{00000000-0005-0000-0000-00009F260000}"/>
    <cellStyle name="Remarque 2 2 3 5 12" xfId="8894" xr:uid="{00000000-0005-0000-0000-0000A0260000}"/>
    <cellStyle name="Remarque 2 2 3 5 12 2" xfId="32908" xr:uid="{00000000-0005-0000-0000-0000A1260000}"/>
    <cellStyle name="Remarque 2 2 3 5 12 2 2" xfId="56868" xr:uid="{00000000-0005-0000-0000-0000A2260000}"/>
    <cellStyle name="Remarque 2 2 3 5 12 3" xfId="20155" xr:uid="{00000000-0005-0000-0000-0000A3260000}"/>
    <cellStyle name="Remarque 2 2 3 5 12 4" xfId="44115" xr:uid="{00000000-0005-0000-0000-0000A4260000}"/>
    <cellStyle name="Remarque 2 2 3 5 13" xfId="10351" xr:uid="{00000000-0005-0000-0000-0000A5260000}"/>
    <cellStyle name="Remarque 2 2 3 5 13 2" xfId="34361" xr:uid="{00000000-0005-0000-0000-0000A6260000}"/>
    <cellStyle name="Remarque 2 2 3 5 13 2 2" xfId="58321" xr:uid="{00000000-0005-0000-0000-0000A7260000}"/>
    <cellStyle name="Remarque 2 2 3 5 13 3" xfId="21618" xr:uid="{00000000-0005-0000-0000-0000A8260000}"/>
    <cellStyle name="Remarque 2 2 3 5 13 4" xfId="45578" xr:uid="{00000000-0005-0000-0000-0000A9260000}"/>
    <cellStyle name="Remarque 2 2 3 5 14" xfId="12510" xr:uid="{00000000-0005-0000-0000-0000AA260000}"/>
    <cellStyle name="Remarque 2 2 3 5 14 2" xfId="23807" xr:uid="{00000000-0005-0000-0000-0000AB260000}"/>
    <cellStyle name="Remarque 2 2 3 5 14 3" xfId="47767" xr:uid="{00000000-0005-0000-0000-0000AC260000}"/>
    <cellStyle name="Remarque 2 2 3 5 15" xfId="1823" xr:uid="{00000000-0005-0000-0000-0000AD260000}"/>
    <cellStyle name="Remarque 2 2 3 5 15 2" xfId="25837" xr:uid="{00000000-0005-0000-0000-0000AE260000}"/>
    <cellStyle name="Remarque 2 2 3 5 15 3" xfId="49797" xr:uid="{00000000-0005-0000-0000-0000AF260000}"/>
    <cellStyle name="Remarque 2 2 3 5 16" xfId="24419" xr:uid="{00000000-0005-0000-0000-0000B0260000}"/>
    <cellStyle name="Remarque 2 2 3 5 16 2" xfId="48379" xr:uid="{00000000-0005-0000-0000-0000B1260000}"/>
    <cellStyle name="Remarque 2 2 3 5 17" xfId="36825" xr:uid="{00000000-0005-0000-0000-0000B2260000}"/>
    <cellStyle name="Remarque 2 2 3 5 17 2" xfId="60785" xr:uid="{00000000-0005-0000-0000-0000B3260000}"/>
    <cellStyle name="Remarque 2 2 3 5 18" xfId="13084" xr:uid="{00000000-0005-0000-0000-0000B4260000}"/>
    <cellStyle name="Remarque 2 2 3 5 19" xfId="37044" xr:uid="{00000000-0005-0000-0000-0000B5260000}"/>
    <cellStyle name="Remarque 2 2 3 5 2" xfId="523" xr:uid="{00000000-0005-0000-0000-0000B6260000}"/>
    <cellStyle name="Remarque 2 2 3 5 2 10" xfId="24555" xr:uid="{00000000-0005-0000-0000-0000B7260000}"/>
    <cellStyle name="Remarque 2 2 3 5 2 10 2" xfId="48515" xr:uid="{00000000-0005-0000-0000-0000B8260000}"/>
    <cellStyle name="Remarque 2 2 3 5 2 11" xfId="35859" xr:uid="{00000000-0005-0000-0000-0000B9260000}"/>
    <cellStyle name="Remarque 2 2 3 5 2 11 2" xfId="59819" xr:uid="{00000000-0005-0000-0000-0000BA260000}"/>
    <cellStyle name="Remarque 2 2 3 5 2 12" xfId="13220" xr:uid="{00000000-0005-0000-0000-0000BB260000}"/>
    <cellStyle name="Remarque 2 2 3 5 2 13" xfId="37180" xr:uid="{00000000-0005-0000-0000-0000BC260000}"/>
    <cellStyle name="Remarque 2 2 3 5 2 2" xfId="3429" xr:uid="{00000000-0005-0000-0000-0000BD260000}"/>
    <cellStyle name="Remarque 2 2 3 5 2 2 2" xfId="27443" xr:uid="{00000000-0005-0000-0000-0000BE260000}"/>
    <cellStyle name="Remarque 2 2 3 5 2 2 2 2" xfId="51403" xr:uid="{00000000-0005-0000-0000-0000BF260000}"/>
    <cellStyle name="Remarque 2 2 3 5 2 2 3" xfId="14690" xr:uid="{00000000-0005-0000-0000-0000C0260000}"/>
    <cellStyle name="Remarque 2 2 3 5 2 2 4" xfId="38650" xr:uid="{00000000-0005-0000-0000-0000C1260000}"/>
    <cellStyle name="Remarque 2 2 3 5 2 3" xfId="4863" xr:uid="{00000000-0005-0000-0000-0000C2260000}"/>
    <cellStyle name="Remarque 2 2 3 5 2 3 2" xfId="28877" xr:uid="{00000000-0005-0000-0000-0000C3260000}"/>
    <cellStyle name="Remarque 2 2 3 5 2 3 2 2" xfId="52837" xr:uid="{00000000-0005-0000-0000-0000C4260000}"/>
    <cellStyle name="Remarque 2 2 3 5 2 3 3" xfId="16124" xr:uid="{00000000-0005-0000-0000-0000C5260000}"/>
    <cellStyle name="Remarque 2 2 3 5 2 3 4" xfId="40084" xr:uid="{00000000-0005-0000-0000-0000C6260000}"/>
    <cellStyle name="Remarque 2 2 3 5 2 4" xfId="6257" xr:uid="{00000000-0005-0000-0000-0000C7260000}"/>
    <cellStyle name="Remarque 2 2 3 5 2 4 2" xfId="30271" xr:uid="{00000000-0005-0000-0000-0000C8260000}"/>
    <cellStyle name="Remarque 2 2 3 5 2 4 2 2" xfId="54231" xr:uid="{00000000-0005-0000-0000-0000C9260000}"/>
    <cellStyle name="Remarque 2 2 3 5 2 4 3" xfId="17518" xr:uid="{00000000-0005-0000-0000-0000CA260000}"/>
    <cellStyle name="Remarque 2 2 3 5 2 4 4" xfId="41478" xr:uid="{00000000-0005-0000-0000-0000CB260000}"/>
    <cellStyle name="Remarque 2 2 3 5 2 5" xfId="7645" xr:uid="{00000000-0005-0000-0000-0000CC260000}"/>
    <cellStyle name="Remarque 2 2 3 5 2 5 2" xfId="31659" xr:uid="{00000000-0005-0000-0000-0000CD260000}"/>
    <cellStyle name="Remarque 2 2 3 5 2 5 2 2" xfId="55619" xr:uid="{00000000-0005-0000-0000-0000CE260000}"/>
    <cellStyle name="Remarque 2 2 3 5 2 5 3" xfId="18906" xr:uid="{00000000-0005-0000-0000-0000CF260000}"/>
    <cellStyle name="Remarque 2 2 3 5 2 5 4" xfId="42866" xr:uid="{00000000-0005-0000-0000-0000D0260000}"/>
    <cellStyle name="Remarque 2 2 3 5 2 6" xfId="9030" xr:uid="{00000000-0005-0000-0000-0000D1260000}"/>
    <cellStyle name="Remarque 2 2 3 5 2 6 2" xfId="33044" xr:uid="{00000000-0005-0000-0000-0000D2260000}"/>
    <cellStyle name="Remarque 2 2 3 5 2 6 2 2" xfId="57004" xr:uid="{00000000-0005-0000-0000-0000D3260000}"/>
    <cellStyle name="Remarque 2 2 3 5 2 6 3" xfId="20291" xr:uid="{00000000-0005-0000-0000-0000D4260000}"/>
    <cellStyle name="Remarque 2 2 3 5 2 6 4" xfId="44251" xr:uid="{00000000-0005-0000-0000-0000D5260000}"/>
    <cellStyle name="Remarque 2 2 3 5 2 7" xfId="10487" xr:uid="{00000000-0005-0000-0000-0000D6260000}"/>
    <cellStyle name="Remarque 2 2 3 5 2 7 2" xfId="34497" xr:uid="{00000000-0005-0000-0000-0000D7260000}"/>
    <cellStyle name="Remarque 2 2 3 5 2 7 2 2" xfId="58457" xr:uid="{00000000-0005-0000-0000-0000D8260000}"/>
    <cellStyle name="Remarque 2 2 3 5 2 7 3" xfId="21754" xr:uid="{00000000-0005-0000-0000-0000D9260000}"/>
    <cellStyle name="Remarque 2 2 3 5 2 7 4" xfId="45714" xr:uid="{00000000-0005-0000-0000-0000DA260000}"/>
    <cellStyle name="Remarque 2 2 3 5 2 8" xfId="11654" xr:uid="{00000000-0005-0000-0000-0000DB260000}"/>
    <cellStyle name="Remarque 2 2 3 5 2 8 2" xfId="22922" xr:uid="{00000000-0005-0000-0000-0000DC260000}"/>
    <cellStyle name="Remarque 2 2 3 5 2 8 3" xfId="46882" xr:uid="{00000000-0005-0000-0000-0000DD260000}"/>
    <cellStyle name="Remarque 2 2 3 5 2 9" xfId="1959" xr:uid="{00000000-0005-0000-0000-0000DE260000}"/>
    <cellStyle name="Remarque 2 2 3 5 2 9 2" xfId="25973" xr:uid="{00000000-0005-0000-0000-0000DF260000}"/>
    <cellStyle name="Remarque 2 2 3 5 2 9 3" xfId="49933" xr:uid="{00000000-0005-0000-0000-0000E0260000}"/>
    <cellStyle name="Remarque 2 2 3 5 20" xfId="387" xr:uid="{00000000-0005-0000-0000-0000E1260000}"/>
    <cellStyle name="Remarque 2 2 3 5 3" xfId="715" xr:uid="{00000000-0005-0000-0000-0000E2260000}"/>
    <cellStyle name="Remarque 2 2 3 5 3 10" xfId="24747" xr:uid="{00000000-0005-0000-0000-0000E3260000}"/>
    <cellStyle name="Remarque 2 2 3 5 3 10 2" xfId="48707" xr:uid="{00000000-0005-0000-0000-0000E4260000}"/>
    <cellStyle name="Remarque 2 2 3 5 3 11" xfId="35748" xr:uid="{00000000-0005-0000-0000-0000E5260000}"/>
    <cellStyle name="Remarque 2 2 3 5 3 11 2" xfId="59708" xr:uid="{00000000-0005-0000-0000-0000E6260000}"/>
    <cellStyle name="Remarque 2 2 3 5 3 12" xfId="13412" xr:uid="{00000000-0005-0000-0000-0000E7260000}"/>
    <cellStyle name="Remarque 2 2 3 5 3 13" xfId="37372" xr:uid="{00000000-0005-0000-0000-0000E8260000}"/>
    <cellStyle name="Remarque 2 2 3 5 3 2" xfId="3621" xr:uid="{00000000-0005-0000-0000-0000E9260000}"/>
    <cellStyle name="Remarque 2 2 3 5 3 2 2" xfId="27635" xr:uid="{00000000-0005-0000-0000-0000EA260000}"/>
    <cellStyle name="Remarque 2 2 3 5 3 2 2 2" xfId="51595" xr:uid="{00000000-0005-0000-0000-0000EB260000}"/>
    <cellStyle name="Remarque 2 2 3 5 3 2 3" xfId="14882" xr:uid="{00000000-0005-0000-0000-0000EC260000}"/>
    <cellStyle name="Remarque 2 2 3 5 3 2 4" xfId="38842" xr:uid="{00000000-0005-0000-0000-0000ED260000}"/>
    <cellStyle name="Remarque 2 2 3 5 3 3" xfId="5055" xr:uid="{00000000-0005-0000-0000-0000EE260000}"/>
    <cellStyle name="Remarque 2 2 3 5 3 3 2" xfId="29069" xr:uid="{00000000-0005-0000-0000-0000EF260000}"/>
    <cellStyle name="Remarque 2 2 3 5 3 3 2 2" xfId="53029" xr:uid="{00000000-0005-0000-0000-0000F0260000}"/>
    <cellStyle name="Remarque 2 2 3 5 3 3 3" xfId="16316" xr:uid="{00000000-0005-0000-0000-0000F1260000}"/>
    <cellStyle name="Remarque 2 2 3 5 3 3 4" xfId="40276" xr:uid="{00000000-0005-0000-0000-0000F2260000}"/>
    <cellStyle name="Remarque 2 2 3 5 3 4" xfId="6449" xr:uid="{00000000-0005-0000-0000-0000F3260000}"/>
    <cellStyle name="Remarque 2 2 3 5 3 4 2" xfId="30463" xr:uid="{00000000-0005-0000-0000-0000F4260000}"/>
    <cellStyle name="Remarque 2 2 3 5 3 4 2 2" xfId="54423" xr:uid="{00000000-0005-0000-0000-0000F5260000}"/>
    <cellStyle name="Remarque 2 2 3 5 3 4 3" xfId="17710" xr:uid="{00000000-0005-0000-0000-0000F6260000}"/>
    <cellStyle name="Remarque 2 2 3 5 3 4 4" xfId="41670" xr:uid="{00000000-0005-0000-0000-0000F7260000}"/>
    <cellStyle name="Remarque 2 2 3 5 3 5" xfId="7837" xr:uid="{00000000-0005-0000-0000-0000F8260000}"/>
    <cellStyle name="Remarque 2 2 3 5 3 5 2" xfId="31851" xr:uid="{00000000-0005-0000-0000-0000F9260000}"/>
    <cellStyle name="Remarque 2 2 3 5 3 5 2 2" xfId="55811" xr:uid="{00000000-0005-0000-0000-0000FA260000}"/>
    <cellStyle name="Remarque 2 2 3 5 3 5 3" xfId="19098" xr:uid="{00000000-0005-0000-0000-0000FB260000}"/>
    <cellStyle name="Remarque 2 2 3 5 3 5 4" xfId="43058" xr:uid="{00000000-0005-0000-0000-0000FC260000}"/>
    <cellStyle name="Remarque 2 2 3 5 3 6" xfId="9222" xr:uid="{00000000-0005-0000-0000-0000FD260000}"/>
    <cellStyle name="Remarque 2 2 3 5 3 6 2" xfId="33236" xr:uid="{00000000-0005-0000-0000-0000FE260000}"/>
    <cellStyle name="Remarque 2 2 3 5 3 6 2 2" xfId="57196" xr:uid="{00000000-0005-0000-0000-0000FF260000}"/>
    <cellStyle name="Remarque 2 2 3 5 3 6 3" xfId="20483" xr:uid="{00000000-0005-0000-0000-000000270000}"/>
    <cellStyle name="Remarque 2 2 3 5 3 6 4" xfId="44443" xr:uid="{00000000-0005-0000-0000-000001270000}"/>
    <cellStyle name="Remarque 2 2 3 5 3 7" xfId="10679" xr:uid="{00000000-0005-0000-0000-000002270000}"/>
    <cellStyle name="Remarque 2 2 3 5 3 7 2" xfId="34689" xr:uid="{00000000-0005-0000-0000-000003270000}"/>
    <cellStyle name="Remarque 2 2 3 5 3 7 2 2" xfId="58649" xr:uid="{00000000-0005-0000-0000-000004270000}"/>
    <cellStyle name="Remarque 2 2 3 5 3 7 3" xfId="21946" xr:uid="{00000000-0005-0000-0000-000005270000}"/>
    <cellStyle name="Remarque 2 2 3 5 3 7 4" xfId="45906" xr:uid="{00000000-0005-0000-0000-000006270000}"/>
    <cellStyle name="Remarque 2 2 3 5 3 8" xfId="12318" xr:uid="{00000000-0005-0000-0000-000007270000}"/>
    <cellStyle name="Remarque 2 2 3 5 3 8 2" xfId="23606" xr:uid="{00000000-0005-0000-0000-000008270000}"/>
    <cellStyle name="Remarque 2 2 3 5 3 8 3" xfId="47566" xr:uid="{00000000-0005-0000-0000-000009270000}"/>
    <cellStyle name="Remarque 2 2 3 5 3 9" xfId="2151" xr:uid="{00000000-0005-0000-0000-00000A270000}"/>
    <cellStyle name="Remarque 2 2 3 5 3 9 2" xfId="26165" xr:uid="{00000000-0005-0000-0000-00000B270000}"/>
    <cellStyle name="Remarque 2 2 3 5 3 9 3" xfId="50125" xr:uid="{00000000-0005-0000-0000-00000C270000}"/>
    <cellStyle name="Remarque 2 2 3 5 4" xfId="909" xr:uid="{00000000-0005-0000-0000-00000D270000}"/>
    <cellStyle name="Remarque 2 2 3 5 4 10" xfId="24941" xr:uid="{00000000-0005-0000-0000-00000E270000}"/>
    <cellStyle name="Remarque 2 2 3 5 4 10 2" xfId="48901" xr:uid="{00000000-0005-0000-0000-00000F270000}"/>
    <cellStyle name="Remarque 2 2 3 5 4 11" xfId="36796" xr:uid="{00000000-0005-0000-0000-000010270000}"/>
    <cellStyle name="Remarque 2 2 3 5 4 11 2" xfId="60756" xr:uid="{00000000-0005-0000-0000-000011270000}"/>
    <cellStyle name="Remarque 2 2 3 5 4 12" xfId="13606" xr:uid="{00000000-0005-0000-0000-000012270000}"/>
    <cellStyle name="Remarque 2 2 3 5 4 13" xfId="37566" xr:uid="{00000000-0005-0000-0000-000013270000}"/>
    <cellStyle name="Remarque 2 2 3 5 4 2" xfId="3815" xr:uid="{00000000-0005-0000-0000-000014270000}"/>
    <cellStyle name="Remarque 2 2 3 5 4 2 2" xfId="27829" xr:uid="{00000000-0005-0000-0000-000015270000}"/>
    <cellStyle name="Remarque 2 2 3 5 4 2 2 2" xfId="51789" xr:uid="{00000000-0005-0000-0000-000016270000}"/>
    <cellStyle name="Remarque 2 2 3 5 4 2 3" xfId="15076" xr:uid="{00000000-0005-0000-0000-000017270000}"/>
    <cellStyle name="Remarque 2 2 3 5 4 2 4" xfId="39036" xr:uid="{00000000-0005-0000-0000-000018270000}"/>
    <cellStyle name="Remarque 2 2 3 5 4 3" xfId="5249" xr:uid="{00000000-0005-0000-0000-000019270000}"/>
    <cellStyle name="Remarque 2 2 3 5 4 3 2" xfId="29263" xr:uid="{00000000-0005-0000-0000-00001A270000}"/>
    <cellStyle name="Remarque 2 2 3 5 4 3 2 2" xfId="53223" xr:uid="{00000000-0005-0000-0000-00001B270000}"/>
    <cellStyle name="Remarque 2 2 3 5 4 3 3" xfId="16510" xr:uid="{00000000-0005-0000-0000-00001C270000}"/>
    <cellStyle name="Remarque 2 2 3 5 4 3 4" xfId="40470" xr:uid="{00000000-0005-0000-0000-00001D270000}"/>
    <cellStyle name="Remarque 2 2 3 5 4 4" xfId="6643" xr:uid="{00000000-0005-0000-0000-00001E270000}"/>
    <cellStyle name="Remarque 2 2 3 5 4 4 2" xfId="30657" xr:uid="{00000000-0005-0000-0000-00001F270000}"/>
    <cellStyle name="Remarque 2 2 3 5 4 4 2 2" xfId="54617" xr:uid="{00000000-0005-0000-0000-000020270000}"/>
    <cellStyle name="Remarque 2 2 3 5 4 4 3" xfId="17904" xr:uid="{00000000-0005-0000-0000-000021270000}"/>
    <cellStyle name="Remarque 2 2 3 5 4 4 4" xfId="41864" xr:uid="{00000000-0005-0000-0000-000022270000}"/>
    <cellStyle name="Remarque 2 2 3 5 4 5" xfId="8031" xr:uid="{00000000-0005-0000-0000-000023270000}"/>
    <cellStyle name="Remarque 2 2 3 5 4 5 2" xfId="32045" xr:uid="{00000000-0005-0000-0000-000024270000}"/>
    <cellStyle name="Remarque 2 2 3 5 4 5 2 2" xfId="56005" xr:uid="{00000000-0005-0000-0000-000025270000}"/>
    <cellStyle name="Remarque 2 2 3 5 4 5 3" xfId="19292" xr:uid="{00000000-0005-0000-0000-000026270000}"/>
    <cellStyle name="Remarque 2 2 3 5 4 5 4" xfId="43252" xr:uid="{00000000-0005-0000-0000-000027270000}"/>
    <cellStyle name="Remarque 2 2 3 5 4 6" xfId="9416" xr:uid="{00000000-0005-0000-0000-000028270000}"/>
    <cellStyle name="Remarque 2 2 3 5 4 6 2" xfId="33430" xr:uid="{00000000-0005-0000-0000-000029270000}"/>
    <cellStyle name="Remarque 2 2 3 5 4 6 2 2" xfId="57390" xr:uid="{00000000-0005-0000-0000-00002A270000}"/>
    <cellStyle name="Remarque 2 2 3 5 4 6 3" xfId="20677" xr:uid="{00000000-0005-0000-0000-00002B270000}"/>
    <cellStyle name="Remarque 2 2 3 5 4 6 4" xfId="44637" xr:uid="{00000000-0005-0000-0000-00002C270000}"/>
    <cellStyle name="Remarque 2 2 3 5 4 7" xfId="10873" xr:uid="{00000000-0005-0000-0000-00002D270000}"/>
    <cellStyle name="Remarque 2 2 3 5 4 7 2" xfId="34883" xr:uid="{00000000-0005-0000-0000-00002E270000}"/>
    <cellStyle name="Remarque 2 2 3 5 4 7 2 2" xfId="58843" xr:uid="{00000000-0005-0000-0000-00002F270000}"/>
    <cellStyle name="Remarque 2 2 3 5 4 7 3" xfId="22140" xr:uid="{00000000-0005-0000-0000-000030270000}"/>
    <cellStyle name="Remarque 2 2 3 5 4 7 4" xfId="46100" xr:uid="{00000000-0005-0000-0000-000031270000}"/>
    <cellStyle name="Remarque 2 2 3 5 4 8" xfId="12604" xr:uid="{00000000-0005-0000-0000-000032270000}"/>
    <cellStyle name="Remarque 2 2 3 5 4 8 2" xfId="23906" xr:uid="{00000000-0005-0000-0000-000033270000}"/>
    <cellStyle name="Remarque 2 2 3 5 4 8 3" xfId="47866" xr:uid="{00000000-0005-0000-0000-000034270000}"/>
    <cellStyle name="Remarque 2 2 3 5 4 9" xfId="2345" xr:uid="{00000000-0005-0000-0000-000035270000}"/>
    <cellStyle name="Remarque 2 2 3 5 4 9 2" xfId="26359" xr:uid="{00000000-0005-0000-0000-000036270000}"/>
    <cellStyle name="Remarque 2 2 3 5 4 9 3" xfId="50319" xr:uid="{00000000-0005-0000-0000-000037270000}"/>
    <cellStyle name="Remarque 2 2 3 5 5" xfId="1102" xr:uid="{00000000-0005-0000-0000-000038270000}"/>
    <cellStyle name="Remarque 2 2 3 5 5 10" xfId="25134" xr:uid="{00000000-0005-0000-0000-000039270000}"/>
    <cellStyle name="Remarque 2 2 3 5 5 10 2" xfId="49094" xr:uid="{00000000-0005-0000-0000-00003A270000}"/>
    <cellStyle name="Remarque 2 2 3 5 5 11" xfId="35925" xr:uid="{00000000-0005-0000-0000-00003B270000}"/>
    <cellStyle name="Remarque 2 2 3 5 5 11 2" xfId="59885" xr:uid="{00000000-0005-0000-0000-00003C270000}"/>
    <cellStyle name="Remarque 2 2 3 5 5 12" xfId="13799" xr:uid="{00000000-0005-0000-0000-00003D270000}"/>
    <cellStyle name="Remarque 2 2 3 5 5 13" xfId="37759" xr:uid="{00000000-0005-0000-0000-00003E270000}"/>
    <cellStyle name="Remarque 2 2 3 5 5 2" xfId="4008" xr:uid="{00000000-0005-0000-0000-00003F270000}"/>
    <cellStyle name="Remarque 2 2 3 5 5 2 2" xfId="28022" xr:uid="{00000000-0005-0000-0000-000040270000}"/>
    <cellStyle name="Remarque 2 2 3 5 5 2 2 2" xfId="51982" xr:uid="{00000000-0005-0000-0000-000041270000}"/>
    <cellStyle name="Remarque 2 2 3 5 5 2 3" xfId="15269" xr:uid="{00000000-0005-0000-0000-000042270000}"/>
    <cellStyle name="Remarque 2 2 3 5 5 2 4" xfId="39229" xr:uid="{00000000-0005-0000-0000-000043270000}"/>
    <cellStyle name="Remarque 2 2 3 5 5 3" xfId="5442" xr:uid="{00000000-0005-0000-0000-000044270000}"/>
    <cellStyle name="Remarque 2 2 3 5 5 3 2" xfId="29456" xr:uid="{00000000-0005-0000-0000-000045270000}"/>
    <cellStyle name="Remarque 2 2 3 5 5 3 2 2" xfId="53416" xr:uid="{00000000-0005-0000-0000-000046270000}"/>
    <cellStyle name="Remarque 2 2 3 5 5 3 3" xfId="16703" xr:uid="{00000000-0005-0000-0000-000047270000}"/>
    <cellStyle name="Remarque 2 2 3 5 5 3 4" xfId="40663" xr:uid="{00000000-0005-0000-0000-000048270000}"/>
    <cellStyle name="Remarque 2 2 3 5 5 4" xfId="6836" xr:uid="{00000000-0005-0000-0000-000049270000}"/>
    <cellStyle name="Remarque 2 2 3 5 5 4 2" xfId="30850" xr:uid="{00000000-0005-0000-0000-00004A270000}"/>
    <cellStyle name="Remarque 2 2 3 5 5 4 2 2" xfId="54810" xr:uid="{00000000-0005-0000-0000-00004B270000}"/>
    <cellStyle name="Remarque 2 2 3 5 5 4 3" xfId="18097" xr:uid="{00000000-0005-0000-0000-00004C270000}"/>
    <cellStyle name="Remarque 2 2 3 5 5 4 4" xfId="42057" xr:uid="{00000000-0005-0000-0000-00004D270000}"/>
    <cellStyle name="Remarque 2 2 3 5 5 5" xfId="8224" xr:uid="{00000000-0005-0000-0000-00004E270000}"/>
    <cellStyle name="Remarque 2 2 3 5 5 5 2" xfId="32238" xr:uid="{00000000-0005-0000-0000-00004F270000}"/>
    <cellStyle name="Remarque 2 2 3 5 5 5 2 2" xfId="56198" xr:uid="{00000000-0005-0000-0000-000050270000}"/>
    <cellStyle name="Remarque 2 2 3 5 5 5 3" xfId="19485" xr:uid="{00000000-0005-0000-0000-000051270000}"/>
    <cellStyle name="Remarque 2 2 3 5 5 5 4" xfId="43445" xr:uid="{00000000-0005-0000-0000-000052270000}"/>
    <cellStyle name="Remarque 2 2 3 5 5 6" xfId="9609" xr:uid="{00000000-0005-0000-0000-000053270000}"/>
    <cellStyle name="Remarque 2 2 3 5 5 6 2" xfId="33623" xr:uid="{00000000-0005-0000-0000-000054270000}"/>
    <cellStyle name="Remarque 2 2 3 5 5 6 2 2" xfId="57583" xr:uid="{00000000-0005-0000-0000-000055270000}"/>
    <cellStyle name="Remarque 2 2 3 5 5 6 3" xfId="20870" xr:uid="{00000000-0005-0000-0000-000056270000}"/>
    <cellStyle name="Remarque 2 2 3 5 5 6 4" xfId="44830" xr:uid="{00000000-0005-0000-0000-000057270000}"/>
    <cellStyle name="Remarque 2 2 3 5 5 7" xfId="11066" xr:uid="{00000000-0005-0000-0000-000058270000}"/>
    <cellStyle name="Remarque 2 2 3 5 5 7 2" xfId="35076" xr:uid="{00000000-0005-0000-0000-000059270000}"/>
    <cellStyle name="Remarque 2 2 3 5 5 7 2 2" xfId="59036" xr:uid="{00000000-0005-0000-0000-00005A270000}"/>
    <cellStyle name="Remarque 2 2 3 5 5 7 3" xfId="22333" xr:uid="{00000000-0005-0000-0000-00005B270000}"/>
    <cellStyle name="Remarque 2 2 3 5 5 7 4" xfId="46293" xr:uid="{00000000-0005-0000-0000-00005C270000}"/>
    <cellStyle name="Remarque 2 2 3 5 5 8" xfId="12634" xr:uid="{00000000-0005-0000-0000-00005D270000}"/>
    <cellStyle name="Remarque 2 2 3 5 5 8 2" xfId="23938" xr:uid="{00000000-0005-0000-0000-00005E270000}"/>
    <cellStyle name="Remarque 2 2 3 5 5 8 3" xfId="47898" xr:uid="{00000000-0005-0000-0000-00005F270000}"/>
    <cellStyle name="Remarque 2 2 3 5 5 9" xfId="2538" xr:uid="{00000000-0005-0000-0000-000060270000}"/>
    <cellStyle name="Remarque 2 2 3 5 5 9 2" xfId="26552" xr:uid="{00000000-0005-0000-0000-000061270000}"/>
    <cellStyle name="Remarque 2 2 3 5 5 9 3" xfId="50512" xr:uid="{00000000-0005-0000-0000-000062270000}"/>
    <cellStyle name="Remarque 2 2 3 5 6" xfId="1269" xr:uid="{00000000-0005-0000-0000-000063270000}"/>
    <cellStyle name="Remarque 2 2 3 5 6 10" xfId="25301" xr:uid="{00000000-0005-0000-0000-000064270000}"/>
    <cellStyle name="Remarque 2 2 3 5 6 10 2" xfId="49261" xr:uid="{00000000-0005-0000-0000-000065270000}"/>
    <cellStyle name="Remarque 2 2 3 5 6 11" xfId="35741" xr:uid="{00000000-0005-0000-0000-000066270000}"/>
    <cellStyle name="Remarque 2 2 3 5 6 11 2" xfId="59701" xr:uid="{00000000-0005-0000-0000-000067270000}"/>
    <cellStyle name="Remarque 2 2 3 5 6 12" xfId="13966" xr:uid="{00000000-0005-0000-0000-000068270000}"/>
    <cellStyle name="Remarque 2 2 3 5 6 13" xfId="37926" xr:uid="{00000000-0005-0000-0000-000069270000}"/>
    <cellStyle name="Remarque 2 2 3 5 6 2" xfId="4175" xr:uid="{00000000-0005-0000-0000-00006A270000}"/>
    <cellStyle name="Remarque 2 2 3 5 6 2 2" xfId="28189" xr:uid="{00000000-0005-0000-0000-00006B270000}"/>
    <cellStyle name="Remarque 2 2 3 5 6 2 2 2" xfId="52149" xr:uid="{00000000-0005-0000-0000-00006C270000}"/>
    <cellStyle name="Remarque 2 2 3 5 6 2 3" xfId="15436" xr:uid="{00000000-0005-0000-0000-00006D270000}"/>
    <cellStyle name="Remarque 2 2 3 5 6 2 4" xfId="39396" xr:uid="{00000000-0005-0000-0000-00006E270000}"/>
    <cellStyle name="Remarque 2 2 3 5 6 3" xfId="5609" xr:uid="{00000000-0005-0000-0000-00006F270000}"/>
    <cellStyle name="Remarque 2 2 3 5 6 3 2" xfId="29623" xr:uid="{00000000-0005-0000-0000-000070270000}"/>
    <cellStyle name="Remarque 2 2 3 5 6 3 2 2" xfId="53583" xr:uid="{00000000-0005-0000-0000-000071270000}"/>
    <cellStyle name="Remarque 2 2 3 5 6 3 3" xfId="16870" xr:uid="{00000000-0005-0000-0000-000072270000}"/>
    <cellStyle name="Remarque 2 2 3 5 6 3 4" xfId="40830" xr:uid="{00000000-0005-0000-0000-000073270000}"/>
    <cellStyle name="Remarque 2 2 3 5 6 4" xfId="7003" xr:uid="{00000000-0005-0000-0000-000074270000}"/>
    <cellStyle name="Remarque 2 2 3 5 6 4 2" xfId="31017" xr:uid="{00000000-0005-0000-0000-000075270000}"/>
    <cellStyle name="Remarque 2 2 3 5 6 4 2 2" xfId="54977" xr:uid="{00000000-0005-0000-0000-000076270000}"/>
    <cellStyle name="Remarque 2 2 3 5 6 4 3" xfId="18264" xr:uid="{00000000-0005-0000-0000-000077270000}"/>
    <cellStyle name="Remarque 2 2 3 5 6 4 4" xfId="42224" xr:uid="{00000000-0005-0000-0000-000078270000}"/>
    <cellStyle name="Remarque 2 2 3 5 6 5" xfId="8391" xr:uid="{00000000-0005-0000-0000-000079270000}"/>
    <cellStyle name="Remarque 2 2 3 5 6 5 2" xfId="32405" xr:uid="{00000000-0005-0000-0000-00007A270000}"/>
    <cellStyle name="Remarque 2 2 3 5 6 5 2 2" xfId="56365" xr:uid="{00000000-0005-0000-0000-00007B270000}"/>
    <cellStyle name="Remarque 2 2 3 5 6 5 3" xfId="19652" xr:uid="{00000000-0005-0000-0000-00007C270000}"/>
    <cellStyle name="Remarque 2 2 3 5 6 5 4" xfId="43612" xr:uid="{00000000-0005-0000-0000-00007D270000}"/>
    <cellStyle name="Remarque 2 2 3 5 6 6" xfId="9776" xr:uid="{00000000-0005-0000-0000-00007E270000}"/>
    <cellStyle name="Remarque 2 2 3 5 6 6 2" xfId="33790" xr:uid="{00000000-0005-0000-0000-00007F270000}"/>
    <cellStyle name="Remarque 2 2 3 5 6 6 2 2" xfId="57750" xr:uid="{00000000-0005-0000-0000-000080270000}"/>
    <cellStyle name="Remarque 2 2 3 5 6 6 3" xfId="21037" xr:uid="{00000000-0005-0000-0000-000081270000}"/>
    <cellStyle name="Remarque 2 2 3 5 6 6 4" xfId="44997" xr:uid="{00000000-0005-0000-0000-000082270000}"/>
    <cellStyle name="Remarque 2 2 3 5 6 7" xfId="11233" xr:uid="{00000000-0005-0000-0000-000083270000}"/>
    <cellStyle name="Remarque 2 2 3 5 6 7 2" xfId="35243" xr:uid="{00000000-0005-0000-0000-000084270000}"/>
    <cellStyle name="Remarque 2 2 3 5 6 7 2 2" xfId="59203" xr:uid="{00000000-0005-0000-0000-000085270000}"/>
    <cellStyle name="Remarque 2 2 3 5 6 7 3" xfId="22500" xr:uid="{00000000-0005-0000-0000-000086270000}"/>
    <cellStyle name="Remarque 2 2 3 5 6 7 4" xfId="46460" xr:uid="{00000000-0005-0000-0000-000087270000}"/>
    <cellStyle name="Remarque 2 2 3 5 6 8" xfId="12757" xr:uid="{00000000-0005-0000-0000-000088270000}"/>
    <cellStyle name="Remarque 2 2 3 5 6 8 2" xfId="24064" xr:uid="{00000000-0005-0000-0000-000089270000}"/>
    <cellStyle name="Remarque 2 2 3 5 6 8 3" xfId="48024" xr:uid="{00000000-0005-0000-0000-00008A270000}"/>
    <cellStyle name="Remarque 2 2 3 5 6 9" xfId="2705" xr:uid="{00000000-0005-0000-0000-00008B270000}"/>
    <cellStyle name="Remarque 2 2 3 5 6 9 2" xfId="26719" xr:uid="{00000000-0005-0000-0000-00008C270000}"/>
    <cellStyle name="Remarque 2 2 3 5 6 9 3" xfId="50679" xr:uid="{00000000-0005-0000-0000-00008D270000}"/>
    <cellStyle name="Remarque 2 2 3 5 7" xfId="1438" xr:uid="{00000000-0005-0000-0000-00008E270000}"/>
    <cellStyle name="Remarque 2 2 3 5 7 10" xfId="25470" xr:uid="{00000000-0005-0000-0000-00008F270000}"/>
    <cellStyle name="Remarque 2 2 3 5 7 10 2" xfId="49430" xr:uid="{00000000-0005-0000-0000-000090270000}"/>
    <cellStyle name="Remarque 2 2 3 5 7 11" xfId="36274" xr:uid="{00000000-0005-0000-0000-000091270000}"/>
    <cellStyle name="Remarque 2 2 3 5 7 11 2" xfId="60234" xr:uid="{00000000-0005-0000-0000-000092270000}"/>
    <cellStyle name="Remarque 2 2 3 5 7 12" xfId="14135" xr:uid="{00000000-0005-0000-0000-000093270000}"/>
    <cellStyle name="Remarque 2 2 3 5 7 13" xfId="38095" xr:uid="{00000000-0005-0000-0000-000094270000}"/>
    <cellStyle name="Remarque 2 2 3 5 7 2" xfId="4344" xr:uid="{00000000-0005-0000-0000-000095270000}"/>
    <cellStyle name="Remarque 2 2 3 5 7 2 2" xfId="28358" xr:uid="{00000000-0005-0000-0000-000096270000}"/>
    <cellStyle name="Remarque 2 2 3 5 7 2 2 2" xfId="52318" xr:uid="{00000000-0005-0000-0000-000097270000}"/>
    <cellStyle name="Remarque 2 2 3 5 7 2 3" xfId="15605" xr:uid="{00000000-0005-0000-0000-000098270000}"/>
    <cellStyle name="Remarque 2 2 3 5 7 2 4" xfId="39565" xr:uid="{00000000-0005-0000-0000-000099270000}"/>
    <cellStyle name="Remarque 2 2 3 5 7 3" xfId="5778" xr:uid="{00000000-0005-0000-0000-00009A270000}"/>
    <cellStyle name="Remarque 2 2 3 5 7 3 2" xfId="29792" xr:uid="{00000000-0005-0000-0000-00009B270000}"/>
    <cellStyle name="Remarque 2 2 3 5 7 3 2 2" xfId="53752" xr:uid="{00000000-0005-0000-0000-00009C270000}"/>
    <cellStyle name="Remarque 2 2 3 5 7 3 3" xfId="17039" xr:uid="{00000000-0005-0000-0000-00009D270000}"/>
    <cellStyle name="Remarque 2 2 3 5 7 3 4" xfId="40999" xr:uid="{00000000-0005-0000-0000-00009E270000}"/>
    <cellStyle name="Remarque 2 2 3 5 7 4" xfId="7172" xr:uid="{00000000-0005-0000-0000-00009F270000}"/>
    <cellStyle name="Remarque 2 2 3 5 7 4 2" xfId="31186" xr:uid="{00000000-0005-0000-0000-0000A0270000}"/>
    <cellStyle name="Remarque 2 2 3 5 7 4 2 2" xfId="55146" xr:uid="{00000000-0005-0000-0000-0000A1270000}"/>
    <cellStyle name="Remarque 2 2 3 5 7 4 3" xfId="18433" xr:uid="{00000000-0005-0000-0000-0000A2270000}"/>
    <cellStyle name="Remarque 2 2 3 5 7 4 4" xfId="42393" xr:uid="{00000000-0005-0000-0000-0000A3270000}"/>
    <cellStyle name="Remarque 2 2 3 5 7 5" xfId="8560" xr:uid="{00000000-0005-0000-0000-0000A4270000}"/>
    <cellStyle name="Remarque 2 2 3 5 7 5 2" xfId="32574" xr:uid="{00000000-0005-0000-0000-0000A5270000}"/>
    <cellStyle name="Remarque 2 2 3 5 7 5 2 2" xfId="56534" xr:uid="{00000000-0005-0000-0000-0000A6270000}"/>
    <cellStyle name="Remarque 2 2 3 5 7 5 3" xfId="19821" xr:uid="{00000000-0005-0000-0000-0000A7270000}"/>
    <cellStyle name="Remarque 2 2 3 5 7 5 4" xfId="43781" xr:uid="{00000000-0005-0000-0000-0000A8270000}"/>
    <cellStyle name="Remarque 2 2 3 5 7 6" xfId="9945" xr:uid="{00000000-0005-0000-0000-0000A9270000}"/>
    <cellStyle name="Remarque 2 2 3 5 7 6 2" xfId="33959" xr:uid="{00000000-0005-0000-0000-0000AA270000}"/>
    <cellStyle name="Remarque 2 2 3 5 7 6 2 2" xfId="57919" xr:uid="{00000000-0005-0000-0000-0000AB270000}"/>
    <cellStyle name="Remarque 2 2 3 5 7 6 3" xfId="21206" xr:uid="{00000000-0005-0000-0000-0000AC270000}"/>
    <cellStyle name="Remarque 2 2 3 5 7 6 4" xfId="45166" xr:uid="{00000000-0005-0000-0000-0000AD270000}"/>
    <cellStyle name="Remarque 2 2 3 5 7 7" xfId="11402" xr:uid="{00000000-0005-0000-0000-0000AE270000}"/>
    <cellStyle name="Remarque 2 2 3 5 7 7 2" xfId="35412" xr:uid="{00000000-0005-0000-0000-0000AF270000}"/>
    <cellStyle name="Remarque 2 2 3 5 7 7 2 2" xfId="59372" xr:uid="{00000000-0005-0000-0000-0000B0270000}"/>
    <cellStyle name="Remarque 2 2 3 5 7 7 3" xfId="22669" xr:uid="{00000000-0005-0000-0000-0000B1270000}"/>
    <cellStyle name="Remarque 2 2 3 5 7 7 4" xfId="46629" xr:uid="{00000000-0005-0000-0000-0000B2270000}"/>
    <cellStyle name="Remarque 2 2 3 5 7 8" xfId="11592" xr:uid="{00000000-0005-0000-0000-0000B3270000}"/>
    <cellStyle name="Remarque 2 2 3 5 7 8 2" xfId="22859" xr:uid="{00000000-0005-0000-0000-0000B4270000}"/>
    <cellStyle name="Remarque 2 2 3 5 7 8 3" xfId="46819" xr:uid="{00000000-0005-0000-0000-0000B5270000}"/>
    <cellStyle name="Remarque 2 2 3 5 7 9" xfId="2874" xr:uid="{00000000-0005-0000-0000-0000B6270000}"/>
    <cellStyle name="Remarque 2 2 3 5 7 9 2" xfId="26888" xr:uid="{00000000-0005-0000-0000-0000B7270000}"/>
    <cellStyle name="Remarque 2 2 3 5 7 9 3" xfId="50848" xr:uid="{00000000-0005-0000-0000-0000B8270000}"/>
    <cellStyle name="Remarque 2 2 3 5 8" xfId="3293" xr:uid="{00000000-0005-0000-0000-0000B9270000}"/>
    <cellStyle name="Remarque 2 2 3 5 8 2" xfId="27307" xr:uid="{00000000-0005-0000-0000-0000BA270000}"/>
    <cellStyle name="Remarque 2 2 3 5 8 2 2" xfId="51267" xr:uid="{00000000-0005-0000-0000-0000BB270000}"/>
    <cellStyle name="Remarque 2 2 3 5 8 3" xfId="14554" xr:uid="{00000000-0005-0000-0000-0000BC270000}"/>
    <cellStyle name="Remarque 2 2 3 5 8 4" xfId="38514" xr:uid="{00000000-0005-0000-0000-0000BD270000}"/>
    <cellStyle name="Remarque 2 2 3 5 9" xfId="4727" xr:uid="{00000000-0005-0000-0000-0000BE270000}"/>
    <cellStyle name="Remarque 2 2 3 5 9 2" xfId="28741" xr:uid="{00000000-0005-0000-0000-0000BF270000}"/>
    <cellStyle name="Remarque 2 2 3 5 9 2 2" xfId="52701" xr:uid="{00000000-0005-0000-0000-0000C0270000}"/>
    <cellStyle name="Remarque 2 2 3 5 9 3" xfId="15988" xr:uid="{00000000-0005-0000-0000-0000C1270000}"/>
    <cellStyle name="Remarque 2 2 3 5 9 4" xfId="39948" xr:uid="{00000000-0005-0000-0000-0000C2270000}"/>
    <cellStyle name="Remarque 2 2 3 6" xfId="318" xr:uid="{00000000-0005-0000-0000-0000C3270000}"/>
    <cellStyle name="Remarque 2 2 3 6 10" xfId="24350" xr:uid="{00000000-0005-0000-0000-0000C4270000}"/>
    <cellStyle name="Remarque 2 2 3 6 10 2" xfId="48310" xr:uid="{00000000-0005-0000-0000-0000C5270000}"/>
    <cellStyle name="Remarque 2 2 3 6 11" xfId="36105" xr:uid="{00000000-0005-0000-0000-0000C6270000}"/>
    <cellStyle name="Remarque 2 2 3 6 11 2" xfId="60065" xr:uid="{00000000-0005-0000-0000-0000C7270000}"/>
    <cellStyle name="Remarque 2 2 3 6 12" xfId="13015" xr:uid="{00000000-0005-0000-0000-0000C8270000}"/>
    <cellStyle name="Remarque 2 2 3 6 13" xfId="36975" xr:uid="{00000000-0005-0000-0000-0000C9270000}"/>
    <cellStyle name="Remarque 2 2 3 6 2" xfId="3224" xr:uid="{00000000-0005-0000-0000-0000CA270000}"/>
    <cellStyle name="Remarque 2 2 3 6 2 2" xfId="27238" xr:uid="{00000000-0005-0000-0000-0000CB270000}"/>
    <cellStyle name="Remarque 2 2 3 6 2 2 2" xfId="51198" xr:uid="{00000000-0005-0000-0000-0000CC270000}"/>
    <cellStyle name="Remarque 2 2 3 6 2 3" xfId="14485" xr:uid="{00000000-0005-0000-0000-0000CD270000}"/>
    <cellStyle name="Remarque 2 2 3 6 2 4" xfId="38445" xr:uid="{00000000-0005-0000-0000-0000CE270000}"/>
    <cellStyle name="Remarque 2 2 3 6 3" xfId="4658" xr:uid="{00000000-0005-0000-0000-0000CF270000}"/>
    <cellStyle name="Remarque 2 2 3 6 3 2" xfId="28672" xr:uid="{00000000-0005-0000-0000-0000D0270000}"/>
    <cellStyle name="Remarque 2 2 3 6 3 2 2" xfId="52632" xr:uid="{00000000-0005-0000-0000-0000D1270000}"/>
    <cellStyle name="Remarque 2 2 3 6 3 3" xfId="15919" xr:uid="{00000000-0005-0000-0000-0000D2270000}"/>
    <cellStyle name="Remarque 2 2 3 6 3 4" xfId="39879" xr:uid="{00000000-0005-0000-0000-0000D3270000}"/>
    <cellStyle name="Remarque 2 2 3 6 4" xfId="6052" xr:uid="{00000000-0005-0000-0000-0000D4270000}"/>
    <cellStyle name="Remarque 2 2 3 6 4 2" xfId="30066" xr:uid="{00000000-0005-0000-0000-0000D5270000}"/>
    <cellStyle name="Remarque 2 2 3 6 4 2 2" xfId="54026" xr:uid="{00000000-0005-0000-0000-0000D6270000}"/>
    <cellStyle name="Remarque 2 2 3 6 4 3" xfId="17313" xr:uid="{00000000-0005-0000-0000-0000D7270000}"/>
    <cellStyle name="Remarque 2 2 3 6 4 4" xfId="41273" xr:uid="{00000000-0005-0000-0000-0000D8270000}"/>
    <cellStyle name="Remarque 2 2 3 6 5" xfId="7440" xr:uid="{00000000-0005-0000-0000-0000D9270000}"/>
    <cellStyle name="Remarque 2 2 3 6 5 2" xfId="31454" xr:uid="{00000000-0005-0000-0000-0000DA270000}"/>
    <cellStyle name="Remarque 2 2 3 6 5 2 2" xfId="55414" xr:uid="{00000000-0005-0000-0000-0000DB270000}"/>
    <cellStyle name="Remarque 2 2 3 6 5 3" xfId="18701" xr:uid="{00000000-0005-0000-0000-0000DC270000}"/>
    <cellStyle name="Remarque 2 2 3 6 5 4" xfId="42661" xr:uid="{00000000-0005-0000-0000-0000DD270000}"/>
    <cellStyle name="Remarque 2 2 3 6 6" xfId="8825" xr:uid="{00000000-0005-0000-0000-0000DE270000}"/>
    <cellStyle name="Remarque 2 2 3 6 6 2" xfId="32839" xr:uid="{00000000-0005-0000-0000-0000DF270000}"/>
    <cellStyle name="Remarque 2 2 3 6 6 2 2" xfId="56799" xr:uid="{00000000-0005-0000-0000-0000E0270000}"/>
    <cellStyle name="Remarque 2 2 3 6 6 3" xfId="20086" xr:uid="{00000000-0005-0000-0000-0000E1270000}"/>
    <cellStyle name="Remarque 2 2 3 6 6 4" xfId="44046" xr:uid="{00000000-0005-0000-0000-0000E2270000}"/>
    <cellStyle name="Remarque 2 2 3 6 7" xfId="10282" xr:uid="{00000000-0005-0000-0000-0000E3270000}"/>
    <cellStyle name="Remarque 2 2 3 6 7 2" xfId="34292" xr:uid="{00000000-0005-0000-0000-0000E4270000}"/>
    <cellStyle name="Remarque 2 2 3 6 7 2 2" xfId="58252" xr:uid="{00000000-0005-0000-0000-0000E5270000}"/>
    <cellStyle name="Remarque 2 2 3 6 7 3" xfId="21549" xr:uid="{00000000-0005-0000-0000-0000E6270000}"/>
    <cellStyle name="Remarque 2 2 3 6 7 4" xfId="45509" xr:uid="{00000000-0005-0000-0000-0000E7270000}"/>
    <cellStyle name="Remarque 2 2 3 6 8" xfId="12472" xr:uid="{00000000-0005-0000-0000-0000E8270000}"/>
    <cellStyle name="Remarque 2 2 3 6 8 2" xfId="23768" xr:uid="{00000000-0005-0000-0000-0000E9270000}"/>
    <cellStyle name="Remarque 2 2 3 6 8 3" xfId="47728" xr:uid="{00000000-0005-0000-0000-0000EA270000}"/>
    <cellStyle name="Remarque 2 2 3 6 9" xfId="1754" xr:uid="{00000000-0005-0000-0000-0000EB270000}"/>
    <cellStyle name="Remarque 2 2 3 6 9 2" xfId="25768" xr:uid="{00000000-0005-0000-0000-0000EC270000}"/>
    <cellStyle name="Remarque 2 2 3 6 9 3" xfId="49728" xr:uid="{00000000-0005-0000-0000-0000ED270000}"/>
    <cellStyle name="Remarque 2 2 3 7" xfId="620" xr:uid="{00000000-0005-0000-0000-0000EE270000}"/>
    <cellStyle name="Remarque 2 2 3 7 10" xfId="24652" xr:uid="{00000000-0005-0000-0000-0000EF270000}"/>
    <cellStyle name="Remarque 2 2 3 7 10 2" xfId="48612" xr:uid="{00000000-0005-0000-0000-0000F0270000}"/>
    <cellStyle name="Remarque 2 2 3 7 11" xfId="35870" xr:uid="{00000000-0005-0000-0000-0000F1270000}"/>
    <cellStyle name="Remarque 2 2 3 7 11 2" xfId="59830" xr:uid="{00000000-0005-0000-0000-0000F2270000}"/>
    <cellStyle name="Remarque 2 2 3 7 12" xfId="13317" xr:uid="{00000000-0005-0000-0000-0000F3270000}"/>
    <cellStyle name="Remarque 2 2 3 7 13" xfId="37277" xr:uid="{00000000-0005-0000-0000-0000F4270000}"/>
    <cellStyle name="Remarque 2 2 3 7 2" xfId="3526" xr:uid="{00000000-0005-0000-0000-0000F5270000}"/>
    <cellStyle name="Remarque 2 2 3 7 2 2" xfId="27540" xr:uid="{00000000-0005-0000-0000-0000F6270000}"/>
    <cellStyle name="Remarque 2 2 3 7 2 2 2" xfId="51500" xr:uid="{00000000-0005-0000-0000-0000F7270000}"/>
    <cellStyle name="Remarque 2 2 3 7 2 3" xfId="14787" xr:uid="{00000000-0005-0000-0000-0000F8270000}"/>
    <cellStyle name="Remarque 2 2 3 7 2 4" xfId="38747" xr:uid="{00000000-0005-0000-0000-0000F9270000}"/>
    <cellStyle name="Remarque 2 2 3 7 3" xfId="4960" xr:uid="{00000000-0005-0000-0000-0000FA270000}"/>
    <cellStyle name="Remarque 2 2 3 7 3 2" xfId="28974" xr:uid="{00000000-0005-0000-0000-0000FB270000}"/>
    <cellStyle name="Remarque 2 2 3 7 3 2 2" xfId="52934" xr:uid="{00000000-0005-0000-0000-0000FC270000}"/>
    <cellStyle name="Remarque 2 2 3 7 3 3" xfId="16221" xr:uid="{00000000-0005-0000-0000-0000FD270000}"/>
    <cellStyle name="Remarque 2 2 3 7 3 4" xfId="40181" xr:uid="{00000000-0005-0000-0000-0000FE270000}"/>
    <cellStyle name="Remarque 2 2 3 7 4" xfId="6354" xr:uid="{00000000-0005-0000-0000-0000FF270000}"/>
    <cellStyle name="Remarque 2 2 3 7 4 2" xfId="30368" xr:uid="{00000000-0005-0000-0000-000000280000}"/>
    <cellStyle name="Remarque 2 2 3 7 4 2 2" xfId="54328" xr:uid="{00000000-0005-0000-0000-000001280000}"/>
    <cellStyle name="Remarque 2 2 3 7 4 3" xfId="17615" xr:uid="{00000000-0005-0000-0000-000002280000}"/>
    <cellStyle name="Remarque 2 2 3 7 4 4" xfId="41575" xr:uid="{00000000-0005-0000-0000-000003280000}"/>
    <cellStyle name="Remarque 2 2 3 7 5" xfId="7742" xr:uid="{00000000-0005-0000-0000-000004280000}"/>
    <cellStyle name="Remarque 2 2 3 7 5 2" xfId="31756" xr:uid="{00000000-0005-0000-0000-000005280000}"/>
    <cellStyle name="Remarque 2 2 3 7 5 2 2" xfId="55716" xr:uid="{00000000-0005-0000-0000-000006280000}"/>
    <cellStyle name="Remarque 2 2 3 7 5 3" xfId="19003" xr:uid="{00000000-0005-0000-0000-000007280000}"/>
    <cellStyle name="Remarque 2 2 3 7 5 4" xfId="42963" xr:uid="{00000000-0005-0000-0000-000008280000}"/>
    <cellStyle name="Remarque 2 2 3 7 6" xfId="9127" xr:uid="{00000000-0005-0000-0000-000009280000}"/>
    <cellStyle name="Remarque 2 2 3 7 6 2" xfId="33141" xr:uid="{00000000-0005-0000-0000-00000A280000}"/>
    <cellStyle name="Remarque 2 2 3 7 6 2 2" xfId="57101" xr:uid="{00000000-0005-0000-0000-00000B280000}"/>
    <cellStyle name="Remarque 2 2 3 7 6 3" xfId="20388" xr:uid="{00000000-0005-0000-0000-00000C280000}"/>
    <cellStyle name="Remarque 2 2 3 7 6 4" xfId="44348" xr:uid="{00000000-0005-0000-0000-00000D280000}"/>
    <cellStyle name="Remarque 2 2 3 7 7" xfId="10584" xr:uid="{00000000-0005-0000-0000-00000E280000}"/>
    <cellStyle name="Remarque 2 2 3 7 7 2" xfId="34594" xr:uid="{00000000-0005-0000-0000-00000F280000}"/>
    <cellStyle name="Remarque 2 2 3 7 7 2 2" xfId="58554" xr:uid="{00000000-0005-0000-0000-000010280000}"/>
    <cellStyle name="Remarque 2 2 3 7 7 3" xfId="21851" xr:uid="{00000000-0005-0000-0000-000011280000}"/>
    <cellStyle name="Remarque 2 2 3 7 7 4" xfId="45811" xr:uid="{00000000-0005-0000-0000-000012280000}"/>
    <cellStyle name="Remarque 2 2 3 7 8" xfId="12742" xr:uid="{00000000-0005-0000-0000-000013280000}"/>
    <cellStyle name="Remarque 2 2 3 7 8 2" xfId="24048" xr:uid="{00000000-0005-0000-0000-000014280000}"/>
    <cellStyle name="Remarque 2 2 3 7 8 3" xfId="48008" xr:uid="{00000000-0005-0000-0000-000015280000}"/>
    <cellStyle name="Remarque 2 2 3 7 9" xfId="2056" xr:uid="{00000000-0005-0000-0000-000016280000}"/>
    <cellStyle name="Remarque 2 2 3 7 9 2" xfId="26070" xr:uid="{00000000-0005-0000-0000-000017280000}"/>
    <cellStyle name="Remarque 2 2 3 7 9 3" xfId="50030" xr:uid="{00000000-0005-0000-0000-000018280000}"/>
    <cellStyle name="Remarque 2 2 3 8" xfId="814" xr:uid="{00000000-0005-0000-0000-000019280000}"/>
    <cellStyle name="Remarque 2 2 3 8 10" xfId="24846" xr:uid="{00000000-0005-0000-0000-00001A280000}"/>
    <cellStyle name="Remarque 2 2 3 8 10 2" xfId="48806" xr:uid="{00000000-0005-0000-0000-00001B280000}"/>
    <cellStyle name="Remarque 2 2 3 8 11" xfId="35774" xr:uid="{00000000-0005-0000-0000-00001C280000}"/>
    <cellStyle name="Remarque 2 2 3 8 11 2" xfId="59734" xr:uid="{00000000-0005-0000-0000-00001D280000}"/>
    <cellStyle name="Remarque 2 2 3 8 12" xfId="13511" xr:uid="{00000000-0005-0000-0000-00001E280000}"/>
    <cellStyle name="Remarque 2 2 3 8 13" xfId="37471" xr:uid="{00000000-0005-0000-0000-00001F280000}"/>
    <cellStyle name="Remarque 2 2 3 8 2" xfId="3720" xr:uid="{00000000-0005-0000-0000-000020280000}"/>
    <cellStyle name="Remarque 2 2 3 8 2 2" xfId="27734" xr:uid="{00000000-0005-0000-0000-000021280000}"/>
    <cellStyle name="Remarque 2 2 3 8 2 2 2" xfId="51694" xr:uid="{00000000-0005-0000-0000-000022280000}"/>
    <cellStyle name="Remarque 2 2 3 8 2 3" xfId="14981" xr:uid="{00000000-0005-0000-0000-000023280000}"/>
    <cellStyle name="Remarque 2 2 3 8 2 4" xfId="38941" xr:uid="{00000000-0005-0000-0000-000024280000}"/>
    <cellStyle name="Remarque 2 2 3 8 3" xfId="5154" xr:uid="{00000000-0005-0000-0000-000025280000}"/>
    <cellStyle name="Remarque 2 2 3 8 3 2" xfId="29168" xr:uid="{00000000-0005-0000-0000-000026280000}"/>
    <cellStyle name="Remarque 2 2 3 8 3 2 2" xfId="53128" xr:uid="{00000000-0005-0000-0000-000027280000}"/>
    <cellStyle name="Remarque 2 2 3 8 3 3" xfId="16415" xr:uid="{00000000-0005-0000-0000-000028280000}"/>
    <cellStyle name="Remarque 2 2 3 8 3 4" xfId="40375" xr:uid="{00000000-0005-0000-0000-000029280000}"/>
    <cellStyle name="Remarque 2 2 3 8 4" xfId="6548" xr:uid="{00000000-0005-0000-0000-00002A280000}"/>
    <cellStyle name="Remarque 2 2 3 8 4 2" xfId="30562" xr:uid="{00000000-0005-0000-0000-00002B280000}"/>
    <cellStyle name="Remarque 2 2 3 8 4 2 2" xfId="54522" xr:uid="{00000000-0005-0000-0000-00002C280000}"/>
    <cellStyle name="Remarque 2 2 3 8 4 3" xfId="17809" xr:uid="{00000000-0005-0000-0000-00002D280000}"/>
    <cellStyle name="Remarque 2 2 3 8 4 4" xfId="41769" xr:uid="{00000000-0005-0000-0000-00002E280000}"/>
    <cellStyle name="Remarque 2 2 3 8 5" xfId="7936" xr:uid="{00000000-0005-0000-0000-00002F280000}"/>
    <cellStyle name="Remarque 2 2 3 8 5 2" xfId="31950" xr:uid="{00000000-0005-0000-0000-000030280000}"/>
    <cellStyle name="Remarque 2 2 3 8 5 2 2" xfId="55910" xr:uid="{00000000-0005-0000-0000-000031280000}"/>
    <cellStyle name="Remarque 2 2 3 8 5 3" xfId="19197" xr:uid="{00000000-0005-0000-0000-000032280000}"/>
    <cellStyle name="Remarque 2 2 3 8 5 4" xfId="43157" xr:uid="{00000000-0005-0000-0000-000033280000}"/>
    <cellStyle name="Remarque 2 2 3 8 6" xfId="9321" xr:uid="{00000000-0005-0000-0000-000034280000}"/>
    <cellStyle name="Remarque 2 2 3 8 6 2" xfId="33335" xr:uid="{00000000-0005-0000-0000-000035280000}"/>
    <cellStyle name="Remarque 2 2 3 8 6 2 2" xfId="57295" xr:uid="{00000000-0005-0000-0000-000036280000}"/>
    <cellStyle name="Remarque 2 2 3 8 6 3" xfId="20582" xr:uid="{00000000-0005-0000-0000-000037280000}"/>
    <cellStyle name="Remarque 2 2 3 8 6 4" xfId="44542" xr:uid="{00000000-0005-0000-0000-000038280000}"/>
    <cellStyle name="Remarque 2 2 3 8 7" xfId="10778" xr:uid="{00000000-0005-0000-0000-000039280000}"/>
    <cellStyle name="Remarque 2 2 3 8 7 2" xfId="34788" xr:uid="{00000000-0005-0000-0000-00003A280000}"/>
    <cellStyle name="Remarque 2 2 3 8 7 2 2" xfId="58748" xr:uid="{00000000-0005-0000-0000-00003B280000}"/>
    <cellStyle name="Remarque 2 2 3 8 7 3" xfId="22045" xr:uid="{00000000-0005-0000-0000-00003C280000}"/>
    <cellStyle name="Remarque 2 2 3 8 7 4" xfId="46005" xr:uid="{00000000-0005-0000-0000-00003D280000}"/>
    <cellStyle name="Remarque 2 2 3 8 8" xfId="12857" xr:uid="{00000000-0005-0000-0000-00003E280000}"/>
    <cellStyle name="Remarque 2 2 3 8 8 2" xfId="24169" xr:uid="{00000000-0005-0000-0000-00003F280000}"/>
    <cellStyle name="Remarque 2 2 3 8 8 3" xfId="48129" xr:uid="{00000000-0005-0000-0000-000040280000}"/>
    <cellStyle name="Remarque 2 2 3 8 9" xfId="2250" xr:uid="{00000000-0005-0000-0000-000041280000}"/>
    <cellStyle name="Remarque 2 2 3 8 9 2" xfId="26264" xr:uid="{00000000-0005-0000-0000-000042280000}"/>
    <cellStyle name="Remarque 2 2 3 8 9 3" xfId="50224" xr:uid="{00000000-0005-0000-0000-000043280000}"/>
    <cellStyle name="Remarque 2 2 3 9" xfId="1008" xr:uid="{00000000-0005-0000-0000-000044280000}"/>
    <cellStyle name="Remarque 2 2 3 9 10" xfId="25040" xr:uid="{00000000-0005-0000-0000-000045280000}"/>
    <cellStyle name="Remarque 2 2 3 9 10 2" xfId="49000" xr:uid="{00000000-0005-0000-0000-000046280000}"/>
    <cellStyle name="Remarque 2 2 3 9 11" xfId="36467" xr:uid="{00000000-0005-0000-0000-000047280000}"/>
    <cellStyle name="Remarque 2 2 3 9 11 2" xfId="60427" xr:uid="{00000000-0005-0000-0000-000048280000}"/>
    <cellStyle name="Remarque 2 2 3 9 12" xfId="13705" xr:uid="{00000000-0005-0000-0000-000049280000}"/>
    <cellStyle name="Remarque 2 2 3 9 13" xfId="37665" xr:uid="{00000000-0005-0000-0000-00004A280000}"/>
    <cellStyle name="Remarque 2 2 3 9 2" xfId="3914" xr:uid="{00000000-0005-0000-0000-00004B280000}"/>
    <cellStyle name="Remarque 2 2 3 9 2 2" xfId="27928" xr:uid="{00000000-0005-0000-0000-00004C280000}"/>
    <cellStyle name="Remarque 2 2 3 9 2 2 2" xfId="51888" xr:uid="{00000000-0005-0000-0000-00004D280000}"/>
    <cellStyle name="Remarque 2 2 3 9 2 3" xfId="15175" xr:uid="{00000000-0005-0000-0000-00004E280000}"/>
    <cellStyle name="Remarque 2 2 3 9 2 4" xfId="39135" xr:uid="{00000000-0005-0000-0000-00004F280000}"/>
    <cellStyle name="Remarque 2 2 3 9 3" xfId="5348" xr:uid="{00000000-0005-0000-0000-000050280000}"/>
    <cellStyle name="Remarque 2 2 3 9 3 2" xfId="29362" xr:uid="{00000000-0005-0000-0000-000051280000}"/>
    <cellStyle name="Remarque 2 2 3 9 3 2 2" xfId="53322" xr:uid="{00000000-0005-0000-0000-000052280000}"/>
    <cellStyle name="Remarque 2 2 3 9 3 3" xfId="16609" xr:uid="{00000000-0005-0000-0000-000053280000}"/>
    <cellStyle name="Remarque 2 2 3 9 3 4" xfId="40569" xr:uid="{00000000-0005-0000-0000-000054280000}"/>
    <cellStyle name="Remarque 2 2 3 9 4" xfId="6742" xr:uid="{00000000-0005-0000-0000-000055280000}"/>
    <cellStyle name="Remarque 2 2 3 9 4 2" xfId="30756" xr:uid="{00000000-0005-0000-0000-000056280000}"/>
    <cellStyle name="Remarque 2 2 3 9 4 2 2" xfId="54716" xr:uid="{00000000-0005-0000-0000-000057280000}"/>
    <cellStyle name="Remarque 2 2 3 9 4 3" xfId="18003" xr:uid="{00000000-0005-0000-0000-000058280000}"/>
    <cellStyle name="Remarque 2 2 3 9 4 4" xfId="41963" xr:uid="{00000000-0005-0000-0000-000059280000}"/>
    <cellStyle name="Remarque 2 2 3 9 5" xfId="8130" xr:uid="{00000000-0005-0000-0000-00005A280000}"/>
    <cellStyle name="Remarque 2 2 3 9 5 2" xfId="32144" xr:uid="{00000000-0005-0000-0000-00005B280000}"/>
    <cellStyle name="Remarque 2 2 3 9 5 2 2" xfId="56104" xr:uid="{00000000-0005-0000-0000-00005C280000}"/>
    <cellStyle name="Remarque 2 2 3 9 5 3" xfId="19391" xr:uid="{00000000-0005-0000-0000-00005D280000}"/>
    <cellStyle name="Remarque 2 2 3 9 5 4" xfId="43351" xr:uid="{00000000-0005-0000-0000-00005E280000}"/>
    <cellStyle name="Remarque 2 2 3 9 6" xfId="9515" xr:uid="{00000000-0005-0000-0000-00005F280000}"/>
    <cellStyle name="Remarque 2 2 3 9 6 2" xfId="33529" xr:uid="{00000000-0005-0000-0000-000060280000}"/>
    <cellStyle name="Remarque 2 2 3 9 6 2 2" xfId="57489" xr:uid="{00000000-0005-0000-0000-000061280000}"/>
    <cellStyle name="Remarque 2 2 3 9 6 3" xfId="20776" xr:uid="{00000000-0005-0000-0000-000062280000}"/>
    <cellStyle name="Remarque 2 2 3 9 6 4" xfId="44736" xr:uid="{00000000-0005-0000-0000-000063280000}"/>
    <cellStyle name="Remarque 2 2 3 9 7" xfId="10972" xr:uid="{00000000-0005-0000-0000-000064280000}"/>
    <cellStyle name="Remarque 2 2 3 9 7 2" xfId="34982" xr:uid="{00000000-0005-0000-0000-000065280000}"/>
    <cellStyle name="Remarque 2 2 3 9 7 2 2" xfId="58942" xr:uid="{00000000-0005-0000-0000-000066280000}"/>
    <cellStyle name="Remarque 2 2 3 9 7 3" xfId="22239" xr:uid="{00000000-0005-0000-0000-000067280000}"/>
    <cellStyle name="Remarque 2 2 3 9 7 4" xfId="46199" xr:uid="{00000000-0005-0000-0000-000068280000}"/>
    <cellStyle name="Remarque 2 2 3 9 8" xfId="12842" xr:uid="{00000000-0005-0000-0000-000069280000}"/>
    <cellStyle name="Remarque 2 2 3 9 8 2" xfId="24154" xr:uid="{00000000-0005-0000-0000-00006A280000}"/>
    <cellStyle name="Remarque 2 2 3 9 8 3" xfId="48114" xr:uid="{00000000-0005-0000-0000-00006B280000}"/>
    <cellStyle name="Remarque 2 2 3 9 9" xfId="2444" xr:uid="{00000000-0005-0000-0000-00006C280000}"/>
    <cellStyle name="Remarque 2 2 3 9 9 2" xfId="26458" xr:uid="{00000000-0005-0000-0000-00006D280000}"/>
    <cellStyle name="Remarque 2 2 3 9 9 3" xfId="50418" xr:uid="{00000000-0005-0000-0000-00006E280000}"/>
    <cellStyle name="Remarque 2 2 4" xfId="33" xr:uid="{00000000-0005-0000-0000-00006F280000}"/>
    <cellStyle name="Remarque 2 2 4 10" xfId="1200" xr:uid="{00000000-0005-0000-0000-000070280000}"/>
    <cellStyle name="Remarque 2 2 4 10 10" xfId="25232" xr:uid="{00000000-0005-0000-0000-000071280000}"/>
    <cellStyle name="Remarque 2 2 4 10 10 2" xfId="49192" xr:uid="{00000000-0005-0000-0000-000072280000}"/>
    <cellStyle name="Remarque 2 2 4 10 11" xfId="36291" xr:uid="{00000000-0005-0000-0000-000073280000}"/>
    <cellStyle name="Remarque 2 2 4 10 11 2" xfId="60251" xr:uid="{00000000-0005-0000-0000-000074280000}"/>
    <cellStyle name="Remarque 2 2 4 10 12" xfId="13897" xr:uid="{00000000-0005-0000-0000-000075280000}"/>
    <cellStyle name="Remarque 2 2 4 10 13" xfId="37857" xr:uid="{00000000-0005-0000-0000-000076280000}"/>
    <cellStyle name="Remarque 2 2 4 10 2" xfId="4106" xr:uid="{00000000-0005-0000-0000-000077280000}"/>
    <cellStyle name="Remarque 2 2 4 10 2 2" xfId="28120" xr:uid="{00000000-0005-0000-0000-000078280000}"/>
    <cellStyle name="Remarque 2 2 4 10 2 2 2" xfId="52080" xr:uid="{00000000-0005-0000-0000-000079280000}"/>
    <cellStyle name="Remarque 2 2 4 10 2 3" xfId="15367" xr:uid="{00000000-0005-0000-0000-00007A280000}"/>
    <cellStyle name="Remarque 2 2 4 10 2 4" xfId="39327" xr:uid="{00000000-0005-0000-0000-00007B280000}"/>
    <cellStyle name="Remarque 2 2 4 10 3" xfId="5540" xr:uid="{00000000-0005-0000-0000-00007C280000}"/>
    <cellStyle name="Remarque 2 2 4 10 3 2" xfId="29554" xr:uid="{00000000-0005-0000-0000-00007D280000}"/>
    <cellStyle name="Remarque 2 2 4 10 3 2 2" xfId="53514" xr:uid="{00000000-0005-0000-0000-00007E280000}"/>
    <cellStyle name="Remarque 2 2 4 10 3 3" xfId="16801" xr:uid="{00000000-0005-0000-0000-00007F280000}"/>
    <cellStyle name="Remarque 2 2 4 10 3 4" xfId="40761" xr:uid="{00000000-0005-0000-0000-000080280000}"/>
    <cellStyle name="Remarque 2 2 4 10 4" xfId="6934" xr:uid="{00000000-0005-0000-0000-000081280000}"/>
    <cellStyle name="Remarque 2 2 4 10 4 2" xfId="30948" xr:uid="{00000000-0005-0000-0000-000082280000}"/>
    <cellStyle name="Remarque 2 2 4 10 4 2 2" xfId="54908" xr:uid="{00000000-0005-0000-0000-000083280000}"/>
    <cellStyle name="Remarque 2 2 4 10 4 3" xfId="18195" xr:uid="{00000000-0005-0000-0000-000084280000}"/>
    <cellStyle name="Remarque 2 2 4 10 4 4" xfId="42155" xr:uid="{00000000-0005-0000-0000-000085280000}"/>
    <cellStyle name="Remarque 2 2 4 10 5" xfId="8322" xr:uid="{00000000-0005-0000-0000-000086280000}"/>
    <cellStyle name="Remarque 2 2 4 10 5 2" xfId="32336" xr:uid="{00000000-0005-0000-0000-000087280000}"/>
    <cellStyle name="Remarque 2 2 4 10 5 2 2" xfId="56296" xr:uid="{00000000-0005-0000-0000-000088280000}"/>
    <cellStyle name="Remarque 2 2 4 10 5 3" xfId="19583" xr:uid="{00000000-0005-0000-0000-000089280000}"/>
    <cellStyle name="Remarque 2 2 4 10 5 4" xfId="43543" xr:uid="{00000000-0005-0000-0000-00008A280000}"/>
    <cellStyle name="Remarque 2 2 4 10 6" xfId="9707" xr:uid="{00000000-0005-0000-0000-00008B280000}"/>
    <cellStyle name="Remarque 2 2 4 10 6 2" xfId="33721" xr:uid="{00000000-0005-0000-0000-00008C280000}"/>
    <cellStyle name="Remarque 2 2 4 10 6 2 2" xfId="57681" xr:uid="{00000000-0005-0000-0000-00008D280000}"/>
    <cellStyle name="Remarque 2 2 4 10 6 3" xfId="20968" xr:uid="{00000000-0005-0000-0000-00008E280000}"/>
    <cellStyle name="Remarque 2 2 4 10 6 4" xfId="44928" xr:uid="{00000000-0005-0000-0000-00008F280000}"/>
    <cellStyle name="Remarque 2 2 4 10 7" xfId="11164" xr:uid="{00000000-0005-0000-0000-000090280000}"/>
    <cellStyle name="Remarque 2 2 4 10 7 2" xfId="35174" xr:uid="{00000000-0005-0000-0000-000091280000}"/>
    <cellStyle name="Remarque 2 2 4 10 7 2 2" xfId="59134" xr:uid="{00000000-0005-0000-0000-000092280000}"/>
    <cellStyle name="Remarque 2 2 4 10 7 3" xfId="22431" xr:uid="{00000000-0005-0000-0000-000093280000}"/>
    <cellStyle name="Remarque 2 2 4 10 7 4" xfId="46391" xr:uid="{00000000-0005-0000-0000-000094280000}"/>
    <cellStyle name="Remarque 2 2 4 10 8" xfId="12698" xr:uid="{00000000-0005-0000-0000-000095280000}"/>
    <cellStyle name="Remarque 2 2 4 10 8 2" xfId="24003" xr:uid="{00000000-0005-0000-0000-000096280000}"/>
    <cellStyle name="Remarque 2 2 4 10 8 3" xfId="47963" xr:uid="{00000000-0005-0000-0000-000097280000}"/>
    <cellStyle name="Remarque 2 2 4 10 9" xfId="2636" xr:uid="{00000000-0005-0000-0000-000098280000}"/>
    <cellStyle name="Remarque 2 2 4 10 9 2" xfId="26650" xr:uid="{00000000-0005-0000-0000-000099280000}"/>
    <cellStyle name="Remarque 2 2 4 10 9 3" xfId="50610" xr:uid="{00000000-0005-0000-0000-00009A280000}"/>
    <cellStyle name="Remarque 2 2 4 11" xfId="307" xr:uid="{00000000-0005-0000-0000-00009B280000}"/>
    <cellStyle name="Remarque 2 2 4 11 10" xfId="24339" xr:uid="{00000000-0005-0000-0000-00009C280000}"/>
    <cellStyle name="Remarque 2 2 4 11 10 2" xfId="48299" xr:uid="{00000000-0005-0000-0000-00009D280000}"/>
    <cellStyle name="Remarque 2 2 4 11 11" xfId="36134" xr:uid="{00000000-0005-0000-0000-00009E280000}"/>
    <cellStyle name="Remarque 2 2 4 11 11 2" xfId="60094" xr:uid="{00000000-0005-0000-0000-00009F280000}"/>
    <cellStyle name="Remarque 2 2 4 11 12" xfId="13004" xr:uid="{00000000-0005-0000-0000-0000A0280000}"/>
    <cellStyle name="Remarque 2 2 4 11 13" xfId="36964" xr:uid="{00000000-0005-0000-0000-0000A1280000}"/>
    <cellStyle name="Remarque 2 2 4 11 2" xfId="3213" xr:uid="{00000000-0005-0000-0000-0000A2280000}"/>
    <cellStyle name="Remarque 2 2 4 11 2 2" xfId="27227" xr:uid="{00000000-0005-0000-0000-0000A3280000}"/>
    <cellStyle name="Remarque 2 2 4 11 2 2 2" xfId="51187" xr:uid="{00000000-0005-0000-0000-0000A4280000}"/>
    <cellStyle name="Remarque 2 2 4 11 2 3" xfId="14474" xr:uid="{00000000-0005-0000-0000-0000A5280000}"/>
    <cellStyle name="Remarque 2 2 4 11 2 4" xfId="38434" xr:uid="{00000000-0005-0000-0000-0000A6280000}"/>
    <cellStyle name="Remarque 2 2 4 11 3" xfId="4647" xr:uid="{00000000-0005-0000-0000-0000A7280000}"/>
    <cellStyle name="Remarque 2 2 4 11 3 2" xfId="28661" xr:uid="{00000000-0005-0000-0000-0000A8280000}"/>
    <cellStyle name="Remarque 2 2 4 11 3 2 2" xfId="52621" xr:uid="{00000000-0005-0000-0000-0000A9280000}"/>
    <cellStyle name="Remarque 2 2 4 11 3 3" xfId="15908" xr:uid="{00000000-0005-0000-0000-0000AA280000}"/>
    <cellStyle name="Remarque 2 2 4 11 3 4" xfId="39868" xr:uid="{00000000-0005-0000-0000-0000AB280000}"/>
    <cellStyle name="Remarque 2 2 4 11 4" xfId="6041" xr:uid="{00000000-0005-0000-0000-0000AC280000}"/>
    <cellStyle name="Remarque 2 2 4 11 4 2" xfId="30055" xr:uid="{00000000-0005-0000-0000-0000AD280000}"/>
    <cellStyle name="Remarque 2 2 4 11 4 2 2" xfId="54015" xr:uid="{00000000-0005-0000-0000-0000AE280000}"/>
    <cellStyle name="Remarque 2 2 4 11 4 3" xfId="17302" xr:uid="{00000000-0005-0000-0000-0000AF280000}"/>
    <cellStyle name="Remarque 2 2 4 11 4 4" xfId="41262" xr:uid="{00000000-0005-0000-0000-0000B0280000}"/>
    <cellStyle name="Remarque 2 2 4 11 5" xfId="7429" xr:uid="{00000000-0005-0000-0000-0000B1280000}"/>
    <cellStyle name="Remarque 2 2 4 11 5 2" xfId="31443" xr:uid="{00000000-0005-0000-0000-0000B2280000}"/>
    <cellStyle name="Remarque 2 2 4 11 5 2 2" xfId="55403" xr:uid="{00000000-0005-0000-0000-0000B3280000}"/>
    <cellStyle name="Remarque 2 2 4 11 5 3" xfId="18690" xr:uid="{00000000-0005-0000-0000-0000B4280000}"/>
    <cellStyle name="Remarque 2 2 4 11 5 4" xfId="42650" xr:uid="{00000000-0005-0000-0000-0000B5280000}"/>
    <cellStyle name="Remarque 2 2 4 11 6" xfId="8814" xr:uid="{00000000-0005-0000-0000-0000B6280000}"/>
    <cellStyle name="Remarque 2 2 4 11 6 2" xfId="32828" xr:uid="{00000000-0005-0000-0000-0000B7280000}"/>
    <cellStyle name="Remarque 2 2 4 11 6 2 2" xfId="56788" xr:uid="{00000000-0005-0000-0000-0000B8280000}"/>
    <cellStyle name="Remarque 2 2 4 11 6 3" xfId="20075" xr:uid="{00000000-0005-0000-0000-0000B9280000}"/>
    <cellStyle name="Remarque 2 2 4 11 6 4" xfId="44035" xr:uid="{00000000-0005-0000-0000-0000BA280000}"/>
    <cellStyle name="Remarque 2 2 4 11 7" xfId="10271" xr:uid="{00000000-0005-0000-0000-0000BB280000}"/>
    <cellStyle name="Remarque 2 2 4 11 7 2" xfId="34281" xr:uid="{00000000-0005-0000-0000-0000BC280000}"/>
    <cellStyle name="Remarque 2 2 4 11 7 2 2" xfId="58241" xr:uid="{00000000-0005-0000-0000-0000BD280000}"/>
    <cellStyle name="Remarque 2 2 4 11 7 3" xfId="21538" xr:uid="{00000000-0005-0000-0000-0000BE280000}"/>
    <cellStyle name="Remarque 2 2 4 11 7 4" xfId="45498" xr:uid="{00000000-0005-0000-0000-0000BF280000}"/>
    <cellStyle name="Remarque 2 2 4 11 8" xfId="11894" xr:uid="{00000000-0005-0000-0000-0000C0280000}"/>
    <cellStyle name="Remarque 2 2 4 11 8 2" xfId="23171" xr:uid="{00000000-0005-0000-0000-0000C1280000}"/>
    <cellStyle name="Remarque 2 2 4 11 8 3" xfId="47131" xr:uid="{00000000-0005-0000-0000-0000C2280000}"/>
    <cellStyle name="Remarque 2 2 4 11 9" xfId="1743" xr:uid="{00000000-0005-0000-0000-0000C3280000}"/>
    <cellStyle name="Remarque 2 2 4 11 9 2" xfId="25757" xr:uid="{00000000-0005-0000-0000-0000C4280000}"/>
    <cellStyle name="Remarque 2 2 4 11 9 3" xfId="49717" xr:uid="{00000000-0005-0000-0000-0000C5280000}"/>
    <cellStyle name="Remarque 2 2 4 12" xfId="1561" xr:uid="{00000000-0005-0000-0000-0000C6280000}"/>
    <cellStyle name="Remarque 2 2 4 12 10" xfId="25593" xr:uid="{00000000-0005-0000-0000-0000C7280000}"/>
    <cellStyle name="Remarque 2 2 4 12 10 2" xfId="49553" xr:uid="{00000000-0005-0000-0000-0000C8280000}"/>
    <cellStyle name="Remarque 2 2 4 12 11" xfId="23739" xr:uid="{00000000-0005-0000-0000-0000C9280000}"/>
    <cellStyle name="Remarque 2 2 4 12 11 2" xfId="47699" xr:uid="{00000000-0005-0000-0000-0000CA280000}"/>
    <cellStyle name="Remarque 2 2 4 12 12" xfId="14258" xr:uid="{00000000-0005-0000-0000-0000CB280000}"/>
    <cellStyle name="Remarque 2 2 4 12 13" xfId="38218" xr:uid="{00000000-0005-0000-0000-0000CC280000}"/>
    <cellStyle name="Remarque 2 2 4 12 2" xfId="4467" xr:uid="{00000000-0005-0000-0000-0000CD280000}"/>
    <cellStyle name="Remarque 2 2 4 12 2 2" xfId="28481" xr:uid="{00000000-0005-0000-0000-0000CE280000}"/>
    <cellStyle name="Remarque 2 2 4 12 2 2 2" xfId="52441" xr:uid="{00000000-0005-0000-0000-0000CF280000}"/>
    <cellStyle name="Remarque 2 2 4 12 2 3" xfId="15728" xr:uid="{00000000-0005-0000-0000-0000D0280000}"/>
    <cellStyle name="Remarque 2 2 4 12 2 4" xfId="39688" xr:uid="{00000000-0005-0000-0000-0000D1280000}"/>
    <cellStyle name="Remarque 2 2 4 12 3" xfId="5901" xr:uid="{00000000-0005-0000-0000-0000D2280000}"/>
    <cellStyle name="Remarque 2 2 4 12 3 2" xfId="29915" xr:uid="{00000000-0005-0000-0000-0000D3280000}"/>
    <cellStyle name="Remarque 2 2 4 12 3 2 2" xfId="53875" xr:uid="{00000000-0005-0000-0000-0000D4280000}"/>
    <cellStyle name="Remarque 2 2 4 12 3 3" xfId="17162" xr:uid="{00000000-0005-0000-0000-0000D5280000}"/>
    <cellStyle name="Remarque 2 2 4 12 3 4" xfId="41122" xr:uid="{00000000-0005-0000-0000-0000D6280000}"/>
    <cellStyle name="Remarque 2 2 4 12 4" xfId="7295" xr:uid="{00000000-0005-0000-0000-0000D7280000}"/>
    <cellStyle name="Remarque 2 2 4 12 4 2" xfId="31309" xr:uid="{00000000-0005-0000-0000-0000D8280000}"/>
    <cellStyle name="Remarque 2 2 4 12 4 2 2" xfId="55269" xr:uid="{00000000-0005-0000-0000-0000D9280000}"/>
    <cellStyle name="Remarque 2 2 4 12 4 3" xfId="18556" xr:uid="{00000000-0005-0000-0000-0000DA280000}"/>
    <cellStyle name="Remarque 2 2 4 12 4 4" xfId="42516" xr:uid="{00000000-0005-0000-0000-0000DB280000}"/>
    <cellStyle name="Remarque 2 2 4 12 5" xfId="8683" xr:uid="{00000000-0005-0000-0000-0000DC280000}"/>
    <cellStyle name="Remarque 2 2 4 12 5 2" xfId="32697" xr:uid="{00000000-0005-0000-0000-0000DD280000}"/>
    <cellStyle name="Remarque 2 2 4 12 5 2 2" xfId="56657" xr:uid="{00000000-0005-0000-0000-0000DE280000}"/>
    <cellStyle name="Remarque 2 2 4 12 5 3" xfId="19944" xr:uid="{00000000-0005-0000-0000-0000DF280000}"/>
    <cellStyle name="Remarque 2 2 4 12 5 4" xfId="43904" xr:uid="{00000000-0005-0000-0000-0000E0280000}"/>
    <cellStyle name="Remarque 2 2 4 12 6" xfId="10068" xr:uid="{00000000-0005-0000-0000-0000E1280000}"/>
    <cellStyle name="Remarque 2 2 4 12 6 2" xfId="34082" xr:uid="{00000000-0005-0000-0000-0000E2280000}"/>
    <cellStyle name="Remarque 2 2 4 12 6 2 2" xfId="58042" xr:uid="{00000000-0005-0000-0000-0000E3280000}"/>
    <cellStyle name="Remarque 2 2 4 12 6 3" xfId="21329" xr:uid="{00000000-0005-0000-0000-0000E4280000}"/>
    <cellStyle name="Remarque 2 2 4 12 6 4" xfId="45289" xr:uid="{00000000-0005-0000-0000-0000E5280000}"/>
    <cellStyle name="Remarque 2 2 4 12 7" xfId="11525" xr:uid="{00000000-0005-0000-0000-0000E6280000}"/>
    <cellStyle name="Remarque 2 2 4 12 7 2" xfId="35535" xr:uid="{00000000-0005-0000-0000-0000E7280000}"/>
    <cellStyle name="Remarque 2 2 4 12 7 2 2" xfId="59495" xr:uid="{00000000-0005-0000-0000-0000E8280000}"/>
    <cellStyle name="Remarque 2 2 4 12 7 3" xfId="22792" xr:uid="{00000000-0005-0000-0000-0000E9280000}"/>
    <cellStyle name="Remarque 2 2 4 12 7 4" xfId="46752" xr:uid="{00000000-0005-0000-0000-0000EA280000}"/>
    <cellStyle name="Remarque 2 2 4 12 8" xfId="12684" xr:uid="{00000000-0005-0000-0000-0000EB280000}"/>
    <cellStyle name="Remarque 2 2 4 12 8 2" xfId="23989" xr:uid="{00000000-0005-0000-0000-0000EC280000}"/>
    <cellStyle name="Remarque 2 2 4 12 8 3" xfId="47949" xr:uid="{00000000-0005-0000-0000-0000ED280000}"/>
    <cellStyle name="Remarque 2 2 4 12 9" xfId="2997" xr:uid="{00000000-0005-0000-0000-0000EE280000}"/>
    <cellStyle name="Remarque 2 2 4 12 9 2" xfId="27011" xr:uid="{00000000-0005-0000-0000-0000EF280000}"/>
    <cellStyle name="Remarque 2 2 4 12 9 3" xfId="50971" xr:uid="{00000000-0005-0000-0000-0000F0280000}"/>
    <cellStyle name="Remarque 2 2 4 13" xfId="204" xr:uid="{00000000-0005-0000-0000-0000F1280000}"/>
    <cellStyle name="Remarque 2 2 4 13 10" xfId="36537" xr:uid="{00000000-0005-0000-0000-0000F2280000}"/>
    <cellStyle name="Remarque 2 2 4 13 10 2" xfId="60497" xr:uid="{00000000-0005-0000-0000-0000F3280000}"/>
    <cellStyle name="Remarque 2 2 4 13 11" xfId="14371" xr:uid="{00000000-0005-0000-0000-0000F4280000}"/>
    <cellStyle name="Remarque 2 2 4 13 12" xfId="38331" xr:uid="{00000000-0005-0000-0000-0000F5280000}"/>
    <cellStyle name="Remarque 2 2 4 13 2" xfId="4549" xr:uid="{00000000-0005-0000-0000-0000F6280000}"/>
    <cellStyle name="Remarque 2 2 4 13 2 2" xfId="28563" xr:uid="{00000000-0005-0000-0000-0000F7280000}"/>
    <cellStyle name="Remarque 2 2 4 13 2 2 2" xfId="52523" xr:uid="{00000000-0005-0000-0000-0000F8280000}"/>
    <cellStyle name="Remarque 2 2 4 13 2 3" xfId="15810" xr:uid="{00000000-0005-0000-0000-0000F9280000}"/>
    <cellStyle name="Remarque 2 2 4 13 2 4" xfId="39770" xr:uid="{00000000-0005-0000-0000-0000FA280000}"/>
    <cellStyle name="Remarque 2 2 4 13 3" xfId="5948" xr:uid="{00000000-0005-0000-0000-0000FB280000}"/>
    <cellStyle name="Remarque 2 2 4 13 3 2" xfId="29962" xr:uid="{00000000-0005-0000-0000-0000FC280000}"/>
    <cellStyle name="Remarque 2 2 4 13 3 2 2" xfId="53922" xr:uid="{00000000-0005-0000-0000-0000FD280000}"/>
    <cellStyle name="Remarque 2 2 4 13 3 3" xfId="17209" xr:uid="{00000000-0005-0000-0000-0000FE280000}"/>
    <cellStyle name="Remarque 2 2 4 13 3 4" xfId="41169" xr:uid="{00000000-0005-0000-0000-0000FF280000}"/>
    <cellStyle name="Remarque 2 2 4 13 4" xfId="7342" xr:uid="{00000000-0005-0000-0000-000000290000}"/>
    <cellStyle name="Remarque 2 2 4 13 4 2" xfId="31356" xr:uid="{00000000-0005-0000-0000-000001290000}"/>
    <cellStyle name="Remarque 2 2 4 13 4 2 2" xfId="55316" xr:uid="{00000000-0005-0000-0000-000002290000}"/>
    <cellStyle name="Remarque 2 2 4 13 4 3" xfId="18603" xr:uid="{00000000-0005-0000-0000-000003290000}"/>
    <cellStyle name="Remarque 2 2 4 13 4 4" xfId="42563" xr:uid="{00000000-0005-0000-0000-000004290000}"/>
    <cellStyle name="Remarque 2 2 4 13 5" xfId="8730" xr:uid="{00000000-0005-0000-0000-000005290000}"/>
    <cellStyle name="Remarque 2 2 4 13 5 2" xfId="32744" xr:uid="{00000000-0005-0000-0000-000006290000}"/>
    <cellStyle name="Remarque 2 2 4 13 5 2 2" xfId="56704" xr:uid="{00000000-0005-0000-0000-000007290000}"/>
    <cellStyle name="Remarque 2 2 4 13 5 3" xfId="19991" xr:uid="{00000000-0005-0000-0000-000008290000}"/>
    <cellStyle name="Remarque 2 2 4 13 5 4" xfId="43951" xr:uid="{00000000-0005-0000-0000-000009290000}"/>
    <cellStyle name="Remarque 2 2 4 13 6" xfId="10170" xr:uid="{00000000-0005-0000-0000-00000A290000}"/>
    <cellStyle name="Remarque 2 2 4 13 6 2" xfId="34182" xr:uid="{00000000-0005-0000-0000-00000B290000}"/>
    <cellStyle name="Remarque 2 2 4 13 6 2 2" xfId="58142" xr:uid="{00000000-0005-0000-0000-00000C290000}"/>
    <cellStyle name="Remarque 2 2 4 13 6 3" xfId="21435" xr:uid="{00000000-0005-0000-0000-00000D290000}"/>
    <cellStyle name="Remarque 2 2 4 13 6 4" xfId="45395" xr:uid="{00000000-0005-0000-0000-00000E290000}"/>
    <cellStyle name="Remarque 2 2 4 13 7" xfId="12007" xr:uid="{00000000-0005-0000-0000-00000F290000}"/>
    <cellStyle name="Remarque 2 2 4 13 7 2" xfId="23286" xr:uid="{00000000-0005-0000-0000-000010290000}"/>
    <cellStyle name="Remarque 2 2 4 13 7 3" xfId="47246" xr:uid="{00000000-0005-0000-0000-000011290000}"/>
    <cellStyle name="Remarque 2 2 4 13 8" xfId="3110" xr:uid="{00000000-0005-0000-0000-000012290000}"/>
    <cellStyle name="Remarque 2 2 4 13 8 2" xfId="27124" xr:uid="{00000000-0005-0000-0000-000013290000}"/>
    <cellStyle name="Remarque 2 2 4 13 8 3" xfId="51084" xr:uid="{00000000-0005-0000-0000-000014290000}"/>
    <cellStyle name="Remarque 2 2 4 13 9" xfId="24236" xr:uid="{00000000-0005-0000-0000-000015290000}"/>
    <cellStyle name="Remarque 2 2 4 13 9 2" xfId="48196" xr:uid="{00000000-0005-0000-0000-000016290000}"/>
    <cellStyle name="Remarque 2 2 4 14" xfId="3078" xr:uid="{00000000-0005-0000-0000-000017290000}"/>
    <cellStyle name="Remarque 2 2 4 14 2" xfId="27092" xr:uid="{00000000-0005-0000-0000-000018290000}"/>
    <cellStyle name="Remarque 2 2 4 14 2 2" xfId="51052" xr:uid="{00000000-0005-0000-0000-000019290000}"/>
    <cellStyle name="Remarque 2 2 4 14 3" xfId="14339" xr:uid="{00000000-0005-0000-0000-00001A290000}"/>
    <cellStyle name="Remarque 2 2 4 14 4" xfId="38299" xr:uid="{00000000-0005-0000-0000-00001B290000}"/>
    <cellStyle name="Remarque 2 2 4 15" xfId="1636" xr:uid="{00000000-0005-0000-0000-00001C290000}"/>
    <cellStyle name="Remarque 2 2 4 15 2" xfId="25650" xr:uid="{00000000-0005-0000-0000-00001D290000}"/>
    <cellStyle name="Remarque 2 2 4 15 3" xfId="49610" xr:uid="{00000000-0005-0000-0000-00001E290000}"/>
    <cellStyle name="Remarque 2 2 4 16" xfId="12916" xr:uid="{00000000-0005-0000-0000-00001F290000}"/>
    <cellStyle name="Remarque 2 2 4 17" xfId="1618" xr:uid="{00000000-0005-0000-0000-000020290000}"/>
    <cellStyle name="Remarque 2 2 4 18" xfId="172" xr:uid="{00000000-0005-0000-0000-000021290000}"/>
    <cellStyle name="Remarque 2 2 4 2" xfId="70" xr:uid="{00000000-0005-0000-0000-000022290000}"/>
    <cellStyle name="Remarque 2 2 4 2 10" xfId="1364" xr:uid="{00000000-0005-0000-0000-000023290000}"/>
    <cellStyle name="Remarque 2 2 4 2 10 10" xfId="25396" xr:uid="{00000000-0005-0000-0000-000024290000}"/>
    <cellStyle name="Remarque 2 2 4 2 10 10 2" xfId="49356" xr:uid="{00000000-0005-0000-0000-000025290000}"/>
    <cellStyle name="Remarque 2 2 4 2 10 11" xfId="36460" xr:uid="{00000000-0005-0000-0000-000026290000}"/>
    <cellStyle name="Remarque 2 2 4 2 10 11 2" xfId="60420" xr:uid="{00000000-0005-0000-0000-000027290000}"/>
    <cellStyle name="Remarque 2 2 4 2 10 12" xfId="14061" xr:uid="{00000000-0005-0000-0000-000028290000}"/>
    <cellStyle name="Remarque 2 2 4 2 10 13" xfId="38021" xr:uid="{00000000-0005-0000-0000-000029290000}"/>
    <cellStyle name="Remarque 2 2 4 2 10 2" xfId="4270" xr:uid="{00000000-0005-0000-0000-00002A290000}"/>
    <cellStyle name="Remarque 2 2 4 2 10 2 2" xfId="28284" xr:uid="{00000000-0005-0000-0000-00002B290000}"/>
    <cellStyle name="Remarque 2 2 4 2 10 2 2 2" xfId="52244" xr:uid="{00000000-0005-0000-0000-00002C290000}"/>
    <cellStyle name="Remarque 2 2 4 2 10 2 3" xfId="15531" xr:uid="{00000000-0005-0000-0000-00002D290000}"/>
    <cellStyle name="Remarque 2 2 4 2 10 2 4" xfId="39491" xr:uid="{00000000-0005-0000-0000-00002E290000}"/>
    <cellStyle name="Remarque 2 2 4 2 10 3" xfId="5704" xr:uid="{00000000-0005-0000-0000-00002F290000}"/>
    <cellStyle name="Remarque 2 2 4 2 10 3 2" xfId="29718" xr:uid="{00000000-0005-0000-0000-000030290000}"/>
    <cellStyle name="Remarque 2 2 4 2 10 3 2 2" xfId="53678" xr:uid="{00000000-0005-0000-0000-000031290000}"/>
    <cellStyle name="Remarque 2 2 4 2 10 3 3" xfId="16965" xr:uid="{00000000-0005-0000-0000-000032290000}"/>
    <cellStyle name="Remarque 2 2 4 2 10 3 4" xfId="40925" xr:uid="{00000000-0005-0000-0000-000033290000}"/>
    <cellStyle name="Remarque 2 2 4 2 10 4" xfId="7098" xr:uid="{00000000-0005-0000-0000-000034290000}"/>
    <cellStyle name="Remarque 2 2 4 2 10 4 2" xfId="31112" xr:uid="{00000000-0005-0000-0000-000035290000}"/>
    <cellStyle name="Remarque 2 2 4 2 10 4 2 2" xfId="55072" xr:uid="{00000000-0005-0000-0000-000036290000}"/>
    <cellStyle name="Remarque 2 2 4 2 10 4 3" xfId="18359" xr:uid="{00000000-0005-0000-0000-000037290000}"/>
    <cellStyle name="Remarque 2 2 4 2 10 4 4" xfId="42319" xr:uid="{00000000-0005-0000-0000-000038290000}"/>
    <cellStyle name="Remarque 2 2 4 2 10 5" xfId="8486" xr:uid="{00000000-0005-0000-0000-000039290000}"/>
    <cellStyle name="Remarque 2 2 4 2 10 5 2" xfId="32500" xr:uid="{00000000-0005-0000-0000-00003A290000}"/>
    <cellStyle name="Remarque 2 2 4 2 10 5 2 2" xfId="56460" xr:uid="{00000000-0005-0000-0000-00003B290000}"/>
    <cellStyle name="Remarque 2 2 4 2 10 5 3" xfId="19747" xr:uid="{00000000-0005-0000-0000-00003C290000}"/>
    <cellStyle name="Remarque 2 2 4 2 10 5 4" xfId="43707" xr:uid="{00000000-0005-0000-0000-00003D290000}"/>
    <cellStyle name="Remarque 2 2 4 2 10 6" xfId="9871" xr:uid="{00000000-0005-0000-0000-00003E290000}"/>
    <cellStyle name="Remarque 2 2 4 2 10 6 2" xfId="33885" xr:uid="{00000000-0005-0000-0000-00003F290000}"/>
    <cellStyle name="Remarque 2 2 4 2 10 6 2 2" xfId="57845" xr:uid="{00000000-0005-0000-0000-000040290000}"/>
    <cellStyle name="Remarque 2 2 4 2 10 6 3" xfId="21132" xr:uid="{00000000-0005-0000-0000-000041290000}"/>
    <cellStyle name="Remarque 2 2 4 2 10 6 4" xfId="45092" xr:uid="{00000000-0005-0000-0000-000042290000}"/>
    <cellStyle name="Remarque 2 2 4 2 10 7" xfId="11328" xr:uid="{00000000-0005-0000-0000-000043290000}"/>
    <cellStyle name="Remarque 2 2 4 2 10 7 2" xfId="35338" xr:uid="{00000000-0005-0000-0000-000044290000}"/>
    <cellStyle name="Remarque 2 2 4 2 10 7 2 2" xfId="59298" xr:uid="{00000000-0005-0000-0000-000045290000}"/>
    <cellStyle name="Remarque 2 2 4 2 10 7 3" xfId="22595" xr:uid="{00000000-0005-0000-0000-000046290000}"/>
    <cellStyle name="Remarque 2 2 4 2 10 7 4" xfId="46555" xr:uid="{00000000-0005-0000-0000-000047290000}"/>
    <cellStyle name="Remarque 2 2 4 2 10 8" xfId="11716" xr:uid="{00000000-0005-0000-0000-000048290000}"/>
    <cellStyle name="Remarque 2 2 4 2 10 8 2" xfId="22986" xr:uid="{00000000-0005-0000-0000-000049290000}"/>
    <cellStyle name="Remarque 2 2 4 2 10 8 3" xfId="46946" xr:uid="{00000000-0005-0000-0000-00004A290000}"/>
    <cellStyle name="Remarque 2 2 4 2 10 9" xfId="2800" xr:uid="{00000000-0005-0000-0000-00004B290000}"/>
    <cellStyle name="Remarque 2 2 4 2 10 9 2" xfId="26814" xr:uid="{00000000-0005-0000-0000-00004C290000}"/>
    <cellStyle name="Remarque 2 2 4 2 10 9 3" xfId="50774" xr:uid="{00000000-0005-0000-0000-00004D290000}"/>
    <cellStyle name="Remarque 2 2 4 2 11" xfId="1575" xr:uid="{00000000-0005-0000-0000-00004E290000}"/>
    <cellStyle name="Remarque 2 2 4 2 11 10" xfId="25607" xr:uid="{00000000-0005-0000-0000-00004F290000}"/>
    <cellStyle name="Remarque 2 2 4 2 11 10 2" xfId="49567" xr:uid="{00000000-0005-0000-0000-000050290000}"/>
    <cellStyle name="Remarque 2 2 4 2 11 11" xfId="22987" xr:uid="{00000000-0005-0000-0000-000051290000}"/>
    <cellStyle name="Remarque 2 2 4 2 11 11 2" xfId="46947" xr:uid="{00000000-0005-0000-0000-000052290000}"/>
    <cellStyle name="Remarque 2 2 4 2 11 12" xfId="14272" xr:uid="{00000000-0005-0000-0000-000053290000}"/>
    <cellStyle name="Remarque 2 2 4 2 11 13" xfId="38232" xr:uid="{00000000-0005-0000-0000-000054290000}"/>
    <cellStyle name="Remarque 2 2 4 2 11 2" xfId="4481" xr:uid="{00000000-0005-0000-0000-000055290000}"/>
    <cellStyle name="Remarque 2 2 4 2 11 2 2" xfId="28495" xr:uid="{00000000-0005-0000-0000-000056290000}"/>
    <cellStyle name="Remarque 2 2 4 2 11 2 2 2" xfId="52455" xr:uid="{00000000-0005-0000-0000-000057290000}"/>
    <cellStyle name="Remarque 2 2 4 2 11 2 3" xfId="15742" xr:uid="{00000000-0005-0000-0000-000058290000}"/>
    <cellStyle name="Remarque 2 2 4 2 11 2 4" xfId="39702" xr:uid="{00000000-0005-0000-0000-000059290000}"/>
    <cellStyle name="Remarque 2 2 4 2 11 3" xfId="5915" xr:uid="{00000000-0005-0000-0000-00005A290000}"/>
    <cellStyle name="Remarque 2 2 4 2 11 3 2" xfId="29929" xr:uid="{00000000-0005-0000-0000-00005B290000}"/>
    <cellStyle name="Remarque 2 2 4 2 11 3 2 2" xfId="53889" xr:uid="{00000000-0005-0000-0000-00005C290000}"/>
    <cellStyle name="Remarque 2 2 4 2 11 3 3" xfId="17176" xr:uid="{00000000-0005-0000-0000-00005D290000}"/>
    <cellStyle name="Remarque 2 2 4 2 11 3 4" xfId="41136" xr:uid="{00000000-0005-0000-0000-00005E290000}"/>
    <cellStyle name="Remarque 2 2 4 2 11 4" xfId="7309" xr:uid="{00000000-0005-0000-0000-00005F290000}"/>
    <cellStyle name="Remarque 2 2 4 2 11 4 2" xfId="31323" xr:uid="{00000000-0005-0000-0000-000060290000}"/>
    <cellStyle name="Remarque 2 2 4 2 11 4 2 2" xfId="55283" xr:uid="{00000000-0005-0000-0000-000061290000}"/>
    <cellStyle name="Remarque 2 2 4 2 11 4 3" xfId="18570" xr:uid="{00000000-0005-0000-0000-000062290000}"/>
    <cellStyle name="Remarque 2 2 4 2 11 4 4" xfId="42530" xr:uid="{00000000-0005-0000-0000-000063290000}"/>
    <cellStyle name="Remarque 2 2 4 2 11 5" xfId="8697" xr:uid="{00000000-0005-0000-0000-000064290000}"/>
    <cellStyle name="Remarque 2 2 4 2 11 5 2" xfId="32711" xr:uid="{00000000-0005-0000-0000-000065290000}"/>
    <cellStyle name="Remarque 2 2 4 2 11 5 2 2" xfId="56671" xr:uid="{00000000-0005-0000-0000-000066290000}"/>
    <cellStyle name="Remarque 2 2 4 2 11 5 3" xfId="19958" xr:uid="{00000000-0005-0000-0000-000067290000}"/>
    <cellStyle name="Remarque 2 2 4 2 11 5 4" xfId="43918" xr:uid="{00000000-0005-0000-0000-000068290000}"/>
    <cellStyle name="Remarque 2 2 4 2 11 6" xfId="10082" xr:uid="{00000000-0005-0000-0000-000069290000}"/>
    <cellStyle name="Remarque 2 2 4 2 11 6 2" xfId="34096" xr:uid="{00000000-0005-0000-0000-00006A290000}"/>
    <cellStyle name="Remarque 2 2 4 2 11 6 2 2" xfId="58056" xr:uid="{00000000-0005-0000-0000-00006B290000}"/>
    <cellStyle name="Remarque 2 2 4 2 11 6 3" xfId="21343" xr:uid="{00000000-0005-0000-0000-00006C290000}"/>
    <cellStyle name="Remarque 2 2 4 2 11 6 4" xfId="45303" xr:uid="{00000000-0005-0000-0000-00006D290000}"/>
    <cellStyle name="Remarque 2 2 4 2 11 7" xfId="11539" xr:uid="{00000000-0005-0000-0000-00006E290000}"/>
    <cellStyle name="Remarque 2 2 4 2 11 7 2" xfId="35549" xr:uid="{00000000-0005-0000-0000-00006F290000}"/>
    <cellStyle name="Remarque 2 2 4 2 11 7 2 2" xfId="59509" xr:uid="{00000000-0005-0000-0000-000070290000}"/>
    <cellStyle name="Remarque 2 2 4 2 11 7 3" xfId="22806" xr:uid="{00000000-0005-0000-0000-000071290000}"/>
    <cellStyle name="Remarque 2 2 4 2 11 7 4" xfId="46766" xr:uid="{00000000-0005-0000-0000-000072290000}"/>
    <cellStyle name="Remarque 2 2 4 2 11 8" xfId="12853" xr:uid="{00000000-0005-0000-0000-000073290000}"/>
    <cellStyle name="Remarque 2 2 4 2 11 8 2" xfId="24165" xr:uid="{00000000-0005-0000-0000-000074290000}"/>
    <cellStyle name="Remarque 2 2 4 2 11 8 3" xfId="48125" xr:uid="{00000000-0005-0000-0000-000075290000}"/>
    <cellStyle name="Remarque 2 2 4 2 11 9" xfId="3011" xr:uid="{00000000-0005-0000-0000-000076290000}"/>
    <cellStyle name="Remarque 2 2 4 2 11 9 2" xfId="27025" xr:uid="{00000000-0005-0000-0000-000077290000}"/>
    <cellStyle name="Remarque 2 2 4 2 11 9 3" xfId="50985" xr:uid="{00000000-0005-0000-0000-000078290000}"/>
    <cellStyle name="Remarque 2 2 4 2 12" xfId="1544" xr:uid="{00000000-0005-0000-0000-000079290000}"/>
    <cellStyle name="Remarque 2 2 4 2 12 10" xfId="25576" xr:uid="{00000000-0005-0000-0000-00007A290000}"/>
    <cellStyle name="Remarque 2 2 4 2 12 10 2" xfId="49536" xr:uid="{00000000-0005-0000-0000-00007B290000}"/>
    <cellStyle name="Remarque 2 2 4 2 12 11" xfId="36458" xr:uid="{00000000-0005-0000-0000-00007C290000}"/>
    <cellStyle name="Remarque 2 2 4 2 12 11 2" xfId="60418" xr:uid="{00000000-0005-0000-0000-00007D290000}"/>
    <cellStyle name="Remarque 2 2 4 2 12 12" xfId="14241" xr:uid="{00000000-0005-0000-0000-00007E290000}"/>
    <cellStyle name="Remarque 2 2 4 2 12 13" xfId="38201" xr:uid="{00000000-0005-0000-0000-00007F290000}"/>
    <cellStyle name="Remarque 2 2 4 2 12 2" xfId="4450" xr:uid="{00000000-0005-0000-0000-000080290000}"/>
    <cellStyle name="Remarque 2 2 4 2 12 2 2" xfId="28464" xr:uid="{00000000-0005-0000-0000-000081290000}"/>
    <cellStyle name="Remarque 2 2 4 2 12 2 2 2" xfId="52424" xr:uid="{00000000-0005-0000-0000-000082290000}"/>
    <cellStyle name="Remarque 2 2 4 2 12 2 3" xfId="15711" xr:uid="{00000000-0005-0000-0000-000083290000}"/>
    <cellStyle name="Remarque 2 2 4 2 12 2 4" xfId="39671" xr:uid="{00000000-0005-0000-0000-000084290000}"/>
    <cellStyle name="Remarque 2 2 4 2 12 3" xfId="5884" xr:uid="{00000000-0005-0000-0000-000085290000}"/>
    <cellStyle name="Remarque 2 2 4 2 12 3 2" xfId="29898" xr:uid="{00000000-0005-0000-0000-000086290000}"/>
    <cellStyle name="Remarque 2 2 4 2 12 3 2 2" xfId="53858" xr:uid="{00000000-0005-0000-0000-000087290000}"/>
    <cellStyle name="Remarque 2 2 4 2 12 3 3" xfId="17145" xr:uid="{00000000-0005-0000-0000-000088290000}"/>
    <cellStyle name="Remarque 2 2 4 2 12 3 4" xfId="41105" xr:uid="{00000000-0005-0000-0000-000089290000}"/>
    <cellStyle name="Remarque 2 2 4 2 12 4" xfId="7278" xr:uid="{00000000-0005-0000-0000-00008A290000}"/>
    <cellStyle name="Remarque 2 2 4 2 12 4 2" xfId="31292" xr:uid="{00000000-0005-0000-0000-00008B290000}"/>
    <cellStyle name="Remarque 2 2 4 2 12 4 2 2" xfId="55252" xr:uid="{00000000-0005-0000-0000-00008C290000}"/>
    <cellStyle name="Remarque 2 2 4 2 12 4 3" xfId="18539" xr:uid="{00000000-0005-0000-0000-00008D290000}"/>
    <cellStyle name="Remarque 2 2 4 2 12 4 4" xfId="42499" xr:uid="{00000000-0005-0000-0000-00008E290000}"/>
    <cellStyle name="Remarque 2 2 4 2 12 5" xfId="8666" xr:uid="{00000000-0005-0000-0000-00008F290000}"/>
    <cellStyle name="Remarque 2 2 4 2 12 5 2" xfId="32680" xr:uid="{00000000-0005-0000-0000-000090290000}"/>
    <cellStyle name="Remarque 2 2 4 2 12 5 2 2" xfId="56640" xr:uid="{00000000-0005-0000-0000-000091290000}"/>
    <cellStyle name="Remarque 2 2 4 2 12 5 3" xfId="19927" xr:uid="{00000000-0005-0000-0000-000092290000}"/>
    <cellStyle name="Remarque 2 2 4 2 12 5 4" xfId="43887" xr:uid="{00000000-0005-0000-0000-000093290000}"/>
    <cellStyle name="Remarque 2 2 4 2 12 6" xfId="10051" xr:uid="{00000000-0005-0000-0000-000094290000}"/>
    <cellStyle name="Remarque 2 2 4 2 12 6 2" xfId="34065" xr:uid="{00000000-0005-0000-0000-000095290000}"/>
    <cellStyle name="Remarque 2 2 4 2 12 6 2 2" xfId="58025" xr:uid="{00000000-0005-0000-0000-000096290000}"/>
    <cellStyle name="Remarque 2 2 4 2 12 6 3" xfId="21312" xr:uid="{00000000-0005-0000-0000-000097290000}"/>
    <cellStyle name="Remarque 2 2 4 2 12 6 4" xfId="45272" xr:uid="{00000000-0005-0000-0000-000098290000}"/>
    <cellStyle name="Remarque 2 2 4 2 12 7" xfId="11508" xr:uid="{00000000-0005-0000-0000-000099290000}"/>
    <cellStyle name="Remarque 2 2 4 2 12 7 2" xfId="35518" xr:uid="{00000000-0005-0000-0000-00009A290000}"/>
    <cellStyle name="Remarque 2 2 4 2 12 7 2 2" xfId="59478" xr:uid="{00000000-0005-0000-0000-00009B290000}"/>
    <cellStyle name="Remarque 2 2 4 2 12 7 3" xfId="22775" xr:uid="{00000000-0005-0000-0000-00009C290000}"/>
    <cellStyle name="Remarque 2 2 4 2 12 7 4" xfId="46735" xr:uid="{00000000-0005-0000-0000-00009D290000}"/>
    <cellStyle name="Remarque 2 2 4 2 12 8" xfId="12408" xr:uid="{00000000-0005-0000-0000-00009E290000}"/>
    <cellStyle name="Remarque 2 2 4 2 12 8 2" xfId="23699" xr:uid="{00000000-0005-0000-0000-00009F290000}"/>
    <cellStyle name="Remarque 2 2 4 2 12 8 3" xfId="47659" xr:uid="{00000000-0005-0000-0000-0000A0290000}"/>
    <cellStyle name="Remarque 2 2 4 2 12 9" xfId="2980" xr:uid="{00000000-0005-0000-0000-0000A1290000}"/>
    <cellStyle name="Remarque 2 2 4 2 12 9 2" xfId="26994" xr:uid="{00000000-0005-0000-0000-0000A2290000}"/>
    <cellStyle name="Remarque 2 2 4 2 12 9 3" xfId="50954" xr:uid="{00000000-0005-0000-0000-0000A3290000}"/>
    <cellStyle name="Remarque 2 2 4 2 13" xfId="1592" xr:uid="{00000000-0005-0000-0000-0000A4290000}"/>
    <cellStyle name="Remarque 2 2 4 2 13 10" xfId="25624" xr:uid="{00000000-0005-0000-0000-0000A5290000}"/>
    <cellStyle name="Remarque 2 2 4 2 13 10 2" xfId="49584" xr:uid="{00000000-0005-0000-0000-0000A6290000}"/>
    <cellStyle name="Remarque 2 2 4 2 13 11" xfId="36851" xr:uid="{00000000-0005-0000-0000-0000A7290000}"/>
    <cellStyle name="Remarque 2 2 4 2 13 11 2" xfId="60811" xr:uid="{00000000-0005-0000-0000-0000A8290000}"/>
    <cellStyle name="Remarque 2 2 4 2 13 12" xfId="14289" xr:uid="{00000000-0005-0000-0000-0000A9290000}"/>
    <cellStyle name="Remarque 2 2 4 2 13 13" xfId="38249" xr:uid="{00000000-0005-0000-0000-0000AA290000}"/>
    <cellStyle name="Remarque 2 2 4 2 13 2" xfId="4498" xr:uid="{00000000-0005-0000-0000-0000AB290000}"/>
    <cellStyle name="Remarque 2 2 4 2 13 2 2" xfId="28512" xr:uid="{00000000-0005-0000-0000-0000AC290000}"/>
    <cellStyle name="Remarque 2 2 4 2 13 2 2 2" xfId="52472" xr:uid="{00000000-0005-0000-0000-0000AD290000}"/>
    <cellStyle name="Remarque 2 2 4 2 13 2 3" xfId="15759" xr:uid="{00000000-0005-0000-0000-0000AE290000}"/>
    <cellStyle name="Remarque 2 2 4 2 13 2 4" xfId="39719" xr:uid="{00000000-0005-0000-0000-0000AF290000}"/>
    <cellStyle name="Remarque 2 2 4 2 13 3" xfId="5932" xr:uid="{00000000-0005-0000-0000-0000B0290000}"/>
    <cellStyle name="Remarque 2 2 4 2 13 3 2" xfId="29946" xr:uid="{00000000-0005-0000-0000-0000B1290000}"/>
    <cellStyle name="Remarque 2 2 4 2 13 3 2 2" xfId="53906" xr:uid="{00000000-0005-0000-0000-0000B2290000}"/>
    <cellStyle name="Remarque 2 2 4 2 13 3 3" xfId="17193" xr:uid="{00000000-0005-0000-0000-0000B3290000}"/>
    <cellStyle name="Remarque 2 2 4 2 13 3 4" xfId="41153" xr:uid="{00000000-0005-0000-0000-0000B4290000}"/>
    <cellStyle name="Remarque 2 2 4 2 13 4" xfId="7326" xr:uid="{00000000-0005-0000-0000-0000B5290000}"/>
    <cellStyle name="Remarque 2 2 4 2 13 4 2" xfId="31340" xr:uid="{00000000-0005-0000-0000-0000B6290000}"/>
    <cellStyle name="Remarque 2 2 4 2 13 4 2 2" xfId="55300" xr:uid="{00000000-0005-0000-0000-0000B7290000}"/>
    <cellStyle name="Remarque 2 2 4 2 13 4 3" xfId="18587" xr:uid="{00000000-0005-0000-0000-0000B8290000}"/>
    <cellStyle name="Remarque 2 2 4 2 13 4 4" xfId="42547" xr:uid="{00000000-0005-0000-0000-0000B9290000}"/>
    <cellStyle name="Remarque 2 2 4 2 13 5" xfId="8714" xr:uid="{00000000-0005-0000-0000-0000BA290000}"/>
    <cellStyle name="Remarque 2 2 4 2 13 5 2" xfId="32728" xr:uid="{00000000-0005-0000-0000-0000BB290000}"/>
    <cellStyle name="Remarque 2 2 4 2 13 5 2 2" xfId="56688" xr:uid="{00000000-0005-0000-0000-0000BC290000}"/>
    <cellStyle name="Remarque 2 2 4 2 13 5 3" xfId="19975" xr:uid="{00000000-0005-0000-0000-0000BD290000}"/>
    <cellStyle name="Remarque 2 2 4 2 13 5 4" xfId="43935" xr:uid="{00000000-0005-0000-0000-0000BE290000}"/>
    <cellStyle name="Remarque 2 2 4 2 13 6" xfId="10099" xr:uid="{00000000-0005-0000-0000-0000BF290000}"/>
    <cellStyle name="Remarque 2 2 4 2 13 6 2" xfId="34113" xr:uid="{00000000-0005-0000-0000-0000C0290000}"/>
    <cellStyle name="Remarque 2 2 4 2 13 6 2 2" xfId="58073" xr:uid="{00000000-0005-0000-0000-0000C1290000}"/>
    <cellStyle name="Remarque 2 2 4 2 13 6 3" xfId="21360" xr:uid="{00000000-0005-0000-0000-0000C2290000}"/>
    <cellStyle name="Remarque 2 2 4 2 13 6 4" xfId="45320" xr:uid="{00000000-0005-0000-0000-0000C3290000}"/>
    <cellStyle name="Remarque 2 2 4 2 13 7" xfId="11556" xr:uid="{00000000-0005-0000-0000-0000C4290000}"/>
    <cellStyle name="Remarque 2 2 4 2 13 7 2" xfId="35566" xr:uid="{00000000-0005-0000-0000-0000C5290000}"/>
    <cellStyle name="Remarque 2 2 4 2 13 7 2 2" xfId="59526" xr:uid="{00000000-0005-0000-0000-0000C6290000}"/>
    <cellStyle name="Remarque 2 2 4 2 13 7 3" xfId="22823" xr:uid="{00000000-0005-0000-0000-0000C7290000}"/>
    <cellStyle name="Remarque 2 2 4 2 13 7 4" xfId="46783" xr:uid="{00000000-0005-0000-0000-0000C8290000}"/>
    <cellStyle name="Remarque 2 2 4 2 13 8" xfId="10117" xr:uid="{00000000-0005-0000-0000-0000C9290000}"/>
    <cellStyle name="Remarque 2 2 4 2 13 8 2" xfId="21378" xr:uid="{00000000-0005-0000-0000-0000CA290000}"/>
    <cellStyle name="Remarque 2 2 4 2 13 8 3" xfId="45338" xr:uid="{00000000-0005-0000-0000-0000CB290000}"/>
    <cellStyle name="Remarque 2 2 4 2 13 9" xfId="3028" xr:uid="{00000000-0005-0000-0000-0000CC290000}"/>
    <cellStyle name="Remarque 2 2 4 2 13 9 2" xfId="27042" xr:uid="{00000000-0005-0000-0000-0000CD290000}"/>
    <cellStyle name="Remarque 2 2 4 2 13 9 3" xfId="51002" xr:uid="{00000000-0005-0000-0000-0000CE290000}"/>
    <cellStyle name="Remarque 2 2 4 2 14" xfId="217" xr:uid="{00000000-0005-0000-0000-0000CF290000}"/>
    <cellStyle name="Remarque 2 2 4 2 14 10" xfId="35599" xr:uid="{00000000-0005-0000-0000-0000D0290000}"/>
    <cellStyle name="Remarque 2 2 4 2 14 10 2" xfId="59559" xr:uid="{00000000-0005-0000-0000-0000D1290000}"/>
    <cellStyle name="Remarque 2 2 4 2 14 11" xfId="14384" xr:uid="{00000000-0005-0000-0000-0000D2290000}"/>
    <cellStyle name="Remarque 2 2 4 2 14 12" xfId="38344" xr:uid="{00000000-0005-0000-0000-0000D3290000}"/>
    <cellStyle name="Remarque 2 2 4 2 14 2" xfId="4562" xr:uid="{00000000-0005-0000-0000-0000D4290000}"/>
    <cellStyle name="Remarque 2 2 4 2 14 2 2" xfId="28576" xr:uid="{00000000-0005-0000-0000-0000D5290000}"/>
    <cellStyle name="Remarque 2 2 4 2 14 2 2 2" xfId="52536" xr:uid="{00000000-0005-0000-0000-0000D6290000}"/>
    <cellStyle name="Remarque 2 2 4 2 14 2 3" xfId="15823" xr:uid="{00000000-0005-0000-0000-0000D7290000}"/>
    <cellStyle name="Remarque 2 2 4 2 14 2 4" xfId="39783" xr:uid="{00000000-0005-0000-0000-0000D8290000}"/>
    <cellStyle name="Remarque 2 2 4 2 14 3" xfId="5961" xr:uid="{00000000-0005-0000-0000-0000D9290000}"/>
    <cellStyle name="Remarque 2 2 4 2 14 3 2" xfId="29975" xr:uid="{00000000-0005-0000-0000-0000DA290000}"/>
    <cellStyle name="Remarque 2 2 4 2 14 3 2 2" xfId="53935" xr:uid="{00000000-0005-0000-0000-0000DB290000}"/>
    <cellStyle name="Remarque 2 2 4 2 14 3 3" xfId="17222" xr:uid="{00000000-0005-0000-0000-0000DC290000}"/>
    <cellStyle name="Remarque 2 2 4 2 14 3 4" xfId="41182" xr:uid="{00000000-0005-0000-0000-0000DD290000}"/>
    <cellStyle name="Remarque 2 2 4 2 14 4" xfId="7355" xr:uid="{00000000-0005-0000-0000-0000DE290000}"/>
    <cellStyle name="Remarque 2 2 4 2 14 4 2" xfId="31369" xr:uid="{00000000-0005-0000-0000-0000DF290000}"/>
    <cellStyle name="Remarque 2 2 4 2 14 4 2 2" xfId="55329" xr:uid="{00000000-0005-0000-0000-0000E0290000}"/>
    <cellStyle name="Remarque 2 2 4 2 14 4 3" xfId="18616" xr:uid="{00000000-0005-0000-0000-0000E1290000}"/>
    <cellStyle name="Remarque 2 2 4 2 14 4 4" xfId="42576" xr:uid="{00000000-0005-0000-0000-0000E2290000}"/>
    <cellStyle name="Remarque 2 2 4 2 14 5" xfId="8743" xr:uid="{00000000-0005-0000-0000-0000E3290000}"/>
    <cellStyle name="Remarque 2 2 4 2 14 5 2" xfId="32757" xr:uid="{00000000-0005-0000-0000-0000E4290000}"/>
    <cellStyle name="Remarque 2 2 4 2 14 5 2 2" xfId="56717" xr:uid="{00000000-0005-0000-0000-0000E5290000}"/>
    <cellStyle name="Remarque 2 2 4 2 14 5 3" xfId="20004" xr:uid="{00000000-0005-0000-0000-0000E6290000}"/>
    <cellStyle name="Remarque 2 2 4 2 14 5 4" xfId="43964" xr:uid="{00000000-0005-0000-0000-0000E7290000}"/>
    <cellStyle name="Remarque 2 2 4 2 14 6" xfId="10183" xr:uid="{00000000-0005-0000-0000-0000E8290000}"/>
    <cellStyle name="Remarque 2 2 4 2 14 6 2" xfId="34195" xr:uid="{00000000-0005-0000-0000-0000E9290000}"/>
    <cellStyle name="Remarque 2 2 4 2 14 6 2 2" xfId="58155" xr:uid="{00000000-0005-0000-0000-0000EA290000}"/>
    <cellStyle name="Remarque 2 2 4 2 14 6 3" xfId="21448" xr:uid="{00000000-0005-0000-0000-0000EB290000}"/>
    <cellStyle name="Remarque 2 2 4 2 14 6 4" xfId="45408" xr:uid="{00000000-0005-0000-0000-0000EC290000}"/>
    <cellStyle name="Remarque 2 2 4 2 14 7" xfId="11985" xr:uid="{00000000-0005-0000-0000-0000ED290000}"/>
    <cellStyle name="Remarque 2 2 4 2 14 7 2" xfId="23264" xr:uid="{00000000-0005-0000-0000-0000EE290000}"/>
    <cellStyle name="Remarque 2 2 4 2 14 7 3" xfId="47224" xr:uid="{00000000-0005-0000-0000-0000EF290000}"/>
    <cellStyle name="Remarque 2 2 4 2 14 8" xfId="3123" xr:uid="{00000000-0005-0000-0000-0000F0290000}"/>
    <cellStyle name="Remarque 2 2 4 2 14 8 2" xfId="27137" xr:uid="{00000000-0005-0000-0000-0000F1290000}"/>
    <cellStyle name="Remarque 2 2 4 2 14 8 3" xfId="51097" xr:uid="{00000000-0005-0000-0000-0000F2290000}"/>
    <cellStyle name="Remarque 2 2 4 2 14 9" xfId="24249" xr:uid="{00000000-0005-0000-0000-0000F3290000}"/>
    <cellStyle name="Remarque 2 2 4 2 14 9 2" xfId="48209" xr:uid="{00000000-0005-0000-0000-0000F4290000}"/>
    <cellStyle name="Remarque 2 2 4 2 15" xfId="3092" xr:uid="{00000000-0005-0000-0000-0000F5290000}"/>
    <cellStyle name="Remarque 2 2 4 2 15 2" xfId="27106" xr:uid="{00000000-0005-0000-0000-0000F6290000}"/>
    <cellStyle name="Remarque 2 2 4 2 15 2 2" xfId="51066" xr:uid="{00000000-0005-0000-0000-0000F7290000}"/>
    <cellStyle name="Remarque 2 2 4 2 15 3" xfId="14353" xr:uid="{00000000-0005-0000-0000-0000F8290000}"/>
    <cellStyle name="Remarque 2 2 4 2 15 4" xfId="38313" xr:uid="{00000000-0005-0000-0000-0000F9290000}"/>
    <cellStyle name="Remarque 2 2 4 2 16" xfId="4531" xr:uid="{00000000-0005-0000-0000-0000FA290000}"/>
    <cellStyle name="Remarque 2 2 4 2 16 2" xfId="28545" xr:uid="{00000000-0005-0000-0000-0000FB290000}"/>
    <cellStyle name="Remarque 2 2 4 2 16 2 2" xfId="52505" xr:uid="{00000000-0005-0000-0000-0000FC290000}"/>
    <cellStyle name="Remarque 2 2 4 2 16 3" xfId="15792" xr:uid="{00000000-0005-0000-0000-0000FD290000}"/>
    <cellStyle name="Remarque 2 2 4 2 16 4" xfId="39752" xr:uid="{00000000-0005-0000-0000-0000FE290000}"/>
    <cellStyle name="Remarque 2 2 4 2 17" xfId="3043" xr:uid="{00000000-0005-0000-0000-0000FF290000}"/>
    <cellStyle name="Remarque 2 2 4 2 17 2" xfId="27057" xr:uid="{00000000-0005-0000-0000-0000002A0000}"/>
    <cellStyle name="Remarque 2 2 4 2 17 2 2" xfId="51017" xr:uid="{00000000-0005-0000-0000-0000012A0000}"/>
    <cellStyle name="Remarque 2 2 4 2 17 3" xfId="14304" xr:uid="{00000000-0005-0000-0000-0000022A0000}"/>
    <cellStyle name="Remarque 2 2 4 2 17 4" xfId="38264" xr:uid="{00000000-0005-0000-0000-0000032A0000}"/>
    <cellStyle name="Remarque 2 2 4 2 18" xfId="4571" xr:uid="{00000000-0005-0000-0000-0000042A0000}"/>
    <cellStyle name="Remarque 2 2 4 2 18 2" xfId="28585" xr:uid="{00000000-0005-0000-0000-0000052A0000}"/>
    <cellStyle name="Remarque 2 2 4 2 18 2 2" xfId="52545" xr:uid="{00000000-0005-0000-0000-0000062A0000}"/>
    <cellStyle name="Remarque 2 2 4 2 18 3" xfId="15832" xr:uid="{00000000-0005-0000-0000-0000072A0000}"/>
    <cellStyle name="Remarque 2 2 4 2 18 4" xfId="39792" xr:uid="{00000000-0005-0000-0000-0000082A0000}"/>
    <cellStyle name="Remarque 2 2 4 2 19" xfId="5969" xr:uid="{00000000-0005-0000-0000-0000092A0000}"/>
    <cellStyle name="Remarque 2 2 4 2 19 2" xfId="29983" xr:uid="{00000000-0005-0000-0000-00000A2A0000}"/>
    <cellStyle name="Remarque 2 2 4 2 19 2 2" xfId="53943" xr:uid="{00000000-0005-0000-0000-00000B2A0000}"/>
    <cellStyle name="Remarque 2 2 4 2 19 3" xfId="17230" xr:uid="{00000000-0005-0000-0000-00000C2A0000}"/>
    <cellStyle name="Remarque 2 2 4 2 19 4" xfId="41190" xr:uid="{00000000-0005-0000-0000-00000D2A0000}"/>
    <cellStyle name="Remarque 2 2 4 2 2" xfId="106" xr:uid="{00000000-0005-0000-0000-00000E2A0000}"/>
    <cellStyle name="Remarque 2 2 4 2 2 10" xfId="3165" xr:uid="{00000000-0005-0000-0000-00000F2A0000}"/>
    <cellStyle name="Remarque 2 2 4 2 2 10 2" xfId="27179" xr:uid="{00000000-0005-0000-0000-0000102A0000}"/>
    <cellStyle name="Remarque 2 2 4 2 2 10 2 2" xfId="51139" xr:uid="{00000000-0005-0000-0000-0000112A0000}"/>
    <cellStyle name="Remarque 2 2 4 2 2 10 3" xfId="14426" xr:uid="{00000000-0005-0000-0000-0000122A0000}"/>
    <cellStyle name="Remarque 2 2 4 2 2 10 4" xfId="38386" xr:uid="{00000000-0005-0000-0000-0000132A0000}"/>
    <cellStyle name="Remarque 2 2 4 2 2 11" xfId="4599" xr:uid="{00000000-0005-0000-0000-0000142A0000}"/>
    <cellStyle name="Remarque 2 2 4 2 2 11 2" xfId="28613" xr:uid="{00000000-0005-0000-0000-0000152A0000}"/>
    <cellStyle name="Remarque 2 2 4 2 2 11 2 2" xfId="52573" xr:uid="{00000000-0005-0000-0000-0000162A0000}"/>
    <cellStyle name="Remarque 2 2 4 2 2 11 3" xfId="15860" xr:uid="{00000000-0005-0000-0000-0000172A0000}"/>
    <cellStyle name="Remarque 2 2 4 2 2 11 4" xfId="39820" xr:uid="{00000000-0005-0000-0000-0000182A0000}"/>
    <cellStyle name="Remarque 2 2 4 2 2 12" xfId="5993" xr:uid="{00000000-0005-0000-0000-0000192A0000}"/>
    <cellStyle name="Remarque 2 2 4 2 2 12 2" xfId="30007" xr:uid="{00000000-0005-0000-0000-00001A2A0000}"/>
    <cellStyle name="Remarque 2 2 4 2 2 12 2 2" xfId="53967" xr:uid="{00000000-0005-0000-0000-00001B2A0000}"/>
    <cellStyle name="Remarque 2 2 4 2 2 12 3" xfId="17254" xr:uid="{00000000-0005-0000-0000-00001C2A0000}"/>
    <cellStyle name="Remarque 2 2 4 2 2 12 4" xfId="41214" xr:uid="{00000000-0005-0000-0000-00001D2A0000}"/>
    <cellStyle name="Remarque 2 2 4 2 2 13" xfId="7381" xr:uid="{00000000-0005-0000-0000-00001E2A0000}"/>
    <cellStyle name="Remarque 2 2 4 2 2 13 2" xfId="31395" xr:uid="{00000000-0005-0000-0000-00001F2A0000}"/>
    <cellStyle name="Remarque 2 2 4 2 2 13 2 2" xfId="55355" xr:uid="{00000000-0005-0000-0000-0000202A0000}"/>
    <cellStyle name="Remarque 2 2 4 2 2 13 3" xfId="18642" xr:uid="{00000000-0005-0000-0000-0000212A0000}"/>
    <cellStyle name="Remarque 2 2 4 2 2 13 4" xfId="42602" xr:uid="{00000000-0005-0000-0000-0000222A0000}"/>
    <cellStyle name="Remarque 2 2 4 2 2 14" xfId="8766" xr:uid="{00000000-0005-0000-0000-0000232A0000}"/>
    <cellStyle name="Remarque 2 2 4 2 2 14 2" xfId="32780" xr:uid="{00000000-0005-0000-0000-0000242A0000}"/>
    <cellStyle name="Remarque 2 2 4 2 2 14 2 2" xfId="56740" xr:uid="{00000000-0005-0000-0000-0000252A0000}"/>
    <cellStyle name="Remarque 2 2 4 2 2 14 3" xfId="20027" xr:uid="{00000000-0005-0000-0000-0000262A0000}"/>
    <cellStyle name="Remarque 2 2 4 2 2 14 4" xfId="43987" xr:uid="{00000000-0005-0000-0000-0000272A0000}"/>
    <cellStyle name="Remarque 2 2 4 2 2 15" xfId="10223" xr:uid="{00000000-0005-0000-0000-0000282A0000}"/>
    <cellStyle name="Remarque 2 2 4 2 2 15 2" xfId="34233" xr:uid="{00000000-0005-0000-0000-0000292A0000}"/>
    <cellStyle name="Remarque 2 2 4 2 2 15 2 2" xfId="58193" xr:uid="{00000000-0005-0000-0000-00002A2A0000}"/>
    <cellStyle name="Remarque 2 2 4 2 2 15 3" xfId="21490" xr:uid="{00000000-0005-0000-0000-00002B2A0000}"/>
    <cellStyle name="Remarque 2 2 4 2 2 15 4" xfId="45450" xr:uid="{00000000-0005-0000-0000-00002C2A0000}"/>
    <cellStyle name="Remarque 2 2 4 2 2 16" xfId="12345" xr:uid="{00000000-0005-0000-0000-00002D2A0000}"/>
    <cellStyle name="Remarque 2 2 4 2 2 16 2" xfId="23633" xr:uid="{00000000-0005-0000-0000-00002E2A0000}"/>
    <cellStyle name="Remarque 2 2 4 2 2 16 3" xfId="47593" xr:uid="{00000000-0005-0000-0000-00002F2A0000}"/>
    <cellStyle name="Remarque 2 2 4 2 2 17" xfId="1695" xr:uid="{00000000-0005-0000-0000-0000302A0000}"/>
    <cellStyle name="Remarque 2 2 4 2 2 17 2" xfId="25709" xr:uid="{00000000-0005-0000-0000-0000312A0000}"/>
    <cellStyle name="Remarque 2 2 4 2 2 17 3" xfId="49669" xr:uid="{00000000-0005-0000-0000-0000322A0000}"/>
    <cellStyle name="Remarque 2 2 4 2 2 18" xfId="24291" xr:uid="{00000000-0005-0000-0000-0000332A0000}"/>
    <cellStyle name="Remarque 2 2 4 2 2 18 2" xfId="48251" xr:uid="{00000000-0005-0000-0000-0000342A0000}"/>
    <cellStyle name="Remarque 2 2 4 2 2 19" xfId="36410" xr:uid="{00000000-0005-0000-0000-0000352A0000}"/>
    <cellStyle name="Remarque 2 2 4 2 2 19 2" xfId="60370" xr:uid="{00000000-0005-0000-0000-0000362A0000}"/>
    <cellStyle name="Remarque 2 2 4 2 2 2" xfId="434" xr:uid="{00000000-0005-0000-0000-0000372A0000}"/>
    <cellStyle name="Remarque 2 2 4 2 2 2 10" xfId="6168" xr:uid="{00000000-0005-0000-0000-0000382A0000}"/>
    <cellStyle name="Remarque 2 2 4 2 2 2 10 2" xfId="30182" xr:uid="{00000000-0005-0000-0000-0000392A0000}"/>
    <cellStyle name="Remarque 2 2 4 2 2 2 10 2 2" xfId="54142" xr:uid="{00000000-0005-0000-0000-00003A2A0000}"/>
    <cellStyle name="Remarque 2 2 4 2 2 2 10 3" xfId="17429" xr:uid="{00000000-0005-0000-0000-00003B2A0000}"/>
    <cellStyle name="Remarque 2 2 4 2 2 2 10 4" xfId="41389" xr:uid="{00000000-0005-0000-0000-00003C2A0000}"/>
    <cellStyle name="Remarque 2 2 4 2 2 2 11" xfId="7556" xr:uid="{00000000-0005-0000-0000-00003D2A0000}"/>
    <cellStyle name="Remarque 2 2 4 2 2 2 11 2" xfId="31570" xr:uid="{00000000-0005-0000-0000-00003E2A0000}"/>
    <cellStyle name="Remarque 2 2 4 2 2 2 11 2 2" xfId="55530" xr:uid="{00000000-0005-0000-0000-00003F2A0000}"/>
    <cellStyle name="Remarque 2 2 4 2 2 2 11 3" xfId="18817" xr:uid="{00000000-0005-0000-0000-0000402A0000}"/>
    <cellStyle name="Remarque 2 2 4 2 2 2 11 4" xfId="42777" xr:uid="{00000000-0005-0000-0000-0000412A0000}"/>
    <cellStyle name="Remarque 2 2 4 2 2 2 12" xfId="8941" xr:uid="{00000000-0005-0000-0000-0000422A0000}"/>
    <cellStyle name="Remarque 2 2 4 2 2 2 12 2" xfId="32955" xr:uid="{00000000-0005-0000-0000-0000432A0000}"/>
    <cellStyle name="Remarque 2 2 4 2 2 2 12 2 2" xfId="56915" xr:uid="{00000000-0005-0000-0000-0000442A0000}"/>
    <cellStyle name="Remarque 2 2 4 2 2 2 12 3" xfId="20202" xr:uid="{00000000-0005-0000-0000-0000452A0000}"/>
    <cellStyle name="Remarque 2 2 4 2 2 2 12 4" xfId="44162" xr:uid="{00000000-0005-0000-0000-0000462A0000}"/>
    <cellStyle name="Remarque 2 2 4 2 2 2 13" xfId="10398" xr:uid="{00000000-0005-0000-0000-0000472A0000}"/>
    <cellStyle name="Remarque 2 2 4 2 2 2 13 2" xfId="34408" xr:uid="{00000000-0005-0000-0000-0000482A0000}"/>
    <cellStyle name="Remarque 2 2 4 2 2 2 13 2 2" xfId="58368" xr:uid="{00000000-0005-0000-0000-0000492A0000}"/>
    <cellStyle name="Remarque 2 2 4 2 2 2 13 3" xfId="21665" xr:uid="{00000000-0005-0000-0000-00004A2A0000}"/>
    <cellStyle name="Remarque 2 2 4 2 2 2 13 4" xfId="45625" xr:uid="{00000000-0005-0000-0000-00004B2A0000}"/>
    <cellStyle name="Remarque 2 2 4 2 2 2 14" xfId="12868" xr:uid="{00000000-0005-0000-0000-00004C2A0000}"/>
    <cellStyle name="Remarque 2 2 4 2 2 2 14 2" xfId="24180" xr:uid="{00000000-0005-0000-0000-00004D2A0000}"/>
    <cellStyle name="Remarque 2 2 4 2 2 2 14 3" xfId="48140" xr:uid="{00000000-0005-0000-0000-00004E2A0000}"/>
    <cellStyle name="Remarque 2 2 4 2 2 2 15" xfId="1870" xr:uid="{00000000-0005-0000-0000-00004F2A0000}"/>
    <cellStyle name="Remarque 2 2 4 2 2 2 15 2" xfId="25884" xr:uid="{00000000-0005-0000-0000-0000502A0000}"/>
    <cellStyle name="Remarque 2 2 4 2 2 2 15 3" xfId="49844" xr:uid="{00000000-0005-0000-0000-0000512A0000}"/>
    <cellStyle name="Remarque 2 2 4 2 2 2 16" xfId="24466" xr:uid="{00000000-0005-0000-0000-0000522A0000}"/>
    <cellStyle name="Remarque 2 2 4 2 2 2 16 2" xfId="48426" xr:uid="{00000000-0005-0000-0000-0000532A0000}"/>
    <cellStyle name="Remarque 2 2 4 2 2 2 17" xfId="35752" xr:uid="{00000000-0005-0000-0000-0000542A0000}"/>
    <cellStyle name="Remarque 2 2 4 2 2 2 17 2" xfId="59712" xr:uid="{00000000-0005-0000-0000-0000552A0000}"/>
    <cellStyle name="Remarque 2 2 4 2 2 2 18" xfId="13131" xr:uid="{00000000-0005-0000-0000-0000562A0000}"/>
    <cellStyle name="Remarque 2 2 4 2 2 2 19" xfId="37091" xr:uid="{00000000-0005-0000-0000-0000572A0000}"/>
    <cellStyle name="Remarque 2 2 4 2 2 2 2" xfId="570" xr:uid="{00000000-0005-0000-0000-0000582A0000}"/>
    <cellStyle name="Remarque 2 2 4 2 2 2 2 10" xfId="24602" xr:uid="{00000000-0005-0000-0000-0000592A0000}"/>
    <cellStyle name="Remarque 2 2 4 2 2 2 2 10 2" xfId="48562" xr:uid="{00000000-0005-0000-0000-00005A2A0000}"/>
    <cellStyle name="Remarque 2 2 4 2 2 2 2 11" xfId="35937" xr:uid="{00000000-0005-0000-0000-00005B2A0000}"/>
    <cellStyle name="Remarque 2 2 4 2 2 2 2 11 2" xfId="59897" xr:uid="{00000000-0005-0000-0000-00005C2A0000}"/>
    <cellStyle name="Remarque 2 2 4 2 2 2 2 12" xfId="13267" xr:uid="{00000000-0005-0000-0000-00005D2A0000}"/>
    <cellStyle name="Remarque 2 2 4 2 2 2 2 13" xfId="37227" xr:uid="{00000000-0005-0000-0000-00005E2A0000}"/>
    <cellStyle name="Remarque 2 2 4 2 2 2 2 2" xfId="3476" xr:uid="{00000000-0005-0000-0000-00005F2A0000}"/>
    <cellStyle name="Remarque 2 2 4 2 2 2 2 2 2" xfId="27490" xr:uid="{00000000-0005-0000-0000-0000602A0000}"/>
    <cellStyle name="Remarque 2 2 4 2 2 2 2 2 2 2" xfId="51450" xr:uid="{00000000-0005-0000-0000-0000612A0000}"/>
    <cellStyle name="Remarque 2 2 4 2 2 2 2 2 3" xfId="14737" xr:uid="{00000000-0005-0000-0000-0000622A0000}"/>
    <cellStyle name="Remarque 2 2 4 2 2 2 2 2 4" xfId="38697" xr:uid="{00000000-0005-0000-0000-0000632A0000}"/>
    <cellStyle name="Remarque 2 2 4 2 2 2 2 3" xfId="4910" xr:uid="{00000000-0005-0000-0000-0000642A0000}"/>
    <cellStyle name="Remarque 2 2 4 2 2 2 2 3 2" xfId="28924" xr:uid="{00000000-0005-0000-0000-0000652A0000}"/>
    <cellStyle name="Remarque 2 2 4 2 2 2 2 3 2 2" xfId="52884" xr:uid="{00000000-0005-0000-0000-0000662A0000}"/>
    <cellStyle name="Remarque 2 2 4 2 2 2 2 3 3" xfId="16171" xr:uid="{00000000-0005-0000-0000-0000672A0000}"/>
    <cellStyle name="Remarque 2 2 4 2 2 2 2 3 4" xfId="40131" xr:uid="{00000000-0005-0000-0000-0000682A0000}"/>
    <cellStyle name="Remarque 2 2 4 2 2 2 2 4" xfId="6304" xr:uid="{00000000-0005-0000-0000-0000692A0000}"/>
    <cellStyle name="Remarque 2 2 4 2 2 2 2 4 2" xfId="30318" xr:uid="{00000000-0005-0000-0000-00006A2A0000}"/>
    <cellStyle name="Remarque 2 2 4 2 2 2 2 4 2 2" xfId="54278" xr:uid="{00000000-0005-0000-0000-00006B2A0000}"/>
    <cellStyle name="Remarque 2 2 4 2 2 2 2 4 3" xfId="17565" xr:uid="{00000000-0005-0000-0000-00006C2A0000}"/>
    <cellStyle name="Remarque 2 2 4 2 2 2 2 4 4" xfId="41525" xr:uid="{00000000-0005-0000-0000-00006D2A0000}"/>
    <cellStyle name="Remarque 2 2 4 2 2 2 2 5" xfId="7692" xr:uid="{00000000-0005-0000-0000-00006E2A0000}"/>
    <cellStyle name="Remarque 2 2 4 2 2 2 2 5 2" xfId="31706" xr:uid="{00000000-0005-0000-0000-00006F2A0000}"/>
    <cellStyle name="Remarque 2 2 4 2 2 2 2 5 2 2" xfId="55666" xr:uid="{00000000-0005-0000-0000-0000702A0000}"/>
    <cellStyle name="Remarque 2 2 4 2 2 2 2 5 3" xfId="18953" xr:uid="{00000000-0005-0000-0000-0000712A0000}"/>
    <cellStyle name="Remarque 2 2 4 2 2 2 2 5 4" xfId="42913" xr:uid="{00000000-0005-0000-0000-0000722A0000}"/>
    <cellStyle name="Remarque 2 2 4 2 2 2 2 6" xfId="9077" xr:uid="{00000000-0005-0000-0000-0000732A0000}"/>
    <cellStyle name="Remarque 2 2 4 2 2 2 2 6 2" xfId="33091" xr:uid="{00000000-0005-0000-0000-0000742A0000}"/>
    <cellStyle name="Remarque 2 2 4 2 2 2 2 6 2 2" xfId="57051" xr:uid="{00000000-0005-0000-0000-0000752A0000}"/>
    <cellStyle name="Remarque 2 2 4 2 2 2 2 6 3" xfId="20338" xr:uid="{00000000-0005-0000-0000-0000762A0000}"/>
    <cellStyle name="Remarque 2 2 4 2 2 2 2 6 4" xfId="44298" xr:uid="{00000000-0005-0000-0000-0000772A0000}"/>
    <cellStyle name="Remarque 2 2 4 2 2 2 2 7" xfId="10534" xr:uid="{00000000-0005-0000-0000-0000782A0000}"/>
    <cellStyle name="Remarque 2 2 4 2 2 2 2 7 2" xfId="34544" xr:uid="{00000000-0005-0000-0000-0000792A0000}"/>
    <cellStyle name="Remarque 2 2 4 2 2 2 2 7 2 2" xfId="58504" xr:uid="{00000000-0005-0000-0000-00007A2A0000}"/>
    <cellStyle name="Remarque 2 2 4 2 2 2 2 7 3" xfId="21801" xr:uid="{00000000-0005-0000-0000-00007B2A0000}"/>
    <cellStyle name="Remarque 2 2 4 2 2 2 2 7 4" xfId="45761" xr:uid="{00000000-0005-0000-0000-00007C2A0000}"/>
    <cellStyle name="Remarque 2 2 4 2 2 2 2 8" xfId="12682" xr:uid="{00000000-0005-0000-0000-00007D2A0000}"/>
    <cellStyle name="Remarque 2 2 4 2 2 2 2 8 2" xfId="23987" xr:uid="{00000000-0005-0000-0000-00007E2A0000}"/>
    <cellStyle name="Remarque 2 2 4 2 2 2 2 8 3" xfId="47947" xr:uid="{00000000-0005-0000-0000-00007F2A0000}"/>
    <cellStyle name="Remarque 2 2 4 2 2 2 2 9" xfId="2006" xr:uid="{00000000-0005-0000-0000-0000802A0000}"/>
    <cellStyle name="Remarque 2 2 4 2 2 2 2 9 2" xfId="26020" xr:uid="{00000000-0005-0000-0000-0000812A0000}"/>
    <cellStyle name="Remarque 2 2 4 2 2 2 2 9 3" xfId="49980" xr:uid="{00000000-0005-0000-0000-0000822A0000}"/>
    <cellStyle name="Remarque 2 2 4 2 2 2 3" xfId="762" xr:uid="{00000000-0005-0000-0000-0000832A0000}"/>
    <cellStyle name="Remarque 2 2 4 2 2 2 3 10" xfId="24794" xr:uid="{00000000-0005-0000-0000-0000842A0000}"/>
    <cellStyle name="Remarque 2 2 4 2 2 2 3 10 2" xfId="48754" xr:uid="{00000000-0005-0000-0000-0000852A0000}"/>
    <cellStyle name="Remarque 2 2 4 2 2 2 3 11" xfId="36074" xr:uid="{00000000-0005-0000-0000-0000862A0000}"/>
    <cellStyle name="Remarque 2 2 4 2 2 2 3 11 2" xfId="60034" xr:uid="{00000000-0005-0000-0000-0000872A0000}"/>
    <cellStyle name="Remarque 2 2 4 2 2 2 3 12" xfId="13459" xr:uid="{00000000-0005-0000-0000-0000882A0000}"/>
    <cellStyle name="Remarque 2 2 4 2 2 2 3 13" xfId="37419" xr:uid="{00000000-0005-0000-0000-0000892A0000}"/>
    <cellStyle name="Remarque 2 2 4 2 2 2 3 2" xfId="3668" xr:uid="{00000000-0005-0000-0000-00008A2A0000}"/>
    <cellStyle name="Remarque 2 2 4 2 2 2 3 2 2" xfId="27682" xr:uid="{00000000-0005-0000-0000-00008B2A0000}"/>
    <cellStyle name="Remarque 2 2 4 2 2 2 3 2 2 2" xfId="51642" xr:uid="{00000000-0005-0000-0000-00008C2A0000}"/>
    <cellStyle name="Remarque 2 2 4 2 2 2 3 2 3" xfId="14929" xr:uid="{00000000-0005-0000-0000-00008D2A0000}"/>
    <cellStyle name="Remarque 2 2 4 2 2 2 3 2 4" xfId="38889" xr:uid="{00000000-0005-0000-0000-00008E2A0000}"/>
    <cellStyle name="Remarque 2 2 4 2 2 2 3 3" xfId="5102" xr:uid="{00000000-0005-0000-0000-00008F2A0000}"/>
    <cellStyle name="Remarque 2 2 4 2 2 2 3 3 2" xfId="29116" xr:uid="{00000000-0005-0000-0000-0000902A0000}"/>
    <cellStyle name="Remarque 2 2 4 2 2 2 3 3 2 2" xfId="53076" xr:uid="{00000000-0005-0000-0000-0000912A0000}"/>
    <cellStyle name="Remarque 2 2 4 2 2 2 3 3 3" xfId="16363" xr:uid="{00000000-0005-0000-0000-0000922A0000}"/>
    <cellStyle name="Remarque 2 2 4 2 2 2 3 3 4" xfId="40323" xr:uid="{00000000-0005-0000-0000-0000932A0000}"/>
    <cellStyle name="Remarque 2 2 4 2 2 2 3 4" xfId="6496" xr:uid="{00000000-0005-0000-0000-0000942A0000}"/>
    <cellStyle name="Remarque 2 2 4 2 2 2 3 4 2" xfId="30510" xr:uid="{00000000-0005-0000-0000-0000952A0000}"/>
    <cellStyle name="Remarque 2 2 4 2 2 2 3 4 2 2" xfId="54470" xr:uid="{00000000-0005-0000-0000-0000962A0000}"/>
    <cellStyle name="Remarque 2 2 4 2 2 2 3 4 3" xfId="17757" xr:uid="{00000000-0005-0000-0000-0000972A0000}"/>
    <cellStyle name="Remarque 2 2 4 2 2 2 3 4 4" xfId="41717" xr:uid="{00000000-0005-0000-0000-0000982A0000}"/>
    <cellStyle name="Remarque 2 2 4 2 2 2 3 5" xfId="7884" xr:uid="{00000000-0005-0000-0000-0000992A0000}"/>
    <cellStyle name="Remarque 2 2 4 2 2 2 3 5 2" xfId="31898" xr:uid="{00000000-0005-0000-0000-00009A2A0000}"/>
    <cellStyle name="Remarque 2 2 4 2 2 2 3 5 2 2" xfId="55858" xr:uid="{00000000-0005-0000-0000-00009B2A0000}"/>
    <cellStyle name="Remarque 2 2 4 2 2 2 3 5 3" xfId="19145" xr:uid="{00000000-0005-0000-0000-00009C2A0000}"/>
    <cellStyle name="Remarque 2 2 4 2 2 2 3 5 4" xfId="43105" xr:uid="{00000000-0005-0000-0000-00009D2A0000}"/>
    <cellStyle name="Remarque 2 2 4 2 2 2 3 6" xfId="9269" xr:uid="{00000000-0005-0000-0000-00009E2A0000}"/>
    <cellStyle name="Remarque 2 2 4 2 2 2 3 6 2" xfId="33283" xr:uid="{00000000-0005-0000-0000-00009F2A0000}"/>
    <cellStyle name="Remarque 2 2 4 2 2 2 3 6 2 2" xfId="57243" xr:uid="{00000000-0005-0000-0000-0000A02A0000}"/>
    <cellStyle name="Remarque 2 2 4 2 2 2 3 6 3" xfId="20530" xr:uid="{00000000-0005-0000-0000-0000A12A0000}"/>
    <cellStyle name="Remarque 2 2 4 2 2 2 3 6 4" xfId="44490" xr:uid="{00000000-0005-0000-0000-0000A22A0000}"/>
    <cellStyle name="Remarque 2 2 4 2 2 2 3 7" xfId="10726" xr:uid="{00000000-0005-0000-0000-0000A32A0000}"/>
    <cellStyle name="Remarque 2 2 4 2 2 2 3 7 2" xfId="34736" xr:uid="{00000000-0005-0000-0000-0000A42A0000}"/>
    <cellStyle name="Remarque 2 2 4 2 2 2 3 7 2 2" xfId="58696" xr:uid="{00000000-0005-0000-0000-0000A52A0000}"/>
    <cellStyle name="Remarque 2 2 4 2 2 2 3 7 3" xfId="21993" xr:uid="{00000000-0005-0000-0000-0000A62A0000}"/>
    <cellStyle name="Remarque 2 2 4 2 2 2 3 7 4" xfId="45953" xr:uid="{00000000-0005-0000-0000-0000A72A0000}"/>
    <cellStyle name="Remarque 2 2 4 2 2 2 3 8" xfId="12144" xr:uid="{00000000-0005-0000-0000-0000A82A0000}"/>
    <cellStyle name="Remarque 2 2 4 2 2 2 3 8 2" xfId="23427" xr:uid="{00000000-0005-0000-0000-0000A92A0000}"/>
    <cellStyle name="Remarque 2 2 4 2 2 2 3 8 3" xfId="47387" xr:uid="{00000000-0005-0000-0000-0000AA2A0000}"/>
    <cellStyle name="Remarque 2 2 4 2 2 2 3 9" xfId="2198" xr:uid="{00000000-0005-0000-0000-0000AB2A0000}"/>
    <cellStyle name="Remarque 2 2 4 2 2 2 3 9 2" xfId="26212" xr:uid="{00000000-0005-0000-0000-0000AC2A0000}"/>
    <cellStyle name="Remarque 2 2 4 2 2 2 3 9 3" xfId="50172" xr:uid="{00000000-0005-0000-0000-0000AD2A0000}"/>
    <cellStyle name="Remarque 2 2 4 2 2 2 4" xfId="956" xr:uid="{00000000-0005-0000-0000-0000AE2A0000}"/>
    <cellStyle name="Remarque 2 2 4 2 2 2 4 10" xfId="24988" xr:uid="{00000000-0005-0000-0000-0000AF2A0000}"/>
    <cellStyle name="Remarque 2 2 4 2 2 2 4 10 2" xfId="48948" xr:uid="{00000000-0005-0000-0000-0000B02A0000}"/>
    <cellStyle name="Remarque 2 2 4 2 2 2 4 11" xfId="36377" xr:uid="{00000000-0005-0000-0000-0000B12A0000}"/>
    <cellStyle name="Remarque 2 2 4 2 2 2 4 11 2" xfId="60337" xr:uid="{00000000-0005-0000-0000-0000B22A0000}"/>
    <cellStyle name="Remarque 2 2 4 2 2 2 4 12" xfId="13653" xr:uid="{00000000-0005-0000-0000-0000B32A0000}"/>
    <cellStyle name="Remarque 2 2 4 2 2 2 4 13" xfId="37613" xr:uid="{00000000-0005-0000-0000-0000B42A0000}"/>
    <cellStyle name="Remarque 2 2 4 2 2 2 4 2" xfId="3862" xr:uid="{00000000-0005-0000-0000-0000B52A0000}"/>
    <cellStyle name="Remarque 2 2 4 2 2 2 4 2 2" xfId="27876" xr:uid="{00000000-0005-0000-0000-0000B62A0000}"/>
    <cellStyle name="Remarque 2 2 4 2 2 2 4 2 2 2" xfId="51836" xr:uid="{00000000-0005-0000-0000-0000B72A0000}"/>
    <cellStyle name="Remarque 2 2 4 2 2 2 4 2 3" xfId="15123" xr:uid="{00000000-0005-0000-0000-0000B82A0000}"/>
    <cellStyle name="Remarque 2 2 4 2 2 2 4 2 4" xfId="39083" xr:uid="{00000000-0005-0000-0000-0000B92A0000}"/>
    <cellStyle name="Remarque 2 2 4 2 2 2 4 3" xfId="5296" xr:uid="{00000000-0005-0000-0000-0000BA2A0000}"/>
    <cellStyle name="Remarque 2 2 4 2 2 2 4 3 2" xfId="29310" xr:uid="{00000000-0005-0000-0000-0000BB2A0000}"/>
    <cellStyle name="Remarque 2 2 4 2 2 2 4 3 2 2" xfId="53270" xr:uid="{00000000-0005-0000-0000-0000BC2A0000}"/>
    <cellStyle name="Remarque 2 2 4 2 2 2 4 3 3" xfId="16557" xr:uid="{00000000-0005-0000-0000-0000BD2A0000}"/>
    <cellStyle name="Remarque 2 2 4 2 2 2 4 3 4" xfId="40517" xr:uid="{00000000-0005-0000-0000-0000BE2A0000}"/>
    <cellStyle name="Remarque 2 2 4 2 2 2 4 4" xfId="6690" xr:uid="{00000000-0005-0000-0000-0000BF2A0000}"/>
    <cellStyle name="Remarque 2 2 4 2 2 2 4 4 2" xfId="30704" xr:uid="{00000000-0005-0000-0000-0000C02A0000}"/>
    <cellStyle name="Remarque 2 2 4 2 2 2 4 4 2 2" xfId="54664" xr:uid="{00000000-0005-0000-0000-0000C12A0000}"/>
    <cellStyle name="Remarque 2 2 4 2 2 2 4 4 3" xfId="17951" xr:uid="{00000000-0005-0000-0000-0000C22A0000}"/>
    <cellStyle name="Remarque 2 2 4 2 2 2 4 4 4" xfId="41911" xr:uid="{00000000-0005-0000-0000-0000C32A0000}"/>
    <cellStyle name="Remarque 2 2 4 2 2 2 4 5" xfId="8078" xr:uid="{00000000-0005-0000-0000-0000C42A0000}"/>
    <cellStyle name="Remarque 2 2 4 2 2 2 4 5 2" xfId="32092" xr:uid="{00000000-0005-0000-0000-0000C52A0000}"/>
    <cellStyle name="Remarque 2 2 4 2 2 2 4 5 2 2" xfId="56052" xr:uid="{00000000-0005-0000-0000-0000C62A0000}"/>
    <cellStyle name="Remarque 2 2 4 2 2 2 4 5 3" xfId="19339" xr:uid="{00000000-0005-0000-0000-0000C72A0000}"/>
    <cellStyle name="Remarque 2 2 4 2 2 2 4 5 4" xfId="43299" xr:uid="{00000000-0005-0000-0000-0000C82A0000}"/>
    <cellStyle name="Remarque 2 2 4 2 2 2 4 6" xfId="9463" xr:uid="{00000000-0005-0000-0000-0000C92A0000}"/>
    <cellStyle name="Remarque 2 2 4 2 2 2 4 6 2" xfId="33477" xr:uid="{00000000-0005-0000-0000-0000CA2A0000}"/>
    <cellStyle name="Remarque 2 2 4 2 2 2 4 6 2 2" xfId="57437" xr:uid="{00000000-0005-0000-0000-0000CB2A0000}"/>
    <cellStyle name="Remarque 2 2 4 2 2 2 4 6 3" xfId="20724" xr:uid="{00000000-0005-0000-0000-0000CC2A0000}"/>
    <cellStyle name="Remarque 2 2 4 2 2 2 4 6 4" xfId="44684" xr:uid="{00000000-0005-0000-0000-0000CD2A0000}"/>
    <cellStyle name="Remarque 2 2 4 2 2 2 4 7" xfId="10920" xr:uid="{00000000-0005-0000-0000-0000CE2A0000}"/>
    <cellStyle name="Remarque 2 2 4 2 2 2 4 7 2" xfId="34930" xr:uid="{00000000-0005-0000-0000-0000CF2A0000}"/>
    <cellStyle name="Remarque 2 2 4 2 2 2 4 7 2 2" xfId="58890" xr:uid="{00000000-0005-0000-0000-0000D02A0000}"/>
    <cellStyle name="Remarque 2 2 4 2 2 2 4 7 3" xfId="22187" xr:uid="{00000000-0005-0000-0000-0000D12A0000}"/>
    <cellStyle name="Remarque 2 2 4 2 2 2 4 7 4" xfId="46147" xr:uid="{00000000-0005-0000-0000-0000D22A0000}"/>
    <cellStyle name="Remarque 2 2 4 2 2 2 4 8" xfId="12067" xr:uid="{00000000-0005-0000-0000-0000D32A0000}"/>
    <cellStyle name="Remarque 2 2 4 2 2 2 4 8 2" xfId="23348" xr:uid="{00000000-0005-0000-0000-0000D42A0000}"/>
    <cellStyle name="Remarque 2 2 4 2 2 2 4 8 3" xfId="47308" xr:uid="{00000000-0005-0000-0000-0000D52A0000}"/>
    <cellStyle name="Remarque 2 2 4 2 2 2 4 9" xfId="2392" xr:uid="{00000000-0005-0000-0000-0000D62A0000}"/>
    <cellStyle name="Remarque 2 2 4 2 2 2 4 9 2" xfId="26406" xr:uid="{00000000-0005-0000-0000-0000D72A0000}"/>
    <cellStyle name="Remarque 2 2 4 2 2 2 4 9 3" xfId="50366" xr:uid="{00000000-0005-0000-0000-0000D82A0000}"/>
    <cellStyle name="Remarque 2 2 4 2 2 2 5" xfId="1149" xr:uid="{00000000-0005-0000-0000-0000D92A0000}"/>
    <cellStyle name="Remarque 2 2 4 2 2 2 5 10" xfId="25181" xr:uid="{00000000-0005-0000-0000-0000DA2A0000}"/>
    <cellStyle name="Remarque 2 2 4 2 2 2 5 10 2" xfId="49141" xr:uid="{00000000-0005-0000-0000-0000DB2A0000}"/>
    <cellStyle name="Remarque 2 2 4 2 2 2 5 11" xfId="36284" xr:uid="{00000000-0005-0000-0000-0000DC2A0000}"/>
    <cellStyle name="Remarque 2 2 4 2 2 2 5 11 2" xfId="60244" xr:uid="{00000000-0005-0000-0000-0000DD2A0000}"/>
    <cellStyle name="Remarque 2 2 4 2 2 2 5 12" xfId="13846" xr:uid="{00000000-0005-0000-0000-0000DE2A0000}"/>
    <cellStyle name="Remarque 2 2 4 2 2 2 5 13" xfId="37806" xr:uid="{00000000-0005-0000-0000-0000DF2A0000}"/>
    <cellStyle name="Remarque 2 2 4 2 2 2 5 2" xfId="4055" xr:uid="{00000000-0005-0000-0000-0000E02A0000}"/>
    <cellStyle name="Remarque 2 2 4 2 2 2 5 2 2" xfId="28069" xr:uid="{00000000-0005-0000-0000-0000E12A0000}"/>
    <cellStyle name="Remarque 2 2 4 2 2 2 5 2 2 2" xfId="52029" xr:uid="{00000000-0005-0000-0000-0000E22A0000}"/>
    <cellStyle name="Remarque 2 2 4 2 2 2 5 2 3" xfId="15316" xr:uid="{00000000-0005-0000-0000-0000E32A0000}"/>
    <cellStyle name="Remarque 2 2 4 2 2 2 5 2 4" xfId="39276" xr:uid="{00000000-0005-0000-0000-0000E42A0000}"/>
    <cellStyle name="Remarque 2 2 4 2 2 2 5 3" xfId="5489" xr:uid="{00000000-0005-0000-0000-0000E52A0000}"/>
    <cellStyle name="Remarque 2 2 4 2 2 2 5 3 2" xfId="29503" xr:uid="{00000000-0005-0000-0000-0000E62A0000}"/>
    <cellStyle name="Remarque 2 2 4 2 2 2 5 3 2 2" xfId="53463" xr:uid="{00000000-0005-0000-0000-0000E72A0000}"/>
    <cellStyle name="Remarque 2 2 4 2 2 2 5 3 3" xfId="16750" xr:uid="{00000000-0005-0000-0000-0000E82A0000}"/>
    <cellStyle name="Remarque 2 2 4 2 2 2 5 3 4" xfId="40710" xr:uid="{00000000-0005-0000-0000-0000E92A0000}"/>
    <cellStyle name="Remarque 2 2 4 2 2 2 5 4" xfId="6883" xr:uid="{00000000-0005-0000-0000-0000EA2A0000}"/>
    <cellStyle name="Remarque 2 2 4 2 2 2 5 4 2" xfId="30897" xr:uid="{00000000-0005-0000-0000-0000EB2A0000}"/>
    <cellStyle name="Remarque 2 2 4 2 2 2 5 4 2 2" xfId="54857" xr:uid="{00000000-0005-0000-0000-0000EC2A0000}"/>
    <cellStyle name="Remarque 2 2 4 2 2 2 5 4 3" xfId="18144" xr:uid="{00000000-0005-0000-0000-0000ED2A0000}"/>
    <cellStyle name="Remarque 2 2 4 2 2 2 5 4 4" xfId="42104" xr:uid="{00000000-0005-0000-0000-0000EE2A0000}"/>
    <cellStyle name="Remarque 2 2 4 2 2 2 5 5" xfId="8271" xr:uid="{00000000-0005-0000-0000-0000EF2A0000}"/>
    <cellStyle name="Remarque 2 2 4 2 2 2 5 5 2" xfId="32285" xr:uid="{00000000-0005-0000-0000-0000F02A0000}"/>
    <cellStyle name="Remarque 2 2 4 2 2 2 5 5 2 2" xfId="56245" xr:uid="{00000000-0005-0000-0000-0000F12A0000}"/>
    <cellStyle name="Remarque 2 2 4 2 2 2 5 5 3" xfId="19532" xr:uid="{00000000-0005-0000-0000-0000F22A0000}"/>
    <cellStyle name="Remarque 2 2 4 2 2 2 5 5 4" xfId="43492" xr:uid="{00000000-0005-0000-0000-0000F32A0000}"/>
    <cellStyle name="Remarque 2 2 4 2 2 2 5 6" xfId="9656" xr:uid="{00000000-0005-0000-0000-0000F42A0000}"/>
    <cellStyle name="Remarque 2 2 4 2 2 2 5 6 2" xfId="33670" xr:uid="{00000000-0005-0000-0000-0000F52A0000}"/>
    <cellStyle name="Remarque 2 2 4 2 2 2 5 6 2 2" xfId="57630" xr:uid="{00000000-0005-0000-0000-0000F62A0000}"/>
    <cellStyle name="Remarque 2 2 4 2 2 2 5 6 3" xfId="20917" xr:uid="{00000000-0005-0000-0000-0000F72A0000}"/>
    <cellStyle name="Remarque 2 2 4 2 2 2 5 6 4" xfId="44877" xr:uid="{00000000-0005-0000-0000-0000F82A0000}"/>
    <cellStyle name="Remarque 2 2 4 2 2 2 5 7" xfId="11113" xr:uid="{00000000-0005-0000-0000-0000F92A0000}"/>
    <cellStyle name="Remarque 2 2 4 2 2 2 5 7 2" xfId="35123" xr:uid="{00000000-0005-0000-0000-0000FA2A0000}"/>
    <cellStyle name="Remarque 2 2 4 2 2 2 5 7 2 2" xfId="59083" xr:uid="{00000000-0005-0000-0000-0000FB2A0000}"/>
    <cellStyle name="Remarque 2 2 4 2 2 2 5 7 3" xfId="22380" xr:uid="{00000000-0005-0000-0000-0000FC2A0000}"/>
    <cellStyle name="Remarque 2 2 4 2 2 2 5 7 4" xfId="46340" xr:uid="{00000000-0005-0000-0000-0000FD2A0000}"/>
    <cellStyle name="Remarque 2 2 4 2 2 2 5 8" xfId="12654" xr:uid="{00000000-0005-0000-0000-0000FE2A0000}"/>
    <cellStyle name="Remarque 2 2 4 2 2 2 5 8 2" xfId="23959" xr:uid="{00000000-0005-0000-0000-0000FF2A0000}"/>
    <cellStyle name="Remarque 2 2 4 2 2 2 5 8 3" xfId="47919" xr:uid="{00000000-0005-0000-0000-0000002B0000}"/>
    <cellStyle name="Remarque 2 2 4 2 2 2 5 9" xfId="2585" xr:uid="{00000000-0005-0000-0000-0000012B0000}"/>
    <cellStyle name="Remarque 2 2 4 2 2 2 5 9 2" xfId="26599" xr:uid="{00000000-0005-0000-0000-0000022B0000}"/>
    <cellStyle name="Remarque 2 2 4 2 2 2 5 9 3" xfId="50559" xr:uid="{00000000-0005-0000-0000-0000032B0000}"/>
    <cellStyle name="Remarque 2 2 4 2 2 2 6" xfId="1316" xr:uid="{00000000-0005-0000-0000-0000042B0000}"/>
    <cellStyle name="Remarque 2 2 4 2 2 2 6 10" xfId="25348" xr:uid="{00000000-0005-0000-0000-0000052B0000}"/>
    <cellStyle name="Remarque 2 2 4 2 2 2 6 10 2" xfId="49308" xr:uid="{00000000-0005-0000-0000-0000062B0000}"/>
    <cellStyle name="Remarque 2 2 4 2 2 2 6 11" xfId="36424" xr:uid="{00000000-0005-0000-0000-0000072B0000}"/>
    <cellStyle name="Remarque 2 2 4 2 2 2 6 11 2" xfId="60384" xr:uid="{00000000-0005-0000-0000-0000082B0000}"/>
    <cellStyle name="Remarque 2 2 4 2 2 2 6 12" xfId="14013" xr:uid="{00000000-0005-0000-0000-0000092B0000}"/>
    <cellStyle name="Remarque 2 2 4 2 2 2 6 13" xfId="37973" xr:uid="{00000000-0005-0000-0000-00000A2B0000}"/>
    <cellStyle name="Remarque 2 2 4 2 2 2 6 2" xfId="4222" xr:uid="{00000000-0005-0000-0000-00000B2B0000}"/>
    <cellStyle name="Remarque 2 2 4 2 2 2 6 2 2" xfId="28236" xr:uid="{00000000-0005-0000-0000-00000C2B0000}"/>
    <cellStyle name="Remarque 2 2 4 2 2 2 6 2 2 2" xfId="52196" xr:uid="{00000000-0005-0000-0000-00000D2B0000}"/>
    <cellStyle name="Remarque 2 2 4 2 2 2 6 2 3" xfId="15483" xr:uid="{00000000-0005-0000-0000-00000E2B0000}"/>
    <cellStyle name="Remarque 2 2 4 2 2 2 6 2 4" xfId="39443" xr:uid="{00000000-0005-0000-0000-00000F2B0000}"/>
    <cellStyle name="Remarque 2 2 4 2 2 2 6 3" xfId="5656" xr:uid="{00000000-0005-0000-0000-0000102B0000}"/>
    <cellStyle name="Remarque 2 2 4 2 2 2 6 3 2" xfId="29670" xr:uid="{00000000-0005-0000-0000-0000112B0000}"/>
    <cellStyle name="Remarque 2 2 4 2 2 2 6 3 2 2" xfId="53630" xr:uid="{00000000-0005-0000-0000-0000122B0000}"/>
    <cellStyle name="Remarque 2 2 4 2 2 2 6 3 3" xfId="16917" xr:uid="{00000000-0005-0000-0000-0000132B0000}"/>
    <cellStyle name="Remarque 2 2 4 2 2 2 6 3 4" xfId="40877" xr:uid="{00000000-0005-0000-0000-0000142B0000}"/>
    <cellStyle name="Remarque 2 2 4 2 2 2 6 4" xfId="7050" xr:uid="{00000000-0005-0000-0000-0000152B0000}"/>
    <cellStyle name="Remarque 2 2 4 2 2 2 6 4 2" xfId="31064" xr:uid="{00000000-0005-0000-0000-0000162B0000}"/>
    <cellStyle name="Remarque 2 2 4 2 2 2 6 4 2 2" xfId="55024" xr:uid="{00000000-0005-0000-0000-0000172B0000}"/>
    <cellStyle name="Remarque 2 2 4 2 2 2 6 4 3" xfId="18311" xr:uid="{00000000-0005-0000-0000-0000182B0000}"/>
    <cellStyle name="Remarque 2 2 4 2 2 2 6 4 4" xfId="42271" xr:uid="{00000000-0005-0000-0000-0000192B0000}"/>
    <cellStyle name="Remarque 2 2 4 2 2 2 6 5" xfId="8438" xr:uid="{00000000-0005-0000-0000-00001A2B0000}"/>
    <cellStyle name="Remarque 2 2 4 2 2 2 6 5 2" xfId="32452" xr:uid="{00000000-0005-0000-0000-00001B2B0000}"/>
    <cellStyle name="Remarque 2 2 4 2 2 2 6 5 2 2" xfId="56412" xr:uid="{00000000-0005-0000-0000-00001C2B0000}"/>
    <cellStyle name="Remarque 2 2 4 2 2 2 6 5 3" xfId="19699" xr:uid="{00000000-0005-0000-0000-00001D2B0000}"/>
    <cellStyle name="Remarque 2 2 4 2 2 2 6 5 4" xfId="43659" xr:uid="{00000000-0005-0000-0000-00001E2B0000}"/>
    <cellStyle name="Remarque 2 2 4 2 2 2 6 6" xfId="9823" xr:uid="{00000000-0005-0000-0000-00001F2B0000}"/>
    <cellStyle name="Remarque 2 2 4 2 2 2 6 6 2" xfId="33837" xr:uid="{00000000-0005-0000-0000-0000202B0000}"/>
    <cellStyle name="Remarque 2 2 4 2 2 2 6 6 2 2" xfId="57797" xr:uid="{00000000-0005-0000-0000-0000212B0000}"/>
    <cellStyle name="Remarque 2 2 4 2 2 2 6 6 3" xfId="21084" xr:uid="{00000000-0005-0000-0000-0000222B0000}"/>
    <cellStyle name="Remarque 2 2 4 2 2 2 6 6 4" xfId="45044" xr:uid="{00000000-0005-0000-0000-0000232B0000}"/>
    <cellStyle name="Remarque 2 2 4 2 2 2 6 7" xfId="11280" xr:uid="{00000000-0005-0000-0000-0000242B0000}"/>
    <cellStyle name="Remarque 2 2 4 2 2 2 6 7 2" xfId="35290" xr:uid="{00000000-0005-0000-0000-0000252B0000}"/>
    <cellStyle name="Remarque 2 2 4 2 2 2 6 7 2 2" xfId="59250" xr:uid="{00000000-0005-0000-0000-0000262B0000}"/>
    <cellStyle name="Remarque 2 2 4 2 2 2 6 7 3" xfId="22547" xr:uid="{00000000-0005-0000-0000-0000272B0000}"/>
    <cellStyle name="Remarque 2 2 4 2 2 2 6 7 4" xfId="46507" xr:uid="{00000000-0005-0000-0000-0000282B0000}"/>
    <cellStyle name="Remarque 2 2 4 2 2 2 6 8" xfId="12632" xr:uid="{00000000-0005-0000-0000-0000292B0000}"/>
    <cellStyle name="Remarque 2 2 4 2 2 2 6 8 2" xfId="23936" xr:uid="{00000000-0005-0000-0000-00002A2B0000}"/>
    <cellStyle name="Remarque 2 2 4 2 2 2 6 8 3" xfId="47896" xr:uid="{00000000-0005-0000-0000-00002B2B0000}"/>
    <cellStyle name="Remarque 2 2 4 2 2 2 6 9" xfId="2752" xr:uid="{00000000-0005-0000-0000-00002C2B0000}"/>
    <cellStyle name="Remarque 2 2 4 2 2 2 6 9 2" xfId="26766" xr:uid="{00000000-0005-0000-0000-00002D2B0000}"/>
    <cellStyle name="Remarque 2 2 4 2 2 2 6 9 3" xfId="50726" xr:uid="{00000000-0005-0000-0000-00002E2B0000}"/>
    <cellStyle name="Remarque 2 2 4 2 2 2 7" xfId="1485" xr:uid="{00000000-0005-0000-0000-00002F2B0000}"/>
    <cellStyle name="Remarque 2 2 4 2 2 2 7 10" xfId="25517" xr:uid="{00000000-0005-0000-0000-0000302B0000}"/>
    <cellStyle name="Remarque 2 2 4 2 2 2 7 10 2" xfId="49477" xr:uid="{00000000-0005-0000-0000-0000312B0000}"/>
    <cellStyle name="Remarque 2 2 4 2 2 2 7 11" xfId="35720" xr:uid="{00000000-0005-0000-0000-0000322B0000}"/>
    <cellStyle name="Remarque 2 2 4 2 2 2 7 11 2" xfId="59680" xr:uid="{00000000-0005-0000-0000-0000332B0000}"/>
    <cellStyle name="Remarque 2 2 4 2 2 2 7 12" xfId="14182" xr:uid="{00000000-0005-0000-0000-0000342B0000}"/>
    <cellStyle name="Remarque 2 2 4 2 2 2 7 13" xfId="38142" xr:uid="{00000000-0005-0000-0000-0000352B0000}"/>
    <cellStyle name="Remarque 2 2 4 2 2 2 7 2" xfId="4391" xr:uid="{00000000-0005-0000-0000-0000362B0000}"/>
    <cellStyle name="Remarque 2 2 4 2 2 2 7 2 2" xfId="28405" xr:uid="{00000000-0005-0000-0000-0000372B0000}"/>
    <cellStyle name="Remarque 2 2 4 2 2 2 7 2 2 2" xfId="52365" xr:uid="{00000000-0005-0000-0000-0000382B0000}"/>
    <cellStyle name="Remarque 2 2 4 2 2 2 7 2 3" xfId="15652" xr:uid="{00000000-0005-0000-0000-0000392B0000}"/>
    <cellStyle name="Remarque 2 2 4 2 2 2 7 2 4" xfId="39612" xr:uid="{00000000-0005-0000-0000-00003A2B0000}"/>
    <cellStyle name="Remarque 2 2 4 2 2 2 7 3" xfId="5825" xr:uid="{00000000-0005-0000-0000-00003B2B0000}"/>
    <cellStyle name="Remarque 2 2 4 2 2 2 7 3 2" xfId="29839" xr:uid="{00000000-0005-0000-0000-00003C2B0000}"/>
    <cellStyle name="Remarque 2 2 4 2 2 2 7 3 2 2" xfId="53799" xr:uid="{00000000-0005-0000-0000-00003D2B0000}"/>
    <cellStyle name="Remarque 2 2 4 2 2 2 7 3 3" xfId="17086" xr:uid="{00000000-0005-0000-0000-00003E2B0000}"/>
    <cellStyle name="Remarque 2 2 4 2 2 2 7 3 4" xfId="41046" xr:uid="{00000000-0005-0000-0000-00003F2B0000}"/>
    <cellStyle name="Remarque 2 2 4 2 2 2 7 4" xfId="7219" xr:uid="{00000000-0005-0000-0000-0000402B0000}"/>
    <cellStyle name="Remarque 2 2 4 2 2 2 7 4 2" xfId="31233" xr:uid="{00000000-0005-0000-0000-0000412B0000}"/>
    <cellStyle name="Remarque 2 2 4 2 2 2 7 4 2 2" xfId="55193" xr:uid="{00000000-0005-0000-0000-0000422B0000}"/>
    <cellStyle name="Remarque 2 2 4 2 2 2 7 4 3" xfId="18480" xr:uid="{00000000-0005-0000-0000-0000432B0000}"/>
    <cellStyle name="Remarque 2 2 4 2 2 2 7 4 4" xfId="42440" xr:uid="{00000000-0005-0000-0000-0000442B0000}"/>
    <cellStyle name="Remarque 2 2 4 2 2 2 7 5" xfId="8607" xr:uid="{00000000-0005-0000-0000-0000452B0000}"/>
    <cellStyle name="Remarque 2 2 4 2 2 2 7 5 2" xfId="32621" xr:uid="{00000000-0005-0000-0000-0000462B0000}"/>
    <cellStyle name="Remarque 2 2 4 2 2 2 7 5 2 2" xfId="56581" xr:uid="{00000000-0005-0000-0000-0000472B0000}"/>
    <cellStyle name="Remarque 2 2 4 2 2 2 7 5 3" xfId="19868" xr:uid="{00000000-0005-0000-0000-0000482B0000}"/>
    <cellStyle name="Remarque 2 2 4 2 2 2 7 5 4" xfId="43828" xr:uid="{00000000-0005-0000-0000-0000492B0000}"/>
    <cellStyle name="Remarque 2 2 4 2 2 2 7 6" xfId="9992" xr:uid="{00000000-0005-0000-0000-00004A2B0000}"/>
    <cellStyle name="Remarque 2 2 4 2 2 2 7 6 2" xfId="34006" xr:uid="{00000000-0005-0000-0000-00004B2B0000}"/>
    <cellStyle name="Remarque 2 2 4 2 2 2 7 6 2 2" xfId="57966" xr:uid="{00000000-0005-0000-0000-00004C2B0000}"/>
    <cellStyle name="Remarque 2 2 4 2 2 2 7 6 3" xfId="21253" xr:uid="{00000000-0005-0000-0000-00004D2B0000}"/>
    <cellStyle name="Remarque 2 2 4 2 2 2 7 6 4" xfId="45213" xr:uid="{00000000-0005-0000-0000-00004E2B0000}"/>
    <cellStyle name="Remarque 2 2 4 2 2 2 7 7" xfId="11449" xr:uid="{00000000-0005-0000-0000-00004F2B0000}"/>
    <cellStyle name="Remarque 2 2 4 2 2 2 7 7 2" xfId="35459" xr:uid="{00000000-0005-0000-0000-0000502B0000}"/>
    <cellStyle name="Remarque 2 2 4 2 2 2 7 7 2 2" xfId="59419" xr:uid="{00000000-0005-0000-0000-0000512B0000}"/>
    <cellStyle name="Remarque 2 2 4 2 2 2 7 7 3" xfId="22716" xr:uid="{00000000-0005-0000-0000-0000522B0000}"/>
    <cellStyle name="Remarque 2 2 4 2 2 2 7 7 4" xfId="46676" xr:uid="{00000000-0005-0000-0000-0000532B0000}"/>
    <cellStyle name="Remarque 2 2 4 2 2 2 7 8" xfId="12625" xr:uid="{00000000-0005-0000-0000-0000542B0000}"/>
    <cellStyle name="Remarque 2 2 4 2 2 2 7 8 2" xfId="23928" xr:uid="{00000000-0005-0000-0000-0000552B0000}"/>
    <cellStyle name="Remarque 2 2 4 2 2 2 7 8 3" xfId="47888" xr:uid="{00000000-0005-0000-0000-0000562B0000}"/>
    <cellStyle name="Remarque 2 2 4 2 2 2 7 9" xfId="2921" xr:uid="{00000000-0005-0000-0000-0000572B0000}"/>
    <cellStyle name="Remarque 2 2 4 2 2 2 7 9 2" xfId="26935" xr:uid="{00000000-0005-0000-0000-0000582B0000}"/>
    <cellStyle name="Remarque 2 2 4 2 2 2 7 9 3" xfId="50895" xr:uid="{00000000-0005-0000-0000-0000592B0000}"/>
    <cellStyle name="Remarque 2 2 4 2 2 2 8" xfId="3340" xr:uid="{00000000-0005-0000-0000-00005A2B0000}"/>
    <cellStyle name="Remarque 2 2 4 2 2 2 8 2" xfId="27354" xr:uid="{00000000-0005-0000-0000-00005B2B0000}"/>
    <cellStyle name="Remarque 2 2 4 2 2 2 8 2 2" xfId="51314" xr:uid="{00000000-0005-0000-0000-00005C2B0000}"/>
    <cellStyle name="Remarque 2 2 4 2 2 2 8 3" xfId="14601" xr:uid="{00000000-0005-0000-0000-00005D2B0000}"/>
    <cellStyle name="Remarque 2 2 4 2 2 2 8 4" xfId="38561" xr:uid="{00000000-0005-0000-0000-00005E2B0000}"/>
    <cellStyle name="Remarque 2 2 4 2 2 2 9" xfId="4774" xr:uid="{00000000-0005-0000-0000-00005F2B0000}"/>
    <cellStyle name="Remarque 2 2 4 2 2 2 9 2" xfId="28788" xr:uid="{00000000-0005-0000-0000-0000602B0000}"/>
    <cellStyle name="Remarque 2 2 4 2 2 2 9 2 2" xfId="52748" xr:uid="{00000000-0005-0000-0000-0000612B0000}"/>
    <cellStyle name="Remarque 2 2 4 2 2 2 9 3" xfId="16035" xr:uid="{00000000-0005-0000-0000-0000622B0000}"/>
    <cellStyle name="Remarque 2 2 4 2 2 2 9 4" xfId="39995" xr:uid="{00000000-0005-0000-0000-0000632B0000}"/>
    <cellStyle name="Remarque 2 2 4 2 2 20" xfId="12956" xr:uid="{00000000-0005-0000-0000-0000642B0000}"/>
    <cellStyle name="Remarque 2 2 4 2 2 21" xfId="36916" xr:uid="{00000000-0005-0000-0000-0000652B0000}"/>
    <cellStyle name="Remarque 2 2 4 2 2 22" xfId="259" xr:uid="{00000000-0005-0000-0000-0000662B0000}"/>
    <cellStyle name="Remarque 2 2 4 2 2 3" xfId="358" xr:uid="{00000000-0005-0000-0000-0000672B0000}"/>
    <cellStyle name="Remarque 2 2 4 2 2 3 10" xfId="24390" xr:uid="{00000000-0005-0000-0000-0000682B0000}"/>
    <cellStyle name="Remarque 2 2 4 2 2 3 10 2" xfId="48350" xr:uid="{00000000-0005-0000-0000-0000692B0000}"/>
    <cellStyle name="Remarque 2 2 4 2 2 3 11" xfId="36157" xr:uid="{00000000-0005-0000-0000-00006A2B0000}"/>
    <cellStyle name="Remarque 2 2 4 2 2 3 11 2" xfId="60117" xr:uid="{00000000-0005-0000-0000-00006B2B0000}"/>
    <cellStyle name="Remarque 2 2 4 2 2 3 12" xfId="13055" xr:uid="{00000000-0005-0000-0000-00006C2B0000}"/>
    <cellStyle name="Remarque 2 2 4 2 2 3 13" xfId="37015" xr:uid="{00000000-0005-0000-0000-00006D2B0000}"/>
    <cellStyle name="Remarque 2 2 4 2 2 3 2" xfId="3264" xr:uid="{00000000-0005-0000-0000-00006E2B0000}"/>
    <cellStyle name="Remarque 2 2 4 2 2 3 2 2" xfId="27278" xr:uid="{00000000-0005-0000-0000-00006F2B0000}"/>
    <cellStyle name="Remarque 2 2 4 2 2 3 2 2 2" xfId="51238" xr:uid="{00000000-0005-0000-0000-0000702B0000}"/>
    <cellStyle name="Remarque 2 2 4 2 2 3 2 3" xfId="14525" xr:uid="{00000000-0005-0000-0000-0000712B0000}"/>
    <cellStyle name="Remarque 2 2 4 2 2 3 2 4" xfId="38485" xr:uid="{00000000-0005-0000-0000-0000722B0000}"/>
    <cellStyle name="Remarque 2 2 4 2 2 3 3" xfId="4698" xr:uid="{00000000-0005-0000-0000-0000732B0000}"/>
    <cellStyle name="Remarque 2 2 4 2 2 3 3 2" xfId="28712" xr:uid="{00000000-0005-0000-0000-0000742B0000}"/>
    <cellStyle name="Remarque 2 2 4 2 2 3 3 2 2" xfId="52672" xr:uid="{00000000-0005-0000-0000-0000752B0000}"/>
    <cellStyle name="Remarque 2 2 4 2 2 3 3 3" xfId="15959" xr:uid="{00000000-0005-0000-0000-0000762B0000}"/>
    <cellStyle name="Remarque 2 2 4 2 2 3 3 4" xfId="39919" xr:uid="{00000000-0005-0000-0000-0000772B0000}"/>
    <cellStyle name="Remarque 2 2 4 2 2 3 4" xfId="6092" xr:uid="{00000000-0005-0000-0000-0000782B0000}"/>
    <cellStyle name="Remarque 2 2 4 2 2 3 4 2" xfId="30106" xr:uid="{00000000-0005-0000-0000-0000792B0000}"/>
    <cellStyle name="Remarque 2 2 4 2 2 3 4 2 2" xfId="54066" xr:uid="{00000000-0005-0000-0000-00007A2B0000}"/>
    <cellStyle name="Remarque 2 2 4 2 2 3 4 3" xfId="17353" xr:uid="{00000000-0005-0000-0000-00007B2B0000}"/>
    <cellStyle name="Remarque 2 2 4 2 2 3 4 4" xfId="41313" xr:uid="{00000000-0005-0000-0000-00007C2B0000}"/>
    <cellStyle name="Remarque 2 2 4 2 2 3 5" xfId="7480" xr:uid="{00000000-0005-0000-0000-00007D2B0000}"/>
    <cellStyle name="Remarque 2 2 4 2 2 3 5 2" xfId="31494" xr:uid="{00000000-0005-0000-0000-00007E2B0000}"/>
    <cellStyle name="Remarque 2 2 4 2 2 3 5 2 2" xfId="55454" xr:uid="{00000000-0005-0000-0000-00007F2B0000}"/>
    <cellStyle name="Remarque 2 2 4 2 2 3 5 3" xfId="18741" xr:uid="{00000000-0005-0000-0000-0000802B0000}"/>
    <cellStyle name="Remarque 2 2 4 2 2 3 5 4" xfId="42701" xr:uid="{00000000-0005-0000-0000-0000812B0000}"/>
    <cellStyle name="Remarque 2 2 4 2 2 3 6" xfId="8865" xr:uid="{00000000-0005-0000-0000-0000822B0000}"/>
    <cellStyle name="Remarque 2 2 4 2 2 3 6 2" xfId="32879" xr:uid="{00000000-0005-0000-0000-0000832B0000}"/>
    <cellStyle name="Remarque 2 2 4 2 2 3 6 2 2" xfId="56839" xr:uid="{00000000-0005-0000-0000-0000842B0000}"/>
    <cellStyle name="Remarque 2 2 4 2 2 3 6 3" xfId="20126" xr:uid="{00000000-0005-0000-0000-0000852B0000}"/>
    <cellStyle name="Remarque 2 2 4 2 2 3 6 4" xfId="44086" xr:uid="{00000000-0005-0000-0000-0000862B0000}"/>
    <cellStyle name="Remarque 2 2 4 2 2 3 7" xfId="10322" xr:uid="{00000000-0005-0000-0000-0000872B0000}"/>
    <cellStyle name="Remarque 2 2 4 2 2 3 7 2" xfId="34332" xr:uid="{00000000-0005-0000-0000-0000882B0000}"/>
    <cellStyle name="Remarque 2 2 4 2 2 3 7 2 2" xfId="58292" xr:uid="{00000000-0005-0000-0000-0000892B0000}"/>
    <cellStyle name="Remarque 2 2 4 2 2 3 7 3" xfId="21589" xr:uid="{00000000-0005-0000-0000-00008A2B0000}"/>
    <cellStyle name="Remarque 2 2 4 2 2 3 7 4" xfId="45549" xr:uid="{00000000-0005-0000-0000-00008B2B0000}"/>
    <cellStyle name="Remarque 2 2 4 2 2 3 8" xfId="12093" xr:uid="{00000000-0005-0000-0000-00008C2B0000}"/>
    <cellStyle name="Remarque 2 2 4 2 2 3 8 2" xfId="23376" xr:uid="{00000000-0005-0000-0000-00008D2B0000}"/>
    <cellStyle name="Remarque 2 2 4 2 2 3 8 3" xfId="47336" xr:uid="{00000000-0005-0000-0000-00008E2B0000}"/>
    <cellStyle name="Remarque 2 2 4 2 2 3 9" xfId="1794" xr:uid="{00000000-0005-0000-0000-00008F2B0000}"/>
    <cellStyle name="Remarque 2 2 4 2 2 3 9 2" xfId="25808" xr:uid="{00000000-0005-0000-0000-0000902B0000}"/>
    <cellStyle name="Remarque 2 2 4 2 2 3 9 3" xfId="49768" xr:uid="{00000000-0005-0000-0000-0000912B0000}"/>
    <cellStyle name="Remarque 2 2 4 2 2 4" xfId="494" xr:uid="{00000000-0005-0000-0000-0000922B0000}"/>
    <cellStyle name="Remarque 2 2 4 2 2 4 10" xfId="24526" xr:uid="{00000000-0005-0000-0000-0000932B0000}"/>
    <cellStyle name="Remarque 2 2 4 2 2 4 10 2" xfId="48486" xr:uid="{00000000-0005-0000-0000-0000942B0000}"/>
    <cellStyle name="Remarque 2 2 4 2 2 4 11" xfId="36022" xr:uid="{00000000-0005-0000-0000-0000952B0000}"/>
    <cellStyle name="Remarque 2 2 4 2 2 4 11 2" xfId="59982" xr:uid="{00000000-0005-0000-0000-0000962B0000}"/>
    <cellStyle name="Remarque 2 2 4 2 2 4 12" xfId="13191" xr:uid="{00000000-0005-0000-0000-0000972B0000}"/>
    <cellStyle name="Remarque 2 2 4 2 2 4 13" xfId="37151" xr:uid="{00000000-0005-0000-0000-0000982B0000}"/>
    <cellStyle name="Remarque 2 2 4 2 2 4 2" xfId="3400" xr:uid="{00000000-0005-0000-0000-0000992B0000}"/>
    <cellStyle name="Remarque 2 2 4 2 2 4 2 2" xfId="27414" xr:uid="{00000000-0005-0000-0000-00009A2B0000}"/>
    <cellStyle name="Remarque 2 2 4 2 2 4 2 2 2" xfId="51374" xr:uid="{00000000-0005-0000-0000-00009B2B0000}"/>
    <cellStyle name="Remarque 2 2 4 2 2 4 2 3" xfId="14661" xr:uid="{00000000-0005-0000-0000-00009C2B0000}"/>
    <cellStyle name="Remarque 2 2 4 2 2 4 2 4" xfId="38621" xr:uid="{00000000-0005-0000-0000-00009D2B0000}"/>
    <cellStyle name="Remarque 2 2 4 2 2 4 3" xfId="4834" xr:uid="{00000000-0005-0000-0000-00009E2B0000}"/>
    <cellStyle name="Remarque 2 2 4 2 2 4 3 2" xfId="28848" xr:uid="{00000000-0005-0000-0000-00009F2B0000}"/>
    <cellStyle name="Remarque 2 2 4 2 2 4 3 2 2" xfId="52808" xr:uid="{00000000-0005-0000-0000-0000A02B0000}"/>
    <cellStyle name="Remarque 2 2 4 2 2 4 3 3" xfId="16095" xr:uid="{00000000-0005-0000-0000-0000A12B0000}"/>
    <cellStyle name="Remarque 2 2 4 2 2 4 3 4" xfId="40055" xr:uid="{00000000-0005-0000-0000-0000A22B0000}"/>
    <cellStyle name="Remarque 2 2 4 2 2 4 4" xfId="6228" xr:uid="{00000000-0005-0000-0000-0000A32B0000}"/>
    <cellStyle name="Remarque 2 2 4 2 2 4 4 2" xfId="30242" xr:uid="{00000000-0005-0000-0000-0000A42B0000}"/>
    <cellStyle name="Remarque 2 2 4 2 2 4 4 2 2" xfId="54202" xr:uid="{00000000-0005-0000-0000-0000A52B0000}"/>
    <cellStyle name="Remarque 2 2 4 2 2 4 4 3" xfId="17489" xr:uid="{00000000-0005-0000-0000-0000A62B0000}"/>
    <cellStyle name="Remarque 2 2 4 2 2 4 4 4" xfId="41449" xr:uid="{00000000-0005-0000-0000-0000A72B0000}"/>
    <cellStyle name="Remarque 2 2 4 2 2 4 5" xfId="7616" xr:uid="{00000000-0005-0000-0000-0000A82B0000}"/>
    <cellStyle name="Remarque 2 2 4 2 2 4 5 2" xfId="31630" xr:uid="{00000000-0005-0000-0000-0000A92B0000}"/>
    <cellStyle name="Remarque 2 2 4 2 2 4 5 2 2" xfId="55590" xr:uid="{00000000-0005-0000-0000-0000AA2B0000}"/>
    <cellStyle name="Remarque 2 2 4 2 2 4 5 3" xfId="18877" xr:uid="{00000000-0005-0000-0000-0000AB2B0000}"/>
    <cellStyle name="Remarque 2 2 4 2 2 4 5 4" xfId="42837" xr:uid="{00000000-0005-0000-0000-0000AC2B0000}"/>
    <cellStyle name="Remarque 2 2 4 2 2 4 6" xfId="9001" xr:uid="{00000000-0005-0000-0000-0000AD2B0000}"/>
    <cellStyle name="Remarque 2 2 4 2 2 4 6 2" xfId="33015" xr:uid="{00000000-0005-0000-0000-0000AE2B0000}"/>
    <cellStyle name="Remarque 2 2 4 2 2 4 6 2 2" xfId="56975" xr:uid="{00000000-0005-0000-0000-0000AF2B0000}"/>
    <cellStyle name="Remarque 2 2 4 2 2 4 6 3" xfId="20262" xr:uid="{00000000-0005-0000-0000-0000B02B0000}"/>
    <cellStyle name="Remarque 2 2 4 2 2 4 6 4" xfId="44222" xr:uid="{00000000-0005-0000-0000-0000B12B0000}"/>
    <cellStyle name="Remarque 2 2 4 2 2 4 7" xfId="10458" xr:uid="{00000000-0005-0000-0000-0000B22B0000}"/>
    <cellStyle name="Remarque 2 2 4 2 2 4 7 2" xfId="34468" xr:uid="{00000000-0005-0000-0000-0000B32B0000}"/>
    <cellStyle name="Remarque 2 2 4 2 2 4 7 2 2" xfId="58428" xr:uid="{00000000-0005-0000-0000-0000B42B0000}"/>
    <cellStyle name="Remarque 2 2 4 2 2 4 7 3" xfId="21725" xr:uid="{00000000-0005-0000-0000-0000B52B0000}"/>
    <cellStyle name="Remarque 2 2 4 2 2 4 7 4" xfId="45685" xr:uid="{00000000-0005-0000-0000-0000B62B0000}"/>
    <cellStyle name="Remarque 2 2 4 2 2 4 8" xfId="11783" xr:uid="{00000000-0005-0000-0000-0000B72B0000}"/>
    <cellStyle name="Remarque 2 2 4 2 2 4 8 2" xfId="23057" xr:uid="{00000000-0005-0000-0000-0000B82B0000}"/>
    <cellStyle name="Remarque 2 2 4 2 2 4 8 3" xfId="47017" xr:uid="{00000000-0005-0000-0000-0000B92B0000}"/>
    <cellStyle name="Remarque 2 2 4 2 2 4 9" xfId="1930" xr:uid="{00000000-0005-0000-0000-0000BA2B0000}"/>
    <cellStyle name="Remarque 2 2 4 2 2 4 9 2" xfId="25944" xr:uid="{00000000-0005-0000-0000-0000BB2B0000}"/>
    <cellStyle name="Remarque 2 2 4 2 2 4 9 3" xfId="49904" xr:uid="{00000000-0005-0000-0000-0000BC2B0000}"/>
    <cellStyle name="Remarque 2 2 4 2 2 5" xfId="686" xr:uid="{00000000-0005-0000-0000-0000BD2B0000}"/>
    <cellStyle name="Remarque 2 2 4 2 2 5 10" xfId="24718" xr:uid="{00000000-0005-0000-0000-0000BE2B0000}"/>
    <cellStyle name="Remarque 2 2 4 2 2 5 10 2" xfId="48678" xr:uid="{00000000-0005-0000-0000-0000BF2B0000}"/>
    <cellStyle name="Remarque 2 2 4 2 2 5 11" xfId="36381" xr:uid="{00000000-0005-0000-0000-0000C02B0000}"/>
    <cellStyle name="Remarque 2 2 4 2 2 5 11 2" xfId="60341" xr:uid="{00000000-0005-0000-0000-0000C12B0000}"/>
    <cellStyle name="Remarque 2 2 4 2 2 5 12" xfId="13383" xr:uid="{00000000-0005-0000-0000-0000C22B0000}"/>
    <cellStyle name="Remarque 2 2 4 2 2 5 13" xfId="37343" xr:uid="{00000000-0005-0000-0000-0000C32B0000}"/>
    <cellStyle name="Remarque 2 2 4 2 2 5 2" xfId="3592" xr:uid="{00000000-0005-0000-0000-0000C42B0000}"/>
    <cellStyle name="Remarque 2 2 4 2 2 5 2 2" xfId="27606" xr:uid="{00000000-0005-0000-0000-0000C52B0000}"/>
    <cellStyle name="Remarque 2 2 4 2 2 5 2 2 2" xfId="51566" xr:uid="{00000000-0005-0000-0000-0000C62B0000}"/>
    <cellStyle name="Remarque 2 2 4 2 2 5 2 3" xfId="14853" xr:uid="{00000000-0005-0000-0000-0000C72B0000}"/>
    <cellStyle name="Remarque 2 2 4 2 2 5 2 4" xfId="38813" xr:uid="{00000000-0005-0000-0000-0000C82B0000}"/>
    <cellStyle name="Remarque 2 2 4 2 2 5 3" xfId="5026" xr:uid="{00000000-0005-0000-0000-0000C92B0000}"/>
    <cellStyle name="Remarque 2 2 4 2 2 5 3 2" xfId="29040" xr:uid="{00000000-0005-0000-0000-0000CA2B0000}"/>
    <cellStyle name="Remarque 2 2 4 2 2 5 3 2 2" xfId="53000" xr:uid="{00000000-0005-0000-0000-0000CB2B0000}"/>
    <cellStyle name="Remarque 2 2 4 2 2 5 3 3" xfId="16287" xr:uid="{00000000-0005-0000-0000-0000CC2B0000}"/>
    <cellStyle name="Remarque 2 2 4 2 2 5 3 4" xfId="40247" xr:uid="{00000000-0005-0000-0000-0000CD2B0000}"/>
    <cellStyle name="Remarque 2 2 4 2 2 5 4" xfId="6420" xr:uid="{00000000-0005-0000-0000-0000CE2B0000}"/>
    <cellStyle name="Remarque 2 2 4 2 2 5 4 2" xfId="30434" xr:uid="{00000000-0005-0000-0000-0000CF2B0000}"/>
    <cellStyle name="Remarque 2 2 4 2 2 5 4 2 2" xfId="54394" xr:uid="{00000000-0005-0000-0000-0000D02B0000}"/>
    <cellStyle name="Remarque 2 2 4 2 2 5 4 3" xfId="17681" xr:uid="{00000000-0005-0000-0000-0000D12B0000}"/>
    <cellStyle name="Remarque 2 2 4 2 2 5 4 4" xfId="41641" xr:uid="{00000000-0005-0000-0000-0000D22B0000}"/>
    <cellStyle name="Remarque 2 2 4 2 2 5 5" xfId="7808" xr:uid="{00000000-0005-0000-0000-0000D32B0000}"/>
    <cellStyle name="Remarque 2 2 4 2 2 5 5 2" xfId="31822" xr:uid="{00000000-0005-0000-0000-0000D42B0000}"/>
    <cellStyle name="Remarque 2 2 4 2 2 5 5 2 2" xfId="55782" xr:uid="{00000000-0005-0000-0000-0000D52B0000}"/>
    <cellStyle name="Remarque 2 2 4 2 2 5 5 3" xfId="19069" xr:uid="{00000000-0005-0000-0000-0000D62B0000}"/>
    <cellStyle name="Remarque 2 2 4 2 2 5 5 4" xfId="43029" xr:uid="{00000000-0005-0000-0000-0000D72B0000}"/>
    <cellStyle name="Remarque 2 2 4 2 2 5 6" xfId="9193" xr:uid="{00000000-0005-0000-0000-0000D82B0000}"/>
    <cellStyle name="Remarque 2 2 4 2 2 5 6 2" xfId="33207" xr:uid="{00000000-0005-0000-0000-0000D92B0000}"/>
    <cellStyle name="Remarque 2 2 4 2 2 5 6 2 2" xfId="57167" xr:uid="{00000000-0005-0000-0000-0000DA2B0000}"/>
    <cellStyle name="Remarque 2 2 4 2 2 5 6 3" xfId="20454" xr:uid="{00000000-0005-0000-0000-0000DB2B0000}"/>
    <cellStyle name="Remarque 2 2 4 2 2 5 6 4" xfId="44414" xr:uid="{00000000-0005-0000-0000-0000DC2B0000}"/>
    <cellStyle name="Remarque 2 2 4 2 2 5 7" xfId="10650" xr:uid="{00000000-0005-0000-0000-0000DD2B0000}"/>
    <cellStyle name="Remarque 2 2 4 2 2 5 7 2" xfId="34660" xr:uid="{00000000-0005-0000-0000-0000DE2B0000}"/>
    <cellStyle name="Remarque 2 2 4 2 2 5 7 2 2" xfId="58620" xr:uid="{00000000-0005-0000-0000-0000DF2B0000}"/>
    <cellStyle name="Remarque 2 2 4 2 2 5 7 3" xfId="21917" xr:uid="{00000000-0005-0000-0000-0000E02B0000}"/>
    <cellStyle name="Remarque 2 2 4 2 2 5 7 4" xfId="45877" xr:uid="{00000000-0005-0000-0000-0000E12B0000}"/>
    <cellStyle name="Remarque 2 2 4 2 2 5 8" xfId="7363" xr:uid="{00000000-0005-0000-0000-0000E22B0000}"/>
    <cellStyle name="Remarque 2 2 4 2 2 5 8 2" xfId="18624" xr:uid="{00000000-0005-0000-0000-0000E32B0000}"/>
    <cellStyle name="Remarque 2 2 4 2 2 5 8 3" xfId="42584" xr:uid="{00000000-0005-0000-0000-0000E42B0000}"/>
    <cellStyle name="Remarque 2 2 4 2 2 5 9" xfId="2122" xr:uid="{00000000-0005-0000-0000-0000E52B0000}"/>
    <cellStyle name="Remarque 2 2 4 2 2 5 9 2" xfId="26136" xr:uid="{00000000-0005-0000-0000-0000E62B0000}"/>
    <cellStyle name="Remarque 2 2 4 2 2 5 9 3" xfId="50096" xr:uid="{00000000-0005-0000-0000-0000E72B0000}"/>
    <cellStyle name="Remarque 2 2 4 2 2 6" xfId="880" xr:uid="{00000000-0005-0000-0000-0000E82B0000}"/>
    <cellStyle name="Remarque 2 2 4 2 2 6 10" xfId="24912" xr:uid="{00000000-0005-0000-0000-0000E92B0000}"/>
    <cellStyle name="Remarque 2 2 4 2 2 6 10 2" xfId="48872" xr:uid="{00000000-0005-0000-0000-0000EA2B0000}"/>
    <cellStyle name="Remarque 2 2 4 2 2 6 11" xfId="35689" xr:uid="{00000000-0005-0000-0000-0000EB2B0000}"/>
    <cellStyle name="Remarque 2 2 4 2 2 6 11 2" xfId="59649" xr:uid="{00000000-0005-0000-0000-0000EC2B0000}"/>
    <cellStyle name="Remarque 2 2 4 2 2 6 12" xfId="13577" xr:uid="{00000000-0005-0000-0000-0000ED2B0000}"/>
    <cellStyle name="Remarque 2 2 4 2 2 6 13" xfId="37537" xr:uid="{00000000-0005-0000-0000-0000EE2B0000}"/>
    <cellStyle name="Remarque 2 2 4 2 2 6 2" xfId="3786" xr:uid="{00000000-0005-0000-0000-0000EF2B0000}"/>
    <cellStyle name="Remarque 2 2 4 2 2 6 2 2" xfId="27800" xr:uid="{00000000-0005-0000-0000-0000F02B0000}"/>
    <cellStyle name="Remarque 2 2 4 2 2 6 2 2 2" xfId="51760" xr:uid="{00000000-0005-0000-0000-0000F12B0000}"/>
    <cellStyle name="Remarque 2 2 4 2 2 6 2 3" xfId="15047" xr:uid="{00000000-0005-0000-0000-0000F22B0000}"/>
    <cellStyle name="Remarque 2 2 4 2 2 6 2 4" xfId="39007" xr:uid="{00000000-0005-0000-0000-0000F32B0000}"/>
    <cellStyle name="Remarque 2 2 4 2 2 6 3" xfId="5220" xr:uid="{00000000-0005-0000-0000-0000F42B0000}"/>
    <cellStyle name="Remarque 2 2 4 2 2 6 3 2" xfId="29234" xr:uid="{00000000-0005-0000-0000-0000F52B0000}"/>
    <cellStyle name="Remarque 2 2 4 2 2 6 3 2 2" xfId="53194" xr:uid="{00000000-0005-0000-0000-0000F62B0000}"/>
    <cellStyle name="Remarque 2 2 4 2 2 6 3 3" xfId="16481" xr:uid="{00000000-0005-0000-0000-0000F72B0000}"/>
    <cellStyle name="Remarque 2 2 4 2 2 6 3 4" xfId="40441" xr:uid="{00000000-0005-0000-0000-0000F82B0000}"/>
    <cellStyle name="Remarque 2 2 4 2 2 6 4" xfId="6614" xr:uid="{00000000-0005-0000-0000-0000F92B0000}"/>
    <cellStyle name="Remarque 2 2 4 2 2 6 4 2" xfId="30628" xr:uid="{00000000-0005-0000-0000-0000FA2B0000}"/>
    <cellStyle name="Remarque 2 2 4 2 2 6 4 2 2" xfId="54588" xr:uid="{00000000-0005-0000-0000-0000FB2B0000}"/>
    <cellStyle name="Remarque 2 2 4 2 2 6 4 3" xfId="17875" xr:uid="{00000000-0005-0000-0000-0000FC2B0000}"/>
    <cellStyle name="Remarque 2 2 4 2 2 6 4 4" xfId="41835" xr:uid="{00000000-0005-0000-0000-0000FD2B0000}"/>
    <cellStyle name="Remarque 2 2 4 2 2 6 5" xfId="8002" xr:uid="{00000000-0005-0000-0000-0000FE2B0000}"/>
    <cellStyle name="Remarque 2 2 4 2 2 6 5 2" xfId="32016" xr:uid="{00000000-0005-0000-0000-0000FF2B0000}"/>
    <cellStyle name="Remarque 2 2 4 2 2 6 5 2 2" xfId="55976" xr:uid="{00000000-0005-0000-0000-0000002C0000}"/>
    <cellStyle name="Remarque 2 2 4 2 2 6 5 3" xfId="19263" xr:uid="{00000000-0005-0000-0000-0000012C0000}"/>
    <cellStyle name="Remarque 2 2 4 2 2 6 5 4" xfId="43223" xr:uid="{00000000-0005-0000-0000-0000022C0000}"/>
    <cellStyle name="Remarque 2 2 4 2 2 6 6" xfId="9387" xr:uid="{00000000-0005-0000-0000-0000032C0000}"/>
    <cellStyle name="Remarque 2 2 4 2 2 6 6 2" xfId="33401" xr:uid="{00000000-0005-0000-0000-0000042C0000}"/>
    <cellStyle name="Remarque 2 2 4 2 2 6 6 2 2" xfId="57361" xr:uid="{00000000-0005-0000-0000-0000052C0000}"/>
    <cellStyle name="Remarque 2 2 4 2 2 6 6 3" xfId="20648" xr:uid="{00000000-0005-0000-0000-0000062C0000}"/>
    <cellStyle name="Remarque 2 2 4 2 2 6 6 4" xfId="44608" xr:uid="{00000000-0005-0000-0000-0000072C0000}"/>
    <cellStyle name="Remarque 2 2 4 2 2 6 7" xfId="10844" xr:uid="{00000000-0005-0000-0000-0000082C0000}"/>
    <cellStyle name="Remarque 2 2 4 2 2 6 7 2" xfId="34854" xr:uid="{00000000-0005-0000-0000-0000092C0000}"/>
    <cellStyle name="Remarque 2 2 4 2 2 6 7 2 2" xfId="58814" xr:uid="{00000000-0005-0000-0000-00000A2C0000}"/>
    <cellStyle name="Remarque 2 2 4 2 2 6 7 3" xfId="22111" xr:uid="{00000000-0005-0000-0000-00000B2C0000}"/>
    <cellStyle name="Remarque 2 2 4 2 2 6 7 4" xfId="46071" xr:uid="{00000000-0005-0000-0000-00000C2C0000}"/>
    <cellStyle name="Remarque 2 2 4 2 2 6 8" xfId="12064" xr:uid="{00000000-0005-0000-0000-00000D2C0000}"/>
    <cellStyle name="Remarque 2 2 4 2 2 6 8 2" xfId="23345" xr:uid="{00000000-0005-0000-0000-00000E2C0000}"/>
    <cellStyle name="Remarque 2 2 4 2 2 6 8 3" xfId="47305" xr:uid="{00000000-0005-0000-0000-00000F2C0000}"/>
    <cellStyle name="Remarque 2 2 4 2 2 6 9" xfId="2316" xr:uid="{00000000-0005-0000-0000-0000102C0000}"/>
    <cellStyle name="Remarque 2 2 4 2 2 6 9 2" xfId="26330" xr:uid="{00000000-0005-0000-0000-0000112C0000}"/>
    <cellStyle name="Remarque 2 2 4 2 2 6 9 3" xfId="50290" xr:uid="{00000000-0005-0000-0000-0000122C0000}"/>
    <cellStyle name="Remarque 2 2 4 2 2 7" xfId="1073" xr:uid="{00000000-0005-0000-0000-0000132C0000}"/>
    <cellStyle name="Remarque 2 2 4 2 2 7 10" xfId="25105" xr:uid="{00000000-0005-0000-0000-0000142C0000}"/>
    <cellStyle name="Remarque 2 2 4 2 2 7 10 2" xfId="49065" xr:uid="{00000000-0005-0000-0000-0000152C0000}"/>
    <cellStyle name="Remarque 2 2 4 2 2 7 11" xfId="36522" xr:uid="{00000000-0005-0000-0000-0000162C0000}"/>
    <cellStyle name="Remarque 2 2 4 2 2 7 11 2" xfId="60482" xr:uid="{00000000-0005-0000-0000-0000172C0000}"/>
    <cellStyle name="Remarque 2 2 4 2 2 7 12" xfId="13770" xr:uid="{00000000-0005-0000-0000-0000182C0000}"/>
    <cellStyle name="Remarque 2 2 4 2 2 7 13" xfId="37730" xr:uid="{00000000-0005-0000-0000-0000192C0000}"/>
    <cellStyle name="Remarque 2 2 4 2 2 7 2" xfId="3979" xr:uid="{00000000-0005-0000-0000-00001A2C0000}"/>
    <cellStyle name="Remarque 2 2 4 2 2 7 2 2" xfId="27993" xr:uid="{00000000-0005-0000-0000-00001B2C0000}"/>
    <cellStyle name="Remarque 2 2 4 2 2 7 2 2 2" xfId="51953" xr:uid="{00000000-0005-0000-0000-00001C2C0000}"/>
    <cellStyle name="Remarque 2 2 4 2 2 7 2 3" xfId="15240" xr:uid="{00000000-0005-0000-0000-00001D2C0000}"/>
    <cellStyle name="Remarque 2 2 4 2 2 7 2 4" xfId="39200" xr:uid="{00000000-0005-0000-0000-00001E2C0000}"/>
    <cellStyle name="Remarque 2 2 4 2 2 7 3" xfId="5413" xr:uid="{00000000-0005-0000-0000-00001F2C0000}"/>
    <cellStyle name="Remarque 2 2 4 2 2 7 3 2" xfId="29427" xr:uid="{00000000-0005-0000-0000-0000202C0000}"/>
    <cellStyle name="Remarque 2 2 4 2 2 7 3 2 2" xfId="53387" xr:uid="{00000000-0005-0000-0000-0000212C0000}"/>
    <cellStyle name="Remarque 2 2 4 2 2 7 3 3" xfId="16674" xr:uid="{00000000-0005-0000-0000-0000222C0000}"/>
    <cellStyle name="Remarque 2 2 4 2 2 7 3 4" xfId="40634" xr:uid="{00000000-0005-0000-0000-0000232C0000}"/>
    <cellStyle name="Remarque 2 2 4 2 2 7 4" xfId="6807" xr:uid="{00000000-0005-0000-0000-0000242C0000}"/>
    <cellStyle name="Remarque 2 2 4 2 2 7 4 2" xfId="30821" xr:uid="{00000000-0005-0000-0000-0000252C0000}"/>
    <cellStyle name="Remarque 2 2 4 2 2 7 4 2 2" xfId="54781" xr:uid="{00000000-0005-0000-0000-0000262C0000}"/>
    <cellStyle name="Remarque 2 2 4 2 2 7 4 3" xfId="18068" xr:uid="{00000000-0005-0000-0000-0000272C0000}"/>
    <cellStyle name="Remarque 2 2 4 2 2 7 4 4" xfId="42028" xr:uid="{00000000-0005-0000-0000-0000282C0000}"/>
    <cellStyle name="Remarque 2 2 4 2 2 7 5" xfId="8195" xr:uid="{00000000-0005-0000-0000-0000292C0000}"/>
    <cellStyle name="Remarque 2 2 4 2 2 7 5 2" xfId="32209" xr:uid="{00000000-0005-0000-0000-00002A2C0000}"/>
    <cellStyle name="Remarque 2 2 4 2 2 7 5 2 2" xfId="56169" xr:uid="{00000000-0005-0000-0000-00002B2C0000}"/>
    <cellStyle name="Remarque 2 2 4 2 2 7 5 3" xfId="19456" xr:uid="{00000000-0005-0000-0000-00002C2C0000}"/>
    <cellStyle name="Remarque 2 2 4 2 2 7 5 4" xfId="43416" xr:uid="{00000000-0005-0000-0000-00002D2C0000}"/>
    <cellStyle name="Remarque 2 2 4 2 2 7 6" xfId="9580" xr:uid="{00000000-0005-0000-0000-00002E2C0000}"/>
    <cellStyle name="Remarque 2 2 4 2 2 7 6 2" xfId="33594" xr:uid="{00000000-0005-0000-0000-00002F2C0000}"/>
    <cellStyle name="Remarque 2 2 4 2 2 7 6 2 2" xfId="57554" xr:uid="{00000000-0005-0000-0000-0000302C0000}"/>
    <cellStyle name="Remarque 2 2 4 2 2 7 6 3" xfId="20841" xr:uid="{00000000-0005-0000-0000-0000312C0000}"/>
    <cellStyle name="Remarque 2 2 4 2 2 7 6 4" xfId="44801" xr:uid="{00000000-0005-0000-0000-0000322C0000}"/>
    <cellStyle name="Remarque 2 2 4 2 2 7 7" xfId="11037" xr:uid="{00000000-0005-0000-0000-0000332C0000}"/>
    <cellStyle name="Remarque 2 2 4 2 2 7 7 2" xfId="35047" xr:uid="{00000000-0005-0000-0000-0000342C0000}"/>
    <cellStyle name="Remarque 2 2 4 2 2 7 7 2 2" xfId="59007" xr:uid="{00000000-0005-0000-0000-0000352C0000}"/>
    <cellStyle name="Remarque 2 2 4 2 2 7 7 3" xfId="22304" xr:uid="{00000000-0005-0000-0000-0000362C0000}"/>
    <cellStyle name="Remarque 2 2 4 2 2 7 7 4" xfId="46264" xr:uid="{00000000-0005-0000-0000-0000372C0000}"/>
    <cellStyle name="Remarque 2 2 4 2 2 7 8" xfId="11829" xr:uid="{00000000-0005-0000-0000-0000382C0000}"/>
    <cellStyle name="Remarque 2 2 4 2 2 7 8 2" xfId="23103" xr:uid="{00000000-0005-0000-0000-0000392C0000}"/>
    <cellStyle name="Remarque 2 2 4 2 2 7 8 3" xfId="47063" xr:uid="{00000000-0005-0000-0000-00003A2C0000}"/>
    <cellStyle name="Remarque 2 2 4 2 2 7 9" xfId="2509" xr:uid="{00000000-0005-0000-0000-00003B2C0000}"/>
    <cellStyle name="Remarque 2 2 4 2 2 7 9 2" xfId="26523" xr:uid="{00000000-0005-0000-0000-00003C2C0000}"/>
    <cellStyle name="Remarque 2 2 4 2 2 7 9 3" xfId="50483" xr:uid="{00000000-0005-0000-0000-00003D2C0000}"/>
    <cellStyle name="Remarque 2 2 4 2 2 8" xfId="1240" xr:uid="{00000000-0005-0000-0000-00003E2C0000}"/>
    <cellStyle name="Remarque 2 2 4 2 2 8 10" xfId="25272" xr:uid="{00000000-0005-0000-0000-00003F2C0000}"/>
    <cellStyle name="Remarque 2 2 4 2 2 8 10 2" xfId="49232" xr:uid="{00000000-0005-0000-0000-0000402C0000}"/>
    <cellStyle name="Remarque 2 2 4 2 2 8 11" xfId="36812" xr:uid="{00000000-0005-0000-0000-0000412C0000}"/>
    <cellStyle name="Remarque 2 2 4 2 2 8 11 2" xfId="60772" xr:uid="{00000000-0005-0000-0000-0000422C0000}"/>
    <cellStyle name="Remarque 2 2 4 2 2 8 12" xfId="13937" xr:uid="{00000000-0005-0000-0000-0000432C0000}"/>
    <cellStyle name="Remarque 2 2 4 2 2 8 13" xfId="37897" xr:uid="{00000000-0005-0000-0000-0000442C0000}"/>
    <cellStyle name="Remarque 2 2 4 2 2 8 2" xfId="4146" xr:uid="{00000000-0005-0000-0000-0000452C0000}"/>
    <cellStyle name="Remarque 2 2 4 2 2 8 2 2" xfId="28160" xr:uid="{00000000-0005-0000-0000-0000462C0000}"/>
    <cellStyle name="Remarque 2 2 4 2 2 8 2 2 2" xfId="52120" xr:uid="{00000000-0005-0000-0000-0000472C0000}"/>
    <cellStyle name="Remarque 2 2 4 2 2 8 2 3" xfId="15407" xr:uid="{00000000-0005-0000-0000-0000482C0000}"/>
    <cellStyle name="Remarque 2 2 4 2 2 8 2 4" xfId="39367" xr:uid="{00000000-0005-0000-0000-0000492C0000}"/>
    <cellStyle name="Remarque 2 2 4 2 2 8 3" xfId="5580" xr:uid="{00000000-0005-0000-0000-00004A2C0000}"/>
    <cellStyle name="Remarque 2 2 4 2 2 8 3 2" xfId="29594" xr:uid="{00000000-0005-0000-0000-00004B2C0000}"/>
    <cellStyle name="Remarque 2 2 4 2 2 8 3 2 2" xfId="53554" xr:uid="{00000000-0005-0000-0000-00004C2C0000}"/>
    <cellStyle name="Remarque 2 2 4 2 2 8 3 3" xfId="16841" xr:uid="{00000000-0005-0000-0000-00004D2C0000}"/>
    <cellStyle name="Remarque 2 2 4 2 2 8 3 4" xfId="40801" xr:uid="{00000000-0005-0000-0000-00004E2C0000}"/>
    <cellStyle name="Remarque 2 2 4 2 2 8 4" xfId="6974" xr:uid="{00000000-0005-0000-0000-00004F2C0000}"/>
    <cellStyle name="Remarque 2 2 4 2 2 8 4 2" xfId="30988" xr:uid="{00000000-0005-0000-0000-0000502C0000}"/>
    <cellStyle name="Remarque 2 2 4 2 2 8 4 2 2" xfId="54948" xr:uid="{00000000-0005-0000-0000-0000512C0000}"/>
    <cellStyle name="Remarque 2 2 4 2 2 8 4 3" xfId="18235" xr:uid="{00000000-0005-0000-0000-0000522C0000}"/>
    <cellStyle name="Remarque 2 2 4 2 2 8 4 4" xfId="42195" xr:uid="{00000000-0005-0000-0000-0000532C0000}"/>
    <cellStyle name="Remarque 2 2 4 2 2 8 5" xfId="8362" xr:uid="{00000000-0005-0000-0000-0000542C0000}"/>
    <cellStyle name="Remarque 2 2 4 2 2 8 5 2" xfId="32376" xr:uid="{00000000-0005-0000-0000-0000552C0000}"/>
    <cellStyle name="Remarque 2 2 4 2 2 8 5 2 2" xfId="56336" xr:uid="{00000000-0005-0000-0000-0000562C0000}"/>
    <cellStyle name="Remarque 2 2 4 2 2 8 5 3" xfId="19623" xr:uid="{00000000-0005-0000-0000-0000572C0000}"/>
    <cellStyle name="Remarque 2 2 4 2 2 8 5 4" xfId="43583" xr:uid="{00000000-0005-0000-0000-0000582C0000}"/>
    <cellStyle name="Remarque 2 2 4 2 2 8 6" xfId="9747" xr:uid="{00000000-0005-0000-0000-0000592C0000}"/>
    <cellStyle name="Remarque 2 2 4 2 2 8 6 2" xfId="33761" xr:uid="{00000000-0005-0000-0000-00005A2C0000}"/>
    <cellStyle name="Remarque 2 2 4 2 2 8 6 2 2" xfId="57721" xr:uid="{00000000-0005-0000-0000-00005B2C0000}"/>
    <cellStyle name="Remarque 2 2 4 2 2 8 6 3" xfId="21008" xr:uid="{00000000-0005-0000-0000-00005C2C0000}"/>
    <cellStyle name="Remarque 2 2 4 2 2 8 6 4" xfId="44968" xr:uid="{00000000-0005-0000-0000-00005D2C0000}"/>
    <cellStyle name="Remarque 2 2 4 2 2 8 7" xfId="11204" xr:uid="{00000000-0005-0000-0000-00005E2C0000}"/>
    <cellStyle name="Remarque 2 2 4 2 2 8 7 2" xfId="35214" xr:uid="{00000000-0005-0000-0000-00005F2C0000}"/>
    <cellStyle name="Remarque 2 2 4 2 2 8 7 2 2" xfId="59174" xr:uid="{00000000-0005-0000-0000-0000602C0000}"/>
    <cellStyle name="Remarque 2 2 4 2 2 8 7 3" xfId="22471" xr:uid="{00000000-0005-0000-0000-0000612C0000}"/>
    <cellStyle name="Remarque 2 2 4 2 2 8 7 4" xfId="46431" xr:uid="{00000000-0005-0000-0000-0000622C0000}"/>
    <cellStyle name="Remarque 2 2 4 2 2 8 8" xfId="12629" xr:uid="{00000000-0005-0000-0000-0000632C0000}"/>
    <cellStyle name="Remarque 2 2 4 2 2 8 8 2" xfId="23933" xr:uid="{00000000-0005-0000-0000-0000642C0000}"/>
    <cellStyle name="Remarque 2 2 4 2 2 8 8 3" xfId="47893" xr:uid="{00000000-0005-0000-0000-0000652C0000}"/>
    <cellStyle name="Remarque 2 2 4 2 2 8 9" xfId="2676" xr:uid="{00000000-0005-0000-0000-0000662C0000}"/>
    <cellStyle name="Remarque 2 2 4 2 2 8 9 2" xfId="26690" xr:uid="{00000000-0005-0000-0000-0000672C0000}"/>
    <cellStyle name="Remarque 2 2 4 2 2 8 9 3" xfId="50650" xr:uid="{00000000-0005-0000-0000-0000682C0000}"/>
    <cellStyle name="Remarque 2 2 4 2 2 9" xfId="1409" xr:uid="{00000000-0005-0000-0000-0000692C0000}"/>
    <cellStyle name="Remarque 2 2 4 2 2 9 10" xfId="25441" xr:uid="{00000000-0005-0000-0000-00006A2C0000}"/>
    <cellStyle name="Remarque 2 2 4 2 2 9 10 2" xfId="49401" xr:uid="{00000000-0005-0000-0000-00006B2C0000}"/>
    <cellStyle name="Remarque 2 2 4 2 2 9 11" xfId="35701" xr:uid="{00000000-0005-0000-0000-00006C2C0000}"/>
    <cellStyle name="Remarque 2 2 4 2 2 9 11 2" xfId="59661" xr:uid="{00000000-0005-0000-0000-00006D2C0000}"/>
    <cellStyle name="Remarque 2 2 4 2 2 9 12" xfId="14106" xr:uid="{00000000-0005-0000-0000-00006E2C0000}"/>
    <cellStyle name="Remarque 2 2 4 2 2 9 13" xfId="38066" xr:uid="{00000000-0005-0000-0000-00006F2C0000}"/>
    <cellStyle name="Remarque 2 2 4 2 2 9 2" xfId="4315" xr:uid="{00000000-0005-0000-0000-0000702C0000}"/>
    <cellStyle name="Remarque 2 2 4 2 2 9 2 2" xfId="28329" xr:uid="{00000000-0005-0000-0000-0000712C0000}"/>
    <cellStyle name="Remarque 2 2 4 2 2 9 2 2 2" xfId="52289" xr:uid="{00000000-0005-0000-0000-0000722C0000}"/>
    <cellStyle name="Remarque 2 2 4 2 2 9 2 3" xfId="15576" xr:uid="{00000000-0005-0000-0000-0000732C0000}"/>
    <cellStyle name="Remarque 2 2 4 2 2 9 2 4" xfId="39536" xr:uid="{00000000-0005-0000-0000-0000742C0000}"/>
    <cellStyle name="Remarque 2 2 4 2 2 9 3" xfId="5749" xr:uid="{00000000-0005-0000-0000-0000752C0000}"/>
    <cellStyle name="Remarque 2 2 4 2 2 9 3 2" xfId="29763" xr:uid="{00000000-0005-0000-0000-0000762C0000}"/>
    <cellStyle name="Remarque 2 2 4 2 2 9 3 2 2" xfId="53723" xr:uid="{00000000-0005-0000-0000-0000772C0000}"/>
    <cellStyle name="Remarque 2 2 4 2 2 9 3 3" xfId="17010" xr:uid="{00000000-0005-0000-0000-0000782C0000}"/>
    <cellStyle name="Remarque 2 2 4 2 2 9 3 4" xfId="40970" xr:uid="{00000000-0005-0000-0000-0000792C0000}"/>
    <cellStyle name="Remarque 2 2 4 2 2 9 4" xfId="7143" xr:uid="{00000000-0005-0000-0000-00007A2C0000}"/>
    <cellStyle name="Remarque 2 2 4 2 2 9 4 2" xfId="31157" xr:uid="{00000000-0005-0000-0000-00007B2C0000}"/>
    <cellStyle name="Remarque 2 2 4 2 2 9 4 2 2" xfId="55117" xr:uid="{00000000-0005-0000-0000-00007C2C0000}"/>
    <cellStyle name="Remarque 2 2 4 2 2 9 4 3" xfId="18404" xr:uid="{00000000-0005-0000-0000-00007D2C0000}"/>
    <cellStyle name="Remarque 2 2 4 2 2 9 4 4" xfId="42364" xr:uid="{00000000-0005-0000-0000-00007E2C0000}"/>
    <cellStyle name="Remarque 2 2 4 2 2 9 5" xfId="8531" xr:uid="{00000000-0005-0000-0000-00007F2C0000}"/>
    <cellStyle name="Remarque 2 2 4 2 2 9 5 2" xfId="32545" xr:uid="{00000000-0005-0000-0000-0000802C0000}"/>
    <cellStyle name="Remarque 2 2 4 2 2 9 5 2 2" xfId="56505" xr:uid="{00000000-0005-0000-0000-0000812C0000}"/>
    <cellStyle name="Remarque 2 2 4 2 2 9 5 3" xfId="19792" xr:uid="{00000000-0005-0000-0000-0000822C0000}"/>
    <cellStyle name="Remarque 2 2 4 2 2 9 5 4" xfId="43752" xr:uid="{00000000-0005-0000-0000-0000832C0000}"/>
    <cellStyle name="Remarque 2 2 4 2 2 9 6" xfId="9916" xr:uid="{00000000-0005-0000-0000-0000842C0000}"/>
    <cellStyle name="Remarque 2 2 4 2 2 9 6 2" xfId="33930" xr:uid="{00000000-0005-0000-0000-0000852C0000}"/>
    <cellStyle name="Remarque 2 2 4 2 2 9 6 2 2" xfId="57890" xr:uid="{00000000-0005-0000-0000-0000862C0000}"/>
    <cellStyle name="Remarque 2 2 4 2 2 9 6 3" xfId="21177" xr:uid="{00000000-0005-0000-0000-0000872C0000}"/>
    <cellStyle name="Remarque 2 2 4 2 2 9 6 4" xfId="45137" xr:uid="{00000000-0005-0000-0000-0000882C0000}"/>
    <cellStyle name="Remarque 2 2 4 2 2 9 7" xfId="11373" xr:uid="{00000000-0005-0000-0000-0000892C0000}"/>
    <cellStyle name="Remarque 2 2 4 2 2 9 7 2" xfId="35383" xr:uid="{00000000-0005-0000-0000-00008A2C0000}"/>
    <cellStyle name="Remarque 2 2 4 2 2 9 7 2 2" xfId="59343" xr:uid="{00000000-0005-0000-0000-00008B2C0000}"/>
    <cellStyle name="Remarque 2 2 4 2 2 9 7 3" xfId="22640" xr:uid="{00000000-0005-0000-0000-00008C2C0000}"/>
    <cellStyle name="Remarque 2 2 4 2 2 9 7 4" xfId="46600" xr:uid="{00000000-0005-0000-0000-00008D2C0000}"/>
    <cellStyle name="Remarque 2 2 4 2 2 9 8" xfId="12813" xr:uid="{00000000-0005-0000-0000-00008E2C0000}"/>
    <cellStyle name="Remarque 2 2 4 2 2 9 8 2" xfId="24124" xr:uid="{00000000-0005-0000-0000-00008F2C0000}"/>
    <cellStyle name="Remarque 2 2 4 2 2 9 8 3" xfId="48084" xr:uid="{00000000-0005-0000-0000-0000902C0000}"/>
    <cellStyle name="Remarque 2 2 4 2 2 9 9" xfId="2845" xr:uid="{00000000-0005-0000-0000-0000912C0000}"/>
    <cellStyle name="Remarque 2 2 4 2 2 9 9 2" xfId="26859" xr:uid="{00000000-0005-0000-0000-0000922C0000}"/>
    <cellStyle name="Remarque 2 2 4 2 2 9 9 3" xfId="50819" xr:uid="{00000000-0005-0000-0000-0000932C0000}"/>
    <cellStyle name="Remarque 2 2 4 2 20" xfId="10152" xr:uid="{00000000-0005-0000-0000-0000942C0000}"/>
    <cellStyle name="Remarque 2 2 4 2 20 2" xfId="34164" xr:uid="{00000000-0005-0000-0000-0000952C0000}"/>
    <cellStyle name="Remarque 2 2 4 2 20 2 2" xfId="58124" xr:uid="{00000000-0005-0000-0000-0000962C0000}"/>
    <cellStyle name="Remarque 2 2 4 2 20 3" xfId="21417" xr:uid="{00000000-0005-0000-0000-0000972C0000}"/>
    <cellStyle name="Remarque 2 2 4 2 20 4" xfId="45377" xr:uid="{00000000-0005-0000-0000-0000982C0000}"/>
    <cellStyle name="Remarque 2 2 4 2 21" xfId="11703" xr:uid="{00000000-0005-0000-0000-0000992C0000}"/>
    <cellStyle name="Remarque 2 2 4 2 21 2" xfId="22972" xr:uid="{00000000-0005-0000-0000-00009A2C0000}"/>
    <cellStyle name="Remarque 2 2 4 2 21 3" xfId="46932" xr:uid="{00000000-0005-0000-0000-00009B2C0000}"/>
    <cellStyle name="Remarque 2 2 4 2 22" xfId="1650" xr:uid="{00000000-0005-0000-0000-00009C2C0000}"/>
    <cellStyle name="Remarque 2 2 4 2 22 2" xfId="25664" xr:uid="{00000000-0005-0000-0000-00009D2C0000}"/>
    <cellStyle name="Remarque 2 2 4 2 22 3" xfId="49624" xr:uid="{00000000-0005-0000-0000-00009E2C0000}"/>
    <cellStyle name="Remarque 2 2 4 2 23" xfId="24111" xr:uid="{00000000-0005-0000-0000-00009F2C0000}"/>
    <cellStyle name="Remarque 2 2 4 2 23 2" xfId="48071" xr:uid="{00000000-0005-0000-0000-0000A02C0000}"/>
    <cellStyle name="Remarque 2 2 4 2 24" xfId="36169" xr:uid="{00000000-0005-0000-0000-0000A12C0000}"/>
    <cellStyle name="Remarque 2 2 4 2 24 2" xfId="60129" xr:uid="{00000000-0005-0000-0000-0000A22C0000}"/>
    <cellStyle name="Remarque 2 2 4 2 25" xfId="12930" xr:uid="{00000000-0005-0000-0000-0000A32C0000}"/>
    <cellStyle name="Remarque 2 2 4 2 26" xfId="36871" xr:uid="{00000000-0005-0000-0000-0000A42C0000}"/>
    <cellStyle name="Remarque 2 2 4 2 27" xfId="186" xr:uid="{00000000-0005-0000-0000-0000A52C0000}"/>
    <cellStyle name="Remarque 2 2 4 2 3" xfId="146" xr:uid="{00000000-0005-0000-0000-0000A62C0000}"/>
    <cellStyle name="Remarque 2 2 4 2 3 10" xfId="6142" xr:uid="{00000000-0005-0000-0000-0000A72C0000}"/>
    <cellStyle name="Remarque 2 2 4 2 3 10 2" xfId="30156" xr:uid="{00000000-0005-0000-0000-0000A82C0000}"/>
    <cellStyle name="Remarque 2 2 4 2 3 10 2 2" xfId="54116" xr:uid="{00000000-0005-0000-0000-0000A92C0000}"/>
    <cellStyle name="Remarque 2 2 4 2 3 10 3" xfId="17403" xr:uid="{00000000-0005-0000-0000-0000AA2C0000}"/>
    <cellStyle name="Remarque 2 2 4 2 3 10 4" xfId="41363" xr:uid="{00000000-0005-0000-0000-0000AB2C0000}"/>
    <cellStyle name="Remarque 2 2 4 2 3 11" xfId="7530" xr:uid="{00000000-0005-0000-0000-0000AC2C0000}"/>
    <cellStyle name="Remarque 2 2 4 2 3 11 2" xfId="31544" xr:uid="{00000000-0005-0000-0000-0000AD2C0000}"/>
    <cellStyle name="Remarque 2 2 4 2 3 11 2 2" xfId="55504" xr:uid="{00000000-0005-0000-0000-0000AE2C0000}"/>
    <cellStyle name="Remarque 2 2 4 2 3 11 3" xfId="18791" xr:uid="{00000000-0005-0000-0000-0000AF2C0000}"/>
    <cellStyle name="Remarque 2 2 4 2 3 11 4" xfId="42751" xr:uid="{00000000-0005-0000-0000-0000B02C0000}"/>
    <cellStyle name="Remarque 2 2 4 2 3 12" xfId="8915" xr:uid="{00000000-0005-0000-0000-0000B12C0000}"/>
    <cellStyle name="Remarque 2 2 4 2 3 12 2" xfId="32929" xr:uid="{00000000-0005-0000-0000-0000B22C0000}"/>
    <cellStyle name="Remarque 2 2 4 2 3 12 2 2" xfId="56889" xr:uid="{00000000-0005-0000-0000-0000B32C0000}"/>
    <cellStyle name="Remarque 2 2 4 2 3 12 3" xfId="20176" xr:uid="{00000000-0005-0000-0000-0000B42C0000}"/>
    <cellStyle name="Remarque 2 2 4 2 3 12 4" xfId="44136" xr:uid="{00000000-0005-0000-0000-0000B52C0000}"/>
    <cellStyle name="Remarque 2 2 4 2 3 13" xfId="10372" xr:uid="{00000000-0005-0000-0000-0000B62C0000}"/>
    <cellStyle name="Remarque 2 2 4 2 3 13 2" xfId="34382" xr:uid="{00000000-0005-0000-0000-0000B72C0000}"/>
    <cellStyle name="Remarque 2 2 4 2 3 13 2 2" xfId="58342" xr:uid="{00000000-0005-0000-0000-0000B82C0000}"/>
    <cellStyle name="Remarque 2 2 4 2 3 13 3" xfId="21639" xr:uid="{00000000-0005-0000-0000-0000B92C0000}"/>
    <cellStyle name="Remarque 2 2 4 2 3 13 4" xfId="45599" xr:uid="{00000000-0005-0000-0000-0000BA2C0000}"/>
    <cellStyle name="Remarque 2 2 4 2 3 14" xfId="12267" xr:uid="{00000000-0005-0000-0000-0000BB2C0000}"/>
    <cellStyle name="Remarque 2 2 4 2 3 14 2" xfId="23553" xr:uid="{00000000-0005-0000-0000-0000BC2C0000}"/>
    <cellStyle name="Remarque 2 2 4 2 3 14 3" xfId="47513" xr:uid="{00000000-0005-0000-0000-0000BD2C0000}"/>
    <cellStyle name="Remarque 2 2 4 2 3 15" xfId="1844" xr:uid="{00000000-0005-0000-0000-0000BE2C0000}"/>
    <cellStyle name="Remarque 2 2 4 2 3 15 2" xfId="25858" xr:uid="{00000000-0005-0000-0000-0000BF2C0000}"/>
    <cellStyle name="Remarque 2 2 4 2 3 15 3" xfId="49818" xr:uid="{00000000-0005-0000-0000-0000C02C0000}"/>
    <cellStyle name="Remarque 2 2 4 2 3 16" xfId="24440" xr:uid="{00000000-0005-0000-0000-0000C12C0000}"/>
    <cellStyle name="Remarque 2 2 4 2 3 16 2" xfId="48400" xr:uid="{00000000-0005-0000-0000-0000C22C0000}"/>
    <cellStyle name="Remarque 2 2 4 2 3 17" xfId="34146" xr:uid="{00000000-0005-0000-0000-0000C32C0000}"/>
    <cellStyle name="Remarque 2 2 4 2 3 17 2" xfId="58106" xr:uid="{00000000-0005-0000-0000-0000C42C0000}"/>
    <cellStyle name="Remarque 2 2 4 2 3 18" xfId="13105" xr:uid="{00000000-0005-0000-0000-0000C52C0000}"/>
    <cellStyle name="Remarque 2 2 4 2 3 19" xfId="37065" xr:uid="{00000000-0005-0000-0000-0000C62C0000}"/>
    <cellStyle name="Remarque 2 2 4 2 3 2" xfId="544" xr:uid="{00000000-0005-0000-0000-0000C72C0000}"/>
    <cellStyle name="Remarque 2 2 4 2 3 2 10" xfId="24576" xr:uid="{00000000-0005-0000-0000-0000C82C0000}"/>
    <cellStyle name="Remarque 2 2 4 2 3 2 10 2" xfId="48536" xr:uid="{00000000-0005-0000-0000-0000C92C0000}"/>
    <cellStyle name="Remarque 2 2 4 2 3 2 11" xfId="34215" xr:uid="{00000000-0005-0000-0000-0000CA2C0000}"/>
    <cellStyle name="Remarque 2 2 4 2 3 2 11 2" xfId="58175" xr:uid="{00000000-0005-0000-0000-0000CB2C0000}"/>
    <cellStyle name="Remarque 2 2 4 2 3 2 12" xfId="13241" xr:uid="{00000000-0005-0000-0000-0000CC2C0000}"/>
    <cellStyle name="Remarque 2 2 4 2 3 2 13" xfId="37201" xr:uid="{00000000-0005-0000-0000-0000CD2C0000}"/>
    <cellStyle name="Remarque 2 2 4 2 3 2 2" xfId="3450" xr:uid="{00000000-0005-0000-0000-0000CE2C0000}"/>
    <cellStyle name="Remarque 2 2 4 2 3 2 2 2" xfId="27464" xr:uid="{00000000-0005-0000-0000-0000CF2C0000}"/>
    <cellStyle name="Remarque 2 2 4 2 3 2 2 2 2" xfId="51424" xr:uid="{00000000-0005-0000-0000-0000D02C0000}"/>
    <cellStyle name="Remarque 2 2 4 2 3 2 2 3" xfId="14711" xr:uid="{00000000-0005-0000-0000-0000D12C0000}"/>
    <cellStyle name="Remarque 2 2 4 2 3 2 2 4" xfId="38671" xr:uid="{00000000-0005-0000-0000-0000D22C0000}"/>
    <cellStyle name="Remarque 2 2 4 2 3 2 3" xfId="4884" xr:uid="{00000000-0005-0000-0000-0000D32C0000}"/>
    <cellStyle name="Remarque 2 2 4 2 3 2 3 2" xfId="28898" xr:uid="{00000000-0005-0000-0000-0000D42C0000}"/>
    <cellStyle name="Remarque 2 2 4 2 3 2 3 2 2" xfId="52858" xr:uid="{00000000-0005-0000-0000-0000D52C0000}"/>
    <cellStyle name="Remarque 2 2 4 2 3 2 3 3" xfId="16145" xr:uid="{00000000-0005-0000-0000-0000D62C0000}"/>
    <cellStyle name="Remarque 2 2 4 2 3 2 3 4" xfId="40105" xr:uid="{00000000-0005-0000-0000-0000D72C0000}"/>
    <cellStyle name="Remarque 2 2 4 2 3 2 4" xfId="6278" xr:uid="{00000000-0005-0000-0000-0000D82C0000}"/>
    <cellStyle name="Remarque 2 2 4 2 3 2 4 2" xfId="30292" xr:uid="{00000000-0005-0000-0000-0000D92C0000}"/>
    <cellStyle name="Remarque 2 2 4 2 3 2 4 2 2" xfId="54252" xr:uid="{00000000-0005-0000-0000-0000DA2C0000}"/>
    <cellStyle name="Remarque 2 2 4 2 3 2 4 3" xfId="17539" xr:uid="{00000000-0005-0000-0000-0000DB2C0000}"/>
    <cellStyle name="Remarque 2 2 4 2 3 2 4 4" xfId="41499" xr:uid="{00000000-0005-0000-0000-0000DC2C0000}"/>
    <cellStyle name="Remarque 2 2 4 2 3 2 5" xfId="7666" xr:uid="{00000000-0005-0000-0000-0000DD2C0000}"/>
    <cellStyle name="Remarque 2 2 4 2 3 2 5 2" xfId="31680" xr:uid="{00000000-0005-0000-0000-0000DE2C0000}"/>
    <cellStyle name="Remarque 2 2 4 2 3 2 5 2 2" xfId="55640" xr:uid="{00000000-0005-0000-0000-0000DF2C0000}"/>
    <cellStyle name="Remarque 2 2 4 2 3 2 5 3" xfId="18927" xr:uid="{00000000-0005-0000-0000-0000E02C0000}"/>
    <cellStyle name="Remarque 2 2 4 2 3 2 5 4" xfId="42887" xr:uid="{00000000-0005-0000-0000-0000E12C0000}"/>
    <cellStyle name="Remarque 2 2 4 2 3 2 6" xfId="9051" xr:uid="{00000000-0005-0000-0000-0000E22C0000}"/>
    <cellStyle name="Remarque 2 2 4 2 3 2 6 2" xfId="33065" xr:uid="{00000000-0005-0000-0000-0000E32C0000}"/>
    <cellStyle name="Remarque 2 2 4 2 3 2 6 2 2" xfId="57025" xr:uid="{00000000-0005-0000-0000-0000E42C0000}"/>
    <cellStyle name="Remarque 2 2 4 2 3 2 6 3" xfId="20312" xr:uid="{00000000-0005-0000-0000-0000E52C0000}"/>
    <cellStyle name="Remarque 2 2 4 2 3 2 6 4" xfId="44272" xr:uid="{00000000-0005-0000-0000-0000E62C0000}"/>
    <cellStyle name="Remarque 2 2 4 2 3 2 7" xfId="10508" xr:uid="{00000000-0005-0000-0000-0000E72C0000}"/>
    <cellStyle name="Remarque 2 2 4 2 3 2 7 2" xfId="34518" xr:uid="{00000000-0005-0000-0000-0000E82C0000}"/>
    <cellStyle name="Remarque 2 2 4 2 3 2 7 2 2" xfId="58478" xr:uid="{00000000-0005-0000-0000-0000E92C0000}"/>
    <cellStyle name="Remarque 2 2 4 2 3 2 7 3" xfId="21775" xr:uid="{00000000-0005-0000-0000-0000EA2C0000}"/>
    <cellStyle name="Remarque 2 2 4 2 3 2 7 4" xfId="45735" xr:uid="{00000000-0005-0000-0000-0000EB2C0000}"/>
    <cellStyle name="Remarque 2 2 4 2 3 2 8" xfId="12772" xr:uid="{00000000-0005-0000-0000-0000EC2C0000}"/>
    <cellStyle name="Remarque 2 2 4 2 3 2 8 2" xfId="24080" xr:uid="{00000000-0005-0000-0000-0000ED2C0000}"/>
    <cellStyle name="Remarque 2 2 4 2 3 2 8 3" xfId="48040" xr:uid="{00000000-0005-0000-0000-0000EE2C0000}"/>
    <cellStyle name="Remarque 2 2 4 2 3 2 9" xfId="1980" xr:uid="{00000000-0005-0000-0000-0000EF2C0000}"/>
    <cellStyle name="Remarque 2 2 4 2 3 2 9 2" xfId="25994" xr:uid="{00000000-0005-0000-0000-0000F02C0000}"/>
    <cellStyle name="Remarque 2 2 4 2 3 2 9 3" xfId="49954" xr:uid="{00000000-0005-0000-0000-0000F12C0000}"/>
    <cellStyle name="Remarque 2 2 4 2 3 20" xfId="408" xr:uid="{00000000-0005-0000-0000-0000F22C0000}"/>
    <cellStyle name="Remarque 2 2 4 2 3 3" xfId="736" xr:uid="{00000000-0005-0000-0000-0000F32C0000}"/>
    <cellStyle name="Remarque 2 2 4 2 3 3 10" xfId="24768" xr:uid="{00000000-0005-0000-0000-0000F42C0000}"/>
    <cellStyle name="Remarque 2 2 4 2 3 3 10 2" xfId="48728" xr:uid="{00000000-0005-0000-0000-0000F52C0000}"/>
    <cellStyle name="Remarque 2 2 4 2 3 3 11" xfId="36341" xr:uid="{00000000-0005-0000-0000-0000F62C0000}"/>
    <cellStyle name="Remarque 2 2 4 2 3 3 11 2" xfId="60301" xr:uid="{00000000-0005-0000-0000-0000F72C0000}"/>
    <cellStyle name="Remarque 2 2 4 2 3 3 12" xfId="13433" xr:uid="{00000000-0005-0000-0000-0000F82C0000}"/>
    <cellStyle name="Remarque 2 2 4 2 3 3 13" xfId="37393" xr:uid="{00000000-0005-0000-0000-0000F92C0000}"/>
    <cellStyle name="Remarque 2 2 4 2 3 3 2" xfId="3642" xr:uid="{00000000-0005-0000-0000-0000FA2C0000}"/>
    <cellStyle name="Remarque 2 2 4 2 3 3 2 2" xfId="27656" xr:uid="{00000000-0005-0000-0000-0000FB2C0000}"/>
    <cellStyle name="Remarque 2 2 4 2 3 3 2 2 2" xfId="51616" xr:uid="{00000000-0005-0000-0000-0000FC2C0000}"/>
    <cellStyle name="Remarque 2 2 4 2 3 3 2 3" xfId="14903" xr:uid="{00000000-0005-0000-0000-0000FD2C0000}"/>
    <cellStyle name="Remarque 2 2 4 2 3 3 2 4" xfId="38863" xr:uid="{00000000-0005-0000-0000-0000FE2C0000}"/>
    <cellStyle name="Remarque 2 2 4 2 3 3 3" xfId="5076" xr:uid="{00000000-0005-0000-0000-0000FF2C0000}"/>
    <cellStyle name="Remarque 2 2 4 2 3 3 3 2" xfId="29090" xr:uid="{00000000-0005-0000-0000-0000002D0000}"/>
    <cellStyle name="Remarque 2 2 4 2 3 3 3 2 2" xfId="53050" xr:uid="{00000000-0005-0000-0000-0000012D0000}"/>
    <cellStyle name="Remarque 2 2 4 2 3 3 3 3" xfId="16337" xr:uid="{00000000-0005-0000-0000-0000022D0000}"/>
    <cellStyle name="Remarque 2 2 4 2 3 3 3 4" xfId="40297" xr:uid="{00000000-0005-0000-0000-0000032D0000}"/>
    <cellStyle name="Remarque 2 2 4 2 3 3 4" xfId="6470" xr:uid="{00000000-0005-0000-0000-0000042D0000}"/>
    <cellStyle name="Remarque 2 2 4 2 3 3 4 2" xfId="30484" xr:uid="{00000000-0005-0000-0000-0000052D0000}"/>
    <cellStyle name="Remarque 2 2 4 2 3 3 4 2 2" xfId="54444" xr:uid="{00000000-0005-0000-0000-0000062D0000}"/>
    <cellStyle name="Remarque 2 2 4 2 3 3 4 3" xfId="17731" xr:uid="{00000000-0005-0000-0000-0000072D0000}"/>
    <cellStyle name="Remarque 2 2 4 2 3 3 4 4" xfId="41691" xr:uid="{00000000-0005-0000-0000-0000082D0000}"/>
    <cellStyle name="Remarque 2 2 4 2 3 3 5" xfId="7858" xr:uid="{00000000-0005-0000-0000-0000092D0000}"/>
    <cellStyle name="Remarque 2 2 4 2 3 3 5 2" xfId="31872" xr:uid="{00000000-0005-0000-0000-00000A2D0000}"/>
    <cellStyle name="Remarque 2 2 4 2 3 3 5 2 2" xfId="55832" xr:uid="{00000000-0005-0000-0000-00000B2D0000}"/>
    <cellStyle name="Remarque 2 2 4 2 3 3 5 3" xfId="19119" xr:uid="{00000000-0005-0000-0000-00000C2D0000}"/>
    <cellStyle name="Remarque 2 2 4 2 3 3 5 4" xfId="43079" xr:uid="{00000000-0005-0000-0000-00000D2D0000}"/>
    <cellStyle name="Remarque 2 2 4 2 3 3 6" xfId="9243" xr:uid="{00000000-0005-0000-0000-00000E2D0000}"/>
    <cellStyle name="Remarque 2 2 4 2 3 3 6 2" xfId="33257" xr:uid="{00000000-0005-0000-0000-00000F2D0000}"/>
    <cellStyle name="Remarque 2 2 4 2 3 3 6 2 2" xfId="57217" xr:uid="{00000000-0005-0000-0000-0000102D0000}"/>
    <cellStyle name="Remarque 2 2 4 2 3 3 6 3" xfId="20504" xr:uid="{00000000-0005-0000-0000-0000112D0000}"/>
    <cellStyle name="Remarque 2 2 4 2 3 3 6 4" xfId="44464" xr:uid="{00000000-0005-0000-0000-0000122D0000}"/>
    <cellStyle name="Remarque 2 2 4 2 3 3 7" xfId="10700" xr:uid="{00000000-0005-0000-0000-0000132D0000}"/>
    <cellStyle name="Remarque 2 2 4 2 3 3 7 2" xfId="34710" xr:uid="{00000000-0005-0000-0000-0000142D0000}"/>
    <cellStyle name="Remarque 2 2 4 2 3 3 7 2 2" xfId="58670" xr:uid="{00000000-0005-0000-0000-0000152D0000}"/>
    <cellStyle name="Remarque 2 2 4 2 3 3 7 3" xfId="21967" xr:uid="{00000000-0005-0000-0000-0000162D0000}"/>
    <cellStyle name="Remarque 2 2 4 2 3 3 7 4" xfId="45927" xr:uid="{00000000-0005-0000-0000-0000172D0000}"/>
    <cellStyle name="Remarque 2 2 4 2 3 3 8" xfId="12167" xr:uid="{00000000-0005-0000-0000-0000182D0000}"/>
    <cellStyle name="Remarque 2 2 4 2 3 3 8 2" xfId="23450" xr:uid="{00000000-0005-0000-0000-0000192D0000}"/>
    <cellStyle name="Remarque 2 2 4 2 3 3 8 3" xfId="47410" xr:uid="{00000000-0005-0000-0000-00001A2D0000}"/>
    <cellStyle name="Remarque 2 2 4 2 3 3 9" xfId="2172" xr:uid="{00000000-0005-0000-0000-00001B2D0000}"/>
    <cellStyle name="Remarque 2 2 4 2 3 3 9 2" xfId="26186" xr:uid="{00000000-0005-0000-0000-00001C2D0000}"/>
    <cellStyle name="Remarque 2 2 4 2 3 3 9 3" xfId="50146" xr:uid="{00000000-0005-0000-0000-00001D2D0000}"/>
    <cellStyle name="Remarque 2 2 4 2 3 4" xfId="930" xr:uid="{00000000-0005-0000-0000-00001E2D0000}"/>
    <cellStyle name="Remarque 2 2 4 2 3 4 10" xfId="24962" xr:uid="{00000000-0005-0000-0000-00001F2D0000}"/>
    <cellStyle name="Remarque 2 2 4 2 3 4 10 2" xfId="48922" xr:uid="{00000000-0005-0000-0000-0000202D0000}"/>
    <cellStyle name="Remarque 2 2 4 2 3 4 11" xfId="35753" xr:uid="{00000000-0005-0000-0000-0000212D0000}"/>
    <cellStyle name="Remarque 2 2 4 2 3 4 11 2" xfId="59713" xr:uid="{00000000-0005-0000-0000-0000222D0000}"/>
    <cellStyle name="Remarque 2 2 4 2 3 4 12" xfId="13627" xr:uid="{00000000-0005-0000-0000-0000232D0000}"/>
    <cellStyle name="Remarque 2 2 4 2 3 4 13" xfId="37587" xr:uid="{00000000-0005-0000-0000-0000242D0000}"/>
    <cellStyle name="Remarque 2 2 4 2 3 4 2" xfId="3836" xr:uid="{00000000-0005-0000-0000-0000252D0000}"/>
    <cellStyle name="Remarque 2 2 4 2 3 4 2 2" xfId="27850" xr:uid="{00000000-0005-0000-0000-0000262D0000}"/>
    <cellStyle name="Remarque 2 2 4 2 3 4 2 2 2" xfId="51810" xr:uid="{00000000-0005-0000-0000-0000272D0000}"/>
    <cellStyle name="Remarque 2 2 4 2 3 4 2 3" xfId="15097" xr:uid="{00000000-0005-0000-0000-0000282D0000}"/>
    <cellStyle name="Remarque 2 2 4 2 3 4 2 4" xfId="39057" xr:uid="{00000000-0005-0000-0000-0000292D0000}"/>
    <cellStyle name="Remarque 2 2 4 2 3 4 3" xfId="5270" xr:uid="{00000000-0005-0000-0000-00002A2D0000}"/>
    <cellStyle name="Remarque 2 2 4 2 3 4 3 2" xfId="29284" xr:uid="{00000000-0005-0000-0000-00002B2D0000}"/>
    <cellStyle name="Remarque 2 2 4 2 3 4 3 2 2" xfId="53244" xr:uid="{00000000-0005-0000-0000-00002C2D0000}"/>
    <cellStyle name="Remarque 2 2 4 2 3 4 3 3" xfId="16531" xr:uid="{00000000-0005-0000-0000-00002D2D0000}"/>
    <cellStyle name="Remarque 2 2 4 2 3 4 3 4" xfId="40491" xr:uid="{00000000-0005-0000-0000-00002E2D0000}"/>
    <cellStyle name="Remarque 2 2 4 2 3 4 4" xfId="6664" xr:uid="{00000000-0005-0000-0000-00002F2D0000}"/>
    <cellStyle name="Remarque 2 2 4 2 3 4 4 2" xfId="30678" xr:uid="{00000000-0005-0000-0000-0000302D0000}"/>
    <cellStyle name="Remarque 2 2 4 2 3 4 4 2 2" xfId="54638" xr:uid="{00000000-0005-0000-0000-0000312D0000}"/>
    <cellStyle name="Remarque 2 2 4 2 3 4 4 3" xfId="17925" xr:uid="{00000000-0005-0000-0000-0000322D0000}"/>
    <cellStyle name="Remarque 2 2 4 2 3 4 4 4" xfId="41885" xr:uid="{00000000-0005-0000-0000-0000332D0000}"/>
    <cellStyle name="Remarque 2 2 4 2 3 4 5" xfId="8052" xr:uid="{00000000-0005-0000-0000-0000342D0000}"/>
    <cellStyle name="Remarque 2 2 4 2 3 4 5 2" xfId="32066" xr:uid="{00000000-0005-0000-0000-0000352D0000}"/>
    <cellStyle name="Remarque 2 2 4 2 3 4 5 2 2" xfId="56026" xr:uid="{00000000-0005-0000-0000-0000362D0000}"/>
    <cellStyle name="Remarque 2 2 4 2 3 4 5 3" xfId="19313" xr:uid="{00000000-0005-0000-0000-0000372D0000}"/>
    <cellStyle name="Remarque 2 2 4 2 3 4 5 4" xfId="43273" xr:uid="{00000000-0005-0000-0000-0000382D0000}"/>
    <cellStyle name="Remarque 2 2 4 2 3 4 6" xfId="9437" xr:uid="{00000000-0005-0000-0000-0000392D0000}"/>
    <cellStyle name="Remarque 2 2 4 2 3 4 6 2" xfId="33451" xr:uid="{00000000-0005-0000-0000-00003A2D0000}"/>
    <cellStyle name="Remarque 2 2 4 2 3 4 6 2 2" xfId="57411" xr:uid="{00000000-0005-0000-0000-00003B2D0000}"/>
    <cellStyle name="Remarque 2 2 4 2 3 4 6 3" xfId="20698" xr:uid="{00000000-0005-0000-0000-00003C2D0000}"/>
    <cellStyle name="Remarque 2 2 4 2 3 4 6 4" xfId="44658" xr:uid="{00000000-0005-0000-0000-00003D2D0000}"/>
    <cellStyle name="Remarque 2 2 4 2 3 4 7" xfId="10894" xr:uid="{00000000-0005-0000-0000-00003E2D0000}"/>
    <cellStyle name="Remarque 2 2 4 2 3 4 7 2" xfId="34904" xr:uid="{00000000-0005-0000-0000-00003F2D0000}"/>
    <cellStyle name="Remarque 2 2 4 2 3 4 7 2 2" xfId="58864" xr:uid="{00000000-0005-0000-0000-0000402D0000}"/>
    <cellStyle name="Remarque 2 2 4 2 3 4 7 3" xfId="22161" xr:uid="{00000000-0005-0000-0000-0000412D0000}"/>
    <cellStyle name="Remarque 2 2 4 2 3 4 7 4" xfId="46121" xr:uid="{00000000-0005-0000-0000-0000422D0000}"/>
    <cellStyle name="Remarque 2 2 4 2 3 4 8" xfId="11581" xr:uid="{00000000-0005-0000-0000-0000432D0000}"/>
    <cellStyle name="Remarque 2 2 4 2 3 4 8 2" xfId="22848" xr:uid="{00000000-0005-0000-0000-0000442D0000}"/>
    <cellStyle name="Remarque 2 2 4 2 3 4 8 3" xfId="46808" xr:uid="{00000000-0005-0000-0000-0000452D0000}"/>
    <cellStyle name="Remarque 2 2 4 2 3 4 9" xfId="2366" xr:uid="{00000000-0005-0000-0000-0000462D0000}"/>
    <cellStyle name="Remarque 2 2 4 2 3 4 9 2" xfId="26380" xr:uid="{00000000-0005-0000-0000-0000472D0000}"/>
    <cellStyle name="Remarque 2 2 4 2 3 4 9 3" xfId="50340" xr:uid="{00000000-0005-0000-0000-0000482D0000}"/>
    <cellStyle name="Remarque 2 2 4 2 3 5" xfId="1123" xr:uid="{00000000-0005-0000-0000-0000492D0000}"/>
    <cellStyle name="Remarque 2 2 4 2 3 5 10" xfId="25155" xr:uid="{00000000-0005-0000-0000-00004A2D0000}"/>
    <cellStyle name="Remarque 2 2 4 2 3 5 10 2" xfId="49115" xr:uid="{00000000-0005-0000-0000-00004B2D0000}"/>
    <cellStyle name="Remarque 2 2 4 2 3 5 11" xfId="36571" xr:uid="{00000000-0005-0000-0000-00004C2D0000}"/>
    <cellStyle name="Remarque 2 2 4 2 3 5 11 2" xfId="60531" xr:uid="{00000000-0005-0000-0000-00004D2D0000}"/>
    <cellStyle name="Remarque 2 2 4 2 3 5 12" xfId="13820" xr:uid="{00000000-0005-0000-0000-00004E2D0000}"/>
    <cellStyle name="Remarque 2 2 4 2 3 5 13" xfId="37780" xr:uid="{00000000-0005-0000-0000-00004F2D0000}"/>
    <cellStyle name="Remarque 2 2 4 2 3 5 2" xfId="4029" xr:uid="{00000000-0005-0000-0000-0000502D0000}"/>
    <cellStyle name="Remarque 2 2 4 2 3 5 2 2" xfId="28043" xr:uid="{00000000-0005-0000-0000-0000512D0000}"/>
    <cellStyle name="Remarque 2 2 4 2 3 5 2 2 2" xfId="52003" xr:uid="{00000000-0005-0000-0000-0000522D0000}"/>
    <cellStyle name="Remarque 2 2 4 2 3 5 2 3" xfId="15290" xr:uid="{00000000-0005-0000-0000-0000532D0000}"/>
    <cellStyle name="Remarque 2 2 4 2 3 5 2 4" xfId="39250" xr:uid="{00000000-0005-0000-0000-0000542D0000}"/>
    <cellStyle name="Remarque 2 2 4 2 3 5 3" xfId="5463" xr:uid="{00000000-0005-0000-0000-0000552D0000}"/>
    <cellStyle name="Remarque 2 2 4 2 3 5 3 2" xfId="29477" xr:uid="{00000000-0005-0000-0000-0000562D0000}"/>
    <cellStyle name="Remarque 2 2 4 2 3 5 3 2 2" xfId="53437" xr:uid="{00000000-0005-0000-0000-0000572D0000}"/>
    <cellStyle name="Remarque 2 2 4 2 3 5 3 3" xfId="16724" xr:uid="{00000000-0005-0000-0000-0000582D0000}"/>
    <cellStyle name="Remarque 2 2 4 2 3 5 3 4" xfId="40684" xr:uid="{00000000-0005-0000-0000-0000592D0000}"/>
    <cellStyle name="Remarque 2 2 4 2 3 5 4" xfId="6857" xr:uid="{00000000-0005-0000-0000-00005A2D0000}"/>
    <cellStyle name="Remarque 2 2 4 2 3 5 4 2" xfId="30871" xr:uid="{00000000-0005-0000-0000-00005B2D0000}"/>
    <cellStyle name="Remarque 2 2 4 2 3 5 4 2 2" xfId="54831" xr:uid="{00000000-0005-0000-0000-00005C2D0000}"/>
    <cellStyle name="Remarque 2 2 4 2 3 5 4 3" xfId="18118" xr:uid="{00000000-0005-0000-0000-00005D2D0000}"/>
    <cellStyle name="Remarque 2 2 4 2 3 5 4 4" xfId="42078" xr:uid="{00000000-0005-0000-0000-00005E2D0000}"/>
    <cellStyle name="Remarque 2 2 4 2 3 5 5" xfId="8245" xr:uid="{00000000-0005-0000-0000-00005F2D0000}"/>
    <cellStyle name="Remarque 2 2 4 2 3 5 5 2" xfId="32259" xr:uid="{00000000-0005-0000-0000-0000602D0000}"/>
    <cellStyle name="Remarque 2 2 4 2 3 5 5 2 2" xfId="56219" xr:uid="{00000000-0005-0000-0000-0000612D0000}"/>
    <cellStyle name="Remarque 2 2 4 2 3 5 5 3" xfId="19506" xr:uid="{00000000-0005-0000-0000-0000622D0000}"/>
    <cellStyle name="Remarque 2 2 4 2 3 5 5 4" xfId="43466" xr:uid="{00000000-0005-0000-0000-0000632D0000}"/>
    <cellStyle name="Remarque 2 2 4 2 3 5 6" xfId="9630" xr:uid="{00000000-0005-0000-0000-0000642D0000}"/>
    <cellStyle name="Remarque 2 2 4 2 3 5 6 2" xfId="33644" xr:uid="{00000000-0005-0000-0000-0000652D0000}"/>
    <cellStyle name="Remarque 2 2 4 2 3 5 6 2 2" xfId="57604" xr:uid="{00000000-0005-0000-0000-0000662D0000}"/>
    <cellStyle name="Remarque 2 2 4 2 3 5 6 3" xfId="20891" xr:uid="{00000000-0005-0000-0000-0000672D0000}"/>
    <cellStyle name="Remarque 2 2 4 2 3 5 6 4" xfId="44851" xr:uid="{00000000-0005-0000-0000-0000682D0000}"/>
    <cellStyle name="Remarque 2 2 4 2 3 5 7" xfId="11087" xr:uid="{00000000-0005-0000-0000-0000692D0000}"/>
    <cellStyle name="Remarque 2 2 4 2 3 5 7 2" xfId="35097" xr:uid="{00000000-0005-0000-0000-00006A2D0000}"/>
    <cellStyle name="Remarque 2 2 4 2 3 5 7 2 2" xfId="59057" xr:uid="{00000000-0005-0000-0000-00006B2D0000}"/>
    <cellStyle name="Remarque 2 2 4 2 3 5 7 3" xfId="22354" xr:uid="{00000000-0005-0000-0000-00006C2D0000}"/>
    <cellStyle name="Remarque 2 2 4 2 3 5 7 4" xfId="46314" xr:uid="{00000000-0005-0000-0000-00006D2D0000}"/>
    <cellStyle name="Remarque 2 2 4 2 3 5 8" xfId="12747" xr:uid="{00000000-0005-0000-0000-00006E2D0000}"/>
    <cellStyle name="Remarque 2 2 4 2 3 5 8 2" xfId="24054" xr:uid="{00000000-0005-0000-0000-00006F2D0000}"/>
    <cellStyle name="Remarque 2 2 4 2 3 5 8 3" xfId="48014" xr:uid="{00000000-0005-0000-0000-0000702D0000}"/>
    <cellStyle name="Remarque 2 2 4 2 3 5 9" xfId="2559" xr:uid="{00000000-0005-0000-0000-0000712D0000}"/>
    <cellStyle name="Remarque 2 2 4 2 3 5 9 2" xfId="26573" xr:uid="{00000000-0005-0000-0000-0000722D0000}"/>
    <cellStyle name="Remarque 2 2 4 2 3 5 9 3" xfId="50533" xr:uid="{00000000-0005-0000-0000-0000732D0000}"/>
    <cellStyle name="Remarque 2 2 4 2 3 6" xfId="1290" xr:uid="{00000000-0005-0000-0000-0000742D0000}"/>
    <cellStyle name="Remarque 2 2 4 2 3 6 10" xfId="25322" xr:uid="{00000000-0005-0000-0000-0000752D0000}"/>
    <cellStyle name="Remarque 2 2 4 2 3 6 10 2" xfId="49282" xr:uid="{00000000-0005-0000-0000-0000762D0000}"/>
    <cellStyle name="Remarque 2 2 4 2 3 6 11" xfId="35830" xr:uid="{00000000-0005-0000-0000-0000772D0000}"/>
    <cellStyle name="Remarque 2 2 4 2 3 6 11 2" xfId="59790" xr:uid="{00000000-0005-0000-0000-0000782D0000}"/>
    <cellStyle name="Remarque 2 2 4 2 3 6 12" xfId="13987" xr:uid="{00000000-0005-0000-0000-0000792D0000}"/>
    <cellStyle name="Remarque 2 2 4 2 3 6 13" xfId="37947" xr:uid="{00000000-0005-0000-0000-00007A2D0000}"/>
    <cellStyle name="Remarque 2 2 4 2 3 6 2" xfId="4196" xr:uid="{00000000-0005-0000-0000-00007B2D0000}"/>
    <cellStyle name="Remarque 2 2 4 2 3 6 2 2" xfId="28210" xr:uid="{00000000-0005-0000-0000-00007C2D0000}"/>
    <cellStyle name="Remarque 2 2 4 2 3 6 2 2 2" xfId="52170" xr:uid="{00000000-0005-0000-0000-00007D2D0000}"/>
    <cellStyle name="Remarque 2 2 4 2 3 6 2 3" xfId="15457" xr:uid="{00000000-0005-0000-0000-00007E2D0000}"/>
    <cellStyle name="Remarque 2 2 4 2 3 6 2 4" xfId="39417" xr:uid="{00000000-0005-0000-0000-00007F2D0000}"/>
    <cellStyle name="Remarque 2 2 4 2 3 6 3" xfId="5630" xr:uid="{00000000-0005-0000-0000-0000802D0000}"/>
    <cellStyle name="Remarque 2 2 4 2 3 6 3 2" xfId="29644" xr:uid="{00000000-0005-0000-0000-0000812D0000}"/>
    <cellStyle name="Remarque 2 2 4 2 3 6 3 2 2" xfId="53604" xr:uid="{00000000-0005-0000-0000-0000822D0000}"/>
    <cellStyle name="Remarque 2 2 4 2 3 6 3 3" xfId="16891" xr:uid="{00000000-0005-0000-0000-0000832D0000}"/>
    <cellStyle name="Remarque 2 2 4 2 3 6 3 4" xfId="40851" xr:uid="{00000000-0005-0000-0000-0000842D0000}"/>
    <cellStyle name="Remarque 2 2 4 2 3 6 4" xfId="7024" xr:uid="{00000000-0005-0000-0000-0000852D0000}"/>
    <cellStyle name="Remarque 2 2 4 2 3 6 4 2" xfId="31038" xr:uid="{00000000-0005-0000-0000-0000862D0000}"/>
    <cellStyle name="Remarque 2 2 4 2 3 6 4 2 2" xfId="54998" xr:uid="{00000000-0005-0000-0000-0000872D0000}"/>
    <cellStyle name="Remarque 2 2 4 2 3 6 4 3" xfId="18285" xr:uid="{00000000-0005-0000-0000-0000882D0000}"/>
    <cellStyle name="Remarque 2 2 4 2 3 6 4 4" xfId="42245" xr:uid="{00000000-0005-0000-0000-0000892D0000}"/>
    <cellStyle name="Remarque 2 2 4 2 3 6 5" xfId="8412" xr:uid="{00000000-0005-0000-0000-00008A2D0000}"/>
    <cellStyle name="Remarque 2 2 4 2 3 6 5 2" xfId="32426" xr:uid="{00000000-0005-0000-0000-00008B2D0000}"/>
    <cellStyle name="Remarque 2 2 4 2 3 6 5 2 2" xfId="56386" xr:uid="{00000000-0005-0000-0000-00008C2D0000}"/>
    <cellStyle name="Remarque 2 2 4 2 3 6 5 3" xfId="19673" xr:uid="{00000000-0005-0000-0000-00008D2D0000}"/>
    <cellStyle name="Remarque 2 2 4 2 3 6 5 4" xfId="43633" xr:uid="{00000000-0005-0000-0000-00008E2D0000}"/>
    <cellStyle name="Remarque 2 2 4 2 3 6 6" xfId="9797" xr:uid="{00000000-0005-0000-0000-00008F2D0000}"/>
    <cellStyle name="Remarque 2 2 4 2 3 6 6 2" xfId="33811" xr:uid="{00000000-0005-0000-0000-0000902D0000}"/>
    <cellStyle name="Remarque 2 2 4 2 3 6 6 2 2" xfId="57771" xr:uid="{00000000-0005-0000-0000-0000912D0000}"/>
    <cellStyle name="Remarque 2 2 4 2 3 6 6 3" xfId="21058" xr:uid="{00000000-0005-0000-0000-0000922D0000}"/>
    <cellStyle name="Remarque 2 2 4 2 3 6 6 4" xfId="45018" xr:uid="{00000000-0005-0000-0000-0000932D0000}"/>
    <cellStyle name="Remarque 2 2 4 2 3 6 7" xfId="11254" xr:uid="{00000000-0005-0000-0000-0000942D0000}"/>
    <cellStyle name="Remarque 2 2 4 2 3 6 7 2" xfId="35264" xr:uid="{00000000-0005-0000-0000-0000952D0000}"/>
    <cellStyle name="Remarque 2 2 4 2 3 6 7 2 2" xfId="59224" xr:uid="{00000000-0005-0000-0000-0000962D0000}"/>
    <cellStyle name="Remarque 2 2 4 2 3 6 7 3" xfId="22521" xr:uid="{00000000-0005-0000-0000-0000972D0000}"/>
    <cellStyle name="Remarque 2 2 4 2 3 6 7 4" xfId="46481" xr:uid="{00000000-0005-0000-0000-0000982D0000}"/>
    <cellStyle name="Remarque 2 2 4 2 3 6 8" xfId="12360" xr:uid="{00000000-0005-0000-0000-0000992D0000}"/>
    <cellStyle name="Remarque 2 2 4 2 3 6 8 2" xfId="23649" xr:uid="{00000000-0005-0000-0000-00009A2D0000}"/>
    <cellStyle name="Remarque 2 2 4 2 3 6 8 3" xfId="47609" xr:uid="{00000000-0005-0000-0000-00009B2D0000}"/>
    <cellStyle name="Remarque 2 2 4 2 3 6 9" xfId="2726" xr:uid="{00000000-0005-0000-0000-00009C2D0000}"/>
    <cellStyle name="Remarque 2 2 4 2 3 6 9 2" xfId="26740" xr:uid="{00000000-0005-0000-0000-00009D2D0000}"/>
    <cellStyle name="Remarque 2 2 4 2 3 6 9 3" xfId="50700" xr:uid="{00000000-0005-0000-0000-00009E2D0000}"/>
    <cellStyle name="Remarque 2 2 4 2 3 7" xfId="1459" xr:uid="{00000000-0005-0000-0000-00009F2D0000}"/>
    <cellStyle name="Remarque 2 2 4 2 3 7 10" xfId="25491" xr:uid="{00000000-0005-0000-0000-0000A02D0000}"/>
    <cellStyle name="Remarque 2 2 4 2 3 7 10 2" xfId="49451" xr:uid="{00000000-0005-0000-0000-0000A12D0000}"/>
    <cellStyle name="Remarque 2 2 4 2 3 7 11" xfId="36205" xr:uid="{00000000-0005-0000-0000-0000A22D0000}"/>
    <cellStyle name="Remarque 2 2 4 2 3 7 11 2" xfId="60165" xr:uid="{00000000-0005-0000-0000-0000A32D0000}"/>
    <cellStyle name="Remarque 2 2 4 2 3 7 12" xfId="14156" xr:uid="{00000000-0005-0000-0000-0000A42D0000}"/>
    <cellStyle name="Remarque 2 2 4 2 3 7 13" xfId="38116" xr:uid="{00000000-0005-0000-0000-0000A52D0000}"/>
    <cellStyle name="Remarque 2 2 4 2 3 7 2" xfId="4365" xr:uid="{00000000-0005-0000-0000-0000A62D0000}"/>
    <cellStyle name="Remarque 2 2 4 2 3 7 2 2" xfId="28379" xr:uid="{00000000-0005-0000-0000-0000A72D0000}"/>
    <cellStyle name="Remarque 2 2 4 2 3 7 2 2 2" xfId="52339" xr:uid="{00000000-0005-0000-0000-0000A82D0000}"/>
    <cellStyle name="Remarque 2 2 4 2 3 7 2 3" xfId="15626" xr:uid="{00000000-0005-0000-0000-0000A92D0000}"/>
    <cellStyle name="Remarque 2 2 4 2 3 7 2 4" xfId="39586" xr:uid="{00000000-0005-0000-0000-0000AA2D0000}"/>
    <cellStyle name="Remarque 2 2 4 2 3 7 3" xfId="5799" xr:uid="{00000000-0005-0000-0000-0000AB2D0000}"/>
    <cellStyle name="Remarque 2 2 4 2 3 7 3 2" xfId="29813" xr:uid="{00000000-0005-0000-0000-0000AC2D0000}"/>
    <cellStyle name="Remarque 2 2 4 2 3 7 3 2 2" xfId="53773" xr:uid="{00000000-0005-0000-0000-0000AD2D0000}"/>
    <cellStyle name="Remarque 2 2 4 2 3 7 3 3" xfId="17060" xr:uid="{00000000-0005-0000-0000-0000AE2D0000}"/>
    <cellStyle name="Remarque 2 2 4 2 3 7 3 4" xfId="41020" xr:uid="{00000000-0005-0000-0000-0000AF2D0000}"/>
    <cellStyle name="Remarque 2 2 4 2 3 7 4" xfId="7193" xr:uid="{00000000-0005-0000-0000-0000B02D0000}"/>
    <cellStyle name="Remarque 2 2 4 2 3 7 4 2" xfId="31207" xr:uid="{00000000-0005-0000-0000-0000B12D0000}"/>
    <cellStyle name="Remarque 2 2 4 2 3 7 4 2 2" xfId="55167" xr:uid="{00000000-0005-0000-0000-0000B22D0000}"/>
    <cellStyle name="Remarque 2 2 4 2 3 7 4 3" xfId="18454" xr:uid="{00000000-0005-0000-0000-0000B32D0000}"/>
    <cellStyle name="Remarque 2 2 4 2 3 7 4 4" xfId="42414" xr:uid="{00000000-0005-0000-0000-0000B42D0000}"/>
    <cellStyle name="Remarque 2 2 4 2 3 7 5" xfId="8581" xr:uid="{00000000-0005-0000-0000-0000B52D0000}"/>
    <cellStyle name="Remarque 2 2 4 2 3 7 5 2" xfId="32595" xr:uid="{00000000-0005-0000-0000-0000B62D0000}"/>
    <cellStyle name="Remarque 2 2 4 2 3 7 5 2 2" xfId="56555" xr:uid="{00000000-0005-0000-0000-0000B72D0000}"/>
    <cellStyle name="Remarque 2 2 4 2 3 7 5 3" xfId="19842" xr:uid="{00000000-0005-0000-0000-0000B82D0000}"/>
    <cellStyle name="Remarque 2 2 4 2 3 7 5 4" xfId="43802" xr:uid="{00000000-0005-0000-0000-0000B92D0000}"/>
    <cellStyle name="Remarque 2 2 4 2 3 7 6" xfId="9966" xr:uid="{00000000-0005-0000-0000-0000BA2D0000}"/>
    <cellStyle name="Remarque 2 2 4 2 3 7 6 2" xfId="33980" xr:uid="{00000000-0005-0000-0000-0000BB2D0000}"/>
    <cellStyle name="Remarque 2 2 4 2 3 7 6 2 2" xfId="57940" xr:uid="{00000000-0005-0000-0000-0000BC2D0000}"/>
    <cellStyle name="Remarque 2 2 4 2 3 7 6 3" xfId="21227" xr:uid="{00000000-0005-0000-0000-0000BD2D0000}"/>
    <cellStyle name="Remarque 2 2 4 2 3 7 6 4" xfId="45187" xr:uid="{00000000-0005-0000-0000-0000BE2D0000}"/>
    <cellStyle name="Remarque 2 2 4 2 3 7 7" xfId="11423" xr:uid="{00000000-0005-0000-0000-0000BF2D0000}"/>
    <cellStyle name="Remarque 2 2 4 2 3 7 7 2" xfId="35433" xr:uid="{00000000-0005-0000-0000-0000C02D0000}"/>
    <cellStyle name="Remarque 2 2 4 2 3 7 7 2 2" xfId="59393" xr:uid="{00000000-0005-0000-0000-0000C12D0000}"/>
    <cellStyle name="Remarque 2 2 4 2 3 7 7 3" xfId="22690" xr:uid="{00000000-0005-0000-0000-0000C22D0000}"/>
    <cellStyle name="Remarque 2 2 4 2 3 7 7 4" xfId="46650" xr:uid="{00000000-0005-0000-0000-0000C32D0000}"/>
    <cellStyle name="Remarque 2 2 4 2 3 7 8" xfId="12413" xr:uid="{00000000-0005-0000-0000-0000C42D0000}"/>
    <cellStyle name="Remarque 2 2 4 2 3 7 8 2" xfId="23704" xr:uid="{00000000-0005-0000-0000-0000C52D0000}"/>
    <cellStyle name="Remarque 2 2 4 2 3 7 8 3" xfId="47664" xr:uid="{00000000-0005-0000-0000-0000C62D0000}"/>
    <cellStyle name="Remarque 2 2 4 2 3 7 9" xfId="2895" xr:uid="{00000000-0005-0000-0000-0000C72D0000}"/>
    <cellStyle name="Remarque 2 2 4 2 3 7 9 2" xfId="26909" xr:uid="{00000000-0005-0000-0000-0000C82D0000}"/>
    <cellStyle name="Remarque 2 2 4 2 3 7 9 3" xfId="50869" xr:uid="{00000000-0005-0000-0000-0000C92D0000}"/>
    <cellStyle name="Remarque 2 2 4 2 3 8" xfId="3314" xr:uid="{00000000-0005-0000-0000-0000CA2D0000}"/>
    <cellStyle name="Remarque 2 2 4 2 3 8 2" xfId="27328" xr:uid="{00000000-0005-0000-0000-0000CB2D0000}"/>
    <cellStyle name="Remarque 2 2 4 2 3 8 2 2" xfId="51288" xr:uid="{00000000-0005-0000-0000-0000CC2D0000}"/>
    <cellStyle name="Remarque 2 2 4 2 3 8 3" xfId="14575" xr:uid="{00000000-0005-0000-0000-0000CD2D0000}"/>
    <cellStyle name="Remarque 2 2 4 2 3 8 4" xfId="38535" xr:uid="{00000000-0005-0000-0000-0000CE2D0000}"/>
    <cellStyle name="Remarque 2 2 4 2 3 9" xfId="4748" xr:uid="{00000000-0005-0000-0000-0000CF2D0000}"/>
    <cellStyle name="Remarque 2 2 4 2 3 9 2" xfId="28762" xr:uid="{00000000-0005-0000-0000-0000D02D0000}"/>
    <cellStyle name="Remarque 2 2 4 2 3 9 2 2" xfId="52722" xr:uid="{00000000-0005-0000-0000-0000D12D0000}"/>
    <cellStyle name="Remarque 2 2 4 2 3 9 3" xfId="16009" xr:uid="{00000000-0005-0000-0000-0000D22D0000}"/>
    <cellStyle name="Remarque 2 2 4 2 3 9 4" xfId="39969" xr:uid="{00000000-0005-0000-0000-0000D32D0000}"/>
    <cellStyle name="Remarque 2 2 4 2 4" xfId="448" xr:uid="{00000000-0005-0000-0000-0000D42D0000}"/>
    <cellStyle name="Remarque 2 2 4 2 4 10" xfId="6182" xr:uid="{00000000-0005-0000-0000-0000D52D0000}"/>
    <cellStyle name="Remarque 2 2 4 2 4 10 2" xfId="30196" xr:uid="{00000000-0005-0000-0000-0000D62D0000}"/>
    <cellStyle name="Remarque 2 2 4 2 4 10 2 2" xfId="54156" xr:uid="{00000000-0005-0000-0000-0000D72D0000}"/>
    <cellStyle name="Remarque 2 2 4 2 4 10 3" xfId="17443" xr:uid="{00000000-0005-0000-0000-0000D82D0000}"/>
    <cellStyle name="Remarque 2 2 4 2 4 10 4" xfId="41403" xr:uid="{00000000-0005-0000-0000-0000D92D0000}"/>
    <cellStyle name="Remarque 2 2 4 2 4 11" xfId="7570" xr:uid="{00000000-0005-0000-0000-0000DA2D0000}"/>
    <cellStyle name="Remarque 2 2 4 2 4 11 2" xfId="31584" xr:uid="{00000000-0005-0000-0000-0000DB2D0000}"/>
    <cellStyle name="Remarque 2 2 4 2 4 11 2 2" xfId="55544" xr:uid="{00000000-0005-0000-0000-0000DC2D0000}"/>
    <cellStyle name="Remarque 2 2 4 2 4 11 3" xfId="18831" xr:uid="{00000000-0005-0000-0000-0000DD2D0000}"/>
    <cellStyle name="Remarque 2 2 4 2 4 11 4" xfId="42791" xr:uid="{00000000-0005-0000-0000-0000DE2D0000}"/>
    <cellStyle name="Remarque 2 2 4 2 4 12" xfId="8955" xr:uid="{00000000-0005-0000-0000-0000DF2D0000}"/>
    <cellStyle name="Remarque 2 2 4 2 4 12 2" xfId="32969" xr:uid="{00000000-0005-0000-0000-0000E02D0000}"/>
    <cellStyle name="Remarque 2 2 4 2 4 12 2 2" xfId="56929" xr:uid="{00000000-0005-0000-0000-0000E12D0000}"/>
    <cellStyle name="Remarque 2 2 4 2 4 12 3" xfId="20216" xr:uid="{00000000-0005-0000-0000-0000E22D0000}"/>
    <cellStyle name="Remarque 2 2 4 2 4 12 4" xfId="44176" xr:uid="{00000000-0005-0000-0000-0000E32D0000}"/>
    <cellStyle name="Remarque 2 2 4 2 4 13" xfId="10412" xr:uid="{00000000-0005-0000-0000-0000E42D0000}"/>
    <cellStyle name="Remarque 2 2 4 2 4 13 2" xfId="34422" xr:uid="{00000000-0005-0000-0000-0000E52D0000}"/>
    <cellStyle name="Remarque 2 2 4 2 4 13 2 2" xfId="58382" xr:uid="{00000000-0005-0000-0000-0000E62D0000}"/>
    <cellStyle name="Remarque 2 2 4 2 4 13 3" xfId="21679" xr:uid="{00000000-0005-0000-0000-0000E72D0000}"/>
    <cellStyle name="Remarque 2 2 4 2 4 13 4" xfId="45639" xr:uid="{00000000-0005-0000-0000-0000E82D0000}"/>
    <cellStyle name="Remarque 2 2 4 2 4 14" xfId="11747" xr:uid="{00000000-0005-0000-0000-0000E92D0000}"/>
    <cellStyle name="Remarque 2 2 4 2 4 14 2" xfId="23019" xr:uid="{00000000-0005-0000-0000-0000EA2D0000}"/>
    <cellStyle name="Remarque 2 2 4 2 4 14 3" xfId="46979" xr:uid="{00000000-0005-0000-0000-0000EB2D0000}"/>
    <cellStyle name="Remarque 2 2 4 2 4 15" xfId="1884" xr:uid="{00000000-0005-0000-0000-0000EC2D0000}"/>
    <cellStyle name="Remarque 2 2 4 2 4 15 2" xfId="25898" xr:uid="{00000000-0005-0000-0000-0000ED2D0000}"/>
    <cellStyle name="Remarque 2 2 4 2 4 15 3" xfId="49858" xr:uid="{00000000-0005-0000-0000-0000EE2D0000}"/>
    <cellStyle name="Remarque 2 2 4 2 4 16" xfId="24480" xr:uid="{00000000-0005-0000-0000-0000EF2D0000}"/>
    <cellStyle name="Remarque 2 2 4 2 4 16 2" xfId="48440" xr:uid="{00000000-0005-0000-0000-0000F02D0000}"/>
    <cellStyle name="Remarque 2 2 4 2 4 17" xfId="36082" xr:uid="{00000000-0005-0000-0000-0000F12D0000}"/>
    <cellStyle name="Remarque 2 2 4 2 4 17 2" xfId="60042" xr:uid="{00000000-0005-0000-0000-0000F22D0000}"/>
    <cellStyle name="Remarque 2 2 4 2 4 18" xfId="13145" xr:uid="{00000000-0005-0000-0000-0000F32D0000}"/>
    <cellStyle name="Remarque 2 2 4 2 4 19" xfId="37105" xr:uid="{00000000-0005-0000-0000-0000F42D0000}"/>
    <cellStyle name="Remarque 2 2 4 2 4 2" xfId="584" xr:uid="{00000000-0005-0000-0000-0000F52D0000}"/>
    <cellStyle name="Remarque 2 2 4 2 4 2 10" xfId="24616" xr:uid="{00000000-0005-0000-0000-0000F62D0000}"/>
    <cellStyle name="Remarque 2 2 4 2 4 2 10 2" xfId="48576" xr:uid="{00000000-0005-0000-0000-0000F72D0000}"/>
    <cellStyle name="Remarque 2 2 4 2 4 2 11" xfId="35801" xr:uid="{00000000-0005-0000-0000-0000F82D0000}"/>
    <cellStyle name="Remarque 2 2 4 2 4 2 11 2" xfId="59761" xr:uid="{00000000-0005-0000-0000-0000F92D0000}"/>
    <cellStyle name="Remarque 2 2 4 2 4 2 12" xfId="13281" xr:uid="{00000000-0005-0000-0000-0000FA2D0000}"/>
    <cellStyle name="Remarque 2 2 4 2 4 2 13" xfId="37241" xr:uid="{00000000-0005-0000-0000-0000FB2D0000}"/>
    <cellStyle name="Remarque 2 2 4 2 4 2 2" xfId="3490" xr:uid="{00000000-0005-0000-0000-0000FC2D0000}"/>
    <cellStyle name="Remarque 2 2 4 2 4 2 2 2" xfId="27504" xr:uid="{00000000-0005-0000-0000-0000FD2D0000}"/>
    <cellStyle name="Remarque 2 2 4 2 4 2 2 2 2" xfId="51464" xr:uid="{00000000-0005-0000-0000-0000FE2D0000}"/>
    <cellStyle name="Remarque 2 2 4 2 4 2 2 3" xfId="14751" xr:uid="{00000000-0005-0000-0000-0000FF2D0000}"/>
    <cellStyle name="Remarque 2 2 4 2 4 2 2 4" xfId="38711" xr:uid="{00000000-0005-0000-0000-0000002E0000}"/>
    <cellStyle name="Remarque 2 2 4 2 4 2 3" xfId="4924" xr:uid="{00000000-0005-0000-0000-0000012E0000}"/>
    <cellStyle name="Remarque 2 2 4 2 4 2 3 2" xfId="28938" xr:uid="{00000000-0005-0000-0000-0000022E0000}"/>
    <cellStyle name="Remarque 2 2 4 2 4 2 3 2 2" xfId="52898" xr:uid="{00000000-0005-0000-0000-0000032E0000}"/>
    <cellStyle name="Remarque 2 2 4 2 4 2 3 3" xfId="16185" xr:uid="{00000000-0005-0000-0000-0000042E0000}"/>
    <cellStyle name="Remarque 2 2 4 2 4 2 3 4" xfId="40145" xr:uid="{00000000-0005-0000-0000-0000052E0000}"/>
    <cellStyle name="Remarque 2 2 4 2 4 2 4" xfId="6318" xr:uid="{00000000-0005-0000-0000-0000062E0000}"/>
    <cellStyle name="Remarque 2 2 4 2 4 2 4 2" xfId="30332" xr:uid="{00000000-0005-0000-0000-0000072E0000}"/>
    <cellStyle name="Remarque 2 2 4 2 4 2 4 2 2" xfId="54292" xr:uid="{00000000-0005-0000-0000-0000082E0000}"/>
    <cellStyle name="Remarque 2 2 4 2 4 2 4 3" xfId="17579" xr:uid="{00000000-0005-0000-0000-0000092E0000}"/>
    <cellStyle name="Remarque 2 2 4 2 4 2 4 4" xfId="41539" xr:uid="{00000000-0005-0000-0000-00000A2E0000}"/>
    <cellStyle name="Remarque 2 2 4 2 4 2 5" xfId="7706" xr:uid="{00000000-0005-0000-0000-00000B2E0000}"/>
    <cellStyle name="Remarque 2 2 4 2 4 2 5 2" xfId="31720" xr:uid="{00000000-0005-0000-0000-00000C2E0000}"/>
    <cellStyle name="Remarque 2 2 4 2 4 2 5 2 2" xfId="55680" xr:uid="{00000000-0005-0000-0000-00000D2E0000}"/>
    <cellStyle name="Remarque 2 2 4 2 4 2 5 3" xfId="18967" xr:uid="{00000000-0005-0000-0000-00000E2E0000}"/>
    <cellStyle name="Remarque 2 2 4 2 4 2 5 4" xfId="42927" xr:uid="{00000000-0005-0000-0000-00000F2E0000}"/>
    <cellStyle name="Remarque 2 2 4 2 4 2 6" xfId="9091" xr:uid="{00000000-0005-0000-0000-0000102E0000}"/>
    <cellStyle name="Remarque 2 2 4 2 4 2 6 2" xfId="33105" xr:uid="{00000000-0005-0000-0000-0000112E0000}"/>
    <cellStyle name="Remarque 2 2 4 2 4 2 6 2 2" xfId="57065" xr:uid="{00000000-0005-0000-0000-0000122E0000}"/>
    <cellStyle name="Remarque 2 2 4 2 4 2 6 3" xfId="20352" xr:uid="{00000000-0005-0000-0000-0000132E0000}"/>
    <cellStyle name="Remarque 2 2 4 2 4 2 6 4" xfId="44312" xr:uid="{00000000-0005-0000-0000-0000142E0000}"/>
    <cellStyle name="Remarque 2 2 4 2 4 2 7" xfId="10548" xr:uid="{00000000-0005-0000-0000-0000152E0000}"/>
    <cellStyle name="Remarque 2 2 4 2 4 2 7 2" xfId="34558" xr:uid="{00000000-0005-0000-0000-0000162E0000}"/>
    <cellStyle name="Remarque 2 2 4 2 4 2 7 2 2" xfId="58518" xr:uid="{00000000-0005-0000-0000-0000172E0000}"/>
    <cellStyle name="Remarque 2 2 4 2 4 2 7 3" xfId="21815" xr:uid="{00000000-0005-0000-0000-0000182E0000}"/>
    <cellStyle name="Remarque 2 2 4 2 4 2 7 4" xfId="45775" xr:uid="{00000000-0005-0000-0000-0000192E0000}"/>
    <cellStyle name="Remarque 2 2 4 2 4 2 8" xfId="12246" xr:uid="{00000000-0005-0000-0000-00001A2E0000}"/>
    <cellStyle name="Remarque 2 2 4 2 4 2 8 2" xfId="23531" xr:uid="{00000000-0005-0000-0000-00001B2E0000}"/>
    <cellStyle name="Remarque 2 2 4 2 4 2 8 3" xfId="47491" xr:uid="{00000000-0005-0000-0000-00001C2E0000}"/>
    <cellStyle name="Remarque 2 2 4 2 4 2 9" xfId="2020" xr:uid="{00000000-0005-0000-0000-00001D2E0000}"/>
    <cellStyle name="Remarque 2 2 4 2 4 2 9 2" xfId="26034" xr:uid="{00000000-0005-0000-0000-00001E2E0000}"/>
    <cellStyle name="Remarque 2 2 4 2 4 2 9 3" xfId="49994" xr:uid="{00000000-0005-0000-0000-00001F2E0000}"/>
    <cellStyle name="Remarque 2 2 4 2 4 3" xfId="776" xr:uid="{00000000-0005-0000-0000-0000202E0000}"/>
    <cellStyle name="Remarque 2 2 4 2 4 3 10" xfId="24808" xr:uid="{00000000-0005-0000-0000-0000212E0000}"/>
    <cellStyle name="Remarque 2 2 4 2 4 3 10 2" xfId="48768" xr:uid="{00000000-0005-0000-0000-0000222E0000}"/>
    <cellStyle name="Remarque 2 2 4 2 4 3 11" xfId="36491" xr:uid="{00000000-0005-0000-0000-0000232E0000}"/>
    <cellStyle name="Remarque 2 2 4 2 4 3 11 2" xfId="60451" xr:uid="{00000000-0005-0000-0000-0000242E0000}"/>
    <cellStyle name="Remarque 2 2 4 2 4 3 12" xfId="13473" xr:uid="{00000000-0005-0000-0000-0000252E0000}"/>
    <cellStyle name="Remarque 2 2 4 2 4 3 13" xfId="37433" xr:uid="{00000000-0005-0000-0000-0000262E0000}"/>
    <cellStyle name="Remarque 2 2 4 2 4 3 2" xfId="3682" xr:uid="{00000000-0005-0000-0000-0000272E0000}"/>
    <cellStyle name="Remarque 2 2 4 2 4 3 2 2" xfId="27696" xr:uid="{00000000-0005-0000-0000-0000282E0000}"/>
    <cellStyle name="Remarque 2 2 4 2 4 3 2 2 2" xfId="51656" xr:uid="{00000000-0005-0000-0000-0000292E0000}"/>
    <cellStyle name="Remarque 2 2 4 2 4 3 2 3" xfId="14943" xr:uid="{00000000-0005-0000-0000-00002A2E0000}"/>
    <cellStyle name="Remarque 2 2 4 2 4 3 2 4" xfId="38903" xr:uid="{00000000-0005-0000-0000-00002B2E0000}"/>
    <cellStyle name="Remarque 2 2 4 2 4 3 3" xfId="5116" xr:uid="{00000000-0005-0000-0000-00002C2E0000}"/>
    <cellStyle name="Remarque 2 2 4 2 4 3 3 2" xfId="29130" xr:uid="{00000000-0005-0000-0000-00002D2E0000}"/>
    <cellStyle name="Remarque 2 2 4 2 4 3 3 2 2" xfId="53090" xr:uid="{00000000-0005-0000-0000-00002E2E0000}"/>
    <cellStyle name="Remarque 2 2 4 2 4 3 3 3" xfId="16377" xr:uid="{00000000-0005-0000-0000-00002F2E0000}"/>
    <cellStyle name="Remarque 2 2 4 2 4 3 3 4" xfId="40337" xr:uid="{00000000-0005-0000-0000-0000302E0000}"/>
    <cellStyle name="Remarque 2 2 4 2 4 3 4" xfId="6510" xr:uid="{00000000-0005-0000-0000-0000312E0000}"/>
    <cellStyle name="Remarque 2 2 4 2 4 3 4 2" xfId="30524" xr:uid="{00000000-0005-0000-0000-0000322E0000}"/>
    <cellStyle name="Remarque 2 2 4 2 4 3 4 2 2" xfId="54484" xr:uid="{00000000-0005-0000-0000-0000332E0000}"/>
    <cellStyle name="Remarque 2 2 4 2 4 3 4 3" xfId="17771" xr:uid="{00000000-0005-0000-0000-0000342E0000}"/>
    <cellStyle name="Remarque 2 2 4 2 4 3 4 4" xfId="41731" xr:uid="{00000000-0005-0000-0000-0000352E0000}"/>
    <cellStyle name="Remarque 2 2 4 2 4 3 5" xfId="7898" xr:uid="{00000000-0005-0000-0000-0000362E0000}"/>
    <cellStyle name="Remarque 2 2 4 2 4 3 5 2" xfId="31912" xr:uid="{00000000-0005-0000-0000-0000372E0000}"/>
    <cellStyle name="Remarque 2 2 4 2 4 3 5 2 2" xfId="55872" xr:uid="{00000000-0005-0000-0000-0000382E0000}"/>
    <cellStyle name="Remarque 2 2 4 2 4 3 5 3" xfId="19159" xr:uid="{00000000-0005-0000-0000-0000392E0000}"/>
    <cellStyle name="Remarque 2 2 4 2 4 3 5 4" xfId="43119" xr:uid="{00000000-0005-0000-0000-00003A2E0000}"/>
    <cellStyle name="Remarque 2 2 4 2 4 3 6" xfId="9283" xr:uid="{00000000-0005-0000-0000-00003B2E0000}"/>
    <cellStyle name="Remarque 2 2 4 2 4 3 6 2" xfId="33297" xr:uid="{00000000-0005-0000-0000-00003C2E0000}"/>
    <cellStyle name="Remarque 2 2 4 2 4 3 6 2 2" xfId="57257" xr:uid="{00000000-0005-0000-0000-00003D2E0000}"/>
    <cellStyle name="Remarque 2 2 4 2 4 3 6 3" xfId="20544" xr:uid="{00000000-0005-0000-0000-00003E2E0000}"/>
    <cellStyle name="Remarque 2 2 4 2 4 3 6 4" xfId="44504" xr:uid="{00000000-0005-0000-0000-00003F2E0000}"/>
    <cellStyle name="Remarque 2 2 4 2 4 3 7" xfId="10740" xr:uid="{00000000-0005-0000-0000-0000402E0000}"/>
    <cellStyle name="Remarque 2 2 4 2 4 3 7 2" xfId="34750" xr:uid="{00000000-0005-0000-0000-0000412E0000}"/>
    <cellStyle name="Remarque 2 2 4 2 4 3 7 2 2" xfId="58710" xr:uid="{00000000-0005-0000-0000-0000422E0000}"/>
    <cellStyle name="Remarque 2 2 4 2 4 3 7 3" xfId="22007" xr:uid="{00000000-0005-0000-0000-0000432E0000}"/>
    <cellStyle name="Remarque 2 2 4 2 4 3 7 4" xfId="45967" xr:uid="{00000000-0005-0000-0000-0000442E0000}"/>
    <cellStyle name="Remarque 2 2 4 2 4 3 8" xfId="11938" xr:uid="{00000000-0005-0000-0000-0000452E0000}"/>
    <cellStyle name="Remarque 2 2 4 2 4 3 8 2" xfId="23216" xr:uid="{00000000-0005-0000-0000-0000462E0000}"/>
    <cellStyle name="Remarque 2 2 4 2 4 3 8 3" xfId="47176" xr:uid="{00000000-0005-0000-0000-0000472E0000}"/>
    <cellStyle name="Remarque 2 2 4 2 4 3 9" xfId="2212" xr:uid="{00000000-0005-0000-0000-0000482E0000}"/>
    <cellStyle name="Remarque 2 2 4 2 4 3 9 2" xfId="26226" xr:uid="{00000000-0005-0000-0000-0000492E0000}"/>
    <cellStyle name="Remarque 2 2 4 2 4 3 9 3" xfId="50186" xr:uid="{00000000-0005-0000-0000-00004A2E0000}"/>
    <cellStyle name="Remarque 2 2 4 2 4 4" xfId="970" xr:uid="{00000000-0005-0000-0000-00004B2E0000}"/>
    <cellStyle name="Remarque 2 2 4 2 4 4 10" xfId="25002" xr:uid="{00000000-0005-0000-0000-00004C2E0000}"/>
    <cellStyle name="Remarque 2 2 4 2 4 4 10 2" xfId="48962" xr:uid="{00000000-0005-0000-0000-00004D2E0000}"/>
    <cellStyle name="Remarque 2 2 4 2 4 4 11" xfId="35968" xr:uid="{00000000-0005-0000-0000-00004E2E0000}"/>
    <cellStyle name="Remarque 2 2 4 2 4 4 11 2" xfId="59928" xr:uid="{00000000-0005-0000-0000-00004F2E0000}"/>
    <cellStyle name="Remarque 2 2 4 2 4 4 12" xfId="13667" xr:uid="{00000000-0005-0000-0000-0000502E0000}"/>
    <cellStyle name="Remarque 2 2 4 2 4 4 13" xfId="37627" xr:uid="{00000000-0005-0000-0000-0000512E0000}"/>
    <cellStyle name="Remarque 2 2 4 2 4 4 2" xfId="3876" xr:uid="{00000000-0005-0000-0000-0000522E0000}"/>
    <cellStyle name="Remarque 2 2 4 2 4 4 2 2" xfId="27890" xr:uid="{00000000-0005-0000-0000-0000532E0000}"/>
    <cellStyle name="Remarque 2 2 4 2 4 4 2 2 2" xfId="51850" xr:uid="{00000000-0005-0000-0000-0000542E0000}"/>
    <cellStyle name="Remarque 2 2 4 2 4 4 2 3" xfId="15137" xr:uid="{00000000-0005-0000-0000-0000552E0000}"/>
    <cellStyle name="Remarque 2 2 4 2 4 4 2 4" xfId="39097" xr:uid="{00000000-0005-0000-0000-0000562E0000}"/>
    <cellStyle name="Remarque 2 2 4 2 4 4 3" xfId="5310" xr:uid="{00000000-0005-0000-0000-0000572E0000}"/>
    <cellStyle name="Remarque 2 2 4 2 4 4 3 2" xfId="29324" xr:uid="{00000000-0005-0000-0000-0000582E0000}"/>
    <cellStyle name="Remarque 2 2 4 2 4 4 3 2 2" xfId="53284" xr:uid="{00000000-0005-0000-0000-0000592E0000}"/>
    <cellStyle name="Remarque 2 2 4 2 4 4 3 3" xfId="16571" xr:uid="{00000000-0005-0000-0000-00005A2E0000}"/>
    <cellStyle name="Remarque 2 2 4 2 4 4 3 4" xfId="40531" xr:uid="{00000000-0005-0000-0000-00005B2E0000}"/>
    <cellStyle name="Remarque 2 2 4 2 4 4 4" xfId="6704" xr:uid="{00000000-0005-0000-0000-00005C2E0000}"/>
    <cellStyle name="Remarque 2 2 4 2 4 4 4 2" xfId="30718" xr:uid="{00000000-0005-0000-0000-00005D2E0000}"/>
    <cellStyle name="Remarque 2 2 4 2 4 4 4 2 2" xfId="54678" xr:uid="{00000000-0005-0000-0000-00005E2E0000}"/>
    <cellStyle name="Remarque 2 2 4 2 4 4 4 3" xfId="17965" xr:uid="{00000000-0005-0000-0000-00005F2E0000}"/>
    <cellStyle name="Remarque 2 2 4 2 4 4 4 4" xfId="41925" xr:uid="{00000000-0005-0000-0000-0000602E0000}"/>
    <cellStyle name="Remarque 2 2 4 2 4 4 5" xfId="8092" xr:uid="{00000000-0005-0000-0000-0000612E0000}"/>
    <cellStyle name="Remarque 2 2 4 2 4 4 5 2" xfId="32106" xr:uid="{00000000-0005-0000-0000-0000622E0000}"/>
    <cellStyle name="Remarque 2 2 4 2 4 4 5 2 2" xfId="56066" xr:uid="{00000000-0005-0000-0000-0000632E0000}"/>
    <cellStyle name="Remarque 2 2 4 2 4 4 5 3" xfId="19353" xr:uid="{00000000-0005-0000-0000-0000642E0000}"/>
    <cellStyle name="Remarque 2 2 4 2 4 4 5 4" xfId="43313" xr:uid="{00000000-0005-0000-0000-0000652E0000}"/>
    <cellStyle name="Remarque 2 2 4 2 4 4 6" xfId="9477" xr:uid="{00000000-0005-0000-0000-0000662E0000}"/>
    <cellStyle name="Remarque 2 2 4 2 4 4 6 2" xfId="33491" xr:uid="{00000000-0005-0000-0000-0000672E0000}"/>
    <cellStyle name="Remarque 2 2 4 2 4 4 6 2 2" xfId="57451" xr:uid="{00000000-0005-0000-0000-0000682E0000}"/>
    <cellStyle name="Remarque 2 2 4 2 4 4 6 3" xfId="20738" xr:uid="{00000000-0005-0000-0000-0000692E0000}"/>
    <cellStyle name="Remarque 2 2 4 2 4 4 6 4" xfId="44698" xr:uid="{00000000-0005-0000-0000-00006A2E0000}"/>
    <cellStyle name="Remarque 2 2 4 2 4 4 7" xfId="10934" xr:uid="{00000000-0005-0000-0000-00006B2E0000}"/>
    <cellStyle name="Remarque 2 2 4 2 4 4 7 2" xfId="34944" xr:uid="{00000000-0005-0000-0000-00006C2E0000}"/>
    <cellStyle name="Remarque 2 2 4 2 4 4 7 2 2" xfId="58904" xr:uid="{00000000-0005-0000-0000-00006D2E0000}"/>
    <cellStyle name="Remarque 2 2 4 2 4 4 7 3" xfId="22201" xr:uid="{00000000-0005-0000-0000-00006E2E0000}"/>
    <cellStyle name="Remarque 2 2 4 2 4 4 7 4" xfId="46161" xr:uid="{00000000-0005-0000-0000-00006F2E0000}"/>
    <cellStyle name="Remarque 2 2 4 2 4 4 8" xfId="11826" xr:uid="{00000000-0005-0000-0000-0000702E0000}"/>
    <cellStyle name="Remarque 2 2 4 2 4 4 8 2" xfId="23100" xr:uid="{00000000-0005-0000-0000-0000712E0000}"/>
    <cellStyle name="Remarque 2 2 4 2 4 4 8 3" xfId="47060" xr:uid="{00000000-0005-0000-0000-0000722E0000}"/>
    <cellStyle name="Remarque 2 2 4 2 4 4 9" xfId="2406" xr:uid="{00000000-0005-0000-0000-0000732E0000}"/>
    <cellStyle name="Remarque 2 2 4 2 4 4 9 2" xfId="26420" xr:uid="{00000000-0005-0000-0000-0000742E0000}"/>
    <cellStyle name="Remarque 2 2 4 2 4 4 9 3" xfId="50380" xr:uid="{00000000-0005-0000-0000-0000752E0000}"/>
    <cellStyle name="Remarque 2 2 4 2 4 5" xfId="1163" xr:uid="{00000000-0005-0000-0000-0000762E0000}"/>
    <cellStyle name="Remarque 2 2 4 2 4 5 10" xfId="25195" xr:uid="{00000000-0005-0000-0000-0000772E0000}"/>
    <cellStyle name="Remarque 2 2 4 2 4 5 10 2" xfId="49155" xr:uid="{00000000-0005-0000-0000-0000782E0000}"/>
    <cellStyle name="Remarque 2 2 4 2 4 5 11" xfId="36044" xr:uid="{00000000-0005-0000-0000-0000792E0000}"/>
    <cellStyle name="Remarque 2 2 4 2 4 5 11 2" xfId="60004" xr:uid="{00000000-0005-0000-0000-00007A2E0000}"/>
    <cellStyle name="Remarque 2 2 4 2 4 5 12" xfId="13860" xr:uid="{00000000-0005-0000-0000-00007B2E0000}"/>
    <cellStyle name="Remarque 2 2 4 2 4 5 13" xfId="37820" xr:uid="{00000000-0005-0000-0000-00007C2E0000}"/>
    <cellStyle name="Remarque 2 2 4 2 4 5 2" xfId="4069" xr:uid="{00000000-0005-0000-0000-00007D2E0000}"/>
    <cellStyle name="Remarque 2 2 4 2 4 5 2 2" xfId="28083" xr:uid="{00000000-0005-0000-0000-00007E2E0000}"/>
    <cellStyle name="Remarque 2 2 4 2 4 5 2 2 2" xfId="52043" xr:uid="{00000000-0005-0000-0000-00007F2E0000}"/>
    <cellStyle name="Remarque 2 2 4 2 4 5 2 3" xfId="15330" xr:uid="{00000000-0005-0000-0000-0000802E0000}"/>
    <cellStyle name="Remarque 2 2 4 2 4 5 2 4" xfId="39290" xr:uid="{00000000-0005-0000-0000-0000812E0000}"/>
    <cellStyle name="Remarque 2 2 4 2 4 5 3" xfId="5503" xr:uid="{00000000-0005-0000-0000-0000822E0000}"/>
    <cellStyle name="Remarque 2 2 4 2 4 5 3 2" xfId="29517" xr:uid="{00000000-0005-0000-0000-0000832E0000}"/>
    <cellStyle name="Remarque 2 2 4 2 4 5 3 2 2" xfId="53477" xr:uid="{00000000-0005-0000-0000-0000842E0000}"/>
    <cellStyle name="Remarque 2 2 4 2 4 5 3 3" xfId="16764" xr:uid="{00000000-0005-0000-0000-0000852E0000}"/>
    <cellStyle name="Remarque 2 2 4 2 4 5 3 4" xfId="40724" xr:uid="{00000000-0005-0000-0000-0000862E0000}"/>
    <cellStyle name="Remarque 2 2 4 2 4 5 4" xfId="6897" xr:uid="{00000000-0005-0000-0000-0000872E0000}"/>
    <cellStyle name="Remarque 2 2 4 2 4 5 4 2" xfId="30911" xr:uid="{00000000-0005-0000-0000-0000882E0000}"/>
    <cellStyle name="Remarque 2 2 4 2 4 5 4 2 2" xfId="54871" xr:uid="{00000000-0005-0000-0000-0000892E0000}"/>
    <cellStyle name="Remarque 2 2 4 2 4 5 4 3" xfId="18158" xr:uid="{00000000-0005-0000-0000-00008A2E0000}"/>
    <cellStyle name="Remarque 2 2 4 2 4 5 4 4" xfId="42118" xr:uid="{00000000-0005-0000-0000-00008B2E0000}"/>
    <cellStyle name="Remarque 2 2 4 2 4 5 5" xfId="8285" xr:uid="{00000000-0005-0000-0000-00008C2E0000}"/>
    <cellStyle name="Remarque 2 2 4 2 4 5 5 2" xfId="32299" xr:uid="{00000000-0005-0000-0000-00008D2E0000}"/>
    <cellStyle name="Remarque 2 2 4 2 4 5 5 2 2" xfId="56259" xr:uid="{00000000-0005-0000-0000-00008E2E0000}"/>
    <cellStyle name="Remarque 2 2 4 2 4 5 5 3" xfId="19546" xr:uid="{00000000-0005-0000-0000-00008F2E0000}"/>
    <cellStyle name="Remarque 2 2 4 2 4 5 5 4" xfId="43506" xr:uid="{00000000-0005-0000-0000-0000902E0000}"/>
    <cellStyle name="Remarque 2 2 4 2 4 5 6" xfId="9670" xr:uid="{00000000-0005-0000-0000-0000912E0000}"/>
    <cellStyle name="Remarque 2 2 4 2 4 5 6 2" xfId="33684" xr:uid="{00000000-0005-0000-0000-0000922E0000}"/>
    <cellStyle name="Remarque 2 2 4 2 4 5 6 2 2" xfId="57644" xr:uid="{00000000-0005-0000-0000-0000932E0000}"/>
    <cellStyle name="Remarque 2 2 4 2 4 5 6 3" xfId="20931" xr:uid="{00000000-0005-0000-0000-0000942E0000}"/>
    <cellStyle name="Remarque 2 2 4 2 4 5 6 4" xfId="44891" xr:uid="{00000000-0005-0000-0000-0000952E0000}"/>
    <cellStyle name="Remarque 2 2 4 2 4 5 7" xfId="11127" xr:uid="{00000000-0005-0000-0000-0000962E0000}"/>
    <cellStyle name="Remarque 2 2 4 2 4 5 7 2" xfId="35137" xr:uid="{00000000-0005-0000-0000-0000972E0000}"/>
    <cellStyle name="Remarque 2 2 4 2 4 5 7 2 2" xfId="59097" xr:uid="{00000000-0005-0000-0000-0000982E0000}"/>
    <cellStyle name="Remarque 2 2 4 2 4 5 7 3" xfId="22394" xr:uid="{00000000-0005-0000-0000-0000992E0000}"/>
    <cellStyle name="Remarque 2 2 4 2 4 5 7 4" xfId="46354" xr:uid="{00000000-0005-0000-0000-00009A2E0000}"/>
    <cellStyle name="Remarque 2 2 4 2 4 5 8" xfId="12549" xr:uid="{00000000-0005-0000-0000-00009B2E0000}"/>
    <cellStyle name="Remarque 2 2 4 2 4 5 8 2" xfId="23848" xr:uid="{00000000-0005-0000-0000-00009C2E0000}"/>
    <cellStyle name="Remarque 2 2 4 2 4 5 8 3" xfId="47808" xr:uid="{00000000-0005-0000-0000-00009D2E0000}"/>
    <cellStyle name="Remarque 2 2 4 2 4 5 9" xfId="2599" xr:uid="{00000000-0005-0000-0000-00009E2E0000}"/>
    <cellStyle name="Remarque 2 2 4 2 4 5 9 2" xfId="26613" xr:uid="{00000000-0005-0000-0000-00009F2E0000}"/>
    <cellStyle name="Remarque 2 2 4 2 4 5 9 3" xfId="50573" xr:uid="{00000000-0005-0000-0000-0000A02E0000}"/>
    <cellStyle name="Remarque 2 2 4 2 4 6" xfId="1330" xr:uid="{00000000-0005-0000-0000-0000A12E0000}"/>
    <cellStyle name="Remarque 2 2 4 2 4 6 10" xfId="25362" xr:uid="{00000000-0005-0000-0000-0000A22E0000}"/>
    <cellStyle name="Remarque 2 2 4 2 4 6 10 2" xfId="49322" xr:uid="{00000000-0005-0000-0000-0000A32E0000}"/>
    <cellStyle name="Remarque 2 2 4 2 4 6 11" xfId="35876" xr:uid="{00000000-0005-0000-0000-0000A42E0000}"/>
    <cellStyle name="Remarque 2 2 4 2 4 6 11 2" xfId="59836" xr:uid="{00000000-0005-0000-0000-0000A52E0000}"/>
    <cellStyle name="Remarque 2 2 4 2 4 6 12" xfId="14027" xr:uid="{00000000-0005-0000-0000-0000A62E0000}"/>
    <cellStyle name="Remarque 2 2 4 2 4 6 13" xfId="37987" xr:uid="{00000000-0005-0000-0000-0000A72E0000}"/>
    <cellStyle name="Remarque 2 2 4 2 4 6 2" xfId="4236" xr:uid="{00000000-0005-0000-0000-0000A82E0000}"/>
    <cellStyle name="Remarque 2 2 4 2 4 6 2 2" xfId="28250" xr:uid="{00000000-0005-0000-0000-0000A92E0000}"/>
    <cellStyle name="Remarque 2 2 4 2 4 6 2 2 2" xfId="52210" xr:uid="{00000000-0005-0000-0000-0000AA2E0000}"/>
    <cellStyle name="Remarque 2 2 4 2 4 6 2 3" xfId="15497" xr:uid="{00000000-0005-0000-0000-0000AB2E0000}"/>
    <cellStyle name="Remarque 2 2 4 2 4 6 2 4" xfId="39457" xr:uid="{00000000-0005-0000-0000-0000AC2E0000}"/>
    <cellStyle name="Remarque 2 2 4 2 4 6 3" xfId="5670" xr:uid="{00000000-0005-0000-0000-0000AD2E0000}"/>
    <cellStyle name="Remarque 2 2 4 2 4 6 3 2" xfId="29684" xr:uid="{00000000-0005-0000-0000-0000AE2E0000}"/>
    <cellStyle name="Remarque 2 2 4 2 4 6 3 2 2" xfId="53644" xr:uid="{00000000-0005-0000-0000-0000AF2E0000}"/>
    <cellStyle name="Remarque 2 2 4 2 4 6 3 3" xfId="16931" xr:uid="{00000000-0005-0000-0000-0000B02E0000}"/>
    <cellStyle name="Remarque 2 2 4 2 4 6 3 4" xfId="40891" xr:uid="{00000000-0005-0000-0000-0000B12E0000}"/>
    <cellStyle name="Remarque 2 2 4 2 4 6 4" xfId="7064" xr:uid="{00000000-0005-0000-0000-0000B22E0000}"/>
    <cellStyle name="Remarque 2 2 4 2 4 6 4 2" xfId="31078" xr:uid="{00000000-0005-0000-0000-0000B32E0000}"/>
    <cellStyle name="Remarque 2 2 4 2 4 6 4 2 2" xfId="55038" xr:uid="{00000000-0005-0000-0000-0000B42E0000}"/>
    <cellStyle name="Remarque 2 2 4 2 4 6 4 3" xfId="18325" xr:uid="{00000000-0005-0000-0000-0000B52E0000}"/>
    <cellStyle name="Remarque 2 2 4 2 4 6 4 4" xfId="42285" xr:uid="{00000000-0005-0000-0000-0000B62E0000}"/>
    <cellStyle name="Remarque 2 2 4 2 4 6 5" xfId="8452" xr:uid="{00000000-0005-0000-0000-0000B72E0000}"/>
    <cellStyle name="Remarque 2 2 4 2 4 6 5 2" xfId="32466" xr:uid="{00000000-0005-0000-0000-0000B82E0000}"/>
    <cellStyle name="Remarque 2 2 4 2 4 6 5 2 2" xfId="56426" xr:uid="{00000000-0005-0000-0000-0000B92E0000}"/>
    <cellStyle name="Remarque 2 2 4 2 4 6 5 3" xfId="19713" xr:uid="{00000000-0005-0000-0000-0000BA2E0000}"/>
    <cellStyle name="Remarque 2 2 4 2 4 6 5 4" xfId="43673" xr:uid="{00000000-0005-0000-0000-0000BB2E0000}"/>
    <cellStyle name="Remarque 2 2 4 2 4 6 6" xfId="9837" xr:uid="{00000000-0005-0000-0000-0000BC2E0000}"/>
    <cellStyle name="Remarque 2 2 4 2 4 6 6 2" xfId="33851" xr:uid="{00000000-0005-0000-0000-0000BD2E0000}"/>
    <cellStyle name="Remarque 2 2 4 2 4 6 6 2 2" xfId="57811" xr:uid="{00000000-0005-0000-0000-0000BE2E0000}"/>
    <cellStyle name="Remarque 2 2 4 2 4 6 6 3" xfId="21098" xr:uid="{00000000-0005-0000-0000-0000BF2E0000}"/>
    <cellStyle name="Remarque 2 2 4 2 4 6 6 4" xfId="45058" xr:uid="{00000000-0005-0000-0000-0000C02E0000}"/>
    <cellStyle name="Remarque 2 2 4 2 4 6 7" xfId="11294" xr:uid="{00000000-0005-0000-0000-0000C12E0000}"/>
    <cellStyle name="Remarque 2 2 4 2 4 6 7 2" xfId="35304" xr:uid="{00000000-0005-0000-0000-0000C22E0000}"/>
    <cellStyle name="Remarque 2 2 4 2 4 6 7 2 2" xfId="59264" xr:uid="{00000000-0005-0000-0000-0000C32E0000}"/>
    <cellStyle name="Remarque 2 2 4 2 4 6 7 3" xfId="22561" xr:uid="{00000000-0005-0000-0000-0000C42E0000}"/>
    <cellStyle name="Remarque 2 2 4 2 4 6 7 4" xfId="46521" xr:uid="{00000000-0005-0000-0000-0000C52E0000}"/>
    <cellStyle name="Remarque 2 2 4 2 4 6 8" xfId="12867" xr:uid="{00000000-0005-0000-0000-0000C62E0000}"/>
    <cellStyle name="Remarque 2 2 4 2 4 6 8 2" xfId="24179" xr:uid="{00000000-0005-0000-0000-0000C72E0000}"/>
    <cellStyle name="Remarque 2 2 4 2 4 6 8 3" xfId="48139" xr:uid="{00000000-0005-0000-0000-0000C82E0000}"/>
    <cellStyle name="Remarque 2 2 4 2 4 6 9" xfId="2766" xr:uid="{00000000-0005-0000-0000-0000C92E0000}"/>
    <cellStyle name="Remarque 2 2 4 2 4 6 9 2" xfId="26780" xr:uid="{00000000-0005-0000-0000-0000CA2E0000}"/>
    <cellStyle name="Remarque 2 2 4 2 4 6 9 3" xfId="50740" xr:uid="{00000000-0005-0000-0000-0000CB2E0000}"/>
    <cellStyle name="Remarque 2 2 4 2 4 7" xfId="1499" xr:uid="{00000000-0005-0000-0000-0000CC2E0000}"/>
    <cellStyle name="Remarque 2 2 4 2 4 7 10" xfId="25531" xr:uid="{00000000-0005-0000-0000-0000CD2E0000}"/>
    <cellStyle name="Remarque 2 2 4 2 4 7 10 2" xfId="49491" xr:uid="{00000000-0005-0000-0000-0000CE2E0000}"/>
    <cellStyle name="Remarque 2 2 4 2 4 7 11" xfId="36257" xr:uid="{00000000-0005-0000-0000-0000CF2E0000}"/>
    <cellStyle name="Remarque 2 2 4 2 4 7 11 2" xfId="60217" xr:uid="{00000000-0005-0000-0000-0000D02E0000}"/>
    <cellStyle name="Remarque 2 2 4 2 4 7 12" xfId="14196" xr:uid="{00000000-0005-0000-0000-0000D12E0000}"/>
    <cellStyle name="Remarque 2 2 4 2 4 7 13" xfId="38156" xr:uid="{00000000-0005-0000-0000-0000D22E0000}"/>
    <cellStyle name="Remarque 2 2 4 2 4 7 2" xfId="4405" xr:uid="{00000000-0005-0000-0000-0000D32E0000}"/>
    <cellStyle name="Remarque 2 2 4 2 4 7 2 2" xfId="28419" xr:uid="{00000000-0005-0000-0000-0000D42E0000}"/>
    <cellStyle name="Remarque 2 2 4 2 4 7 2 2 2" xfId="52379" xr:uid="{00000000-0005-0000-0000-0000D52E0000}"/>
    <cellStyle name="Remarque 2 2 4 2 4 7 2 3" xfId="15666" xr:uid="{00000000-0005-0000-0000-0000D62E0000}"/>
    <cellStyle name="Remarque 2 2 4 2 4 7 2 4" xfId="39626" xr:uid="{00000000-0005-0000-0000-0000D72E0000}"/>
    <cellStyle name="Remarque 2 2 4 2 4 7 3" xfId="5839" xr:uid="{00000000-0005-0000-0000-0000D82E0000}"/>
    <cellStyle name="Remarque 2 2 4 2 4 7 3 2" xfId="29853" xr:uid="{00000000-0005-0000-0000-0000D92E0000}"/>
    <cellStyle name="Remarque 2 2 4 2 4 7 3 2 2" xfId="53813" xr:uid="{00000000-0005-0000-0000-0000DA2E0000}"/>
    <cellStyle name="Remarque 2 2 4 2 4 7 3 3" xfId="17100" xr:uid="{00000000-0005-0000-0000-0000DB2E0000}"/>
    <cellStyle name="Remarque 2 2 4 2 4 7 3 4" xfId="41060" xr:uid="{00000000-0005-0000-0000-0000DC2E0000}"/>
    <cellStyle name="Remarque 2 2 4 2 4 7 4" xfId="7233" xr:uid="{00000000-0005-0000-0000-0000DD2E0000}"/>
    <cellStyle name="Remarque 2 2 4 2 4 7 4 2" xfId="31247" xr:uid="{00000000-0005-0000-0000-0000DE2E0000}"/>
    <cellStyle name="Remarque 2 2 4 2 4 7 4 2 2" xfId="55207" xr:uid="{00000000-0005-0000-0000-0000DF2E0000}"/>
    <cellStyle name="Remarque 2 2 4 2 4 7 4 3" xfId="18494" xr:uid="{00000000-0005-0000-0000-0000E02E0000}"/>
    <cellStyle name="Remarque 2 2 4 2 4 7 4 4" xfId="42454" xr:uid="{00000000-0005-0000-0000-0000E12E0000}"/>
    <cellStyle name="Remarque 2 2 4 2 4 7 5" xfId="8621" xr:uid="{00000000-0005-0000-0000-0000E22E0000}"/>
    <cellStyle name="Remarque 2 2 4 2 4 7 5 2" xfId="32635" xr:uid="{00000000-0005-0000-0000-0000E32E0000}"/>
    <cellStyle name="Remarque 2 2 4 2 4 7 5 2 2" xfId="56595" xr:uid="{00000000-0005-0000-0000-0000E42E0000}"/>
    <cellStyle name="Remarque 2 2 4 2 4 7 5 3" xfId="19882" xr:uid="{00000000-0005-0000-0000-0000E52E0000}"/>
    <cellStyle name="Remarque 2 2 4 2 4 7 5 4" xfId="43842" xr:uid="{00000000-0005-0000-0000-0000E62E0000}"/>
    <cellStyle name="Remarque 2 2 4 2 4 7 6" xfId="10006" xr:uid="{00000000-0005-0000-0000-0000E72E0000}"/>
    <cellStyle name="Remarque 2 2 4 2 4 7 6 2" xfId="34020" xr:uid="{00000000-0005-0000-0000-0000E82E0000}"/>
    <cellStyle name="Remarque 2 2 4 2 4 7 6 2 2" xfId="57980" xr:uid="{00000000-0005-0000-0000-0000E92E0000}"/>
    <cellStyle name="Remarque 2 2 4 2 4 7 6 3" xfId="21267" xr:uid="{00000000-0005-0000-0000-0000EA2E0000}"/>
    <cellStyle name="Remarque 2 2 4 2 4 7 6 4" xfId="45227" xr:uid="{00000000-0005-0000-0000-0000EB2E0000}"/>
    <cellStyle name="Remarque 2 2 4 2 4 7 7" xfId="11463" xr:uid="{00000000-0005-0000-0000-0000EC2E0000}"/>
    <cellStyle name="Remarque 2 2 4 2 4 7 7 2" xfId="35473" xr:uid="{00000000-0005-0000-0000-0000ED2E0000}"/>
    <cellStyle name="Remarque 2 2 4 2 4 7 7 2 2" xfId="59433" xr:uid="{00000000-0005-0000-0000-0000EE2E0000}"/>
    <cellStyle name="Remarque 2 2 4 2 4 7 7 3" xfId="22730" xr:uid="{00000000-0005-0000-0000-0000EF2E0000}"/>
    <cellStyle name="Remarque 2 2 4 2 4 7 7 4" xfId="46690" xr:uid="{00000000-0005-0000-0000-0000F02E0000}"/>
    <cellStyle name="Remarque 2 2 4 2 4 7 8" xfId="12234" xr:uid="{00000000-0005-0000-0000-0000F12E0000}"/>
    <cellStyle name="Remarque 2 2 4 2 4 7 8 2" xfId="23518" xr:uid="{00000000-0005-0000-0000-0000F22E0000}"/>
    <cellStyle name="Remarque 2 2 4 2 4 7 8 3" xfId="47478" xr:uid="{00000000-0005-0000-0000-0000F32E0000}"/>
    <cellStyle name="Remarque 2 2 4 2 4 7 9" xfId="2935" xr:uid="{00000000-0005-0000-0000-0000F42E0000}"/>
    <cellStyle name="Remarque 2 2 4 2 4 7 9 2" xfId="26949" xr:uid="{00000000-0005-0000-0000-0000F52E0000}"/>
    <cellStyle name="Remarque 2 2 4 2 4 7 9 3" xfId="50909" xr:uid="{00000000-0005-0000-0000-0000F62E0000}"/>
    <cellStyle name="Remarque 2 2 4 2 4 8" xfId="3354" xr:uid="{00000000-0005-0000-0000-0000F72E0000}"/>
    <cellStyle name="Remarque 2 2 4 2 4 8 2" xfId="27368" xr:uid="{00000000-0005-0000-0000-0000F82E0000}"/>
    <cellStyle name="Remarque 2 2 4 2 4 8 2 2" xfId="51328" xr:uid="{00000000-0005-0000-0000-0000F92E0000}"/>
    <cellStyle name="Remarque 2 2 4 2 4 8 3" xfId="14615" xr:uid="{00000000-0005-0000-0000-0000FA2E0000}"/>
    <cellStyle name="Remarque 2 2 4 2 4 8 4" xfId="38575" xr:uid="{00000000-0005-0000-0000-0000FB2E0000}"/>
    <cellStyle name="Remarque 2 2 4 2 4 9" xfId="4788" xr:uid="{00000000-0005-0000-0000-0000FC2E0000}"/>
    <cellStyle name="Remarque 2 2 4 2 4 9 2" xfId="28802" xr:uid="{00000000-0005-0000-0000-0000FD2E0000}"/>
    <cellStyle name="Remarque 2 2 4 2 4 9 2 2" xfId="52762" xr:uid="{00000000-0005-0000-0000-0000FE2E0000}"/>
    <cellStyle name="Remarque 2 2 4 2 4 9 3" xfId="16049" xr:uid="{00000000-0005-0000-0000-0000FF2E0000}"/>
    <cellStyle name="Remarque 2 2 4 2 4 9 4" xfId="40009" xr:uid="{00000000-0005-0000-0000-0000002F0000}"/>
    <cellStyle name="Remarque 2 2 4 2 5" xfId="323" xr:uid="{00000000-0005-0000-0000-0000012F0000}"/>
    <cellStyle name="Remarque 2 2 4 2 5 10" xfId="24355" xr:uid="{00000000-0005-0000-0000-0000022F0000}"/>
    <cellStyle name="Remarque 2 2 4 2 5 10 2" xfId="48315" xr:uid="{00000000-0005-0000-0000-0000032F0000}"/>
    <cellStyle name="Remarque 2 2 4 2 5 11" xfId="36171" xr:uid="{00000000-0005-0000-0000-0000042F0000}"/>
    <cellStyle name="Remarque 2 2 4 2 5 11 2" xfId="60131" xr:uid="{00000000-0005-0000-0000-0000052F0000}"/>
    <cellStyle name="Remarque 2 2 4 2 5 12" xfId="13020" xr:uid="{00000000-0005-0000-0000-0000062F0000}"/>
    <cellStyle name="Remarque 2 2 4 2 5 13" xfId="36980" xr:uid="{00000000-0005-0000-0000-0000072F0000}"/>
    <cellStyle name="Remarque 2 2 4 2 5 2" xfId="3229" xr:uid="{00000000-0005-0000-0000-0000082F0000}"/>
    <cellStyle name="Remarque 2 2 4 2 5 2 2" xfId="27243" xr:uid="{00000000-0005-0000-0000-0000092F0000}"/>
    <cellStyle name="Remarque 2 2 4 2 5 2 2 2" xfId="51203" xr:uid="{00000000-0005-0000-0000-00000A2F0000}"/>
    <cellStyle name="Remarque 2 2 4 2 5 2 3" xfId="14490" xr:uid="{00000000-0005-0000-0000-00000B2F0000}"/>
    <cellStyle name="Remarque 2 2 4 2 5 2 4" xfId="38450" xr:uid="{00000000-0005-0000-0000-00000C2F0000}"/>
    <cellStyle name="Remarque 2 2 4 2 5 3" xfId="4663" xr:uid="{00000000-0005-0000-0000-00000D2F0000}"/>
    <cellStyle name="Remarque 2 2 4 2 5 3 2" xfId="28677" xr:uid="{00000000-0005-0000-0000-00000E2F0000}"/>
    <cellStyle name="Remarque 2 2 4 2 5 3 2 2" xfId="52637" xr:uid="{00000000-0005-0000-0000-00000F2F0000}"/>
    <cellStyle name="Remarque 2 2 4 2 5 3 3" xfId="15924" xr:uid="{00000000-0005-0000-0000-0000102F0000}"/>
    <cellStyle name="Remarque 2 2 4 2 5 3 4" xfId="39884" xr:uid="{00000000-0005-0000-0000-0000112F0000}"/>
    <cellStyle name="Remarque 2 2 4 2 5 4" xfId="6057" xr:uid="{00000000-0005-0000-0000-0000122F0000}"/>
    <cellStyle name="Remarque 2 2 4 2 5 4 2" xfId="30071" xr:uid="{00000000-0005-0000-0000-0000132F0000}"/>
    <cellStyle name="Remarque 2 2 4 2 5 4 2 2" xfId="54031" xr:uid="{00000000-0005-0000-0000-0000142F0000}"/>
    <cellStyle name="Remarque 2 2 4 2 5 4 3" xfId="17318" xr:uid="{00000000-0005-0000-0000-0000152F0000}"/>
    <cellStyle name="Remarque 2 2 4 2 5 4 4" xfId="41278" xr:uid="{00000000-0005-0000-0000-0000162F0000}"/>
    <cellStyle name="Remarque 2 2 4 2 5 5" xfId="7445" xr:uid="{00000000-0005-0000-0000-0000172F0000}"/>
    <cellStyle name="Remarque 2 2 4 2 5 5 2" xfId="31459" xr:uid="{00000000-0005-0000-0000-0000182F0000}"/>
    <cellStyle name="Remarque 2 2 4 2 5 5 2 2" xfId="55419" xr:uid="{00000000-0005-0000-0000-0000192F0000}"/>
    <cellStyle name="Remarque 2 2 4 2 5 5 3" xfId="18706" xr:uid="{00000000-0005-0000-0000-00001A2F0000}"/>
    <cellStyle name="Remarque 2 2 4 2 5 5 4" xfId="42666" xr:uid="{00000000-0005-0000-0000-00001B2F0000}"/>
    <cellStyle name="Remarque 2 2 4 2 5 6" xfId="8830" xr:uid="{00000000-0005-0000-0000-00001C2F0000}"/>
    <cellStyle name="Remarque 2 2 4 2 5 6 2" xfId="32844" xr:uid="{00000000-0005-0000-0000-00001D2F0000}"/>
    <cellStyle name="Remarque 2 2 4 2 5 6 2 2" xfId="56804" xr:uid="{00000000-0005-0000-0000-00001E2F0000}"/>
    <cellStyle name="Remarque 2 2 4 2 5 6 3" xfId="20091" xr:uid="{00000000-0005-0000-0000-00001F2F0000}"/>
    <cellStyle name="Remarque 2 2 4 2 5 6 4" xfId="44051" xr:uid="{00000000-0005-0000-0000-0000202F0000}"/>
    <cellStyle name="Remarque 2 2 4 2 5 7" xfId="10287" xr:uid="{00000000-0005-0000-0000-0000212F0000}"/>
    <cellStyle name="Remarque 2 2 4 2 5 7 2" xfId="34297" xr:uid="{00000000-0005-0000-0000-0000222F0000}"/>
    <cellStyle name="Remarque 2 2 4 2 5 7 2 2" xfId="58257" xr:uid="{00000000-0005-0000-0000-0000232F0000}"/>
    <cellStyle name="Remarque 2 2 4 2 5 7 3" xfId="21554" xr:uid="{00000000-0005-0000-0000-0000242F0000}"/>
    <cellStyle name="Remarque 2 2 4 2 5 7 4" xfId="45514" xr:uid="{00000000-0005-0000-0000-0000252F0000}"/>
    <cellStyle name="Remarque 2 2 4 2 5 8" xfId="11624" xr:uid="{00000000-0005-0000-0000-0000262F0000}"/>
    <cellStyle name="Remarque 2 2 4 2 5 8 2" xfId="22892" xr:uid="{00000000-0005-0000-0000-0000272F0000}"/>
    <cellStyle name="Remarque 2 2 4 2 5 8 3" xfId="46852" xr:uid="{00000000-0005-0000-0000-0000282F0000}"/>
    <cellStyle name="Remarque 2 2 4 2 5 9" xfId="1759" xr:uid="{00000000-0005-0000-0000-0000292F0000}"/>
    <cellStyle name="Remarque 2 2 4 2 5 9 2" xfId="25773" xr:uid="{00000000-0005-0000-0000-00002A2F0000}"/>
    <cellStyle name="Remarque 2 2 4 2 5 9 3" xfId="49733" xr:uid="{00000000-0005-0000-0000-00002B2F0000}"/>
    <cellStyle name="Remarque 2 2 4 2 6" xfId="641" xr:uid="{00000000-0005-0000-0000-00002C2F0000}"/>
    <cellStyle name="Remarque 2 2 4 2 6 10" xfId="24673" xr:uid="{00000000-0005-0000-0000-00002D2F0000}"/>
    <cellStyle name="Remarque 2 2 4 2 6 10 2" xfId="48633" xr:uid="{00000000-0005-0000-0000-00002E2F0000}"/>
    <cellStyle name="Remarque 2 2 4 2 6 11" xfId="35577" xr:uid="{00000000-0005-0000-0000-00002F2F0000}"/>
    <cellStyle name="Remarque 2 2 4 2 6 11 2" xfId="59537" xr:uid="{00000000-0005-0000-0000-0000302F0000}"/>
    <cellStyle name="Remarque 2 2 4 2 6 12" xfId="13338" xr:uid="{00000000-0005-0000-0000-0000312F0000}"/>
    <cellStyle name="Remarque 2 2 4 2 6 13" xfId="37298" xr:uid="{00000000-0005-0000-0000-0000322F0000}"/>
    <cellStyle name="Remarque 2 2 4 2 6 2" xfId="3547" xr:uid="{00000000-0005-0000-0000-0000332F0000}"/>
    <cellStyle name="Remarque 2 2 4 2 6 2 2" xfId="27561" xr:uid="{00000000-0005-0000-0000-0000342F0000}"/>
    <cellStyle name="Remarque 2 2 4 2 6 2 2 2" xfId="51521" xr:uid="{00000000-0005-0000-0000-0000352F0000}"/>
    <cellStyle name="Remarque 2 2 4 2 6 2 3" xfId="14808" xr:uid="{00000000-0005-0000-0000-0000362F0000}"/>
    <cellStyle name="Remarque 2 2 4 2 6 2 4" xfId="38768" xr:uid="{00000000-0005-0000-0000-0000372F0000}"/>
    <cellStyle name="Remarque 2 2 4 2 6 3" xfId="4981" xr:uid="{00000000-0005-0000-0000-0000382F0000}"/>
    <cellStyle name="Remarque 2 2 4 2 6 3 2" xfId="28995" xr:uid="{00000000-0005-0000-0000-0000392F0000}"/>
    <cellStyle name="Remarque 2 2 4 2 6 3 2 2" xfId="52955" xr:uid="{00000000-0005-0000-0000-00003A2F0000}"/>
    <cellStyle name="Remarque 2 2 4 2 6 3 3" xfId="16242" xr:uid="{00000000-0005-0000-0000-00003B2F0000}"/>
    <cellStyle name="Remarque 2 2 4 2 6 3 4" xfId="40202" xr:uid="{00000000-0005-0000-0000-00003C2F0000}"/>
    <cellStyle name="Remarque 2 2 4 2 6 4" xfId="6375" xr:uid="{00000000-0005-0000-0000-00003D2F0000}"/>
    <cellStyle name="Remarque 2 2 4 2 6 4 2" xfId="30389" xr:uid="{00000000-0005-0000-0000-00003E2F0000}"/>
    <cellStyle name="Remarque 2 2 4 2 6 4 2 2" xfId="54349" xr:uid="{00000000-0005-0000-0000-00003F2F0000}"/>
    <cellStyle name="Remarque 2 2 4 2 6 4 3" xfId="17636" xr:uid="{00000000-0005-0000-0000-0000402F0000}"/>
    <cellStyle name="Remarque 2 2 4 2 6 4 4" xfId="41596" xr:uid="{00000000-0005-0000-0000-0000412F0000}"/>
    <cellStyle name="Remarque 2 2 4 2 6 5" xfId="7763" xr:uid="{00000000-0005-0000-0000-0000422F0000}"/>
    <cellStyle name="Remarque 2 2 4 2 6 5 2" xfId="31777" xr:uid="{00000000-0005-0000-0000-0000432F0000}"/>
    <cellStyle name="Remarque 2 2 4 2 6 5 2 2" xfId="55737" xr:uid="{00000000-0005-0000-0000-0000442F0000}"/>
    <cellStyle name="Remarque 2 2 4 2 6 5 3" xfId="19024" xr:uid="{00000000-0005-0000-0000-0000452F0000}"/>
    <cellStyle name="Remarque 2 2 4 2 6 5 4" xfId="42984" xr:uid="{00000000-0005-0000-0000-0000462F0000}"/>
    <cellStyle name="Remarque 2 2 4 2 6 6" xfId="9148" xr:uid="{00000000-0005-0000-0000-0000472F0000}"/>
    <cellStyle name="Remarque 2 2 4 2 6 6 2" xfId="33162" xr:uid="{00000000-0005-0000-0000-0000482F0000}"/>
    <cellStyle name="Remarque 2 2 4 2 6 6 2 2" xfId="57122" xr:uid="{00000000-0005-0000-0000-0000492F0000}"/>
    <cellStyle name="Remarque 2 2 4 2 6 6 3" xfId="20409" xr:uid="{00000000-0005-0000-0000-00004A2F0000}"/>
    <cellStyle name="Remarque 2 2 4 2 6 6 4" xfId="44369" xr:uid="{00000000-0005-0000-0000-00004B2F0000}"/>
    <cellStyle name="Remarque 2 2 4 2 6 7" xfId="10605" xr:uid="{00000000-0005-0000-0000-00004C2F0000}"/>
    <cellStyle name="Remarque 2 2 4 2 6 7 2" xfId="34615" xr:uid="{00000000-0005-0000-0000-00004D2F0000}"/>
    <cellStyle name="Remarque 2 2 4 2 6 7 2 2" xfId="58575" xr:uid="{00000000-0005-0000-0000-00004E2F0000}"/>
    <cellStyle name="Remarque 2 2 4 2 6 7 3" xfId="21872" xr:uid="{00000000-0005-0000-0000-00004F2F0000}"/>
    <cellStyle name="Remarque 2 2 4 2 6 7 4" xfId="45832" xr:uid="{00000000-0005-0000-0000-0000502F0000}"/>
    <cellStyle name="Remarque 2 2 4 2 6 8" xfId="12515" xr:uid="{00000000-0005-0000-0000-0000512F0000}"/>
    <cellStyle name="Remarque 2 2 4 2 6 8 2" xfId="23812" xr:uid="{00000000-0005-0000-0000-0000522F0000}"/>
    <cellStyle name="Remarque 2 2 4 2 6 8 3" xfId="47772" xr:uid="{00000000-0005-0000-0000-0000532F0000}"/>
    <cellStyle name="Remarque 2 2 4 2 6 9" xfId="2077" xr:uid="{00000000-0005-0000-0000-0000542F0000}"/>
    <cellStyle name="Remarque 2 2 4 2 6 9 2" xfId="26091" xr:uid="{00000000-0005-0000-0000-0000552F0000}"/>
    <cellStyle name="Remarque 2 2 4 2 6 9 3" xfId="50051" xr:uid="{00000000-0005-0000-0000-0000562F0000}"/>
    <cellStyle name="Remarque 2 2 4 2 7" xfId="835" xr:uid="{00000000-0005-0000-0000-0000572F0000}"/>
    <cellStyle name="Remarque 2 2 4 2 7 10" xfId="24867" xr:uid="{00000000-0005-0000-0000-0000582F0000}"/>
    <cellStyle name="Remarque 2 2 4 2 7 10 2" xfId="48827" xr:uid="{00000000-0005-0000-0000-0000592F0000}"/>
    <cellStyle name="Remarque 2 2 4 2 7 11" xfId="36144" xr:uid="{00000000-0005-0000-0000-00005A2F0000}"/>
    <cellStyle name="Remarque 2 2 4 2 7 11 2" xfId="60104" xr:uid="{00000000-0005-0000-0000-00005B2F0000}"/>
    <cellStyle name="Remarque 2 2 4 2 7 12" xfId="13532" xr:uid="{00000000-0005-0000-0000-00005C2F0000}"/>
    <cellStyle name="Remarque 2 2 4 2 7 13" xfId="37492" xr:uid="{00000000-0005-0000-0000-00005D2F0000}"/>
    <cellStyle name="Remarque 2 2 4 2 7 2" xfId="3741" xr:uid="{00000000-0005-0000-0000-00005E2F0000}"/>
    <cellStyle name="Remarque 2 2 4 2 7 2 2" xfId="27755" xr:uid="{00000000-0005-0000-0000-00005F2F0000}"/>
    <cellStyle name="Remarque 2 2 4 2 7 2 2 2" xfId="51715" xr:uid="{00000000-0005-0000-0000-0000602F0000}"/>
    <cellStyle name="Remarque 2 2 4 2 7 2 3" xfId="15002" xr:uid="{00000000-0005-0000-0000-0000612F0000}"/>
    <cellStyle name="Remarque 2 2 4 2 7 2 4" xfId="38962" xr:uid="{00000000-0005-0000-0000-0000622F0000}"/>
    <cellStyle name="Remarque 2 2 4 2 7 3" xfId="5175" xr:uid="{00000000-0005-0000-0000-0000632F0000}"/>
    <cellStyle name="Remarque 2 2 4 2 7 3 2" xfId="29189" xr:uid="{00000000-0005-0000-0000-0000642F0000}"/>
    <cellStyle name="Remarque 2 2 4 2 7 3 2 2" xfId="53149" xr:uid="{00000000-0005-0000-0000-0000652F0000}"/>
    <cellStyle name="Remarque 2 2 4 2 7 3 3" xfId="16436" xr:uid="{00000000-0005-0000-0000-0000662F0000}"/>
    <cellStyle name="Remarque 2 2 4 2 7 3 4" xfId="40396" xr:uid="{00000000-0005-0000-0000-0000672F0000}"/>
    <cellStyle name="Remarque 2 2 4 2 7 4" xfId="6569" xr:uid="{00000000-0005-0000-0000-0000682F0000}"/>
    <cellStyle name="Remarque 2 2 4 2 7 4 2" xfId="30583" xr:uid="{00000000-0005-0000-0000-0000692F0000}"/>
    <cellStyle name="Remarque 2 2 4 2 7 4 2 2" xfId="54543" xr:uid="{00000000-0005-0000-0000-00006A2F0000}"/>
    <cellStyle name="Remarque 2 2 4 2 7 4 3" xfId="17830" xr:uid="{00000000-0005-0000-0000-00006B2F0000}"/>
    <cellStyle name="Remarque 2 2 4 2 7 4 4" xfId="41790" xr:uid="{00000000-0005-0000-0000-00006C2F0000}"/>
    <cellStyle name="Remarque 2 2 4 2 7 5" xfId="7957" xr:uid="{00000000-0005-0000-0000-00006D2F0000}"/>
    <cellStyle name="Remarque 2 2 4 2 7 5 2" xfId="31971" xr:uid="{00000000-0005-0000-0000-00006E2F0000}"/>
    <cellStyle name="Remarque 2 2 4 2 7 5 2 2" xfId="55931" xr:uid="{00000000-0005-0000-0000-00006F2F0000}"/>
    <cellStyle name="Remarque 2 2 4 2 7 5 3" xfId="19218" xr:uid="{00000000-0005-0000-0000-0000702F0000}"/>
    <cellStyle name="Remarque 2 2 4 2 7 5 4" xfId="43178" xr:uid="{00000000-0005-0000-0000-0000712F0000}"/>
    <cellStyle name="Remarque 2 2 4 2 7 6" xfId="9342" xr:uid="{00000000-0005-0000-0000-0000722F0000}"/>
    <cellStyle name="Remarque 2 2 4 2 7 6 2" xfId="33356" xr:uid="{00000000-0005-0000-0000-0000732F0000}"/>
    <cellStyle name="Remarque 2 2 4 2 7 6 2 2" xfId="57316" xr:uid="{00000000-0005-0000-0000-0000742F0000}"/>
    <cellStyle name="Remarque 2 2 4 2 7 6 3" xfId="20603" xr:uid="{00000000-0005-0000-0000-0000752F0000}"/>
    <cellStyle name="Remarque 2 2 4 2 7 6 4" xfId="44563" xr:uid="{00000000-0005-0000-0000-0000762F0000}"/>
    <cellStyle name="Remarque 2 2 4 2 7 7" xfId="10799" xr:uid="{00000000-0005-0000-0000-0000772F0000}"/>
    <cellStyle name="Remarque 2 2 4 2 7 7 2" xfId="34809" xr:uid="{00000000-0005-0000-0000-0000782F0000}"/>
    <cellStyle name="Remarque 2 2 4 2 7 7 2 2" xfId="58769" xr:uid="{00000000-0005-0000-0000-0000792F0000}"/>
    <cellStyle name="Remarque 2 2 4 2 7 7 3" xfId="22066" xr:uid="{00000000-0005-0000-0000-00007A2F0000}"/>
    <cellStyle name="Remarque 2 2 4 2 7 7 4" xfId="46026" xr:uid="{00000000-0005-0000-0000-00007B2F0000}"/>
    <cellStyle name="Remarque 2 2 4 2 7 8" xfId="12126" xr:uid="{00000000-0005-0000-0000-00007C2F0000}"/>
    <cellStyle name="Remarque 2 2 4 2 7 8 2" xfId="23409" xr:uid="{00000000-0005-0000-0000-00007D2F0000}"/>
    <cellStyle name="Remarque 2 2 4 2 7 8 3" xfId="47369" xr:uid="{00000000-0005-0000-0000-00007E2F0000}"/>
    <cellStyle name="Remarque 2 2 4 2 7 9" xfId="2271" xr:uid="{00000000-0005-0000-0000-00007F2F0000}"/>
    <cellStyle name="Remarque 2 2 4 2 7 9 2" xfId="26285" xr:uid="{00000000-0005-0000-0000-0000802F0000}"/>
    <cellStyle name="Remarque 2 2 4 2 7 9 3" xfId="50245" xr:uid="{00000000-0005-0000-0000-0000812F0000}"/>
    <cellStyle name="Remarque 2 2 4 2 8" xfId="1028" xr:uid="{00000000-0005-0000-0000-0000822F0000}"/>
    <cellStyle name="Remarque 2 2 4 2 8 10" xfId="25060" xr:uid="{00000000-0005-0000-0000-0000832F0000}"/>
    <cellStyle name="Remarque 2 2 4 2 8 10 2" xfId="49020" xr:uid="{00000000-0005-0000-0000-0000842F0000}"/>
    <cellStyle name="Remarque 2 2 4 2 8 11" xfId="36472" xr:uid="{00000000-0005-0000-0000-0000852F0000}"/>
    <cellStyle name="Remarque 2 2 4 2 8 11 2" xfId="60432" xr:uid="{00000000-0005-0000-0000-0000862F0000}"/>
    <cellStyle name="Remarque 2 2 4 2 8 12" xfId="13725" xr:uid="{00000000-0005-0000-0000-0000872F0000}"/>
    <cellStyle name="Remarque 2 2 4 2 8 13" xfId="37685" xr:uid="{00000000-0005-0000-0000-0000882F0000}"/>
    <cellStyle name="Remarque 2 2 4 2 8 2" xfId="3934" xr:uid="{00000000-0005-0000-0000-0000892F0000}"/>
    <cellStyle name="Remarque 2 2 4 2 8 2 2" xfId="27948" xr:uid="{00000000-0005-0000-0000-00008A2F0000}"/>
    <cellStyle name="Remarque 2 2 4 2 8 2 2 2" xfId="51908" xr:uid="{00000000-0005-0000-0000-00008B2F0000}"/>
    <cellStyle name="Remarque 2 2 4 2 8 2 3" xfId="15195" xr:uid="{00000000-0005-0000-0000-00008C2F0000}"/>
    <cellStyle name="Remarque 2 2 4 2 8 2 4" xfId="39155" xr:uid="{00000000-0005-0000-0000-00008D2F0000}"/>
    <cellStyle name="Remarque 2 2 4 2 8 3" xfId="5368" xr:uid="{00000000-0005-0000-0000-00008E2F0000}"/>
    <cellStyle name="Remarque 2 2 4 2 8 3 2" xfId="29382" xr:uid="{00000000-0005-0000-0000-00008F2F0000}"/>
    <cellStyle name="Remarque 2 2 4 2 8 3 2 2" xfId="53342" xr:uid="{00000000-0005-0000-0000-0000902F0000}"/>
    <cellStyle name="Remarque 2 2 4 2 8 3 3" xfId="16629" xr:uid="{00000000-0005-0000-0000-0000912F0000}"/>
    <cellStyle name="Remarque 2 2 4 2 8 3 4" xfId="40589" xr:uid="{00000000-0005-0000-0000-0000922F0000}"/>
    <cellStyle name="Remarque 2 2 4 2 8 4" xfId="6762" xr:uid="{00000000-0005-0000-0000-0000932F0000}"/>
    <cellStyle name="Remarque 2 2 4 2 8 4 2" xfId="30776" xr:uid="{00000000-0005-0000-0000-0000942F0000}"/>
    <cellStyle name="Remarque 2 2 4 2 8 4 2 2" xfId="54736" xr:uid="{00000000-0005-0000-0000-0000952F0000}"/>
    <cellStyle name="Remarque 2 2 4 2 8 4 3" xfId="18023" xr:uid="{00000000-0005-0000-0000-0000962F0000}"/>
    <cellStyle name="Remarque 2 2 4 2 8 4 4" xfId="41983" xr:uid="{00000000-0005-0000-0000-0000972F0000}"/>
    <cellStyle name="Remarque 2 2 4 2 8 5" xfId="8150" xr:uid="{00000000-0005-0000-0000-0000982F0000}"/>
    <cellStyle name="Remarque 2 2 4 2 8 5 2" xfId="32164" xr:uid="{00000000-0005-0000-0000-0000992F0000}"/>
    <cellStyle name="Remarque 2 2 4 2 8 5 2 2" xfId="56124" xr:uid="{00000000-0005-0000-0000-00009A2F0000}"/>
    <cellStyle name="Remarque 2 2 4 2 8 5 3" xfId="19411" xr:uid="{00000000-0005-0000-0000-00009B2F0000}"/>
    <cellStyle name="Remarque 2 2 4 2 8 5 4" xfId="43371" xr:uid="{00000000-0005-0000-0000-00009C2F0000}"/>
    <cellStyle name="Remarque 2 2 4 2 8 6" xfId="9535" xr:uid="{00000000-0005-0000-0000-00009D2F0000}"/>
    <cellStyle name="Remarque 2 2 4 2 8 6 2" xfId="33549" xr:uid="{00000000-0005-0000-0000-00009E2F0000}"/>
    <cellStyle name="Remarque 2 2 4 2 8 6 2 2" xfId="57509" xr:uid="{00000000-0005-0000-0000-00009F2F0000}"/>
    <cellStyle name="Remarque 2 2 4 2 8 6 3" xfId="20796" xr:uid="{00000000-0005-0000-0000-0000A02F0000}"/>
    <cellStyle name="Remarque 2 2 4 2 8 6 4" xfId="44756" xr:uid="{00000000-0005-0000-0000-0000A12F0000}"/>
    <cellStyle name="Remarque 2 2 4 2 8 7" xfId="10992" xr:uid="{00000000-0005-0000-0000-0000A22F0000}"/>
    <cellStyle name="Remarque 2 2 4 2 8 7 2" xfId="35002" xr:uid="{00000000-0005-0000-0000-0000A32F0000}"/>
    <cellStyle name="Remarque 2 2 4 2 8 7 2 2" xfId="58962" xr:uid="{00000000-0005-0000-0000-0000A42F0000}"/>
    <cellStyle name="Remarque 2 2 4 2 8 7 3" xfId="22259" xr:uid="{00000000-0005-0000-0000-0000A52F0000}"/>
    <cellStyle name="Remarque 2 2 4 2 8 7 4" xfId="46219" xr:uid="{00000000-0005-0000-0000-0000A62F0000}"/>
    <cellStyle name="Remarque 2 2 4 2 8 8" xfId="11738" xr:uid="{00000000-0005-0000-0000-0000A72F0000}"/>
    <cellStyle name="Remarque 2 2 4 2 8 8 2" xfId="23009" xr:uid="{00000000-0005-0000-0000-0000A82F0000}"/>
    <cellStyle name="Remarque 2 2 4 2 8 8 3" xfId="46969" xr:uid="{00000000-0005-0000-0000-0000A92F0000}"/>
    <cellStyle name="Remarque 2 2 4 2 8 9" xfId="2464" xr:uid="{00000000-0005-0000-0000-0000AA2F0000}"/>
    <cellStyle name="Remarque 2 2 4 2 8 9 2" xfId="26478" xr:uid="{00000000-0005-0000-0000-0000AB2F0000}"/>
    <cellStyle name="Remarque 2 2 4 2 8 9 3" xfId="50438" xr:uid="{00000000-0005-0000-0000-0000AC2F0000}"/>
    <cellStyle name="Remarque 2 2 4 2 9" xfId="1214" xr:uid="{00000000-0005-0000-0000-0000AD2F0000}"/>
    <cellStyle name="Remarque 2 2 4 2 9 10" xfId="25246" xr:uid="{00000000-0005-0000-0000-0000AE2F0000}"/>
    <cellStyle name="Remarque 2 2 4 2 9 10 2" xfId="49206" xr:uid="{00000000-0005-0000-0000-0000AF2F0000}"/>
    <cellStyle name="Remarque 2 2 4 2 9 11" xfId="36293" xr:uid="{00000000-0005-0000-0000-0000B02F0000}"/>
    <cellStyle name="Remarque 2 2 4 2 9 11 2" xfId="60253" xr:uid="{00000000-0005-0000-0000-0000B12F0000}"/>
    <cellStyle name="Remarque 2 2 4 2 9 12" xfId="13911" xr:uid="{00000000-0005-0000-0000-0000B22F0000}"/>
    <cellStyle name="Remarque 2 2 4 2 9 13" xfId="37871" xr:uid="{00000000-0005-0000-0000-0000B32F0000}"/>
    <cellStyle name="Remarque 2 2 4 2 9 2" xfId="4120" xr:uid="{00000000-0005-0000-0000-0000B42F0000}"/>
    <cellStyle name="Remarque 2 2 4 2 9 2 2" xfId="28134" xr:uid="{00000000-0005-0000-0000-0000B52F0000}"/>
    <cellStyle name="Remarque 2 2 4 2 9 2 2 2" xfId="52094" xr:uid="{00000000-0005-0000-0000-0000B62F0000}"/>
    <cellStyle name="Remarque 2 2 4 2 9 2 3" xfId="15381" xr:uid="{00000000-0005-0000-0000-0000B72F0000}"/>
    <cellStyle name="Remarque 2 2 4 2 9 2 4" xfId="39341" xr:uid="{00000000-0005-0000-0000-0000B82F0000}"/>
    <cellStyle name="Remarque 2 2 4 2 9 3" xfId="5554" xr:uid="{00000000-0005-0000-0000-0000B92F0000}"/>
    <cellStyle name="Remarque 2 2 4 2 9 3 2" xfId="29568" xr:uid="{00000000-0005-0000-0000-0000BA2F0000}"/>
    <cellStyle name="Remarque 2 2 4 2 9 3 2 2" xfId="53528" xr:uid="{00000000-0005-0000-0000-0000BB2F0000}"/>
    <cellStyle name="Remarque 2 2 4 2 9 3 3" xfId="16815" xr:uid="{00000000-0005-0000-0000-0000BC2F0000}"/>
    <cellStyle name="Remarque 2 2 4 2 9 3 4" xfId="40775" xr:uid="{00000000-0005-0000-0000-0000BD2F0000}"/>
    <cellStyle name="Remarque 2 2 4 2 9 4" xfId="6948" xr:uid="{00000000-0005-0000-0000-0000BE2F0000}"/>
    <cellStyle name="Remarque 2 2 4 2 9 4 2" xfId="30962" xr:uid="{00000000-0005-0000-0000-0000BF2F0000}"/>
    <cellStyle name="Remarque 2 2 4 2 9 4 2 2" xfId="54922" xr:uid="{00000000-0005-0000-0000-0000C02F0000}"/>
    <cellStyle name="Remarque 2 2 4 2 9 4 3" xfId="18209" xr:uid="{00000000-0005-0000-0000-0000C12F0000}"/>
    <cellStyle name="Remarque 2 2 4 2 9 4 4" xfId="42169" xr:uid="{00000000-0005-0000-0000-0000C22F0000}"/>
    <cellStyle name="Remarque 2 2 4 2 9 5" xfId="8336" xr:uid="{00000000-0005-0000-0000-0000C32F0000}"/>
    <cellStyle name="Remarque 2 2 4 2 9 5 2" xfId="32350" xr:uid="{00000000-0005-0000-0000-0000C42F0000}"/>
    <cellStyle name="Remarque 2 2 4 2 9 5 2 2" xfId="56310" xr:uid="{00000000-0005-0000-0000-0000C52F0000}"/>
    <cellStyle name="Remarque 2 2 4 2 9 5 3" xfId="19597" xr:uid="{00000000-0005-0000-0000-0000C62F0000}"/>
    <cellStyle name="Remarque 2 2 4 2 9 5 4" xfId="43557" xr:uid="{00000000-0005-0000-0000-0000C72F0000}"/>
    <cellStyle name="Remarque 2 2 4 2 9 6" xfId="9721" xr:uid="{00000000-0005-0000-0000-0000C82F0000}"/>
    <cellStyle name="Remarque 2 2 4 2 9 6 2" xfId="33735" xr:uid="{00000000-0005-0000-0000-0000C92F0000}"/>
    <cellStyle name="Remarque 2 2 4 2 9 6 2 2" xfId="57695" xr:uid="{00000000-0005-0000-0000-0000CA2F0000}"/>
    <cellStyle name="Remarque 2 2 4 2 9 6 3" xfId="20982" xr:uid="{00000000-0005-0000-0000-0000CB2F0000}"/>
    <cellStyle name="Remarque 2 2 4 2 9 6 4" xfId="44942" xr:uid="{00000000-0005-0000-0000-0000CC2F0000}"/>
    <cellStyle name="Remarque 2 2 4 2 9 7" xfId="11178" xr:uid="{00000000-0005-0000-0000-0000CD2F0000}"/>
    <cellStyle name="Remarque 2 2 4 2 9 7 2" xfId="35188" xr:uid="{00000000-0005-0000-0000-0000CE2F0000}"/>
    <cellStyle name="Remarque 2 2 4 2 9 7 2 2" xfId="59148" xr:uid="{00000000-0005-0000-0000-0000CF2F0000}"/>
    <cellStyle name="Remarque 2 2 4 2 9 7 3" xfId="22445" xr:uid="{00000000-0005-0000-0000-0000D02F0000}"/>
    <cellStyle name="Remarque 2 2 4 2 9 7 4" xfId="46405" xr:uid="{00000000-0005-0000-0000-0000D12F0000}"/>
    <cellStyle name="Remarque 2 2 4 2 9 8" xfId="12357" xr:uid="{00000000-0005-0000-0000-0000D22F0000}"/>
    <cellStyle name="Remarque 2 2 4 2 9 8 2" xfId="23646" xr:uid="{00000000-0005-0000-0000-0000D32F0000}"/>
    <cellStyle name="Remarque 2 2 4 2 9 8 3" xfId="47606" xr:uid="{00000000-0005-0000-0000-0000D42F0000}"/>
    <cellStyle name="Remarque 2 2 4 2 9 9" xfId="2650" xr:uid="{00000000-0005-0000-0000-0000D52F0000}"/>
    <cellStyle name="Remarque 2 2 4 2 9 9 2" xfId="26664" xr:uid="{00000000-0005-0000-0000-0000D62F0000}"/>
    <cellStyle name="Remarque 2 2 4 2 9 9 3" xfId="50624" xr:uid="{00000000-0005-0000-0000-0000D72F0000}"/>
    <cellStyle name="Remarque 2 2 4 3" xfId="56" xr:uid="{00000000-0005-0000-0000-0000D82F0000}"/>
    <cellStyle name="Remarque 2 2 4 3 10" xfId="36893" xr:uid="{00000000-0005-0000-0000-0000D92F0000}"/>
    <cellStyle name="Remarque 2 2 4 3 11" xfId="236" xr:uid="{00000000-0005-0000-0000-0000DA2F0000}"/>
    <cellStyle name="Remarque 2 2 4 3 2" xfId="470" xr:uid="{00000000-0005-0000-0000-0000DB2F0000}"/>
    <cellStyle name="Remarque 2 2 4 3 2 10" xfId="6204" xr:uid="{00000000-0005-0000-0000-0000DC2F0000}"/>
    <cellStyle name="Remarque 2 2 4 3 2 10 2" xfId="30218" xr:uid="{00000000-0005-0000-0000-0000DD2F0000}"/>
    <cellStyle name="Remarque 2 2 4 3 2 10 2 2" xfId="54178" xr:uid="{00000000-0005-0000-0000-0000DE2F0000}"/>
    <cellStyle name="Remarque 2 2 4 3 2 10 3" xfId="17465" xr:uid="{00000000-0005-0000-0000-0000DF2F0000}"/>
    <cellStyle name="Remarque 2 2 4 3 2 10 4" xfId="41425" xr:uid="{00000000-0005-0000-0000-0000E02F0000}"/>
    <cellStyle name="Remarque 2 2 4 3 2 11" xfId="7592" xr:uid="{00000000-0005-0000-0000-0000E12F0000}"/>
    <cellStyle name="Remarque 2 2 4 3 2 11 2" xfId="31606" xr:uid="{00000000-0005-0000-0000-0000E22F0000}"/>
    <cellStyle name="Remarque 2 2 4 3 2 11 2 2" xfId="55566" xr:uid="{00000000-0005-0000-0000-0000E32F0000}"/>
    <cellStyle name="Remarque 2 2 4 3 2 11 3" xfId="18853" xr:uid="{00000000-0005-0000-0000-0000E42F0000}"/>
    <cellStyle name="Remarque 2 2 4 3 2 11 4" xfId="42813" xr:uid="{00000000-0005-0000-0000-0000E52F0000}"/>
    <cellStyle name="Remarque 2 2 4 3 2 12" xfId="8977" xr:uid="{00000000-0005-0000-0000-0000E62F0000}"/>
    <cellStyle name="Remarque 2 2 4 3 2 12 2" xfId="32991" xr:uid="{00000000-0005-0000-0000-0000E72F0000}"/>
    <cellStyle name="Remarque 2 2 4 3 2 12 2 2" xfId="56951" xr:uid="{00000000-0005-0000-0000-0000E82F0000}"/>
    <cellStyle name="Remarque 2 2 4 3 2 12 3" xfId="20238" xr:uid="{00000000-0005-0000-0000-0000E92F0000}"/>
    <cellStyle name="Remarque 2 2 4 3 2 12 4" xfId="44198" xr:uid="{00000000-0005-0000-0000-0000EA2F0000}"/>
    <cellStyle name="Remarque 2 2 4 3 2 13" xfId="10434" xr:uid="{00000000-0005-0000-0000-0000EB2F0000}"/>
    <cellStyle name="Remarque 2 2 4 3 2 13 2" xfId="34444" xr:uid="{00000000-0005-0000-0000-0000EC2F0000}"/>
    <cellStyle name="Remarque 2 2 4 3 2 13 2 2" xfId="58404" xr:uid="{00000000-0005-0000-0000-0000ED2F0000}"/>
    <cellStyle name="Remarque 2 2 4 3 2 13 3" xfId="21701" xr:uid="{00000000-0005-0000-0000-0000EE2F0000}"/>
    <cellStyle name="Remarque 2 2 4 3 2 13 4" xfId="45661" xr:uid="{00000000-0005-0000-0000-0000EF2F0000}"/>
    <cellStyle name="Remarque 2 2 4 3 2 14" xfId="12313" xr:uid="{00000000-0005-0000-0000-0000F02F0000}"/>
    <cellStyle name="Remarque 2 2 4 3 2 14 2" xfId="23601" xr:uid="{00000000-0005-0000-0000-0000F12F0000}"/>
    <cellStyle name="Remarque 2 2 4 3 2 14 3" xfId="47561" xr:uid="{00000000-0005-0000-0000-0000F22F0000}"/>
    <cellStyle name="Remarque 2 2 4 3 2 15" xfId="1906" xr:uid="{00000000-0005-0000-0000-0000F32F0000}"/>
    <cellStyle name="Remarque 2 2 4 3 2 15 2" xfId="25920" xr:uid="{00000000-0005-0000-0000-0000F42F0000}"/>
    <cellStyle name="Remarque 2 2 4 3 2 15 3" xfId="49880" xr:uid="{00000000-0005-0000-0000-0000F52F0000}"/>
    <cellStyle name="Remarque 2 2 4 3 2 16" xfId="24502" xr:uid="{00000000-0005-0000-0000-0000F62F0000}"/>
    <cellStyle name="Remarque 2 2 4 3 2 16 2" xfId="48462" xr:uid="{00000000-0005-0000-0000-0000F72F0000}"/>
    <cellStyle name="Remarque 2 2 4 3 2 17" xfId="36115" xr:uid="{00000000-0005-0000-0000-0000F82F0000}"/>
    <cellStyle name="Remarque 2 2 4 3 2 17 2" xfId="60075" xr:uid="{00000000-0005-0000-0000-0000F92F0000}"/>
    <cellStyle name="Remarque 2 2 4 3 2 18" xfId="13167" xr:uid="{00000000-0005-0000-0000-0000FA2F0000}"/>
    <cellStyle name="Remarque 2 2 4 3 2 19" xfId="37127" xr:uid="{00000000-0005-0000-0000-0000FB2F0000}"/>
    <cellStyle name="Remarque 2 2 4 3 2 2" xfId="606" xr:uid="{00000000-0005-0000-0000-0000FC2F0000}"/>
    <cellStyle name="Remarque 2 2 4 3 2 2 10" xfId="24638" xr:uid="{00000000-0005-0000-0000-0000FD2F0000}"/>
    <cellStyle name="Remarque 2 2 4 3 2 2 10 2" xfId="48598" xr:uid="{00000000-0005-0000-0000-0000FE2F0000}"/>
    <cellStyle name="Remarque 2 2 4 3 2 2 11" xfId="35685" xr:uid="{00000000-0005-0000-0000-0000FF2F0000}"/>
    <cellStyle name="Remarque 2 2 4 3 2 2 11 2" xfId="59645" xr:uid="{00000000-0005-0000-0000-000000300000}"/>
    <cellStyle name="Remarque 2 2 4 3 2 2 12" xfId="13303" xr:uid="{00000000-0005-0000-0000-000001300000}"/>
    <cellStyle name="Remarque 2 2 4 3 2 2 13" xfId="37263" xr:uid="{00000000-0005-0000-0000-000002300000}"/>
    <cellStyle name="Remarque 2 2 4 3 2 2 2" xfId="3512" xr:uid="{00000000-0005-0000-0000-000003300000}"/>
    <cellStyle name="Remarque 2 2 4 3 2 2 2 2" xfId="27526" xr:uid="{00000000-0005-0000-0000-000004300000}"/>
    <cellStyle name="Remarque 2 2 4 3 2 2 2 2 2" xfId="51486" xr:uid="{00000000-0005-0000-0000-000005300000}"/>
    <cellStyle name="Remarque 2 2 4 3 2 2 2 3" xfId="14773" xr:uid="{00000000-0005-0000-0000-000006300000}"/>
    <cellStyle name="Remarque 2 2 4 3 2 2 2 4" xfId="38733" xr:uid="{00000000-0005-0000-0000-000007300000}"/>
    <cellStyle name="Remarque 2 2 4 3 2 2 3" xfId="4946" xr:uid="{00000000-0005-0000-0000-000008300000}"/>
    <cellStyle name="Remarque 2 2 4 3 2 2 3 2" xfId="28960" xr:uid="{00000000-0005-0000-0000-000009300000}"/>
    <cellStyle name="Remarque 2 2 4 3 2 2 3 2 2" xfId="52920" xr:uid="{00000000-0005-0000-0000-00000A300000}"/>
    <cellStyle name="Remarque 2 2 4 3 2 2 3 3" xfId="16207" xr:uid="{00000000-0005-0000-0000-00000B300000}"/>
    <cellStyle name="Remarque 2 2 4 3 2 2 3 4" xfId="40167" xr:uid="{00000000-0005-0000-0000-00000C300000}"/>
    <cellStyle name="Remarque 2 2 4 3 2 2 4" xfId="6340" xr:uid="{00000000-0005-0000-0000-00000D300000}"/>
    <cellStyle name="Remarque 2 2 4 3 2 2 4 2" xfId="30354" xr:uid="{00000000-0005-0000-0000-00000E300000}"/>
    <cellStyle name="Remarque 2 2 4 3 2 2 4 2 2" xfId="54314" xr:uid="{00000000-0005-0000-0000-00000F300000}"/>
    <cellStyle name="Remarque 2 2 4 3 2 2 4 3" xfId="17601" xr:uid="{00000000-0005-0000-0000-000010300000}"/>
    <cellStyle name="Remarque 2 2 4 3 2 2 4 4" xfId="41561" xr:uid="{00000000-0005-0000-0000-000011300000}"/>
    <cellStyle name="Remarque 2 2 4 3 2 2 5" xfId="7728" xr:uid="{00000000-0005-0000-0000-000012300000}"/>
    <cellStyle name="Remarque 2 2 4 3 2 2 5 2" xfId="31742" xr:uid="{00000000-0005-0000-0000-000013300000}"/>
    <cellStyle name="Remarque 2 2 4 3 2 2 5 2 2" xfId="55702" xr:uid="{00000000-0005-0000-0000-000014300000}"/>
    <cellStyle name="Remarque 2 2 4 3 2 2 5 3" xfId="18989" xr:uid="{00000000-0005-0000-0000-000015300000}"/>
    <cellStyle name="Remarque 2 2 4 3 2 2 5 4" xfId="42949" xr:uid="{00000000-0005-0000-0000-000016300000}"/>
    <cellStyle name="Remarque 2 2 4 3 2 2 6" xfId="9113" xr:uid="{00000000-0005-0000-0000-000017300000}"/>
    <cellStyle name="Remarque 2 2 4 3 2 2 6 2" xfId="33127" xr:uid="{00000000-0005-0000-0000-000018300000}"/>
    <cellStyle name="Remarque 2 2 4 3 2 2 6 2 2" xfId="57087" xr:uid="{00000000-0005-0000-0000-000019300000}"/>
    <cellStyle name="Remarque 2 2 4 3 2 2 6 3" xfId="20374" xr:uid="{00000000-0005-0000-0000-00001A300000}"/>
    <cellStyle name="Remarque 2 2 4 3 2 2 6 4" xfId="44334" xr:uid="{00000000-0005-0000-0000-00001B300000}"/>
    <cellStyle name="Remarque 2 2 4 3 2 2 7" xfId="10570" xr:uid="{00000000-0005-0000-0000-00001C300000}"/>
    <cellStyle name="Remarque 2 2 4 3 2 2 7 2" xfId="34580" xr:uid="{00000000-0005-0000-0000-00001D300000}"/>
    <cellStyle name="Remarque 2 2 4 3 2 2 7 2 2" xfId="58540" xr:uid="{00000000-0005-0000-0000-00001E300000}"/>
    <cellStyle name="Remarque 2 2 4 3 2 2 7 3" xfId="21837" xr:uid="{00000000-0005-0000-0000-00001F300000}"/>
    <cellStyle name="Remarque 2 2 4 3 2 2 7 4" xfId="45797" xr:uid="{00000000-0005-0000-0000-000020300000}"/>
    <cellStyle name="Remarque 2 2 4 3 2 2 8" xfId="11843" xr:uid="{00000000-0005-0000-0000-000021300000}"/>
    <cellStyle name="Remarque 2 2 4 3 2 2 8 2" xfId="23118" xr:uid="{00000000-0005-0000-0000-000022300000}"/>
    <cellStyle name="Remarque 2 2 4 3 2 2 8 3" xfId="47078" xr:uid="{00000000-0005-0000-0000-000023300000}"/>
    <cellStyle name="Remarque 2 2 4 3 2 2 9" xfId="2042" xr:uid="{00000000-0005-0000-0000-000024300000}"/>
    <cellStyle name="Remarque 2 2 4 3 2 2 9 2" xfId="26056" xr:uid="{00000000-0005-0000-0000-000025300000}"/>
    <cellStyle name="Remarque 2 2 4 3 2 2 9 3" xfId="50016" xr:uid="{00000000-0005-0000-0000-000026300000}"/>
    <cellStyle name="Remarque 2 2 4 3 2 3" xfId="798" xr:uid="{00000000-0005-0000-0000-000027300000}"/>
    <cellStyle name="Remarque 2 2 4 3 2 3 10" xfId="24830" xr:uid="{00000000-0005-0000-0000-000028300000}"/>
    <cellStyle name="Remarque 2 2 4 3 2 3 10 2" xfId="48790" xr:uid="{00000000-0005-0000-0000-000029300000}"/>
    <cellStyle name="Remarque 2 2 4 3 2 3 11" xfId="36101" xr:uid="{00000000-0005-0000-0000-00002A300000}"/>
    <cellStyle name="Remarque 2 2 4 3 2 3 11 2" xfId="60061" xr:uid="{00000000-0005-0000-0000-00002B300000}"/>
    <cellStyle name="Remarque 2 2 4 3 2 3 12" xfId="13495" xr:uid="{00000000-0005-0000-0000-00002C300000}"/>
    <cellStyle name="Remarque 2 2 4 3 2 3 13" xfId="37455" xr:uid="{00000000-0005-0000-0000-00002D300000}"/>
    <cellStyle name="Remarque 2 2 4 3 2 3 2" xfId="3704" xr:uid="{00000000-0005-0000-0000-00002E300000}"/>
    <cellStyle name="Remarque 2 2 4 3 2 3 2 2" xfId="27718" xr:uid="{00000000-0005-0000-0000-00002F300000}"/>
    <cellStyle name="Remarque 2 2 4 3 2 3 2 2 2" xfId="51678" xr:uid="{00000000-0005-0000-0000-000030300000}"/>
    <cellStyle name="Remarque 2 2 4 3 2 3 2 3" xfId="14965" xr:uid="{00000000-0005-0000-0000-000031300000}"/>
    <cellStyle name="Remarque 2 2 4 3 2 3 2 4" xfId="38925" xr:uid="{00000000-0005-0000-0000-000032300000}"/>
    <cellStyle name="Remarque 2 2 4 3 2 3 3" xfId="5138" xr:uid="{00000000-0005-0000-0000-000033300000}"/>
    <cellStyle name="Remarque 2 2 4 3 2 3 3 2" xfId="29152" xr:uid="{00000000-0005-0000-0000-000034300000}"/>
    <cellStyle name="Remarque 2 2 4 3 2 3 3 2 2" xfId="53112" xr:uid="{00000000-0005-0000-0000-000035300000}"/>
    <cellStyle name="Remarque 2 2 4 3 2 3 3 3" xfId="16399" xr:uid="{00000000-0005-0000-0000-000036300000}"/>
    <cellStyle name="Remarque 2 2 4 3 2 3 3 4" xfId="40359" xr:uid="{00000000-0005-0000-0000-000037300000}"/>
    <cellStyle name="Remarque 2 2 4 3 2 3 4" xfId="6532" xr:uid="{00000000-0005-0000-0000-000038300000}"/>
    <cellStyle name="Remarque 2 2 4 3 2 3 4 2" xfId="30546" xr:uid="{00000000-0005-0000-0000-000039300000}"/>
    <cellStyle name="Remarque 2 2 4 3 2 3 4 2 2" xfId="54506" xr:uid="{00000000-0005-0000-0000-00003A300000}"/>
    <cellStyle name="Remarque 2 2 4 3 2 3 4 3" xfId="17793" xr:uid="{00000000-0005-0000-0000-00003B300000}"/>
    <cellStyle name="Remarque 2 2 4 3 2 3 4 4" xfId="41753" xr:uid="{00000000-0005-0000-0000-00003C300000}"/>
    <cellStyle name="Remarque 2 2 4 3 2 3 5" xfId="7920" xr:uid="{00000000-0005-0000-0000-00003D300000}"/>
    <cellStyle name="Remarque 2 2 4 3 2 3 5 2" xfId="31934" xr:uid="{00000000-0005-0000-0000-00003E300000}"/>
    <cellStyle name="Remarque 2 2 4 3 2 3 5 2 2" xfId="55894" xr:uid="{00000000-0005-0000-0000-00003F300000}"/>
    <cellStyle name="Remarque 2 2 4 3 2 3 5 3" xfId="19181" xr:uid="{00000000-0005-0000-0000-000040300000}"/>
    <cellStyle name="Remarque 2 2 4 3 2 3 5 4" xfId="43141" xr:uid="{00000000-0005-0000-0000-000041300000}"/>
    <cellStyle name="Remarque 2 2 4 3 2 3 6" xfId="9305" xr:uid="{00000000-0005-0000-0000-000042300000}"/>
    <cellStyle name="Remarque 2 2 4 3 2 3 6 2" xfId="33319" xr:uid="{00000000-0005-0000-0000-000043300000}"/>
    <cellStyle name="Remarque 2 2 4 3 2 3 6 2 2" xfId="57279" xr:uid="{00000000-0005-0000-0000-000044300000}"/>
    <cellStyle name="Remarque 2 2 4 3 2 3 6 3" xfId="20566" xr:uid="{00000000-0005-0000-0000-000045300000}"/>
    <cellStyle name="Remarque 2 2 4 3 2 3 6 4" xfId="44526" xr:uid="{00000000-0005-0000-0000-000046300000}"/>
    <cellStyle name="Remarque 2 2 4 3 2 3 7" xfId="10762" xr:uid="{00000000-0005-0000-0000-000047300000}"/>
    <cellStyle name="Remarque 2 2 4 3 2 3 7 2" xfId="34772" xr:uid="{00000000-0005-0000-0000-000048300000}"/>
    <cellStyle name="Remarque 2 2 4 3 2 3 7 2 2" xfId="58732" xr:uid="{00000000-0005-0000-0000-000049300000}"/>
    <cellStyle name="Remarque 2 2 4 3 2 3 7 3" xfId="22029" xr:uid="{00000000-0005-0000-0000-00004A300000}"/>
    <cellStyle name="Remarque 2 2 4 3 2 3 7 4" xfId="45989" xr:uid="{00000000-0005-0000-0000-00004B300000}"/>
    <cellStyle name="Remarque 2 2 4 3 2 3 8" xfId="11797" xr:uid="{00000000-0005-0000-0000-00004C300000}"/>
    <cellStyle name="Remarque 2 2 4 3 2 3 8 2" xfId="23071" xr:uid="{00000000-0005-0000-0000-00004D300000}"/>
    <cellStyle name="Remarque 2 2 4 3 2 3 8 3" xfId="47031" xr:uid="{00000000-0005-0000-0000-00004E300000}"/>
    <cellStyle name="Remarque 2 2 4 3 2 3 9" xfId="2234" xr:uid="{00000000-0005-0000-0000-00004F300000}"/>
    <cellStyle name="Remarque 2 2 4 3 2 3 9 2" xfId="26248" xr:uid="{00000000-0005-0000-0000-000050300000}"/>
    <cellStyle name="Remarque 2 2 4 3 2 3 9 3" xfId="50208" xr:uid="{00000000-0005-0000-0000-000051300000}"/>
    <cellStyle name="Remarque 2 2 4 3 2 4" xfId="992" xr:uid="{00000000-0005-0000-0000-000052300000}"/>
    <cellStyle name="Remarque 2 2 4 3 2 4 10" xfId="25024" xr:uid="{00000000-0005-0000-0000-000053300000}"/>
    <cellStyle name="Remarque 2 2 4 3 2 4 10 2" xfId="48984" xr:uid="{00000000-0005-0000-0000-000054300000}"/>
    <cellStyle name="Remarque 2 2 4 3 2 4 11" xfId="36818" xr:uid="{00000000-0005-0000-0000-000055300000}"/>
    <cellStyle name="Remarque 2 2 4 3 2 4 11 2" xfId="60778" xr:uid="{00000000-0005-0000-0000-000056300000}"/>
    <cellStyle name="Remarque 2 2 4 3 2 4 12" xfId="13689" xr:uid="{00000000-0005-0000-0000-000057300000}"/>
    <cellStyle name="Remarque 2 2 4 3 2 4 13" xfId="37649" xr:uid="{00000000-0005-0000-0000-000058300000}"/>
    <cellStyle name="Remarque 2 2 4 3 2 4 2" xfId="3898" xr:uid="{00000000-0005-0000-0000-000059300000}"/>
    <cellStyle name="Remarque 2 2 4 3 2 4 2 2" xfId="27912" xr:uid="{00000000-0005-0000-0000-00005A300000}"/>
    <cellStyle name="Remarque 2 2 4 3 2 4 2 2 2" xfId="51872" xr:uid="{00000000-0005-0000-0000-00005B300000}"/>
    <cellStyle name="Remarque 2 2 4 3 2 4 2 3" xfId="15159" xr:uid="{00000000-0005-0000-0000-00005C300000}"/>
    <cellStyle name="Remarque 2 2 4 3 2 4 2 4" xfId="39119" xr:uid="{00000000-0005-0000-0000-00005D300000}"/>
    <cellStyle name="Remarque 2 2 4 3 2 4 3" xfId="5332" xr:uid="{00000000-0005-0000-0000-00005E300000}"/>
    <cellStyle name="Remarque 2 2 4 3 2 4 3 2" xfId="29346" xr:uid="{00000000-0005-0000-0000-00005F300000}"/>
    <cellStyle name="Remarque 2 2 4 3 2 4 3 2 2" xfId="53306" xr:uid="{00000000-0005-0000-0000-000060300000}"/>
    <cellStyle name="Remarque 2 2 4 3 2 4 3 3" xfId="16593" xr:uid="{00000000-0005-0000-0000-000061300000}"/>
    <cellStyle name="Remarque 2 2 4 3 2 4 3 4" xfId="40553" xr:uid="{00000000-0005-0000-0000-000062300000}"/>
    <cellStyle name="Remarque 2 2 4 3 2 4 4" xfId="6726" xr:uid="{00000000-0005-0000-0000-000063300000}"/>
    <cellStyle name="Remarque 2 2 4 3 2 4 4 2" xfId="30740" xr:uid="{00000000-0005-0000-0000-000064300000}"/>
    <cellStyle name="Remarque 2 2 4 3 2 4 4 2 2" xfId="54700" xr:uid="{00000000-0005-0000-0000-000065300000}"/>
    <cellStyle name="Remarque 2 2 4 3 2 4 4 3" xfId="17987" xr:uid="{00000000-0005-0000-0000-000066300000}"/>
    <cellStyle name="Remarque 2 2 4 3 2 4 4 4" xfId="41947" xr:uid="{00000000-0005-0000-0000-000067300000}"/>
    <cellStyle name="Remarque 2 2 4 3 2 4 5" xfId="8114" xr:uid="{00000000-0005-0000-0000-000068300000}"/>
    <cellStyle name="Remarque 2 2 4 3 2 4 5 2" xfId="32128" xr:uid="{00000000-0005-0000-0000-000069300000}"/>
    <cellStyle name="Remarque 2 2 4 3 2 4 5 2 2" xfId="56088" xr:uid="{00000000-0005-0000-0000-00006A300000}"/>
    <cellStyle name="Remarque 2 2 4 3 2 4 5 3" xfId="19375" xr:uid="{00000000-0005-0000-0000-00006B300000}"/>
    <cellStyle name="Remarque 2 2 4 3 2 4 5 4" xfId="43335" xr:uid="{00000000-0005-0000-0000-00006C300000}"/>
    <cellStyle name="Remarque 2 2 4 3 2 4 6" xfId="9499" xr:uid="{00000000-0005-0000-0000-00006D300000}"/>
    <cellStyle name="Remarque 2 2 4 3 2 4 6 2" xfId="33513" xr:uid="{00000000-0005-0000-0000-00006E300000}"/>
    <cellStyle name="Remarque 2 2 4 3 2 4 6 2 2" xfId="57473" xr:uid="{00000000-0005-0000-0000-00006F300000}"/>
    <cellStyle name="Remarque 2 2 4 3 2 4 6 3" xfId="20760" xr:uid="{00000000-0005-0000-0000-000070300000}"/>
    <cellStyle name="Remarque 2 2 4 3 2 4 6 4" xfId="44720" xr:uid="{00000000-0005-0000-0000-000071300000}"/>
    <cellStyle name="Remarque 2 2 4 3 2 4 7" xfId="10956" xr:uid="{00000000-0005-0000-0000-000072300000}"/>
    <cellStyle name="Remarque 2 2 4 3 2 4 7 2" xfId="34966" xr:uid="{00000000-0005-0000-0000-000073300000}"/>
    <cellStyle name="Remarque 2 2 4 3 2 4 7 2 2" xfId="58926" xr:uid="{00000000-0005-0000-0000-000074300000}"/>
    <cellStyle name="Remarque 2 2 4 3 2 4 7 3" xfId="22223" xr:uid="{00000000-0005-0000-0000-000075300000}"/>
    <cellStyle name="Remarque 2 2 4 3 2 4 7 4" xfId="46183" xr:uid="{00000000-0005-0000-0000-000076300000}"/>
    <cellStyle name="Remarque 2 2 4 3 2 4 8" xfId="12560" xr:uid="{00000000-0005-0000-0000-000077300000}"/>
    <cellStyle name="Remarque 2 2 4 3 2 4 8 2" xfId="23860" xr:uid="{00000000-0005-0000-0000-000078300000}"/>
    <cellStyle name="Remarque 2 2 4 3 2 4 8 3" xfId="47820" xr:uid="{00000000-0005-0000-0000-000079300000}"/>
    <cellStyle name="Remarque 2 2 4 3 2 4 9" xfId="2428" xr:uid="{00000000-0005-0000-0000-00007A300000}"/>
    <cellStyle name="Remarque 2 2 4 3 2 4 9 2" xfId="26442" xr:uid="{00000000-0005-0000-0000-00007B300000}"/>
    <cellStyle name="Remarque 2 2 4 3 2 4 9 3" xfId="50402" xr:uid="{00000000-0005-0000-0000-00007C300000}"/>
    <cellStyle name="Remarque 2 2 4 3 2 5" xfId="1185" xr:uid="{00000000-0005-0000-0000-00007D300000}"/>
    <cellStyle name="Remarque 2 2 4 3 2 5 10" xfId="25217" xr:uid="{00000000-0005-0000-0000-00007E300000}"/>
    <cellStyle name="Remarque 2 2 4 3 2 5 10 2" xfId="49177" xr:uid="{00000000-0005-0000-0000-00007F300000}"/>
    <cellStyle name="Remarque 2 2 4 3 2 5 11" xfId="35640" xr:uid="{00000000-0005-0000-0000-000080300000}"/>
    <cellStyle name="Remarque 2 2 4 3 2 5 11 2" xfId="59600" xr:uid="{00000000-0005-0000-0000-000081300000}"/>
    <cellStyle name="Remarque 2 2 4 3 2 5 12" xfId="13882" xr:uid="{00000000-0005-0000-0000-000082300000}"/>
    <cellStyle name="Remarque 2 2 4 3 2 5 13" xfId="37842" xr:uid="{00000000-0005-0000-0000-000083300000}"/>
    <cellStyle name="Remarque 2 2 4 3 2 5 2" xfId="4091" xr:uid="{00000000-0005-0000-0000-000084300000}"/>
    <cellStyle name="Remarque 2 2 4 3 2 5 2 2" xfId="28105" xr:uid="{00000000-0005-0000-0000-000085300000}"/>
    <cellStyle name="Remarque 2 2 4 3 2 5 2 2 2" xfId="52065" xr:uid="{00000000-0005-0000-0000-000086300000}"/>
    <cellStyle name="Remarque 2 2 4 3 2 5 2 3" xfId="15352" xr:uid="{00000000-0005-0000-0000-000087300000}"/>
    <cellStyle name="Remarque 2 2 4 3 2 5 2 4" xfId="39312" xr:uid="{00000000-0005-0000-0000-000088300000}"/>
    <cellStyle name="Remarque 2 2 4 3 2 5 3" xfId="5525" xr:uid="{00000000-0005-0000-0000-000089300000}"/>
    <cellStyle name="Remarque 2 2 4 3 2 5 3 2" xfId="29539" xr:uid="{00000000-0005-0000-0000-00008A300000}"/>
    <cellStyle name="Remarque 2 2 4 3 2 5 3 2 2" xfId="53499" xr:uid="{00000000-0005-0000-0000-00008B300000}"/>
    <cellStyle name="Remarque 2 2 4 3 2 5 3 3" xfId="16786" xr:uid="{00000000-0005-0000-0000-00008C300000}"/>
    <cellStyle name="Remarque 2 2 4 3 2 5 3 4" xfId="40746" xr:uid="{00000000-0005-0000-0000-00008D300000}"/>
    <cellStyle name="Remarque 2 2 4 3 2 5 4" xfId="6919" xr:uid="{00000000-0005-0000-0000-00008E300000}"/>
    <cellStyle name="Remarque 2 2 4 3 2 5 4 2" xfId="30933" xr:uid="{00000000-0005-0000-0000-00008F300000}"/>
    <cellStyle name="Remarque 2 2 4 3 2 5 4 2 2" xfId="54893" xr:uid="{00000000-0005-0000-0000-000090300000}"/>
    <cellStyle name="Remarque 2 2 4 3 2 5 4 3" xfId="18180" xr:uid="{00000000-0005-0000-0000-000091300000}"/>
    <cellStyle name="Remarque 2 2 4 3 2 5 4 4" xfId="42140" xr:uid="{00000000-0005-0000-0000-000092300000}"/>
    <cellStyle name="Remarque 2 2 4 3 2 5 5" xfId="8307" xr:uid="{00000000-0005-0000-0000-000093300000}"/>
    <cellStyle name="Remarque 2 2 4 3 2 5 5 2" xfId="32321" xr:uid="{00000000-0005-0000-0000-000094300000}"/>
    <cellStyle name="Remarque 2 2 4 3 2 5 5 2 2" xfId="56281" xr:uid="{00000000-0005-0000-0000-000095300000}"/>
    <cellStyle name="Remarque 2 2 4 3 2 5 5 3" xfId="19568" xr:uid="{00000000-0005-0000-0000-000096300000}"/>
    <cellStyle name="Remarque 2 2 4 3 2 5 5 4" xfId="43528" xr:uid="{00000000-0005-0000-0000-000097300000}"/>
    <cellStyle name="Remarque 2 2 4 3 2 5 6" xfId="9692" xr:uid="{00000000-0005-0000-0000-000098300000}"/>
    <cellStyle name="Remarque 2 2 4 3 2 5 6 2" xfId="33706" xr:uid="{00000000-0005-0000-0000-000099300000}"/>
    <cellStyle name="Remarque 2 2 4 3 2 5 6 2 2" xfId="57666" xr:uid="{00000000-0005-0000-0000-00009A300000}"/>
    <cellStyle name="Remarque 2 2 4 3 2 5 6 3" xfId="20953" xr:uid="{00000000-0005-0000-0000-00009B300000}"/>
    <cellStyle name="Remarque 2 2 4 3 2 5 6 4" xfId="44913" xr:uid="{00000000-0005-0000-0000-00009C300000}"/>
    <cellStyle name="Remarque 2 2 4 3 2 5 7" xfId="11149" xr:uid="{00000000-0005-0000-0000-00009D300000}"/>
    <cellStyle name="Remarque 2 2 4 3 2 5 7 2" xfId="35159" xr:uid="{00000000-0005-0000-0000-00009E300000}"/>
    <cellStyle name="Remarque 2 2 4 3 2 5 7 2 2" xfId="59119" xr:uid="{00000000-0005-0000-0000-00009F300000}"/>
    <cellStyle name="Remarque 2 2 4 3 2 5 7 3" xfId="22416" xr:uid="{00000000-0005-0000-0000-0000A0300000}"/>
    <cellStyle name="Remarque 2 2 4 3 2 5 7 4" xfId="46376" xr:uid="{00000000-0005-0000-0000-0000A1300000}"/>
    <cellStyle name="Remarque 2 2 4 3 2 5 8" xfId="11676" xr:uid="{00000000-0005-0000-0000-0000A2300000}"/>
    <cellStyle name="Remarque 2 2 4 3 2 5 8 2" xfId="22945" xr:uid="{00000000-0005-0000-0000-0000A3300000}"/>
    <cellStyle name="Remarque 2 2 4 3 2 5 8 3" xfId="46905" xr:uid="{00000000-0005-0000-0000-0000A4300000}"/>
    <cellStyle name="Remarque 2 2 4 3 2 5 9" xfId="2621" xr:uid="{00000000-0005-0000-0000-0000A5300000}"/>
    <cellStyle name="Remarque 2 2 4 3 2 5 9 2" xfId="26635" xr:uid="{00000000-0005-0000-0000-0000A6300000}"/>
    <cellStyle name="Remarque 2 2 4 3 2 5 9 3" xfId="50595" xr:uid="{00000000-0005-0000-0000-0000A7300000}"/>
    <cellStyle name="Remarque 2 2 4 3 2 6" xfId="1352" xr:uid="{00000000-0005-0000-0000-0000A8300000}"/>
    <cellStyle name="Remarque 2 2 4 3 2 6 10" xfId="25384" xr:uid="{00000000-0005-0000-0000-0000A9300000}"/>
    <cellStyle name="Remarque 2 2 4 3 2 6 10 2" xfId="49344" xr:uid="{00000000-0005-0000-0000-0000AA300000}"/>
    <cellStyle name="Remarque 2 2 4 3 2 6 11" xfId="35695" xr:uid="{00000000-0005-0000-0000-0000AB300000}"/>
    <cellStyle name="Remarque 2 2 4 3 2 6 11 2" xfId="59655" xr:uid="{00000000-0005-0000-0000-0000AC300000}"/>
    <cellStyle name="Remarque 2 2 4 3 2 6 12" xfId="14049" xr:uid="{00000000-0005-0000-0000-0000AD300000}"/>
    <cellStyle name="Remarque 2 2 4 3 2 6 13" xfId="38009" xr:uid="{00000000-0005-0000-0000-0000AE300000}"/>
    <cellStyle name="Remarque 2 2 4 3 2 6 2" xfId="4258" xr:uid="{00000000-0005-0000-0000-0000AF300000}"/>
    <cellStyle name="Remarque 2 2 4 3 2 6 2 2" xfId="28272" xr:uid="{00000000-0005-0000-0000-0000B0300000}"/>
    <cellStyle name="Remarque 2 2 4 3 2 6 2 2 2" xfId="52232" xr:uid="{00000000-0005-0000-0000-0000B1300000}"/>
    <cellStyle name="Remarque 2 2 4 3 2 6 2 3" xfId="15519" xr:uid="{00000000-0005-0000-0000-0000B2300000}"/>
    <cellStyle name="Remarque 2 2 4 3 2 6 2 4" xfId="39479" xr:uid="{00000000-0005-0000-0000-0000B3300000}"/>
    <cellStyle name="Remarque 2 2 4 3 2 6 3" xfId="5692" xr:uid="{00000000-0005-0000-0000-0000B4300000}"/>
    <cellStyle name="Remarque 2 2 4 3 2 6 3 2" xfId="29706" xr:uid="{00000000-0005-0000-0000-0000B5300000}"/>
    <cellStyle name="Remarque 2 2 4 3 2 6 3 2 2" xfId="53666" xr:uid="{00000000-0005-0000-0000-0000B6300000}"/>
    <cellStyle name="Remarque 2 2 4 3 2 6 3 3" xfId="16953" xr:uid="{00000000-0005-0000-0000-0000B7300000}"/>
    <cellStyle name="Remarque 2 2 4 3 2 6 3 4" xfId="40913" xr:uid="{00000000-0005-0000-0000-0000B8300000}"/>
    <cellStyle name="Remarque 2 2 4 3 2 6 4" xfId="7086" xr:uid="{00000000-0005-0000-0000-0000B9300000}"/>
    <cellStyle name="Remarque 2 2 4 3 2 6 4 2" xfId="31100" xr:uid="{00000000-0005-0000-0000-0000BA300000}"/>
    <cellStyle name="Remarque 2 2 4 3 2 6 4 2 2" xfId="55060" xr:uid="{00000000-0005-0000-0000-0000BB300000}"/>
    <cellStyle name="Remarque 2 2 4 3 2 6 4 3" xfId="18347" xr:uid="{00000000-0005-0000-0000-0000BC300000}"/>
    <cellStyle name="Remarque 2 2 4 3 2 6 4 4" xfId="42307" xr:uid="{00000000-0005-0000-0000-0000BD300000}"/>
    <cellStyle name="Remarque 2 2 4 3 2 6 5" xfId="8474" xr:uid="{00000000-0005-0000-0000-0000BE300000}"/>
    <cellStyle name="Remarque 2 2 4 3 2 6 5 2" xfId="32488" xr:uid="{00000000-0005-0000-0000-0000BF300000}"/>
    <cellStyle name="Remarque 2 2 4 3 2 6 5 2 2" xfId="56448" xr:uid="{00000000-0005-0000-0000-0000C0300000}"/>
    <cellStyle name="Remarque 2 2 4 3 2 6 5 3" xfId="19735" xr:uid="{00000000-0005-0000-0000-0000C1300000}"/>
    <cellStyle name="Remarque 2 2 4 3 2 6 5 4" xfId="43695" xr:uid="{00000000-0005-0000-0000-0000C2300000}"/>
    <cellStyle name="Remarque 2 2 4 3 2 6 6" xfId="9859" xr:uid="{00000000-0005-0000-0000-0000C3300000}"/>
    <cellStyle name="Remarque 2 2 4 3 2 6 6 2" xfId="33873" xr:uid="{00000000-0005-0000-0000-0000C4300000}"/>
    <cellStyle name="Remarque 2 2 4 3 2 6 6 2 2" xfId="57833" xr:uid="{00000000-0005-0000-0000-0000C5300000}"/>
    <cellStyle name="Remarque 2 2 4 3 2 6 6 3" xfId="21120" xr:uid="{00000000-0005-0000-0000-0000C6300000}"/>
    <cellStyle name="Remarque 2 2 4 3 2 6 6 4" xfId="45080" xr:uid="{00000000-0005-0000-0000-0000C7300000}"/>
    <cellStyle name="Remarque 2 2 4 3 2 6 7" xfId="11316" xr:uid="{00000000-0005-0000-0000-0000C8300000}"/>
    <cellStyle name="Remarque 2 2 4 3 2 6 7 2" xfId="35326" xr:uid="{00000000-0005-0000-0000-0000C9300000}"/>
    <cellStyle name="Remarque 2 2 4 3 2 6 7 2 2" xfId="59286" xr:uid="{00000000-0005-0000-0000-0000CA300000}"/>
    <cellStyle name="Remarque 2 2 4 3 2 6 7 3" xfId="22583" xr:uid="{00000000-0005-0000-0000-0000CB300000}"/>
    <cellStyle name="Remarque 2 2 4 3 2 6 7 4" xfId="46543" xr:uid="{00000000-0005-0000-0000-0000CC300000}"/>
    <cellStyle name="Remarque 2 2 4 3 2 6 8" xfId="12500" xr:uid="{00000000-0005-0000-0000-0000CD300000}"/>
    <cellStyle name="Remarque 2 2 4 3 2 6 8 2" xfId="23797" xr:uid="{00000000-0005-0000-0000-0000CE300000}"/>
    <cellStyle name="Remarque 2 2 4 3 2 6 8 3" xfId="47757" xr:uid="{00000000-0005-0000-0000-0000CF300000}"/>
    <cellStyle name="Remarque 2 2 4 3 2 6 9" xfId="2788" xr:uid="{00000000-0005-0000-0000-0000D0300000}"/>
    <cellStyle name="Remarque 2 2 4 3 2 6 9 2" xfId="26802" xr:uid="{00000000-0005-0000-0000-0000D1300000}"/>
    <cellStyle name="Remarque 2 2 4 3 2 6 9 3" xfId="50762" xr:uid="{00000000-0005-0000-0000-0000D2300000}"/>
    <cellStyle name="Remarque 2 2 4 3 2 7" xfId="1521" xr:uid="{00000000-0005-0000-0000-0000D3300000}"/>
    <cellStyle name="Remarque 2 2 4 3 2 7 10" xfId="25553" xr:uid="{00000000-0005-0000-0000-0000D4300000}"/>
    <cellStyle name="Remarque 2 2 4 3 2 7 10 2" xfId="49513" xr:uid="{00000000-0005-0000-0000-0000D5300000}"/>
    <cellStyle name="Remarque 2 2 4 3 2 7 11" xfId="36035" xr:uid="{00000000-0005-0000-0000-0000D6300000}"/>
    <cellStyle name="Remarque 2 2 4 3 2 7 11 2" xfId="59995" xr:uid="{00000000-0005-0000-0000-0000D7300000}"/>
    <cellStyle name="Remarque 2 2 4 3 2 7 12" xfId="14218" xr:uid="{00000000-0005-0000-0000-0000D8300000}"/>
    <cellStyle name="Remarque 2 2 4 3 2 7 13" xfId="38178" xr:uid="{00000000-0005-0000-0000-0000D9300000}"/>
    <cellStyle name="Remarque 2 2 4 3 2 7 2" xfId="4427" xr:uid="{00000000-0005-0000-0000-0000DA300000}"/>
    <cellStyle name="Remarque 2 2 4 3 2 7 2 2" xfId="28441" xr:uid="{00000000-0005-0000-0000-0000DB300000}"/>
    <cellStyle name="Remarque 2 2 4 3 2 7 2 2 2" xfId="52401" xr:uid="{00000000-0005-0000-0000-0000DC300000}"/>
    <cellStyle name="Remarque 2 2 4 3 2 7 2 3" xfId="15688" xr:uid="{00000000-0005-0000-0000-0000DD300000}"/>
    <cellStyle name="Remarque 2 2 4 3 2 7 2 4" xfId="39648" xr:uid="{00000000-0005-0000-0000-0000DE300000}"/>
    <cellStyle name="Remarque 2 2 4 3 2 7 3" xfId="5861" xr:uid="{00000000-0005-0000-0000-0000DF300000}"/>
    <cellStyle name="Remarque 2 2 4 3 2 7 3 2" xfId="29875" xr:uid="{00000000-0005-0000-0000-0000E0300000}"/>
    <cellStyle name="Remarque 2 2 4 3 2 7 3 2 2" xfId="53835" xr:uid="{00000000-0005-0000-0000-0000E1300000}"/>
    <cellStyle name="Remarque 2 2 4 3 2 7 3 3" xfId="17122" xr:uid="{00000000-0005-0000-0000-0000E2300000}"/>
    <cellStyle name="Remarque 2 2 4 3 2 7 3 4" xfId="41082" xr:uid="{00000000-0005-0000-0000-0000E3300000}"/>
    <cellStyle name="Remarque 2 2 4 3 2 7 4" xfId="7255" xr:uid="{00000000-0005-0000-0000-0000E4300000}"/>
    <cellStyle name="Remarque 2 2 4 3 2 7 4 2" xfId="31269" xr:uid="{00000000-0005-0000-0000-0000E5300000}"/>
    <cellStyle name="Remarque 2 2 4 3 2 7 4 2 2" xfId="55229" xr:uid="{00000000-0005-0000-0000-0000E6300000}"/>
    <cellStyle name="Remarque 2 2 4 3 2 7 4 3" xfId="18516" xr:uid="{00000000-0005-0000-0000-0000E7300000}"/>
    <cellStyle name="Remarque 2 2 4 3 2 7 4 4" xfId="42476" xr:uid="{00000000-0005-0000-0000-0000E8300000}"/>
    <cellStyle name="Remarque 2 2 4 3 2 7 5" xfId="8643" xr:uid="{00000000-0005-0000-0000-0000E9300000}"/>
    <cellStyle name="Remarque 2 2 4 3 2 7 5 2" xfId="32657" xr:uid="{00000000-0005-0000-0000-0000EA300000}"/>
    <cellStyle name="Remarque 2 2 4 3 2 7 5 2 2" xfId="56617" xr:uid="{00000000-0005-0000-0000-0000EB300000}"/>
    <cellStyle name="Remarque 2 2 4 3 2 7 5 3" xfId="19904" xr:uid="{00000000-0005-0000-0000-0000EC300000}"/>
    <cellStyle name="Remarque 2 2 4 3 2 7 5 4" xfId="43864" xr:uid="{00000000-0005-0000-0000-0000ED300000}"/>
    <cellStyle name="Remarque 2 2 4 3 2 7 6" xfId="10028" xr:uid="{00000000-0005-0000-0000-0000EE300000}"/>
    <cellStyle name="Remarque 2 2 4 3 2 7 6 2" xfId="34042" xr:uid="{00000000-0005-0000-0000-0000EF300000}"/>
    <cellStyle name="Remarque 2 2 4 3 2 7 6 2 2" xfId="58002" xr:uid="{00000000-0005-0000-0000-0000F0300000}"/>
    <cellStyle name="Remarque 2 2 4 3 2 7 6 3" xfId="21289" xr:uid="{00000000-0005-0000-0000-0000F1300000}"/>
    <cellStyle name="Remarque 2 2 4 3 2 7 6 4" xfId="45249" xr:uid="{00000000-0005-0000-0000-0000F2300000}"/>
    <cellStyle name="Remarque 2 2 4 3 2 7 7" xfId="11485" xr:uid="{00000000-0005-0000-0000-0000F3300000}"/>
    <cellStyle name="Remarque 2 2 4 3 2 7 7 2" xfId="35495" xr:uid="{00000000-0005-0000-0000-0000F4300000}"/>
    <cellStyle name="Remarque 2 2 4 3 2 7 7 2 2" xfId="59455" xr:uid="{00000000-0005-0000-0000-0000F5300000}"/>
    <cellStyle name="Remarque 2 2 4 3 2 7 7 3" xfId="22752" xr:uid="{00000000-0005-0000-0000-0000F6300000}"/>
    <cellStyle name="Remarque 2 2 4 3 2 7 7 4" xfId="46712" xr:uid="{00000000-0005-0000-0000-0000F7300000}"/>
    <cellStyle name="Remarque 2 2 4 3 2 7 8" xfId="11832" xr:uid="{00000000-0005-0000-0000-0000F8300000}"/>
    <cellStyle name="Remarque 2 2 4 3 2 7 8 2" xfId="23106" xr:uid="{00000000-0005-0000-0000-0000F9300000}"/>
    <cellStyle name="Remarque 2 2 4 3 2 7 8 3" xfId="47066" xr:uid="{00000000-0005-0000-0000-0000FA300000}"/>
    <cellStyle name="Remarque 2 2 4 3 2 7 9" xfId="2957" xr:uid="{00000000-0005-0000-0000-0000FB300000}"/>
    <cellStyle name="Remarque 2 2 4 3 2 7 9 2" xfId="26971" xr:uid="{00000000-0005-0000-0000-0000FC300000}"/>
    <cellStyle name="Remarque 2 2 4 3 2 7 9 3" xfId="50931" xr:uid="{00000000-0005-0000-0000-0000FD300000}"/>
    <cellStyle name="Remarque 2 2 4 3 2 8" xfId="3376" xr:uid="{00000000-0005-0000-0000-0000FE300000}"/>
    <cellStyle name="Remarque 2 2 4 3 2 8 2" xfId="27390" xr:uid="{00000000-0005-0000-0000-0000FF300000}"/>
    <cellStyle name="Remarque 2 2 4 3 2 8 2 2" xfId="51350" xr:uid="{00000000-0005-0000-0000-000000310000}"/>
    <cellStyle name="Remarque 2 2 4 3 2 8 3" xfId="14637" xr:uid="{00000000-0005-0000-0000-000001310000}"/>
    <cellStyle name="Remarque 2 2 4 3 2 8 4" xfId="38597" xr:uid="{00000000-0005-0000-0000-000002310000}"/>
    <cellStyle name="Remarque 2 2 4 3 2 9" xfId="4810" xr:uid="{00000000-0005-0000-0000-000003310000}"/>
    <cellStyle name="Remarque 2 2 4 3 2 9 2" xfId="28824" xr:uid="{00000000-0005-0000-0000-000004310000}"/>
    <cellStyle name="Remarque 2 2 4 3 2 9 2 2" xfId="52784" xr:uid="{00000000-0005-0000-0000-000005310000}"/>
    <cellStyle name="Remarque 2 2 4 3 2 9 3" xfId="16071" xr:uid="{00000000-0005-0000-0000-000006310000}"/>
    <cellStyle name="Remarque 2 2 4 3 2 9 4" xfId="40031" xr:uid="{00000000-0005-0000-0000-000007310000}"/>
    <cellStyle name="Remarque 2 2 4 3 3" xfId="303" xr:uid="{00000000-0005-0000-0000-000008310000}"/>
    <cellStyle name="Remarque 2 2 4 3 3 10" xfId="24335" xr:uid="{00000000-0005-0000-0000-000009310000}"/>
    <cellStyle name="Remarque 2 2 4 3 3 10 2" xfId="48295" xr:uid="{00000000-0005-0000-0000-00000A310000}"/>
    <cellStyle name="Remarque 2 2 4 3 3 11" xfId="36470" xr:uid="{00000000-0005-0000-0000-00000B310000}"/>
    <cellStyle name="Remarque 2 2 4 3 3 11 2" xfId="60430" xr:uid="{00000000-0005-0000-0000-00000C310000}"/>
    <cellStyle name="Remarque 2 2 4 3 3 12" xfId="13000" xr:uid="{00000000-0005-0000-0000-00000D310000}"/>
    <cellStyle name="Remarque 2 2 4 3 3 13" xfId="36960" xr:uid="{00000000-0005-0000-0000-00000E310000}"/>
    <cellStyle name="Remarque 2 2 4 3 3 2" xfId="3209" xr:uid="{00000000-0005-0000-0000-00000F310000}"/>
    <cellStyle name="Remarque 2 2 4 3 3 2 2" xfId="27223" xr:uid="{00000000-0005-0000-0000-000010310000}"/>
    <cellStyle name="Remarque 2 2 4 3 3 2 2 2" xfId="51183" xr:uid="{00000000-0005-0000-0000-000011310000}"/>
    <cellStyle name="Remarque 2 2 4 3 3 2 3" xfId="14470" xr:uid="{00000000-0005-0000-0000-000012310000}"/>
    <cellStyle name="Remarque 2 2 4 3 3 2 4" xfId="38430" xr:uid="{00000000-0005-0000-0000-000013310000}"/>
    <cellStyle name="Remarque 2 2 4 3 3 3" xfId="4643" xr:uid="{00000000-0005-0000-0000-000014310000}"/>
    <cellStyle name="Remarque 2 2 4 3 3 3 2" xfId="28657" xr:uid="{00000000-0005-0000-0000-000015310000}"/>
    <cellStyle name="Remarque 2 2 4 3 3 3 2 2" xfId="52617" xr:uid="{00000000-0005-0000-0000-000016310000}"/>
    <cellStyle name="Remarque 2 2 4 3 3 3 3" xfId="15904" xr:uid="{00000000-0005-0000-0000-000017310000}"/>
    <cellStyle name="Remarque 2 2 4 3 3 3 4" xfId="39864" xr:uid="{00000000-0005-0000-0000-000018310000}"/>
    <cellStyle name="Remarque 2 2 4 3 3 4" xfId="6037" xr:uid="{00000000-0005-0000-0000-000019310000}"/>
    <cellStyle name="Remarque 2 2 4 3 3 4 2" xfId="30051" xr:uid="{00000000-0005-0000-0000-00001A310000}"/>
    <cellStyle name="Remarque 2 2 4 3 3 4 2 2" xfId="54011" xr:uid="{00000000-0005-0000-0000-00001B310000}"/>
    <cellStyle name="Remarque 2 2 4 3 3 4 3" xfId="17298" xr:uid="{00000000-0005-0000-0000-00001C310000}"/>
    <cellStyle name="Remarque 2 2 4 3 3 4 4" xfId="41258" xr:uid="{00000000-0005-0000-0000-00001D310000}"/>
    <cellStyle name="Remarque 2 2 4 3 3 5" xfId="7425" xr:uid="{00000000-0005-0000-0000-00001E310000}"/>
    <cellStyle name="Remarque 2 2 4 3 3 5 2" xfId="31439" xr:uid="{00000000-0005-0000-0000-00001F310000}"/>
    <cellStyle name="Remarque 2 2 4 3 3 5 2 2" xfId="55399" xr:uid="{00000000-0005-0000-0000-000020310000}"/>
    <cellStyle name="Remarque 2 2 4 3 3 5 3" xfId="18686" xr:uid="{00000000-0005-0000-0000-000021310000}"/>
    <cellStyle name="Remarque 2 2 4 3 3 5 4" xfId="42646" xr:uid="{00000000-0005-0000-0000-000022310000}"/>
    <cellStyle name="Remarque 2 2 4 3 3 6" xfId="8810" xr:uid="{00000000-0005-0000-0000-000023310000}"/>
    <cellStyle name="Remarque 2 2 4 3 3 6 2" xfId="32824" xr:uid="{00000000-0005-0000-0000-000024310000}"/>
    <cellStyle name="Remarque 2 2 4 3 3 6 2 2" xfId="56784" xr:uid="{00000000-0005-0000-0000-000025310000}"/>
    <cellStyle name="Remarque 2 2 4 3 3 6 3" xfId="20071" xr:uid="{00000000-0005-0000-0000-000026310000}"/>
    <cellStyle name="Remarque 2 2 4 3 3 6 4" xfId="44031" xr:uid="{00000000-0005-0000-0000-000027310000}"/>
    <cellStyle name="Remarque 2 2 4 3 3 7" xfId="10267" xr:uid="{00000000-0005-0000-0000-000028310000}"/>
    <cellStyle name="Remarque 2 2 4 3 3 7 2" xfId="34277" xr:uid="{00000000-0005-0000-0000-000029310000}"/>
    <cellStyle name="Remarque 2 2 4 3 3 7 2 2" xfId="58237" xr:uid="{00000000-0005-0000-0000-00002A310000}"/>
    <cellStyle name="Remarque 2 2 4 3 3 7 3" xfId="21534" xr:uid="{00000000-0005-0000-0000-00002B310000}"/>
    <cellStyle name="Remarque 2 2 4 3 3 7 4" xfId="45494" xr:uid="{00000000-0005-0000-0000-00002C310000}"/>
    <cellStyle name="Remarque 2 2 4 3 3 8" xfId="12606" xr:uid="{00000000-0005-0000-0000-00002D310000}"/>
    <cellStyle name="Remarque 2 2 4 3 3 8 2" xfId="23908" xr:uid="{00000000-0005-0000-0000-00002E310000}"/>
    <cellStyle name="Remarque 2 2 4 3 3 8 3" xfId="47868" xr:uid="{00000000-0005-0000-0000-00002F310000}"/>
    <cellStyle name="Remarque 2 2 4 3 3 9" xfId="1739" xr:uid="{00000000-0005-0000-0000-000030310000}"/>
    <cellStyle name="Remarque 2 2 4 3 3 9 2" xfId="25753" xr:uid="{00000000-0005-0000-0000-000031310000}"/>
    <cellStyle name="Remarque 2 2 4 3 3 9 3" xfId="49713" xr:uid="{00000000-0005-0000-0000-000032310000}"/>
    <cellStyle name="Remarque 2 2 4 3 4" xfId="663" xr:uid="{00000000-0005-0000-0000-000033310000}"/>
    <cellStyle name="Remarque 2 2 4 3 4 10" xfId="24695" xr:uid="{00000000-0005-0000-0000-000034310000}"/>
    <cellStyle name="Remarque 2 2 4 3 4 10 2" xfId="48655" xr:uid="{00000000-0005-0000-0000-000035310000}"/>
    <cellStyle name="Remarque 2 2 4 3 4 11" xfId="35936" xr:uid="{00000000-0005-0000-0000-000036310000}"/>
    <cellStyle name="Remarque 2 2 4 3 4 11 2" xfId="59896" xr:uid="{00000000-0005-0000-0000-000037310000}"/>
    <cellStyle name="Remarque 2 2 4 3 4 12" xfId="13360" xr:uid="{00000000-0005-0000-0000-000038310000}"/>
    <cellStyle name="Remarque 2 2 4 3 4 13" xfId="37320" xr:uid="{00000000-0005-0000-0000-000039310000}"/>
    <cellStyle name="Remarque 2 2 4 3 4 2" xfId="3569" xr:uid="{00000000-0005-0000-0000-00003A310000}"/>
    <cellStyle name="Remarque 2 2 4 3 4 2 2" xfId="27583" xr:uid="{00000000-0005-0000-0000-00003B310000}"/>
    <cellStyle name="Remarque 2 2 4 3 4 2 2 2" xfId="51543" xr:uid="{00000000-0005-0000-0000-00003C310000}"/>
    <cellStyle name="Remarque 2 2 4 3 4 2 3" xfId="14830" xr:uid="{00000000-0005-0000-0000-00003D310000}"/>
    <cellStyle name="Remarque 2 2 4 3 4 2 4" xfId="38790" xr:uid="{00000000-0005-0000-0000-00003E310000}"/>
    <cellStyle name="Remarque 2 2 4 3 4 3" xfId="5003" xr:uid="{00000000-0005-0000-0000-00003F310000}"/>
    <cellStyle name="Remarque 2 2 4 3 4 3 2" xfId="29017" xr:uid="{00000000-0005-0000-0000-000040310000}"/>
    <cellStyle name="Remarque 2 2 4 3 4 3 2 2" xfId="52977" xr:uid="{00000000-0005-0000-0000-000041310000}"/>
    <cellStyle name="Remarque 2 2 4 3 4 3 3" xfId="16264" xr:uid="{00000000-0005-0000-0000-000042310000}"/>
    <cellStyle name="Remarque 2 2 4 3 4 3 4" xfId="40224" xr:uid="{00000000-0005-0000-0000-000043310000}"/>
    <cellStyle name="Remarque 2 2 4 3 4 4" xfId="6397" xr:uid="{00000000-0005-0000-0000-000044310000}"/>
    <cellStyle name="Remarque 2 2 4 3 4 4 2" xfId="30411" xr:uid="{00000000-0005-0000-0000-000045310000}"/>
    <cellStyle name="Remarque 2 2 4 3 4 4 2 2" xfId="54371" xr:uid="{00000000-0005-0000-0000-000046310000}"/>
    <cellStyle name="Remarque 2 2 4 3 4 4 3" xfId="17658" xr:uid="{00000000-0005-0000-0000-000047310000}"/>
    <cellStyle name="Remarque 2 2 4 3 4 4 4" xfId="41618" xr:uid="{00000000-0005-0000-0000-000048310000}"/>
    <cellStyle name="Remarque 2 2 4 3 4 5" xfId="7785" xr:uid="{00000000-0005-0000-0000-000049310000}"/>
    <cellStyle name="Remarque 2 2 4 3 4 5 2" xfId="31799" xr:uid="{00000000-0005-0000-0000-00004A310000}"/>
    <cellStyle name="Remarque 2 2 4 3 4 5 2 2" xfId="55759" xr:uid="{00000000-0005-0000-0000-00004B310000}"/>
    <cellStyle name="Remarque 2 2 4 3 4 5 3" xfId="19046" xr:uid="{00000000-0005-0000-0000-00004C310000}"/>
    <cellStyle name="Remarque 2 2 4 3 4 5 4" xfId="43006" xr:uid="{00000000-0005-0000-0000-00004D310000}"/>
    <cellStyle name="Remarque 2 2 4 3 4 6" xfId="9170" xr:uid="{00000000-0005-0000-0000-00004E310000}"/>
    <cellStyle name="Remarque 2 2 4 3 4 6 2" xfId="33184" xr:uid="{00000000-0005-0000-0000-00004F310000}"/>
    <cellStyle name="Remarque 2 2 4 3 4 6 2 2" xfId="57144" xr:uid="{00000000-0005-0000-0000-000050310000}"/>
    <cellStyle name="Remarque 2 2 4 3 4 6 3" xfId="20431" xr:uid="{00000000-0005-0000-0000-000051310000}"/>
    <cellStyle name="Remarque 2 2 4 3 4 6 4" xfId="44391" xr:uid="{00000000-0005-0000-0000-000052310000}"/>
    <cellStyle name="Remarque 2 2 4 3 4 7" xfId="10627" xr:uid="{00000000-0005-0000-0000-000053310000}"/>
    <cellStyle name="Remarque 2 2 4 3 4 7 2" xfId="34637" xr:uid="{00000000-0005-0000-0000-000054310000}"/>
    <cellStyle name="Remarque 2 2 4 3 4 7 2 2" xfId="58597" xr:uid="{00000000-0005-0000-0000-000055310000}"/>
    <cellStyle name="Remarque 2 2 4 3 4 7 3" xfId="21894" xr:uid="{00000000-0005-0000-0000-000056310000}"/>
    <cellStyle name="Remarque 2 2 4 3 4 7 4" xfId="45854" xr:uid="{00000000-0005-0000-0000-000057310000}"/>
    <cellStyle name="Remarque 2 2 4 3 4 8" xfId="12086" xr:uid="{00000000-0005-0000-0000-000058310000}"/>
    <cellStyle name="Remarque 2 2 4 3 4 8 2" xfId="23369" xr:uid="{00000000-0005-0000-0000-000059310000}"/>
    <cellStyle name="Remarque 2 2 4 3 4 8 3" xfId="47329" xr:uid="{00000000-0005-0000-0000-00005A310000}"/>
    <cellStyle name="Remarque 2 2 4 3 4 9" xfId="2099" xr:uid="{00000000-0005-0000-0000-00005B310000}"/>
    <cellStyle name="Remarque 2 2 4 3 4 9 2" xfId="26113" xr:uid="{00000000-0005-0000-0000-00005C310000}"/>
    <cellStyle name="Remarque 2 2 4 3 4 9 3" xfId="50073" xr:uid="{00000000-0005-0000-0000-00005D310000}"/>
    <cellStyle name="Remarque 2 2 4 3 5" xfId="857" xr:uid="{00000000-0005-0000-0000-00005E310000}"/>
    <cellStyle name="Remarque 2 2 4 3 5 10" xfId="24889" xr:uid="{00000000-0005-0000-0000-00005F310000}"/>
    <cellStyle name="Remarque 2 2 4 3 5 10 2" xfId="48849" xr:uid="{00000000-0005-0000-0000-000060310000}"/>
    <cellStyle name="Remarque 2 2 4 3 5 11" xfId="36096" xr:uid="{00000000-0005-0000-0000-000061310000}"/>
    <cellStyle name="Remarque 2 2 4 3 5 11 2" xfId="60056" xr:uid="{00000000-0005-0000-0000-000062310000}"/>
    <cellStyle name="Remarque 2 2 4 3 5 12" xfId="13554" xr:uid="{00000000-0005-0000-0000-000063310000}"/>
    <cellStyle name="Remarque 2 2 4 3 5 13" xfId="37514" xr:uid="{00000000-0005-0000-0000-000064310000}"/>
    <cellStyle name="Remarque 2 2 4 3 5 2" xfId="3763" xr:uid="{00000000-0005-0000-0000-000065310000}"/>
    <cellStyle name="Remarque 2 2 4 3 5 2 2" xfId="27777" xr:uid="{00000000-0005-0000-0000-000066310000}"/>
    <cellStyle name="Remarque 2 2 4 3 5 2 2 2" xfId="51737" xr:uid="{00000000-0005-0000-0000-000067310000}"/>
    <cellStyle name="Remarque 2 2 4 3 5 2 3" xfId="15024" xr:uid="{00000000-0005-0000-0000-000068310000}"/>
    <cellStyle name="Remarque 2 2 4 3 5 2 4" xfId="38984" xr:uid="{00000000-0005-0000-0000-000069310000}"/>
    <cellStyle name="Remarque 2 2 4 3 5 3" xfId="5197" xr:uid="{00000000-0005-0000-0000-00006A310000}"/>
    <cellStyle name="Remarque 2 2 4 3 5 3 2" xfId="29211" xr:uid="{00000000-0005-0000-0000-00006B310000}"/>
    <cellStyle name="Remarque 2 2 4 3 5 3 2 2" xfId="53171" xr:uid="{00000000-0005-0000-0000-00006C310000}"/>
    <cellStyle name="Remarque 2 2 4 3 5 3 3" xfId="16458" xr:uid="{00000000-0005-0000-0000-00006D310000}"/>
    <cellStyle name="Remarque 2 2 4 3 5 3 4" xfId="40418" xr:uid="{00000000-0005-0000-0000-00006E310000}"/>
    <cellStyle name="Remarque 2 2 4 3 5 4" xfId="6591" xr:uid="{00000000-0005-0000-0000-00006F310000}"/>
    <cellStyle name="Remarque 2 2 4 3 5 4 2" xfId="30605" xr:uid="{00000000-0005-0000-0000-000070310000}"/>
    <cellStyle name="Remarque 2 2 4 3 5 4 2 2" xfId="54565" xr:uid="{00000000-0005-0000-0000-000071310000}"/>
    <cellStyle name="Remarque 2 2 4 3 5 4 3" xfId="17852" xr:uid="{00000000-0005-0000-0000-000072310000}"/>
    <cellStyle name="Remarque 2 2 4 3 5 4 4" xfId="41812" xr:uid="{00000000-0005-0000-0000-000073310000}"/>
    <cellStyle name="Remarque 2 2 4 3 5 5" xfId="7979" xr:uid="{00000000-0005-0000-0000-000074310000}"/>
    <cellStyle name="Remarque 2 2 4 3 5 5 2" xfId="31993" xr:uid="{00000000-0005-0000-0000-000075310000}"/>
    <cellStyle name="Remarque 2 2 4 3 5 5 2 2" xfId="55953" xr:uid="{00000000-0005-0000-0000-000076310000}"/>
    <cellStyle name="Remarque 2 2 4 3 5 5 3" xfId="19240" xr:uid="{00000000-0005-0000-0000-000077310000}"/>
    <cellStyle name="Remarque 2 2 4 3 5 5 4" xfId="43200" xr:uid="{00000000-0005-0000-0000-000078310000}"/>
    <cellStyle name="Remarque 2 2 4 3 5 6" xfId="9364" xr:uid="{00000000-0005-0000-0000-000079310000}"/>
    <cellStyle name="Remarque 2 2 4 3 5 6 2" xfId="33378" xr:uid="{00000000-0005-0000-0000-00007A310000}"/>
    <cellStyle name="Remarque 2 2 4 3 5 6 2 2" xfId="57338" xr:uid="{00000000-0005-0000-0000-00007B310000}"/>
    <cellStyle name="Remarque 2 2 4 3 5 6 3" xfId="20625" xr:uid="{00000000-0005-0000-0000-00007C310000}"/>
    <cellStyle name="Remarque 2 2 4 3 5 6 4" xfId="44585" xr:uid="{00000000-0005-0000-0000-00007D310000}"/>
    <cellStyle name="Remarque 2 2 4 3 5 7" xfId="10821" xr:uid="{00000000-0005-0000-0000-00007E310000}"/>
    <cellStyle name="Remarque 2 2 4 3 5 7 2" xfId="34831" xr:uid="{00000000-0005-0000-0000-00007F310000}"/>
    <cellStyle name="Remarque 2 2 4 3 5 7 2 2" xfId="58791" xr:uid="{00000000-0005-0000-0000-000080310000}"/>
    <cellStyle name="Remarque 2 2 4 3 5 7 3" xfId="22088" xr:uid="{00000000-0005-0000-0000-000081310000}"/>
    <cellStyle name="Remarque 2 2 4 3 5 7 4" xfId="46048" xr:uid="{00000000-0005-0000-0000-000082310000}"/>
    <cellStyle name="Remarque 2 2 4 3 5 8" xfId="11907" xr:uid="{00000000-0005-0000-0000-000083310000}"/>
    <cellStyle name="Remarque 2 2 4 3 5 8 2" xfId="23185" xr:uid="{00000000-0005-0000-0000-000084310000}"/>
    <cellStyle name="Remarque 2 2 4 3 5 8 3" xfId="47145" xr:uid="{00000000-0005-0000-0000-000085310000}"/>
    <cellStyle name="Remarque 2 2 4 3 5 9" xfId="2293" xr:uid="{00000000-0005-0000-0000-000086310000}"/>
    <cellStyle name="Remarque 2 2 4 3 5 9 2" xfId="26307" xr:uid="{00000000-0005-0000-0000-000087310000}"/>
    <cellStyle name="Remarque 2 2 4 3 5 9 3" xfId="50267" xr:uid="{00000000-0005-0000-0000-000088310000}"/>
    <cellStyle name="Remarque 2 2 4 3 6" xfId="1050" xr:uid="{00000000-0005-0000-0000-000089310000}"/>
    <cellStyle name="Remarque 2 2 4 3 6 10" xfId="25082" xr:uid="{00000000-0005-0000-0000-00008A310000}"/>
    <cellStyle name="Remarque 2 2 4 3 6 10 2" xfId="49042" xr:uid="{00000000-0005-0000-0000-00008B310000}"/>
    <cellStyle name="Remarque 2 2 4 3 6 11" xfId="35597" xr:uid="{00000000-0005-0000-0000-00008C310000}"/>
    <cellStyle name="Remarque 2 2 4 3 6 11 2" xfId="59557" xr:uid="{00000000-0005-0000-0000-00008D310000}"/>
    <cellStyle name="Remarque 2 2 4 3 6 12" xfId="13747" xr:uid="{00000000-0005-0000-0000-00008E310000}"/>
    <cellStyle name="Remarque 2 2 4 3 6 13" xfId="37707" xr:uid="{00000000-0005-0000-0000-00008F310000}"/>
    <cellStyle name="Remarque 2 2 4 3 6 2" xfId="3956" xr:uid="{00000000-0005-0000-0000-000090310000}"/>
    <cellStyle name="Remarque 2 2 4 3 6 2 2" xfId="27970" xr:uid="{00000000-0005-0000-0000-000091310000}"/>
    <cellStyle name="Remarque 2 2 4 3 6 2 2 2" xfId="51930" xr:uid="{00000000-0005-0000-0000-000092310000}"/>
    <cellStyle name="Remarque 2 2 4 3 6 2 3" xfId="15217" xr:uid="{00000000-0005-0000-0000-000093310000}"/>
    <cellStyle name="Remarque 2 2 4 3 6 2 4" xfId="39177" xr:uid="{00000000-0005-0000-0000-000094310000}"/>
    <cellStyle name="Remarque 2 2 4 3 6 3" xfId="5390" xr:uid="{00000000-0005-0000-0000-000095310000}"/>
    <cellStyle name="Remarque 2 2 4 3 6 3 2" xfId="29404" xr:uid="{00000000-0005-0000-0000-000096310000}"/>
    <cellStyle name="Remarque 2 2 4 3 6 3 2 2" xfId="53364" xr:uid="{00000000-0005-0000-0000-000097310000}"/>
    <cellStyle name="Remarque 2 2 4 3 6 3 3" xfId="16651" xr:uid="{00000000-0005-0000-0000-000098310000}"/>
    <cellStyle name="Remarque 2 2 4 3 6 3 4" xfId="40611" xr:uid="{00000000-0005-0000-0000-000099310000}"/>
    <cellStyle name="Remarque 2 2 4 3 6 4" xfId="6784" xr:uid="{00000000-0005-0000-0000-00009A310000}"/>
    <cellStyle name="Remarque 2 2 4 3 6 4 2" xfId="30798" xr:uid="{00000000-0005-0000-0000-00009B310000}"/>
    <cellStyle name="Remarque 2 2 4 3 6 4 2 2" xfId="54758" xr:uid="{00000000-0005-0000-0000-00009C310000}"/>
    <cellStyle name="Remarque 2 2 4 3 6 4 3" xfId="18045" xr:uid="{00000000-0005-0000-0000-00009D310000}"/>
    <cellStyle name="Remarque 2 2 4 3 6 4 4" xfId="42005" xr:uid="{00000000-0005-0000-0000-00009E310000}"/>
    <cellStyle name="Remarque 2 2 4 3 6 5" xfId="8172" xr:uid="{00000000-0005-0000-0000-00009F310000}"/>
    <cellStyle name="Remarque 2 2 4 3 6 5 2" xfId="32186" xr:uid="{00000000-0005-0000-0000-0000A0310000}"/>
    <cellStyle name="Remarque 2 2 4 3 6 5 2 2" xfId="56146" xr:uid="{00000000-0005-0000-0000-0000A1310000}"/>
    <cellStyle name="Remarque 2 2 4 3 6 5 3" xfId="19433" xr:uid="{00000000-0005-0000-0000-0000A2310000}"/>
    <cellStyle name="Remarque 2 2 4 3 6 5 4" xfId="43393" xr:uid="{00000000-0005-0000-0000-0000A3310000}"/>
    <cellStyle name="Remarque 2 2 4 3 6 6" xfId="9557" xr:uid="{00000000-0005-0000-0000-0000A4310000}"/>
    <cellStyle name="Remarque 2 2 4 3 6 6 2" xfId="33571" xr:uid="{00000000-0005-0000-0000-0000A5310000}"/>
    <cellStyle name="Remarque 2 2 4 3 6 6 2 2" xfId="57531" xr:uid="{00000000-0005-0000-0000-0000A6310000}"/>
    <cellStyle name="Remarque 2 2 4 3 6 6 3" xfId="20818" xr:uid="{00000000-0005-0000-0000-0000A7310000}"/>
    <cellStyle name="Remarque 2 2 4 3 6 6 4" xfId="44778" xr:uid="{00000000-0005-0000-0000-0000A8310000}"/>
    <cellStyle name="Remarque 2 2 4 3 6 7" xfId="11014" xr:uid="{00000000-0005-0000-0000-0000A9310000}"/>
    <cellStyle name="Remarque 2 2 4 3 6 7 2" xfId="35024" xr:uid="{00000000-0005-0000-0000-0000AA310000}"/>
    <cellStyle name="Remarque 2 2 4 3 6 7 2 2" xfId="58984" xr:uid="{00000000-0005-0000-0000-0000AB310000}"/>
    <cellStyle name="Remarque 2 2 4 3 6 7 3" xfId="22281" xr:uid="{00000000-0005-0000-0000-0000AC310000}"/>
    <cellStyle name="Remarque 2 2 4 3 6 7 4" xfId="46241" xr:uid="{00000000-0005-0000-0000-0000AD310000}"/>
    <cellStyle name="Remarque 2 2 4 3 6 8" xfId="12419" xr:uid="{00000000-0005-0000-0000-0000AE310000}"/>
    <cellStyle name="Remarque 2 2 4 3 6 8 2" xfId="23710" xr:uid="{00000000-0005-0000-0000-0000AF310000}"/>
    <cellStyle name="Remarque 2 2 4 3 6 8 3" xfId="47670" xr:uid="{00000000-0005-0000-0000-0000B0310000}"/>
    <cellStyle name="Remarque 2 2 4 3 6 9" xfId="2486" xr:uid="{00000000-0005-0000-0000-0000B1310000}"/>
    <cellStyle name="Remarque 2 2 4 3 6 9 2" xfId="26500" xr:uid="{00000000-0005-0000-0000-0000B2310000}"/>
    <cellStyle name="Remarque 2 2 4 3 6 9 3" xfId="50460" xr:uid="{00000000-0005-0000-0000-0000B3310000}"/>
    <cellStyle name="Remarque 2 2 4 3 7" xfId="1386" xr:uid="{00000000-0005-0000-0000-0000B4310000}"/>
    <cellStyle name="Remarque 2 2 4 3 7 10" xfId="25418" xr:uid="{00000000-0005-0000-0000-0000B5310000}"/>
    <cellStyle name="Remarque 2 2 4 3 7 10 2" xfId="49378" xr:uid="{00000000-0005-0000-0000-0000B6310000}"/>
    <cellStyle name="Remarque 2 2 4 3 7 11" xfId="36327" xr:uid="{00000000-0005-0000-0000-0000B7310000}"/>
    <cellStyle name="Remarque 2 2 4 3 7 11 2" xfId="60287" xr:uid="{00000000-0005-0000-0000-0000B8310000}"/>
    <cellStyle name="Remarque 2 2 4 3 7 12" xfId="14083" xr:uid="{00000000-0005-0000-0000-0000B9310000}"/>
    <cellStyle name="Remarque 2 2 4 3 7 13" xfId="38043" xr:uid="{00000000-0005-0000-0000-0000BA310000}"/>
    <cellStyle name="Remarque 2 2 4 3 7 2" xfId="4292" xr:uid="{00000000-0005-0000-0000-0000BB310000}"/>
    <cellStyle name="Remarque 2 2 4 3 7 2 2" xfId="28306" xr:uid="{00000000-0005-0000-0000-0000BC310000}"/>
    <cellStyle name="Remarque 2 2 4 3 7 2 2 2" xfId="52266" xr:uid="{00000000-0005-0000-0000-0000BD310000}"/>
    <cellStyle name="Remarque 2 2 4 3 7 2 3" xfId="15553" xr:uid="{00000000-0005-0000-0000-0000BE310000}"/>
    <cellStyle name="Remarque 2 2 4 3 7 2 4" xfId="39513" xr:uid="{00000000-0005-0000-0000-0000BF310000}"/>
    <cellStyle name="Remarque 2 2 4 3 7 3" xfId="5726" xr:uid="{00000000-0005-0000-0000-0000C0310000}"/>
    <cellStyle name="Remarque 2 2 4 3 7 3 2" xfId="29740" xr:uid="{00000000-0005-0000-0000-0000C1310000}"/>
    <cellStyle name="Remarque 2 2 4 3 7 3 2 2" xfId="53700" xr:uid="{00000000-0005-0000-0000-0000C2310000}"/>
    <cellStyle name="Remarque 2 2 4 3 7 3 3" xfId="16987" xr:uid="{00000000-0005-0000-0000-0000C3310000}"/>
    <cellStyle name="Remarque 2 2 4 3 7 3 4" xfId="40947" xr:uid="{00000000-0005-0000-0000-0000C4310000}"/>
    <cellStyle name="Remarque 2 2 4 3 7 4" xfId="7120" xr:uid="{00000000-0005-0000-0000-0000C5310000}"/>
    <cellStyle name="Remarque 2 2 4 3 7 4 2" xfId="31134" xr:uid="{00000000-0005-0000-0000-0000C6310000}"/>
    <cellStyle name="Remarque 2 2 4 3 7 4 2 2" xfId="55094" xr:uid="{00000000-0005-0000-0000-0000C7310000}"/>
    <cellStyle name="Remarque 2 2 4 3 7 4 3" xfId="18381" xr:uid="{00000000-0005-0000-0000-0000C8310000}"/>
    <cellStyle name="Remarque 2 2 4 3 7 4 4" xfId="42341" xr:uid="{00000000-0005-0000-0000-0000C9310000}"/>
    <cellStyle name="Remarque 2 2 4 3 7 5" xfId="8508" xr:uid="{00000000-0005-0000-0000-0000CA310000}"/>
    <cellStyle name="Remarque 2 2 4 3 7 5 2" xfId="32522" xr:uid="{00000000-0005-0000-0000-0000CB310000}"/>
    <cellStyle name="Remarque 2 2 4 3 7 5 2 2" xfId="56482" xr:uid="{00000000-0005-0000-0000-0000CC310000}"/>
    <cellStyle name="Remarque 2 2 4 3 7 5 3" xfId="19769" xr:uid="{00000000-0005-0000-0000-0000CD310000}"/>
    <cellStyle name="Remarque 2 2 4 3 7 5 4" xfId="43729" xr:uid="{00000000-0005-0000-0000-0000CE310000}"/>
    <cellStyle name="Remarque 2 2 4 3 7 6" xfId="9893" xr:uid="{00000000-0005-0000-0000-0000CF310000}"/>
    <cellStyle name="Remarque 2 2 4 3 7 6 2" xfId="33907" xr:uid="{00000000-0005-0000-0000-0000D0310000}"/>
    <cellStyle name="Remarque 2 2 4 3 7 6 2 2" xfId="57867" xr:uid="{00000000-0005-0000-0000-0000D1310000}"/>
    <cellStyle name="Remarque 2 2 4 3 7 6 3" xfId="21154" xr:uid="{00000000-0005-0000-0000-0000D2310000}"/>
    <cellStyle name="Remarque 2 2 4 3 7 6 4" xfId="45114" xr:uid="{00000000-0005-0000-0000-0000D3310000}"/>
    <cellStyle name="Remarque 2 2 4 3 7 7" xfId="11350" xr:uid="{00000000-0005-0000-0000-0000D4310000}"/>
    <cellStyle name="Remarque 2 2 4 3 7 7 2" xfId="35360" xr:uid="{00000000-0005-0000-0000-0000D5310000}"/>
    <cellStyle name="Remarque 2 2 4 3 7 7 2 2" xfId="59320" xr:uid="{00000000-0005-0000-0000-0000D6310000}"/>
    <cellStyle name="Remarque 2 2 4 3 7 7 3" xfId="22617" xr:uid="{00000000-0005-0000-0000-0000D7310000}"/>
    <cellStyle name="Remarque 2 2 4 3 7 7 4" xfId="46577" xr:uid="{00000000-0005-0000-0000-0000D8310000}"/>
    <cellStyle name="Remarque 2 2 4 3 7 8" xfId="12445" xr:uid="{00000000-0005-0000-0000-0000D9310000}"/>
    <cellStyle name="Remarque 2 2 4 3 7 8 2" xfId="23737" xr:uid="{00000000-0005-0000-0000-0000DA310000}"/>
    <cellStyle name="Remarque 2 2 4 3 7 8 3" xfId="47697" xr:uid="{00000000-0005-0000-0000-0000DB310000}"/>
    <cellStyle name="Remarque 2 2 4 3 7 9" xfId="2822" xr:uid="{00000000-0005-0000-0000-0000DC310000}"/>
    <cellStyle name="Remarque 2 2 4 3 7 9 2" xfId="26836" xr:uid="{00000000-0005-0000-0000-0000DD310000}"/>
    <cellStyle name="Remarque 2 2 4 3 7 9 3" xfId="50796" xr:uid="{00000000-0005-0000-0000-0000DE310000}"/>
    <cellStyle name="Remarque 2 2 4 3 8" xfId="3142" xr:uid="{00000000-0005-0000-0000-0000DF310000}"/>
    <cellStyle name="Remarque 2 2 4 3 8 2" xfId="27156" xr:uid="{00000000-0005-0000-0000-0000E0310000}"/>
    <cellStyle name="Remarque 2 2 4 3 8 2 2" xfId="51116" xr:uid="{00000000-0005-0000-0000-0000E1310000}"/>
    <cellStyle name="Remarque 2 2 4 3 8 3" xfId="14403" xr:uid="{00000000-0005-0000-0000-0000E2310000}"/>
    <cellStyle name="Remarque 2 2 4 3 8 4" xfId="38363" xr:uid="{00000000-0005-0000-0000-0000E3310000}"/>
    <cellStyle name="Remarque 2 2 4 3 9" xfId="1672" xr:uid="{00000000-0005-0000-0000-0000E4310000}"/>
    <cellStyle name="Remarque 2 2 4 3 9 2" xfId="25686" xr:uid="{00000000-0005-0000-0000-0000E5310000}"/>
    <cellStyle name="Remarque 2 2 4 3 9 3" xfId="49646" xr:uid="{00000000-0005-0000-0000-0000E6310000}"/>
    <cellStyle name="Remarque 2 2 4 4" xfId="92" xr:uid="{00000000-0005-0000-0000-0000E7310000}"/>
    <cellStyle name="Remarque 2 2 4 4 10" xfId="6128" xr:uid="{00000000-0005-0000-0000-0000E8310000}"/>
    <cellStyle name="Remarque 2 2 4 4 10 2" xfId="30142" xr:uid="{00000000-0005-0000-0000-0000E9310000}"/>
    <cellStyle name="Remarque 2 2 4 4 10 2 2" xfId="54102" xr:uid="{00000000-0005-0000-0000-0000EA310000}"/>
    <cellStyle name="Remarque 2 2 4 4 10 3" xfId="17389" xr:uid="{00000000-0005-0000-0000-0000EB310000}"/>
    <cellStyle name="Remarque 2 2 4 4 10 4" xfId="41349" xr:uid="{00000000-0005-0000-0000-0000EC310000}"/>
    <cellStyle name="Remarque 2 2 4 4 11" xfId="7516" xr:uid="{00000000-0005-0000-0000-0000ED310000}"/>
    <cellStyle name="Remarque 2 2 4 4 11 2" xfId="31530" xr:uid="{00000000-0005-0000-0000-0000EE310000}"/>
    <cellStyle name="Remarque 2 2 4 4 11 2 2" xfId="55490" xr:uid="{00000000-0005-0000-0000-0000EF310000}"/>
    <cellStyle name="Remarque 2 2 4 4 11 3" xfId="18777" xr:uid="{00000000-0005-0000-0000-0000F0310000}"/>
    <cellStyle name="Remarque 2 2 4 4 11 4" xfId="42737" xr:uid="{00000000-0005-0000-0000-0000F1310000}"/>
    <cellStyle name="Remarque 2 2 4 4 12" xfId="8901" xr:uid="{00000000-0005-0000-0000-0000F2310000}"/>
    <cellStyle name="Remarque 2 2 4 4 12 2" xfId="32915" xr:uid="{00000000-0005-0000-0000-0000F3310000}"/>
    <cellStyle name="Remarque 2 2 4 4 12 2 2" xfId="56875" xr:uid="{00000000-0005-0000-0000-0000F4310000}"/>
    <cellStyle name="Remarque 2 2 4 4 12 3" xfId="20162" xr:uid="{00000000-0005-0000-0000-0000F5310000}"/>
    <cellStyle name="Remarque 2 2 4 4 12 4" xfId="44122" xr:uid="{00000000-0005-0000-0000-0000F6310000}"/>
    <cellStyle name="Remarque 2 2 4 4 13" xfId="10358" xr:uid="{00000000-0005-0000-0000-0000F7310000}"/>
    <cellStyle name="Remarque 2 2 4 4 13 2" xfId="34368" xr:uid="{00000000-0005-0000-0000-0000F8310000}"/>
    <cellStyle name="Remarque 2 2 4 4 13 2 2" xfId="58328" xr:uid="{00000000-0005-0000-0000-0000F9310000}"/>
    <cellStyle name="Remarque 2 2 4 4 13 3" xfId="21625" xr:uid="{00000000-0005-0000-0000-0000FA310000}"/>
    <cellStyle name="Remarque 2 2 4 4 13 4" xfId="45585" xr:uid="{00000000-0005-0000-0000-0000FB310000}"/>
    <cellStyle name="Remarque 2 2 4 4 14" xfId="12361" xr:uid="{00000000-0005-0000-0000-0000FC310000}"/>
    <cellStyle name="Remarque 2 2 4 4 14 2" xfId="23650" xr:uid="{00000000-0005-0000-0000-0000FD310000}"/>
    <cellStyle name="Remarque 2 2 4 4 14 3" xfId="47610" xr:uid="{00000000-0005-0000-0000-0000FE310000}"/>
    <cellStyle name="Remarque 2 2 4 4 15" xfId="1830" xr:uid="{00000000-0005-0000-0000-0000FF310000}"/>
    <cellStyle name="Remarque 2 2 4 4 15 2" xfId="25844" xr:uid="{00000000-0005-0000-0000-000000320000}"/>
    <cellStyle name="Remarque 2 2 4 4 15 3" xfId="49804" xr:uid="{00000000-0005-0000-0000-000001320000}"/>
    <cellStyle name="Remarque 2 2 4 4 16" xfId="24426" xr:uid="{00000000-0005-0000-0000-000002320000}"/>
    <cellStyle name="Remarque 2 2 4 4 16 2" xfId="48386" xr:uid="{00000000-0005-0000-0000-000003320000}"/>
    <cellStyle name="Remarque 2 2 4 4 17" xfId="35614" xr:uid="{00000000-0005-0000-0000-000004320000}"/>
    <cellStyle name="Remarque 2 2 4 4 17 2" xfId="59574" xr:uid="{00000000-0005-0000-0000-000005320000}"/>
    <cellStyle name="Remarque 2 2 4 4 18" xfId="13091" xr:uid="{00000000-0005-0000-0000-000006320000}"/>
    <cellStyle name="Remarque 2 2 4 4 19" xfId="37051" xr:uid="{00000000-0005-0000-0000-000007320000}"/>
    <cellStyle name="Remarque 2 2 4 4 2" xfId="530" xr:uid="{00000000-0005-0000-0000-000008320000}"/>
    <cellStyle name="Remarque 2 2 4 4 2 10" xfId="24562" xr:uid="{00000000-0005-0000-0000-000009320000}"/>
    <cellStyle name="Remarque 2 2 4 4 2 10 2" xfId="48522" xr:uid="{00000000-0005-0000-0000-00000A320000}"/>
    <cellStyle name="Remarque 2 2 4 4 2 11" xfId="36374" xr:uid="{00000000-0005-0000-0000-00000B320000}"/>
    <cellStyle name="Remarque 2 2 4 4 2 11 2" xfId="60334" xr:uid="{00000000-0005-0000-0000-00000C320000}"/>
    <cellStyle name="Remarque 2 2 4 4 2 12" xfId="13227" xr:uid="{00000000-0005-0000-0000-00000D320000}"/>
    <cellStyle name="Remarque 2 2 4 4 2 13" xfId="37187" xr:uid="{00000000-0005-0000-0000-00000E320000}"/>
    <cellStyle name="Remarque 2 2 4 4 2 2" xfId="3436" xr:uid="{00000000-0005-0000-0000-00000F320000}"/>
    <cellStyle name="Remarque 2 2 4 4 2 2 2" xfId="27450" xr:uid="{00000000-0005-0000-0000-000010320000}"/>
    <cellStyle name="Remarque 2 2 4 4 2 2 2 2" xfId="51410" xr:uid="{00000000-0005-0000-0000-000011320000}"/>
    <cellStyle name="Remarque 2 2 4 4 2 2 3" xfId="14697" xr:uid="{00000000-0005-0000-0000-000012320000}"/>
    <cellStyle name="Remarque 2 2 4 4 2 2 4" xfId="38657" xr:uid="{00000000-0005-0000-0000-000013320000}"/>
    <cellStyle name="Remarque 2 2 4 4 2 3" xfId="4870" xr:uid="{00000000-0005-0000-0000-000014320000}"/>
    <cellStyle name="Remarque 2 2 4 4 2 3 2" xfId="28884" xr:uid="{00000000-0005-0000-0000-000015320000}"/>
    <cellStyle name="Remarque 2 2 4 4 2 3 2 2" xfId="52844" xr:uid="{00000000-0005-0000-0000-000016320000}"/>
    <cellStyle name="Remarque 2 2 4 4 2 3 3" xfId="16131" xr:uid="{00000000-0005-0000-0000-000017320000}"/>
    <cellStyle name="Remarque 2 2 4 4 2 3 4" xfId="40091" xr:uid="{00000000-0005-0000-0000-000018320000}"/>
    <cellStyle name="Remarque 2 2 4 4 2 4" xfId="6264" xr:uid="{00000000-0005-0000-0000-000019320000}"/>
    <cellStyle name="Remarque 2 2 4 4 2 4 2" xfId="30278" xr:uid="{00000000-0005-0000-0000-00001A320000}"/>
    <cellStyle name="Remarque 2 2 4 4 2 4 2 2" xfId="54238" xr:uid="{00000000-0005-0000-0000-00001B320000}"/>
    <cellStyle name="Remarque 2 2 4 4 2 4 3" xfId="17525" xr:uid="{00000000-0005-0000-0000-00001C320000}"/>
    <cellStyle name="Remarque 2 2 4 4 2 4 4" xfId="41485" xr:uid="{00000000-0005-0000-0000-00001D320000}"/>
    <cellStyle name="Remarque 2 2 4 4 2 5" xfId="7652" xr:uid="{00000000-0005-0000-0000-00001E320000}"/>
    <cellStyle name="Remarque 2 2 4 4 2 5 2" xfId="31666" xr:uid="{00000000-0005-0000-0000-00001F320000}"/>
    <cellStyle name="Remarque 2 2 4 4 2 5 2 2" xfId="55626" xr:uid="{00000000-0005-0000-0000-000020320000}"/>
    <cellStyle name="Remarque 2 2 4 4 2 5 3" xfId="18913" xr:uid="{00000000-0005-0000-0000-000021320000}"/>
    <cellStyle name="Remarque 2 2 4 4 2 5 4" xfId="42873" xr:uid="{00000000-0005-0000-0000-000022320000}"/>
    <cellStyle name="Remarque 2 2 4 4 2 6" xfId="9037" xr:uid="{00000000-0005-0000-0000-000023320000}"/>
    <cellStyle name="Remarque 2 2 4 4 2 6 2" xfId="33051" xr:uid="{00000000-0005-0000-0000-000024320000}"/>
    <cellStyle name="Remarque 2 2 4 4 2 6 2 2" xfId="57011" xr:uid="{00000000-0005-0000-0000-000025320000}"/>
    <cellStyle name="Remarque 2 2 4 4 2 6 3" xfId="20298" xr:uid="{00000000-0005-0000-0000-000026320000}"/>
    <cellStyle name="Remarque 2 2 4 4 2 6 4" xfId="44258" xr:uid="{00000000-0005-0000-0000-000027320000}"/>
    <cellStyle name="Remarque 2 2 4 4 2 7" xfId="10494" xr:uid="{00000000-0005-0000-0000-000028320000}"/>
    <cellStyle name="Remarque 2 2 4 4 2 7 2" xfId="34504" xr:uid="{00000000-0005-0000-0000-000029320000}"/>
    <cellStyle name="Remarque 2 2 4 4 2 7 2 2" xfId="58464" xr:uid="{00000000-0005-0000-0000-00002A320000}"/>
    <cellStyle name="Remarque 2 2 4 4 2 7 3" xfId="21761" xr:uid="{00000000-0005-0000-0000-00002B320000}"/>
    <cellStyle name="Remarque 2 2 4 4 2 7 4" xfId="45721" xr:uid="{00000000-0005-0000-0000-00002C320000}"/>
    <cellStyle name="Remarque 2 2 4 4 2 8" xfId="11830" xr:uid="{00000000-0005-0000-0000-00002D320000}"/>
    <cellStyle name="Remarque 2 2 4 4 2 8 2" xfId="23104" xr:uid="{00000000-0005-0000-0000-00002E320000}"/>
    <cellStyle name="Remarque 2 2 4 4 2 8 3" xfId="47064" xr:uid="{00000000-0005-0000-0000-00002F320000}"/>
    <cellStyle name="Remarque 2 2 4 4 2 9" xfId="1966" xr:uid="{00000000-0005-0000-0000-000030320000}"/>
    <cellStyle name="Remarque 2 2 4 4 2 9 2" xfId="25980" xr:uid="{00000000-0005-0000-0000-000031320000}"/>
    <cellStyle name="Remarque 2 2 4 4 2 9 3" xfId="49940" xr:uid="{00000000-0005-0000-0000-000032320000}"/>
    <cellStyle name="Remarque 2 2 4 4 20" xfId="394" xr:uid="{00000000-0005-0000-0000-000033320000}"/>
    <cellStyle name="Remarque 2 2 4 4 3" xfId="722" xr:uid="{00000000-0005-0000-0000-000034320000}"/>
    <cellStyle name="Remarque 2 2 4 4 3 10" xfId="24754" xr:uid="{00000000-0005-0000-0000-000035320000}"/>
    <cellStyle name="Remarque 2 2 4 4 3 10 2" xfId="48714" xr:uid="{00000000-0005-0000-0000-000036320000}"/>
    <cellStyle name="Remarque 2 2 4 4 3 11" xfId="36639" xr:uid="{00000000-0005-0000-0000-000037320000}"/>
    <cellStyle name="Remarque 2 2 4 4 3 11 2" xfId="60599" xr:uid="{00000000-0005-0000-0000-000038320000}"/>
    <cellStyle name="Remarque 2 2 4 4 3 12" xfId="13419" xr:uid="{00000000-0005-0000-0000-000039320000}"/>
    <cellStyle name="Remarque 2 2 4 4 3 13" xfId="37379" xr:uid="{00000000-0005-0000-0000-00003A320000}"/>
    <cellStyle name="Remarque 2 2 4 4 3 2" xfId="3628" xr:uid="{00000000-0005-0000-0000-00003B320000}"/>
    <cellStyle name="Remarque 2 2 4 4 3 2 2" xfId="27642" xr:uid="{00000000-0005-0000-0000-00003C320000}"/>
    <cellStyle name="Remarque 2 2 4 4 3 2 2 2" xfId="51602" xr:uid="{00000000-0005-0000-0000-00003D320000}"/>
    <cellStyle name="Remarque 2 2 4 4 3 2 3" xfId="14889" xr:uid="{00000000-0005-0000-0000-00003E320000}"/>
    <cellStyle name="Remarque 2 2 4 4 3 2 4" xfId="38849" xr:uid="{00000000-0005-0000-0000-00003F320000}"/>
    <cellStyle name="Remarque 2 2 4 4 3 3" xfId="5062" xr:uid="{00000000-0005-0000-0000-000040320000}"/>
    <cellStyle name="Remarque 2 2 4 4 3 3 2" xfId="29076" xr:uid="{00000000-0005-0000-0000-000041320000}"/>
    <cellStyle name="Remarque 2 2 4 4 3 3 2 2" xfId="53036" xr:uid="{00000000-0005-0000-0000-000042320000}"/>
    <cellStyle name="Remarque 2 2 4 4 3 3 3" xfId="16323" xr:uid="{00000000-0005-0000-0000-000043320000}"/>
    <cellStyle name="Remarque 2 2 4 4 3 3 4" xfId="40283" xr:uid="{00000000-0005-0000-0000-000044320000}"/>
    <cellStyle name="Remarque 2 2 4 4 3 4" xfId="6456" xr:uid="{00000000-0005-0000-0000-000045320000}"/>
    <cellStyle name="Remarque 2 2 4 4 3 4 2" xfId="30470" xr:uid="{00000000-0005-0000-0000-000046320000}"/>
    <cellStyle name="Remarque 2 2 4 4 3 4 2 2" xfId="54430" xr:uid="{00000000-0005-0000-0000-000047320000}"/>
    <cellStyle name="Remarque 2 2 4 4 3 4 3" xfId="17717" xr:uid="{00000000-0005-0000-0000-000048320000}"/>
    <cellStyle name="Remarque 2 2 4 4 3 4 4" xfId="41677" xr:uid="{00000000-0005-0000-0000-000049320000}"/>
    <cellStyle name="Remarque 2 2 4 4 3 5" xfId="7844" xr:uid="{00000000-0005-0000-0000-00004A320000}"/>
    <cellStyle name="Remarque 2 2 4 4 3 5 2" xfId="31858" xr:uid="{00000000-0005-0000-0000-00004B320000}"/>
    <cellStyle name="Remarque 2 2 4 4 3 5 2 2" xfId="55818" xr:uid="{00000000-0005-0000-0000-00004C320000}"/>
    <cellStyle name="Remarque 2 2 4 4 3 5 3" xfId="19105" xr:uid="{00000000-0005-0000-0000-00004D320000}"/>
    <cellStyle name="Remarque 2 2 4 4 3 5 4" xfId="43065" xr:uid="{00000000-0005-0000-0000-00004E320000}"/>
    <cellStyle name="Remarque 2 2 4 4 3 6" xfId="9229" xr:uid="{00000000-0005-0000-0000-00004F320000}"/>
    <cellStyle name="Remarque 2 2 4 4 3 6 2" xfId="33243" xr:uid="{00000000-0005-0000-0000-000050320000}"/>
    <cellStyle name="Remarque 2 2 4 4 3 6 2 2" xfId="57203" xr:uid="{00000000-0005-0000-0000-000051320000}"/>
    <cellStyle name="Remarque 2 2 4 4 3 6 3" xfId="20490" xr:uid="{00000000-0005-0000-0000-000052320000}"/>
    <cellStyle name="Remarque 2 2 4 4 3 6 4" xfId="44450" xr:uid="{00000000-0005-0000-0000-000053320000}"/>
    <cellStyle name="Remarque 2 2 4 4 3 7" xfId="10686" xr:uid="{00000000-0005-0000-0000-000054320000}"/>
    <cellStyle name="Remarque 2 2 4 4 3 7 2" xfId="34696" xr:uid="{00000000-0005-0000-0000-000055320000}"/>
    <cellStyle name="Remarque 2 2 4 4 3 7 2 2" xfId="58656" xr:uid="{00000000-0005-0000-0000-000056320000}"/>
    <cellStyle name="Remarque 2 2 4 4 3 7 3" xfId="21953" xr:uid="{00000000-0005-0000-0000-000057320000}"/>
    <cellStyle name="Remarque 2 2 4 4 3 7 4" xfId="45913" xr:uid="{00000000-0005-0000-0000-000058320000}"/>
    <cellStyle name="Remarque 2 2 4 4 3 8" xfId="12395" xr:uid="{00000000-0005-0000-0000-000059320000}"/>
    <cellStyle name="Remarque 2 2 4 4 3 8 2" xfId="23685" xr:uid="{00000000-0005-0000-0000-00005A320000}"/>
    <cellStyle name="Remarque 2 2 4 4 3 8 3" xfId="47645" xr:uid="{00000000-0005-0000-0000-00005B320000}"/>
    <cellStyle name="Remarque 2 2 4 4 3 9" xfId="2158" xr:uid="{00000000-0005-0000-0000-00005C320000}"/>
    <cellStyle name="Remarque 2 2 4 4 3 9 2" xfId="26172" xr:uid="{00000000-0005-0000-0000-00005D320000}"/>
    <cellStyle name="Remarque 2 2 4 4 3 9 3" xfId="50132" xr:uid="{00000000-0005-0000-0000-00005E320000}"/>
    <cellStyle name="Remarque 2 2 4 4 4" xfId="916" xr:uid="{00000000-0005-0000-0000-00005F320000}"/>
    <cellStyle name="Remarque 2 2 4 4 4 10" xfId="24948" xr:uid="{00000000-0005-0000-0000-000060320000}"/>
    <cellStyle name="Remarque 2 2 4 4 4 10 2" xfId="48908" xr:uid="{00000000-0005-0000-0000-000061320000}"/>
    <cellStyle name="Remarque 2 2 4 4 4 11" xfId="35598" xr:uid="{00000000-0005-0000-0000-000062320000}"/>
    <cellStyle name="Remarque 2 2 4 4 4 11 2" xfId="59558" xr:uid="{00000000-0005-0000-0000-000063320000}"/>
    <cellStyle name="Remarque 2 2 4 4 4 12" xfId="13613" xr:uid="{00000000-0005-0000-0000-000064320000}"/>
    <cellStyle name="Remarque 2 2 4 4 4 13" xfId="37573" xr:uid="{00000000-0005-0000-0000-000065320000}"/>
    <cellStyle name="Remarque 2 2 4 4 4 2" xfId="3822" xr:uid="{00000000-0005-0000-0000-000066320000}"/>
    <cellStyle name="Remarque 2 2 4 4 4 2 2" xfId="27836" xr:uid="{00000000-0005-0000-0000-000067320000}"/>
    <cellStyle name="Remarque 2 2 4 4 4 2 2 2" xfId="51796" xr:uid="{00000000-0005-0000-0000-000068320000}"/>
    <cellStyle name="Remarque 2 2 4 4 4 2 3" xfId="15083" xr:uid="{00000000-0005-0000-0000-000069320000}"/>
    <cellStyle name="Remarque 2 2 4 4 4 2 4" xfId="39043" xr:uid="{00000000-0005-0000-0000-00006A320000}"/>
    <cellStyle name="Remarque 2 2 4 4 4 3" xfId="5256" xr:uid="{00000000-0005-0000-0000-00006B320000}"/>
    <cellStyle name="Remarque 2 2 4 4 4 3 2" xfId="29270" xr:uid="{00000000-0005-0000-0000-00006C320000}"/>
    <cellStyle name="Remarque 2 2 4 4 4 3 2 2" xfId="53230" xr:uid="{00000000-0005-0000-0000-00006D320000}"/>
    <cellStyle name="Remarque 2 2 4 4 4 3 3" xfId="16517" xr:uid="{00000000-0005-0000-0000-00006E320000}"/>
    <cellStyle name="Remarque 2 2 4 4 4 3 4" xfId="40477" xr:uid="{00000000-0005-0000-0000-00006F320000}"/>
    <cellStyle name="Remarque 2 2 4 4 4 4" xfId="6650" xr:uid="{00000000-0005-0000-0000-000070320000}"/>
    <cellStyle name="Remarque 2 2 4 4 4 4 2" xfId="30664" xr:uid="{00000000-0005-0000-0000-000071320000}"/>
    <cellStyle name="Remarque 2 2 4 4 4 4 2 2" xfId="54624" xr:uid="{00000000-0005-0000-0000-000072320000}"/>
    <cellStyle name="Remarque 2 2 4 4 4 4 3" xfId="17911" xr:uid="{00000000-0005-0000-0000-000073320000}"/>
    <cellStyle name="Remarque 2 2 4 4 4 4 4" xfId="41871" xr:uid="{00000000-0005-0000-0000-000074320000}"/>
    <cellStyle name="Remarque 2 2 4 4 4 5" xfId="8038" xr:uid="{00000000-0005-0000-0000-000075320000}"/>
    <cellStyle name="Remarque 2 2 4 4 4 5 2" xfId="32052" xr:uid="{00000000-0005-0000-0000-000076320000}"/>
    <cellStyle name="Remarque 2 2 4 4 4 5 2 2" xfId="56012" xr:uid="{00000000-0005-0000-0000-000077320000}"/>
    <cellStyle name="Remarque 2 2 4 4 4 5 3" xfId="19299" xr:uid="{00000000-0005-0000-0000-000078320000}"/>
    <cellStyle name="Remarque 2 2 4 4 4 5 4" xfId="43259" xr:uid="{00000000-0005-0000-0000-000079320000}"/>
    <cellStyle name="Remarque 2 2 4 4 4 6" xfId="9423" xr:uid="{00000000-0005-0000-0000-00007A320000}"/>
    <cellStyle name="Remarque 2 2 4 4 4 6 2" xfId="33437" xr:uid="{00000000-0005-0000-0000-00007B320000}"/>
    <cellStyle name="Remarque 2 2 4 4 4 6 2 2" xfId="57397" xr:uid="{00000000-0005-0000-0000-00007C320000}"/>
    <cellStyle name="Remarque 2 2 4 4 4 6 3" xfId="20684" xr:uid="{00000000-0005-0000-0000-00007D320000}"/>
    <cellStyle name="Remarque 2 2 4 4 4 6 4" xfId="44644" xr:uid="{00000000-0005-0000-0000-00007E320000}"/>
    <cellStyle name="Remarque 2 2 4 4 4 7" xfId="10880" xr:uid="{00000000-0005-0000-0000-00007F320000}"/>
    <cellStyle name="Remarque 2 2 4 4 4 7 2" xfId="34890" xr:uid="{00000000-0005-0000-0000-000080320000}"/>
    <cellStyle name="Remarque 2 2 4 4 4 7 2 2" xfId="58850" xr:uid="{00000000-0005-0000-0000-000081320000}"/>
    <cellStyle name="Remarque 2 2 4 4 4 7 3" xfId="22147" xr:uid="{00000000-0005-0000-0000-000082320000}"/>
    <cellStyle name="Remarque 2 2 4 4 4 7 4" xfId="46107" xr:uid="{00000000-0005-0000-0000-000083320000}"/>
    <cellStyle name="Remarque 2 2 4 4 4 8" xfId="12557" xr:uid="{00000000-0005-0000-0000-000084320000}"/>
    <cellStyle name="Remarque 2 2 4 4 4 8 2" xfId="23857" xr:uid="{00000000-0005-0000-0000-000085320000}"/>
    <cellStyle name="Remarque 2 2 4 4 4 8 3" xfId="47817" xr:uid="{00000000-0005-0000-0000-000086320000}"/>
    <cellStyle name="Remarque 2 2 4 4 4 9" xfId="2352" xr:uid="{00000000-0005-0000-0000-000087320000}"/>
    <cellStyle name="Remarque 2 2 4 4 4 9 2" xfId="26366" xr:uid="{00000000-0005-0000-0000-000088320000}"/>
    <cellStyle name="Remarque 2 2 4 4 4 9 3" xfId="50326" xr:uid="{00000000-0005-0000-0000-000089320000}"/>
    <cellStyle name="Remarque 2 2 4 4 5" xfId="1109" xr:uid="{00000000-0005-0000-0000-00008A320000}"/>
    <cellStyle name="Remarque 2 2 4 4 5 10" xfId="25141" xr:uid="{00000000-0005-0000-0000-00008B320000}"/>
    <cellStyle name="Remarque 2 2 4 4 5 10 2" xfId="49101" xr:uid="{00000000-0005-0000-0000-00008C320000}"/>
    <cellStyle name="Remarque 2 2 4 4 5 11" xfId="35980" xr:uid="{00000000-0005-0000-0000-00008D320000}"/>
    <cellStyle name="Remarque 2 2 4 4 5 11 2" xfId="59940" xr:uid="{00000000-0005-0000-0000-00008E320000}"/>
    <cellStyle name="Remarque 2 2 4 4 5 12" xfId="13806" xr:uid="{00000000-0005-0000-0000-00008F320000}"/>
    <cellStyle name="Remarque 2 2 4 4 5 13" xfId="37766" xr:uid="{00000000-0005-0000-0000-000090320000}"/>
    <cellStyle name="Remarque 2 2 4 4 5 2" xfId="4015" xr:uid="{00000000-0005-0000-0000-000091320000}"/>
    <cellStyle name="Remarque 2 2 4 4 5 2 2" xfId="28029" xr:uid="{00000000-0005-0000-0000-000092320000}"/>
    <cellStyle name="Remarque 2 2 4 4 5 2 2 2" xfId="51989" xr:uid="{00000000-0005-0000-0000-000093320000}"/>
    <cellStyle name="Remarque 2 2 4 4 5 2 3" xfId="15276" xr:uid="{00000000-0005-0000-0000-000094320000}"/>
    <cellStyle name="Remarque 2 2 4 4 5 2 4" xfId="39236" xr:uid="{00000000-0005-0000-0000-000095320000}"/>
    <cellStyle name="Remarque 2 2 4 4 5 3" xfId="5449" xr:uid="{00000000-0005-0000-0000-000096320000}"/>
    <cellStyle name="Remarque 2 2 4 4 5 3 2" xfId="29463" xr:uid="{00000000-0005-0000-0000-000097320000}"/>
    <cellStyle name="Remarque 2 2 4 4 5 3 2 2" xfId="53423" xr:uid="{00000000-0005-0000-0000-000098320000}"/>
    <cellStyle name="Remarque 2 2 4 4 5 3 3" xfId="16710" xr:uid="{00000000-0005-0000-0000-000099320000}"/>
    <cellStyle name="Remarque 2 2 4 4 5 3 4" xfId="40670" xr:uid="{00000000-0005-0000-0000-00009A320000}"/>
    <cellStyle name="Remarque 2 2 4 4 5 4" xfId="6843" xr:uid="{00000000-0005-0000-0000-00009B320000}"/>
    <cellStyle name="Remarque 2 2 4 4 5 4 2" xfId="30857" xr:uid="{00000000-0005-0000-0000-00009C320000}"/>
    <cellStyle name="Remarque 2 2 4 4 5 4 2 2" xfId="54817" xr:uid="{00000000-0005-0000-0000-00009D320000}"/>
    <cellStyle name="Remarque 2 2 4 4 5 4 3" xfId="18104" xr:uid="{00000000-0005-0000-0000-00009E320000}"/>
    <cellStyle name="Remarque 2 2 4 4 5 4 4" xfId="42064" xr:uid="{00000000-0005-0000-0000-00009F320000}"/>
    <cellStyle name="Remarque 2 2 4 4 5 5" xfId="8231" xr:uid="{00000000-0005-0000-0000-0000A0320000}"/>
    <cellStyle name="Remarque 2 2 4 4 5 5 2" xfId="32245" xr:uid="{00000000-0005-0000-0000-0000A1320000}"/>
    <cellStyle name="Remarque 2 2 4 4 5 5 2 2" xfId="56205" xr:uid="{00000000-0005-0000-0000-0000A2320000}"/>
    <cellStyle name="Remarque 2 2 4 4 5 5 3" xfId="19492" xr:uid="{00000000-0005-0000-0000-0000A3320000}"/>
    <cellStyle name="Remarque 2 2 4 4 5 5 4" xfId="43452" xr:uid="{00000000-0005-0000-0000-0000A4320000}"/>
    <cellStyle name="Remarque 2 2 4 4 5 6" xfId="9616" xr:uid="{00000000-0005-0000-0000-0000A5320000}"/>
    <cellStyle name="Remarque 2 2 4 4 5 6 2" xfId="33630" xr:uid="{00000000-0005-0000-0000-0000A6320000}"/>
    <cellStyle name="Remarque 2 2 4 4 5 6 2 2" xfId="57590" xr:uid="{00000000-0005-0000-0000-0000A7320000}"/>
    <cellStyle name="Remarque 2 2 4 4 5 6 3" xfId="20877" xr:uid="{00000000-0005-0000-0000-0000A8320000}"/>
    <cellStyle name="Remarque 2 2 4 4 5 6 4" xfId="44837" xr:uid="{00000000-0005-0000-0000-0000A9320000}"/>
    <cellStyle name="Remarque 2 2 4 4 5 7" xfId="11073" xr:uid="{00000000-0005-0000-0000-0000AA320000}"/>
    <cellStyle name="Remarque 2 2 4 4 5 7 2" xfId="35083" xr:uid="{00000000-0005-0000-0000-0000AB320000}"/>
    <cellStyle name="Remarque 2 2 4 4 5 7 2 2" xfId="59043" xr:uid="{00000000-0005-0000-0000-0000AC320000}"/>
    <cellStyle name="Remarque 2 2 4 4 5 7 3" xfId="22340" xr:uid="{00000000-0005-0000-0000-0000AD320000}"/>
    <cellStyle name="Remarque 2 2 4 4 5 7 4" xfId="46300" xr:uid="{00000000-0005-0000-0000-0000AE320000}"/>
    <cellStyle name="Remarque 2 2 4 4 5 8" xfId="11587" xr:uid="{00000000-0005-0000-0000-0000AF320000}"/>
    <cellStyle name="Remarque 2 2 4 4 5 8 2" xfId="22854" xr:uid="{00000000-0005-0000-0000-0000B0320000}"/>
    <cellStyle name="Remarque 2 2 4 4 5 8 3" xfId="46814" xr:uid="{00000000-0005-0000-0000-0000B1320000}"/>
    <cellStyle name="Remarque 2 2 4 4 5 9" xfId="2545" xr:uid="{00000000-0005-0000-0000-0000B2320000}"/>
    <cellStyle name="Remarque 2 2 4 4 5 9 2" xfId="26559" xr:uid="{00000000-0005-0000-0000-0000B3320000}"/>
    <cellStyle name="Remarque 2 2 4 4 5 9 3" xfId="50519" xr:uid="{00000000-0005-0000-0000-0000B4320000}"/>
    <cellStyle name="Remarque 2 2 4 4 6" xfId="1276" xr:uid="{00000000-0005-0000-0000-0000B5320000}"/>
    <cellStyle name="Remarque 2 2 4 4 6 10" xfId="25308" xr:uid="{00000000-0005-0000-0000-0000B6320000}"/>
    <cellStyle name="Remarque 2 2 4 4 6 10 2" xfId="49268" xr:uid="{00000000-0005-0000-0000-0000B7320000}"/>
    <cellStyle name="Remarque 2 2 4 4 6 11" xfId="35827" xr:uid="{00000000-0005-0000-0000-0000B8320000}"/>
    <cellStyle name="Remarque 2 2 4 4 6 11 2" xfId="59787" xr:uid="{00000000-0005-0000-0000-0000B9320000}"/>
    <cellStyle name="Remarque 2 2 4 4 6 12" xfId="13973" xr:uid="{00000000-0005-0000-0000-0000BA320000}"/>
    <cellStyle name="Remarque 2 2 4 4 6 13" xfId="37933" xr:uid="{00000000-0005-0000-0000-0000BB320000}"/>
    <cellStyle name="Remarque 2 2 4 4 6 2" xfId="4182" xr:uid="{00000000-0005-0000-0000-0000BC320000}"/>
    <cellStyle name="Remarque 2 2 4 4 6 2 2" xfId="28196" xr:uid="{00000000-0005-0000-0000-0000BD320000}"/>
    <cellStyle name="Remarque 2 2 4 4 6 2 2 2" xfId="52156" xr:uid="{00000000-0005-0000-0000-0000BE320000}"/>
    <cellStyle name="Remarque 2 2 4 4 6 2 3" xfId="15443" xr:uid="{00000000-0005-0000-0000-0000BF320000}"/>
    <cellStyle name="Remarque 2 2 4 4 6 2 4" xfId="39403" xr:uid="{00000000-0005-0000-0000-0000C0320000}"/>
    <cellStyle name="Remarque 2 2 4 4 6 3" xfId="5616" xr:uid="{00000000-0005-0000-0000-0000C1320000}"/>
    <cellStyle name="Remarque 2 2 4 4 6 3 2" xfId="29630" xr:uid="{00000000-0005-0000-0000-0000C2320000}"/>
    <cellStyle name="Remarque 2 2 4 4 6 3 2 2" xfId="53590" xr:uid="{00000000-0005-0000-0000-0000C3320000}"/>
    <cellStyle name="Remarque 2 2 4 4 6 3 3" xfId="16877" xr:uid="{00000000-0005-0000-0000-0000C4320000}"/>
    <cellStyle name="Remarque 2 2 4 4 6 3 4" xfId="40837" xr:uid="{00000000-0005-0000-0000-0000C5320000}"/>
    <cellStyle name="Remarque 2 2 4 4 6 4" xfId="7010" xr:uid="{00000000-0005-0000-0000-0000C6320000}"/>
    <cellStyle name="Remarque 2 2 4 4 6 4 2" xfId="31024" xr:uid="{00000000-0005-0000-0000-0000C7320000}"/>
    <cellStyle name="Remarque 2 2 4 4 6 4 2 2" xfId="54984" xr:uid="{00000000-0005-0000-0000-0000C8320000}"/>
    <cellStyle name="Remarque 2 2 4 4 6 4 3" xfId="18271" xr:uid="{00000000-0005-0000-0000-0000C9320000}"/>
    <cellStyle name="Remarque 2 2 4 4 6 4 4" xfId="42231" xr:uid="{00000000-0005-0000-0000-0000CA320000}"/>
    <cellStyle name="Remarque 2 2 4 4 6 5" xfId="8398" xr:uid="{00000000-0005-0000-0000-0000CB320000}"/>
    <cellStyle name="Remarque 2 2 4 4 6 5 2" xfId="32412" xr:uid="{00000000-0005-0000-0000-0000CC320000}"/>
    <cellStyle name="Remarque 2 2 4 4 6 5 2 2" xfId="56372" xr:uid="{00000000-0005-0000-0000-0000CD320000}"/>
    <cellStyle name="Remarque 2 2 4 4 6 5 3" xfId="19659" xr:uid="{00000000-0005-0000-0000-0000CE320000}"/>
    <cellStyle name="Remarque 2 2 4 4 6 5 4" xfId="43619" xr:uid="{00000000-0005-0000-0000-0000CF320000}"/>
    <cellStyle name="Remarque 2 2 4 4 6 6" xfId="9783" xr:uid="{00000000-0005-0000-0000-0000D0320000}"/>
    <cellStyle name="Remarque 2 2 4 4 6 6 2" xfId="33797" xr:uid="{00000000-0005-0000-0000-0000D1320000}"/>
    <cellStyle name="Remarque 2 2 4 4 6 6 2 2" xfId="57757" xr:uid="{00000000-0005-0000-0000-0000D2320000}"/>
    <cellStyle name="Remarque 2 2 4 4 6 6 3" xfId="21044" xr:uid="{00000000-0005-0000-0000-0000D3320000}"/>
    <cellStyle name="Remarque 2 2 4 4 6 6 4" xfId="45004" xr:uid="{00000000-0005-0000-0000-0000D4320000}"/>
    <cellStyle name="Remarque 2 2 4 4 6 7" xfId="11240" xr:uid="{00000000-0005-0000-0000-0000D5320000}"/>
    <cellStyle name="Remarque 2 2 4 4 6 7 2" xfId="35250" xr:uid="{00000000-0005-0000-0000-0000D6320000}"/>
    <cellStyle name="Remarque 2 2 4 4 6 7 2 2" xfId="59210" xr:uid="{00000000-0005-0000-0000-0000D7320000}"/>
    <cellStyle name="Remarque 2 2 4 4 6 7 3" xfId="22507" xr:uid="{00000000-0005-0000-0000-0000D8320000}"/>
    <cellStyle name="Remarque 2 2 4 4 6 7 4" xfId="46467" xr:uid="{00000000-0005-0000-0000-0000D9320000}"/>
    <cellStyle name="Remarque 2 2 4 4 6 8" xfId="12701" xr:uid="{00000000-0005-0000-0000-0000DA320000}"/>
    <cellStyle name="Remarque 2 2 4 4 6 8 2" xfId="24006" xr:uid="{00000000-0005-0000-0000-0000DB320000}"/>
    <cellStyle name="Remarque 2 2 4 4 6 8 3" xfId="47966" xr:uid="{00000000-0005-0000-0000-0000DC320000}"/>
    <cellStyle name="Remarque 2 2 4 4 6 9" xfId="2712" xr:uid="{00000000-0005-0000-0000-0000DD320000}"/>
    <cellStyle name="Remarque 2 2 4 4 6 9 2" xfId="26726" xr:uid="{00000000-0005-0000-0000-0000DE320000}"/>
    <cellStyle name="Remarque 2 2 4 4 6 9 3" xfId="50686" xr:uid="{00000000-0005-0000-0000-0000DF320000}"/>
    <cellStyle name="Remarque 2 2 4 4 7" xfId="1445" xr:uid="{00000000-0005-0000-0000-0000E0320000}"/>
    <cellStyle name="Remarque 2 2 4 4 7 10" xfId="25477" xr:uid="{00000000-0005-0000-0000-0000E1320000}"/>
    <cellStyle name="Remarque 2 2 4 4 7 10 2" xfId="49437" xr:uid="{00000000-0005-0000-0000-0000E2320000}"/>
    <cellStyle name="Remarque 2 2 4 4 7 11" xfId="36350" xr:uid="{00000000-0005-0000-0000-0000E3320000}"/>
    <cellStyle name="Remarque 2 2 4 4 7 11 2" xfId="60310" xr:uid="{00000000-0005-0000-0000-0000E4320000}"/>
    <cellStyle name="Remarque 2 2 4 4 7 12" xfId="14142" xr:uid="{00000000-0005-0000-0000-0000E5320000}"/>
    <cellStyle name="Remarque 2 2 4 4 7 13" xfId="38102" xr:uid="{00000000-0005-0000-0000-0000E6320000}"/>
    <cellStyle name="Remarque 2 2 4 4 7 2" xfId="4351" xr:uid="{00000000-0005-0000-0000-0000E7320000}"/>
    <cellStyle name="Remarque 2 2 4 4 7 2 2" xfId="28365" xr:uid="{00000000-0005-0000-0000-0000E8320000}"/>
    <cellStyle name="Remarque 2 2 4 4 7 2 2 2" xfId="52325" xr:uid="{00000000-0005-0000-0000-0000E9320000}"/>
    <cellStyle name="Remarque 2 2 4 4 7 2 3" xfId="15612" xr:uid="{00000000-0005-0000-0000-0000EA320000}"/>
    <cellStyle name="Remarque 2 2 4 4 7 2 4" xfId="39572" xr:uid="{00000000-0005-0000-0000-0000EB320000}"/>
    <cellStyle name="Remarque 2 2 4 4 7 3" xfId="5785" xr:uid="{00000000-0005-0000-0000-0000EC320000}"/>
    <cellStyle name="Remarque 2 2 4 4 7 3 2" xfId="29799" xr:uid="{00000000-0005-0000-0000-0000ED320000}"/>
    <cellStyle name="Remarque 2 2 4 4 7 3 2 2" xfId="53759" xr:uid="{00000000-0005-0000-0000-0000EE320000}"/>
    <cellStyle name="Remarque 2 2 4 4 7 3 3" xfId="17046" xr:uid="{00000000-0005-0000-0000-0000EF320000}"/>
    <cellStyle name="Remarque 2 2 4 4 7 3 4" xfId="41006" xr:uid="{00000000-0005-0000-0000-0000F0320000}"/>
    <cellStyle name="Remarque 2 2 4 4 7 4" xfId="7179" xr:uid="{00000000-0005-0000-0000-0000F1320000}"/>
    <cellStyle name="Remarque 2 2 4 4 7 4 2" xfId="31193" xr:uid="{00000000-0005-0000-0000-0000F2320000}"/>
    <cellStyle name="Remarque 2 2 4 4 7 4 2 2" xfId="55153" xr:uid="{00000000-0005-0000-0000-0000F3320000}"/>
    <cellStyle name="Remarque 2 2 4 4 7 4 3" xfId="18440" xr:uid="{00000000-0005-0000-0000-0000F4320000}"/>
    <cellStyle name="Remarque 2 2 4 4 7 4 4" xfId="42400" xr:uid="{00000000-0005-0000-0000-0000F5320000}"/>
    <cellStyle name="Remarque 2 2 4 4 7 5" xfId="8567" xr:uid="{00000000-0005-0000-0000-0000F6320000}"/>
    <cellStyle name="Remarque 2 2 4 4 7 5 2" xfId="32581" xr:uid="{00000000-0005-0000-0000-0000F7320000}"/>
    <cellStyle name="Remarque 2 2 4 4 7 5 2 2" xfId="56541" xr:uid="{00000000-0005-0000-0000-0000F8320000}"/>
    <cellStyle name="Remarque 2 2 4 4 7 5 3" xfId="19828" xr:uid="{00000000-0005-0000-0000-0000F9320000}"/>
    <cellStyle name="Remarque 2 2 4 4 7 5 4" xfId="43788" xr:uid="{00000000-0005-0000-0000-0000FA320000}"/>
    <cellStyle name="Remarque 2 2 4 4 7 6" xfId="9952" xr:uid="{00000000-0005-0000-0000-0000FB320000}"/>
    <cellStyle name="Remarque 2 2 4 4 7 6 2" xfId="33966" xr:uid="{00000000-0005-0000-0000-0000FC320000}"/>
    <cellStyle name="Remarque 2 2 4 4 7 6 2 2" xfId="57926" xr:uid="{00000000-0005-0000-0000-0000FD320000}"/>
    <cellStyle name="Remarque 2 2 4 4 7 6 3" xfId="21213" xr:uid="{00000000-0005-0000-0000-0000FE320000}"/>
    <cellStyle name="Remarque 2 2 4 4 7 6 4" xfId="45173" xr:uid="{00000000-0005-0000-0000-0000FF320000}"/>
    <cellStyle name="Remarque 2 2 4 4 7 7" xfId="11409" xr:uid="{00000000-0005-0000-0000-000000330000}"/>
    <cellStyle name="Remarque 2 2 4 4 7 7 2" xfId="35419" xr:uid="{00000000-0005-0000-0000-000001330000}"/>
    <cellStyle name="Remarque 2 2 4 4 7 7 2 2" xfId="59379" xr:uid="{00000000-0005-0000-0000-000002330000}"/>
    <cellStyle name="Remarque 2 2 4 4 7 7 3" xfId="22676" xr:uid="{00000000-0005-0000-0000-000003330000}"/>
    <cellStyle name="Remarque 2 2 4 4 7 7 4" xfId="46636" xr:uid="{00000000-0005-0000-0000-000004330000}"/>
    <cellStyle name="Remarque 2 2 4 4 7 8" xfId="12874" xr:uid="{00000000-0005-0000-0000-000005330000}"/>
    <cellStyle name="Remarque 2 2 4 4 7 8 2" xfId="24186" xr:uid="{00000000-0005-0000-0000-000006330000}"/>
    <cellStyle name="Remarque 2 2 4 4 7 8 3" xfId="48146" xr:uid="{00000000-0005-0000-0000-000007330000}"/>
    <cellStyle name="Remarque 2 2 4 4 7 9" xfId="2881" xr:uid="{00000000-0005-0000-0000-000008330000}"/>
    <cellStyle name="Remarque 2 2 4 4 7 9 2" xfId="26895" xr:uid="{00000000-0005-0000-0000-000009330000}"/>
    <cellStyle name="Remarque 2 2 4 4 7 9 3" xfId="50855" xr:uid="{00000000-0005-0000-0000-00000A330000}"/>
    <cellStyle name="Remarque 2 2 4 4 8" xfId="3300" xr:uid="{00000000-0005-0000-0000-00000B330000}"/>
    <cellStyle name="Remarque 2 2 4 4 8 2" xfId="27314" xr:uid="{00000000-0005-0000-0000-00000C330000}"/>
    <cellStyle name="Remarque 2 2 4 4 8 2 2" xfId="51274" xr:uid="{00000000-0005-0000-0000-00000D330000}"/>
    <cellStyle name="Remarque 2 2 4 4 8 3" xfId="14561" xr:uid="{00000000-0005-0000-0000-00000E330000}"/>
    <cellStyle name="Remarque 2 2 4 4 8 4" xfId="38521" xr:uid="{00000000-0005-0000-0000-00000F330000}"/>
    <cellStyle name="Remarque 2 2 4 4 9" xfId="4734" xr:uid="{00000000-0005-0000-0000-000010330000}"/>
    <cellStyle name="Remarque 2 2 4 4 9 2" xfId="28748" xr:uid="{00000000-0005-0000-0000-000011330000}"/>
    <cellStyle name="Remarque 2 2 4 4 9 2 2" xfId="52708" xr:uid="{00000000-0005-0000-0000-000012330000}"/>
    <cellStyle name="Remarque 2 2 4 4 9 3" xfId="15995" xr:uid="{00000000-0005-0000-0000-000013330000}"/>
    <cellStyle name="Remarque 2 2 4 4 9 4" xfId="39955" xr:uid="{00000000-0005-0000-0000-000014330000}"/>
    <cellStyle name="Remarque 2 2 4 5" xfId="132" xr:uid="{00000000-0005-0000-0000-000015330000}"/>
    <cellStyle name="Remarque 2 2 4 5 10" xfId="6104" xr:uid="{00000000-0005-0000-0000-000016330000}"/>
    <cellStyle name="Remarque 2 2 4 5 10 2" xfId="30118" xr:uid="{00000000-0005-0000-0000-000017330000}"/>
    <cellStyle name="Remarque 2 2 4 5 10 2 2" xfId="54078" xr:uid="{00000000-0005-0000-0000-000018330000}"/>
    <cellStyle name="Remarque 2 2 4 5 10 3" xfId="17365" xr:uid="{00000000-0005-0000-0000-000019330000}"/>
    <cellStyle name="Remarque 2 2 4 5 10 4" xfId="41325" xr:uid="{00000000-0005-0000-0000-00001A330000}"/>
    <cellStyle name="Remarque 2 2 4 5 11" xfId="7492" xr:uid="{00000000-0005-0000-0000-00001B330000}"/>
    <cellStyle name="Remarque 2 2 4 5 11 2" xfId="31506" xr:uid="{00000000-0005-0000-0000-00001C330000}"/>
    <cellStyle name="Remarque 2 2 4 5 11 2 2" xfId="55466" xr:uid="{00000000-0005-0000-0000-00001D330000}"/>
    <cellStyle name="Remarque 2 2 4 5 11 3" xfId="18753" xr:uid="{00000000-0005-0000-0000-00001E330000}"/>
    <cellStyle name="Remarque 2 2 4 5 11 4" xfId="42713" xr:uid="{00000000-0005-0000-0000-00001F330000}"/>
    <cellStyle name="Remarque 2 2 4 5 12" xfId="8877" xr:uid="{00000000-0005-0000-0000-000020330000}"/>
    <cellStyle name="Remarque 2 2 4 5 12 2" xfId="32891" xr:uid="{00000000-0005-0000-0000-000021330000}"/>
    <cellStyle name="Remarque 2 2 4 5 12 2 2" xfId="56851" xr:uid="{00000000-0005-0000-0000-000022330000}"/>
    <cellStyle name="Remarque 2 2 4 5 12 3" xfId="20138" xr:uid="{00000000-0005-0000-0000-000023330000}"/>
    <cellStyle name="Remarque 2 2 4 5 12 4" xfId="44098" xr:uid="{00000000-0005-0000-0000-000024330000}"/>
    <cellStyle name="Remarque 2 2 4 5 13" xfId="10334" xr:uid="{00000000-0005-0000-0000-000025330000}"/>
    <cellStyle name="Remarque 2 2 4 5 13 2" xfId="34344" xr:uid="{00000000-0005-0000-0000-000026330000}"/>
    <cellStyle name="Remarque 2 2 4 5 13 2 2" xfId="58304" xr:uid="{00000000-0005-0000-0000-000027330000}"/>
    <cellStyle name="Remarque 2 2 4 5 13 3" xfId="21601" xr:uid="{00000000-0005-0000-0000-000028330000}"/>
    <cellStyle name="Remarque 2 2 4 5 13 4" xfId="45561" xr:uid="{00000000-0005-0000-0000-000029330000}"/>
    <cellStyle name="Remarque 2 2 4 5 14" xfId="12062" xr:uid="{00000000-0005-0000-0000-00002A330000}"/>
    <cellStyle name="Remarque 2 2 4 5 14 2" xfId="23343" xr:uid="{00000000-0005-0000-0000-00002B330000}"/>
    <cellStyle name="Remarque 2 2 4 5 14 3" xfId="47303" xr:uid="{00000000-0005-0000-0000-00002C330000}"/>
    <cellStyle name="Remarque 2 2 4 5 15" xfId="1806" xr:uid="{00000000-0005-0000-0000-00002D330000}"/>
    <cellStyle name="Remarque 2 2 4 5 15 2" xfId="25820" xr:uid="{00000000-0005-0000-0000-00002E330000}"/>
    <cellStyle name="Remarque 2 2 4 5 15 3" xfId="49780" xr:uid="{00000000-0005-0000-0000-00002F330000}"/>
    <cellStyle name="Remarque 2 2 4 5 16" xfId="24402" xr:uid="{00000000-0005-0000-0000-000030330000}"/>
    <cellStyle name="Remarque 2 2 4 5 16 2" xfId="48362" xr:uid="{00000000-0005-0000-0000-000031330000}"/>
    <cellStyle name="Remarque 2 2 4 5 17" xfId="36114" xr:uid="{00000000-0005-0000-0000-000032330000}"/>
    <cellStyle name="Remarque 2 2 4 5 17 2" xfId="60074" xr:uid="{00000000-0005-0000-0000-000033330000}"/>
    <cellStyle name="Remarque 2 2 4 5 18" xfId="13067" xr:uid="{00000000-0005-0000-0000-000034330000}"/>
    <cellStyle name="Remarque 2 2 4 5 19" xfId="37027" xr:uid="{00000000-0005-0000-0000-000035330000}"/>
    <cellStyle name="Remarque 2 2 4 5 2" xfId="506" xr:uid="{00000000-0005-0000-0000-000036330000}"/>
    <cellStyle name="Remarque 2 2 4 5 2 10" xfId="24538" xr:uid="{00000000-0005-0000-0000-000037330000}"/>
    <cellStyle name="Remarque 2 2 4 5 2 10 2" xfId="48498" xr:uid="{00000000-0005-0000-0000-000038330000}"/>
    <cellStyle name="Remarque 2 2 4 5 2 11" xfId="36025" xr:uid="{00000000-0005-0000-0000-000039330000}"/>
    <cellStyle name="Remarque 2 2 4 5 2 11 2" xfId="59985" xr:uid="{00000000-0005-0000-0000-00003A330000}"/>
    <cellStyle name="Remarque 2 2 4 5 2 12" xfId="13203" xr:uid="{00000000-0005-0000-0000-00003B330000}"/>
    <cellStyle name="Remarque 2 2 4 5 2 13" xfId="37163" xr:uid="{00000000-0005-0000-0000-00003C330000}"/>
    <cellStyle name="Remarque 2 2 4 5 2 2" xfId="3412" xr:uid="{00000000-0005-0000-0000-00003D330000}"/>
    <cellStyle name="Remarque 2 2 4 5 2 2 2" xfId="27426" xr:uid="{00000000-0005-0000-0000-00003E330000}"/>
    <cellStyle name="Remarque 2 2 4 5 2 2 2 2" xfId="51386" xr:uid="{00000000-0005-0000-0000-00003F330000}"/>
    <cellStyle name="Remarque 2 2 4 5 2 2 3" xfId="14673" xr:uid="{00000000-0005-0000-0000-000040330000}"/>
    <cellStyle name="Remarque 2 2 4 5 2 2 4" xfId="38633" xr:uid="{00000000-0005-0000-0000-000041330000}"/>
    <cellStyle name="Remarque 2 2 4 5 2 3" xfId="4846" xr:uid="{00000000-0005-0000-0000-000042330000}"/>
    <cellStyle name="Remarque 2 2 4 5 2 3 2" xfId="28860" xr:uid="{00000000-0005-0000-0000-000043330000}"/>
    <cellStyle name="Remarque 2 2 4 5 2 3 2 2" xfId="52820" xr:uid="{00000000-0005-0000-0000-000044330000}"/>
    <cellStyle name="Remarque 2 2 4 5 2 3 3" xfId="16107" xr:uid="{00000000-0005-0000-0000-000045330000}"/>
    <cellStyle name="Remarque 2 2 4 5 2 3 4" xfId="40067" xr:uid="{00000000-0005-0000-0000-000046330000}"/>
    <cellStyle name="Remarque 2 2 4 5 2 4" xfId="6240" xr:uid="{00000000-0005-0000-0000-000047330000}"/>
    <cellStyle name="Remarque 2 2 4 5 2 4 2" xfId="30254" xr:uid="{00000000-0005-0000-0000-000048330000}"/>
    <cellStyle name="Remarque 2 2 4 5 2 4 2 2" xfId="54214" xr:uid="{00000000-0005-0000-0000-000049330000}"/>
    <cellStyle name="Remarque 2 2 4 5 2 4 3" xfId="17501" xr:uid="{00000000-0005-0000-0000-00004A330000}"/>
    <cellStyle name="Remarque 2 2 4 5 2 4 4" xfId="41461" xr:uid="{00000000-0005-0000-0000-00004B330000}"/>
    <cellStyle name="Remarque 2 2 4 5 2 5" xfId="7628" xr:uid="{00000000-0005-0000-0000-00004C330000}"/>
    <cellStyle name="Remarque 2 2 4 5 2 5 2" xfId="31642" xr:uid="{00000000-0005-0000-0000-00004D330000}"/>
    <cellStyle name="Remarque 2 2 4 5 2 5 2 2" xfId="55602" xr:uid="{00000000-0005-0000-0000-00004E330000}"/>
    <cellStyle name="Remarque 2 2 4 5 2 5 3" xfId="18889" xr:uid="{00000000-0005-0000-0000-00004F330000}"/>
    <cellStyle name="Remarque 2 2 4 5 2 5 4" xfId="42849" xr:uid="{00000000-0005-0000-0000-000050330000}"/>
    <cellStyle name="Remarque 2 2 4 5 2 6" xfId="9013" xr:uid="{00000000-0005-0000-0000-000051330000}"/>
    <cellStyle name="Remarque 2 2 4 5 2 6 2" xfId="33027" xr:uid="{00000000-0005-0000-0000-000052330000}"/>
    <cellStyle name="Remarque 2 2 4 5 2 6 2 2" xfId="56987" xr:uid="{00000000-0005-0000-0000-000053330000}"/>
    <cellStyle name="Remarque 2 2 4 5 2 6 3" xfId="20274" xr:uid="{00000000-0005-0000-0000-000054330000}"/>
    <cellStyle name="Remarque 2 2 4 5 2 6 4" xfId="44234" xr:uid="{00000000-0005-0000-0000-000055330000}"/>
    <cellStyle name="Remarque 2 2 4 5 2 7" xfId="10470" xr:uid="{00000000-0005-0000-0000-000056330000}"/>
    <cellStyle name="Remarque 2 2 4 5 2 7 2" xfId="34480" xr:uid="{00000000-0005-0000-0000-000057330000}"/>
    <cellStyle name="Remarque 2 2 4 5 2 7 2 2" xfId="58440" xr:uid="{00000000-0005-0000-0000-000058330000}"/>
    <cellStyle name="Remarque 2 2 4 5 2 7 3" xfId="21737" xr:uid="{00000000-0005-0000-0000-000059330000}"/>
    <cellStyle name="Remarque 2 2 4 5 2 7 4" xfId="45697" xr:uid="{00000000-0005-0000-0000-00005A330000}"/>
    <cellStyle name="Remarque 2 2 4 5 2 8" xfId="12570" xr:uid="{00000000-0005-0000-0000-00005B330000}"/>
    <cellStyle name="Remarque 2 2 4 5 2 8 2" xfId="23870" xr:uid="{00000000-0005-0000-0000-00005C330000}"/>
    <cellStyle name="Remarque 2 2 4 5 2 8 3" xfId="47830" xr:uid="{00000000-0005-0000-0000-00005D330000}"/>
    <cellStyle name="Remarque 2 2 4 5 2 9" xfId="1942" xr:uid="{00000000-0005-0000-0000-00005E330000}"/>
    <cellStyle name="Remarque 2 2 4 5 2 9 2" xfId="25956" xr:uid="{00000000-0005-0000-0000-00005F330000}"/>
    <cellStyle name="Remarque 2 2 4 5 2 9 3" xfId="49916" xr:uid="{00000000-0005-0000-0000-000060330000}"/>
    <cellStyle name="Remarque 2 2 4 5 20" xfId="370" xr:uid="{00000000-0005-0000-0000-000061330000}"/>
    <cellStyle name="Remarque 2 2 4 5 3" xfId="698" xr:uid="{00000000-0005-0000-0000-000062330000}"/>
    <cellStyle name="Remarque 2 2 4 5 3 10" xfId="24730" xr:uid="{00000000-0005-0000-0000-000063330000}"/>
    <cellStyle name="Remarque 2 2 4 5 3 10 2" xfId="48690" xr:uid="{00000000-0005-0000-0000-000064330000}"/>
    <cellStyle name="Remarque 2 2 4 5 3 11" xfId="24261" xr:uid="{00000000-0005-0000-0000-000065330000}"/>
    <cellStyle name="Remarque 2 2 4 5 3 11 2" xfId="48221" xr:uid="{00000000-0005-0000-0000-000066330000}"/>
    <cellStyle name="Remarque 2 2 4 5 3 12" xfId="13395" xr:uid="{00000000-0005-0000-0000-000067330000}"/>
    <cellStyle name="Remarque 2 2 4 5 3 13" xfId="37355" xr:uid="{00000000-0005-0000-0000-000068330000}"/>
    <cellStyle name="Remarque 2 2 4 5 3 2" xfId="3604" xr:uid="{00000000-0005-0000-0000-000069330000}"/>
    <cellStyle name="Remarque 2 2 4 5 3 2 2" xfId="27618" xr:uid="{00000000-0005-0000-0000-00006A330000}"/>
    <cellStyle name="Remarque 2 2 4 5 3 2 2 2" xfId="51578" xr:uid="{00000000-0005-0000-0000-00006B330000}"/>
    <cellStyle name="Remarque 2 2 4 5 3 2 3" xfId="14865" xr:uid="{00000000-0005-0000-0000-00006C330000}"/>
    <cellStyle name="Remarque 2 2 4 5 3 2 4" xfId="38825" xr:uid="{00000000-0005-0000-0000-00006D330000}"/>
    <cellStyle name="Remarque 2 2 4 5 3 3" xfId="5038" xr:uid="{00000000-0005-0000-0000-00006E330000}"/>
    <cellStyle name="Remarque 2 2 4 5 3 3 2" xfId="29052" xr:uid="{00000000-0005-0000-0000-00006F330000}"/>
    <cellStyle name="Remarque 2 2 4 5 3 3 2 2" xfId="53012" xr:uid="{00000000-0005-0000-0000-000070330000}"/>
    <cellStyle name="Remarque 2 2 4 5 3 3 3" xfId="16299" xr:uid="{00000000-0005-0000-0000-000071330000}"/>
    <cellStyle name="Remarque 2 2 4 5 3 3 4" xfId="40259" xr:uid="{00000000-0005-0000-0000-000072330000}"/>
    <cellStyle name="Remarque 2 2 4 5 3 4" xfId="6432" xr:uid="{00000000-0005-0000-0000-000073330000}"/>
    <cellStyle name="Remarque 2 2 4 5 3 4 2" xfId="30446" xr:uid="{00000000-0005-0000-0000-000074330000}"/>
    <cellStyle name="Remarque 2 2 4 5 3 4 2 2" xfId="54406" xr:uid="{00000000-0005-0000-0000-000075330000}"/>
    <cellStyle name="Remarque 2 2 4 5 3 4 3" xfId="17693" xr:uid="{00000000-0005-0000-0000-000076330000}"/>
    <cellStyle name="Remarque 2 2 4 5 3 4 4" xfId="41653" xr:uid="{00000000-0005-0000-0000-000077330000}"/>
    <cellStyle name="Remarque 2 2 4 5 3 5" xfId="7820" xr:uid="{00000000-0005-0000-0000-000078330000}"/>
    <cellStyle name="Remarque 2 2 4 5 3 5 2" xfId="31834" xr:uid="{00000000-0005-0000-0000-000079330000}"/>
    <cellStyle name="Remarque 2 2 4 5 3 5 2 2" xfId="55794" xr:uid="{00000000-0005-0000-0000-00007A330000}"/>
    <cellStyle name="Remarque 2 2 4 5 3 5 3" xfId="19081" xr:uid="{00000000-0005-0000-0000-00007B330000}"/>
    <cellStyle name="Remarque 2 2 4 5 3 5 4" xfId="43041" xr:uid="{00000000-0005-0000-0000-00007C330000}"/>
    <cellStyle name="Remarque 2 2 4 5 3 6" xfId="9205" xr:uid="{00000000-0005-0000-0000-00007D330000}"/>
    <cellStyle name="Remarque 2 2 4 5 3 6 2" xfId="33219" xr:uid="{00000000-0005-0000-0000-00007E330000}"/>
    <cellStyle name="Remarque 2 2 4 5 3 6 2 2" xfId="57179" xr:uid="{00000000-0005-0000-0000-00007F330000}"/>
    <cellStyle name="Remarque 2 2 4 5 3 6 3" xfId="20466" xr:uid="{00000000-0005-0000-0000-000080330000}"/>
    <cellStyle name="Remarque 2 2 4 5 3 6 4" xfId="44426" xr:uid="{00000000-0005-0000-0000-000081330000}"/>
    <cellStyle name="Remarque 2 2 4 5 3 7" xfId="10662" xr:uid="{00000000-0005-0000-0000-000082330000}"/>
    <cellStyle name="Remarque 2 2 4 5 3 7 2" xfId="34672" xr:uid="{00000000-0005-0000-0000-000083330000}"/>
    <cellStyle name="Remarque 2 2 4 5 3 7 2 2" xfId="58632" xr:uid="{00000000-0005-0000-0000-000084330000}"/>
    <cellStyle name="Remarque 2 2 4 5 3 7 3" xfId="21929" xr:uid="{00000000-0005-0000-0000-000085330000}"/>
    <cellStyle name="Remarque 2 2 4 5 3 7 4" xfId="45889" xr:uid="{00000000-0005-0000-0000-000086330000}"/>
    <cellStyle name="Remarque 2 2 4 5 3 8" xfId="11967" xr:uid="{00000000-0005-0000-0000-000087330000}"/>
    <cellStyle name="Remarque 2 2 4 5 3 8 2" xfId="23245" xr:uid="{00000000-0005-0000-0000-000088330000}"/>
    <cellStyle name="Remarque 2 2 4 5 3 8 3" xfId="47205" xr:uid="{00000000-0005-0000-0000-000089330000}"/>
    <cellStyle name="Remarque 2 2 4 5 3 9" xfId="2134" xr:uid="{00000000-0005-0000-0000-00008A330000}"/>
    <cellStyle name="Remarque 2 2 4 5 3 9 2" xfId="26148" xr:uid="{00000000-0005-0000-0000-00008B330000}"/>
    <cellStyle name="Remarque 2 2 4 5 3 9 3" xfId="50108" xr:uid="{00000000-0005-0000-0000-00008C330000}"/>
    <cellStyle name="Remarque 2 2 4 5 4" xfId="892" xr:uid="{00000000-0005-0000-0000-00008D330000}"/>
    <cellStyle name="Remarque 2 2 4 5 4 10" xfId="24924" xr:uid="{00000000-0005-0000-0000-00008E330000}"/>
    <cellStyle name="Remarque 2 2 4 5 4 10 2" xfId="48884" xr:uid="{00000000-0005-0000-0000-00008F330000}"/>
    <cellStyle name="Remarque 2 2 4 5 4 11" xfId="36275" xr:uid="{00000000-0005-0000-0000-000090330000}"/>
    <cellStyle name="Remarque 2 2 4 5 4 11 2" xfId="60235" xr:uid="{00000000-0005-0000-0000-000091330000}"/>
    <cellStyle name="Remarque 2 2 4 5 4 12" xfId="13589" xr:uid="{00000000-0005-0000-0000-000092330000}"/>
    <cellStyle name="Remarque 2 2 4 5 4 13" xfId="37549" xr:uid="{00000000-0005-0000-0000-000093330000}"/>
    <cellStyle name="Remarque 2 2 4 5 4 2" xfId="3798" xr:uid="{00000000-0005-0000-0000-000094330000}"/>
    <cellStyle name="Remarque 2 2 4 5 4 2 2" xfId="27812" xr:uid="{00000000-0005-0000-0000-000095330000}"/>
    <cellStyle name="Remarque 2 2 4 5 4 2 2 2" xfId="51772" xr:uid="{00000000-0005-0000-0000-000096330000}"/>
    <cellStyle name="Remarque 2 2 4 5 4 2 3" xfId="15059" xr:uid="{00000000-0005-0000-0000-000097330000}"/>
    <cellStyle name="Remarque 2 2 4 5 4 2 4" xfId="39019" xr:uid="{00000000-0005-0000-0000-000098330000}"/>
    <cellStyle name="Remarque 2 2 4 5 4 3" xfId="5232" xr:uid="{00000000-0005-0000-0000-000099330000}"/>
    <cellStyle name="Remarque 2 2 4 5 4 3 2" xfId="29246" xr:uid="{00000000-0005-0000-0000-00009A330000}"/>
    <cellStyle name="Remarque 2 2 4 5 4 3 2 2" xfId="53206" xr:uid="{00000000-0005-0000-0000-00009B330000}"/>
    <cellStyle name="Remarque 2 2 4 5 4 3 3" xfId="16493" xr:uid="{00000000-0005-0000-0000-00009C330000}"/>
    <cellStyle name="Remarque 2 2 4 5 4 3 4" xfId="40453" xr:uid="{00000000-0005-0000-0000-00009D330000}"/>
    <cellStyle name="Remarque 2 2 4 5 4 4" xfId="6626" xr:uid="{00000000-0005-0000-0000-00009E330000}"/>
    <cellStyle name="Remarque 2 2 4 5 4 4 2" xfId="30640" xr:uid="{00000000-0005-0000-0000-00009F330000}"/>
    <cellStyle name="Remarque 2 2 4 5 4 4 2 2" xfId="54600" xr:uid="{00000000-0005-0000-0000-0000A0330000}"/>
    <cellStyle name="Remarque 2 2 4 5 4 4 3" xfId="17887" xr:uid="{00000000-0005-0000-0000-0000A1330000}"/>
    <cellStyle name="Remarque 2 2 4 5 4 4 4" xfId="41847" xr:uid="{00000000-0005-0000-0000-0000A2330000}"/>
    <cellStyle name="Remarque 2 2 4 5 4 5" xfId="8014" xr:uid="{00000000-0005-0000-0000-0000A3330000}"/>
    <cellStyle name="Remarque 2 2 4 5 4 5 2" xfId="32028" xr:uid="{00000000-0005-0000-0000-0000A4330000}"/>
    <cellStyle name="Remarque 2 2 4 5 4 5 2 2" xfId="55988" xr:uid="{00000000-0005-0000-0000-0000A5330000}"/>
    <cellStyle name="Remarque 2 2 4 5 4 5 3" xfId="19275" xr:uid="{00000000-0005-0000-0000-0000A6330000}"/>
    <cellStyle name="Remarque 2 2 4 5 4 5 4" xfId="43235" xr:uid="{00000000-0005-0000-0000-0000A7330000}"/>
    <cellStyle name="Remarque 2 2 4 5 4 6" xfId="9399" xr:uid="{00000000-0005-0000-0000-0000A8330000}"/>
    <cellStyle name="Remarque 2 2 4 5 4 6 2" xfId="33413" xr:uid="{00000000-0005-0000-0000-0000A9330000}"/>
    <cellStyle name="Remarque 2 2 4 5 4 6 2 2" xfId="57373" xr:uid="{00000000-0005-0000-0000-0000AA330000}"/>
    <cellStyle name="Remarque 2 2 4 5 4 6 3" xfId="20660" xr:uid="{00000000-0005-0000-0000-0000AB330000}"/>
    <cellStyle name="Remarque 2 2 4 5 4 6 4" xfId="44620" xr:uid="{00000000-0005-0000-0000-0000AC330000}"/>
    <cellStyle name="Remarque 2 2 4 5 4 7" xfId="10856" xr:uid="{00000000-0005-0000-0000-0000AD330000}"/>
    <cellStyle name="Remarque 2 2 4 5 4 7 2" xfId="34866" xr:uid="{00000000-0005-0000-0000-0000AE330000}"/>
    <cellStyle name="Remarque 2 2 4 5 4 7 2 2" xfId="58826" xr:uid="{00000000-0005-0000-0000-0000AF330000}"/>
    <cellStyle name="Remarque 2 2 4 5 4 7 3" xfId="22123" xr:uid="{00000000-0005-0000-0000-0000B0330000}"/>
    <cellStyle name="Remarque 2 2 4 5 4 7 4" xfId="46083" xr:uid="{00000000-0005-0000-0000-0000B1330000}"/>
    <cellStyle name="Remarque 2 2 4 5 4 8" xfId="12136" xr:uid="{00000000-0005-0000-0000-0000B2330000}"/>
    <cellStyle name="Remarque 2 2 4 5 4 8 2" xfId="23419" xr:uid="{00000000-0005-0000-0000-0000B3330000}"/>
    <cellStyle name="Remarque 2 2 4 5 4 8 3" xfId="47379" xr:uid="{00000000-0005-0000-0000-0000B4330000}"/>
    <cellStyle name="Remarque 2 2 4 5 4 9" xfId="2328" xr:uid="{00000000-0005-0000-0000-0000B5330000}"/>
    <cellStyle name="Remarque 2 2 4 5 4 9 2" xfId="26342" xr:uid="{00000000-0005-0000-0000-0000B6330000}"/>
    <cellStyle name="Remarque 2 2 4 5 4 9 3" xfId="50302" xr:uid="{00000000-0005-0000-0000-0000B7330000}"/>
    <cellStyle name="Remarque 2 2 4 5 5" xfId="1085" xr:uid="{00000000-0005-0000-0000-0000B8330000}"/>
    <cellStyle name="Remarque 2 2 4 5 5 10" xfId="25117" xr:uid="{00000000-0005-0000-0000-0000B9330000}"/>
    <cellStyle name="Remarque 2 2 4 5 5 10 2" xfId="49077" xr:uid="{00000000-0005-0000-0000-0000BA330000}"/>
    <cellStyle name="Remarque 2 2 4 5 5 11" xfId="35832" xr:uid="{00000000-0005-0000-0000-0000BB330000}"/>
    <cellStyle name="Remarque 2 2 4 5 5 11 2" xfId="59792" xr:uid="{00000000-0005-0000-0000-0000BC330000}"/>
    <cellStyle name="Remarque 2 2 4 5 5 12" xfId="13782" xr:uid="{00000000-0005-0000-0000-0000BD330000}"/>
    <cellStyle name="Remarque 2 2 4 5 5 13" xfId="37742" xr:uid="{00000000-0005-0000-0000-0000BE330000}"/>
    <cellStyle name="Remarque 2 2 4 5 5 2" xfId="3991" xr:uid="{00000000-0005-0000-0000-0000BF330000}"/>
    <cellStyle name="Remarque 2 2 4 5 5 2 2" xfId="28005" xr:uid="{00000000-0005-0000-0000-0000C0330000}"/>
    <cellStyle name="Remarque 2 2 4 5 5 2 2 2" xfId="51965" xr:uid="{00000000-0005-0000-0000-0000C1330000}"/>
    <cellStyle name="Remarque 2 2 4 5 5 2 3" xfId="15252" xr:uid="{00000000-0005-0000-0000-0000C2330000}"/>
    <cellStyle name="Remarque 2 2 4 5 5 2 4" xfId="39212" xr:uid="{00000000-0005-0000-0000-0000C3330000}"/>
    <cellStyle name="Remarque 2 2 4 5 5 3" xfId="5425" xr:uid="{00000000-0005-0000-0000-0000C4330000}"/>
    <cellStyle name="Remarque 2 2 4 5 5 3 2" xfId="29439" xr:uid="{00000000-0005-0000-0000-0000C5330000}"/>
    <cellStyle name="Remarque 2 2 4 5 5 3 2 2" xfId="53399" xr:uid="{00000000-0005-0000-0000-0000C6330000}"/>
    <cellStyle name="Remarque 2 2 4 5 5 3 3" xfId="16686" xr:uid="{00000000-0005-0000-0000-0000C7330000}"/>
    <cellStyle name="Remarque 2 2 4 5 5 3 4" xfId="40646" xr:uid="{00000000-0005-0000-0000-0000C8330000}"/>
    <cellStyle name="Remarque 2 2 4 5 5 4" xfId="6819" xr:uid="{00000000-0005-0000-0000-0000C9330000}"/>
    <cellStyle name="Remarque 2 2 4 5 5 4 2" xfId="30833" xr:uid="{00000000-0005-0000-0000-0000CA330000}"/>
    <cellStyle name="Remarque 2 2 4 5 5 4 2 2" xfId="54793" xr:uid="{00000000-0005-0000-0000-0000CB330000}"/>
    <cellStyle name="Remarque 2 2 4 5 5 4 3" xfId="18080" xr:uid="{00000000-0005-0000-0000-0000CC330000}"/>
    <cellStyle name="Remarque 2 2 4 5 5 4 4" xfId="42040" xr:uid="{00000000-0005-0000-0000-0000CD330000}"/>
    <cellStyle name="Remarque 2 2 4 5 5 5" xfId="8207" xr:uid="{00000000-0005-0000-0000-0000CE330000}"/>
    <cellStyle name="Remarque 2 2 4 5 5 5 2" xfId="32221" xr:uid="{00000000-0005-0000-0000-0000CF330000}"/>
    <cellStyle name="Remarque 2 2 4 5 5 5 2 2" xfId="56181" xr:uid="{00000000-0005-0000-0000-0000D0330000}"/>
    <cellStyle name="Remarque 2 2 4 5 5 5 3" xfId="19468" xr:uid="{00000000-0005-0000-0000-0000D1330000}"/>
    <cellStyle name="Remarque 2 2 4 5 5 5 4" xfId="43428" xr:uid="{00000000-0005-0000-0000-0000D2330000}"/>
    <cellStyle name="Remarque 2 2 4 5 5 6" xfId="9592" xr:uid="{00000000-0005-0000-0000-0000D3330000}"/>
    <cellStyle name="Remarque 2 2 4 5 5 6 2" xfId="33606" xr:uid="{00000000-0005-0000-0000-0000D4330000}"/>
    <cellStyle name="Remarque 2 2 4 5 5 6 2 2" xfId="57566" xr:uid="{00000000-0005-0000-0000-0000D5330000}"/>
    <cellStyle name="Remarque 2 2 4 5 5 6 3" xfId="20853" xr:uid="{00000000-0005-0000-0000-0000D6330000}"/>
    <cellStyle name="Remarque 2 2 4 5 5 6 4" xfId="44813" xr:uid="{00000000-0005-0000-0000-0000D7330000}"/>
    <cellStyle name="Remarque 2 2 4 5 5 7" xfId="11049" xr:uid="{00000000-0005-0000-0000-0000D8330000}"/>
    <cellStyle name="Remarque 2 2 4 5 5 7 2" xfId="35059" xr:uid="{00000000-0005-0000-0000-0000D9330000}"/>
    <cellStyle name="Remarque 2 2 4 5 5 7 2 2" xfId="59019" xr:uid="{00000000-0005-0000-0000-0000DA330000}"/>
    <cellStyle name="Remarque 2 2 4 5 5 7 3" xfId="22316" xr:uid="{00000000-0005-0000-0000-0000DB330000}"/>
    <cellStyle name="Remarque 2 2 4 5 5 7 4" xfId="46276" xr:uid="{00000000-0005-0000-0000-0000DC330000}"/>
    <cellStyle name="Remarque 2 2 4 5 5 8" xfId="11936" xr:uid="{00000000-0005-0000-0000-0000DD330000}"/>
    <cellStyle name="Remarque 2 2 4 5 5 8 2" xfId="23214" xr:uid="{00000000-0005-0000-0000-0000DE330000}"/>
    <cellStyle name="Remarque 2 2 4 5 5 8 3" xfId="47174" xr:uid="{00000000-0005-0000-0000-0000DF330000}"/>
    <cellStyle name="Remarque 2 2 4 5 5 9" xfId="2521" xr:uid="{00000000-0005-0000-0000-0000E0330000}"/>
    <cellStyle name="Remarque 2 2 4 5 5 9 2" xfId="26535" xr:uid="{00000000-0005-0000-0000-0000E1330000}"/>
    <cellStyle name="Remarque 2 2 4 5 5 9 3" xfId="50495" xr:uid="{00000000-0005-0000-0000-0000E2330000}"/>
    <cellStyle name="Remarque 2 2 4 5 6" xfId="1252" xr:uid="{00000000-0005-0000-0000-0000E3330000}"/>
    <cellStyle name="Remarque 2 2 4 5 6 10" xfId="25284" xr:uid="{00000000-0005-0000-0000-0000E4330000}"/>
    <cellStyle name="Remarque 2 2 4 5 6 10 2" xfId="49244" xr:uid="{00000000-0005-0000-0000-0000E5330000}"/>
    <cellStyle name="Remarque 2 2 4 5 6 11" xfId="36355" xr:uid="{00000000-0005-0000-0000-0000E6330000}"/>
    <cellStyle name="Remarque 2 2 4 5 6 11 2" xfId="60315" xr:uid="{00000000-0005-0000-0000-0000E7330000}"/>
    <cellStyle name="Remarque 2 2 4 5 6 12" xfId="13949" xr:uid="{00000000-0005-0000-0000-0000E8330000}"/>
    <cellStyle name="Remarque 2 2 4 5 6 13" xfId="37909" xr:uid="{00000000-0005-0000-0000-0000E9330000}"/>
    <cellStyle name="Remarque 2 2 4 5 6 2" xfId="4158" xr:uid="{00000000-0005-0000-0000-0000EA330000}"/>
    <cellStyle name="Remarque 2 2 4 5 6 2 2" xfId="28172" xr:uid="{00000000-0005-0000-0000-0000EB330000}"/>
    <cellStyle name="Remarque 2 2 4 5 6 2 2 2" xfId="52132" xr:uid="{00000000-0005-0000-0000-0000EC330000}"/>
    <cellStyle name="Remarque 2 2 4 5 6 2 3" xfId="15419" xr:uid="{00000000-0005-0000-0000-0000ED330000}"/>
    <cellStyle name="Remarque 2 2 4 5 6 2 4" xfId="39379" xr:uid="{00000000-0005-0000-0000-0000EE330000}"/>
    <cellStyle name="Remarque 2 2 4 5 6 3" xfId="5592" xr:uid="{00000000-0005-0000-0000-0000EF330000}"/>
    <cellStyle name="Remarque 2 2 4 5 6 3 2" xfId="29606" xr:uid="{00000000-0005-0000-0000-0000F0330000}"/>
    <cellStyle name="Remarque 2 2 4 5 6 3 2 2" xfId="53566" xr:uid="{00000000-0005-0000-0000-0000F1330000}"/>
    <cellStyle name="Remarque 2 2 4 5 6 3 3" xfId="16853" xr:uid="{00000000-0005-0000-0000-0000F2330000}"/>
    <cellStyle name="Remarque 2 2 4 5 6 3 4" xfId="40813" xr:uid="{00000000-0005-0000-0000-0000F3330000}"/>
    <cellStyle name="Remarque 2 2 4 5 6 4" xfId="6986" xr:uid="{00000000-0005-0000-0000-0000F4330000}"/>
    <cellStyle name="Remarque 2 2 4 5 6 4 2" xfId="31000" xr:uid="{00000000-0005-0000-0000-0000F5330000}"/>
    <cellStyle name="Remarque 2 2 4 5 6 4 2 2" xfId="54960" xr:uid="{00000000-0005-0000-0000-0000F6330000}"/>
    <cellStyle name="Remarque 2 2 4 5 6 4 3" xfId="18247" xr:uid="{00000000-0005-0000-0000-0000F7330000}"/>
    <cellStyle name="Remarque 2 2 4 5 6 4 4" xfId="42207" xr:uid="{00000000-0005-0000-0000-0000F8330000}"/>
    <cellStyle name="Remarque 2 2 4 5 6 5" xfId="8374" xr:uid="{00000000-0005-0000-0000-0000F9330000}"/>
    <cellStyle name="Remarque 2 2 4 5 6 5 2" xfId="32388" xr:uid="{00000000-0005-0000-0000-0000FA330000}"/>
    <cellStyle name="Remarque 2 2 4 5 6 5 2 2" xfId="56348" xr:uid="{00000000-0005-0000-0000-0000FB330000}"/>
    <cellStyle name="Remarque 2 2 4 5 6 5 3" xfId="19635" xr:uid="{00000000-0005-0000-0000-0000FC330000}"/>
    <cellStyle name="Remarque 2 2 4 5 6 5 4" xfId="43595" xr:uid="{00000000-0005-0000-0000-0000FD330000}"/>
    <cellStyle name="Remarque 2 2 4 5 6 6" xfId="9759" xr:uid="{00000000-0005-0000-0000-0000FE330000}"/>
    <cellStyle name="Remarque 2 2 4 5 6 6 2" xfId="33773" xr:uid="{00000000-0005-0000-0000-0000FF330000}"/>
    <cellStyle name="Remarque 2 2 4 5 6 6 2 2" xfId="57733" xr:uid="{00000000-0005-0000-0000-000000340000}"/>
    <cellStyle name="Remarque 2 2 4 5 6 6 3" xfId="21020" xr:uid="{00000000-0005-0000-0000-000001340000}"/>
    <cellStyle name="Remarque 2 2 4 5 6 6 4" xfId="44980" xr:uid="{00000000-0005-0000-0000-000002340000}"/>
    <cellStyle name="Remarque 2 2 4 5 6 7" xfId="11216" xr:uid="{00000000-0005-0000-0000-000003340000}"/>
    <cellStyle name="Remarque 2 2 4 5 6 7 2" xfId="35226" xr:uid="{00000000-0005-0000-0000-000004340000}"/>
    <cellStyle name="Remarque 2 2 4 5 6 7 2 2" xfId="59186" xr:uid="{00000000-0005-0000-0000-000005340000}"/>
    <cellStyle name="Remarque 2 2 4 5 6 7 3" xfId="22483" xr:uid="{00000000-0005-0000-0000-000006340000}"/>
    <cellStyle name="Remarque 2 2 4 5 6 7 4" xfId="46443" xr:uid="{00000000-0005-0000-0000-000007340000}"/>
    <cellStyle name="Remarque 2 2 4 5 6 8" xfId="7365" xr:uid="{00000000-0005-0000-0000-000008340000}"/>
    <cellStyle name="Remarque 2 2 4 5 6 8 2" xfId="18626" xr:uid="{00000000-0005-0000-0000-000009340000}"/>
    <cellStyle name="Remarque 2 2 4 5 6 8 3" xfId="42586" xr:uid="{00000000-0005-0000-0000-00000A340000}"/>
    <cellStyle name="Remarque 2 2 4 5 6 9" xfId="2688" xr:uid="{00000000-0005-0000-0000-00000B340000}"/>
    <cellStyle name="Remarque 2 2 4 5 6 9 2" xfId="26702" xr:uid="{00000000-0005-0000-0000-00000C340000}"/>
    <cellStyle name="Remarque 2 2 4 5 6 9 3" xfId="50662" xr:uid="{00000000-0005-0000-0000-00000D340000}"/>
    <cellStyle name="Remarque 2 2 4 5 7" xfId="1421" xr:uid="{00000000-0005-0000-0000-00000E340000}"/>
    <cellStyle name="Remarque 2 2 4 5 7 10" xfId="25453" xr:uid="{00000000-0005-0000-0000-00000F340000}"/>
    <cellStyle name="Remarque 2 2 4 5 7 10 2" xfId="49413" xr:uid="{00000000-0005-0000-0000-000010340000}"/>
    <cellStyle name="Remarque 2 2 4 5 7 11" xfId="34138" xr:uid="{00000000-0005-0000-0000-000011340000}"/>
    <cellStyle name="Remarque 2 2 4 5 7 11 2" xfId="58098" xr:uid="{00000000-0005-0000-0000-000012340000}"/>
    <cellStyle name="Remarque 2 2 4 5 7 12" xfId="14118" xr:uid="{00000000-0005-0000-0000-000013340000}"/>
    <cellStyle name="Remarque 2 2 4 5 7 13" xfId="38078" xr:uid="{00000000-0005-0000-0000-000014340000}"/>
    <cellStyle name="Remarque 2 2 4 5 7 2" xfId="4327" xr:uid="{00000000-0005-0000-0000-000015340000}"/>
    <cellStyle name="Remarque 2 2 4 5 7 2 2" xfId="28341" xr:uid="{00000000-0005-0000-0000-000016340000}"/>
    <cellStyle name="Remarque 2 2 4 5 7 2 2 2" xfId="52301" xr:uid="{00000000-0005-0000-0000-000017340000}"/>
    <cellStyle name="Remarque 2 2 4 5 7 2 3" xfId="15588" xr:uid="{00000000-0005-0000-0000-000018340000}"/>
    <cellStyle name="Remarque 2 2 4 5 7 2 4" xfId="39548" xr:uid="{00000000-0005-0000-0000-000019340000}"/>
    <cellStyle name="Remarque 2 2 4 5 7 3" xfId="5761" xr:uid="{00000000-0005-0000-0000-00001A340000}"/>
    <cellStyle name="Remarque 2 2 4 5 7 3 2" xfId="29775" xr:uid="{00000000-0005-0000-0000-00001B340000}"/>
    <cellStyle name="Remarque 2 2 4 5 7 3 2 2" xfId="53735" xr:uid="{00000000-0005-0000-0000-00001C340000}"/>
    <cellStyle name="Remarque 2 2 4 5 7 3 3" xfId="17022" xr:uid="{00000000-0005-0000-0000-00001D340000}"/>
    <cellStyle name="Remarque 2 2 4 5 7 3 4" xfId="40982" xr:uid="{00000000-0005-0000-0000-00001E340000}"/>
    <cellStyle name="Remarque 2 2 4 5 7 4" xfId="7155" xr:uid="{00000000-0005-0000-0000-00001F340000}"/>
    <cellStyle name="Remarque 2 2 4 5 7 4 2" xfId="31169" xr:uid="{00000000-0005-0000-0000-000020340000}"/>
    <cellStyle name="Remarque 2 2 4 5 7 4 2 2" xfId="55129" xr:uid="{00000000-0005-0000-0000-000021340000}"/>
    <cellStyle name="Remarque 2 2 4 5 7 4 3" xfId="18416" xr:uid="{00000000-0005-0000-0000-000022340000}"/>
    <cellStyle name="Remarque 2 2 4 5 7 4 4" xfId="42376" xr:uid="{00000000-0005-0000-0000-000023340000}"/>
    <cellStyle name="Remarque 2 2 4 5 7 5" xfId="8543" xr:uid="{00000000-0005-0000-0000-000024340000}"/>
    <cellStyle name="Remarque 2 2 4 5 7 5 2" xfId="32557" xr:uid="{00000000-0005-0000-0000-000025340000}"/>
    <cellStyle name="Remarque 2 2 4 5 7 5 2 2" xfId="56517" xr:uid="{00000000-0005-0000-0000-000026340000}"/>
    <cellStyle name="Remarque 2 2 4 5 7 5 3" xfId="19804" xr:uid="{00000000-0005-0000-0000-000027340000}"/>
    <cellStyle name="Remarque 2 2 4 5 7 5 4" xfId="43764" xr:uid="{00000000-0005-0000-0000-000028340000}"/>
    <cellStyle name="Remarque 2 2 4 5 7 6" xfId="9928" xr:uid="{00000000-0005-0000-0000-000029340000}"/>
    <cellStyle name="Remarque 2 2 4 5 7 6 2" xfId="33942" xr:uid="{00000000-0005-0000-0000-00002A340000}"/>
    <cellStyle name="Remarque 2 2 4 5 7 6 2 2" xfId="57902" xr:uid="{00000000-0005-0000-0000-00002B340000}"/>
    <cellStyle name="Remarque 2 2 4 5 7 6 3" xfId="21189" xr:uid="{00000000-0005-0000-0000-00002C340000}"/>
    <cellStyle name="Remarque 2 2 4 5 7 6 4" xfId="45149" xr:uid="{00000000-0005-0000-0000-00002D340000}"/>
    <cellStyle name="Remarque 2 2 4 5 7 7" xfId="11385" xr:uid="{00000000-0005-0000-0000-00002E340000}"/>
    <cellStyle name="Remarque 2 2 4 5 7 7 2" xfId="35395" xr:uid="{00000000-0005-0000-0000-00002F340000}"/>
    <cellStyle name="Remarque 2 2 4 5 7 7 2 2" xfId="59355" xr:uid="{00000000-0005-0000-0000-000030340000}"/>
    <cellStyle name="Remarque 2 2 4 5 7 7 3" xfId="22652" xr:uid="{00000000-0005-0000-0000-000031340000}"/>
    <cellStyle name="Remarque 2 2 4 5 7 7 4" xfId="46612" xr:uid="{00000000-0005-0000-0000-000032340000}"/>
    <cellStyle name="Remarque 2 2 4 5 7 8" xfId="11903" xr:uid="{00000000-0005-0000-0000-000033340000}"/>
    <cellStyle name="Remarque 2 2 4 5 7 8 2" xfId="23180" xr:uid="{00000000-0005-0000-0000-000034340000}"/>
    <cellStyle name="Remarque 2 2 4 5 7 8 3" xfId="47140" xr:uid="{00000000-0005-0000-0000-000035340000}"/>
    <cellStyle name="Remarque 2 2 4 5 7 9" xfId="2857" xr:uid="{00000000-0005-0000-0000-000036340000}"/>
    <cellStyle name="Remarque 2 2 4 5 7 9 2" xfId="26871" xr:uid="{00000000-0005-0000-0000-000037340000}"/>
    <cellStyle name="Remarque 2 2 4 5 7 9 3" xfId="50831" xr:uid="{00000000-0005-0000-0000-000038340000}"/>
    <cellStyle name="Remarque 2 2 4 5 8" xfId="3276" xr:uid="{00000000-0005-0000-0000-000039340000}"/>
    <cellStyle name="Remarque 2 2 4 5 8 2" xfId="27290" xr:uid="{00000000-0005-0000-0000-00003A340000}"/>
    <cellStyle name="Remarque 2 2 4 5 8 2 2" xfId="51250" xr:uid="{00000000-0005-0000-0000-00003B340000}"/>
    <cellStyle name="Remarque 2 2 4 5 8 3" xfId="14537" xr:uid="{00000000-0005-0000-0000-00003C340000}"/>
    <cellStyle name="Remarque 2 2 4 5 8 4" xfId="38497" xr:uid="{00000000-0005-0000-0000-00003D340000}"/>
    <cellStyle name="Remarque 2 2 4 5 9" xfId="4710" xr:uid="{00000000-0005-0000-0000-00003E340000}"/>
    <cellStyle name="Remarque 2 2 4 5 9 2" xfId="28724" xr:uid="{00000000-0005-0000-0000-00003F340000}"/>
    <cellStyle name="Remarque 2 2 4 5 9 2 2" xfId="52684" xr:uid="{00000000-0005-0000-0000-000040340000}"/>
    <cellStyle name="Remarque 2 2 4 5 9 3" xfId="15971" xr:uid="{00000000-0005-0000-0000-000041340000}"/>
    <cellStyle name="Remarque 2 2 4 5 9 4" xfId="39931" xr:uid="{00000000-0005-0000-0000-000042340000}"/>
    <cellStyle name="Remarque 2 2 4 6" xfId="327" xr:uid="{00000000-0005-0000-0000-000043340000}"/>
    <cellStyle name="Remarque 2 2 4 6 10" xfId="24359" xr:uid="{00000000-0005-0000-0000-000044340000}"/>
    <cellStyle name="Remarque 2 2 4 6 10 2" xfId="48319" xr:uid="{00000000-0005-0000-0000-000045340000}"/>
    <cellStyle name="Remarque 2 2 4 6 11" xfId="36237" xr:uid="{00000000-0005-0000-0000-000046340000}"/>
    <cellStyle name="Remarque 2 2 4 6 11 2" xfId="60197" xr:uid="{00000000-0005-0000-0000-000047340000}"/>
    <cellStyle name="Remarque 2 2 4 6 12" xfId="13024" xr:uid="{00000000-0005-0000-0000-000048340000}"/>
    <cellStyle name="Remarque 2 2 4 6 13" xfId="36984" xr:uid="{00000000-0005-0000-0000-000049340000}"/>
    <cellStyle name="Remarque 2 2 4 6 2" xfId="3233" xr:uid="{00000000-0005-0000-0000-00004A340000}"/>
    <cellStyle name="Remarque 2 2 4 6 2 2" xfId="27247" xr:uid="{00000000-0005-0000-0000-00004B340000}"/>
    <cellStyle name="Remarque 2 2 4 6 2 2 2" xfId="51207" xr:uid="{00000000-0005-0000-0000-00004C340000}"/>
    <cellStyle name="Remarque 2 2 4 6 2 3" xfId="14494" xr:uid="{00000000-0005-0000-0000-00004D340000}"/>
    <cellStyle name="Remarque 2 2 4 6 2 4" xfId="38454" xr:uid="{00000000-0005-0000-0000-00004E340000}"/>
    <cellStyle name="Remarque 2 2 4 6 3" xfId="4667" xr:uid="{00000000-0005-0000-0000-00004F340000}"/>
    <cellStyle name="Remarque 2 2 4 6 3 2" xfId="28681" xr:uid="{00000000-0005-0000-0000-000050340000}"/>
    <cellStyle name="Remarque 2 2 4 6 3 2 2" xfId="52641" xr:uid="{00000000-0005-0000-0000-000051340000}"/>
    <cellStyle name="Remarque 2 2 4 6 3 3" xfId="15928" xr:uid="{00000000-0005-0000-0000-000052340000}"/>
    <cellStyle name="Remarque 2 2 4 6 3 4" xfId="39888" xr:uid="{00000000-0005-0000-0000-000053340000}"/>
    <cellStyle name="Remarque 2 2 4 6 4" xfId="6061" xr:uid="{00000000-0005-0000-0000-000054340000}"/>
    <cellStyle name="Remarque 2 2 4 6 4 2" xfId="30075" xr:uid="{00000000-0005-0000-0000-000055340000}"/>
    <cellStyle name="Remarque 2 2 4 6 4 2 2" xfId="54035" xr:uid="{00000000-0005-0000-0000-000056340000}"/>
    <cellStyle name="Remarque 2 2 4 6 4 3" xfId="17322" xr:uid="{00000000-0005-0000-0000-000057340000}"/>
    <cellStyle name="Remarque 2 2 4 6 4 4" xfId="41282" xr:uid="{00000000-0005-0000-0000-000058340000}"/>
    <cellStyle name="Remarque 2 2 4 6 5" xfId="7449" xr:uid="{00000000-0005-0000-0000-000059340000}"/>
    <cellStyle name="Remarque 2 2 4 6 5 2" xfId="31463" xr:uid="{00000000-0005-0000-0000-00005A340000}"/>
    <cellStyle name="Remarque 2 2 4 6 5 2 2" xfId="55423" xr:uid="{00000000-0005-0000-0000-00005B340000}"/>
    <cellStyle name="Remarque 2 2 4 6 5 3" xfId="18710" xr:uid="{00000000-0005-0000-0000-00005C340000}"/>
    <cellStyle name="Remarque 2 2 4 6 5 4" xfId="42670" xr:uid="{00000000-0005-0000-0000-00005D340000}"/>
    <cellStyle name="Remarque 2 2 4 6 6" xfId="8834" xr:uid="{00000000-0005-0000-0000-00005E340000}"/>
    <cellStyle name="Remarque 2 2 4 6 6 2" xfId="32848" xr:uid="{00000000-0005-0000-0000-00005F340000}"/>
    <cellStyle name="Remarque 2 2 4 6 6 2 2" xfId="56808" xr:uid="{00000000-0005-0000-0000-000060340000}"/>
    <cellStyle name="Remarque 2 2 4 6 6 3" xfId="20095" xr:uid="{00000000-0005-0000-0000-000061340000}"/>
    <cellStyle name="Remarque 2 2 4 6 6 4" xfId="44055" xr:uid="{00000000-0005-0000-0000-000062340000}"/>
    <cellStyle name="Remarque 2 2 4 6 7" xfId="10291" xr:uid="{00000000-0005-0000-0000-000063340000}"/>
    <cellStyle name="Remarque 2 2 4 6 7 2" xfId="34301" xr:uid="{00000000-0005-0000-0000-000064340000}"/>
    <cellStyle name="Remarque 2 2 4 6 7 2 2" xfId="58261" xr:uid="{00000000-0005-0000-0000-000065340000}"/>
    <cellStyle name="Remarque 2 2 4 6 7 3" xfId="21558" xr:uid="{00000000-0005-0000-0000-000066340000}"/>
    <cellStyle name="Remarque 2 2 4 6 7 4" xfId="45518" xr:uid="{00000000-0005-0000-0000-000067340000}"/>
    <cellStyle name="Remarque 2 2 4 6 8" xfId="12879" xr:uid="{00000000-0005-0000-0000-000068340000}"/>
    <cellStyle name="Remarque 2 2 4 6 8 2" xfId="24191" xr:uid="{00000000-0005-0000-0000-000069340000}"/>
    <cellStyle name="Remarque 2 2 4 6 8 3" xfId="48151" xr:uid="{00000000-0005-0000-0000-00006A340000}"/>
    <cellStyle name="Remarque 2 2 4 6 9" xfId="1763" xr:uid="{00000000-0005-0000-0000-00006B340000}"/>
    <cellStyle name="Remarque 2 2 4 6 9 2" xfId="25777" xr:uid="{00000000-0005-0000-0000-00006C340000}"/>
    <cellStyle name="Remarque 2 2 4 6 9 3" xfId="49737" xr:uid="{00000000-0005-0000-0000-00006D340000}"/>
    <cellStyle name="Remarque 2 2 4 7" xfId="627" xr:uid="{00000000-0005-0000-0000-00006E340000}"/>
    <cellStyle name="Remarque 2 2 4 7 10" xfId="24659" xr:uid="{00000000-0005-0000-0000-00006F340000}"/>
    <cellStyle name="Remarque 2 2 4 7 10 2" xfId="48619" xr:uid="{00000000-0005-0000-0000-000070340000}"/>
    <cellStyle name="Remarque 2 2 4 7 11" xfId="35840" xr:uid="{00000000-0005-0000-0000-000071340000}"/>
    <cellStyle name="Remarque 2 2 4 7 11 2" xfId="59800" xr:uid="{00000000-0005-0000-0000-000072340000}"/>
    <cellStyle name="Remarque 2 2 4 7 12" xfId="13324" xr:uid="{00000000-0005-0000-0000-000073340000}"/>
    <cellStyle name="Remarque 2 2 4 7 13" xfId="37284" xr:uid="{00000000-0005-0000-0000-000074340000}"/>
    <cellStyle name="Remarque 2 2 4 7 2" xfId="3533" xr:uid="{00000000-0005-0000-0000-000075340000}"/>
    <cellStyle name="Remarque 2 2 4 7 2 2" xfId="27547" xr:uid="{00000000-0005-0000-0000-000076340000}"/>
    <cellStyle name="Remarque 2 2 4 7 2 2 2" xfId="51507" xr:uid="{00000000-0005-0000-0000-000077340000}"/>
    <cellStyle name="Remarque 2 2 4 7 2 3" xfId="14794" xr:uid="{00000000-0005-0000-0000-000078340000}"/>
    <cellStyle name="Remarque 2 2 4 7 2 4" xfId="38754" xr:uid="{00000000-0005-0000-0000-000079340000}"/>
    <cellStyle name="Remarque 2 2 4 7 3" xfId="4967" xr:uid="{00000000-0005-0000-0000-00007A340000}"/>
    <cellStyle name="Remarque 2 2 4 7 3 2" xfId="28981" xr:uid="{00000000-0005-0000-0000-00007B340000}"/>
    <cellStyle name="Remarque 2 2 4 7 3 2 2" xfId="52941" xr:uid="{00000000-0005-0000-0000-00007C340000}"/>
    <cellStyle name="Remarque 2 2 4 7 3 3" xfId="16228" xr:uid="{00000000-0005-0000-0000-00007D340000}"/>
    <cellStyle name="Remarque 2 2 4 7 3 4" xfId="40188" xr:uid="{00000000-0005-0000-0000-00007E340000}"/>
    <cellStyle name="Remarque 2 2 4 7 4" xfId="6361" xr:uid="{00000000-0005-0000-0000-00007F340000}"/>
    <cellStyle name="Remarque 2 2 4 7 4 2" xfId="30375" xr:uid="{00000000-0005-0000-0000-000080340000}"/>
    <cellStyle name="Remarque 2 2 4 7 4 2 2" xfId="54335" xr:uid="{00000000-0005-0000-0000-000081340000}"/>
    <cellStyle name="Remarque 2 2 4 7 4 3" xfId="17622" xr:uid="{00000000-0005-0000-0000-000082340000}"/>
    <cellStyle name="Remarque 2 2 4 7 4 4" xfId="41582" xr:uid="{00000000-0005-0000-0000-000083340000}"/>
    <cellStyle name="Remarque 2 2 4 7 5" xfId="7749" xr:uid="{00000000-0005-0000-0000-000084340000}"/>
    <cellStyle name="Remarque 2 2 4 7 5 2" xfId="31763" xr:uid="{00000000-0005-0000-0000-000085340000}"/>
    <cellStyle name="Remarque 2 2 4 7 5 2 2" xfId="55723" xr:uid="{00000000-0005-0000-0000-000086340000}"/>
    <cellStyle name="Remarque 2 2 4 7 5 3" xfId="19010" xr:uid="{00000000-0005-0000-0000-000087340000}"/>
    <cellStyle name="Remarque 2 2 4 7 5 4" xfId="42970" xr:uid="{00000000-0005-0000-0000-000088340000}"/>
    <cellStyle name="Remarque 2 2 4 7 6" xfId="9134" xr:uid="{00000000-0005-0000-0000-000089340000}"/>
    <cellStyle name="Remarque 2 2 4 7 6 2" xfId="33148" xr:uid="{00000000-0005-0000-0000-00008A340000}"/>
    <cellStyle name="Remarque 2 2 4 7 6 2 2" xfId="57108" xr:uid="{00000000-0005-0000-0000-00008B340000}"/>
    <cellStyle name="Remarque 2 2 4 7 6 3" xfId="20395" xr:uid="{00000000-0005-0000-0000-00008C340000}"/>
    <cellStyle name="Remarque 2 2 4 7 6 4" xfId="44355" xr:uid="{00000000-0005-0000-0000-00008D340000}"/>
    <cellStyle name="Remarque 2 2 4 7 7" xfId="10591" xr:uid="{00000000-0005-0000-0000-00008E340000}"/>
    <cellStyle name="Remarque 2 2 4 7 7 2" xfId="34601" xr:uid="{00000000-0005-0000-0000-00008F340000}"/>
    <cellStyle name="Remarque 2 2 4 7 7 2 2" xfId="58561" xr:uid="{00000000-0005-0000-0000-000090340000}"/>
    <cellStyle name="Remarque 2 2 4 7 7 3" xfId="21858" xr:uid="{00000000-0005-0000-0000-000091340000}"/>
    <cellStyle name="Remarque 2 2 4 7 7 4" xfId="45818" xr:uid="{00000000-0005-0000-0000-000092340000}"/>
    <cellStyle name="Remarque 2 2 4 7 8" xfId="12763" xr:uid="{00000000-0005-0000-0000-000093340000}"/>
    <cellStyle name="Remarque 2 2 4 7 8 2" xfId="24070" xr:uid="{00000000-0005-0000-0000-000094340000}"/>
    <cellStyle name="Remarque 2 2 4 7 8 3" xfId="48030" xr:uid="{00000000-0005-0000-0000-000095340000}"/>
    <cellStyle name="Remarque 2 2 4 7 9" xfId="2063" xr:uid="{00000000-0005-0000-0000-000096340000}"/>
    <cellStyle name="Remarque 2 2 4 7 9 2" xfId="26077" xr:uid="{00000000-0005-0000-0000-000097340000}"/>
    <cellStyle name="Remarque 2 2 4 7 9 3" xfId="50037" xr:uid="{00000000-0005-0000-0000-000098340000}"/>
    <cellStyle name="Remarque 2 2 4 8" xfId="821" xr:uid="{00000000-0005-0000-0000-000099340000}"/>
    <cellStyle name="Remarque 2 2 4 8 10" xfId="24853" xr:uid="{00000000-0005-0000-0000-00009A340000}"/>
    <cellStyle name="Remarque 2 2 4 8 10 2" xfId="48813" xr:uid="{00000000-0005-0000-0000-00009B340000}"/>
    <cellStyle name="Remarque 2 2 4 8 11" xfId="35869" xr:uid="{00000000-0005-0000-0000-00009C340000}"/>
    <cellStyle name="Remarque 2 2 4 8 11 2" xfId="59829" xr:uid="{00000000-0005-0000-0000-00009D340000}"/>
    <cellStyle name="Remarque 2 2 4 8 12" xfId="13518" xr:uid="{00000000-0005-0000-0000-00009E340000}"/>
    <cellStyle name="Remarque 2 2 4 8 13" xfId="37478" xr:uid="{00000000-0005-0000-0000-00009F340000}"/>
    <cellStyle name="Remarque 2 2 4 8 2" xfId="3727" xr:uid="{00000000-0005-0000-0000-0000A0340000}"/>
    <cellStyle name="Remarque 2 2 4 8 2 2" xfId="27741" xr:uid="{00000000-0005-0000-0000-0000A1340000}"/>
    <cellStyle name="Remarque 2 2 4 8 2 2 2" xfId="51701" xr:uid="{00000000-0005-0000-0000-0000A2340000}"/>
    <cellStyle name="Remarque 2 2 4 8 2 3" xfId="14988" xr:uid="{00000000-0005-0000-0000-0000A3340000}"/>
    <cellStyle name="Remarque 2 2 4 8 2 4" xfId="38948" xr:uid="{00000000-0005-0000-0000-0000A4340000}"/>
    <cellStyle name="Remarque 2 2 4 8 3" xfId="5161" xr:uid="{00000000-0005-0000-0000-0000A5340000}"/>
    <cellStyle name="Remarque 2 2 4 8 3 2" xfId="29175" xr:uid="{00000000-0005-0000-0000-0000A6340000}"/>
    <cellStyle name="Remarque 2 2 4 8 3 2 2" xfId="53135" xr:uid="{00000000-0005-0000-0000-0000A7340000}"/>
    <cellStyle name="Remarque 2 2 4 8 3 3" xfId="16422" xr:uid="{00000000-0005-0000-0000-0000A8340000}"/>
    <cellStyle name="Remarque 2 2 4 8 3 4" xfId="40382" xr:uid="{00000000-0005-0000-0000-0000A9340000}"/>
    <cellStyle name="Remarque 2 2 4 8 4" xfId="6555" xr:uid="{00000000-0005-0000-0000-0000AA340000}"/>
    <cellStyle name="Remarque 2 2 4 8 4 2" xfId="30569" xr:uid="{00000000-0005-0000-0000-0000AB340000}"/>
    <cellStyle name="Remarque 2 2 4 8 4 2 2" xfId="54529" xr:uid="{00000000-0005-0000-0000-0000AC340000}"/>
    <cellStyle name="Remarque 2 2 4 8 4 3" xfId="17816" xr:uid="{00000000-0005-0000-0000-0000AD340000}"/>
    <cellStyle name="Remarque 2 2 4 8 4 4" xfId="41776" xr:uid="{00000000-0005-0000-0000-0000AE340000}"/>
    <cellStyle name="Remarque 2 2 4 8 5" xfId="7943" xr:uid="{00000000-0005-0000-0000-0000AF340000}"/>
    <cellStyle name="Remarque 2 2 4 8 5 2" xfId="31957" xr:uid="{00000000-0005-0000-0000-0000B0340000}"/>
    <cellStyle name="Remarque 2 2 4 8 5 2 2" xfId="55917" xr:uid="{00000000-0005-0000-0000-0000B1340000}"/>
    <cellStyle name="Remarque 2 2 4 8 5 3" xfId="19204" xr:uid="{00000000-0005-0000-0000-0000B2340000}"/>
    <cellStyle name="Remarque 2 2 4 8 5 4" xfId="43164" xr:uid="{00000000-0005-0000-0000-0000B3340000}"/>
    <cellStyle name="Remarque 2 2 4 8 6" xfId="9328" xr:uid="{00000000-0005-0000-0000-0000B4340000}"/>
    <cellStyle name="Remarque 2 2 4 8 6 2" xfId="33342" xr:uid="{00000000-0005-0000-0000-0000B5340000}"/>
    <cellStyle name="Remarque 2 2 4 8 6 2 2" xfId="57302" xr:uid="{00000000-0005-0000-0000-0000B6340000}"/>
    <cellStyle name="Remarque 2 2 4 8 6 3" xfId="20589" xr:uid="{00000000-0005-0000-0000-0000B7340000}"/>
    <cellStyle name="Remarque 2 2 4 8 6 4" xfId="44549" xr:uid="{00000000-0005-0000-0000-0000B8340000}"/>
    <cellStyle name="Remarque 2 2 4 8 7" xfId="10785" xr:uid="{00000000-0005-0000-0000-0000B9340000}"/>
    <cellStyle name="Remarque 2 2 4 8 7 2" xfId="34795" xr:uid="{00000000-0005-0000-0000-0000BA340000}"/>
    <cellStyle name="Remarque 2 2 4 8 7 2 2" xfId="58755" xr:uid="{00000000-0005-0000-0000-0000BB340000}"/>
    <cellStyle name="Remarque 2 2 4 8 7 3" xfId="22052" xr:uid="{00000000-0005-0000-0000-0000BC340000}"/>
    <cellStyle name="Remarque 2 2 4 8 7 4" xfId="46012" xr:uid="{00000000-0005-0000-0000-0000BD340000}"/>
    <cellStyle name="Remarque 2 2 4 8 8" xfId="12427" xr:uid="{00000000-0005-0000-0000-0000BE340000}"/>
    <cellStyle name="Remarque 2 2 4 8 8 2" xfId="23719" xr:uid="{00000000-0005-0000-0000-0000BF340000}"/>
    <cellStyle name="Remarque 2 2 4 8 8 3" xfId="47679" xr:uid="{00000000-0005-0000-0000-0000C0340000}"/>
    <cellStyle name="Remarque 2 2 4 8 9" xfId="2257" xr:uid="{00000000-0005-0000-0000-0000C1340000}"/>
    <cellStyle name="Remarque 2 2 4 8 9 2" xfId="26271" xr:uid="{00000000-0005-0000-0000-0000C2340000}"/>
    <cellStyle name="Remarque 2 2 4 8 9 3" xfId="50231" xr:uid="{00000000-0005-0000-0000-0000C3340000}"/>
    <cellStyle name="Remarque 2 2 4 9" xfId="1014" xr:uid="{00000000-0005-0000-0000-0000C4340000}"/>
    <cellStyle name="Remarque 2 2 4 9 10" xfId="25046" xr:uid="{00000000-0005-0000-0000-0000C5340000}"/>
    <cellStyle name="Remarque 2 2 4 9 10 2" xfId="49006" xr:uid="{00000000-0005-0000-0000-0000C6340000}"/>
    <cellStyle name="Remarque 2 2 4 9 11" xfId="36656" xr:uid="{00000000-0005-0000-0000-0000C7340000}"/>
    <cellStyle name="Remarque 2 2 4 9 11 2" xfId="60616" xr:uid="{00000000-0005-0000-0000-0000C8340000}"/>
    <cellStyle name="Remarque 2 2 4 9 12" xfId="13711" xr:uid="{00000000-0005-0000-0000-0000C9340000}"/>
    <cellStyle name="Remarque 2 2 4 9 13" xfId="37671" xr:uid="{00000000-0005-0000-0000-0000CA340000}"/>
    <cellStyle name="Remarque 2 2 4 9 2" xfId="3920" xr:uid="{00000000-0005-0000-0000-0000CB340000}"/>
    <cellStyle name="Remarque 2 2 4 9 2 2" xfId="27934" xr:uid="{00000000-0005-0000-0000-0000CC340000}"/>
    <cellStyle name="Remarque 2 2 4 9 2 2 2" xfId="51894" xr:uid="{00000000-0005-0000-0000-0000CD340000}"/>
    <cellStyle name="Remarque 2 2 4 9 2 3" xfId="15181" xr:uid="{00000000-0005-0000-0000-0000CE340000}"/>
    <cellStyle name="Remarque 2 2 4 9 2 4" xfId="39141" xr:uid="{00000000-0005-0000-0000-0000CF340000}"/>
    <cellStyle name="Remarque 2 2 4 9 3" xfId="5354" xr:uid="{00000000-0005-0000-0000-0000D0340000}"/>
    <cellStyle name="Remarque 2 2 4 9 3 2" xfId="29368" xr:uid="{00000000-0005-0000-0000-0000D1340000}"/>
    <cellStyle name="Remarque 2 2 4 9 3 2 2" xfId="53328" xr:uid="{00000000-0005-0000-0000-0000D2340000}"/>
    <cellStyle name="Remarque 2 2 4 9 3 3" xfId="16615" xr:uid="{00000000-0005-0000-0000-0000D3340000}"/>
    <cellStyle name="Remarque 2 2 4 9 3 4" xfId="40575" xr:uid="{00000000-0005-0000-0000-0000D4340000}"/>
    <cellStyle name="Remarque 2 2 4 9 4" xfId="6748" xr:uid="{00000000-0005-0000-0000-0000D5340000}"/>
    <cellStyle name="Remarque 2 2 4 9 4 2" xfId="30762" xr:uid="{00000000-0005-0000-0000-0000D6340000}"/>
    <cellStyle name="Remarque 2 2 4 9 4 2 2" xfId="54722" xr:uid="{00000000-0005-0000-0000-0000D7340000}"/>
    <cellStyle name="Remarque 2 2 4 9 4 3" xfId="18009" xr:uid="{00000000-0005-0000-0000-0000D8340000}"/>
    <cellStyle name="Remarque 2 2 4 9 4 4" xfId="41969" xr:uid="{00000000-0005-0000-0000-0000D9340000}"/>
    <cellStyle name="Remarque 2 2 4 9 5" xfId="8136" xr:uid="{00000000-0005-0000-0000-0000DA340000}"/>
    <cellStyle name="Remarque 2 2 4 9 5 2" xfId="32150" xr:uid="{00000000-0005-0000-0000-0000DB340000}"/>
    <cellStyle name="Remarque 2 2 4 9 5 2 2" xfId="56110" xr:uid="{00000000-0005-0000-0000-0000DC340000}"/>
    <cellStyle name="Remarque 2 2 4 9 5 3" xfId="19397" xr:uid="{00000000-0005-0000-0000-0000DD340000}"/>
    <cellStyle name="Remarque 2 2 4 9 5 4" xfId="43357" xr:uid="{00000000-0005-0000-0000-0000DE340000}"/>
    <cellStyle name="Remarque 2 2 4 9 6" xfId="9521" xr:uid="{00000000-0005-0000-0000-0000DF340000}"/>
    <cellStyle name="Remarque 2 2 4 9 6 2" xfId="33535" xr:uid="{00000000-0005-0000-0000-0000E0340000}"/>
    <cellStyle name="Remarque 2 2 4 9 6 2 2" xfId="57495" xr:uid="{00000000-0005-0000-0000-0000E1340000}"/>
    <cellStyle name="Remarque 2 2 4 9 6 3" xfId="20782" xr:uid="{00000000-0005-0000-0000-0000E2340000}"/>
    <cellStyle name="Remarque 2 2 4 9 6 4" xfId="44742" xr:uid="{00000000-0005-0000-0000-0000E3340000}"/>
    <cellStyle name="Remarque 2 2 4 9 7" xfId="10978" xr:uid="{00000000-0005-0000-0000-0000E4340000}"/>
    <cellStyle name="Remarque 2 2 4 9 7 2" xfId="34988" xr:uid="{00000000-0005-0000-0000-0000E5340000}"/>
    <cellStyle name="Remarque 2 2 4 9 7 2 2" xfId="58948" xr:uid="{00000000-0005-0000-0000-0000E6340000}"/>
    <cellStyle name="Remarque 2 2 4 9 7 3" xfId="22245" xr:uid="{00000000-0005-0000-0000-0000E7340000}"/>
    <cellStyle name="Remarque 2 2 4 9 7 4" xfId="46205" xr:uid="{00000000-0005-0000-0000-0000E8340000}"/>
    <cellStyle name="Remarque 2 2 4 9 8" xfId="11679" xr:uid="{00000000-0005-0000-0000-0000E9340000}"/>
    <cellStyle name="Remarque 2 2 4 9 8 2" xfId="22948" xr:uid="{00000000-0005-0000-0000-0000EA340000}"/>
    <cellStyle name="Remarque 2 2 4 9 8 3" xfId="46908" xr:uid="{00000000-0005-0000-0000-0000EB340000}"/>
    <cellStyle name="Remarque 2 2 4 9 9" xfId="2450" xr:uid="{00000000-0005-0000-0000-0000EC340000}"/>
    <cellStyle name="Remarque 2 2 4 9 9 2" xfId="26464" xr:uid="{00000000-0005-0000-0000-0000ED340000}"/>
    <cellStyle name="Remarque 2 2 4 9 9 3" xfId="50424" xr:uid="{00000000-0005-0000-0000-0000EE340000}"/>
    <cellStyle name="Remarque 2 2 5" xfId="53" xr:uid="{00000000-0005-0000-0000-0000EF340000}"/>
    <cellStyle name="Remarque 2 2 5 10" xfId="1197" xr:uid="{00000000-0005-0000-0000-0000F0340000}"/>
    <cellStyle name="Remarque 2 2 5 10 10" xfId="25229" xr:uid="{00000000-0005-0000-0000-0000F1340000}"/>
    <cellStyle name="Remarque 2 2 5 10 10 2" xfId="49189" xr:uid="{00000000-0005-0000-0000-0000F2340000}"/>
    <cellStyle name="Remarque 2 2 5 10 11" xfId="36681" xr:uid="{00000000-0005-0000-0000-0000F3340000}"/>
    <cellStyle name="Remarque 2 2 5 10 11 2" xfId="60641" xr:uid="{00000000-0005-0000-0000-0000F4340000}"/>
    <cellStyle name="Remarque 2 2 5 10 12" xfId="13894" xr:uid="{00000000-0005-0000-0000-0000F5340000}"/>
    <cellStyle name="Remarque 2 2 5 10 13" xfId="37854" xr:uid="{00000000-0005-0000-0000-0000F6340000}"/>
    <cellStyle name="Remarque 2 2 5 10 2" xfId="4103" xr:uid="{00000000-0005-0000-0000-0000F7340000}"/>
    <cellStyle name="Remarque 2 2 5 10 2 2" xfId="28117" xr:uid="{00000000-0005-0000-0000-0000F8340000}"/>
    <cellStyle name="Remarque 2 2 5 10 2 2 2" xfId="52077" xr:uid="{00000000-0005-0000-0000-0000F9340000}"/>
    <cellStyle name="Remarque 2 2 5 10 2 3" xfId="15364" xr:uid="{00000000-0005-0000-0000-0000FA340000}"/>
    <cellStyle name="Remarque 2 2 5 10 2 4" xfId="39324" xr:uid="{00000000-0005-0000-0000-0000FB340000}"/>
    <cellStyle name="Remarque 2 2 5 10 3" xfId="5537" xr:uid="{00000000-0005-0000-0000-0000FC340000}"/>
    <cellStyle name="Remarque 2 2 5 10 3 2" xfId="29551" xr:uid="{00000000-0005-0000-0000-0000FD340000}"/>
    <cellStyle name="Remarque 2 2 5 10 3 2 2" xfId="53511" xr:uid="{00000000-0005-0000-0000-0000FE340000}"/>
    <cellStyle name="Remarque 2 2 5 10 3 3" xfId="16798" xr:uid="{00000000-0005-0000-0000-0000FF340000}"/>
    <cellStyle name="Remarque 2 2 5 10 3 4" xfId="40758" xr:uid="{00000000-0005-0000-0000-000000350000}"/>
    <cellStyle name="Remarque 2 2 5 10 4" xfId="6931" xr:uid="{00000000-0005-0000-0000-000001350000}"/>
    <cellStyle name="Remarque 2 2 5 10 4 2" xfId="30945" xr:uid="{00000000-0005-0000-0000-000002350000}"/>
    <cellStyle name="Remarque 2 2 5 10 4 2 2" xfId="54905" xr:uid="{00000000-0005-0000-0000-000003350000}"/>
    <cellStyle name="Remarque 2 2 5 10 4 3" xfId="18192" xr:uid="{00000000-0005-0000-0000-000004350000}"/>
    <cellStyle name="Remarque 2 2 5 10 4 4" xfId="42152" xr:uid="{00000000-0005-0000-0000-000005350000}"/>
    <cellStyle name="Remarque 2 2 5 10 5" xfId="8319" xr:uid="{00000000-0005-0000-0000-000006350000}"/>
    <cellStyle name="Remarque 2 2 5 10 5 2" xfId="32333" xr:uid="{00000000-0005-0000-0000-000007350000}"/>
    <cellStyle name="Remarque 2 2 5 10 5 2 2" xfId="56293" xr:uid="{00000000-0005-0000-0000-000008350000}"/>
    <cellStyle name="Remarque 2 2 5 10 5 3" xfId="19580" xr:uid="{00000000-0005-0000-0000-000009350000}"/>
    <cellStyle name="Remarque 2 2 5 10 5 4" xfId="43540" xr:uid="{00000000-0005-0000-0000-00000A350000}"/>
    <cellStyle name="Remarque 2 2 5 10 6" xfId="9704" xr:uid="{00000000-0005-0000-0000-00000B350000}"/>
    <cellStyle name="Remarque 2 2 5 10 6 2" xfId="33718" xr:uid="{00000000-0005-0000-0000-00000C350000}"/>
    <cellStyle name="Remarque 2 2 5 10 6 2 2" xfId="57678" xr:uid="{00000000-0005-0000-0000-00000D350000}"/>
    <cellStyle name="Remarque 2 2 5 10 6 3" xfId="20965" xr:uid="{00000000-0005-0000-0000-00000E350000}"/>
    <cellStyle name="Remarque 2 2 5 10 6 4" xfId="44925" xr:uid="{00000000-0005-0000-0000-00000F350000}"/>
    <cellStyle name="Remarque 2 2 5 10 7" xfId="11161" xr:uid="{00000000-0005-0000-0000-000010350000}"/>
    <cellStyle name="Remarque 2 2 5 10 7 2" xfId="35171" xr:uid="{00000000-0005-0000-0000-000011350000}"/>
    <cellStyle name="Remarque 2 2 5 10 7 2 2" xfId="59131" xr:uid="{00000000-0005-0000-0000-000012350000}"/>
    <cellStyle name="Remarque 2 2 5 10 7 3" xfId="22428" xr:uid="{00000000-0005-0000-0000-000013350000}"/>
    <cellStyle name="Remarque 2 2 5 10 7 4" xfId="46388" xr:uid="{00000000-0005-0000-0000-000014350000}"/>
    <cellStyle name="Remarque 2 2 5 10 8" xfId="12065" xr:uid="{00000000-0005-0000-0000-000015350000}"/>
    <cellStyle name="Remarque 2 2 5 10 8 2" xfId="23346" xr:uid="{00000000-0005-0000-0000-000016350000}"/>
    <cellStyle name="Remarque 2 2 5 10 8 3" xfId="47306" xr:uid="{00000000-0005-0000-0000-000017350000}"/>
    <cellStyle name="Remarque 2 2 5 10 9" xfId="2633" xr:uid="{00000000-0005-0000-0000-000018350000}"/>
    <cellStyle name="Remarque 2 2 5 10 9 2" xfId="26647" xr:uid="{00000000-0005-0000-0000-000019350000}"/>
    <cellStyle name="Remarque 2 2 5 10 9 3" xfId="50607" xr:uid="{00000000-0005-0000-0000-00001A350000}"/>
    <cellStyle name="Remarque 2 2 5 11" xfId="293" xr:uid="{00000000-0005-0000-0000-00001B350000}"/>
    <cellStyle name="Remarque 2 2 5 11 10" xfId="24325" xr:uid="{00000000-0005-0000-0000-00001C350000}"/>
    <cellStyle name="Remarque 2 2 5 11 10 2" xfId="48285" xr:uid="{00000000-0005-0000-0000-00001D350000}"/>
    <cellStyle name="Remarque 2 2 5 11 11" xfId="36819" xr:uid="{00000000-0005-0000-0000-00001E350000}"/>
    <cellStyle name="Remarque 2 2 5 11 11 2" xfId="60779" xr:uid="{00000000-0005-0000-0000-00001F350000}"/>
    <cellStyle name="Remarque 2 2 5 11 12" xfId="12990" xr:uid="{00000000-0005-0000-0000-000020350000}"/>
    <cellStyle name="Remarque 2 2 5 11 13" xfId="36950" xr:uid="{00000000-0005-0000-0000-000021350000}"/>
    <cellStyle name="Remarque 2 2 5 11 2" xfId="3199" xr:uid="{00000000-0005-0000-0000-000022350000}"/>
    <cellStyle name="Remarque 2 2 5 11 2 2" xfId="27213" xr:uid="{00000000-0005-0000-0000-000023350000}"/>
    <cellStyle name="Remarque 2 2 5 11 2 2 2" xfId="51173" xr:uid="{00000000-0005-0000-0000-000024350000}"/>
    <cellStyle name="Remarque 2 2 5 11 2 3" xfId="14460" xr:uid="{00000000-0005-0000-0000-000025350000}"/>
    <cellStyle name="Remarque 2 2 5 11 2 4" xfId="38420" xr:uid="{00000000-0005-0000-0000-000026350000}"/>
    <cellStyle name="Remarque 2 2 5 11 3" xfId="4633" xr:uid="{00000000-0005-0000-0000-000027350000}"/>
    <cellStyle name="Remarque 2 2 5 11 3 2" xfId="28647" xr:uid="{00000000-0005-0000-0000-000028350000}"/>
    <cellStyle name="Remarque 2 2 5 11 3 2 2" xfId="52607" xr:uid="{00000000-0005-0000-0000-000029350000}"/>
    <cellStyle name="Remarque 2 2 5 11 3 3" xfId="15894" xr:uid="{00000000-0005-0000-0000-00002A350000}"/>
    <cellStyle name="Remarque 2 2 5 11 3 4" xfId="39854" xr:uid="{00000000-0005-0000-0000-00002B350000}"/>
    <cellStyle name="Remarque 2 2 5 11 4" xfId="6027" xr:uid="{00000000-0005-0000-0000-00002C350000}"/>
    <cellStyle name="Remarque 2 2 5 11 4 2" xfId="30041" xr:uid="{00000000-0005-0000-0000-00002D350000}"/>
    <cellStyle name="Remarque 2 2 5 11 4 2 2" xfId="54001" xr:uid="{00000000-0005-0000-0000-00002E350000}"/>
    <cellStyle name="Remarque 2 2 5 11 4 3" xfId="17288" xr:uid="{00000000-0005-0000-0000-00002F350000}"/>
    <cellStyle name="Remarque 2 2 5 11 4 4" xfId="41248" xr:uid="{00000000-0005-0000-0000-000030350000}"/>
    <cellStyle name="Remarque 2 2 5 11 5" xfId="7415" xr:uid="{00000000-0005-0000-0000-000031350000}"/>
    <cellStyle name="Remarque 2 2 5 11 5 2" xfId="31429" xr:uid="{00000000-0005-0000-0000-000032350000}"/>
    <cellStyle name="Remarque 2 2 5 11 5 2 2" xfId="55389" xr:uid="{00000000-0005-0000-0000-000033350000}"/>
    <cellStyle name="Remarque 2 2 5 11 5 3" xfId="18676" xr:uid="{00000000-0005-0000-0000-000034350000}"/>
    <cellStyle name="Remarque 2 2 5 11 5 4" xfId="42636" xr:uid="{00000000-0005-0000-0000-000035350000}"/>
    <cellStyle name="Remarque 2 2 5 11 6" xfId="8800" xr:uid="{00000000-0005-0000-0000-000036350000}"/>
    <cellStyle name="Remarque 2 2 5 11 6 2" xfId="32814" xr:uid="{00000000-0005-0000-0000-000037350000}"/>
    <cellStyle name="Remarque 2 2 5 11 6 2 2" xfId="56774" xr:uid="{00000000-0005-0000-0000-000038350000}"/>
    <cellStyle name="Remarque 2 2 5 11 6 3" xfId="20061" xr:uid="{00000000-0005-0000-0000-000039350000}"/>
    <cellStyle name="Remarque 2 2 5 11 6 4" xfId="44021" xr:uid="{00000000-0005-0000-0000-00003A350000}"/>
    <cellStyle name="Remarque 2 2 5 11 7" xfId="10257" xr:uid="{00000000-0005-0000-0000-00003B350000}"/>
    <cellStyle name="Remarque 2 2 5 11 7 2" xfId="34267" xr:uid="{00000000-0005-0000-0000-00003C350000}"/>
    <cellStyle name="Remarque 2 2 5 11 7 2 2" xfId="58227" xr:uid="{00000000-0005-0000-0000-00003D350000}"/>
    <cellStyle name="Remarque 2 2 5 11 7 3" xfId="21524" xr:uid="{00000000-0005-0000-0000-00003E350000}"/>
    <cellStyle name="Remarque 2 2 5 11 7 4" xfId="45484" xr:uid="{00000000-0005-0000-0000-00003F350000}"/>
    <cellStyle name="Remarque 2 2 5 11 8" xfId="11988" xr:uid="{00000000-0005-0000-0000-000040350000}"/>
    <cellStyle name="Remarque 2 2 5 11 8 2" xfId="23267" xr:uid="{00000000-0005-0000-0000-000041350000}"/>
    <cellStyle name="Remarque 2 2 5 11 8 3" xfId="47227" xr:uid="{00000000-0005-0000-0000-000042350000}"/>
    <cellStyle name="Remarque 2 2 5 11 9" xfId="1729" xr:uid="{00000000-0005-0000-0000-000043350000}"/>
    <cellStyle name="Remarque 2 2 5 11 9 2" xfId="25743" xr:uid="{00000000-0005-0000-0000-000044350000}"/>
    <cellStyle name="Remarque 2 2 5 11 9 3" xfId="49703" xr:uid="{00000000-0005-0000-0000-000045350000}"/>
    <cellStyle name="Remarque 2 2 5 12" xfId="1558" xr:uid="{00000000-0005-0000-0000-000046350000}"/>
    <cellStyle name="Remarque 2 2 5 12 10" xfId="25590" xr:uid="{00000000-0005-0000-0000-000047350000}"/>
    <cellStyle name="Remarque 2 2 5 12 10 2" xfId="49550" xr:uid="{00000000-0005-0000-0000-000048350000}"/>
    <cellStyle name="Remarque 2 2 5 12 11" xfId="36092" xr:uid="{00000000-0005-0000-0000-000049350000}"/>
    <cellStyle name="Remarque 2 2 5 12 11 2" xfId="60052" xr:uid="{00000000-0005-0000-0000-00004A350000}"/>
    <cellStyle name="Remarque 2 2 5 12 12" xfId="14255" xr:uid="{00000000-0005-0000-0000-00004B350000}"/>
    <cellStyle name="Remarque 2 2 5 12 13" xfId="38215" xr:uid="{00000000-0005-0000-0000-00004C350000}"/>
    <cellStyle name="Remarque 2 2 5 12 2" xfId="4464" xr:uid="{00000000-0005-0000-0000-00004D350000}"/>
    <cellStyle name="Remarque 2 2 5 12 2 2" xfId="28478" xr:uid="{00000000-0005-0000-0000-00004E350000}"/>
    <cellStyle name="Remarque 2 2 5 12 2 2 2" xfId="52438" xr:uid="{00000000-0005-0000-0000-00004F350000}"/>
    <cellStyle name="Remarque 2 2 5 12 2 3" xfId="15725" xr:uid="{00000000-0005-0000-0000-000050350000}"/>
    <cellStyle name="Remarque 2 2 5 12 2 4" xfId="39685" xr:uid="{00000000-0005-0000-0000-000051350000}"/>
    <cellStyle name="Remarque 2 2 5 12 3" xfId="5898" xr:uid="{00000000-0005-0000-0000-000052350000}"/>
    <cellStyle name="Remarque 2 2 5 12 3 2" xfId="29912" xr:uid="{00000000-0005-0000-0000-000053350000}"/>
    <cellStyle name="Remarque 2 2 5 12 3 2 2" xfId="53872" xr:uid="{00000000-0005-0000-0000-000054350000}"/>
    <cellStyle name="Remarque 2 2 5 12 3 3" xfId="17159" xr:uid="{00000000-0005-0000-0000-000055350000}"/>
    <cellStyle name="Remarque 2 2 5 12 3 4" xfId="41119" xr:uid="{00000000-0005-0000-0000-000056350000}"/>
    <cellStyle name="Remarque 2 2 5 12 4" xfId="7292" xr:uid="{00000000-0005-0000-0000-000057350000}"/>
    <cellStyle name="Remarque 2 2 5 12 4 2" xfId="31306" xr:uid="{00000000-0005-0000-0000-000058350000}"/>
    <cellStyle name="Remarque 2 2 5 12 4 2 2" xfId="55266" xr:uid="{00000000-0005-0000-0000-000059350000}"/>
    <cellStyle name="Remarque 2 2 5 12 4 3" xfId="18553" xr:uid="{00000000-0005-0000-0000-00005A350000}"/>
    <cellStyle name="Remarque 2 2 5 12 4 4" xfId="42513" xr:uid="{00000000-0005-0000-0000-00005B350000}"/>
    <cellStyle name="Remarque 2 2 5 12 5" xfId="8680" xr:uid="{00000000-0005-0000-0000-00005C350000}"/>
    <cellStyle name="Remarque 2 2 5 12 5 2" xfId="32694" xr:uid="{00000000-0005-0000-0000-00005D350000}"/>
    <cellStyle name="Remarque 2 2 5 12 5 2 2" xfId="56654" xr:uid="{00000000-0005-0000-0000-00005E350000}"/>
    <cellStyle name="Remarque 2 2 5 12 5 3" xfId="19941" xr:uid="{00000000-0005-0000-0000-00005F350000}"/>
    <cellStyle name="Remarque 2 2 5 12 5 4" xfId="43901" xr:uid="{00000000-0005-0000-0000-000060350000}"/>
    <cellStyle name="Remarque 2 2 5 12 6" xfId="10065" xr:uid="{00000000-0005-0000-0000-000061350000}"/>
    <cellStyle name="Remarque 2 2 5 12 6 2" xfId="34079" xr:uid="{00000000-0005-0000-0000-000062350000}"/>
    <cellStyle name="Remarque 2 2 5 12 6 2 2" xfId="58039" xr:uid="{00000000-0005-0000-0000-000063350000}"/>
    <cellStyle name="Remarque 2 2 5 12 6 3" xfId="21326" xr:uid="{00000000-0005-0000-0000-000064350000}"/>
    <cellStyle name="Remarque 2 2 5 12 6 4" xfId="45286" xr:uid="{00000000-0005-0000-0000-000065350000}"/>
    <cellStyle name="Remarque 2 2 5 12 7" xfId="11522" xr:uid="{00000000-0005-0000-0000-000066350000}"/>
    <cellStyle name="Remarque 2 2 5 12 7 2" xfId="35532" xr:uid="{00000000-0005-0000-0000-000067350000}"/>
    <cellStyle name="Remarque 2 2 5 12 7 2 2" xfId="59492" xr:uid="{00000000-0005-0000-0000-000068350000}"/>
    <cellStyle name="Remarque 2 2 5 12 7 3" xfId="22789" xr:uid="{00000000-0005-0000-0000-000069350000}"/>
    <cellStyle name="Remarque 2 2 5 12 7 4" xfId="46749" xr:uid="{00000000-0005-0000-0000-00006A350000}"/>
    <cellStyle name="Remarque 2 2 5 12 8" xfId="12902" xr:uid="{00000000-0005-0000-0000-00006B350000}"/>
    <cellStyle name="Remarque 2 2 5 12 8 2" xfId="24215" xr:uid="{00000000-0005-0000-0000-00006C350000}"/>
    <cellStyle name="Remarque 2 2 5 12 8 3" xfId="48175" xr:uid="{00000000-0005-0000-0000-00006D350000}"/>
    <cellStyle name="Remarque 2 2 5 12 9" xfId="2994" xr:uid="{00000000-0005-0000-0000-00006E350000}"/>
    <cellStyle name="Remarque 2 2 5 12 9 2" xfId="27008" xr:uid="{00000000-0005-0000-0000-00006F350000}"/>
    <cellStyle name="Remarque 2 2 5 12 9 3" xfId="50968" xr:uid="{00000000-0005-0000-0000-000070350000}"/>
    <cellStyle name="Remarque 2 2 5 13" xfId="201" xr:uid="{00000000-0005-0000-0000-000071350000}"/>
    <cellStyle name="Remarque 2 2 5 13 10" xfId="36613" xr:uid="{00000000-0005-0000-0000-000072350000}"/>
    <cellStyle name="Remarque 2 2 5 13 10 2" xfId="60573" xr:uid="{00000000-0005-0000-0000-000073350000}"/>
    <cellStyle name="Remarque 2 2 5 13 11" xfId="14368" xr:uid="{00000000-0005-0000-0000-000074350000}"/>
    <cellStyle name="Remarque 2 2 5 13 12" xfId="38328" xr:uid="{00000000-0005-0000-0000-000075350000}"/>
    <cellStyle name="Remarque 2 2 5 13 2" xfId="4546" xr:uid="{00000000-0005-0000-0000-000076350000}"/>
    <cellStyle name="Remarque 2 2 5 13 2 2" xfId="28560" xr:uid="{00000000-0005-0000-0000-000077350000}"/>
    <cellStyle name="Remarque 2 2 5 13 2 2 2" xfId="52520" xr:uid="{00000000-0005-0000-0000-000078350000}"/>
    <cellStyle name="Remarque 2 2 5 13 2 3" xfId="15807" xr:uid="{00000000-0005-0000-0000-000079350000}"/>
    <cellStyle name="Remarque 2 2 5 13 2 4" xfId="39767" xr:uid="{00000000-0005-0000-0000-00007A350000}"/>
    <cellStyle name="Remarque 2 2 5 13 3" xfId="5945" xr:uid="{00000000-0005-0000-0000-00007B350000}"/>
    <cellStyle name="Remarque 2 2 5 13 3 2" xfId="29959" xr:uid="{00000000-0005-0000-0000-00007C350000}"/>
    <cellStyle name="Remarque 2 2 5 13 3 2 2" xfId="53919" xr:uid="{00000000-0005-0000-0000-00007D350000}"/>
    <cellStyle name="Remarque 2 2 5 13 3 3" xfId="17206" xr:uid="{00000000-0005-0000-0000-00007E350000}"/>
    <cellStyle name="Remarque 2 2 5 13 3 4" xfId="41166" xr:uid="{00000000-0005-0000-0000-00007F350000}"/>
    <cellStyle name="Remarque 2 2 5 13 4" xfId="7339" xr:uid="{00000000-0005-0000-0000-000080350000}"/>
    <cellStyle name="Remarque 2 2 5 13 4 2" xfId="31353" xr:uid="{00000000-0005-0000-0000-000081350000}"/>
    <cellStyle name="Remarque 2 2 5 13 4 2 2" xfId="55313" xr:uid="{00000000-0005-0000-0000-000082350000}"/>
    <cellStyle name="Remarque 2 2 5 13 4 3" xfId="18600" xr:uid="{00000000-0005-0000-0000-000083350000}"/>
    <cellStyle name="Remarque 2 2 5 13 4 4" xfId="42560" xr:uid="{00000000-0005-0000-0000-000084350000}"/>
    <cellStyle name="Remarque 2 2 5 13 5" xfId="8727" xr:uid="{00000000-0005-0000-0000-000085350000}"/>
    <cellStyle name="Remarque 2 2 5 13 5 2" xfId="32741" xr:uid="{00000000-0005-0000-0000-000086350000}"/>
    <cellStyle name="Remarque 2 2 5 13 5 2 2" xfId="56701" xr:uid="{00000000-0005-0000-0000-000087350000}"/>
    <cellStyle name="Remarque 2 2 5 13 5 3" xfId="19988" xr:uid="{00000000-0005-0000-0000-000088350000}"/>
    <cellStyle name="Remarque 2 2 5 13 5 4" xfId="43948" xr:uid="{00000000-0005-0000-0000-000089350000}"/>
    <cellStyle name="Remarque 2 2 5 13 6" xfId="10167" xr:uid="{00000000-0005-0000-0000-00008A350000}"/>
    <cellStyle name="Remarque 2 2 5 13 6 2" xfId="34179" xr:uid="{00000000-0005-0000-0000-00008B350000}"/>
    <cellStyle name="Remarque 2 2 5 13 6 2 2" xfId="58139" xr:uid="{00000000-0005-0000-0000-00008C350000}"/>
    <cellStyle name="Remarque 2 2 5 13 6 3" xfId="21432" xr:uid="{00000000-0005-0000-0000-00008D350000}"/>
    <cellStyle name="Remarque 2 2 5 13 6 4" xfId="45392" xr:uid="{00000000-0005-0000-0000-00008E350000}"/>
    <cellStyle name="Remarque 2 2 5 13 7" xfId="12696" xr:uid="{00000000-0005-0000-0000-00008F350000}"/>
    <cellStyle name="Remarque 2 2 5 13 7 2" xfId="24001" xr:uid="{00000000-0005-0000-0000-000090350000}"/>
    <cellStyle name="Remarque 2 2 5 13 7 3" xfId="47961" xr:uid="{00000000-0005-0000-0000-000091350000}"/>
    <cellStyle name="Remarque 2 2 5 13 8" xfId="3107" xr:uid="{00000000-0005-0000-0000-000092350000}"/>
    <cellStyle name="Remarque 2 2 5 13 8 2" xfId="27121" xr:uid="{00000000-0005-0000-0000-000093350000}"/>
    <cellStyle name="Remarque 2 2 5 13 8 3" xfId="51081" xr:uid="{00000000-0005-0000-0000-000094350000}"/>
    <cellStyle name="Remarque 2 2 5 13 9" xfId="24233" xr:uid="{00000000-0005-0000-0000-000095350000}"/>
    <cellStyle name="Remarque 2 2 5 13 9 2" xfId="48193" xr:uid="{00000000-0005-0000-0000-000096350000}"/>
    <cellStyle name="Remarque 2 2 5 14" xfId="3075" xr:uid="{00000000-0005-0000-0000-000097350000}"/>
    <cellStyle name="Remarque 2 2 5 14 2" xfId="27089" xr:uid="{00000000-0005-0000-0000-000098350000}"/>
    <cellStyle name="Remarque 2 2 5 14 2 2" xfId="51049" xr:uid="{00000000-0005-0000-0000-000099350000}"/>
    <cellStyle name="Remarque 2 2 5 14 3" xfId="14336" xr:uid="{00000000-0005-0000-0000-00009A350000}"/>
    <cellStyle name="Remarque 2 2 5 14 4" xfId="38296" xr:uid="{00000000-0005-0000-0000-00009B350000}"/>
    <cellStyle name="Remarque 2 2 5 15" xfId="1633" xr:uid="{00000000-0005-0000-0000-00009C350000}"/>
    <cellStyle name="Remarque 2 2 5 15 2" xfId="25647" xr:uid="{00000000-0005-0000-0000-00009D350000}"/>
    <cellStyle name="Remarque 2 2 5 15 3" xfId="49607" xr:uid="{00000000-0005-0000-0000-00009E350000}"/>
    <cellStyle name="Remarque 2 2 5 16" xfId="12913" xr:uid="{00000000-0005-0000-0000-00009F350000}"/>
    <cellStyle name="Remarque 2 2 5 17" xfId="1615" xr:uid="{00000000-0005-0000-0000-0000A0350000}"/>
    <cellStyle name="Remarque 2 2 5 18" xfId="169" xr:uid="{00000000-0005-0000-0000-0000A1350000}"/>
    <cellStyle name="Remarque 2 2 5 2" xfId="67" xr:uid="{00000000-0005-0000-0000-0000A2350000}"/>
    <cellStyle name="Remarque 2 2 5 2 10" xfId="1361" xr:uid="{00000000-0005-0000-0000-0000A3350000}"/>
    <cellStyle name="Remarque 2 2 5 2 10 10" xfId="25393" xr:uid="{00000000-0005-0000-0000-0000A4350000}"/>
    <cellStyle name="Remarque 2 2 5 2 10 10 2" xfId="49353" xr:uid="{00000000-0005-0000-0000-0000A5350000}"/>
    <cellStyle name="Remarque 2 2 5 2 10 11" xfId="36549" xr:uid="{00000000-0005-0000-0000-0000A6350000}"/>
    <cellStyle name="Remarque 2 2 5 2 10 11 2" xfId="60509" xr:uid="{00000000-0005-0000-0000-0000A7350000}"/>
    <cellStyle name="Remarque 2 2 5 2 10 12" xfId="14058" xr:uid="{00000000-0005-0000-0000-0000A8350000}"/>
    <cellStyle name="Remarque 2 2 5 2 10 13" xfId="38018" xr:uid="{00000000-0005-0000-0000-0000A9350000}"/>
    <cellStyle name="Remarque 2 2 5 2 10 2" xfId="4267" xr:uid="{00000000-0005-0000-0000-0000AA350000}"/>
    <cellStyle name="Remarque 2 2 5 2 10 2 2" xfId="28281" xr:uid="{00000000-0005-0000-0000-0000AB350000}"/>
    <cellStyle name="Remarque 2 2 5 2 10 2 2 2" xfId="52241" xr:uid="{00000000-0005-0000-0000-0000AC350000}"/>
    <cellStyle name="Remarque 2 2 5 2 10 2 3" xfId="15528" xr:uid="{00000000-0005-0000-0000-0000AD350000}"/>
    <cellStyle name="Remarque 2 2 5 2 10 2 4" xfId="39488" xr:uid="{00000000-0005-0000-0000-0000AE350000}"/>
    <cellStyle name="Remarque 2 2 5 2 10 3" xfId="5701" xr:uid="{00000000-0005-0000-0000-0000AF350000}"/>
    <cellStyle name="Remarque 2 2 5 2 10 3 2" xfId="29715" xr:uid="{00000000-0005-0000-0000-0000B0350000}"/>
    <cellStyle name="Remarque 2 2 5 2 10 3 2 2" xfId="53675" xr:uid="{00000000-0005-0000-0000-0000B1350000}"/>
    <cellStyle name="Remarque 2 2 5 2 10 3 3" xfId="16962" xr:uid="{00000000-0005-0000-0000-0000B2350000}"/>
    <cellStyle name="Remarque 2 2 5 2 10 3 4" xfId="40922" xr:uid="{00000000-0005-0000-0000-0000B3350000}"/>
    <cellStyle name="Remarque 2 2 5 2 10 4" xfId="7095" xr:uid="{00000000-0005-0000-0000-0000B4350000}"/>
    <cellStyle name="Remarque 2 2 5 2 10 4 2" xfId="31109" xr:uid="{00000000-0005-0000-0000-0000B5350000}"/>
    <cellStyle name="Remarque 2 2 5 2 10 4 2 2" xfId="55069" xr:uid="{00000000-0005-0000-0000-0000B6350000}"/>
    <cellStyle name="Remarque 2 2 5 2 10 4 3" xfId="18356" xr:uid="{00000000-0005-0000-0000-0000B7350000}"/>
    <cellStyle name="Remarque 2 2 5 2 10 4 4" xfId="42316" xr:uid="{00000000-0005-0000-0000-0000B8350000}"/>
    <cellStyle name="Remarque 2 2 5 2 10 5" xfId="8483" xr:uid="{00000000-0005-0000-0000-0000B9350000}"/>
    <cellStyle name="Remarque 2 2 5 2 10 5 2" xfId="32497" xr:uid="{00000000-0005-0000-0000-0000BA350000}"/>
    <cellStyle name="Remarque 2 2 5 2 10 5 2 2" xfId="56457" xr:uid="{00000000-0005-0000-0000-0000BB350000}"/>
    <cellStyle name="Remarque 2 2 5 2 10 5 3" xfId="19744" xr:uid="{00000000-0005-0000-0000-0000BC350000}"/>
    <cellStyle name="Remarque 2 2 5 2 10 5 4" xfId="43704" xr:uid="{00000000-0005-0000-0000-0000BD350000}"/>
    <cellStyle name="Remarque 2 2 5 2 10 6" xfId="9868" xr:uid="{00000000-0005-0000-0000-0000BE350000}"/>
    <cellStyle name="Remarque 2 2 5 2 10 6 2" xfId="33882" xr:uid="{00000000-0005-0000-0000-0000BF350000}"/>
    <cellStyle name="Remarque 2 2 5 2 10 6 2 2" xfId="57842" xr:uid="{00000000-0005-0000-0000-0000C0350000}"/>
    <cellStyle name="Remarque 2 2 5 2 10 6 3" xfId="21129" xr:uid="{00000000-0005-0000-0000-0000C1350000}"/>
    <cellStyle name="Remarque 2 2 5 2 10 6 4" xfId="45089" xr:uid="{00000000-0005-0000-0000-0000C2350000}"/>
    <cellStyle name="Remarque 2 2 5 2 10 7" xfId="11325" xr:uid="{00000000-0005-0000-0000-0000C3350000}"/>
    <cellStyle name="Remarque 2 2 5 2 10 7 2" xfId="35335" xr:uid="{00000000-0005-0000-0000-0000C4350000}"/>
    <cellStyle name="Remarque 2 2 5 2 10 7 2 2" xfId="59295" xr:uid="{00000000-0005-0000-0000-0000C5350000}"/>
    <cellStyle name="Remarque 2 2 5 2 10 7 3" xfId="22592" xr:uid="{00000000-0005-0000-0000-0000C6350000}"/>
    <cellStyle name="Remarque 2 2 5 2 10 7 4" xfId="46552" xr:uid="{00000000-0005-0000-0000-0000C7350000}"/>
    <cellStyle name="Remarque 2 2 5 2 10 8" xfId="12214" xr:uid="{00000000-0005-0000-0000-0000C8350000}"/>
    <cellStyle name="Remarque 2 2 5 2 10 8 2" xfId="23498" xr:uid="{00000000-0005-0000-0000-0000C9350000}"/>
    <cellStyle name="Remarque 2 2 5 2 10 8 3" xfId="47458" xr:uid="{00000000-0005-0000-0000-0000CA350000}"/>
    <cellStyle name="Remarque 2 2 5 2 10 9" xfId="2797" xr:uid="{00000000-0005-0000-0000-0000CB350000}"/>
    <cellStyle name="Remarque 2 2 5 2 10 9 2" xfId="26811" xr:uid="{00000000-0005-0000-0000-0000CC350000}"/>
    <cellStyle name="Remarque 2 2 5 2 10 9 3" xfId="50771" xr:uid="{00000000-0005-0000-0000-0000CD350000}"/>
    <cellStyle name="Remarque 2 2 5 2 11" xfId="1572" xr:uid="{00000000-0005-0000-0000-0000CE350000}"/>
    <cellStyle name="Remarque 2 2 5 2 11 10" xfId="25604" xr:uid="{00000000-0005-0000-0000-0000CF350000}"/>
    <cellStyle name="Remarque 2 2 5 2 11 10 2" xfId="49564" xr:uid="{00000000-0005-0000-0000-0000D0350000}"/>
    <cellStyle name="Remarque 2 2 5 2 11 11" xfId="23921" xr:uid="{00000000-0005-0000-0000-0000D1350000}"/>
    <cellStyle name="Remarque 2 2 5 2 11 11 2" xfId="47881" xr:uid="{00000000-0005-0000-0000-0000D2350000}"/>
    <cellStyle name="Remarque 2 2 5 2 11 12" xfId="14269" xr:uid="{00000000-0005-0000-0000-0000D3350000}"/>
    <cellStyle name="Remarque 2 2 5 2 11 13" xfId="38229" xr:uid="{00000000-0005-0000-0000-0000D4350000}"/>
    <cellStyle name="Remarque 2 2 5 2 11 2" xfId="4478" xr:uid="{00000000-0005-0000-0000-0000D5350000}"/>
    <cellStyle name="Remarque 2 2 5 2 11 2 2" xfId="28492" xr:uid="{00000000-0005-0000-0000-0000D6350000}"/>
    <cellStyle name="Remarque 2 2 5 2 11 2 2 2" xfId="52452" xr:uid="{00000000-0005-0000-0000-0000D7350000}"/>
    <cellStyle name="Remarque 2 2 5 2 11 2 3" xfId="15739" xr:uid="{00000000-0005-0000-0000-0000D8350000}"/>
    <cellStyle name="Remarque 2 2 5 2 11 2 4" xfId="39699" xr:uid="{00000000-0005-0000-0000-0000D9350000}"/>
    <cellStyle name="Remarque 2 2 5 2 11 3" xfId="5912" xr:uid="{00000000-0005-0000-0000-0000DA350000}"/>
    <cellStyle name="Remarque 2 2 5 2 11 3 2" xfId="29926" xr:uid="{00000000-0005-0000-0000-0000DB350000}"/>
    <cellStyle name="Remarque 2 2 5 2 11 3 2 2" xfId="53886" xr:uid="{00000000-0005-0000-0000-0000DC350000}"/>
    <cellStyle name="Remarque 2 2 5 2 11 3 3" xfId="17173" xr:uid="{00000000-0005-0000-0000-0000DD350000}"/>
    <cellStyle name="Remarque 2 2 5 2 11 3 4" xfId="41133" xr:uid="{00000000-0005-0000-0000-0000DE350000}"/>
    <cellStyle name="Remarque 2 2 5 2 11 4" xfId="7306" xr:uid="{00000000-0005-0000-0000-0000DF350000}"/>
    <cellStyle name="Remarque 2 2 5 2 11 4 2" xfId="31320" xr:uid="{00000000-0005-0000-0000-0000E0350000}"/>
    <cellStyle name="Remarque 2 2 5 2 11 4 2 2" xfId="55280" xr:uid="{00000000-0005-0000-0000-0000E1350000}"/>
    <cellStyle name="Remarque 2 2 5 2 11 4 3" xfId="18567" xr:uid="{00000000-0005-0000-0000-0000E2350000}"/>
    <cellStyle name="Remarque 2 2 5 2 11 4 4" xfId="42527" xr:uid="{00000000-0005-0000-0000-0000E3350000}"/>
    <cellStyle name="Remarque 2 2 5 2 11 5" xfId="8694" xr:uid="{00000000-0005-0000-0000-0000E4350000}"/>
    <cellStyle name="Remarque 2 2 5 2 11 5 2" xfId="32708" xr:uid="{00000000-0005-0000-0000-0000E5350000}"/>
    <cellStyle name="Remarque 2 2 5 2 11 5 2 2" xfId="56668" xr:uid="{00000000-0005-0000-0000-0000E6350000}"/>
    <cellStyle name="Remarque 2 2 5 2 11 5 3" xfId="19955" xr:uid="{00000000-0005-0000-0000-0000E7350000}"/>
    <cellStyle name="Remarque 2 2 5 2 11 5 4" xfId="43915" xr:uid="{00000000-0005-0000-0000-0000E8350000}"/>
    <cellStyle name="Remarque 2 2 5 2 11 6" xfId="10079" xr:uid="{00000000-0005-0000-0000-0000E9350000}"/>
    <cellStyle name="Remarque 2 2 5 2 11 6 2" xfId="34093" xr:uid="{00000000-0005-0000-0000-0000EA350000}"/>
    <cellStyle name="Remarque 2 2 5 2 11 6 2 2" xfId="58053" xr:uid="{00000000-0005-0000-0000-0000EB350000}"/>
    <cellStyle name="Remarque 2 2 5 2 11 6 3" xfId="21340" xr:uid="{00000000-0005-0000-0000-0000EC350000}"/>
    <cellStyle name="Remarque 2 2 5 2 11 6 4" xfId="45300" xr:uid="{00000000-0005-0000-0000-0000ED350000}"/>
    <cellStyle name="Remarque 2 2 5 2 11 7" xfId="11536" xr:uid="{00000000-0005-0000-0000-0000EE350000}"/>
    <cellStyle name="Remarque 2 2 5 2 11 7 2" xfId="35546" xr:uid="{00000000-0005-0000-0000-0000EF350000}"/>
    <cellStyle name="Remarque 2 2 5 2 11 7 2 2" xfId="59506" xr:uid="{00000000-0005-0000-0000-0000F0350000}"/>
    <cellStyle name="Remarque 2 2 5 2 11 7 3" xfId="22803" xr:uid="{00000000-0005-0000-0000-0000F1350000}"/>
    <cellStyle name="Remarque 2 2 5 2 11 7 4" xfId="46763" xr:uid="{00000000-0005-0000-0000-0000F2350000}"/>
    <cellStyle name="Remarque 2 2 5 2 11 8" xfId="11661" xr:uid="{00000000-0005-0000-0000-0000F3350000}"/>
    <cellStyle name="Remarque 2 2 5 2 11 8 2" xfId="22929" xr:uid="{00000000-0005-0000-0000-0000F4350000}"/>
    <cellStyle name="Remarque 2 2 5 2 11 8 3" xfId="46889" xr:uid="{00000000-0005-0000-0000-0000F5350000}"/>
    <cellStyle name="Remarque 2 2 5 2 11 9" xfId="3008" xr:uid="{00000000-0005-0000-0000-0000F6350000}"/>
    <cellStyle name="Remarque 2 2 5 2 11 9 2" xfId="27022" xr:uid="{00000000-0005-0000-0000-0000F7350000}"/>
    <cellStyle name="Remarque 2 2 5 2 11 9 3" xfId="50982" xr:uid="{00000000-0005-0000-0000-0000F8350000}"/>
    <cellStyle name="Remarque 2 2 5 2 12" xfId="1546" xr:uid="{00000000-0005-0000-0000-0000F9350000}"/>
    <cellStyle name="Remarque 2 2 5 2 12 10" xfId="25578" xr:uid="{00000000-0005-0000-0000-0000FA350000}"/>
    <cellStyle name="Remarque 2 2 5 2 12 10 2" xfId="49538" xr:uid="{00000000-0005-0000-0000-0000FB350000}"/>
    <cellStyle name="Remarque 2 2 5 2 12 11" xfId="23829" xr:uid="{00000000-0005-0000-0000-0000FC350000}"/>
    <cellStyle name="Remarque 2 2 5 2 12 11 2" xfId="47789" xr:uid="{00000000-0005-0000-0000-0000FD350000}"/>
    <cellStyle name="Remarque 2 2 5 2 12 12" xfId="14243" xr:uid="{00000000-0005-0000-0000-0000FE350000}"/>
    <cellStyle name="Remarque 2 2 5 2 12 13" xfId="38203" xr:uid="{00000000-0005-0000-0000-0000FF350000}"/>
    <cellStyle name="Remarque 2 2 5 2 12 2" xfId="4452" xr:uid="{00000000-0005-0000-0000-000000360000}"/>
    <cellStyle name="Remarque 2 2 5 2 12 2 2" xfId="28466" xr:uid="{00000000-0005-0000-0000-000001360000}"/>
    <cellStyle name="Remarque 2 2 5 2 12 2 2 2" xfId="52426" xr:uid="{00000000-0005-0000-0000-000002360000}"/>
    <cellStyle name="Remarque 2 2 5 2 12 2 3" xfId="15713" xr:uid="{00000000-0005-0000-0000-000003360000}"/>
    <cellStyle name="Remarque 2 2 5 2 12 2 4" xfId="39673" xr:uid="{00000000-0005-0000-0000-000004360000}"/>
    <cellStyle name="Remarque 2 2 5 2 12 3" xfId="5886" xr:uid="{00000000-0005-0000-0000-000005360000}"/>
    <cellStyle name="Remarque 2 2 5 2 12 3 2" xfId="29900" xr:uid="{00000000-0005-0000-0000-000006360000}"/>
    <cellStyle name="Remarque 2 2 5 2 12 3 2 2" xfId="53860" xr:uid="{00000000-0005-0000-0000-000007360000}"/>
    <cellStyle name="Remarque 2 2 5 2 12 3 3" xfId="17147" xr:uid="{00000000-0005-0000-0000-000008360000}"/>
    <cellStyle name="Remarque 2 2 5 2 12 3 4" xfId="41107" xr:uid="{00000000-0005-0000-0000-000009360000}"/>
    <cellStyle name="Remarque 2 2 5 2 12 4" xfId="7280" xr:uid="{00000000-0005-0000-0000-00000A360000}"/>
    <cellStyle name="Remarque 2 2 5 2 12 4 2" xfId="31294" xr:uid="{00000000-0005-0000-0000-00000B360000}"/>
    <cellStyle name="Remarque 2 2 5 2 12 4 2 2" xfId="55254" xr:uid="{00000000-0005-0000-0000-00000C360000}"/>
    <cellStyle name="Remarque 2 2 5 2 12 4 3" xfId="18541" xr:uid="{00000000-0005-0000-0000-00000D360000}"/>
    <cellStyle name="Remarque 2 2 5 2 12 4 4" xfId="42501" xr:uid="{00000000-0005-0000-0000-00000E360000}"/>
    <cellStyle name="Remarque 2 2 5 2 12 5" xfId="8668" xr:uid="{00000000-0005-0000-0000-00000F360000}"/>
    <cellStyle name="Remarque 2 2 5 2 12 5 2" xfId="32682" xr:uid="{00000000-0005-0000-0000-000010360000}"/>
    <cellStyle name="Remarque 2 2 5 2 12 5 2 2" xfId="56642" xr:uid="{00000000-0005-0000-0000-000011360000}"/>
    <cellStyle name="Remarque 2 2 5 2 12 5 3" xfId="19929" xr:uid="{00000000-0005-0000-0000-000012360000}"/>
    <cellStyle name="Remarque 2 2 5 2 12 5 4" xfId="43889" xr:uid="{00000000-0005-0000-0000-000013360000}"/>
    <cellStyle name="Remarque 2 2 5 2 12 6" xfId="10053" xr:uid="{00000000-0005-0000-0000-000014360000}"/>
    <cellStyle name="Remarque 2 2 5 2 12 6 2" xfId="34067" xr:uid="{00000000-0005-0000-0000-000015360000}"/>
    <cellStyle name="Remarque 2 2 5 2 12 6 2 2" xfId="58027" xr:uid="{00000000-0005-0000-0000-000016360000}"/>
    <cellStyle name="Remarque 2 2 5 2 12 6 3" xfId="21314" xr:uid="{00000000-0005-0000-0000-000017360000}"/>
    <cellStyle name="Remarque 2 2 5 2 12 6 4" xfId="45274" xr:uid="{00000000-0005-0000-0000-000018360000}"/>
    <cellStyle name="Remarque 2 2 5 2 12 7" xfId="11510" xr:uid="{00000000-0005-0000-0000-000019360000}"/>
    <cellStyle name="Remarque 2 2 5 2 12 7 2" xfId="35520" xr:uid="{00000000-0005-0000-0000-00001A360000}"/>
    <cellStyle name="Remarque 2 2 5 2 12 7 2 2" xfId="59480" xr:uid="{00000000-0005-0000-0000-00001B360000}"/>
    <cellStyle name="Remarque 2 2 5 2 12 7 3" xfId="22777" xr:uid="{00000000-0005-0000-0000-00001C360000}"/>
    <cellStyle name="Remarque 2 2 5 2 12 7 4" xfId="46737" xr:uid="{00000000-0005-0000-0000-00001D360000}"/>
    <cellStyle name="Remarque 2 2 5 2 12 8" xfId="12038" xr:uid="{00000000-0005-0000-0000-00001E360000}"/>
    <cellStyle name="Remarque 2 2 5 2 12 8 2" xfId="23318" xr:uid="{00000000-0005-0000-0000-00001F360000}"/>
    <cellStyle name="Remarque 2 2 5 2 12 8 3" xfId="47278" xr:uid="{00000000-0005-0000-0000-000020360000}"/>
    <cellStyle name="Remarque 2 2 5 2 12 9" xfId="2982" xr:uid="{00000000-0005-0000-0000-000021360000}"/>
    <cellStyle name="Remarque 2 2 5 2 12 9 2" xfId="26996" xr:uid="{00000000-0005-0000-0000-000022360000}"/>
    <cellStyle name="Remarque 2 2 5 2 12 9 3" xfId="50956" xr:uid="{00000000-0005-0000-0000-000023360000}"/>
    <cellStyle name="Remarque 2 2 5 2 13" xfId="1589" xr:uid="{00000000-0005-0000-0000-000024360000}"/>
    <cellStyle name="Remarque 2 2 5 2 13 10" xfId="25621" xr:uid="{00000000-0005-0000-0000-000025360000}"/>
    <cellStyle name="Remarque 2 2 5 2 13 10 2" xfId="49581" xr:uid="{00000000-0005-0000-0000-000026360000}"/>
    <cellStyle name="Remarque 2 2 5 2 13 11" xfId="36848" xr:uid="{00000000-0005-0000-0000-000027360000}"/>
    <cellStyle name="Remarque 2 2 5 2 13 11 2" xfId="60808" xr:uid="{00000000-0005-0000-0000-000028360000}"/>
    <cellStyle name="Remarque 2 2 5 2 13 12" xfId="14286" xr:uid="{00000000-0005-0000-0000-000029360000}"/>
    <cellStyle name="Remarque 2 2 5 2 13 13" xfId="38246" xr:uid="{00000000-0005-0000-0000-00002A360000}"/>
    <cellStyle name="Remarque 2 2 5 2 13 2" xfId="4495" xr:uid="{00000000-0005-0000-0000-00002B360000}"/>
    <cellStyle name="Remarque 2 2 5 2 13 2 2" xfId="28509" xr:uid="{00000000-0005-0000-0000-00002C360000}"/>
    <cellStyle name="Remarque 2 2 5 2 13 2 2 2" xfId="52469" xr:uid="{00000000-0005-0000-0000-00002D360000}"/>
    <cellStyle name="Remarque 2 2 5 2 13 2 3" xfId="15756" xr:uid="{00000000-0005-0000-0000-00002E360000}"/>
    <cellStyle name="Remarque 2 2 5 2 13 2 4" xfId="39716" xr:uid="{00000000-0005-0000-0000-00002F360000}"/>
    <cellStyle name="Remarque 2 2 5 2 13 3" xfId="5929" xr:uid="{00000000-0005-0000-0000-000030360000}"/>
    <cellStyle name="Remarque 2 2 5 2 13 3 2" xfId="29943" xr:uid="{00000000-0005-0000-0000-000031360000}"/>
    <cellStyle name="Remarque 2 2 5 2 13 3 2 2" xfId="53903" xr:uid="{00000000-0005-0000-0000-000032360000}"/>
    <cellStyle name="Remarque 2 2 5 2 13 3 3" xfId="17190" xr:uid="{00000000-0005-0000-0000-000033360000}"/>
    <cellStyle name="Remarque 2 2 5 2 13 3 4" xfId="41150" xr:uid="{00000000-0005-0000-0000-000034360000}"/>
    <cellStyle name="Remarque 2 2 5 2 13 4" xfId="7323" xr:uid="{00000000-0005-0000-0000-000035360000}"/>
    <cellStyle name="Remarque 2 2 5 2 13 4 2" xfId="31337" xr:uid="{00000000-0005-0000-0000-000036360000}"/>
    <cellStyle name="Remarque 2 2 5 2 13 4 2 2" xfId="55297" xr:uid="{00000000-0005-0000-0000-000037360000}"/>
    <cellStyle name="Remarque 2 2 5 2 13 4 3" xfId="18584" xr:uid="{00000000-0005-0000-0000-000038360000}"/>
    <cellStyle name="Remarque 2 2 5 2 13 4 4" xfId="42544" xr:uid="{00000000-0005-0000-0000-000039360000}"/>
    <cellStyle name="Remarque 2 2 5 2 13 5" xfId="8711" xr:uid="{00000000-0005-0000-0000-00003A360000}"/>
    <cellStyle name="Remarque 2 2 5 2 13 5 2" xfId="32725" xr:uid="{00000000-0005-0000-0000-00003B360000}"/>
    <cellStyle name="Remarque 2 2 5 2 13 5 2 2" xfId="56685" xr:uid="{00000000-0005-0000-0000-00003C360000}"/>
    <cellStyle name="Remarque 2 2 5 2 13 5 3" xfId="19972" xr:uid="{00000000-0005-0000-0000-00003D360000}"/>
    <cellStyle name="Remarque 2 2 5 2 13 5 4" xfId="43932" xr:uid="{00000000-0005-0000-0000-00003E360000}"/>
    <cellStyle name="Remarque 2 2 5 2 13 6" xfId="10096" xr:uid="{00000000-0005-0000-0000-00003F360000}"/>
    <cellStyle name="Remarque 2 2 5 2 13 6 2" xfId="34110" xr:uid="{00000000-0005-0000-0000-000040360000}"/>
    <cellStyle name="Remarque 2 2 5 2 13 6 2 2" xfId="58070" xr:uid="{00000000-0005-0000-0000-000041360000}"/>
    <cellStyle name="Remarque 2 2 5 2 13 6 3" xfId="21357" xr:uid="{00000000-0005-0000-0000-000042360000}"/>
    <cellStyle name="Remarque 2 2 5 2 13 6 4" xfId="45317" xr:uid="{00000000-0005-0000-0000-000043360000}"/>
    <cellStyle name="Remarque 2 2 5 2 13 7" xfId="11553" xr:uid="{00000000-0005-0000-0000-000044360000}"/>
    <cellStyle name="Remarque 2 2 5 2 13 7 2" xfId="35563" xr:uid="{00000000-0005-0000-0000-000045360000}"/>
    <cellStyle name="Remarque 2 2 5 2 13 7 2 2" xfId="59523" xr:uid="{00000000-0005-0000-0000-000046360000}"/>
    <cellStyle name="Remarque 2 2 5 2 13 7 3" xfId="22820" xr:uid="{00000000-0005-0000-0000-000047360000}"/>
    <cellStyle name="Remarque 2 2 5 2 13 7 4" xfId="46780" xr:uid="{00000000-0005-0000-0000-000048360000}"/>
    <cellStyle name="Remarque 2 2 5 2 13 8" xfId="10194" xr:uid="{00000000-0005-0000-0000-000049360000}"/>
    <cellStyle name="Remarque 2 2 5 2 13 8 2" xfId="21459" xr:uid="{00000000-0005-0000-0000-00004A360000}"/>
    <cellStyle name="Remarque 2 2 5 2 13 8 3" xfId="45419" xr:uid="{00000000-0005-0000-0000-00004B360000}"/>
    <cellStyle name="Remarque 2 2 5 2 13 9" xfId="3025" xr:uid="{00000000-0005-0000-0000-00004C360000}"/>
    <cellStyle name="Remarque 2 2 5 2 13 9 2" xfId="27039" xr:uid="{00000000-0005-0000-0000-00004D360000}"/>
    <cellStyle name="Remarque 2 2 5 2 13 9 3" xfId="50999" xr:uid="{00000000-0005-0000-0000-00004E360000}"/>
    <cellStyle name="Remarque 2 2 5 2 14" xfId="214" xr:uid="{00000000-0005-0000-0000-00004F360000}"/>
    <cellStyle name="Remarque 2 2 5 2 14 10" xfId="36195" xr:uid="{00000000-0005-0000-0000-000050360000}"/>
    <cellStyle name="Remarque 2 2 5 2 14 10 2" xfId="60155" xr:uid="{00000000-0005-0000-0000-000051360000}"/>
    <cellStyle name="Remarque 2 2 5 2 14 11" xfId="14381" xr:uid="{00000000-0005-0000-0000-000052360000}"/>
    <cellStyle name="Remarque 2 2 5 2 14 12" xfId="38341" xr:uid="{00000000-0005-0000-0000-000053360000}"/>
    <cellStyle name="Remarque 2 2 5 2 14 2" xfId="4559" xr:uid="{00000000-0005-0000-0000-000054360000}"/>
    <cellStyle name="Remarque 2 2 5 2 14 2 2" xfId="28573" xr:uid="{00000000-0005-0000-0000-000055360000}"/>
    <cellStyle name="Remarque 2 2 5 2 14 2 2 2" xfId="52533" xr:uid="{00000000-0005-0000-0000-000056360000}"/>
    <cellStyle name="Remarque 2 2 5 2 14 2 3" xfId="15820" xr:uid="{00000000-0005-0000-0000-000057360000}"/>
    <cellStyle name="Remarque 2 2 5 2 14 2 4" xfId="39780" xr:uid="{00000000-0005-0000-0000-000058360000}"/>
    <cellStyle name="Remarque 2 2 5 2 14 3" xfId="5958" xr:uid="{00000000-0005-0000-0000-000059360000}"/>
    <cellStyle name="Remarque 2 2 5 2 14 3 2" xfId="29972" xr:uid="{00000000-0005-0000-0000-00005A360000}"/>
    <cellStyle name="Remarque 2 2 5 2 14 3 2 2" xfId="53932" xr:uid="{00000000-0005-0000-0000-00005B360000}"/>
    <cellStyle name="Remarque 2 2 5 2 14 3 3" xfId="17219" xr:uid="{00000000-0005-0000-0000-00005C360000}"/>
    <cellStyle name="Remarque 2 2 5 2 14 3 4" xfId="41179" xr:uid="{00000000-0005-0000-0000-00005D360000}"/>
    <cellStyle name="Remarque 2 2 5 2 14 4" xfId="7352" xr:uid="{00000000-0005-0000-0000-00005E360000}"/>
    <cellStyle name="Remarque 2 2 5 2 14 4 2" xfId="31366" xr:uid="{00000000-0005-0000-0000-00005F360000}"/>
    <cellStyle name="Remarque 2 2 5 2 14 4 2 2" xfId="55326" xr:uid="{00000000-0005-0000-0000-000060360000}"/>
    <cellStyle name="Remarque 2 2 5 2 14 4 3" xfId="18613" xr:uid="{00000000-0005-0000-0000-000061360000}"/>
    <cellStyle name="Remarque 2 2 5 2 14 4 4" xfId="42573" xr:uid="{00000000-0005-0000-0000-000062360000}"/>
    <cellStyle name="Remarque 2 2 5 2 14 5" xfId="8740" xr:uid="{00000000-0005-0000-0000-000063360000}"/>
    <cellStyle name="Remarque 2 2 5 2 14 5 2" xfId="32754" xr:uid="{00000000-0005-0000-0000-000064360000}"/>
    <cellStyle name="Remarque 2 2 5 2 14 5 2 2" xfId="56714" xr:uid="{00000000-0005-0000-0000-000065360000}"/>
    <cellStyle name="Remarque 2 2 5 2 14 5 3" xfId="20001" xr:uid="{00000000-0005-0000-0000-000066360000}"/>
    <cellStyle name="Remarque 2 2 5 2 14 5 4" xfId="43961" xr:uid="{00000000-0005-0000-0000-000067360000}"/>
    <cellStyle name="Remarque 2 2 5 2 14 6" xfId="10180" xr:uid="{00000000-0005-0000-0000-000068360000}"/>
    <cellStyle name="Remarque 2 2 5 2 14 6 2" xfId="34192" xr:uid="{00000000-0005-0000-0000-000069360000}"/>
    <cellStyle name="Remarque 2 2 5 2 14 6 2 2" xfId="58152" xr:uid="{00000000-0005-0000-0000-00006A360000}"/>
    <cellStyle name="Remarque 2 2 5 2 14 6 3" xfId="21445" xr:uid="{00000000-0005-0000-0000-00006B360000}"/>
    <cellStyle name="Remarque 2 2 5 2 14 6 4" xfId="45405" xr:uid="{00000000-0005-0000-0000-00006C360000}"/>
    <cellStyle name="Remarque 2 2 5 2 14 7" xfId="12532" xr:uid="{00000000-0005-0000-0000-00006D360000}"/>
    <cellStyle name="Remarque 2 2 5 2 14 7 2" xfId="23830" xr:uid="{00000000-0005-0000-0000-00006E360000}"/>
    <cellStyle name="Remarque 2 2 5 2 14 7 3" xfId="47790" xr:uid="{00000000-0005-0000-0000-00006F360000}"/>
    <cellStyle name="Remarque 2 2 5 2 14 8" xfId="3120" xr:uid="{00000000-0005-0000-0000-000070360000}"/>
    <cellStyle name="Remarque 2 2 5 2 14 8 2" xfId="27134" xr:uid="{00000000-0005-0000-0000-000071360000}"/>
    <cellStyle name="Remarque 2 2 5 2 14 8 3" xfId="51094" xr:uid="{00000000-0005-0000-0000-000072360000}"/>
    <cellStyle name="Remarque 2 2 5 2 14 9" xfId="24246" xr:uid="{00000000-0005-0000-0000-000073360000}"/>
    <cellStyle name="Remarque 2 2 5 2 14 9 2" xfId="48206" xr:uid="{00000000-0005-0000-0000-000074360000}"/>
    <cellStyle name="Remarque 2 2 5 2 15" xfId="3089" xr:uid="{00000000-0005-0000-0000-000075360000}"/>
    <cellStyle name="Remarque 2 2 5 2 15 2" xfId="27103" xr:uid="{00000000-0005-0000-0000-000076360000}"/>
    <cellStyle name="Remarque 2 2 5 2 15 2 2" xfId="51063" xr:uid="{00000000-0005-0000-0000-000077360000}"/>
    <cellStyle name="Remarque 2 2 5 2 15 3" xfId="14350" xr:uid="{00000000-0005-0000-0000-000078360000}"/>
    <cellStyle name="Remarque 2 2 5 2 15 4" xfId="38310" xr:uid="{00000000-0005-0000-0000-000079360000}"/>
    <cellStyle name="Remarque 2 2 5 2 16" xfId="4528" xr:uid="{00000000-0005-0000-0000-00007A360000}"/>
    <cellStyle name="Remarque 2 2 5 2 16 2" xfId="28542" xr:uid="{00000000-0005-0000-0000-00007B360000}"/>
    <cellStyle name="Remarque 2 2 5 2 16 2 2" xfId="52502" xr:uid="{00000000-0005-0000-0000-00007C360000}"/>
    <cellStyle name="Remarque 2 2 5 2 16 3" xfId="15789" xr:uid="{00000000-0005-0000-0000-00007D360000}"/>
    <cellStyle name="Remarque 2 2 5 2 16 4" xfId="39749" xr:uid="{00000000-0005-0000-0000-00007E360000}"/>
    <cellStyle name="Remarque 2 2 5 2 17" xfId="3051" xr:uid="{00000000-0005-0000-0000-00007F360000}"/>
    <cellStyle name="Remarque 2 2 5 2 17 2" xfId="27065" xr:uid="{00000000-0005-0000-0000-000080360000}"/>
    <cellStyle name="Remarque 2 2 5 2 17 2 2" xfId="51025" xr:uid="{00000000-0005-0000-0000-000081360000}"/>
    <cellStyle name="Remarque 2 2 5 2 17 3" xfId="14312" xr:uid="{00000000-0005-0000-0000-000082360000}"/>
    <cellStyle name="Remarque 2 2 5 2 17 4" xfId="38272" xr:uid="{00000000-0005-0000-0000-000083360000}"/>
    <cellStyle name="Remarque 2 2 5 2 18" xfId="4574" xr:uid="{00000000-0005-0000-0000-000084360000}"/>
    <cellStyle name="Remarque 2 2 5 2 18 2" xfId="28588" xr:uid="{00000000-0005-0000-0000-000085360000}"/>
    <cellStyle name="Remarque 2 2 5 2 18 2 2" xfId="52548" xr:uid="{00000000-0005-0000-0000-000086360000}"/>
    <cellStyle name="Remarque 2 2 5 2 18 3" xfId="15835" xr:uid="{00000000-0005-0000-0000-000087360000}"/>
    <cellStyle name="Remarque 2 2 5 2 18 4" xfId="39795" xr:uid="{00000000-0005-0000-0000-000088360000}"/>
    <cellStyle name="Remarque 2 2 5 2 19" xfId="5971" xr:uid="{00000000-0005-0000-0000-000089360000}"/>
    <cellStyle name="Remarque 2 2 5 2 19 2" xfId="29985" xr:uid="{00000000-0005-0000-0000-00008A360000}"/>
    <cellStyle name="Remarque 2 2 5 2 19 2 2" xfId="53945" xr:uid="{00000000-0005-0000-0000-00008B360000}"/>
    <cellStyle name="Remarque 2 2 5 2 19 3" xfId="17232" xr:uid="{00000000-0005-0000-0000-00008C360000}"/>
    <cellStyle name="Remarque 2 2 5 2 19 4" xfId="41192" xr:uid="{00000000-0005-0000-0000-00008D360000}"/>
    <cellStyle name="Remarque 2 2 5 2 2" xfId="103" xr:uid="{00000000-0005-0000-0000-00008E360000}"/>
    <cellStyle name="Remarque 2 2 5 2 2 10" xfId="3162" xr:uid="{00000000-0005-0000-0000-00008F360000}"/>
    <cellStyle name="Remarque 2 2 5 2 2 10 2" xfId="27176" xr:uid="{00000000-0005-0000-0000-000090360000}"/>
    <cellStyle name="Remarque 2 2 5 2 2 10 2 2" xfId="51136" xr:uid="{00000000-0005-0000-0000-000091360000}"/>
    <cellStyle name="Remarque 2 2 5 2 2 10 3" xfId="14423" xr:uid="{00000000-0005-0000-0000-000092360000}"/>
    <cellStyle name="Remarque 2 2 5 2 2 10 4" xfId="38383" xr:uid="{00000000-0005-0000-0000-000093360000}"/>
    <cellStyle name="Remarque 2 2 5 2 2 11" xfId="4596" xr:uid="{00000000-0005-0000-0000-000094360000}"/>
    <cellStyle name="Remarque 2 2 5 2 2 11 2" xfId="28610" xr:uid="{00000000-0005-0000-0000-000095360000}"/>
    <cellStyle name="Remarque 2 2 5 2 2 11 2 2" xfId="52570" xr:uid="{00000000-0005-0000-0000-000096360000}"/>
    <cellStyle name="Remarque 2 2 5 2 2 11 3" xfId="15857" xr:uid="{00000000-0005-0000-0000-000097360000}"/>
    <cellStyle name="Remarque 2 2 5 2 2 11 4" xfId="39817" xr:uid="{00000000-0005-0000-0000-000098360000}"/>
    <cellStyle name="Remarque 2 2 5 2 2 12" xfId="5990" xr:uid="{00000000-0005-0000-0000-000099360000}"/>
    <cellStyle name="Remarque 2 2 5 2 2 12 2" xfId="30004" xr:uid="{00000000-0005-0000-0000-00009A360000}"/>
    <cellStyle name="Remarque 2 2 5 2 2 12 2 2" xfId="53964" xr:uid="{00000000-0005-0000-0000-00009B360000}"/>
    <cellStyle name="Remarque 2 2 5 2 2 12 3" xfId="17251" xr:uid="{00000000-0005-0000-0000-00009C360000}"/>
    <cellStyle name="Remarque 2 2 5 2 2 12 4" xfId="41211" xr:uid="{00000000-0005-0000-0000-00009D360000}"/>
    <cellStyle name="Remarque 2 2 5 2 2 13" xfId="7378" xr:uid="{00000000-0005-0000-0000-00009E360000}"/>
    <cellStyle name="Remarque 2 2 5 2 2 13 2" xfId="31392" xr:uid="{00000000-0005-0000-0000-00009F360000}"/>
    <cellStyle name="Remarque 2 2 5 2 2 13 2 2" xfId="55352" xr:uid="{00000000-0005-0000-0000-0000A0360000}"/>
    <cellStyle name="Remarque 2 2 5 2 2 13 3" xfId="18639" xr:uid="{00000000-0005-0000-0000-0000A1360000}"/>
    <cellStyle name="Remarque 2 2 5 2 2 13 4" xfId="42599" xr:uid="{00000000-0005-0000-0000-0000A2360000}"/>
    <cellStyle name="Remarque 2 2 5 2 2 14" xfId="8763" xr:uid="{00000000-0005-0000-0000-0000A3360000}"/>
    <cellStyle name="Remarque 2 2 5 2 2 14 2" xfId="32777" xr:uid="{00000000-0005-0000-0000-0000A4360000}"/>
    <cellStyle name="Remarque 2 2 5 2 2 14 2 2" xfId="56737" xr:uid="{00000000-0005-0000-0000-0000A5360000}"/>
    <cellStyle name="Remarque 2 2 5 2 2 14 3" xfId="20024" xr:uid="{00000000-0005-0000-0000-0000A6360000}"/>
    <cellStyle name="Remarque 2 2 5 2 2 14 4" xfId="43984" xr:uid="{00000000-0005-0000-0000-0000A7360000}"/>
    <cellStyle name="Remarque 2 2 5 2 2 15" xfId="10220" xr:uid="{00000000-0005-0000-0000-0000A8360000}"/>
    <cellStyle name="Remarque 2 2 5 2 2 15 2" xfId="34230" xr:uid="{00000000-0005-0000-0000-0000A9360000}"/>
    <cellStyle name="Remarque 2 2 5 2 2 15 2 2" xfId="58190" xr:uid="{00000000-0005-0000-0000-0000AA360000}"/>
    <cellStyle name="Remarque 2 2 5 2 2 15 3" xfId="21487" xr:uid="{00000000-0005-0000-0000-0000AB360000}"/>
    <cellStyle name="Remarque 2 2 5 2 2 15 4" xfId="45447" xr:uid="{00000000-0005-0000-0000-0000AC360000}"/>
    <cellStyle name="Remarque 2 2 5 2 2 16" xfId="11664" xr:uid="{00000000-0005-0000-0000-0000AD360000}"/>
    <cellStyle name="Remarque 2 2 5 2 2 16 2" xfId="22932" xr:uid="{00000000-0005-0000-0000-0000AE360000}"/>
    <cellStyle name="Remarque 2 2 5 2 2 16 3" xfId="46892" xr:uid="{00000000-0005-0000-0000-0000AF360000}"/>
    <cellStyle name="Remarque 2 2 5 2 2 17" xfId="1692" xr:uid="{00000000-0005-0000-0000-0000B0360000}"/>
    <cellStyle name="Remarque 2 2 5 2 2 17 2" xfId="25706" xr:uid="{00000000-0005-0000-0000-0000B1360000}"/>
    <cellStyle name="Remarque 2 2 5 2 2 17 3" xfId="49666" xr:uid="{00000000-0005-0000-0000-0000B2360000}"/>
    <cellStyle name="Remarque 2 2 5 2 2 18" xfId="24288" xr:uid="{00000000-0005-0000-0000-0000B3360000}"/>
    <cellStyle name="Remarque 2 2 5 2 2 18 2" xfId="48248" xr:uid="{00000000-0005-0000-0000-0000B4360000}"/>
    <cellStyle name="Remarque 2 2 5 2 2 19" xfId="36705" xr:uid="{00000000-0005-0000-0000-0000B5360000}"/>
    <cellStyle name="Remarque 2 2 5 2 2 19 2" xfId="60665" xr:uid="{00000000-0005-0000-0000-0000B6360000}"/>
    <cellStyle name="Remarque 2 2 5 2 2 2" xfId="431" xr:uid="{00000000-0005-0000-0000-0000B7360000}"/>
    <cellStyle name="Remarque 2 2 5 2 2 2 10" xfId="6165" xr:uid="{00000000-0005-0000-0000-0000B8360000}"/>
    <cellStyle name="Remarque 2 2 5 2 2 2 10 2" xfId="30179" xr:uid="{00000000-0005-0000-0000-0000B9360000}"/>
    <cellStyle name="Remarque 2 2 5 2 2 2 10 2 2" xfId="54139" xr:uid="{00000000-0005-0000-0000-0000BA360000}"/>
    <cellStyle name="Remarque 2 2 5 2 2 2 10 3" xfId="17426" xr:uid="{00000000-0005-0000-0000-0000BB360000}"/>
    <cellStyle name="Remarque 2 2 5 2 2 2 10 4" xfId="41386" xr:uid="{00000000-0005-0000-0000-0000BC360000}"/>
    <cellStyle name="Remarque 2 2 5 2 2 2 11" xfId="7553" xr:uid="{00000000-0005-0000-0000-0000BD360000}"/>
    <cellStyle name="Remarque 2 2 5 2 2 2 11 2" xfId="31567" xr:uid="{00000000-0005-0000-0000-0000BE360000}"/>
    <cellStyle name="Remarque 2 2 5 2 2 2 11 2 2" xfId="55527" xr:uid="{00000000-0005-0000-0000-0000BF360000}"/>
    <cellStyle name="Remarque 2 2 5 2 2 2 11 3" xfId="18814" xr:uid="{00000000-0005-0000-0000-0000C0360000}"/>
    <cellStyle name="Remarque 2 2 5 2 2 2 11 4" xfId="42774" xr:uid="{00000000-0005-0000-0000-0000C1360000}"/>
    <cellStyle name="Remarque 2 2 5 2 2 2 12" xfId="8938" xr:uid="{00000000-0005-0000-0000-0000C2360000}"/>
    <cellStyle name="Remarque 2 2 5 2 2 2 12 2" xfId="32952" xr:uid="{00000000-0005-0000-0000-0000C3360000}"/>
    <cellStyle name="Remarque 2 2 5 2 2 2 12 2 2" xfId="56912" xr:uid="{00000000-0005-0000-0000-0000C4360000}"/>
    <cellStyle name="Remarque 2 2 5 2 2 2 12 3" xfId="20199" xr:uid="{00000000-0005-0000-0000-0000C5360000}"/>
    <cellStyle name="Remarque 2 2 5 2 2 2 12 4" xfId="44159" xr:uid="{00000000-0005-0000-0000-0000C6360000}"/>
    <cellStyle name="Remarque 2 2 5 2 2 2 13" xfId="10395" xr:uid="{00000000-0005-0000-0000-0000C7360000}"/>
    <cellStyle name="Remarque 2 2 5 2 2 2 13 2" xfId="34405" xr:uid="{00000000-0005-0000-0000-0000C8360000}"/>
    <cellStyle name="Remarque 2 2 5 2 2 2 13 2 2" xfId="58365" xr:uid="{00000000-0005-0000-0000-0000C9360000}"/>
    <cellStyle name="Remarque 2 2 5 2 2 2 13 3" xfId="21662" xr:uid="{00000000-0005-0000-0000-0000CA360000}"/>
    <cellStyle name="Remarque 2 2 5 2 2 2 13 4" xfId="45622" xr:uid="{00000000-0005-0000-0000-0000CB360000}"/>
    <cellStyle name="Remarque 2 2 5 2 2 2 14" xfId="12680" xr:uid="{00000000-0005-0000-0000-0000CC360000}"/>
    <cellStyle name="Remarque 2 2 5 2 2 2 14 2" xfId="23985" xr:uid="{00000000-0005-0000-0000-0000CD360000}"/>
    <cellStyle name="Remarque 2 2 5 2 2 2 14 3" xfId="47945" xr:uid="{00000000-0005-0000-0000-0000CE360000}"/>
    <cellStyle name="Remarque 2 2 5 2 2 2 15" xfId="1867" xr:uid="{00000000-0005-0000-0000-0000CF360000}"/>
    <cellStyle name="Remarque 2 2 5 2 2 2 15 2" xfId="25881" xr:uid="{00000000-0005-0000-0000-0000D0360000}"/>
    <cellStyle name="Remarque 2 2 5 2 2 2 15 3" xfId="49841" xr:uid="{00000000-0005-0000-0000-0000D1360000}"/>
    <cellStyle name="Remarque 2 2 5 2 2 2 16" xfId="24463" xr:uid="{00000000-0005-0000-0000-0000D2360000}"/>
    <cellStyle name="Remarque 2 2 5 2 2 2 16 2" xfId="48423" xr:uid="{00000000-0005-0000-0000-0000D3360000}"/>
    <cellStyle name="Remarque 2 2 5 2 2 2 17" xfId="36278" xr:uid="{00000000-0005-0000-0000-0000D4360000}"/>
    <cellStyle name="Remarque 2 2 5 2 2 2 17 2" xfId="60238" xr:uid="{00000000-0005-0000-0000-0000D5360000}"/>
    <cellStyle name="Remarque 2 2 5 2 2 2 18" xfId="13128" xr:uid="{00000000-0005-0000-0000-0000D6360000}"/>
    <cellStyle name="Remarque 2 2 5 2 2 2 19" xfId="37088" xr:uid="{00000000-0005-0000-0000-0000D7360000}"/>
    <cellStyle name="Remarque 2 2 5 2 2 2 2" xfId="567" xr:uid="{00000000-0005-0000-0000-0000D8360000}"/>
    <cellStyle name="Remarque 2 2 5 2 2 2 2 10" xfId="24599" xr:uid="{00000000-0005-0000-0000-0000D9360000}"/>
    <cellStyle name="Remarque 2 2 5 2 2 2 2 10 2" xfId="48559" xr:uid="{00000000-0005-0000-0000-0000DA360000}"/>
    <cellStyle name="Remarque 2 2 5 2 2 2 2 11" xfId="36216" xr:uid="{00000000-0005-0000-0000-0000DB360000}"/>
    <cellStyle name="Remarque 2 2 5 2 2 2 2 11 2" xfId="60176" xr:uid="{00000000-0005-0000-0000-0000DC360000}"/>
    <cellStyle name="Remarque 2 2 5 2 2 2 2 12" xfId="13264" xr:uid="{00000000-0005-0000-0000-0000DD360000}"/>
    <cellStyle name="Remarque 2 2 5 2 2 2 2 13" xfId="37224" xr:uid="{00000000-0005-0000-0000-0000DE360000}"/>
    <cellStyle name="Remarque 2 2 5 2 2 2 2 2" xfId="3473" xr:uid="{00000000-0005-0000-0000-0000DF360000}"/>
    <cellStyle name="Remarque 2 2 5 2 2 2 2 2 2" xfId="27487" xr:uid="{00000000-0005-0000-0000-0000E0360000}"/>
    <cellStyle name="Remarque 2 2 5 2 2 2 2 2 2 2" xfId="51447" xr:uid="{00000000-0005-0000-0000-0000E1360000}"/>
    <cellStyle name="Remarque 2 2 5 2 2 2 2 2 3" xfId="14734" xr:uid="{00000000-0005-0000-0000-0000E2360000}"/>
    <cellStyle name="Remarque 2 2 5 2 2 2 2 2 4" xfId="38694" xr:uid="{00000000-0005-0000-0000-0000E3360000}"/>
    <cellStyle name="Remarque 2 2 5 2 2 2 2 3" xfId="4907" xr:uid="{00000000-0005-0000-0000-0000E4360000}"/>
    <cellStyle name="Remarque 2 2 5 2 2 2 2 3 2" xfId="28921" xr:uid="{00000000-0005-0000-0000-0000E5360000}"/>
    <cellStyle name="Remarque 2 2 5 2 2 2 2 3 2 2" xfId="52881" xr:uid="{00000000-0005-0000-0000-0000E6360000}"/>
    <cellStyle name="Remarque 2 2 5 2 2 2 2 3 3" xfId="16168" xr:uid="{00000000-0005-0000-0000-0000E7360000}"/>
    <cellStyle name="Remarque 2 2 5 2 2 2 2 3 4" xfId="40128" xr:uid="{00000000-0005-0000-0000-0000E8360000}"/>
    <cellStyle name="Remarque 2 2 5 2 2 2 2 4" xfId="6301" xr:uid="{00000000-0005-0000-0000-0000E9360000}"/>
    <cellStyle name="Remarque 2 2 5 2 2 2 2 4 2" xfId="30315" xr:uid="{00000000-0005-0000-0000-0000EA360000}"/>
    <cellStyle name="Remarque 2 2 5 2 2 2 2 4 2 2" xfId="54275" xr:uid="{00000000-0005-0000-0000-0000EB360000}"/>
    <cellStyle name="Remarque 2 2 5 2 2 2 2 4 3" xfId="17562" xr:uid="{00000000-0005-0000-0000-0000EC360000}"/>
    <cellStyle name="Remarque 2 2 5 2 2 2 2 4 4" xfId="41522" xr:uid="{00000000-0005-0000-0000-0000ED360000}"/>
    <cellStyle name="Remarque 2 2 5 2 2 2 2 5" xfId="7689" xr:uid="{00000000-0005-0000-0000-0000EE360000}"/>
    <cellStyle name="Remarque 2 2 5 2 2 2 2 5 2" xfId="31703" xr:uid="{00000000-0005-0000-0000-0000EF360000}"/>
    <cellStyle name="Remarque 2 2 5 2 2 2 2 5 2 2" xfId="55663" xr:uid="{00000000-0005-0000-0000-0000F0360000}"/>
    <cellStyle name="Remarque 2 2 5 2 2 2 2 5 3" xfId="18950" xr:uid="{00000000-0005-0000-0000-0000F1360000}"/>
    <cellStyle name="Remarque 2 2 5 2 2 2 2 5 4" xfId="42910" xr:uid="{00000000-0005-0000-0000-0000F2360000}"/>
    <cellStyle name="Remarque 2 2 5 2 2 2 2 6" xfId="9074" xr:uid="{00000000-0005-0000-0000-0000F3360000}"/>
    <cellStyle name="Remarque 2 2 5 2 2 2 2 6 2" xfId="33088" xr:uid="{00000000-0005-0000-0000-0000F4360000}"/>
    <cellStyle name="Remarque 2 2 5 2 2 2 2 6 2 2" xfId="57048" xr:uid="{00000000-0005-0000-0000-0000F5360000}"/>
    <cellStyle name="Remarque 2 2 5 2 2 2 2 6 3" xfId="20335" xr:uid="{00000000-0005-0000-0000-0000F6360000}"/>
    <cellStyle name="Remarque 2 2 5 2 2 2 2 6 4" xfId="44295" xr:uid="{00000000-0005-0000-0000-0000F7360000}"/>
    <cellStyle name="Remarque 2 2 5 2 2 2 2 7" xfId="10531" xr:uid="{00000000-0005-0000-0000-0000F8360000}"/>
    <cellStyle name="Remarque 2 2 5 2 2 2 2 7 2" xfId="34541" xr:uid="{00000000-0005-0000-0000-0000F9360000}"/>
    <cellStyle name="Remarque 2 2 5 2 2 2 2 7 2 2" xfId="58501" xr:uid="{00000000-0005-0000-0000-0000FA360000}"/>
    <cellStyle name="Remarque 2 2 5 2 2 2 2 7 3" xfId="21798" xr:uid="{00000000-0005-0000-0000-0000FB360000}"/>
    <cellStyle name="Remarque 2 2 5 2 2 2 2 7 4" xfId="45758" xr:uid="{00000000-0005-0000-0000-0000FC360000}"/>
    <cellStyle name="Remarque 2 2 5 2 2 2 2 8" xfId="12900" xr:uid="{00000000-0005-0000-0000-0000FD360000}"/>
    <cellStyle name="Remarque 2 2 5 2 2 2 2 8 2" xfId="24213" xr:uid="{00000000-0005-0000-0000-0000FE360000}"/>
    <cellStyle name="Remarque 2 2 5 2 2 2 2 8 3" xfId="48173" xr:uid="{00000000-0005-0000-0000-0000FF360000}"/>
    <cellStyle name="Remarque 2 2 5 2 2 2 2 9" xfId="2003" xr:uid="{00000000-0005-0000-0000-000000370000}"/>
    <cellStyle name="Remarque 2 2 5 2 2 2 2 9 2" xfId="26017" xr:uid="{00000000-0005-0000-0000-000001370000}"/>
    <cellStyle name="Remarque 2 2 5 2 2 2 2 9 3" xfId="49977" xr:uid="{00000000-0005-0000-0000-000002370000}"/>
    <cellStyle name="Remarque 2 2 5 2 2 2 3" xfId="759" xr:uid="{00000000-0005-0000-0000-000003370000}"/>
    <cellStyle name="Remarque 2 2 5 2 2 2 3 10" xfId="24791" xr:uid="{00000000-0005-0000-0000-000004370000}"/>
    <cellStyle name="Remarque 2 2 5 2 2 2 3 10 2" xfId="48751" xr:uid="{00000000-0005-0000-0000-000005370000}"/>
    <cellStyle name="Remarque 2 2 5 2 2 2 3 11" xfId="36049" xr:uid="{00000000-0005-0000-0000-000006370000}"/>
    <cellStyle name="Remarque 2 2 5 2 2 2 3 11 2" xfId="60009" xr:uid="{00000000-0005-0000-0000-000007370000}"/>
    <cellStyle name="Remarque 2 2 5 2 2 2 3 12" xfId="13456" xr:uid="{00000000-0005-0000-0000-000008370000}"/>
    <cellStyle name="Remarque 2 2 5 2 2 2 3 13" xfId="37416" xr:uid="{00000000-0005-0000-0000-000009370000}"/>
    <cellStyle name="Remarque 2 2 5 2 2 2 3 2" xfId="3665" xr:uid="{00000000-0005-0000-0000-00000A370000}"/>
    <cellStyle name="Remarque 2 2 5 2 2 2 3 2 2" xfId="27679" xr:uid="{00000000-0005-0000-0000-00000B370000}"/>
    <cellStyle name="Remarque 2 2 5 2 2 2 3 2 2 2" xfId="51639" xr:uid="{00000000-0005-0000-0000-00000C370000}"/>
    <cellStyle name="Remarque 2 2 5 2 2 2 3 2 3" xfId="14926" xr:uid="{00000000-0005-0000-0000-00000D370000}"/>
    <cellStyle name="Remarque 2 2 5 2 2 2 3 2 4" xfId="38886" xr:uid="{00000000-0005-0000-0000-00000E370000}"/>
    <cellStyle name="Remarque 2 2 5 2 2 2 3 3" xfId="5099" xr:uid="{00000000-0005-0000-0000-00000F370000}"/>
    <cellStyle name="Remarque 2 2 5 2 2 2 3 3 2" xfId="29113" xr:uid="{00000000-0005-0000-0000-000010370000}"/>
    <cellStyle name="Remarque 2 2 5 2 2 2 3 3 2 2" xfId="53073" xr:uid="{00000000-0005-0000-0000-000011370000}"/>
    <cellStyle name="Remarque 2 2 5 2 2 2 3 3 3" xfId="16360" xr:uid="{00000000-0005-0000-0000-000012370000}"/>
    <cellStyle name="Remarque 2 2 5 2 2 2 3 3 4" xfId="40320" xr:uid="{00000000-0005-0000-0000-000013370000}"/>
    <cellStyle name="Remarque 2 2 5 2 2 2 3 4" xfId="6493" xr:uid="{00000000-0005-0000-0000-000014370000}"/>
    <cellStyle name="Remarque 2 2 5 2 2 2 3 4 2" xfId="30507" xr:uid="{00000000-0005-0000-0000-000015370000}"/>
    <cellStyle name="Remarque 2 2 5 2 2 2 3 4 2 2" xfId="54467" xr:uid="{00000000-0005-0000-0000-000016370000}"/>
    <cellStyle name="Remarque 2 2 5 2 2 2 3 4 3" xfId="17754" xr:uid="{00000000-0005-0000-0000-000017370000}"/>
    <cellStyle name="Remarque 2 2 5 2 2 2 3 4 4" xfId="41714" xr:uid="{00000000-0005-0000-0000-000018370000}"/>
    <cellStyle name="Remarque 2 2 5 2 2 2 3 5" xfId="7881" xr:uid="{00000000-0005-0000-0000-000019370000}"/>
    <cellStyle name="Remarque 2 2 5 2 2 2 3 5 2" xfId="31895" xr:uid="{00000000-0005-0000-0000-00001A370000}"/>
    <cellStyle name="Remarque 2 2 5 2 2 2 3 5 2 2" xfId="55855" xr:uid="{00000000-0005-0000-0000-00001B370000}"/>
    <cellStyle name="Remarque 2 2 5 2 2 2 3 5 3" xfId="19142" xr:uid="{00000000-0005-0000-0000-00001C370000}"/>
    <cellStyle name="Remarque 2 2 5 2 2 2 3 5 4" xfId="43102" xr:uid="{00000000-0005-0000-0000-00001D370000}"/>
    <cellStyle name="Remarque 2 2 5 2 2 2 3 6" xfId="9266" xr:uid="{00000000-0005-0000-0000-00001E370000}"/>
    <cellStyle name="Remarque 2 2 5 2 2 2 3 6 2" xfId="33280" xr:uid="{00000000-0005-0000-0000-00001F370000}"/>
    <cellStyle name="Remarque 2 2 5 2 2 2 3 6 2 2" xfId="57240" xr:uid="{00000000-0005-0000-0000-000020370000}"/>
    <cellStyle name="Remarque 2 2 5 2 2 2 3 6 3" xfId="20527" xr:uid="{00000000-0005-0000-0000-000021370000}"/>
    <cellStyle name="Remarque 2 2 5 2 2 2 3 6 4" xfId="44487" xr:uid="{00000000-0005-0000-0000-000022370000}"/>
    <cellStyle name="Remarque 2 2 5 2 2 2 3 7" xfId="10723" xr:uid="{00000000-0005-0000-0000-000023370000}"/>
    <cellStyle name="Remarque 2 2 5 2 2 2 3 7 2" xfId="34733" xr:uid="{00000000-0005-0000-0000-000024370000}"/>
    <cellStyle name="Remarque 2 2 5 2 2 2 3 7 2 2" xfId="58693" xr:uid="{00000000-0005-0000-0000-000025370000}"/>
    <cellStyle name="Remarque 2 2 5 2 2 2 3 7 3" xfId="21990" xr:uid="{00000000-0005-0000-0000-000026370000}"/>
    <cellStyle name="Remarque 2 2 5 2 2 2 3 7 4" xfId="45950" xr:uid="{00000000-0005-0000-0000-000027370000}"/>
    <cellStyle name="Remarque 2 2 5 2 2 2 3 8" xfId="12671" xr:uid="{00000000-0005-0000-0000-000028370000}"/>
    <cellStyle name="Remarque 2 2 5 2 2 2 3 8 2" xfId="23976" xr:uid="{00000000-0005-0000-0000-000029370000}"/>
    <cellStyle name="Remarque 2 2 5 2 2 2 3 8 3" xfId="47936" xr:uid="{00000000-0005-0000-0000-00002A370000}"/>
    <cellStyle name="Remarque 2 2 5 2 2 2 3 9" xfId="2195" xr:uid="{00000000-0005-0000-0000-00002B370000}"/>
    <cellStyle name="Remarque 2 2 5 2 2 2 3 9 2" xfId="26209" xr:uid="{00000000-0005-0000-0000-00002C370000}"/>
    <cellStyle name="Remarque 2 2 5 2 2 2 3 9 3" xfId="50169" xr:uid="{00000000-0005-0000-0000-00002D370000}"/>
    <cellStyle name="Remarque 2 2 5 2 2 2 4" xfId="953" xr:uid="{00000000-0005-0000-0000-00002E370000}"/>
    <cellStyle name="Remarque 2 2 5 2 2 2 4 10" xfId="24985" xr:uid="{00000000-0005-0000-0000-00002F370000}"/>
    <cellStyle name="Remarque 2 2 5 2 2 2 4 10 2" xfId="48945" xr:uid="{00000000-0005-0000-0000-000030370000}"/>
    <cellStyle name="Remarque 2 2 5 2 2 2 4 11" xfId="36280" xr:uid="{00000000-0005-0000-0000-000031370000}"/>
    <cellStyle name="Remarque 2 2 5 2 2 2 4 11 2" xfId="60240" xr:uid="{00000000-0005-0000-0000-000032370000}"/>
    <cellStyle name="Remarque 2 2 5 2 2 2 4 12" xfId="13650" xr:uid="{00000000-0005-0000-0000-000033370000}"/>
    <cellStyle name="Remarque 2 2 5 2 2 2 4 13" xfId="37610" xr:uid="{00000000-0005-0000-0000-000034370000}"/>
    <cellStyle name="Remarque 2 2 5 2 2 2 4 2" xfId="3859" xr:uid="{00000000-0005-0000-0000-000035370000}"/>
    <cellStyle name="Remarque 2 2 5 2 2 2 4 2 2" xfId="27873" xr:uid="{00000000-0005-0000-0000-000036370000}"/>
    <cellStyle name="Remarque 2 2 5 2 2 2 4 2 2 2" xfId="51833" xr:uid="{00000000-0005-0000-0000-000037370000}"/>
    <cellStyle name="Remarque 2 2 5 2 2 2 4 2 3" xfId="15120" xr:uid="{00000000-0005-0000-0000-000038370000}"/>
    <cellStyle name="Remarque 2 2 5 2 2 2 4 2 4" xfId="39080" xr:uid="{00000000-0005-0000-0000-000039370000}"/>
    <cellStyle name="Remarque 2 2 5 2 2 2 4 3" xfId="5293" xr:uid="{00000000-0005-0000-0000-00003A370000}"/>
    <cellStyle name="Remarque 2 2 5 2 2 2 4 3 2" xfId="29307" xr:uid="{00000000-0005-0000-0000-00003B370000}"/>
    <cellStyle name="Remarque 2 2 5 2 2 2 4 3 2 2" xfId="53267" xr:uid="{00000000-0005-0000-0000-00003C370000}"/>
    <cellStyle name="Remarque 2 2 5 2 2 2 4 3 3" xfId="16554" xr:uid="{00000000-0005-0000-0000-00003D370000}"/>
    <cellStyle name="Remarque 2 2 5 2 2 2 4 3 4" xfId="40514" xr:uid="{00000000-0005-0000-0000-00003E370000}"/>
    <cellStyle name="Remarque 2 2 5 2 2 2 4 4" xfId="6687" xr:uid="{00000000-0005-0000-0000-00003F370000}"/>
    <cellStyle name="Remarque 2 2 5 2 2 2 4 4 2" xfId="30701" xr:uid="{00000000-0005-0000-0000-000040370000}"/>
    <cellStyle name="Remarque 2 2 5 2 2 2 4 4 2 2" xfId="54661" xr:uid="{00000000-0005-0000-0000-000041370000}"/>
    <cellStyle name="Remarque 2 2 5 2 2 2 4 4 3" xfId="17948" xr:uid="{00000000-0005-0000-0000-000042370000}"/>
    <cellStyle name="Remarque 2 2 5 2 2 2 4 4 4" xfId="41908" xr:uid="{00000000-0005-0000-0000-000043370000}"/>
    <cellStyle name="Remarque 2 2 5 2 2 2 4 5" xfId="8075" xr:uid="{00000000-0005-0000-0000-000044370000}"/>
    <cellStyle name="Remarque 2 2 5 2 2 2 4 5 2" xfId="32089" xr:uid="{00000000-0005-0000-0000-000045370000}"/>
    <cellStyle name="Remarque 2 2 5 2 2 2 4 5 2 2" xfId="56049" xr:uid="{00000000-0005-0000-0000-000046370000}"/>
    <cellStyle name="Remarque 2 2 5 2 2 2 4 5 3" xfId="19336" xr:uid="{00000000-0005-0000-0000-000047370000}"/>
    <cellStyle name="Remarque 2 2 5 2 2 2 4 5 4" xfId="43296" xr:uid="{00000000-0005-0000-0000-000048370000}"/>
    <cellStyle name="Remarque 2 2 5 2 2 2 4 6" xfId="9460" xr:uid="{00000000-0005-0000-0000-000049370000}"/>
    <cellStyle name="Remarque 2 2 5 2 2 2 4 6 2" xfId="33474" xr:uid="{00000000-0005-0000-0000-00004A370000}"/>
    <cellStyle name="Remarque 2 2 5 2 2 2 4 6 2 2" xfId="57434" xr:uid="{00000000-0005-0000-0000-00004B370000}"/>
    <cellStyle name="Remarque 2 2 5 2 2 2 4 6 3" xfId="20721" xr:uid="{00000000-0005-0000-0000-00004C370000}"/>
    <cellStyle name="Remarque 2 2 5 2 2 2 4 6 4" xfId="44681" xr:uid="{00000000-0005-0000-0000-00004D370000}"/>
    <cellStyle name="Remarque 2 2 5 2 2 2 4 7" xfId="10917" xr:uid="{00000000-0005-0000-0000-00004E370000}"/>
    <cellStyle name="Remarque 2 2 5 2 2 2 4 7 2" xfId="34927" xr:uid="{00000000-0005-0000-0000-00004F370000}"/>
    <cellStyle name="Remarque 2 2 5 2 2 2 4 7 2 2" xfId="58887" xr:uid="{00000000-0005-0000-0000-000050370000}"/>
    <cellStyle name="Remarque 2 2 5 2 2 2 4 7 3" xfId="22184" xr:uid="{00000000-0005-0000-0000-000051370000}"/>
    <cellStyle name="Remarque 2 2 5 2 2 2 4 7 4" xfId="46144" xr:uid="{00000000-0005-0000-0000-000052370000}"/>
    <cellStyle name="Remarque 2 2 5 2 2 2 4 8" xfId="12595" xr:uid="{00000000-0005-0000-0000-000053370000}"/>
    <cellStyle name="Remarque 2 2 5 2 2 2 4 8 2" xfId="23896" xr:uid="{00000000-0005-0000-0000-000054370000}"/>
    <cellStyle name="Remarque 2 2 5 2 2 2 4 8 3" xfId="47856" xr:uid="{00000000-0005-0000-0000-000055370000}"/>
    <cellStyle name="Remarque 2 2 5 2 2 2 4 9" xfId="2389" xr:uid="{00000000-0005-0000-0000-000056370000}"/>
    <cellStyle name="Remarque 2 2 5 2 2 2 4 9 2" xfId="26403" xr:uid="{00000000-0005-0000-0000-000057370000}"/>
    <cellStyle name="Remarque 2 2 5 2 2 2 4 9 3" xfId="50363" xr:uid="{00000000-0005-0000-0000-000058370000}"/>
    <cellStyle name="Remarque 2 2 5 2 2 2 5" xfId="1146" xr:uid="{00000000-0005-0000-0000-000059370000}"/>
    <cellStyle name="Remarque 2 2 5 2 2 2 5 10" xfId="25178" xr:uid="{00000000-0005-0000-0000-00005A370000}"/>
    <cellStyle name="Remarque 2 2 5 2 2 2 5 10 2" xfId="49138" xr:uid="{00000000-0005-0000-0000-00005B370000}"/>
    <cellStyle name="Remarque 2 2 5 2 2 2 5 11" xfId="36736" xr:uid="{00000000-0005-0000-0000-00005C370000}"/>
    <cellStyle name="Remarque 2 2 5 2 2 2 5 11 2" xfId="60696" xr:uid="{00000000-0005-0000-0000-00005D370000}"/>
    <cellStyle name="Remarque 2 2 5 2 2 2 5 12" xfId="13843" xr:uid="{00000000-0005-0000-0000-00005E370000}"/>
    <cellStyle name="Remarque 2 2 5 2 2 2 5 13" xfId="37803" xr:uid="{00000000-0005-0000-0000-00005F370000}"/>
    <cellStyle name="Remarque 2 2 5 2 2 2 5 2" xfId="4052" xr:uid="{00000000-0005-0000-0000-000060370000}"/>
    <cellStyle name="Remarque 2 2 5 2 2 2 5 2 2" xfId="28066" xr:uid="{00000000-0005-0000-0000-000061370000}"/>
    <cellStyle name="Remarque 2 2 5 2 2 2 5 2 2 2" xfId="52026" xr:uid="{00000000-0005-0000-0000-000062370000}"/>
    <cellStyle name="Remarque 2 2 5 2 2 2 5 2 3" xfId="15313" xr:uid="{00000000-0005-0000-0000-000063370000}"/>
    <cellStyle name="Remarque 2 2 5 2 2 2 5 2 4" xfId="39273" xr:uid="{00000000-0005-0000-0000-000064370000}"/>
    <cellStyle name="Remarque 2 2 5 2 2 2 5 3" xfId="5486" xr:uid="{00000000-0005-0000-0000-000065370000}"/>
    <cellStyle name="Remarque 2 2 5 2 2 2 5 3 2" xfId="29500" xr:uid="{00000000-0005-0000-0000-000066370000}"/>
    <cellStyle name="Remarque 2 2 5 2 2 2 5 3 2 2" xfId="53460" xr:uid="{00000000-0005-0000-0000-000067370000}"/>
    <cellStyle name="Remarque 2 2 5 2 2 2 5 3 3" xfId="16747" xr:uid="{00000000-0005-0000-0000-000068370000}"/>
    <cellStyle name="Remarque 2 2 5 2 2 2 5 3 4" xfId="40707" xr:uid="{00000000-0005-0000-0000-000069370000}"/>
    <cellStyle name="Remarque 2 2 5 2 2 2 5 4" xfId="6880" xr:uid="{00000000-0005-0000-0000-00006A370000}"/>
    <cellStyle name="Remarque 2 2 5 2 2 2 5 4 2" xfId="30894" xr:uid="{00000000-0005-0000-0000-00006B370000}"/>
    <cellStyle name="Remarque 2 2 5 2 2 2 5 4 2 2" xfId="54854" xr:uid="{00000000-0005-0000-0000-00006C370000}"/>
    <cellStyle name="Remarque 2 2 5 2 2 2 5 4 3" xfId="18141" xr:uid="{00000000-0005-0000-0000-00006D370000}"/>
    <cellStyle name="Remarque 2 2 5 2 2 2 5 4 4" xfId="42101" xr:uid="{00000000-0005-0000-0000-00006E370000}"/>
    <cellStyle name="Remarque 2 2 5 2 2 2 5 5" xfId="8268" xr:uid="{00000000-0005-0000-0000-00006F370000}"/>
    <cellStyle name="Remarque 2 2 5 2 2 2 5 5 2" xfId="32282" xr:uid="{00000000-0005-0000-0000-000070370000}"/>
    <cellStyle name="Remarque 2 2 5 2 2 2 5 5 2 2" xfId="56242" xr:uid="{00000000-0005-0000-0000-000071370000}"/>
    <cellStyle name="Remarque 2 2 5 2 2 2 5 5 3" xfId="19529" xr:uid="{00000000-0005-0000-0000-000072370000}"/>
    <cellStyle name="Remarque 2 2 5 2 2 2 5 5 4" xfId="43489" xr:uid="{00000000-0005-0000-0000-000073370000}"/>
    <cellStyle name="Remarque 2 2 5 2 2 2 5 6" xfId="9653" xr:uid="{00000000-0005-0000-0000-000074370000}"/>
    <cellStyle name="Remarque 2 2 5 2 2 2 5 6 2" xfId="33667" xr:uid="{00000000-0005-0000-0000-000075370000}"/>
    <cellStyle name="Remarque 2 2 5 2 2 2 5 6 2 2" xfId="57627" xr:uid="{00000000-0005-0000-0000-000076370000}"/>
    <cellStyle name="Remarque 2 2 5 2 2 2 5 6 3" xfId="20914" xr:uid="{00000000-0005-0000-0000-000077370000}"/>
    <cellStyle name="Remarque 2 2 5 2 2 2 5 6 4" xfId="44874" xr:uid="{00000000-0005-0000-0000-000078370000}"/>
    <cellStyle name="Remarque 2 2 5 2 2 2 5 7" xfId="11110" xr:uid="{00000000-0005-0000-0000-000079370000}"/>
    <cellStyle name="Remarque 2 2 5 2 2 2 5 7 2" xfId="35120" xr:uid="{00000000-0005-0000-0000-00007A370000}"/>
    <cellStyle name="Remarque 2 2 5 2 2 2 5 7 2 2" xfId="59080" xr:uid="{00000000-0005-0000-0000-00007B370000}"/>
    <cellStyle name="Remarque 2 2 5 2 2 2 5 7 3" xfId="22377" xr:uid="{00000000-0005-0000-0000-00007C370000}"/>
    <cellStyle name="Remarque 2 2 5 2 2 2 5 7 4" xfId="46337" xr:uid="{00000000-0005-0000-0000-00007D370000}"/>
    <cellStyle name="Remarque 2 2 5 2 2 2 5 8" xfId="11999" xr:uid="{00000000-0005-0000-0000-00007E370000}"/>
    <cellStyle name="Remarque 2 2 5 2 2 2 5 8 2" xfId="23278" xr:uid="{00000000-0005-0000-0000-00007F370000}"/>
    <cellStyle name="Remarque 2 2 5 2 2 2 5 8 3" xfId="47238" xr:uid="{00000000-0005-0000-0000-000080370000}"/>
    <cellStyle name="Remarque 2 2 5 2 2 2 5 9" xfId="2582" xr:uid="{00000000-0005-0000-0000-000081370000}"/>
    <cellStyle name="Remarque 2 2 5 2 2 2 5 9 2" xfId="26596" xr:uid="{00000000-0005-0000-0000-000082370000}"/>
    <cellStyle name="Remarque 2 2 5 2 2 2 5 9 3" xfId="50556" xr:uid="{00000000-0005-0000-0000-000083370000}"/>
    <cellStyle name="Remarque 2 2 5 2 2 2 6" xfId="1313" xr:uid="{00000000-0005-0000-0000-000084370000}"/>
    <cellStyle name="Remarque 2 2 5 2 2 2 6 10" xfId="25345" xr:uid="{00000000-0005-0000-0000-000085370000}"/>
    <cellStyle name="Remarque 2 2 5 2 2 2 6 10 2" xfId="49305" xr:uid="{00000000-0005-0000-0000-000086370000}"/>
    <cellStyle name="Remarque 2 2 5 2 2 2 6 11" xfId="36778" xr:uid="{00000000-0005-0000-0000-000087370000}"/>
    <cellStyle name="Remarque 2 2 5 2 2 2 6 11 2" xfId="60738" xr:uid="{00000000-0005-0000-0000-000088370000}"/>
    <cellStyle name="Remarque 2 2 5 2 2 2 6 12" xfId="14010" xr:uid="{00000000-0005-0000-0000-000089370000}"/>
    <cellStyle name="Remarque 2 2 5 2 2 2 6 13" xfId="37970" xr:uid="{00000000-0005-0000-0000-00008A370000}"/>
    <cellStyle name="Remarque 2 2 5 2 2 2 6 2" xfId="4219" xr:uid="{00000000-0005-0000-0000-00008B370000}"/>
    <cellStyle name="Remarque 2 2 5 2 2 2 6 2 2" xfId="28233" xr:uid="{00000000-0005-0000-0000-00008C370000}"/>
    <cellStyle name="Remarque 2 2 5 2 2 2 6 2 2 2" xfId="52193" xr:uid="{00000000-0005-0000-0000-00008D370000}"/>
    <cellStyle name="Remarque 2 2 5 2 2 2 6 2 3" xfId="15480" xr:uid="{00000000-0005-0000-0000-00008E370000}"/>
    <cellStyle name="Remarque 2 2 5 2 2 2 6 2 4" xfId="39440" xr:uid="{00000000-0005-0000-0000-00008F370000}"/>
    <cellStyle name="Remarque 2 2 5 2 2 2 6 3" xfId="5653" xr:uid="{00000000-0005-0000-0000-000090370000}"/>
    <cellStyle name="Remarque 2 2 5 2 2 2 6 3 2" xfId="29667" xr:uid="{00000000-0005-0000-0000-000091370000}"/>
    <cellStyle name="Remarque 2 2 5 2 2 2 6 3 2 2" xfId="53627" xr:uid="{00000000-0005-0000-0000-000092370000}"/>
    <cellStyle name="Remarque 2 2 5 2 2 2 6 3 3" xfId="16914" xr:uid="{00000000-0005-0000-0000-000093370000}"/>
    <cellStyle name="Remarque 2 2 5 2 2 2 6 3 4" xfId="40874" xr:uid="{00000000-0005-0000-0000-000094370000}"/>
    <cellStyle name="Remarque 2 2 5 2 2 2 6 4" xfId="7047" xr:uid="{00000000-0005-0000-0000-000095370000}"/>
    <cellStyle name="Remarque 2 2 5 2 2 2 6 4 2" xfId="31061" xr:uid="{00000000-0005-0000-0000-000096370000}"/>
    <cellStyle name="Remarque 2 2 5 2 2 2 6 4 2 2" xfId="55021" xr:uid="{00000000-0005-0000-0000-000097370000}"/>
    <cellStyle name="Remarque 2 2 5 2 2 2 6 4 3" xfId="18308" xr:uid="{00000000-0005-0000-0000-000098370000}"/>
    <cellStyle name="Remarque 2 2 5 2 2 2 6 4 4" xfId="42268" xr:uid="{00000000-0005-0000-0000-000099370000}"/>
    <cellStyle name="Remarque 2 2 5 2 2 2 6 5" xfId="8435" xr:uid="{00000000-0005-0000-0000-00009A370000}"/>
    <cellStyle name="Remarque 2 2 5 2 2 2 6 5 2" xfId="32449" xr:uid="{00000000-0005-0000-0000-00009B370000}"/>
    <cellStyle name="Remarque 2 2 5 2 2 2 6 5 2 2" xfId="56409" xr:uid="{00000000-0005-0000-0000-00009C370000}"/>
    <cellStyle name="Remarque 2 2 5 2 2 2 6 5 3" xfId="19696" xr:uid="{00000000-0005-0000-0000-00009D370000}"/>
    <cellStyle name="Remarque 2 2 5 2 2 2 6 5 4" xfId="43656" xr:uid="{00000000-0005-0000-0000-00009E370000}"/>
    <cellStyle name="Remarque 2 2 5 2 2 2 6 6" xfId="9820" xr:uid="{00000000-0005-0000-0000-00009F370000}"/>
    <cellStyle name="Remarque 2 2 5 2 2 2 6 6 2" xfId="33834" xr:uid="{00000000-0005-0000-0000-0000A0370000}"/>
    <cellStyle name="Remarque 2 2 5 2 2 2 6 6 2 2" xfId="57794" xr:uid="{00000000-0005-0000-0000-0000A1370000}"/>
    <cellStyle name="Remarque 2 2 5 2 2 2 6 6 3" xfId="21081" xr:uid="{00000000-0005-0000-0000-0000A2370000}"/>
    <cellStyle name="Remarque 2 2 5 2 2 2 6 6 4" xfId="45041" xr:uid="{00000000-0005-0000-0000-0000A3370000}"/>
    <cellStyle name="Remarque 2 2 5 2 2 2 6 7" xfId="11277" xr:uid="{00000000-0005-0000-0000-0000A4370000}"/>
    <cellStyle name="Remarque 2 2 5 2 2 2 6 7 2" xfId="35287" xr:uid="{00000000-0005-0000-0000-0000A5370000}"/>
    <cellStyle name="Remarque 2 2 5 2 2 2 6 7 2 2" xfId="59247" xr:uid="{00000000-0005-0000-0000-0000A6370000}"/>
    <cellStyle name="Remarque 2 2 5 2 2 2 6 7 3" xfId="22544" xr:uid="{00000000-0005-0000-0000-0000A7370000}"/>
    <cellStyle name="Remarque 2 2 5 2 2 2 6 7 4" xfId="46504" xr:uid="{00000000-0005-0000-0000-0000A8370000}"/>
    <cellStyle name="Remarque 2 2 5 2 2 2 6 8" xfId="11849" xr:uid="{00000000-0005-0000-0000-0000A9370000}"/>
    <cellStyle name="Remarque 2 2 5 2 2 2 6 8 2" xfId="23125" xr:uid="{00000000-0005-0000-0000-0000AA370000}"/>
    <cellStyle name="Remarque 2 2 5 2 2 2 6 8 3" xfId="47085" xr:uid="{00000000-0005-0000-0000-0000AB370000}"/>
    <cellStyle name="Remarque 2 2 5 2 2 2 6 9" xfId="2749" xr:uid="{00000000-0005-0000-0000-0000AC370000}"/>
    <cellStyle name="Remarque 2 2 5 2 2 2 6 9 2" xfId="26763" xr:uid="{00000000-0005-0000-0000-0000AD370000}"/>
    <cellStyle name="Remarque 2 2 5 2 2 2 6 9 3" xfId="50723" xr:uid="{00000000-0005-0000-0000-0000AE370000}"/>
    <cellStyle name="Remarque 2 2 5 2 2 2 7" xfId="1482" xr:uid="{00000000-0005-0000-0000-0000AF370000}"/>
    <cellStyle name="Remarque 2 2 5 2 2 2 7 10" xfId="25514" xr:uid="{00000000-0005-0000-0000-0000B0370000}"/>
    <cellStyle name="Remarque 2 2 5 2 2 2 7 10 2" xfId="49474" xr:uid="{00000000-0005-0000-0000-0000B1370000}"/>
    <cellStyle name="Remarque 2 2 5 2 2 2 7 11" xfId="36795" xr:uid="{00000000-0005-0000-0000-0000B2370000}"/>
    <cellStyle name="Remarque 2 2 5 2 2 2 7 11 2" xfId="60755" xr:uid="{00000000-0005-0000-0000-0000B3370000}"/>
    <cellStyle name="Remarque 2 2 5 2 2 2 7 12" xfId="14179" xr:uid="{00000000-0005-0000-0000-0000B4370000}"/>
    <cellStyle name="Remarque 2 2 5 2 2 2 7 13" xfId="38139" xr:uid="{00000000-0005-0000-0000-0000B5370000}"/>
    <cellStyle name="Remarque 2 2 5 2 2 2 7 2" xfId="4388" xr:uid="{00000000-0005-0000-0000-0000B6370000}"/>
    <cellStyle name="Remarque 2 2 5 2 2 2 7 2 2" xfId="28402" xr:uid="{00000000-0005-0000-0000-0000B7370000}"/>
    <cellStyle name="Remarque 2 2 5 2 2 2 7 2 2 2" xfId="52362" xr:uid="{00000000-0005-0000-0000-0000B8370000}"/>
    <cellStyle name="Remarque 2 2 5 2 2 2 7 2 3" xfId="15649" xr:uid="{00000000-0005-0000-0000-0000B9370000}"/>
    <cellStyle name="Remarque 2 2 5 2 2 2 7 2 4" xfId="39609" xr:uid="{00000000-0005-0000-0000-0000BA370000}"/>
    <cellStyle name="Remarque 2 2 5 2 2 2 7 3" xfId="5822" xr:uid="{00000000-0005-0000-0000-0000BB370000}"/>
    <cellStyle name="Remarque 2 2 5 2 2 2 7 3 2" xfId="29836" xr:uid="{00000000-0005-0000-0000-0000BC370000}"/>
    <cellStyle name="Remarque 2 2 5 2 2 2 7 3 2 2" xfId="53796" xr:uid="{00000000-0005-0000-0000-0000BD370000}"/>
    <cellStyle name="Remarque 2 2 5 2 2 2 7 3 3" xfId="17083" xr:uid="{00000000-0005-0000-0000-0000BE370000}"/>
    <cellStyle name="Remarque 2 2 5 2 2 2 7 3 4" xfId="41043" xr:uid="{00000000-0005-0000-0000-0000BF370000}"/>
    <cellStyle name="Remarque 2 2 5 2 2 2 7 4" xfId="7216" xr:uid="{00000000-0005-0000-0000-0000C0370000}"/>
    <cellStyle name="Remarque 2 2 5 2 2 2 7 4 2" xfId="31230" xr:uid="{00000000-0005-0000-0000-0000C1370000}"/>
    <cellStyle name="Remarque 2 2 5 2 2 2 7 4 2 2" xfId="55190" xr:uid="{00000000-0005-0000-0000-0000C2370000}"/>
    <cellStyle name="Remarque 2 2 5 2 2 2 7 4 3" xfId="18477" xr:uid="{00000000-0005-0000-0000-0000C3370000}"/>
    <cellStyle name="Remarque 2 2 5 2 2 2 7 4 4" xfId="42437" xr:uid="{00000000-0005-0000-0000-0000C4370000}"/>
    <cellStyle name="Remarque 2 2 5 2 2 2 7 5" xfId="8604" xr:uid="{00000000-0005-0000-0000-0000C5370000}"/>
    <cellStyle name="Remarque 2 2 5 2 2 2 7 5 2" xfId="32618" xr:uid="{00000000-0005-0000-0000-0000C6370000}"/>
    <cellStyle name="Remarque 2 2 5 2 2 2 7 5 2 2" xfId="56578" xr:uid="{00000000-0005-0000-0000-0000C7370000}"/>
    <cellStyle name="Remarque 2 2 5 2 2 2 7 5 3" xfId="19865" xr:uid="{00000000-0005-0000-0000-0000C8370000}"/>
    <cellStyle name="Remarque 2 2 5 2 2 2 7 5 4" xfId="43825" xr:uid="{00000000-0005-0000-0000-0000C9370000}"/>
    <cellStyle name="Remarque 2 2 5 2 2 2 7 6" xfId="9989" xr:uid="{00000000-0005-0000-0000-0000CA370000}"/>
    <cellStyle name="Remarque 2 2 5 2 2 2 7 6 2" xfId="34003" xr:uid="{00000000-0005-0000-0000-0000CB370000}"/>
    <cellStyle name="Remarque 2 2 5 2 2 2 7 6 2 2" xfId="57963" xr:uid="{00000000-0005-0000-0000-0000CC370000}"/>
    <cellStyle name="Remarque 2 2 5 2 2 2 7 6 3" xfId="21250" xr:uid="{00000000-0005-0000-0000-0000CD370000}"/>
    <cellStyle name="Remarque 2 2 5 2 2 2 7 6 4" xfId="45210" xr:uid="{00000000-0005-0000-0000-0000CE370000}"/>
    <cellStyle name="Remarque 2 2 5 2 2 2 7 7" xfId="11446" xr:uid="{00000000-0005-0000-0000-0000CF370000}"/>
    <cellStyle name="Remarque 2 2 5 2 2 2 7 7 2" xfId="35456" xr:uid="{00000000-0005-0000-0000-0000D0370000}"/>
    <cellStyle name="Remarque 2 2 5 2 2 2 7 7 2 2" xfId="59416" xr:uid="{00000000-0005-0000-0000-0000D1370000}"/>
    <cellStyle name="Remarque 2 2 5 2 2 2 7 7 3" xfId="22713" xr:uid="{00000000-0005-0000-0000-0000D2370000}"/>
    <cellStyle name="Remarque 2 2 5 2 2 2 7 7 4" xfId="46673" xr:uid="{00000000-0005-0000-0000-0000D3370000}"/>
    <cellStyle name="Remarque 2 2 5 2 2 2 7 8" xfId="11842" xr:uid="{00000000-0005-0000-0000-0000D4370000}"/>
    <cellStyle name="Remarque 2 2 5 2 2 2 7 8 2" xfId="23117" xr:uid="{00000000-0005-0000-0000-0000D5370000}"/>
    <cellStyle name="Remarque 2 2 5 2 2 2 7 8 3" xfId="47077" xr:uid="{00000000-0005-0000-0000-0000D6370000}"/>
    <cellStyle name="Remarque 2 2 5 2 2 2 7 9" xfId="2918" xr:uid="{00000000-0005-0000-0000-0000D7370000}"/>
    <cellStyle name="Remarque 2 2 5 2 2 2 7 9 2" xfId="26932" xr:uid="{00000000-0005-0000-0000-0000D8370000}"/>
    <cellStyle name="Remarque 2 2 5 2 2 2 7 9 3" xfId="50892" xr:uid="{00000000-0005-0000-0000-0000D9370000}"/>
    <cellStyle name="Remarque 2 2 5 2 2 2 8" xfId="3337" xr:uid="{00000000-0005-0000-0000-0000DA370000}"/>
    <cellStyle name="Remarque 2 2 5 2 2 2 8 2" xfId="27351" xr:uid="{00000000-0005-0000-0000-0000DB370000}"/>
    <cellStyle name="Remarque 2 2 5 2 2 2 8 2 2" xfId="51311" xr:uid="{00000000-0005-0000-0000-0000DC370000}"/>
    <cellStyle name="Remarque 2 2 5 2 2 2 8 3" xfId="14598" xr:uid="{00000000-0005-0000-0000-0000DD370000}"/>
    <cellStyle name="Remarque 2 2 5 2 2 2 8 4" xfId="38558" xr:uid="{00000000-0005-0000-0000-0000DE370000}"/>
    <cellStyle name="Remarque 2 2 5 2 2 2 9" xfId="4771" xr:uid="{00000000-0005-0000-0000-0000DF370000}"/>
    <cellStyle name="Remarque 2 2 5 2 2 2 9 2" xfId="28785" xr:uid="{00000000-0005-0000-0000-0000E0370000}"/>
    <cellStyle name="Remarque 2 2 5 2 2 2 9 2 2" xfId="52745" xr:uid="{00000000-0005-0000-0000-0000E1370000}"/>
    <cellStyle name="Remarque 2 2 5 2 2 2 9 3" xfId="16032" xr:uid="{00000000-0005-0000-0000-0000E2370000}"/>
    <cellStyle name="Remarque 2 2 5 2 2 2 9 4" xfId="39992" xr:uid="{00000000-0005-0000-0000-0000E3370000}"/>
    <cellStyle name="Remarque 2 2 5 2 2 20" xfId="12953" xr:uid="{00000000-0005-0000-0000-0000E4370000}"/>
    <cellStyle name="Remarque 2 2 5 2 2 21" xfId="36913" xr:uid="{00000000-0005-0000-0000-0000E5370000}"/>
    <cellStyle name="Remarque 2 2 5 2 2 22" xfId="256" xr:uid="{00000000-0005-0000-0000-0000E6370000}"/>
    <cellStyle name="Remarque 2 2 5 2 2 3" xfId="355" xr:uid="{00000000-0005-0000-0000-0000E7370000}"/>
    <cellStyle name="Remarque 2 2 5 2 2 3 10" xfId="24387" xr:uid="{00000000-0005-0000-0000-0000E8370000}"/>
    <cellStyle name="Remarque 2 2 5 2 2 3 10 2" xfId="48347" xr:uid="{00000000-0005-0000-0000-0000E9370000}"/>
    <cellStyle name="Remarque 2 2 5 2 2 3 11" xfId="36359" xr:uid="{00000000-0005-0000-0000-0000EA370000}"/>
    <cellStyle name="Remarque 2 2 5 2 2 3 11 2" xfId="60319" xr:uid="{00000000-0005-0000-0000-0000EB370000}"/>
    <cellStyle name="Remarque 2 2 5 2 2 3 12" xfId="13052" xr:uid="{00000000-0005-0000-0000-0000EC370000}"/>
    <cellStyle name="Remarque 2 2 5 2 2 3 13" xfId="37012" xr:uid="{00000000-0005-0000-0000-0000ED370000}"/>
    <cellStyle name="Remarque 2 2 5 2 2 3 2" xfId="3261" xr:uid="{00000000-0005-0000-0000-0000EE370000}"/>
    <cellStyle name="Remarque 2 2 5 2 2 3 2 2" xfId="27275" xr:uid="{00000000-0005-0000-0000-0000EF370000}"/>
    <cellStyle name="Remarque 2 2 5 2 2 3 2 2 2" xfId="51235" xr:uid="{00000000-0005-0000-0000-0000F0370000}"/>
    <cellStyle name="Remarque 2 2 5 2 2 3 2 3" xfId="14522" xr:uid="{00000000-0005-0000-0000-0000F1370000}"/>
    <cellStyle name="Remarque 2 2 5 2 2 3 2 4" xfId="38482" xr:uid="{00000000-0005-0000-0000-0000F2370000}"/>
    <cellStyle name="Remarque 2 2 5 2 2 3 3" xfId="4695" xr:uid="{00000000-0005-0000-0000-0000F3370000}"/>
    <cellStyle name="Remarque 2 2 5 2 2 3 3 2" xfId="28709" xr:uid="{00000000-0005-0000-0000-0000F4370000}"/>
    <cellStyle name="Remarque 2 2 5 2 2 3 3 2 2" xfId="52669" xr:uid="{00000000-0005-0000-0000-0000F5370000}"/>
    <cellStyle name="Remarque 2 2 5 2 2 3 3 3" xfId="15956" xr:uid="{00000000-0005-0000-0000-0000F6370000}"/>
    <cellStyle name="Remarque 2 2 5 2 2 3 3 4" xfId="39916" xr:uid="{00000000-0005-0000-0000-0000F7370000}"/>
    <cellStyle name="Remarque 2 2 5 2 2 3 4" xfId="6089" xr:uid="{00000000-0005-0000-0000-0000F8370000}"/>
    <cellStyle name="Remarque 2 2 5 2 2 3 4 2" xfId="30103" xr:uid="{00000000-0005-0000-0000-0000F9370000}"/>
    <cellStyle name="Remarque 2 2 5 2 2 3 4 2 2" xfId="54063" xr:uid="{00000000-0005-0000-0000-0000FA370000}"/>
    <cellStyle name="Remarque 2 2 5 2 2 3 4 3" xfId="17350" xr:uid="{00000000-0005-0000-0000-0000FB370000}"/>
    <cellStyle name="Remarque 2 2 5 2 2 3 4 4" xfId="41310" xr:uid="{00000000-0005-0000-0000-0000FC370000}"/>
    <cellStyle name="Remarque 2 2 5 2 2 3 5" xfId="7477" xr:uid="{00000000-0005-0000-0000-0000FD370000}"/>
    <cellStyle name="Remarque 2 2 5 2 2 3 5 2" xfId="31491" xr:uid="{00000000-0005-0000-0000-0000FE370000}"/>
    <cellStyle name="Remarque 2 2 5 2 2 3 5 2 2" xfId="55451" xr:uid="{00000000-0005-0000-0000-0000FF370000}"/>
    <cellStyle name="Remarque 2 2 5 2 2 3 5 3" xfId="18738" xr:uid="{00000000-0005-0000-0000-000000380000}"/>
    <cellStyle name="Remarque 2 2 5 2 2 3 5 4" xfId="42698" xr:uid="{00000000-0005-0000-0000-000001380000}"/>
    <cellStyle name="Remarque 2 2 5 2 2 3 6" xfId="8862" xr:uid="{00000000-0005-0000-0000-000002380000}"/>
    <cellStyle name="Remarque 2 2 5 2 2 3 6 2" xfId="32876" xr:uid="{00000000-0005-0000-0000-000003380000}"/>
    <cellStyle name="Remarque 2 2 5 2 2 3 6 2 2" xfId="56836" xr:uid="{00000000-0005-0000-0000-000004380000}"/>
    <cellStyle name="Remarque 2 2 5 2 2 3 6 3" xfId="20123" xr:uid="{00000000-0005-0000-0000-000005380000}"/>
    <cellStyle name="Remarque 2 2 5 2 2 3 6 4" xfId="44083" xr:uid="{00000000-0005-0000-0000-000006380000}"/>
    <cellStyle name="Remarque 2 2 5 2 2 3 7" xfId="10319" xr:uid="{00000000-0005-0000-0000-000007380000}"/>
    <cellStyle name="Remarque 2 2 5 2 2 3 7 2" xfId="34329" xr:uid="{00000000-0005-0000-0000-000008380000}"/>
    <cellStyle name="Remarque 2 2 5 2 2 3 7 2 2" xfId="58289" xr:uid="{00000000-0005-0000-0000-000009380000}"/>
    <cellStyle name="Remarque 2 2 5 2 2 3 7 3" xfId="21586" xr:uid="{00000000-0005-0000-0000-00000A380000}"/>
    <cellStyle name="Remarque 2 2 5 2 2 3 7 4" xfId="45546" xr:uid="{00000000-0005-0000-0000-00000B380000}"/>
    <cellStyle name="Remarque 2 2 5 2 2 3 8" xfId="12621" xr:uid="{00000000-0005-0000-0000-00000C380000}"/>
    <cellStyle name="Remarque 2 2 5 2 2 3 8 2" xfId="23924" xr:uid="{00000000-0005-0000-0000-00000D380000}"/>
    <cellStyle name="Remarque 2 2 5 2 2 3 8 3" xfId="47884" xr:uid="{00000000-0005-0000-0000-00000E380000}"/>
    <cellStyle name="Remarque 2 2 5 2 2 3 9" xfId="1791" xr:uid="{00000000-0005-0000-0000-00000F380000}"/>
    <cellStyle name="Remarque 2 2 5 2 2 3 9 2" xfId="25805" xr:uid="{00000000-0005-0000-0000-000010380000}"/>
    <cellStyle name="Remarque 2 2 5 2 2 3 9 3" xfId="49765" xr:uid="{00000000-0005-0000-0000-000011380000}"/>
    <cellStyle name="Remarque 2 2 5 2 2 4" xfId="491" xr:uid="{00000000-0005-0000-0000-000012380000}"/>
    <cellStyle name="Remarque 2 2 5 2 2 4 10" xfId="24523" xr:uid="{00000000-0005-0000-0000-000013380000}"/>
    <cellStyle name="Remarque 2 2 5 2 2 4 10 2" xfId="48483" xr:uid="{00000000-0005-0000-0000-000014380000}"/>
    <cellStyle name="Remarque 2 2 5 2 2 4 11" xfId="28586" xr:uid="{00000000-0005-0000-0000-000015380000}"/>
    <cellStyle name="Remarque 2 2 5 2 2 4 11 2" xfId="52546" xr:uid="{00000000-0005-0000-0000-000016380000}"/>
    <cellStyle name="Remarque 2 2 5 2 2 4 12" xfId="13188" xr:uid="{00000000-0005-0000-0000-000017380000}"/>
    <cellStyle name="Remarque 2 2 5 2 2 4 13" xfId="37148" xr:uid="{00000000-0005-0000-0000-000018380000}"/>
    <cellStyle name="Remarque 2 2 5 2 2 4 2" xfId="3397" xr:uid="{00000000-0005-0000-0000-000019380000}"/>
    <cellStyle name="Remarque 2 2 5 2 2 4 2 2" xfId="27411" xr:uid="{00000000-0005-0000-0000-00001A380000}"/>
    <cellStyle name="Remarque 2 2 5 2 2 4 2 2 2" xfId="51371" xr:uid="{00000000-0005-0000-0000-00001B380000}"/>
    <cellStyle name="Remarque 2 2 5 2 2 4 2 3" xfId="14658" xr:uid="{00000000-0005-0000-0000-00001C380000}"/>
    <cellStyle name="Remarque 2 2 5 2 2 4 2 4" xfId="38618" xr:uid="{00000000-0005-0000-0000-00001D380000}"/>
    <cellStyle name="Remarque 2 2 5 2 2 4 3" xfId="4831" xr:uid="{00000000-0005-0000-0000-00001E380000}"/>
    <cellStyle name="Remarque 2 2 5 2 2 4 3 2" xfId="28845" xr:uid="{00000000-0005-0000-0000-00001F380000}"/>
    <cellStyle name="Remarque 2 2 5 2 2 4 3 2 2" xfId="52805" xr:uid="{00000000-0005-0000-0000-000020380000}"/>
    <cellStyle name="Remarque 2 2 5 2 2 4 3 3" xfId="16092" xr:uid="{00000000-0005-0000-0000-000021380000}"/>
    <cellStyle name="Remarque 2 2 5 2 2 4 3 4" xfId="40052" xr:uid="{00000000-0005-0000-0000-000022380000}"/>
    <cellStyle name="Remarque 2 2 5 2 2 4 4" xfId="6225" xr:uid="{00000000-0005-0000-0000-000023380000}"/>
    <cellStyle name="Remarque 2 2 5 2 2 4 4 2" xfId="30239" xr:uid="{00000000-0005-0000-0000-000024380000}"/>
    <cellStyle name="Remarque 2 2 5 2 2 4 4 2 2" xfId="54199" xr:uid="{00000000-0005-0000-0000-000025380000}"/>
    <cellStyle name="Remarque 2 2 5 2 2 4 4 3" xfId="17486" xr:uid="{00000000-0005-0000-0000-000026380000}"/>
    <cellStyle name="Remarque 2 2 5 2 2 4 4 4" xfId="41446" xr:uid="{00000000-0005-0000-0000-000027380000}"/>
    <cellStyle name="Remarque 2 2 5 2 2 4 5" xfId="7613" xr:uid="{00000000-0005-0000-0000-000028380000}"/>
    <cellStyle name="Remarque 2 2 5 2 2 4 5 2" xfId="31627" xr:uid="{00000000-0005-0000-0000-000029380000}"/>
    <cellStyle name="Remarque 2 2 5 2 2 4 5 2 2" xfId="55587" xr:uid="{00000000-0005-0000-0000-00002A380000}"/>
    <cellStyle name="Remarque 2 2 5 2 2 4 5 3" xfId="18874" xr:uid="{00000000-0005-0000-0000-00002B380000}"/>
    <cellStyle name="Remarque 2 2 5 2 2 4 5 4" xfId="42834" xr:uid="{00000000-0005-0000-0000-00002C380000}"/>
    <cellStyle name="Remarque 2 2 5 2 2 4 6" xfId="8998" xr:uid="{00000000-0005-0000-0000-00002D380000}"/>
    <cellStyle name="Remarque 2 2 5 2 2 4 6 2" xfId="33012" xr:uid="{00000000-0005-0000-0000-00002E380000}"/>
    <cellStyle name="Remarque 2 2 5 2 2 4 6 2 2" xfId="56972" xr:uid="{00000000-0005-0000-0000-00002F380000}"/>
    <cellStyle name="Remarque 2 2 5 2 2 4 6 3" xfId="20259" xr:uid="{00000000-0005-0000-0000-000030380000}"/>
    <cellStyle name="Remarque 2 2 5 2 2 4 6 4" xfId="44219" xr:uid="{00000000-0005-0000-0000-000031380000}"/>
    <cellStyle name="Remarque 2 2 5 2 2 4 7" xfId="10455" xr:uid="{00000000-0005-0000-0000-000032380000}"/>
    <cellStyle name="Remarque 2 2 5 2 2 4 7 2" xfId="34465" xr:uid="{00000000-0005-0000-0000-000033380000}"/>
    <cellStyle name="Remarque 2 2 5 2 2 4 7 2 2" xfId="58425" xr:uid="{00000000-0005-0000-0000-000034380000}"/>
    <cellStyle name="Remarque 2 2 5 2 2 4 7 3" xfId="21722" xr:uid="{00000000-0005-0000-0000-000035380000}"/>
    <cellStyle name="Remarque 2 2 5 2 2 4 7 4" xfId="45682" xr:uid="{00000000-0005-0000-0000-000036380000}"/>
    <cellStyle name="Remarque 2 2 5 2 2 4 8" xfId="12281" xr:uid="{00000000-0005-0000-0000-000037380000}"/>
    <cellStyle name="Remarque 2 2 5 2 2 4 8 2" xfId="23568" xr:uid="{00000000-0005-0000-0000-000038380000}"/>
    <cellStyle name="Remarque 2 2 5 2 2 4 8 3" xfId="47528" xr:uid="{00000000-0005-0000-0000-000039380000}"/>
    <cellStyle name="Remarque 2 2 5 2 2 4 9" xfId="1927" xr:uid="{00000000-0005-0000-0000-00003A380000}"/>
    <cellStyle name="Remarque 2 2 5 2 2 4 9 2" xfId="25941" xr:uid="{00000000-0005-0000-0000-00003B380000}"/>
    <cellStyle name="Remarque 2 2 5 2 2 4 9 3" xfId="49901" xr:uid="{00000000-0005-0000-0000-00003C380000}"/>
    <cellStyle name="Remarque 2 2 5 2 2 5" xfId="683" xr:uid="{00000000-0005-0000-0000-00003D380000}"/>
    <cellStyle name="Remarque 2 2 5 2 2 5 10" xfId="24715" xr:uid="{00000000-0005-0000-0000-00003E380000}"/>
    <cellStyle name="Remarque 2 2 5 2 2 5 10 2" xfId="48675" xr:uid="{00000000-0005-0000-0000-00003F380000}"/>
    <cellStyle name="Remarque 2 2 5 2 2 5 11" xfId="35686" xr:uid="{00000000-0005-0000-0000-000040380000}"/>
    <cellStyle name="Remarque 2 2 5 2 2 5 11 2" xfId="59646" xr:uid="{00000000-0005-0000-0000-000041380000}"/>
    <cellStyle name="Remarque 2 2 5 2 2 5 12" xfId="13380" xr:uid="{00000000-0005-0000-0000-000042380000}"/>
    <cellStyle name="Remarque 2 2 5 2 2 5 13" xfId="37340" xr:uid="{00000000-0005-0000-0000-000043380000}"/>
    <cellStyle name="Remarque 2 2 5 2 2 5 2" xfId="3589" xr:uid="{00000000-0005-0000-0000-000044380000}"/>
    <cellStyle name="Remarque 2 2 5 2 2 5 2 2" xfId="27603" xr:uid="{00000000-0005-0000-0000-000045380000}"/>
    <cellStyle name="Remarque 2 2 5 2 2 5 2 2 2" xfId="51563" xr:uid="{00000000-0005-0000-0000-000046380000}"/>
    <cellStyle name="Remarque 2 2 5 2 2 5 2 3" xfId="14850" xr:uid="{00000000-0005-0000-0000-000047380000}"/>
    <cellStyle name="Remarque 2 2 5 2 2 5 2 4" xfId="38810" xr:uid="{00000000-0005-0000-0000-000048380000}"/>
    <cellStyle name="Remarque 2 2 5 2 2 5 3" xfId="5023" xr:uid="{00000000-0005-0000-0000-000049380000}"/>
    <cellStyle name="Remarque 2 2 5 2 2 5 3 2" xfId="29037" xr:uid="{00000000-0005-0000-0000-00004A380000}"/>
    <cellStyle name="Remarque 2 2 5 2 2 5 3 2 2" xfId="52997" xr:uid="{00000000-0005-0000-0000-00004B380000}"/>
    <cellStyle name="Remarque 2 2 5 2 2 5 3 3" xfId="16284" xr:uid="{00000000-0005-0000-0000-00004C380000}"/>
    <cellStyle name="Remarque 2 2 5 2 2 5 3 4" xfId="40244" xr:uid="{00000000-0005-0000-0000-00004D380000}"/>
    <cellStyle name="Remarque 2 2 5 2 2 5 4" xfId="6417" xr:uid="{00000000-0005-0000-0000-00004E380000}"/>
    <cellStyle name="Remarque 2 2 5 2 2 5 4 2" xfId="30431" xr:uid="{00000000-0005-0000-0000-00004F380000}"/>
    <cellStyle name="Remarque 2 2 5 2 2 5 4 2 2" xfId="54391" xr:uid="{00000000-0005-0000-0000-000050380000}"/>
    <cellStyle name="Remarque 2 2 5 2 2 5 4 3" xfId="17678" xr:uid="{00000000-0005-0000-0000-000051380000}"/>
    <cellStyle name="Remarque 2 2 5 2 2 5 4 4" xfId="41638" xr:uid="{00000000-0005-0000-0000-000052380000}"/>
    <cellStyle name="Remarque 2 2 5 2 2 5 5" xfId="7805" xr:uid="{00000000-0005-0000-0000-000053380000}"/>
    <cellStyle name="Remarque 2 2 5 2 2 5 5 2" xfId="31819" xr:uid="{00000000-0005-0000-0000-000054380000}"/>
    <cellStyle name="Remarque 2 2 5 2 2 5 5 2 2" xfId="55779" xr:uid="{00000000-0005-0000-0000-000055380000}"/>
    <cellStyle name="Remarque 2 2 5 2 2 5 5 3" xfId="19066" xr:uid="{00000000-0005-0000-0000-000056380000}"/>
    <cellStyle name="Remarque 2 2 5 2 2 5 5 4" xfId="43026" xr:uid="{00000000-0005-0000-0000-000057380000}"/>
    <cellStyle name="Remarque 2 2 5 2 2 5 6" xfId="9190" xr:uid="{00000000-0005-0000-0000-000058380000}"/>
    <cellStyle name="Remarque 2 2 5 2 2 5 6 2" xfId="33204" xr:uid="{00000000-0005-0000-0000-000059380000}"/>
    <cellStyle name="Remarque 2 2 5 2 2 5 6 2 2" xfId="57164" xr:uid="{00000000-0005-0000-0000-00005A380000}"/>
    <cellStyle name="Remarque 2 2 5 2 2 5 6 3" xfId="20451" xr:uid="{00000000-0005-0000-0000-00005B380000}"/>
    <cellStyle name="Remarque 2 2 5 2 2 5 6 4" xfId="44411" xr:uid="{00000000-0005-0000-0000-00005C380000}"/>
    <cellStyle name="Remarque 2 2 5 2 2 5 7" xfId="10647" xr:uid="{00000000-0005-0000-0000-00005D380000}"/>
    <cellStyle name="Remarque 2 2 5 2 2 5 7 2" xfId="34657" xr:uid="{00000000-0005-0000-0000-00005E380000}"/>
    <cellStyle name="Remarque 2 2 5 2 2 5 7 2 2" xfId="58617" xr:uid="{00000000-0005-0000-0000-00005F380000}"/>
    <cellStyle name="Remarque 2 2 5 2 2 5 7 3" xfId="21914" xr:uid="{00000000-0005-0000-0000-000060380000}"/>
    <cellStyle name="Remarque 2 2 5 2 2 5 7 4" xfId="45874" xr:uid="{00000000-0005-0000-0000-000061380000}"/>
    <cellStyle name="Remarque 2 2 5 2 2 5 8" xfId="12840" xr:uid="{00000000-0005-0000-0000-000062380000}"/>
    <cellStyle name="Remarque 2 2 5 2 2 5 8 2" xfId="24151" xr:uid="{00000000-0005-0000-0000-000063380000}"/>
    <cellStyle name="Remarque 2 2 5 2 2 5 8 3" xfId="48111" xr:uid="{00000000-0005-0000-0000-000064380000}"/>
    <cellStyle name="Remarque 2 2 5 2 2 5 9" xfId="2119" xr:uid="{00000000-0005-0000-0000-000065380000}"/>
    <cellStyle name="Remarque 2 2 5 2 2 5 9 2" xfId="26133" xr:uid="{00000000-0005-0000-0000-000066380000}"/>
    <cellStyle name="Remarque 2 2 5 2 2 5 9 3" xfId="50093" xr:uid="{00000000-0005-0000-0000-000067380000}"/>
    <cellStyle name="Remarque 2 2 5 2 2 6" xfId="877" xr:uid="{00000000-0005-0000-0000-000068380000}"/>
    <cellStyle name="Remarque 2 2 5 2 2 6 10" xfId="24909" xr:uid="{00000000-0005-0000-0000-000069380000}"/>
    <cellStyle name="Remarque 2 2 5 2 2 6 10 2" xfId="48869" xr:uid="{00000000-0005-0000-0000-00006A380000}"/>
    <cellStyle name="Remarque 2 2 5 2 2 6 11" xfId="36751" xr:uid="{00000000-0005-0000-0000-00006B380000}"/>
    <cellStyle name="Remarque 2 2 5 2 2 6 11 2" xfId="60711" xr:uid="{00000000-0005-0000-0000-00006C380000}"/>
    <cellStyle name="Remarque 2 2 5 2 2 6 12" xfId="13574" xr:uid="{00000000-0005-0000-0000-00006D380000}"/>
    <cellStyle name="Remarque 2 2 5 2 2 6 13" xfId="37534" xr:uid="{00000000-0005-0000-0000-00006E380000}"/>
    <cellStyle name="Remarque 2 2 5 2 2 6 2" xfId="3783" xr:uid="{00000000-0005-0000-0000-00006F380000}"/>
    <cellStyle name="Remarque 2 2 5 2 2 6 2 2" xfId="27797" xr:uid="{00000000-0005-0000-0000-000070380000}"/>
    <cellStyle name="Remarque 2 2 5 2 2 6 2 2 2" xfId="51757" xr:uid="{00000000-0005-0000-0000-000071380000}"/>
    <cellStyle name="Remarque 2 2 5 2 2 6 2 3" xfId="15044" xr:uid="{00000000-0005-0000-0000-000072380000}"/>
    <cellStyle name="Remarque 2 2 5 2 2 6 2 4" xfId="39004" xr:uid="{00000000-0005-0000-0000-000073380000}"/>
    <cellStyle name="Remarque 2 2 5 2 2 6 3" xfId="5217" xr:uid="{00000000-0005-0000-0000-000074380000}"/>
    <cellStyle name="Remarque 2 2 5 2 2 6 3 2" xfId="29231" xr:uid="{00000000-0005-0000-0000-000075380000}"/>
    <cellStyle name="Remarque 2 2 5 2 2 6 3 2 2" xfId="53191" xr:uid="{00000000-0005-0000-0000-000076380000}"/>
    <cellStyle name="Remarque 2 2 5 2 2 6 3 3" xfId="16478" xr:uid="{00000000-0005-0000-0000-000077380000}"/>
    <cellStyle name="Remarque 2 2 5 2 2 6 3 4" xfId="40438" xr:uid="{00000000-0005-0000-0000-000078380000}"/>
    <cellStyle name="Remarque 2 2 5 2 2 6 4" xfId="6611" xr:uid="{00000000-0005-0000-0000-000079380000}"/>
    <cellStyle name="Remarque 2 2 5 2 2 6 4 2" xfId="30625" xr:uid="{00000000-0005-0000-0000-00007A380000}"/>
    <cellStyle name="Remarque 2 2 5 2 2 6 4 2 2" xfId="54585" xr:uid="{00000000-0005-0000-0000-00007B380000}"/>
    <cellStyle name="Remarque 2 2 5 2 2 6 4 3" xfId="17872" xr:uid="{00000000-0005-0000-0000-00007C380000}"/>
    <cellStyle name="Remarque 2 2 5 2 2 6 4 4" xfId="41832" xr:uid="{00000000-0005-0000-0000-00007D380000}"/>
    <cellStyle name="Remarque 2 2 5 2 2 6 5" xfId="7999" xr:uid="{00000000-0005-0000-0000-00007E380000}"/>
    <cellStyle name="Remarque 2 2 5 2 2 6 5 2" xfId="32013" xr:uid="{00000000-0005-0000-0000-00007F380000}"/>
    <cellStyle name="Remarque 2 2 5 2 2 6 5 2 2" xfId="55973" xr:uid="{00000000-0005-0000-0000-000080380000}"/>
    <cellStyle name="Remarque 2 2 5 2 2 6 5 3" xfId="19260" xr:uid="{00000000-0005-0000-0000-000081380000}"/>
    <cellStyle name="Remarque 2 2 5 2 2 6 5 4" xfId="43220" xr:uid="{00000000-0005-0000-0000-000082380000}"/>
    <cellStyle name="Remarque 2 2 5 2 2 6 6" xfId="9384" xr:uid="{00000000-0005-0000-0000-000083380000}"/>
    <cellStyle name="Remarque 2 2 5 2 2 6 6 2" xfId="33398" xr:uid="{00000000-0005-0000-0000-000084380000}"/>
    <cellStyle name="Remarque 2 2 5 2 2 6 6 2 2" xfId="57358" xr:uid="{00000000-0005-0000-0000-000085380000}"/>
    <cellStyle name="Remarque 2 2 5 2 2 6 6 3" xfId="20645" xr:uid="{00000000-0005-0000-0000-000086380000}"/>
    <cellStyle name="Remarque 2 2 5 2 2 6 6 4" xfId="44605" xr:uid="{00000000-0005-0000-0000-000087380000}"/>
    <cellStyle name="Remarque 2 2 5 2 2 6 7" xfId="10841" xr:uid="{00000000-0005-0000-0000-000088380000}"/>
    <cellStyle name="Remarque 2 2 5 2 2 6 7 2" xfId="34851" xr:uid="{00000000-0005-0000-0000-000089380000}"/>
    <cellStyle name="Remarque 2 2 5 2 2 6 7 2 2" xfId="58811" xr:uid="{00000000-0005-0000-0000-00008A380000}"/>
    <cellStyle name="Remarque 2 2 5 2 2 6 7 3" xfId="22108" xr:uid="{00000000-0005-0000-0000-00008B380000}"/>
    <cellStyle name="Remarque 2 2 5 2 2 6 7 4" xfId="46068" xr:uid="{00000000-0005-0000-0000-00008C380000}"/>
    <cellStyle name="Remarque 2 2 5 2 2 6 8" xfId="12592" xr:uid="{00000000-0005-0000-0000-00008D380000}"/>
    <cellStyle name="Remarque 2 2 5 2 2 6 8 2" xfId="23893" xr:uid="{00000000-0005-0000-0000-00008E380000}"/>
    <cellStyle name="Remarque 2 2 5 2 2 6 8 3" xfId="47853" xr:uid="{00000000-0005-0000-0000-00008F380000}"/>
    <cellStyle name="Remarque 2 2 5 2 2 6 9" xfId="2313" xr:uid="{00000000-0005-0000-0000-000090380000}"/>
    <cellStyle name="Remarque 2 2 5 2 2 6 9 2" xfId="26327" xr:uid="{00000000-0005-0000-0000-000091380000}"/>
    <cellStyle name="Remarque 2 2 5 2 2 6 9 3" xfId="50287" xr:uid="{00000000-0005-0000-0000-000092380000}"/>
    <cellStyle name="Remarque 2 2 5 2 2 7" xfId="1070" xr:uid="{00000000-0005-0000-0000-000093380000}"/>
    <cellStyle name="Remarque 2 2 5 2 2 7 10" xfId="25102" xr:uid="{00000000-0005-0000-0000-000094380000}"/>
    <cellStyle name="Remarque 2 2 5 2 2 7 10 2" xfId="49062" xr:uid="{00000000-0005-0000-0000-000095380000}"/>
    <cellStyle name="Remarque 2 2 5 2 2 7 11" xfId="35704" xr:uid="{00000000-0005-0000-0000-000096380000}"/>
    <cellStyle name="Remarque 2 2 5 2 2 7 11 2" xfId="59664" xr:uid="{00000000-0005-0000-0000-000097380000}"/>
    <cellStyle name="Remarque 2 2 5 2 2 7 12" xfId="13767" xr:uid="{00000000-0005-0000-0000-000098380000}"/>
    <cellStyle name="Remarque 2 2 5 2 2 7 13" xfId="37727" xr:uid="{00000000-0005-0000-0000-000099380000}"/>
    <cellStyle name="Remarque 2 2 5 2 2 7 2" xfId="3976" xr:uid="{00000000-0005-0000-0000-00009A380000}"/>
    <cellStyle name="Remarque 2 2 5 2 2 7 2 2" xfId="27990" xr:uid="{00000000-0005-0000-0000-00009B380000}"/>
    <cellStyle name="Remarque 2 2 5 2 2 7 2 2 2" xfId="51950" xr:uid="{00000000-0005-0000-0000-00009C380000}"/>
    <cellStyle name="Remarque 2 2 5 2 2 7 2 3" xfId="15237" xr:uid="{00000000-0005-0000-0000-00009D380000}"/>
    <cellStyle name="Remarque 2 2 5 2 2 7 2 4" xfId="39197" xr:uid="{00000000-0005-0000-0000-00009E380000}"/>
    <cellStyle name="Remarque 2 2 5 2 2 7 3" xfId="5410" xr:uid="{00000000-0005-0000-0000-00009F380000}"/>
    <cellStyle name="Remarque 2 2 5 2 2 7 3 2" xfId="29424" xr:uid="{00000000-0005-0000-0000-0000A0380000}"/>
    <cellStyle name="Remarque 2 2 5 2 2 7 3 2 2" xfId="53384" xr:uid="{00000000-0005-0000-0000-0000A1380000}"/>
    <cellStyle name="Remarque 2 2 5 2 2 7 3 3" xfId="16671" xr:uid="{00000000-0005-0000-0000-0000A2380000}"/>
    <cellStyle name="Remarque 2 2 5 2 2 7 3 4" xfId="40631" xr:uid="{00000000-0005-0000-0000-0000A3380000}"/>
    <cellStyle name="Remarque 2 2 5 2 2 7 4" xfId="6804" xr:uid="{00000000-0005-0000-0000-0000A4380000}"/>
    <cellStyle name="Remarque 2 2 5 2 2 7 4 2" xfId="30818" xr:uid="{00000000-0005-0000-0000-0000A5380000}"/>
    <cellStyle name="Remarque 2 2 5 2 2 7 4 2 2" xfId="54778" xr:uid="{00000000-0005-0000-0000-0000A6380000}"/>
    <cellStyle name="Remarque 2 2 5 2 2 7 4 3" xfId="18065" xr:uid="{00000000-0005-0000-0000-0000A7380000}"/>
    <cellStyle name="Remarque 2 2 5 2 2 7 4 4" xfId="42025" xr:uid="{00000000-0005-0000-0000-0000A8380000}"/>
    <cellStyle name="Remarque 2 2 5 2 2 7 5" xfId="8192" xr:uid="{00000000-0005-0000-0000-0000A9380000}"/>
    <cellStyle name="Remarque 2 2 5 2 2 7 5 2" xfId="32206" xr:uid="{00000000-0005-0000-0000-0000AA380000}"/>
    <cellStyle name="Remarque 2 2 5 2 2 7 5 2 2" xfId="56166" xr:uid="{00000000-0005-0000-0000-0000AB380000}"/>
    <cellStyle name="Remarque 2 2 5 2 2 7 5 3" xfId="19453" xr:uid="{00000000-0005-0000-0000-0000AC380000}"/>
    <cellStyle name="Remarque 2 2 5 2 2 7 5 4" xfId="43413" xr:uid="{00000000-0005-0000-0000-0000AD380000}"/>
    <cellStyle name="Remarque 2 2 5 2 2 7 6" xfId="9577" xr:uid="{00000000-0005-0000-0000-0000AE380000}"/>
    <cellStyle name="Remarque 2 2 5 2 2 7 6 2" xfId="33591" xr:uid="{00000000-0005-0000-0000-0000AF380000}"/>
    <cellStyle name="Remarque 2 2 5 2 2 7 6 2 2" xfId="57551" xr:uid="{00000000-0005-0000-0000-0000B0380000}"/>
    <cellStyle name="Remarque 2 2 5 2 2 7 6 3" xfId="20838" xr:uid="{00000000-0005-0000-0000-0000B1380000}"/>
    <cellStyle name="Remarque 2 2 5 2 2 7 6 4" xfId="44798" xr:uid="{00000000-0005-0000-0000-0000B2380000}"/>
    <cellStyle name="Remarque 2 2 5 2 2 7 7" xfId="11034" xr:uid="{00000000-0005-0000-0000-0000B3380000}"/>
    <cellStyle name="Remarque 2 2 5 2 2 7 7 2" xfId="35044" xr:uid="{00000000-0005-0000-0000-0000B4380000}"/>
    <cellStyle name="Remarque 2 2 5 2 2 7 7 2 2" xfId="59004" xr:uid="{00000000-0005-0000-0000-0000B5380000}"/>
    <cellStyle name="Remarque 2 2 5 2 2 7 7 3" xfId="22301" xr:uid="{00000000-0005-0000-0000-0000B6380000}"/>
    <cellStyle name="Remarque 2 2 5 2 2 7 7 4" xfId="46261" xr:uid="{00000000-0005-0000-0000-0000B7380000}"/>
    <cellStyle name="Remarque 2 2 5 2 2 7 8" xfId="12327" xr:uid="{00000000-0005-0000-0000-0000B8380000}"/>
    <cellStyle name="Remarque 2 2 5 2 2 7 8 2" xfId="23615" xr:uid="{00000000-0005-0000-0000-0000B9380000}"/>
    <cellStyle name="Remarque 2 2 5 2 2 7 8 3" xfId="47575" xr:uid="{00000000-0005-0000-0000-0000BA380000}"/>
    <cellStyle name="Remarque 2 2 5 2 2 7 9" xfId="2506" xr:uid="{00000000-0005-0000-0000-0000BB380000}"/>
    <cellStyle name="Remarque 2 2 5 2 2 7 9 2" xfId="26520" xr:uid="{00000000-0005-0000-0000-0000BC380000}"/>
    <cellStyle name="Remarque 2 2 5 2 2 7 9 3" xfId="50480" xr:uid="{00000000-0005-0000-0000-0000BD380000}"/>
    <cellStyle name="Remarque 2 2 5 2 2 8" xfId="1237" xr:uid="{00000000-0005-0000-0000-0000BE380000}"/>
    <cellStyle name="Remarque 2 2 5 2 2 8 10" xfId="25269" xr:uid="{00000000-0005-0000-0000-0000BF380000}"/>
    <cellStyle name="Remarque 2 2 5 2 2 8 10 2" xfId="49229" xr:uid="{00000000-0005-0000-0000-0000C0380000}"/>
    <cellStyle name="Remarque 2 2 5 2 2 8 11" xfId="35683" xr:uid="{00000000-0005-0000-0000-0000C1380000}"/>
    <cellStyle name="Remarque 2 2 5 2 2 8 11 2" xfId="59643" xr:uid="{00000000-0005-0000-0000-0000C2380000}"/>
    <cellStyle name="Remarque 2 2 5 2 2 8 12" xfId="13934" xr:uid="{00000000-0005-0000-0000-0000C3380000}"/>
    <cellStyle name="Remarque 2 2 5 2 2 8 13" xfId="37894" xr:uid="{00000000-0005-0000-0000-0000C4380000}"/>
    <cellStyle name="Remarque 2 2 5 2 2 8 2" xfId="4143" xr:uid="{00000000-0005-0000-0000-0000C5380000}"/>
    <cellStyle name="Remarque 2 2 5 2 2 8 2 2" xfId="28157" xr:uid="{00000000-0005-0000-0000-0000C6380000}"/>
    <cellStyle name="Remarque 2 2 5 2 2 8 2 2 2" xfId="52117" xr:uid="{00000000-0005-0000-0000-0000C7380000}"/>
    <cellStyle name="Remarque 2 2 5 2 2 8 2 3" xfId="15404" xr:uid="{00000000-0005-0000-0000-0000C8380000}"/>
    <cellStyle name="Remarque 2 2 5 2 2 8 2 4" xfId="39364" xr:uid="{00000000-0005-0000-0000-0000C9380000}"/>
    <cellStyle name="Remarque 2 2 5 2 2 8 3" xfId="5577" xr:uid="{00000000-0005-0000-0000-0000CA380000}"/>
    <cellStyle name="Remarque 2 2 5 2 2 8 3 2" xfId="29591" xr:uid="{00000000-0005-0000-0000-0000CB380000}"/>
    <cellStyle name="Remarque 2 2 5 2 2 8 3 2 2" xfId="53551" xr:uid="{00000000-0005-0000-0000-0000CC380000}"/>
    <cellStyle name="Remarque 2 2 5 2 2 8 3 3" xfId="16838" xr:uid="{00000000-0005-0000-0000-0000CD380000}"/>
    <cellStyle name="Remarque 2 2 5 2 2 8 3 4" xfId="40798" xr:uid="{00000000-0005-0000-0000-0000CE380000}"/>
    <cellStyle name="Remarque 2 2 5 2 2 8 4" xfId="6971" xr:uid="{00000000-0005-0000-0000-0000CF380000}"/>
    <cellStyle name="Remarque 2 2 5 2 2 8 4 2" xfId="30985" xr:uid="{00000000-0005-0000-0000-0000D0380000}"/>
    <cellStyle name="Remarque 2 2 5 2 2 8 4 2 2" xfId="54945" xr:uid="{00000000-0005-0000-0000-0000D1380000}"/>
    <cellStyle name="Remarque 2 2 5 2 2 8 4 3" xfId="18232" xr:uid="{00000000-0005-0000-0000-0000D2380000}"/>
    <cellStyle name="Remarque 2 2 5 2 2 8 4 4" xfId="42192" xr:uid="{00000000-0005-0000-0000-0000D3380000}"/>
    <cellStyle name="Remarque 2 2 5 2 2 8 5" xfId="8359" xr:uid="{00000000-0005-0000-0000-0000D4380000}"/>
    <cellStyle name="Remarque 2 2 5 2 2 8 5 2" xfId="32373" xr:uid="{00000000-0005-0000-0000-0000D5380000}"/>
    <cellStyle name="Remarque 2 2 5 2 2 8 5 2 2" xfId="56333" xr:uid="{00000000-0005-0000-0000-0000D6380000}"/>
    <cellStyle name="Remarque 2 2 5 2 2 8 5 3" xfId="19620" xr:uid="{00000000-0005-0000-0000-0000D7380000}"/>
    <cellStyle name="Remarque 2 2 5 2 2 8 5 4" xfId="43580" xr:uid="{00000000-0005-0000-0000-0000D8380000}"/>
    <cellStyle name="Remarque 2 2 5 2 2 8 6" xfId="9744" xr:uid="{00000000-0005-0000-0000-0000D9380000}"/>
    <cellStyle name="Remarque 2 2 5 2 2 8 6 2" xfId="33758" xr:uid="{00000000-0005-0000-0000-0000DA380000}"/>
    <cellStyle name="Remarque 2 2 5 2 2 8 6 2 2" xfId="57718" xr:uid="{00000000-0005-0000-0000-0000DB380000}"/>
    <cellStyle name="Remarque 2 2 5 2 2 8 6 3" xfId="21005" xr:uid="{00000000-0005-0000-0000-0000DC380000}"/>
    <cellStyle name="Remarque 2 2 5 2 2 8 6 4" xfId="44965" xr:uid="{00000000-0005-0000-0000-0000DD380000}"/>
    <cellStyle name="Remarque 2 2 5 2 2 8 7" xfId="11201" xr:uid="{00000000-0005-0000-0000-0000DE380000}"/>
    <cellStyle name="Remarque 2 2 5 2 2 8 7 2" xfId="35211" xr:uid="{00000000-0005-0000-0000-0000DF380000}"/>
    <cellStyle name="Remarque 2 2 5 2 2 8 7 2 2" xfId="59171" xr:uid="{00000000-0005-0000-0000-0000E0380000}"/>
    <cellStyle name="Remarque 2 2 5 2 2 8 7 3" xfId="22468" xr:uid="{00000000-0005-0000-0000-0000E1380000}"/>
    <cellStyle name="Remarque 2 2 5 2 2 8 7 4" xfId="46428" xr:uid="{00000000-0005-0000-0000-0000E2380000}"/>
    <cellStyle name="Remarque 2 2 5 2 2 8 8" xfId="11846" xr:uid="{00000000-0005-0000-0000-0000E3380000}"/>
    <cellStyle name="Remarque 2 2 5 2 2 8 8 2" xfId="23122" xr:uid="{00000000-0005-0000-0000-0000E4380000}"/>
    <cellStyle name="Remarque 2 2 5 2 2 8 8 3" xfId="47082" xr:uid="{00000000-0005-0000-0000-0000E5380000}"/>
    <cellStyle name="Remarque 2 2 5 2 2 8 9" xfId="2673" xr:uid="{00000000-0005-0000-0000-0000E6380000}"/>
    <cellStyle name="Remarque 2 2 5 2 2 8 9 2" xfId="26687" xr:uid="{00000000-0005-0000-0000-0000E7380000}"/>
    <cellStyle name="Remarque 2 2 5 2 2 8 9 3" xfId="50647" xr:uid="{00000000-0005-0000-0000-0000E8380000}"/>
    <cellStyle name="Remarque 2 2 5 2 2 9" xfId="1406" xr:uid="{00000000-0005-0000-0000-0000E9380000}"/>
    <cellStyle name="Remarque 2 2 5 2 2 9 10" xfId="25438" xr:uid="{00000000-0005-0000-0000-0000EA380000}"/>
    <cellStyle name="Remarque 2 2 5 2 2 9 10 2" xfId="49398" xr:uid="{00000000-0005-0000-0000-0000EB380000}"/>
    <cellStyle name="Remarque 2 2 5 2 2 9 11" xfId="35660" xr:uid="{00000000-0005-0000-0000-0000EC380000}"/>
    <cellStyle name="Remarque 2 2 5 2 2 9 11 2" xfId="59620" xr:uid="{00000000-0005-0000-0000-0000ED380000}"/>
    <cellStyle name="Remarque 2 2 5 2 2 9 12" xfId="14103" xr:uid="{00000000-0005-0000-0000-0000EE380000}"/>
    <cellStyle name="Remarque 2 2 5 2 2 9 13" xfId="38063" xr:uid="{00000000-0005-0000-0000-0000EF380000}"/>
    <cellStyle name="Remarque 2 2 5 2 2 9 2" xfId="4312" xr:uid="{00000000-0005-0000-0000-0000F0380000}"/>
    <cellStyle name="Remarque 2 2 5 2 2 9 2 2" xfId="28326" xr:uid="{00000000-0005-0000-0000-0000F1380000}"/>
    <cellStyle name="Remarque 2 2 5 2 2 9 2 2 2" xfId="52286" xr:uid="{00000000-0005-0000-0000-0000F2380000}"/>
    <cellStyle name="Remarque 2 2 5 2 2 9 2 3" xfId="15573" xr:uid="{00000000-0005-0000-0000-0000F3380000}"/>
    <cellStyle name="Remarque 2 2 5 2 2 9 2 4" xfId="39533" xr:uid="{00000000-0005-0000-0000-0000F4380000}"/>
    <cellStyle name="Remarque 2 2 5 2 2 9 3" xfId="5746" xr:uid="{00000000-0005-0000-0000-0000F5380000}"/>
    <cellStyle name="Remarque 2 2 5 2 2 9 3 2" xfId="29760" xr:uid="{00000000-0005-0000-0000-0000F6380000}"/>
    <cellStyle name="Remarque 2 2 5 2 2 9 3 2 2" xfId="53720" xr:uid="{00000000-0005-0000-0000-0000F7380000}"/>
    <cellStyle name="Remarque 2 2 5 2 2 9 3 3" xfId="17007" xr:uid="{00000000-0005-0000-0000-0000F8380000}"/>
    <cellStyle name="Remarque 2 2 5 2 2 9 3 4" xfId="40967" xr:uid="{00000000-0005-0000-0000-0000F9380000}"/>
    <cellStyle name="Remarque 2 2 5 2 2 9 4" xfId="7140" xr:uid="{00000000-0005-0000-0000-0000FA380000}"/>
    <cellStyle name="Remarque 2 2 5 2 2 9 4 2" xfId="31154" xr:uid="{00000000-0005-0000-0000-0000FB380000}"/>
    <cellStyle name="Remarque 2 2 5 2 2 9 4 2 2" xfId="55114" xr:uid="{00000000-0005-0000-0000-0000FC380000}"/>
    <cellStyle name="Remarque 2 2 5 2 2 9 4 3" xfId="18401" xr:uid="{00000000-0005-0000-0000-0000FD380000}"/>
    <cellStyle name="Remarque 2 2 5 2 2 9 4 4" xfId="42361" xr:uid="{00000000-0005-0000-0000-0000FE380000}"/>
    <cellStyle name="Remarque 2 2 5 2 2 9 5" xfId="8528" xr:uid="{00000000-0005-0000-0000-0000FF380000}"/>
    <cellStyle name="Remarque 2 2 5 2 2 9 5 2" xfId="32542" xr:uid="{00000000-0005-0000-0000-000000390000}"/>
    <cellStyle name="Remarque 2 2 5 2 2 9 5 2 2" xfId="56502" xr:uid="{00000000-0005-0000-0000-000001390000}"/>
    <cellStyle name="Remarque 2 2 5 2 2 9 5 3" xfId="19789" xr:uid="{00000000-0005-0000-0000-000002390000}"/>
    <cellStyle name="Remarque 2 2 5 2 2 9 5 4" xfId="43749" xr:uid="{00000000-0005-0000-0000-000003390000}"/>
    <cellStyle name="Remarque 2 2 5 2 2 9 6" xfId="9913" xr:uid="{00000000-0005-0000-0000-000004390000}"/>
    <cellStyle name="Remarque 2 2 5 2 2 9 6 2" xfId="33927" xr:uid="{00000000-0005-0000-0000-000005390000}"/>
    <cellStyle name="Remarque 2 2 5 2 2 9 6 2 2" xfId="57887" xr:uid="{00000000-0005-0000-0000-000006390000}"/>
    <cellStyle name="Remarque 2 2 5 2 2 9 6 3" xfId="21174" xr:uid="{00000000-0005-0000-0000-000007390000}"/>
    <cellStyle name="Remarque 2 2 5 2 2 9 6 4" xfId="45134" xr:uid="{00000000-0005-0000-0000-000008390000}"/>
    <cellStyle name="Remarque 2 2 5 2 2 9 7" xfId="11370" xr:uid="{00000000-0005-0000-0000-000009390000}"/>
    <cellStyle name="Remarque 2 2 5 2 2 9 7 2" xfId="35380" xr:uid="{00000000-0005-0000-0000-00000A390000}"/>
    <cellStyle name="Remarque 2 2 5 2 2 9 7 2 2" xfId="59340" xr:uid="{00000000-0005-0000-0000-00000B390000}"/>
    <cellStyle name="Remarque 2 2 5 2 2 9 7 3" xfId="22637" xr:uid="{00000000-0005-0000-0000-00000C390000}"/>
    <cellStyle name="Remarque 2 2 5 2 2 9 7 4" xfId="46597" xr:uid="{00000000-0005-0000-0000-00000D390000}"/>
    <cellStyle name="Remarque 2 2 5 2 2 9 8" xfId="12183" xr:uid="{00000000-0005-0000-0000-00000E390000}"/>
    <cellStyle name="Remarque 2 2 5 2 2 9 8 2" xfId="23466" xr:uid="{00000000-0005-0000-0000-00000F390000}"/>
    <cellStyle name="Remarque 2 2 5 2 2 9 8 3" xfId="47426" xr:uid="{00000000-0005-0000-0000-000010390000}"/>
    <cellStyle name="Remarque 2 2 5 2 2 9 9" xfId="2842" xr:uid="{00000000-0005-0000-0000-000011390000}"/>
    <cellStyle name="Remarque 2 2 5 2 2 9 9 2" xfId="26856" xr:uid="{00000000-0005-0000-0000-000012390000}"/>
    <cellStyle name="Remarque 2 2 5 2 2 9 9 3" xfId="50816" xr:uid="{00000000-0005-0000-0000-000013390000}"/>
    <cellStyle name="Remarque 2 2 5 2 20" xfId="10149" xr:uid="{00000000-0005-0000-0000-000014390000}"/>
    <cellStyle name="Remarque 2 2 5 2 20 2" xfId="34161" xr:uid="{00000000-0005-0000-0000-000015390000}"/>
    <cellStyle name="Remarque 2 2 5 2 20 2 2" xfId="58121" xr:uid="{00000000-0005-0000-0000-000016390000}"/>
    <cellStyle name="Remarque 2 2 5 2 20 3" xfId="21414" xr:uid="{00000000-0005-0000-0000-000017390000}"/>
    <cellStyle name="Remarque 2 2 5 2 20 4" xfId="45374" xr:uid="{00000000-0005-0000-0000-000018390000}"/>
    <cellStyle name="Remarque 2 2 5 2 21" xfId="12342" xr:uid="{00000000-0005-0000-0000-000019390000}"/>
    <cellStyle name="Remarque 2 2 5 2 21 2" xfId="23630" xr:uid="{00000000-0005-0000-0000-00001A390000}"/>
    <cellStyle name="Remarque 2 2 5 2 21 3" xfId="47590" xr:uid="{00000000-0005-0000-0000-00001B390000}"/>
    <cellStyle name="Remarque 2 2 5 2 22" xfId="1647" xr:uid="{00000000-0005-0000-0000-00001C390000}"/>
    <cellStyle name="Remarque 2 2 5 2 22 2" xfId="25661" xr:uid="{00000000-0005-0000-0000-00001D390000}"/>
    <cellStyle name="Remarque 2 2 5 2 22 3" xfId="49621" xr:uid="{00000000-0005-0000-0000-00001E390000}"/>
    <cellStyle name="Remarque 2 2 5 2 23" xfId="23885" xr:uid="{00000000-0005-0000-0000-00001F390000}"/>
    <cellStyle name="Remarque 2 2 5 2 23 2" xfId="47845" xr:uid="{00000000-0005-0000-0000-000020390000}"/>
    <cellStyle name="Remarque 2 2 5 2 24" xfId="35813" xr:uid="{00000000-0005-0000-0000-000021390000}"/>
    <cellStyle name="Remarque 2 2 5 2 24 2" xfId="59773" xr:uid="{00000000-0005-0000-0000-000022390000}"/>
    <cellStyle name="Remarque 2 2 5 2 25" xfId="12927" xr:uid="{00000000-0005-0000-0000-000023390000}"/>
    <cellStyle name="Remarque 2 2 5 2 26" xfId="36868" xr:uid="{00000000-0005-0000-0000-000024390000}"/>
    <cellStyle name="Remarque 2 2 5 2 27" xfId="183" xr:uid="{00000000-0005-0000-0000-000025390000}"/>
    <cellStyle name="Remarque 2 2 5 2 3" xfId="143" xr:uid="{00000000-0005-0000-0000-000026390000}"/>
    <cellStyle name="Remarque 2 2 5 2 3 10" xfId="6139" xr:uid="{00000000-0005-0000-0000-000027390000}"/>
    <cellStyle name="Remarque 2 2 5 2 3 10 2" xfId="30153" xr:uid="{00000000-0005-0000-0000-000028390000}"/>
    <cellStyle name="Remarque 2 2 5 2 3 10 2 2" xfId="54113" xr:uid="{00000000-0005-0000-0000-000029390000}"/>
    <cellStyle name="Remarque 2 2 5 2 3 10 3" xfId="17400" xr:uid="{00000000-0005-0000-0000-00002A390000}"/>
    <cellStyle name="Remarque 2 2 5 2 3 10 4" xfId="41360" xr:uid="{00000000-0005-0000-0000-00002B390000}"/>
    <cellStyle name="Remarque 2 2 5 2 3 11" xfId="7527" xr:uid="{00000000-0005-0000-0000-00002C390000}"/>
    <cellStyle name="Remarque 2 2 5 2 3 11 2" xfId="31541" xr:uid="{00000000-0005-0000-0000-00002D390000}"/>
    <cellStyle name="Remarque 2 2 5 2 3 11 2 2" xfId="55501" xr:uid="{00000000-0005-0000-0000-00002E390000}"/>
    <cellStyle name="Remarque 2 2 5 2 3 11 3" xfId="18788" xr:uid="{00000000-0005-0000-0000-00002F390000}"/>
    <cellStyle name="Remarque 2 2 5 2 3 11 4" xfId="42748" xr:uid="{00000000-0005-0000-0000-000030390000}"/>
    <cellStyle name="Remarque 2 2 5 2 3 12" xfId="8912" xr:uid="{00000000-0005-0000-0000-000031390000}"/>
    <cellStyle name="Remarque 2 2 5 2 3 12 2" xfId="32926" xr:uid="{00000000-0005-0000-0000-000032390000}"/>
    <cellStyle name="Remarque 2 2 5 2 3 12 2 2" xfId="56886" xr:uid="{00000000-0005-0000-0000-000033390000}"/>
    <cellStyle name="Remarque 2 2 5 2 3 12 3" xfId="20173" xr:uid="{00000000-0005-0000-0000-000034390000}"/>
    <cellStyle name="Remarque 2 2 5 2 3 12 4" xfId="44133" xr:uid="{00000000-0005-0000-0000-000035390000}"/>
    <cellStyle name="Remarque 2 2 5 2 3 13" xfId="10369" xr:uid="{00000000-0005-0000-0000-000036390000}"/>
    <cellStyle name="Remarque 2 2 5 2 3 13 2" xfId="34379" xr:uid="{00000000-0005-0000-0000-000037390000}"/>
    <cellStyle name="Remarque 2 2 5 2 3 13 2 2" xfId="58339" xr:uid="{00000000-0005-0000-0000-000038390000}"/>
    <cellStyle name="Remarque 2 2 5 2 3 13 3" xfId="21636" xr:uid="{00000000-0005-0000-0000-000039390000}"/>
    <cellStyle name="Remarque 2 2 5 2 3 13 4" xfId="45596" xr:uid="{00000000-0005-0000-0000-00003A390000}"/>
    <cellStyle name="Remarque 2 2 5 2 3 14" xfId="12770" xr:uid="{00000000-0005-0000-0000-00003B390000}"/>
    <cellStyle name="Remarque 2 2 5 2 3 14 2" xfId="24078" xr:uid="{00000000-0005-0000-0000-00003C390000}"/>
    <cellStyle name="Remarque 2 2 5 2 3 14 3" xfId="48038" xr:uid="{00000000-0005-0000-0000-00003D390000}"/>
    <cellStyle name="Remarque 2 2 5 2 3 15" xfId="1841" xr:uid="{00000000-0005-0000-0000-00003E390000}"/>
    <cellStyle name="Remarque 2 2 5 2 3 15 2" xfId="25855" xr:uid="{00000000-0005-0000-0000-00003F390000}"/>
    <cellStyle name="Remarque 2 2 5 2 3 15 3" xfId="49815" xr:uid="{00000000-0005-0000-0000-000040390000}"/>
    <cellStyle name="Remarque 2 2 5 2 3 16" xfId="24437" xr:uid="{00000000-0005-0000-0000-000041390000}"/>
    <cellStyle name="Remarque 2 2 5 2 3 16 2" xfId="48397" xr:uid="{00000000-0005-0000-0000-000042390000}"/>
    <cellStyle name="Remarque 2 2 5 2 3 17" xfId="36299" xr:uid="{00000000-0005-0000-0000-000043390000}"/>
    <cellStyle name="Remarque 2 2 5 2 3 17 2" xfId="60259" xr:uid="{00000000-0005-0000-0000-000044390000}"/>
    <cellStyle name="Remarque 2 2 5 2 3 18" xfId="13102" xr:uid="{00000000-0005-0000-0000-000045390000}"/>
    <cellStyle name="Remarque 2 2 5 2 3 19" xfId="37062" xr:uid="{00000000-0005-0000-0000-000046390000}"/>
    <cellStyle name="Remarque 2 2 5 2 3 2" xfId="541" xr:uid="{00000000-0005-0000-0000-000047390000}"/>
    <cellStyle name="Remarque 2 2 5 2 3 2 10" xfId="24573" xr:uid="{00000000-0005-0000-0000-000048390000}"/>
    <cellStyle name="Remarque 2 2 5 2 3 2 10 2" xfId="48533" xr:uid="{00000000-0005-0000-0000-000049390000}"/>
    <cellStyle name="Remarque 2 2 5 2 3 2 11" xfId="36645" xr:uid="{00000000-0005-0000-0000-00004A390000}"/>
    <cellStyle name="Remarque 2 2 5 2 3 2 11 2" xfId="60605" xr:uid="{00000000-0005-0000-0000-00004B390000}"/>
    <cellStyle name="Remarque 2 2 5 2 3 2 12" xfId="13238" xr:uid="{00000000-0005-0000-0000-00004C390000}"/>
    <cellStyle name="Remarque 2 2 5 2 3 2 13" xfId="37198" xr:uid="{00000000-0005-0000-0000-00004D390000}"/>
    <cellStyle name="Remarque 2 2 5 2 3 2 2" xfId="3447" xr:uid="{00000000-0005-0000-0000-00004E390000}"/>
    <cellStyle name="Remarque 2 2 5 2 3 2 2 2" xfId="27461" xr:uid="{00000000-0005-0000-0000-00004F390000}"/>
    <cellStyle name="Remarque 2 2 5 2 3 2 2 2 2" xfId="51421" xr:uid="{00000000-0005-0000-0000-000050390000}"/>
    <cellStyle name="Remarque 2 2 5 2 3 2 2 3" xfId="14708" xr:uid="{00000000-0005-0000-0000-000051390000}"/>
    <cellStyle name="Remarque 2 2 5 2 3 2 2 4" xfId="38668" xr:uid="{00000000-0005-0000-0000-000052390000}"/>
    <cellStyle name="Remarque 2 2 5 2 3 2 3" xfId="4881" xr:uid="{00000000-0005-0000-0000-000053390000}"/>
    <cellStyle name="Remarque 2 2 5 2 3 2 3 2" xfId="28895" xr:uid="{00000000-0005-0000-0000-000054390000}"/>
    <cellStyle name="Remarque 2 2 5 2 3 2 3 2 2" xfId="52855" xr:uid="{00000000-0005-0000-0000-000055390000}"/>
    <cellStyle name="Remarque 2 2 5 2 3 2 3 3" xfId="16142" xr:uid="{00000000-0005-0000-0000-000056390000}"/>
    <cellStyle name="Remarque 2 2 5 2 3 2 3 4" xfId="40102" xr:uid="{00000000-0005-0000-0000-000057390000}"/>
    <cellStyle name="Remarque 2 2 5 2 3 2 4" xfId="6275" xr:uid="{00000000-0005-0000-0000-000058390000}"/>
    <cellStyle name="Remarque 2 2 5 2 3 2 4 2" xfId="30289" xr:uid="{00000000-0005-0000-0000-000059390000}"/>
    <cellStyle name="Remarque 2 2 5 2 3 2 4 2 2" xfId="54249" xr:uid="{00000000-0005-0000-0000-00005A390000}"/>
    <cellStyle name="Remarque 2 2 5 2 3 2 4 3" xfId="17536" xr:uid="{00000000-0005-0000-0000-00005B390000}"/>
    <cellStyle name="Remarque 2 2 5 2 3 2 4 4" xfId="41496" xr:uid="{00000000-0005-0000-0000-00005C390000}"/>
    <cellStyle name="Remarque 2 2 5 2 3 2 5" xfId="7663" xr:uid="{00000000-0005-0000-0000-00005D390000}"/>
    <cellStyle name="Remarque 2 2 5 2 3 2 5 2" xfId="31677" xr:uid="{00000000-0005-0000-0000-00005E390000}"/>
    <cellStyle name="Remarque 2 2 5 2 3 2 5 2 2" xfId="55637" xr:uid="{00000000-0005-0000-0000-00005F390000}"/>
    <cellStyle name="Remarque 2 2 5 2 3 2 5 3" xfId="18924" xr:uid="{00000000-0005-0000-0000-000060390000}"/>
    <cellStyle name="Remarque 2 2 5 2 3 2 5 4" xfId="42884" xr:uid="{00000000-0005-0000-0000-000061390000}"/>
    <cellStyle name="Remarque 2 2 5 2 3 2 6" xfId="9048" xr:uid="{00000000-0005-0000-0000-000062390000}"/>
    <cellStyle name="Remarque 2 2 5 2 3 2 6 2" xfId="33062" xr:uid="{00000000-0005-0000-0000-000063390000}"/>
    <cellStyle name="Remarque 2 2 5 2 3 2 6 2 2" xfId="57022" xr:uid="{00000000-0005-0000-0000-000064390000}"/>
    <cellStyle name="Remarque 2 2 5 2 3 2 6 3" xfId="20309" xr:uid="{00000000-0005-0000-0000-000065390000}"/>
    <cellStyle name="Remarque 2 2 5 2 3 2 6 4" xfId="44269" xr:uid="{00000000-0005-0000-0000-000066390000}"/>
    <cellStyle name="Remarque 2 2 5 2 3 2 7" xfId="10505" xr:uid="{00000000-0005-0000-0000-000067390000}"/>
    <cellStyle name="Remarque 2 2 5 2 3 2 7 2" xfId="34515" xr:uid="{00000000-0005-0000-0000-000068390000}"/>
    <cellStyle name="Remarque 2 2 5 2 3 2 7 2 2" xfId="58475" xr:uid="{00000000-0005-0000-0000-000069390000}"/>
    <cellStyle name="Remarque 2 2 5 2 3 2 7 3" xfId="21772" xr:uid="{00000000-0005-0000-0000-00006A390000}"/>
    <cellStyle name="Remarque 2 2 5 2 3 2 7 4" xfId="45732" xr:uid="{00000000-0005-0000-0000-00006B390000}"/>
    <cellStyle name="Remarque 2 2 5 2 3 2 8" xfId="12121" xr:uid="{00000000-0005-0000-0000-00006C390000}"/>
    <cellStyle name="Remarque 2 2 5 2 3 2 8 2" xfId="23404" xr:uid="{00000000-0005-0000-0000-00006D390000}"/>
    <cellStyle name="Remarque 2 2 5 2 3 2 8 3" xfId="47364" xr:uid="{00000000-0005-0000-0000-00006E390000}"/>
    <cellStyle name="Remarque 2 2 5 2 3 2 9" xfId="1977" xr:uid="{00000000-0005-0000-0000-00006F390000}"/>
    <cellStyle name="Remarque 2 2 5 2 3 2 9 2" xfId="25991" xr:uid="{00000000-0005-0000-0000-000070390000}"/>
    <cellStyle name="Remarque 2 2 5 2 3 2 9 3" xfId="49951" xr:uid="{00000000-0005-0000-0000-000071390000}"/>
    <cellStyle name="Remarque 2 2 5 2 3 20" xfId="405" xr:uid="{00000000-0005-0000-0000-000072390000}"/>
    <cellStyle name="Remarque 2 2 5 2 3 3" xfId="733" xr:uid="{00000000-0005-0000-0000-000073390000}"/>
    <cellStyle name="Remarque 2 2 5 2 3 3 10" xfId="24765" xr:uid="{00000000-0005-0000-0000-000074390000}"/>
    <cellStyle name="Remarque 2 2 5 2 3 3 10 2" xfId="48725" xr:uid="{00000000-0005-0000-0000-000075390000}"/>
    <cellStyle name="Remarque 2 2 5 2 3 3 11" xfId="35740" xr:uid="{00000000-0005-0000-0000-000076390000}"/>
    <cellStyle name="Remarque 2 2 5 2 3 3 11 2" xfId="59700" xr:uid="{00000000-0005-0000-0000-000077390000}"/>
    <cellStyle name="Remarque 2 2 5 2 3 3 12" xfId="13430" xr:uid="{00000000-0005-0000-0000-000078390000}"/>
    <cellStyle name="Remarque 2 2 5 2 3 3 13" xfId="37390" xr:uid="{00000000-0005-0000-0000-000079390000}"/>
    <cellStyle name="Remarque 2 2 5 2 3 3 2" xfId="3639" xr:uid="{00000000-0005-0000-0000-00007A390000}"/>
    <cellStyle name="Remarque 2 2 5 2 3 3 2 2" xfId="27653" xr:uid="{00000000-0005-0000-0000-00007B390000}"/>
    <cellStyle name="Remarque 2 2 5 2 3 3 2 2 2" xfId="51613" xr:uid="{00000000-0005-0000-0000-00007C390000}"/>
    <cellStyle name="Remarque 2 2 5 2 3 3 2 3" xfId="14900" xr:uid="{00000000-0005-0000-0000-00007D390000}"/>
    <cellStyle name="Remarque 2 2 5 2 3 3 2 4" xfId="38860" xr:uid="{00000000-0005-0000-0000-00007E390000}"/>
    <cellStyle name="Remarque 2 2 5 2 3 3 3" xfId="5073" xr:uid="{00000000-0005-0000-0000-00007F390000}"/>
    <cellStyle name="Remarque 2 2 5 2 3 3 3 2" xfId="29087" xr:uid="{00000000-0005-0000-0000-000080390000}"/>
    <cellStyle name="Remarque 2 2 5 2 3 3 3 2 2" xfId="53047" xr:uid="{00000000-0005-0000-0000-000081390000}"/>
    <cellStyle name="Remarque 2 2 5 2 3 3 3 3" xfId="16334" xr:uid="{00000000-0005-0000-0000-000082390000}"/>
    <cellStyle name="Remarque 2 2 5 2 3 3 3 4" xfId="40294" xr:uid="{00000000-0005-0000-0000-000083390000}"/>
    <cellStyle name="Remarque 2 2 5 2 3 3 4" xfId="6467" xr:uid="{00000000-0005-0000-0000-000084390000}"/>
    <cellStyle name="Remarque 2 2 5 2 3 3 4 2" xfId="30481" xr:uid="{00000000-0005-0000-0000-000085390000}"/>
    <cellStyle name="Remarque 2 2 5 2 3 3 4 2 2" xfId="54441" xr:uid="{00000000-0005-0000-0000-000086390000}"/>
    <cellStyle name="Remarque 2 2 5 2 3 3 4 3" xfId="17728" xr:uid="{00000000-0005-0000-0000-000087390000}"/>
    <cellStyle name="Remarque 2 2 5 2 3 3 4 4" xfId="41688" xr:uid="{00000000-0005-0000-0000-000088390000}"/>
    <cellStyle name="Remarque 2 2 5 2 3 3 5" xfId="7855" xr:uid="{00000000-0005-0000-0000-000089390000}"/>
    <cellStyle name="Remarque 2 2 5 2 3 3 5 2" xfId="31869" xr:uid="{00000000-0005-0000-0000-00008A390000}"/>
    <cellStyle name="Remarque 2 2 5 2 3 3 5 2 2" xfId="55829" xr:uid="{00000000-0005-0000-0000-00008B390000}"/>
    <cellStyle name="Remarque 2 2 5 2 3 3 5 3" xfId="19116" xr:uid="{00000000-0005-0000-0000-00008C390000}"/>
    <cellStyle name="Remarque 2 2 5 2 3 3 5 4" xfId="43076" xr:uid="{00000000-0005-0000-0000-00008D390000}"/>
    <cellStyle name="Remarque 2 2 5 2 3 3 6" xfId="9240" xr:uid="{00000000-0005-0000-0000-00008E390000}"/>
    <cellStyle name="Remarque 2 2 5 2 3 3 6 2" xfId="33254" xr:uid="{00000000-0005-0000-0000-00008F390000}"/>
    <cellStyle name="Remarque 2 2 5 2 3 3 6 2 2" xfId="57214" xr:uid="{00000000-0005-0000-0000-000090390000}"/>
    <cellStyle name="Remarque 2 2 5 2 3 3 6 3" xfId="20501" xr:uid="{00000000-0005-0000-0000-000091390000}"/>
    <cellStyle name="Remarque 2 2 5 2 3 3 6 4" xfId="44461" xr:uid="{00000000-0005-0000-0000-000092390000}"/>
    <cellStyle name="Remarque 2 2 5 2 3 3 7" xfId="10697" xr:uid="{00000000-0005-0000-0000-000093390000}"/>
    <cellStyle name="Remarque 2 2 5 2 3 3 7 2" xfId="34707" xr:uid="{00000000-0005-0000-0000-000094390000}"/>
    <cellStyle name="Remarque 2 2 5 2 3 3 7 2 2" xfId="58667" xr:uid="{00000000-0005-0000-0000-000095390000}"/>
    <cellStyle name="Remarque 2 2 5 2 3 3 7 3" xfId="21964" xr:uid="{00000000-0005-0000-0000-000096390000}"/>
    <cellStyle name="Remarque 2 2 5 2 3 3 7 4" xfId="45924" xr:uid="{00000000-0005-0000-0000-000097390000}"/>
    <cellStyle name="Remarque 2 2 5 2 3 3 8" xfId="11784" xr:uid="{00000000-0005-0000-0000-000098390000}"/>
    <cellStyle name="Remarque 2 2 5 2 3 3 8 2" xfId="23058" xr:uid="{00000000-0005-0000-0000-000099390000}"/>
    <cellStyle name="Remarque 2 2 5 2 3 3 8 3" xfId="47018" xr:uid="{00000000-0005-0000-0000-00009A390000}"/>
    <cellStyle name="Remarque 2 2 5 2 3 3 9" xfId="2169" xr:uid="{00000000-0005-0000-0000-00009B390000}"/>
    <cellStyle name="Remarque 2 2 5 2 3 3 9 2" xfId="26183" xr:uid="{00000000-0005-0000-0000-00009C390000}"/>
    <cellStyle name="Remarque 2 2 5 2 3 3 9 3" xfId="50143" xr:uid="{00000000-0005-0000-0000-00009D390000}"/>
    <cellStyle name="Remarque 2 2 5 2 3 4" xfId="927" xr:uid="{00000000-0005-0000-0000-00009E390000}"/>
    <cellStyle name="Remarque 2 2 5 2 3 4 10" xfId="24959" xr:uid="{00000000-0005-0000-0000-00009F390000}"/>
    <cellStyle name="Remarque 2 2 5 2 3 4 10 2" xfId="48919" xr:uid="{00000000-0005-0000-0000-0000A0390000}"/>
    <cellStyle name="Remarque 2 2 5 2 3 4 11" xfId="35824" xr:uid="{00000000-0005-0000-0000-0000A1390000}"/>
    <cellStyle name="Remarque 2 2 5 2 3 4 11 2" xfId="59784" xr:uid="{00000000-0005-0000-0000-0000A2390000}"/>
    <cellStyle name="Remarque 2 2 5 2 3 4 12" xfId="13624" xr:uid="{00000000-0005-0000-0000-0000A3390000}"/>
    <cellStyle name="Remarque 2 2 5 2 3 4 13" xfId="37584" xr:uid="{00000000-0005-0000-0000-0000A4390000}"/>
    <cellStyle name="Remarque 2 2 5 2 3 4 2" xfId="3833" xr:uid="{00000000-0005-0000-0000-0000A5390000}"/>
    <cellStyle name="Remarque 2 2 5 2 3 4 2 2" xfId="27847" xr:uid="{00000000-0005-0000-0000-0000A6390000}"/>
    <cellStyle name="Remarque 2 2 5 2 3 4 2 2 2" xfId="51807" xr:uid="{00000000-0005-0000-0000-0000A7390000}"/>
    <cellStyle name="Remarque 2 2 5 2 3 4 2 3" xfId="15094" xr:uid="{00000000-0005-0000-0000-0000A8390000}"/>
    <cellStyle name="Remarque 2 2 5 2 3 4 2 4" xfId="39054" xr:uid="{00000000-0005-0000-0000-0000A9390000}"/>
    <cellStyle name="Remarque 2 2 5 2 3 4 3" xfId="5267" xr:uid="{00000000-0005-0000-0000-0000AA390000}"/>
    <cellStyle name="Remarque 2 2 5 2 3 4 3 2" xfId="29281" xr:uid="{00000000-0005-0000-0000-0000AB390000}"/>
    <cellStyle name="Remarque 2 2 5 2 3 4 3 2 2" xfId="53241" xr:uid="{00000000-0005-0000-0000-0000AC390000}"/>
    <cellStyle name="Remarque 2 2 5 2 3 4 3 3" xfId="16528" xr:uid="{00000000-0005-0000-0000-0000AD390000}"/>
    <cellStyle name="Remarque 2 2 5 2 3 4 3 4" xfId="40488" xr:uid="{00000000-0005-0000-0000-0000AE390000}"/>
    <cellStyle name="Remarque 2 2 5 2 3 4 4" xfId="6661" xr:uid="{00000000-0005-0000-0000-0000AF390000}"/>
    <cellStyle name="Remarque 2 2 5 2 3 4 4 2" xfId="30675" xr:uid="{00000000-0005-0000-0000-0000B0390000}"/>
    <cellStyle name="Remarque 2 2 5 2 3 4 4 2 2" xfId="54635" xr:uid="{00000000-0005-0000-0000-0000B1390000}"/>
    <cellStyle name="Remarque 2 2 5 2 3 4 4 3" xfId="17922" xr:uid="{00000000-0005-0000-0000-0000B2390000}"/>
    <cellStyle name="Remarque 2 2 5 2 3 4 4 4" xfId="41882" xr:uid="{00000000-0005-0000-0000-0000B3390000}"/>
    <cellStyle name="Remarque 2 2 5 2 3 4 5" xfId="8049" xr:uid="{00000000-0005-0000-0000-0000B4390000}"/>
    <cellStyle name="Remarque 2 2 5 2 3 4 5 2" xfId="32063" xr:uid="{00000000-0005-0000-0000-0000B5390000}"/>
    <cellStyle name="Remarque 2 2 5 2 3 4 5 2 2" xfId="56023" xr:uid="{00000000-0005-0000-0000-0000B6390000}"/>
    <cellStyle name="Remarque 2 2 5 2 3 4 5 3" xfId="19310" xr:uid="{00000000-0005-0000-0000-0000B7390000}"/>
    <cellStyle name="Remarque 2 2 5 2 3 4 5 4" xfId="43270" xr:uid="{00000000-0005-0000-0000-0000B8390000}"/>
    <cellStyle name="Remarque 2 2 5 2 3 4 6" xfId="9434" xr:uid="{00000000-0005-0000-0000-0000B9390000}"/>
    <cellStyle name="Remarque 2 2 5 2 3 4 6 2" xfId="33448" xr:uid="{00000000-0005-0000-0000-0000BA390000}"/>
    <cellStyle name="Remarque 2 2 5 2 3 4 6 2 2" xfId="57408" xr:uid="{00000000-0005-0000-0000-0000BB390000}"/>
    <cellStyle name="Remarque 2 2 5 2 3 4 6 3" xfId="20695" xr:uid="{00000000-0005-0000-0000-0000BC390000}"/>
    <cellStyle name="Remarque 2 2 5 2 3 4 6 4" xfId="44655" xr:uid="{00000000-0005-0000-0000-0000BD390000}"/>
    <cellStyle name="Remarque 2 2 5 2 3 4 7" xfId="10891" xr:uid="{00000000-0005-0000-0000-0000BE390000}"/>
    <cellStyle name="Remarque 2 2 5 2 3 4 7 2" xfId="34901" xr:uid="{00000000-0005-0000-0000-0000BF390000}"/>
    <cellStyle name="Remarque 2 2 5 2 3 4 7 2 2" xfId="58861" xr:uid="{00000000-0005-0000-0000-0000C0390000}"/>
    <cellStyle name="Remarque 2 2 5 2 3 4 7 3" xfId="22158" xr:uid="{00000000-0005-0000-0000-0000C1390000}"/>
    <cellStyle name="Remarque 2 2 5 2 3 4 7 4" xfId="46118" xr:uid="{00000000-0005-0000-0000-0000C2390000}"/>
    <cellStyle name="Remarque 2 2 5 2 3 4 8" xfId="11917" xr:uid="{00000000-0005-0000-0000-0000C3390000}"/>
    <cellStyle name="Remarque 2 2 5 2 3 4 8 2" xfId="23195" xr:uid="{00000000-0005-0000-0000-0000C4390000}"/>
    <cellStyle name="Remarque 2 2 5 2 3 4 8 3" xfId="47155" xr:uid="{00000000-0005-0000-0000-0000C5390000}"/>
    <cellStyle name="Remarque 2 2 5 2 3 4 9" xfId="2363" xr:uid="{00000000-0005-0000-0000-0000C6390000}"/>
    <cellStyle name="Remarque 2 2 5 2 3 4 9 2" xfId="26377" xr:uid="{00000000-0005-0000-0000-0000C7390000}"/>
    <cellStyle name="Remarque 2 2 5 2 3 4 9 3" xfId="50337" xr:uid="{00000000-0005-0000-0000-0000C8390000}"/>
    <cellStyle name="Remarque 2 2 5 2 3 5" xfId="1120" xr:uid="{00000000-0005-0000-0000-0000C9390000}"/>
    <cellStyle name="Remarque 2 2 5 2 3 5 10" xfId="25152" xr:uid="{00000000-0005-0000-0000-0000CA390000}"/>
    <cellStyle name="Remarque 2 2 5 2 3 5 10 2" xfId="49112" xr:uid="{00000000-0005-0000-0000-0000CB390000}"/>
    <cellStyle name="Remarque 2 2 5 2 3 5 11" xfId="35945" xr:uid="{00000000-0005-0000-0000-0000CC390000}"/>
    <cellStyle name="Remarque 2 2 5 2 3 5 11 2" xfId="59905" xr:uid="{00000000-0005-0000-0000-0000CD390000}"/>
    <cellStyle name="Remarque 2 2 5 2 3 5 12" xfId="13817" xr:uid="{00000000-0005-0000-0000-0000CE390000}"/>
    <cellStyle name="Remarque 2 2 5 2 3 5 13" xfId="37777" xr:uid="{00000000-0005-0000-0000-0000CF390000}"/>
    <cellStyle name="Remarque 2 2 5 2 3 5 2" xfId="4026" xr:uid="{00000000-0005-0000-0000-0000D0390000}"/>
    <cellStyle name="Remarque 2 2 5 2 3 5 2 2" xfId="28040" xr:uid="{00000000-0005-0000-0000-0000D1390000}"/>
    <cellStyle name="Remarque 2 2 5 2 3 5 2 2 2" xfId="52000" xr:uid="{00000000-0005-0000-0000-0000D2390000}"/>
    <cellStyle name="Remarque 2 2 5 2 3 5 2 3" xfId="15287" xr:uid="{00000000-0005-0000-0000-0000D3390000}"/>
    <cellStyle name="Remarque 2 2 5 2 3 5 2 4" xfId="39247" xr:uid="{00000000-0005-0000-0000-0000D4390000}"/>
    <cellStyle name="Remarque 2 2 5 2 3 5 3" xfId="5460" xr:uid="{00000000-0005-0000-0000-0000D5390000}"/>
    <cellStyle name="Remarque 2 2 5 2 3 5 3 2" xfId="29474" xr:uid="{00000000-0005-0000-0000-0000D6390000}"/>
    <cellStyle name="Remarque 2 2 5 2 3 5 3 2 2" xfId="53434" xr:uid="{00000000-0005-0000-0000-0000D7390000}"/>
    <cellStyle name="Remarque 2 2 5 2 3 5 3 3" xfId="16721" xr:uid="{00000000-0005-0000-0000-0000D8390000}"/>
    <cellStyle name="Remarque 2 2 5 2 3 5 3 4" xfId="40681" xr:uid="{00000000-0005-0000-0000-0000D9390000}"/>
    <cellStyle name="Remarque 2 2 5 2 3 5 4" xfId="6854" xr:uid="{00000000-0005-0000-0000-0000DA390000}"/>
    <cellStyle name="Remarque 2 2 5 2 3 5 4 2" xfId="30868" xr:uid="{00000000-0005-0000-0000-0000DB390000}"/>
    <cellStyle name="Remarque 2 2 5 2 3 5 4 2 2" xfId="54828" xr:uid="{00000000-0005-0000-0000-0000DC390000}"/>
    <cellStyle name="Remarque 2 2 5 2 3 5 4 3" xfId="18115" xr:uid="{00000000-0005-0000-0000-0000DD390000}"/>
    <cellStyle name="Remarque 2 2 5 2 3 5 4 4" xfId="42075" xr:uid="{00000000-0005-0000-0000-0000DE390000}"/>
    <cellStyle name="Remarque 2 2 5 2 3 5 5" xfId="8242" xr:uid="{00000000-0005-0000-0000-0000DF390000}"/>
    <cellStyle name="Remarque 2 2 5 2 3 5 5 2" xfId="32256" xr:uid="{00000000-0005-0000-0000-0000E0390000}"/>
    <cellStyle name="Remarque 2 2 5 2 3 5 5 2 2" xfId="56216" xr:uid="{00000000-0005-0000-0000-0000E1390000}"/>
    <cellStyle name="Remarque 2 2 5 2 3 5 5 3" xfId="19503" xr:uid="{00000000-0005-0000-0000-0000E2390000}"/>
    <cellStyle name="Remarque 2 2 5 2 3 5 5 4" xfId="43463" xr:uid="{00000000-0005-0000-0000-0000E3390000}"/>
    <cellStyle name="Remarque 2 2 5 2 3 5 6" xfId="9627" xr:uid="{00000000-0005-0000-0000-0000E4390000}"/>
    <cellStyle name="Remarque 2 2 5 2 3 5 6 2" xfId="33641" xr:uid="{00000000-0005-0000-0000-0000E5390000}"/>
    <cellStyle name="Remarque 2 2 5 2 3 5 6 2 2" xfId="57601" xr:uid="{00000000-0005-0000-0000-0000E6390000}"/>
    <cellStyle name="Remarque 2 2 5 2 3 5 6 3" xfId="20888" xr:uid="{00000000-0005-0000-0000-0000E7390000}"/>
    <cellStyle name="Remarque 2 2 5 2 3 5 6 4" xfId="44848" xr:uid="{00000000-0005-0000-0000-0000E8390000}"/>
    <cellStyle name="Remarque 2 2 5 2 3 5 7" xfId="11084" xr:uid="{00000000-0005-0000-0000-0000E9390000}"/>
    <cellStyle name="Remarque 2 2 5 2 3 5 7 2" xfId="35094" xr:uid="{00000000-0005-0000-0000-0000EA390000}"/>
    <cellStyle name="Remarque 2 2 5 2 3 5 7 2 2" xfId="59054" xr:uid="{00000000-0005-0000-0000-0000EB390000}"/>
    <cellStyle name="Remarque 2 2 5 2 3 5 7 3" xfId="22351" xr:uid="{00000000-0005-0000-0000-0000EC390000}"/>
    <cellStyle name="Remarque 2 2 5 2 3 5 7 4" xfId="46311" xr:uid="{00000000-0005-0000-0000-0000ED390000}"/>
    <cellStyle name="Remarque 2 2 5 2 3 5 8" xfId="12856" xr:uid="{00000000-0005-0000-0000-0000EE390000}"/>
    <cellStyle name="Remarque 2 2 5 2 3 5 8 2" xfId="24168" xr:uid="{00000000-0005-0000-0000-0000EF390000}"/>
    <cellStyle name="Remarque 2 2 5 2 3 5 8 3" xfId="48128" xr:uid="{00000000-0005-0000-0000-0000F0390000}"/>
    <cellStyle name="Remarque 2 2 5 2 3 5 9" xfId="2556" xr:uid="{00000000-0005-0000-0000-0000F1390000}"/>
    <cellStyle name="Remarque 2 2 5 2 3 5 9 2" xfId="26570" xr:uid="{00000000-0005-0000-0000-0000F2390000}"/>
    <cellStyle name="Remarque 2 2 5 2 3 5 9 3" xfId="50530" xr:uid="{00000000-0005-0000-0000-0000F3390000}"/>
    <cellStyle name="Remarque 2 2 5 2 3 6" xfId="1287" xr:uid="{00000000-0005-0000-0000-0000F4390000}"/>
    <cellStyle name="Remarque 2 2 5 2 3 6 10" xfId="25319" xr:uid="{00000000-0005-0000-0000-0000F5390000}"/>
    <cellStyle name="Remarque 2 2 5 2 3 6 10 2" xfId="49279" xr:uid="{00000000-0005-0000-0000-0000F6390000}"/>
    <cellStyle name="Remarque 2 2 5 2 3 6 11" xfId="35706" xr:uid="{00000000-0005-0000-0000-0000F7390000}"/>
    <cellStyle name="Remarque 2 2 5 2 3 6 11 2" xfId="59666" xr:uid="{00000000-0005-0000-0000-0000F8390000}"/>
    <cellStyle name="Remarque 2 2 5 2 3 6 12" xfId="13984" xr:uid="{00000000-0005-0000-0000-0000F9390000}"/>
    <cellStyle name="Remarque 2 2 5 2 3 6 13" xfId="37944" xr:uid="{00000000-0005-0000-0000-0000FA390000}"/>
    <cellStyle name="Remarque 2 2 5 2 3 6 2" xfId="4193" xr:uid="{00000000-0005-0000-0000-0000FB390000}"/>
    <cellStyle name="Remarque 2 2 5 2 3 6 2 2" xfId="28207" xr:uid="{00000000-0005-0000-0000-0000FC390000}"/>
    <cellStyle name="Remarque 2 2 5 2 3 6 2 2 2" xfId="52167" xr:uid="{00000000-0005-0000-0000-0000FD390000}"/>
    <cellStyle name="Remarque 2 2 5 2 3 6 2 3" xfId="15454" xr:uid="{00000000-0005-0000-0000-0000FE390000}"/>
    <cellStyle name="Remarque 2 2 5 2 3 6 2 4" xfId="39414" xr:uid="{00000000-0005-0000-0000-0000FF390000}"/>
    <cellStyle name="Remarque 2 2 5 2 3 6 3" xfId="5627" xr:uid="{00000000-0005-0000-0000-0000003A0000}"/>
    <cellStyle name="Remarque 2 2 5 2 3 6 3 2" xfId="29641" xr:uid="{00000000-0005-0000-0000-0000013A0000}"/>
    <cellStyle name="Remarque 2 2 5 2 3 6 3 2 2" xfId="53601" xr:uid="{00000000-0005-0000-0000-0000023A0000}"/>
    <cellStyle name="Remarque 2 2 5 2 3 6 3 3" xfId="16888" xr:uid="{00000000-0005-0000-0000-0000033A0000}"/>
    <cellStyle name="Remarque 2 2 5 2 3 6 3 4" xfId="40848" xr:uid="{00000000-0005-0000-0000-0000043A0000}"/>
    <cellStyle name="Remarque 2 2 5 2 3 6 4" xfId="7021" xr:uid="{00000000-0005-0000-0000-0000053A0000}"/>
    <cellStyle name="Remarque 2 2 5 2 3 6 4 2" xfId="31035" xr:uid="{00000000-0005-0000-0000-0000063A0000}"/>
    <cellStyle name="Remarque 2 2 5 2 3 6 4 2 2" xfId="54995" xr:uid="{00000000-0005-0000-0000-0000073A0000}"/>
    <cellStyle name="Remarque 2 2 5 2 3 6 4 3" xfId="18282" xr:uid="{00000000-0005-0000-0000-0000083A0000}"/>
    <cellStyle name="Remarque 2 2 5 2 3 6 4 4" xfId="42242" xr:uid="{00000000-0005-0000-0000-0000093A0000}"/>
    <cellStyle name="Remarque 2 2 5 2 3 6 5" xfId="8409" xr:uid="{00000000-0005-0000-0000-00000A3A0000}"/>
    <cellStyle name="Remarque 2 2 5 2 3 6 5 2" xfId="32423" xr:uid="{00000000-0005-0000-0000-00000B3A0000}"/>
    <cellStyle name="Remarque 2 2 5 2 3 6 5 2 2" xfId="56383" xr:uid="{00000000-0005-0000-0000-00000C3A0000}"/>
    <cellStyle name="Remarque 2 2 5 2 3 6 5 3" xfId="19670" xr:uid="{00000000-0005-0000-0000-00000D3A0000}"/>
    <cellStyle name="Remarque 2 2 5 2 3 6 5 4" xfId="43630" xr:uid="{00000000-0005-0000-0000-00000E3A0000}"/>
    <cellStyle name="Remarque 2 2 5 2 3 6 6" xfId="9794" xr:uid="{00000000-0005-0000-0000-00000F3A0000}"/>
    <cellStyle name="Remarque 2 2 5 2 3 6 6 2" xfId="33808" xr:uid="{00000000-0005-0000-0000-0000103A0000}"/>
    <cellStyle name="Remarque 2 2 5 2 3 6 6 2 2" xfId="57768" xr:uid="{00000000-0005-0000-0000-0000113A0000}"/>
    <cellStyle name="Remarque 2 2 5 2 3 6 6 3" xfId="21055" xr:uid="{00000000-0005-0000-0000-0000123A0000}"/>
    <cellStyle name="Remarque 2 2 5 2 3 6 6 4" xfId="45015" xr:uid="{00000000-0005-0000-0000-0000133A0000}"/>
    <cellStyle name="Remarque 2 2 5 2 3 6 7" xfId="11251" xr:uid="{00000000-0005-0000-0000-0000143A0000}"/>
    <cellStyle name="Remarque 2 2 5 2 3 6 7 2" xfId="35261" xr:uid="{00000000-0005-0000-0000-0000153A0000}"/>
    <cellStyle name="Remarque 2 2 5 2 3 6 7 2 2" xfId="59221" xr:uid="{00000000-0005-0000-0000-0000163A0000}"/>
    <cellStyle name="Remarque 2 2 5 2 3 6 7 3" xfId="22518" xr:uid="{00000000-0005-0000-0000-0000173A0000}"/>
    <cellStyle name="Remarque 2 2 5 2 3 6 7 4" xfId="46478" xr:uid="{00000000-0005-0000-0000-0000183A0000}"/>
    <cellStyle name="Remarque 2 2 5 2 3 6 8" xfId="11827" xr:uid="{00000000-0005-0000-0000-0000193A0000}"/>
    <cellStyle name="Remarque 2 2 5 2 3 6 8 2" xfId="23101" xr:uid="{00000000-0005-0000-0000-00001A3A0000}"/>
    <cellStyle name="Remarque 2 2 5 2 3 6 8 3" xfId="47061" xr:uid="{00000000-0005-0000-0000-00001B3A0000}"/>
    <cellStyle name="Remarque 2 2 5 2 3 6 9" xfId="2723" xr:uid="{00000000-0005-0000-0000-00001C3A0000}"/>
    <cellStyle name="Remarque 2 2 5 2 3 6 9 2" xfId="26737" xr:uid="{00000000-0005-0000-0000-00001D3A0000}"/>
    <cellStyle name="Remarque 2 2 5 2 3 6 9 3" xfId="50697" xr:uid="{00000000-0005-0000-0000-00001E3A0000}"/>
    <cellStyle name="Remarque 2 2 5 2 3 7" xfId="1456" xr:uid="{00000000-0005-0000-0000-00001F3A0000}"/>
    <cellStyle name="Remarque 2 2 5 2 3 7 10" xfId="25488" xr:uid="{00000000-0005-0000-0000-0000203A0000}"/>
    <cellStyle name="Remarque 2 2 5 2 3 7 10 2" xfId="49448" xr:uid="{00000000-0005-0000-0000-0000213A0000}"/>
    <cellStyle name="Remarque 2 2 5 2 3 7 11" xfId="35959" xr:uid="{00000000-0005-0000-0000-0000223A0000}"/>
    <cellStyle name="Remarque 2 2 5 2 3 7 11 2" xfId="59919" xr:uid="{00000000-0005-0000-0000-0000233A0000}"/>
    <cellStyle name="Remarque 2 2 5 2 3 7 12" xfId="14153" xr:uid="{00000000-0005-0000-0000-0000243A0000}"/>
    <cellStyle name="Remarque 2 2 5 2 3 7 13" xfId="38113" xr:uid="{00000000-0005-0000-0000-0000253A0000}"/>
    <cellStyle name="Remarque 2 2 5 2 3 7 2" xfId="4362" xr:uid="{00000000-0005-0000-0000-0000263A0000}"/>
    <cellStyle name="Remarque 2 2 5 2 3 7 2 2" xfId="28376" xr:uid="{00000000-0005-0000-0000-0000273A0000}"/>
    <cellStyle name="Remarque 2 2 5 2 3 7 2 2 2" xfId="52336" xr:uid="{00000000-0005-0000-0000-0000283A0000}"/>
    <cellStyle name="Remarque 2 2 5 2 3 7 2 3" xfId="15623" xr:uid="{00000000-0005-0000-0000-0000293A0000}"/>
    <cellStyle name="Remarque 2 2 5 2 3 7 2 4" xfId="39583" xr:uid="{00000000-0005-0000-0000-00002A3A0000}"/>
    <cellStyle name="Remarque 2 2 5 2 3 7 3" xfId="5796" xr:uid="{00000000-0005-0000-0000-00002B3A0000}"/>
    <cellStyle name="Remarque 2 2 5 2 3 7 3 2" xfId="29810" xr:uid="{00000000-0005-0000-0000-00002C3A0000}"/>
    <cellStyle name="Remarque 2 2 5 2 3 7 3 2 2" xfId="53770" xr:uid="{00000000-0005-0000-0000-00002D3A0000}"/>
    <cellStyle name="Remarque 2 2 5 2 3 7 3 3" xfId="17057" xr:uid="{00000000-0005-0000-0000-00002E3A0000}"/>
    <cellStyle name="Remarque 2 2 5 2 3 7 3 4" xfId="41017" xr:uid="{00000000-0005-0000-0000-00002F3A0000}"/>
    <cellStyle name="Remarque 2 2 5 2 3 7 4" xfId="7190" xr:uid="{00000000-0005-0000-0000-0000303A0000}"/>
    <cellStyle name="Remarque 2 2 5 2 3 7 4 2" xfId="31204" xr:uid="{00000000-0005-0000-0000-0000313A0000}"/>
    <cellStyle name="Remarque 2 2 5 2 3 7 4 2 2" xfId="55164" xr:uid="{00000000-0005-0000-0000-0000323A0000}"/>
    <cellStyle name="Remarque 2 2 5 2 3 7 4 3" xfId="18451" xr:uid="{00000000-0005-0000-0000-0000333A0000}"/>
    <cellStyle name="Remarque 2 2 5 2 3 7 4 4" xfId="42411" xr:uid="{00000000-0005-0000-0000-0000343A0000}"/>
    <cellStyle name="Remarque 2 2 5 2 3 7 5" xfId="8578" xr:uid="{00000000-0005-0000-0000-0000353A0000}"/>
    <cellStyle name="Remarque 2 2 5 2 3 7 5 2" xfId="32592" xr:uid="{00000000-0005-0000-0000-0000363A0000}"/>
    <cellStyle name="Remarque 2 2 5 2 3 7 5 2 2" xfId="56552" xr:uid="{00000000-0005-0000-0000-0000373A0000}"/>
    <cellStyle name="Remarque 2 2 5 2 3 7 5 3" xfId="19839" xr:uid="{00000000-0005-0000-0000-0000383A0000}"/>
    <cellStyle name="Remarque 2 2 5 2 3 7 5 4" xfId="43799" xr:uid="{00000000-0005-0000-0000-0000393A0000}"/>
    <cellStyle name="Remarque 2 2 5 2 3 7 6" xfId="9963" xr:uid="{00000000-0005-0000-0000-00003A3A0000}"/>
    <cellStyle name="Remarque 2 2 5 2 3 7 6 2" xfId="33977" xr:uid="{00000000-0005-0000-0000-00003B3A0000}"/>
    <cellStyle name="Remarque 2 2 5 2 3 7 6 2 2" xfId="57937" xr:uid="{00000000-0005-0000-0000-00003C3A0000}"/>
    <cellStyle name="Remarque 2 2 5 2 3 7 6 3" xfId="21224" xr:uid="{00000000-0005-0000-0000-00003D3A0000}"/>
    <cellStyle name="Remarque 2 2 5 2 3 7 6 4" xfId="45184" xr:uid="{00000000-0005-0000-0000-00003E3A0000}"/>
    <cellStyle name="Remarque 2 2 5 2 3 7 7" xfId="11420" xr:uid="{00000000-0005-0000-0000-00003F3A0000}"/>
    <cellStyle name="Remarque 2 2 5 2 3 7 7 2" xfId="35430" xr:uid="{00000000-0005-0000-0000-0000403A0000}"/>
    <cellStyle name="Remarque 2 2 5 2 3 7 7 2 2" xfId="59390" xr:uid="{00000000-0005-0000-0000-0000413A0000}"/>
    <cellStyle name="Remarque 2 2 5 2 3 7 7 3" xfId="22687" xr:uid="{00000000-0005-0000-0000-0000423A0000}"/>
    <cellStyle name="Remarque 2 2 5 2 3 7 7 4" xfId="46647" xr:uid="{00000000-0005-0000-0000-0000433A0000}"/>
    <cellStyle name="Remarque 2 2 5 2 3 7 8" xfId="11671" xr:uid="{00000000-0005-0000-0000-0000443A0000}"/>
    <cellStyle name="Remarque 2 2 5 2 3 7 8 2" xfId="22940" xr:uid="{00000000-0005-0000-0000-0000453A0000}"/>
    <cellStyle name="Remarque 2 2 5 2 3 7 8 3" xfId="46900" xr:uid="{00000000-0005-0000-0000-0000463A0000}"/>
    <cellStyle name="Remarque 2 2 5 2 3 7 9" xfId="2892" xr:uid="{00000000-0005-0000-0000-0000473A0000}"/>
    <cellStyle name="Remarque 2 2 5 2 3 7 9 2" xfId="26906" xr:uid="{00000000-0005-0000-0000-0000483A0000}"/>
    <cellStyle name="Remarque 2 2 5 2 3 7 9 3" xfId="50866" xr:uid="{00000000-0005-0000-0000-0000493A0000}"/>
    <cellStyle name="Remarque 2 2 5 2 3 8" xfId="3311" xr:uid="{00000000-0005-0000-0000-00004A3A0000}"/>
    <cellStyle name="Remarque 2 2 5 2 3 8 2" xfId="27325" xr:uid="{00000000-0005-0000-0000-00004B3A0000}"/>
    <cellStyle name="Remarque 2 2 5 2 3 8 2 2" xfId="51285" xr:uid="{00000000-0005-0000-0000-00004C3A0000}"/>
    <cellStyle name="Remarque 2 2 5 2 3 8 3" xfId="14572" xr:uid="{00000000-0005-0000-0000-00004D3A0000}"/>
    <cellStyle name="Remarque 2 2 5 2 3 8 4" xfId="38532" xr:uid="{00000000-0005-0000-0000-00004E3A0000}"/>
    <cellStyle name="Remarque 2 2 5 2 3 9" xfId="4745" xr:uid="{00000000-0005-0000-0000-00004F3A0000}"/>
    <cellStyle name="Remarque 2 2 5 2 3 9 2" xfId="28759" xr:uid="{00000000-0005-0000-0000-0000503A0000}"/>
    <cellStyle name="Remarque 2 2 5 2 3 9 2 2" xfId="52719" xr:uid="{00000000-0005-0000-0000-0000513A0000}"/>
    <cellStyle name="Remarque 2 2 5 2 3 9 3" xfId="16006" xr:uid="{00000000-0005-0000-0000-0000523A0000}"/>
    <cellStyle name="Remarque 2 2 5 2 3 9 4" xfId="39966" xr:uid="{00000000-0005-0000-0000-0000533A0000}"/>
    <cellStyle name="Remarque 2 2 5 2 4" xfId="445" xr:uid="{00000000-0005-0000-0000-0000543A0000}"/>
    <cellStyle name="Remarque 2 2 5 2 4 10" xfId="6179" xr:uid="{00000000-0005-0000-0000-0000553A0000}"/>
    <cellStyle name="Remarque 2 2 5 2 4 10 2" xfId="30193" xr:uid="{00000000-0005-0000-0000-0000563A0000}"/>
    <cellStyle name="Remarque 2 2 5 2 4 10 2 2" xfId="54153" xr:uid="{00000000-0005-0000-0000-0000573A0000}"/>
    <cellStyle name="Remarque 2 2 5 2 4 10 3" xfId="17440" xr:uid="{00000000-0005-0000-0000-0000583A0000}"/>
    <cellStyle name="Remarque 2 2 5 2 4 10 4" xfId="41400" xr:uid="{00000000-0005-0000-0000-0000593A0000}"/>
    <cellStyle name="Remarque 2 2 5 2 4 11" xfId="7567" xr:uid="{00000000-0005-0000-0000-00005A3A0000}"/>
    <cellStyle name="Remarque 2 2 5 2 4 11 2" xfId="31581" xr:uid="{00000000-0005-0000-0000-00005B3A0000}"/>
    <cellStyle name="Remarque 2 2 5 2 4 11 2 2" xfId="55541" xr:uid="{00000000-0005-0000-0000-00005C3A0000}"/>
    <cellStyle name="Remarque 2 2 5 2 4 11 3" xfId="18828" xr:uid="{00000000-0005-0000-0000-00005D3A0000}"/>
    <cellStyle name="Remarque 2 2 5 2 4 11 4" xfId="42788" xr:uid="{00000000-0005-0000-0000-00005E3A0000}"/>
    <cellStyle name="Remarque 2 2 5 2 4 12" xfId="8952" xr:uid="{00000000-0005-0000-0000-00005F3A0000}"/>
    <cellStyle name="Remarque 2 2 5 2 4 12 2" xfId="32966" xr:uid="{00000000-0005-0000-0000-0000603A0000}"/>
    <cellStyle name="Remarque 2 2 5 2 4 12 2 2" xfId="56926" xr:uid="{00000000-0005-0000-0000-0000613A0000}"/>
    <cellStyle name="Remarque 2 2 5 2 4 12 3" xfId="20213" xr:uid="{00000000-0005-0000-0000-0000623A0000}"/>
    <cellStyle name="Remarque 2 2 5 2 4 12 4" xfId="44173" xr:uid="{00000000-0005-0000-0000-0000633A0000}"/>
    <cellStyle name="Remarque 2 2 5 2 4 13" xfId="10409" xr:uid="{00000000-0005-0000-0000-0000643A0000}"/>
    <cellStyle name="Remarque 2 2 5 2 4 13 2" xfId="34419" xr:uid="{00000000-0005-0000-0000-0000653A0000}"/>
    <cellStyle name="Remarque 2 2 5 2 4 13 2 2" xfId="58379" xr:uid="{00000000-0005-0000-0000-0000663A0000}"/>
    <cellStyle name="Remarque 2 2 5 2 4 13 3" xfId="21676" xr:uid="{00000000-0005-0000-0000-0000673A0000}"/>
    <cellStyle name="Remarque 2 2 5 2 4 13 4" xfId="45636" xr:uid="{00000000-0005-0000-0000-0000683A0000}"/>
    <cellStyle name="Remarque 2 2 5 2 4 14" xfId="12245" xr:uid="{00000000-0005-0000-0000-0000693A0000}"/>
    <cellStyle name="Remarque 2 2 5 2 4 14 2" xfId="23530" xr:uid="{00000000-0005-0000-0000-00006A3A0000}"/>
    <cellStyle name="Remarque 2 2 5 2 4 14 3" xfId="47490" xr:uid="{00000000-0005-0000-0000-00006B3A0000}"/>
    <cellStyle name="Remarque 2 2 5 2 4 15" xfId="1881" xr:uid="{00000000-0005-0000-0000-00006C3A0000}"/>
    <cellStyle name="Remarque 2 2 5 2 4 15 2" xfId="25895" xr:uid="{00000000-0005-0000-0000-00006D3A0000}"/>
    <cellStyle name="Remarque 2 2 5 2 4 15 3" xfId="49855" xr:uid="{00000000-0005-0000-0000-00006E3A0000}"/>
    <cellStyle name="Remarque 2 2 5 2 4 16" xfId="24477" xr:uid="{00000000-0005-0000-0000-00006F3A0000}"/>
    <cellStyle name="Remarque 2 2 5 2 4 16 2" xfId="48437" xr:uid="{00000000-0005-0000-0000-0000703A0000}"/>
    <cellStyle name="Remarque 2 2 5 2 4 17" xfId="36612" xr:uid="{00000000-0005-0000-0000-0000713A0000}"/>
    <cellStyle name="Remarque 2 2 5 2 4 17 2" xfId="60572" xr:uid="{00000000-0005-0000-0000-0000723A0000}"/>
    <cellStyle name="Remarque 2 2 5 2 4 18" xfId="13142" xr:uid="{00000000-0005-0000-0000-0000733A0000}"/>
    <cellStyle name="Remarque 2 2 5 2 4 19" xfId="37102" xr:uid="{00000000-0005-0000-0000-0000743A0000}"/>
    <cellStyle name="Remarque 2 2 5 2 4 2" xfId="581" xr:uid="{00000000-0005-0000-0000-0000753A0000}"/>
    <cellStyle name="Remarque 2 2 5 2 4 2 10" xfId="24613" xr:uid="{00000000-0005-0000-0000-0000763A0000}"/>
    <cellStyle name="Remarque 2 2 5 2 4 2 10 2" xfId="48573" xr:uid="{00000000-0005-0000-0000-0000773A0000}"/>
    <cellStyle name="Remarque 2 2 5 2 4 2 11" xfId="36508" xr:uid="{00000000-0005-0000-0000-0000783A0000}"/>
    <cellStyle name="Remarque 2 2 5 2 4 2 11 2" xfId="60468" xr:uid="{00000000-0005-0000-0000-0000793A0000}"/>
    <cellStyle name="Remarque 2 2 5 2 4 2 12" xfId="13278" xr:uid="{00000000-0005-0000-0000-00007A3A0000}"/>
    <cellStyle name="Remarque 2 2 5 2 4 2 13" xfId="37238" xr:uid="{00000000-0005-0000-0000-00007B3A0000}"/>
    <cellStyle name="Remarque 2 2 5 2 4 2 2" xfId="3487" xr:uid="{00000000-0005-0000-0000-00007C3A0000}"/>
    <cellStyle name="Remarque 2 2 5 2 4 2 2 2" xfId="27501" xr:uid="{00000000-0005-0000-0000-00007D3A0000}"/>
    <cellStyle name="Remarque 2 2 5 2 4 2 2 2 2" xfId="51461" xr:uid="{00000000-0005-0000-0000-00007E3A0000}"/>
    <cellStyle name="Remarque 2 2 5 2 4 2 2 3" xfId="14748" xr:uid="{00000000-0005-0000-0000-00007F3A0000}"/>
    <cellStyle name="Remarque 2 2 5 2 4 2 2 4" xfId="38708" xr:uid="{00000000-0005-0000-0000-0000803A0000}"/>
    <cellStyle name="Remarque 2 2 5 2 4 2 3" xfId="4921" xr:uid="{00000000-0005-0000-0000-0000813A0000}"/>
    <cellStyle name="Remarque 2 2 5 2 4 2 3 2" xfId="28935" xr:uid="{00000000-0005-0000-0000-0000823A0000}"/>
    <cellStyle name="Remarque 2 2 5 2 4 2 3 2 2" xfId="52895" xr:uid="{00000000-0005-0000-0000-0000833A0000}"/>
    <cellStyle name="Remarque 2 2 5 2 4 2 3 3" xfId="16182" xr:uid="{00000000-0005-0000-0000-0000843A0000}"/>
    <cellStyle name="Remarque 2 2 5 2 4 2 3 4" xfId="40142" xr:uid="{00000000-0005-0000-0000-0000853A0000}"/>
    <cellStyle name="Remarque 2 2 5 2 4 2 4" xfId="6315" xr:uid="{00000000-0005-0000-0000-0000863A0000}"/>
    <cellStyle name="Remarque 2 2 5 2 4 2 4 2" xfId="30329" xr:uid="{00000000-0005-0000-0000-0000873A0000}"/>
    <cellStyle name="Remarque 2 2 5 2 4 2 4 2 2" xfId="54289" xr:uid="{00000000-0005-0000-0000-0000883A0000}"/>
    <cellStyle name="Remarque 2 2 5 2 4 2 4 3" xfId="17576" xr:uid="{00000000-0005-0000-0000-0000893A0000}"/>
    <cellStyle name="Remarque 2 2 5 2 4 2 4 4" xfId="41536" xr:uid="{00000000-0005-0000-0000-00008A3A0000}"/>
    <cellStyle name="Remarque 2 2 5 2 4 2 5" xfId="7703" xr:uid="{00000000-0005-0000-0000-00008B3A0000}"/>
    <cellStyle name="Remarque 2 2 5 2 4 2 5 2" xfId="31717" xr:uid="{00000000-0005-0000-0000-00008C3A0000}"/>
    <cellStyle name="Remarque 2 2 5 2 4 2 5 2 2" xfId="55677" xr:uid="{00000000-0005-0000-0000-00008D3A0000}"/>
    <cellStyle name="Remarque 2 2 5 2 4 2 5 3" xfId="18964" xr:uid="{00000000-0005-0000-0000-00008E3A0000}"/>
    <cellStyle name="Remarque 2 2 5 2 4 2 5 4" xfId="42924" xr:uid="{00000000-0005-0000-0000-00008F3A0000}"/>
    <cellStyle name="Remarque 2 2 5 2 4 2 6" xfId="9088" xr:uid="{00000000-0005-0000-0000-0000903A0000}"/>
    <cellStyle name="Remarque 2 2 5 2 4 2 6 2" xfId="33102" xr:uid="{00000000-0005-0000-0000-0000913A0000}"/>
    <cellStyle name="Remarque 2 2 5 2 4 2 6 2 2" xfId="57062" xr:uid="{00000000-0005-0000-0000-0000923A0000}"/>
    <cellStyle name="Remarque 2 2 5 2 4 2 6 3" xfId="20349" xr:uid="{00000000-0005-0000-0000-0000933A0000}"/>
    <cellStyle name="Remarque 2 2 5 2 4 2 6 4" xfId="44309" xr:uid="{00000000-0005-0000-0000-0000943A0000}"/>
    <cellStyle name="Remarque 2 2 5 2 4 2 7" xfId="10545" xr:uid="{00000000-0005-0000-0000-0000953A0000}"/>
    <cellStyle name="Remarque 2 2 5 2 4 2 7 2" xfId="34555" xr:uid="{00000000-0005-0000-0000-0000963A0000}"/>
    <cellStyle name="Remarque 2 2 5 2 4 2 7 2 2" xfId="58515" xr:uid="{00000000-0005-0000-0000-0000973A0000}"/>
    <cellStyle name="Remarque 2 2 5 2 4 2 7 3" xfId="21812" xr:uid="{00000000-0005-0000-0000-0000983A0000}"/>
    <cellStyle name="Remarque 2 2 5 2 4 2 7 4" xfId="45772" xr:uid="{00000000-0005-0000-0000-0000993A0000}"/>
    <cellStyle name="Remarque 2 2 5 2 4 2 8" xfId="12749" xr:uid="{00000000-0005-0000-0000-00009A3A0000}"/>
    <cellStyle name="Remarque 2 2 5 2 4 2 8 2" xfId="24056" xr:uid="{00000000-0005-0000-0000-00009B3A0000}"/>
    <cellStyle name="Remarque 2 2 5 2 4 2 8 3" xfId="48016" xr:uid="{00000000-0005-0000-0000-00009C3A0000}"/>
    <cellStyle name="Remarque 2 2 5 2 4 2 9" xfId="2017" xr:uid="{00000000-0005-0000-0000-00009D3A0000}"/>
    <cellStyle name="Remarque 2 2 5 2 4 2 9 2" xfId="26031" xr:uid="{00000000-0005-0000-0000-00009E3A0000}"/>
    <cellStyle name="Remarque 2 2 5 2 4 2 9 3" xfId="49991" xr:uid="{00000000-0005-0000-0000-00009F3A0000}"/>
    <cellStyle name="Remarque 2 2 5 2 4 3" xfId="773" xr:uid="{00000000-0005-0000-0000-0000A03A0000}"/>
    <cellStyle name="Remarque 2 2 5 2 4 3 10" xfId="24805" xr:uid="{00000000-0005-0000-0000-0000A13A0000}"/>
    <cellStyle name="Remarque 2 2 5 2 4 3 10 2" xfId="48765" xr:uid="{00000000-0005-0000-0000-0000A23A0000}"/>
    <cellStyle name="Remarque 2 2 5 2 4 3 11" xfId="35918" xr:uid="{00000000-0005-0000-0000-0000A33A0000}"/>
    <cellStyle name="Remarque 2 2 5 2 4 3 11 2" xfId="59878" xr:uid="{00000000-0005-0000-0000-0000A43A0000}"/>
    <cellStyle name="Remarque 2 2 5 2 4 3 12" xfId="13470" xr:uid="{00000000-0005-0000-0000-0000A53A0000}"/>
    <cellStyle name="Remarque 2 2 5 2 4 3 13" xfId="37430" xr:uid="{00000000-0005-0000-0000-0000A63A0000}"/>
    <cellStyle name="Remarque 2 2 5 2 4 3 2" xfId="3679" xr:uid="{00000000-0005-0000-0000-0000A73A0000}"/>
    <cellStyle name="Remarque 2 2 5 2 4 3 2 2" xfId="27693" xr:uid="{00000000-0005-0000-0000-0000A83A0000}"/>
    <cellStyle name="Remarque 2 2 5 2 4 3 2 2 2" xfId="51653" xr:uid="{00000000-0005-0000-0000-0000A93A0000}"/>
    <cellStyle name="Remarque 2 2 5 2 4 3 2 3" xfId="14940" xr:uid="{00000000-0005-0000-0000-0000AA3A0000}"/>
    <cellStyle name="Remarque 2 2 5 2 4 3 2 4" xfId="38900" xr:uid="{00000000-0005-0000-0000-0000AB3A0000}"/>
    <cellStyle name="Remarque 2 2 5 2 4 3 3" xfId="5113" xr:uid="{00000000-0005-0000-0000-0000AC3A0000}"/>
    <cellStyle name="Remarque 2 2 5 2 4 3 3 2" xfId="29127" xr:uid="{00000000-0005-0000-0000-0000AD3A0000}"/>
    <cellStyle name="Remarque 2 2 5 2 4 3 3 2 2" xfId="53087" xr:uid="{00000000-0005-0000-0000-0000AE3A0000}"/>
    <cellStyle name="Remarque 2 2 5 2 4 3 3 3" xfId="16374" xr:uid="{00000000-0005-0000-0000-0000AF3A0000}"/>
    <cellStyle name="Remarque 2 2 5 2 4 3 3 4" xfId="40334" xr:uid="{00000000-0005-0000-0000-0000B03A0000}"/>
    <cellStyle name="Remarque 2 2 5 2 4 3 4" xfId="6507" xr:uid="{00000000-0005-0000-0000-0000B13A0000}"/>
    <cellStyle name="Remarque 2 2 5 2 4 3 4 2" xfId="30521" xr:uid="{00000000-0005-0000-0000-0000B23A0000}"/>
    <cellStyle name="Remarque 2 2 5 2 4 3 4 2 2" xfId="54481" xr:uid="{00000000-0005-0000-0000-0000B33A0000}"/>
    <cellStyle name="Remarque 2 2 5 2 4 3 4 3" xfId="17768" xr:uid="{00000000-0005-0000-0000-0000B43A0000}"/>
    <cellStyle name="Remarque 2 2 5 2 4 3 4 4" xfId="41728" xr:uid="{00000000-0005-0000-0000-0000B53A0000}"/>
    <cellStyle name="Remarque 2 2 5 2 4 3 5" xfId="7895" xr:uid="{00000000-0005-0000-0000-0000B63A0000}"/>
    <cellStyle name="Remarque 2 2 5 2 4 3 5 2" xfId="31909" xr:uid="{00000000-0005-0000-0000-0000B73A0000}"/>
    <cellStyle name="Remarque 2 2 5 2 4 3 5 2 2" xfId="55869" xr:uid="{00000000-0005-0000-0000-0000B83A0000}"/>
    <cellStyle name="Remarque 2 2 5 2 4 3 5 3" xfId="19156" xr:uid="{00000000-0005-0000-0000-0000B93A0000}"/>
    <cellStyle name="Remarque 2 2 5 2 4 3 5 4" xfId="43116" xr:uid="{00000000-0005-0000-0000-0000BA3A0000}"/>
    <cellStyle name="Remarque 2 2 5 2 4 3 6" xfId="9280" xr:uid="{00000000-0005-0000-0000-0000BB3A0000}"/>
    <cellStyle name="Remarque 2 2 5 2 4 3 6 2" xfId="33294" xr:uid="{00000000-0005-0000-0000-0000BC3A0000}"/>
    <cellStyle name="Remarque 2 2 5 2 4 3 6 2 2" xfId="57254" xr:uid="{00000000-0005-0000-0000-0000BD3A0000}"/>
    <cellStyle name="Remarque 2 2 5 2 4 3 6 3" xfId="20541" xr:uid="{00000000-0005-0000-0000-0000BE3A0000}"/>
    <cellStyle name="Remarque 2 2 5 2 4 3 6 4" xfId="44501" xr:uid="{00000000-0005-0000-0000-0000BF3A0000}"/>
    <cellStyle name="Remarque 2 2 5 2 4 3 7" xfId="10737" xr:uid="{00000000-0005-0000-0000-0000C03A0000}"/>
    <cellStyle name="Remarque 2 2 5 2 4 3 7 2" xfId="34747" xr:uid="{00000000-0005-0000-0000-0000C13A0000}"/>
    <cellStyle name="Remarque 2 2 5 2 4 3 7 2 2" xfId="58707" xr:uid="{00000000-0005-0000-0000-0000C23A0000}"/>
    <cellStyle name="Remarque 2 2 5 2 4 3 7 3" xfId="22004" xr:uid="{00000000-0005-0000-0000-0000C33A0000}"/>
    <cellStyle name="Remarque 2 2 5 2 4 3 7 4" xfId="45964" xr:uid="{00000000-0005-0000-0000-0000C43A0000}"/>
    <cellStyle name="Remarque 2 2 5 2 4 3 8" xfId="12491" xr:uid="{00000000-0005-0000-0000-0000C53A0000}"/>
    <cellStyle name="Remarque 2 2 5 2 4 3 8 2" xfId="23788" xr:uid="{00000000-0005-0000-0000-0000C63A0000}"/>
    <cellStyle name="Remarque 2 2 5 2 4 3 8 3" xfId="47748" xr:uid="{00000000-0005-0000-0000-0000C73A0000}"/>
    <cellStyle name="Remarque 2 2 5 2 4 3 9" xfId="2209" xr:uid="{00000000-0005-0000-0000-0000C83A0000}"/>
    <cellStyle name="Remarque 2 2 5 2 4 3 9 2" xfId="26223" xr:uid="{00000000-0005-0000-0000-0000C93A0000}"/>
    <cellStyle name="Remarque 2 2 5 2 4 3 9 3" xfId="50183" xr:uid="{00000000-0005-0000-0000-0000CA3A0000}"/>
    <cellStyle name="Remarque 2 2 5 2 4 4" xfId="967" xr:uid="{00000000-0005-0000-0000-0000CB3A0000}"/>
    <cellStyle name="Remarque 2 2 5 2 4 4 10" xfId="24999" xr:uid="{00000000-0005-0000-0000-0000CC3A0000}"/>
    <cellStyle name="Remarque 2 2 5 2 4 4 10 2" xfId="48959" xr:uid="{00000000-0005-0000-0000-0000CD3A0000}"/>
    <cellStyle name="Remarque 2 2 5 2 4 4 11" xfId="36312" xr:uid="{00000000-0005-0000-0000-0000CE3A0000}"/>
    <cellStyle name="Remarque 2 2 5 2 4 4 11 2" xfId="60272" xr:uid="{00000000-0005-0000-0000-0000CF3A0000}"/>
    <cellStyle name="Remarque 2 2 5 2 4 4 12" xfId="13664" xr:uid="{00000000-0005-0000-0000-0000D03A0000}"/>
    <cellStyle name="Remarque 2 2 5 2 4 4 13" xfId="37624" xr:uid="{00000000-0005-0000-0000-0000D13A0000}"/>
    <cellStyle name="Remarque 2 2 5 2 4 4 2" xfId="3873" xr:uid="{00000000-0005-0000-0000-0000D23A0000}"/>
    <cellStyle name="Remarque 2 2 5 2 4 4 2 2" xfId="27887" xr:uid="{00000000-0005-0000-0000-0000D33A0000}"/>
    <cellStyle name="Remarque 2 2 5 2 4 4 2 2 2" xfId="51847" xr:uid="{00000000-0005-0000-0000-0000D43A0000}"/>
    <cellStyle name="Remarque 2 2 5 2 4 4 2 3" xfId="15134" xr:uid="{00000000-0005-0000-0000-0000D53A0000}"/>
    <cellStyle name="Remarque 2 2 5 2 4 4 2 4" xfId="39094" xr:uid="{00000000-0005-0000-0000-0000D63A0000}"/>
    <cellStyle name="Remarque 2 2 5 2 4 4 3" xfId="5307" xr:uid="{00000000-0005-0000-0000-0000D73A0000}"/>
    <cellStyle name="Remarque 2 2 5 2 4 4 3 2" xfId="29321" xr:uid="{00000000-0005-0000-0000-0000D83A0000}"/>
    <cellStyle name="Remarque 2 2 5 2 4 4 3 2 2" xfId="53281" xr:uid="{00000000-0005-0000-0000-0000D93A0000}"/>
    <cellStyle name="Remarque 2 2 5 2 4 4 3 3" xfId="16568" xr:uid="{00000000-0005-0000-0000-0000DA3A0000}"/>
    <cellStyle name="Remarque 2 2 5 2 4 4 3 4" xfId="40528" xr:uid="{00000000-0005-0000-0000-0000DB3A0000}"/>
    <cellStyle name="Remarque 2 2 5 2 4 4 4" xfId="6701" xr:uid="{00000000-0005-0000-0000-0000DC3A0000}"/>
    <cellStyle name="Remarque 2 2 5 2 4 4 4 2" xfId="30715" xr:uid="{00000000-0005-0000-0000-0000DD3A0000}"/>
    <cellStyle name="Remarque 2 2 5 2 4 4 4 2 2" xfId="54675" xr:uid="{00000000-0005-0000-0000-0000DE3A0000}"/>
    <cellStyle name="Remarque 2 2 5 2 4 4 4 3" xfId="17962" xr:uid="{00000000-0005-0000-0000-0000DF3A0000}"/>
    <cellStyle name="Remarque 2 2 5 2 4 4 4 4" xfId="41922" xr:uid="{00000000-0005-0000-0000-0000E03A0000}"/>
    <cellStyle name="Remarque 2 2 5 2 4 4 5" xfId="8089" xr:uid="{00000000-0005-0000-0000-0000E13A0000}"/>
    <cellStyle name="Remarque 2 2 5 2 4 4 5 2" xfId="32103" xr:uid="{00000000-0005-0000-0000-0000E23A0000}"/>
    <cellStyle name="Remarque 2 2 5 2 4 4 5 2 2" xfId="56063" xr:uid="{00000000-0005-0000-0000-0000E33A0000}"/>
    <cellStyle name="Remarque 2 2 5 2 4 4 5 3" xfId="19350" xr:uid="{00000000-0005-0000-0000-0000E43A0000}"/>
    <cellStyle name="Remarque 2 2 5 2 4 4 5 4" xfId="43310" xr:uid="{00000000-0005-0000-0000-0000E53A0000}"/>
    <cellStyle name="Remarque 2 2 5 2 4 4 6" xfId="9474" xr:uid="{00000000-0005-0000-0000-0000E63A0000}"/>
    <cellStyle name="Remarque 2 2 5 2 4 4 6 2" xfId="33488" xr:uid="{00000000-0005-0000-0000-0000E73A0000}"/>
    <cellStyle name="Remarque 2 2 5 2 4 4 6 2 2" xfId="57448" xr:uid="{00000000-0005-0000-0000-0000E83A0000}"/>
    <cellStyle name="Remarque 2 2 5 2 4 4 6 3" xfId="20735" xr:uid="{00000000-0005-0000-0000-0000E93A0000}"/>
    <cellStyle name="Remarque 2 2 5 2 4 4 6 4" xfId="44695" xr:uid="{00000000-0005-0000-0000-0000EA3A0000}"/>
    <cellStyle name="Remarque 2 2 5 2 4 4 7" xfId="10931" xr:uid="{00000000-0005-0000-0000-0000EB3A0000}"/>
    <cellStyle name="Remarque 2 2 5 2 4 4 7 2" xfId="34941" xr:uid="{00000000-0005-0000-0000-0000EC3A0000}"/>
    <cellStyle name="Remarque 2 2 5 2 4 4 7 2 2" xfId="58901" xr:uid="{00000000-0005-0000-0000-0000ED3A0000}"/>
    <cellStyle name="Remarque 2 2 5 2 4 4 7 3" xfId="22198" xr:uid="{00000000-0005-0000-0000-0000EE3A0000}"/>
    <cellStyle name="Remarque 2 2 5 2 4 4 7 4" xfId="46158" xr:uid="{00000000-0005-0000-0000-0000EF3A0000}"/>
    <cellStyle name="Remarque 2 2 5 2 4 4 8" xfId="12324" xr:uid="{00000000-0005-0000-0000-0000F03A0000}"/>
    <cellStyle name="Remarque 2 2 5 2 4 4 8 2" xfId="23612" xr:uid="{00000000-0005-0000-0000-0000F13A0000}"/>
    <cellStyle name="Remarque 2 2 5 2 4 4 8 3" xfId="47572" xr:uid="{00000000-0005-0000-0000-0000F23A0000}"/>
    <cellStyle name="Remarque 2 2 5 2 4 4 9" xfId="2403" xr:uid="{00000000-0005-0000-0000-0000F33A0000}"/>
    <cellStyle name="Remarque 2 2 5 2 4 4 9 2" xfId="26417" xr:uid="{00000000-0005-0000-0000-0000F43A0000}"/>
    <cellStyle name="Remarque 2 2 5 2 4 4 9 3" xfId="50377" xr:uid="{00000000-0005-0000-0000-0000F53A0000}"/>
    <cellStyle name="Remarque 2 2 5 2 4 5" xfId="1160" xr:uid="{00000000-0005-0000-0000-0000F63A0000}"/>
    <cellStyle name="Remarque 2 2 5 2 4 5 10" xfId="25192" xr:uid="{00000000-0005-0000-0000-0000F73A0000}"/>
    <cellStyle name="Remarque 2 2 5 2 4 5 10 2" xfId="49152" xr:uid="{00000000-0005-0000-0000-0000F83A0000}"/>
    <cellStyle name="Remarque 2 2 5 2 4 5 11" xfId="36315" xr:uid="{00000000-0005-0000-0000-0000F93A0000}"/>
    <cellStyle name="Remarque 2 2 5 2 4 5 11 2" xfId="60275" xr:uid="{00000000-0005-0000-0000-0000FA3A0000}"/>
    <cellStyle name="Remarque 2 2 5 2 4 5 12" xfId="13857" xr:uid="{00000000-0005-0000-0000-0000FB3A0000}"/>
    <cellStyle name="Remarque 2 2 5 2 4 5 13" xfId="37817" xr:uid="{00000000-0005-0000-0000-0000FC3A0000}"/>
    <cellStyle name="Remarque 2 2 5 2 4 5 2" xfId="4066" xr:uid="{00000000-0005-0000-0000-0000FD3A0000}"/>
    <cellStyle name="Remarque 2 2 5 2 4 5 2 2" xfId="28080" xr:uid="{00000000-0005-0000-0000-0000FE3A0000}"/>
    <cellStyle name="Remarque 2 2 5 2 4 5 2 2 2" xfId="52040" xr:uid="{00000000-0005-0000-0000-0000FF3A0000}"/>
    <cellStyle name="Remarque 2 2 5 2 4 5 2 3" xfId="15327" xr:uid="{00000000-0005-0000-0000-0000003B0000}"/>
    <cellStyle name="Remarque 2 2 5 2 4 5 2 4" xfId="39287" xr:uid="{00000000-0005-0000-0000-0000013B0000}"/>
    <cellStyle name="Remarque 2 2 5 2 4 5 3" xfId="5500" xr:uid="{00000000-0005-0000-0000-0000023B0000}"/>
    <cellStyle name="Remarque 2 2 5 2 4 5 3 2" xfId="29514" xr:uid="{00000000-0005-0000-0000-0000033B0000}"/>
    <cellStyle name="Remarque 2 2 5 2 4 5 3 2 2" xfId="53474" xr:uid="{00000000-0005-0000-0000-0000043B0000}"/>
    <cellStyle name="Remarque 2 2 5 2 4 5 3 3" xfId="16761" xr:uid="{00000000-0005-0000-0000-0000053B0000}"/>
    <cellStyle name="Remarque 2 2 5 2 4 5 3 4" xfId="40721" xr:uid="{00000000-0005-0000-0000-0000063B0000}"/>
    <cellStyle name="Remarque 2 2 5 2 4 5 4" xfId="6894" xr:uid="{00000000-0005-0000-0000-0000073B0000}"/>
    <cellStyle name="Remarque 2 2 5 2 4 5 4 2" xfId="30908" xr:uid="{00000000-0005-0000-0000-0000083B0000}"/>
    <cellStyle name="Remarque 2 2 5 2 4 5 4 2 2" xfId="54868" xr:uid="{00000000-0005-0000-0000-0000093B0000}"/>
    <cellStyle name="Remarque 2 2 5 2 4 5 4 3" xfId="18155" xr:uid="{00000000-0005-0000-0000-00000A3B0000}"/>
    <cellStyle name="Remarque 2 2 5 2 4 5 4 4" xfId="42115" xr:uid="{00000000-0005-0000-0000-00000B3B0000}"/>
    <cellStyle name="Remarque 2 2 5 2 4 5 5" xfId="8282" xr:uid="{00000000-0005-0000-0000-00000C3B0000}"/>
    <cellStyle name="Remarque 2 2 5 2 4 5 5 2" xfId="32296" xr:uid="{00000000-0005-0000-0000-00000D3B0000}"/>
    <cellStyle name="Remarque 2 2 5 2 4 5 5 2 2" xfId="56256" xr:uid="{00000000-0005-0000-0000-00000E3B0000}"/>
    <cellStyle name="Remarque 2 2 5 2 4 5 5 3" xfId="19543" xr:uid="{00000000-0005-0000-0000-00000F3B0000}"/>
    <cellStyle name="Remarque 2 2 5 2 4 5 5 4" xfId="43503" xr:uid="{00000000-0005-0000-0000-0000103B0000}"/>
    <cellStyle name="Remarque 2 2 5 2 4 5 6" xfId="9667" xr:uid="{00000000-0005-0000-0000-0000113B0000}"/>
    <cellStyle name="Remarque 2 2 5 2 4 5 6 2" xfId="33681" xr:uid="{00000000-0005-0000-0000-0000123B0000}"/>
    <cellStyle name="Remarque 2 2 5 2 4 5 6 2 2" xfId="57641" xr:uid="{00000000-0005-0000-0000-0000133B0000}"/>
    <cellStyle name="Remarque 2 2 5 2 4 5 6 3" xfId="20928" xr:uid="{00000000-0005-0000-0000-0000143B0000}"/>
    <cellStyle name="Remarque 2 2 5 2 4 5 6 4" xfId="44888" xr:uid="{00000000-0005-0000-0000-0000153B0000}"/>
    <cellStyle name="Remarque 2 2 5 2 4 5 7" xfId="11124" xr:uid="{00000000-0005-0000-0000-0000163B0000}"/>
    <cellStyle name="Remarque 2 2 5 2 4 5 7 2" xfId="35134" xr:uid="{00000000-0005-0000-0000-0000173B0000}"/>
    <cellStyle name="Remarque 2 2 5 2 4 5 7 2 2" xfId="59094" xr:uid="{00000000-0005-0000-0000-0000183B0000}"/>
    <cellStyle name="Remarque 2 2 5 2 4 5 7 3" xfId="22391" xr:uid="{00000000-0005-0000-0000-0000193B0000}"/>
    <cellStyle name="Remarque 2 2 5 2 4 5 7 4" xfId="46351" xr:uid="{00000000-0005-0000-0000-00001A3B0000}"/>
    <cellStyle name="Remarque 2 2 5 2 4 5 8" xfId="11905" xr:uid="{00000000-0005-0000-0000-00001B3B0000}"/>
    <cellStyle name="Remarque 2 2 5 2 4 5 8 2" xfId="23182" xr:uid="{00000000-0005-0000-0000-00001C3B0000}"/>
    <cellStyle name="Remarque 2 2 5 2 4 5 8 3" xfId="47142" xr:uid="{00000000-0005-0000-0000-00001D3B0000}"/>
    <cellStyle name="Remarque 2 2 5 2 4 5 9" xfId="2596" xr:uid="{00000000-0005-0000-0000-00001E3B0000}"/>
    <cellStyle name="Remarque 2 2 5 2 4 5 9 2" xfId="26610" xr:uid="{00000000-0005-0000-0000-00001F3B0000}"/>
    <cellStyle name="Remarque 2 2 5 2 4 5 9 3" xfId="50570" xr:uid="{00000000-0005-0000-0000-0000203B0000}"/>
    <cellStyle name="Remarque 2 2 5 2 4 6" xfId="1327" xr:uid="{00000000-0005-0000-0000-0000213B0000}"/>
    <cellStyle name="Remarque 2 2 5 2 4 6 10" xfId="25359" xr:uid="{00000000-0005-0000-0000-0000223B0000}"/>
    <cellStyle name="Remarque 2 2 5 2 4 6 10 2" xfId="49319" xr:uid="{00000000-0005-0000-0000-0000233B0000}"/>
    <cellStyle name="Remarque 2 2 5 2 4 6 11" xfId="36444" xr:uid="{00000000-0005-0000-0000-0000243B0000}"/>
    <cellStyle name="Remarque 2 2 5 2 4 6 11 2" xfId="60404" xr:uid="{00000000-0005-0000-0000-0000253B0000}"/>
    <cellStyle name="Remarque 2 2 5 2 4 6 12" xfId="14024" xr:uid="{00000000-0005-0000-0000-0000263B0000}"/>
    <cellStyle name="Remarque 2 2 5 2 4 6 13" xfId="37984" xr:uid="{00000000-0005-0000-0000-0000273B0000}"/>
    <cellStyle name="Remarque 2 2 5 2 4 6 2" xfId="4233" xr:uid="{00000000-0005-0000-0000-0000283B0000}"/>
    <cellStyle name="Remarque 2 2 5 2 4 6 2 2" xfId="28247" xr:uid="{00000000-0005-0000-0000-0000293B0000}"/>
    <cellStyle name="Remarque 2 2 5 2 4 6 2 2 2" xfId="52207" xr:uid="{00000000-0005-0000-0000-00002A3B0000}"/>
    <cellStyle name="Remarque 2 2 5 2 4 6 2 3" xfId="15494" xr:uid="{00000000-0005-0000-0000-00002B3B0000}"/>
    <cellStyle name="Remarque 2 2 5 2 4 6 2 4" xfId="39454" xr:uid="{00000000-0005-0000-0000-00002C3B0000}"/>
    <cellStyle name="Remarque 2 2 5 2 4 6 3" xfId="5667" xr:uid="{00000000-0005-0000-0000-00002D3B0000}"/>
    <cellStyle name="Remarque 2 2 5 2 4 6 3 2" xfId="29681" xr:uid="{00000000-0005-0000-0000-00002E3B0000}"/>
    <cellStyle name="Remarque 2 2 5 2 4 6 3 2 2" xfId="53641" xr:uid="{00000000-0005-0000-0000-00002F3B0000}"/>
    <cellStyle name="Remarque 2 2 5 2 4 6 3 3" xfId="16928" xr:uid="{00000000-0005-0000-0000-0000303B0000}"/>
    <cellStyle name="Remarque 2 2 5 2 4 6 3 4" xfId="40888" xr:uid="{00000000-0005-0000-0000-0000313B0000}"/>
    <cellStyle name="Remarque 2 2 5 2 4 6 4" xfId="7061" xr:uid="{00000000-0005-0000-0000-0000323B0000}"/>
    <cellStyle name="Remarque 2 2 5 2 4 6 4 2" xfId="31075" xr:uid="{00000000-0005-0000-0000-0000333B0000}"/>
    <cellStyle name="Remarque 2 2 5 2 4 6 4 2 2" xfId="55035" xr:uid="{00000000-0005-0000-0000-0000343B0000}"/>
    <cellStyle name="Remarque 2 2 5 2 4 6 4 3" xfId="18322" xr:uid="{00000000-0005-0000-0000-0000353B0000}"/>
    <cellStyle name="Remarque 2 2 5 2 4 6 4 4" xfId="42282" xr:uid="{00000000-0005-0000-0000-0000363B0000}"/>
    <cellStyle name="Remarque 2 2 5 2 4 6 5" xfId="8449" xr:uid="{00000000-0005-0000-0000-0000373B0000}"/>
    <cellStyle name="Remarque 2 2 5 2 4 6 5 2" xfId="32463" xr:uid="{00000000-0005-0000-0000-0000383B0000}"/>
    <cellStyle name="Remarque 2 2 5 2 4 6 5 2 2" xfId="56423" xr:uid="{00000000-0005-0000-0000-0000393B0000}"/>
    <cellStyle name="Remarque 2 2 5 2 4 6 5 3" xfId="19710" xr:uid="{00000000-0005-0000-0000-00003A3B0000}"/>
    <cellStyle name="Remarque 2 2 5 2 4 6 5 4" xfId="43670" xr:uid="{00000000-0005-0000-0000-00003B3B0000}"/>
    <cellStyle name="Remarque 2 2 5 2 4 6 6" xfId="9834" xr:uid="{00000000-0005-0000-0000-00003C3B0000}"/>
    <cellStyle name="Remarque 2 2 5 2 4 6 6 2" xfId="33848" xr:uid="{00000000-0005-0000-0000-00003D3B0000}"/>
    <cellStyle name="Remarque 2 2 5 2 4 6 6 2 2" xfId="57808" xr:uid="{00000000-0005-0000-0000-00003E3B0000}"/>
    <cellStyle name="Remarque 2 2 5 2 4 6 6 3" xfId="21095" xr:uid="{00000000-0005-0000-0000-00003F3B0000}"/>
    <cellStyle name="Remarque 2 2 5 2 4 6 6 4" xfId="45055" xr:uid="{00000000-0005-0000-0000-0000403B0000}"/>
    <cellStyle name="Remarque 2 2 5 2 4 6 7" xfId="11291" xr:uid="{00000000-0005-0000-0000-0000413B0000}"/>
    <cellStyle name="Remarque 2 2 5 2 4 6 7 2" xfId="35301" xr:uid="{00000000-0005-0000-0000-0000423B0000}"/>
    <cellStyle name="Remarque 2 2 5 2 4 6 7 2 2" xfId="59261" xr:uid="{00000000-0005-0000-0000-0000433B0000}"/>
    <cellStyle name="Remarque 2 2 5 2 4 6 7 3" xfId="22558" xr:uid="{00000000-0005-0000-0000-0000443B0000}"/>
    <cellStyle name="Remarque 2 2 5 2 4 6 7 4" xfId="46518" xr:uid="{00000000-0005-0000-0000-0000453B0000}"/>
    <cellStyle name="Remarque 2 2 5 2 4 6 8" xfId="12679" xr:uid="{00000000-0005-0000-0000-0000463B0000}"/>
    <cellStyle name="Remarque 2 2 5 2 4 6 8 2" xfId="23984" xr:uid="{00000000-0005-0000-0000-0000473B0000}"/>
    <cellStyle name="Remarque 2 2 5 2 4 6 8 3" xfId="47944" xr:uid="{00000000-0005-0000-0000-0000483B0000}"/>
    <cellStyle name="Remarque 2 2 5 2 4 6 9" xfId="2763" xr:uid="{00000000-0005-0000-0000-0000493B0000}"/>
    <cellStyle name="Remarque 2 2 5 2 4 6 9 2" xfId="26777" xr:uid="{00000000-0005-0000-0000-00004A3B0000}"/>
    <cellStyle name="Remarque 2 2 5 2 4 6 9 3" xfId="50737" xr:uid="{00000000-0005-0000-0000-00004B3B0000}"/>
    <cellStyle name="Remarque 2 2 5 2 4 7" xfId="1496" xr:uid="{00000000-0005-0000-0000-00004C3B0000}"/>
    <cellStyle name="Remarque 2 2 5 2 4 7 10" xfId="25528" xr:uid="{00000000-0005-0000-0000-00004D3B0000}"/>
    <cellStyle name="Remarque 2 2 5 2 4 7 10 2" xfId="49488" xr:uid="{00000000-0005-0000-0000-00004E3B0000}"/>
    <cellStyle name="Remarque 2 2 5 2 4 7 11" xfId="36046" xr:uid="{00000000-0005-0000-0000-00004F3B0000}"/>
    <cellStyle name="Remarque 2 2 5 2 4 7 11 2" xfId="60006" xr:uid="{00000000-0005-0000-0000-0000503B0000}"/>
    <cellStyle name="Remarque 2 2 5 2 4 7 12" xfId="14193" xr:uid="{00000000-0005-0000-0000-0000513B0000}"/>
    <cellStyle name="Remarque 2 2 5 2 4 7 13" xfId="38153" xr:uid="{00000000-0005-0000-0000-0000523B0000}"/>
    <cellStyle name="Remarque 2 2 5 2 4 7 2" xfId="4402" xr:uid="{00000000-0005-0000-0000-0000533B0000}"/>
    <cellStyle name="Remarque 2 2 5 2 4 7 2 2" xfId="28416" xr:uid="{00000000-0005-0000-0000-0000543B0000}"/>
    <cellStyle name="Remarque 2 2 5 2 4 7 2 2 2" xfId="52376" xr:uid="{00000000-0005-0000-0000-0000553B0000}"/>
    <cellStyle name="Remarque 2 2 5 2 4 7 2 3" xfId="15663" xr:uid="{00000000-0005-0000-0000-0000563B0000}"/>
    <cellStyle name="Remarque 2 2 5 2 4 7 2 4" xfId="39623" xr:uid="{00000000-0005-0000-0000-0000573B0000}"/>
    <cellStyle name="Remarque 2 2 5 2 4 7 3" xfId="5836" xr:uid="{00000000-0005-0000-0000-0000583B0000}"/>
    <cellStyle name="Remarque 2 2 5 2 4 7 3 2" xfId="29850" xr:uid="{00000000-0005-0000-0000-0000593B0000}"/>
    <cellStyle name="Remarque 2 2 5 2 4 7 3 2 2" xfId="53810" xr:uid="{00000000-0005-0000-0000-00005A3B0000}"/>
    <cellStyle name="Remarque 2 2 5 2 4 7 3 3" xfId="17097" xr:uid="{00000000-0005-0000-0000-00005B3B0000}"/>
    <cellStyle name="Remarque 2 2 5 2 4 7 3 4" xfId="41057" xr:uid="{00000000-0005-0000-0000-00005C3B0000}"/>
    <cellStyle name="Remarque 2 2 5 2 4 7 4" xfId="7230" xr:uid="{00000000-0005-0000-0000-00005D3B0000}"/>
    <cellStyle name="Remarque 2 2 5 2 4 7 4 2" xfId="31244" xr:uid="{00000000-0005-0000-0000-00005E3B0000}"/>
    <cellStyle name="Remarque 2 2 5 2 4 7 4 2 2" xfId="55204" xr:uid="{00000000-0005-0000-0000-00005F3B0000}"/>
    <cellStyle name="Remarque 2 2 5 2 4 7 4 3" xfId="18491" xr:uid="{00000000-0005-0000-0000-0000603B0000}"/>
    <cellStyle name="Remarque 2 2 5 2 4 7 4 4" xfId="42451" xr:uid="{00000000-0005-0000-0000-0000613B0000}"/>
    <cellStyle name="Remarque 2 2 5 2 4 7 5" xfId="8618" xr:uid="{00000000-0005-0000-0000-0000623B0000}"/>
    <cellStyle name="Remarque 2 2 5 2 4 7 5 2" xfId="32632" xr:uid="{00000000-0005-0000-0000-0000633B0000}"/>
    <cellStyle name="Remarque 2 2 5 2 4 7 5 2 2" xfId="56592" xr:uid="{00000000-0005-0000-0000-0000643B0000}"/>
    <cellStyle name="Remarque 2 2 5 2 4 7 5 3" xfId="19879" xr:uid="{00000000-0005-0000-0000-0000653B0000}"/>
    <cellStyle name="Remarque 2 2 5 2 4 7 5 4" xfId="43839" xr:uid="{00000000-0005-0000-0000-0000663B0000}"/>
    <cellStyle name="Remarque 2 2 5 2 4 7 6" xfId="10003" xr:uid="{00000000-0005-0000-0000-0000673B0000}"/>
    <cellStyle name="Remarque 2 2 5 2 4 7 6 2" xfId="34017" xr:uid="{00000000-0005-0000-0000-0000683B0000}"/>
    <cellStyle name="Remarque 2 2 5 2 4 7 6 2 2" xfId="57977" xr:uid="{00000000-0005-0000-0000-0000693B0000}"/>
    <cellStyle name="Remarque 2 2 5 2 4 7 6 3" xfId="21264" xr:uid="{00000000-0005-0000-0000-00006A3B0000}"/>
    <cellStyle name="Remarque 2 2 5 2 4 7 6 4" xfId="45224" xr:uid="{00000000-0005-0000-0000-00006B3B0000}"/>
    <cellStyle name="Remarque 2 2 5 2 4 7 7" xfId="11460" xr:uid="{00000000-0005-0000-0000-00006C3B0000}"/>
    <cellStyle name="Remarque 2 2 5 2 4 7 7 2" xfId="35470" xr:uid="{00000000-0005-0000-0000-00006D3B0000}"/>
    <cellStyle name="Remarque 2 2 5 2 4 7 7 2 2" xfId="59430" xr:uid="{00000000-0005-0000-0000-00006E3B0000}"/>
    <cellStyle name="Remarque 2 2 5 2 4 7 7 3" xfId="22727" xr:uid="{00000000-0005-0000-0000-00006F3B0000}"/>
    <cellStyle name="Remarque 2 2 5 2 4 7 7 4" xfId="46687" xr:uid="{00000000-0005-0000-0000-0000703B0000}"/>
    <cellStyle name="Remarque 2 2 5 2 4 7 8" xfId="12737" xr:uid="{00000000-0005-0000-0000-0000713B0000}"/>
    <cellStyle name="Remarque 2 2 5 2 4 7 8 2" xfId="24043" xr:uid="{00000000-0005-0000-0000-0000723B0000}"/>
    <cellStyle name="Remarque 2 2 5 2 4 7 8 3" xfId="48003" xr:uid="{00000000-0005-0000-0000-0000733B0000}"/>
    <cellStyle name="Remarque 2 2 5 2 4 7 9" xfId="2932" xr:uid="{00000000-0005-0000-0000-0000743B0000}"/>
    <cellStyle name="Remarque 2 2 5 2 4 7 9 2" xfId="26946" xr:uid="{00000000-0005-0000-0000-0000753B0000}"/>
    <cellStyle name="Remarque 2 2 5 2 4 7 9 3" xfId="50906" xr:uid="{00000000-0005-0000-0000-0000763B0000}"/>
    <cellStyle name="Remarque 2 2 5 2 4 8" xfId="3351" xr:uid="{00000000-0005-0000-0000-0000773B0000}"/>
    <cellStyle name="Remarque 2 2 5 2 4 8 2" xfId="27365" xr:uid="{00000000-0005-0000-0000-0000783B0000}"/>
    <cellStyle name="Remarque 2 2 5 2 4 8 2 2" xfId="51325" xr:uid="{00000000-0005-0000-0000-0000793B0000}"/>
    <cellStyle name="Remarque 2 2 5 2 4 8 3" xfId="14612" xr:uid="{00000000-0005-0000-0000-00007A3B0000}"/>
    <cellStyle name="Remarque 2 2 5 2 4 8 4" xfId="38572" xr:uid="{00000000-0005-0000-0000-00007B3B0000}"/>
    <cellStyle name="Remarque 2 2 5 2 4 9" xfId="4785" xr:uid="{00000000-0005-0000-0000-00007C3B0000}"/>
    <cellStyle name="Remarque 2 2 5 2 4 9 2" xfId="28799" xr:uid="{00000000-0005-0000-0000-00007D3B0000}"/>
    <cellStyle name="Remarque 2 2 5 2 4 9 2 2" xfId="52759" xr:uid="{00000000-0005-0000-0000-00007E3B0000}"/>
    <cellStyle name="Remarque 2 2 5 2 4 9 3" xfId="16046" xr:uid="{00000000-0005-0000-0000-00007F3B0000}"/>
    <cellStyle name="Remarque 2 2 5 2 4 9 4" xfId="40006" xr:uid="{00000000-0005-0000-0000-0000803B0000}"/>
    <cellStyle name="Remarque 2 2 5 2 5" xfId="302" xr:uid="{00000000-0005-0000-0000-0000813B0000}"/>
    <cellStyle name="Remarque 2 2 5 2 5 10" xfId="24334" xr:uid="{00000000-0005-0000-0000-0000823B0000}"/>
    <cellStyle name="Remarque 2 2 5 2 5 10 2" xfId="48294" xr:uid="{00000000-0005-0000-0000-0000833B0000}"/>
    <cellStyle name="Remarque 2 2 5 2 5 11" xfId="34124" xr:uid="{00000000-0005-0000-0000-0000843B0000}"/>
    <cellStyle name="Remarque 2 2 5 2 5 11 2" xfId="58084" xr:uid="{00000000-0005-0000-0000-0000853B0000}"/>
    <cellStyle name="Remarque 2 2 5 2 5 12" xfId="12999" xr:uid="{00000000-0005-0000-0000-0000863B0000}"/>
    <cellStyle name="Remarque 2 2 5 2 5 13" xfId="36959" xr:uid="{00000000-0005-0000-0000-0000873B0000}"/>
    <cellStyle name="Remarque 2 2 5 2 5 2" xfId="3208" xr:uid="{00000000-0005-0000-0000-0000883B0000}"/>
    <cellStyle name="Remarque 2 2 5 2 5 2 2" xfId="27222" xr:uid="{00000000-0005-0000-0000-0000893B0000}"/>
    <cellStyle name="Remarque 2 2 5 2 5 2 2 2" xfId="51182" xr:uid="{00000000-0005-0000-0000-00008A3B0000}"/>
    <cellStyle name="Remarque 2 2 5 2 5 2 3" xfId="14469" xr:uid="{00000000-0005-0000-0000-00008B3B0000}"/>
    <cellStyle name="Remarque 2 2 5 2 5 2 4" xfId="38429" xr:uid="{00000000-0005-0000-0000-00008C3B0000}"/>
    <cellStyle name="Remarque 2 2 5 2 5 3" xfId="4642" xr:uid="{00000000-0005-0000-0000-00008D3B0000}"/>
    <cellStyle name="Remarque 2 2 5 2 5 3 2" xfId="28656" xr:uid="{00000000-0005-0000-0000-00008E3B0000}"/>
    <cellStyle name="Remarque 2 2 5 2 5 3 2 2" xfId="52616" xr:uid="{00000000-0005-0000-0000-00008F3B0000}"/>
    <cellStyle name="Remarque 2 2 5 2 5 3 3" xfId="15903" xr:uid="{00000000-0005-0000-0000-0000903B0000}"/>
    <cellStyle name="Remarque 2 2 5 2 5 3 4" xfId="39863" xr:uid="{00000000-0005-0000-0000-0000913B0000}"/>
    <cellStyle name="Remarque 2 2 5 2 5 4" xfId="6036" xr:uid="{00000000-0005-0000-0000-0000923B0000}"/>
    <cellStyle name="Remarque 2 2 5 2 5 4 2" xfId="30050" xr:uid="{00000000-0005-0000-0000-0000933B0000}"/>
    <cellStyle name="Remarque 2 2 5 2 5 4 2 2" xfId="54010" xr:uid="{00000000-0005-0000-0000-0000943B0000}"/>
    <cellStyle name="Remarque 2 2 5 2 5 4 3" xfId="17297" xr:uid="{00000000-0005-0000-0000-0000953B0000}"/>
    <cellStyle name="Remarque 2 2 5 2 5 4 4" xfId="41257" xr:uid="{00000000-0005-0000-0000-0000963B0000}"/>
    <cellStyle name="Remarque 2 2 5 2 5 5" xfId="7424" xr:uid="{00000000-0005-0000-0000-0000973B0000}"/>
    <cellStyle name="Remarque 2 2 5 2 5 5 2" xfId="31438" xr:uid="{00000000-0005-0000-0000-0000983B0000}"/>
    <cellStyle name="Remarque 2 2 5 2 5 5 2 2" xfId="55398" xr:uid="{00000000-0005-0000-0000-0000993B0000}"/>
    <cellStyle name="Remarque 2 2 5 2 5 5 3" xfId="18685" xr:uid="{00000000-0005-0000-0000-00009A3B0000}"/>
    <cellStyle name="Remarque 2 2 5 2 5 5 4" xfId="42645" xr:uid="{00000000-0005-0000-0000-00009B3B0000}"/>
    <cellStyle name="Remarque 2 2 5 2 5 6" xfId="8809" xr:uid="{00000000-0005-0000-0000-00009C3B0000}"/>
    <cellStyle name="Remarque 2 2 5 2 5 6 2" xfId="32823" xr:uid="{00000000-0005-0000-0000-00009D3B0000}"/>
    <cellStyle name="Remarque 2 2 5 2 5 6 2 2" xfId="56783" xr:uid="{00000000-0005-0000-0000-00009E3B0000}"/>
    <cellStyle name="Remarque 2 2 5 2 5 6 3" xfId="20070" xr:uid="{00000000-0005-0000-0000-00009F3B0000}"/>
    <cellStyle name="Remarque 2 2 5 2 5 6 4" xfId="44030" xr:uid="{00000000-0005-0000-0000-0000A03B0000}"/>
    <cellStyle name="Remarque 2 2 5 2 5 7" xfId="10266" xr:uid="{00000000-0005-0000-0000-0000A13B0000}"/>
    <cellStyle name="Remarque 2 2 5 2 5 7 2" xfId="34276" xr:uid="{00000000-0005-0000-0000-0000A23B0000}"/>
    <cellStyle name="Remarque 2 2 5 2 5 7 2 2" xfId="58236" xr:uid="{00000000-0005-0000-0000-0000A33B0000}"/>
    <cellStyle name="Remarque 2 2 5 2 5 7 3" xfId="21533" xr:uid="{00000000-0005-0000-0000-0000A43B0000}"/>
    <cellStyle name="Remarque 2 2 5 2 5 7 4" xfId="45493" xr:uid="{00000000-0005-0000-0000-0000A53B0000}"/>
    <cellStyle name="Remarque 2 2 5 2 5 8" xfId="12767" xr:uid="{00000000-0005-0000-0000-0000A63B0000}"/>
    <cellStyle name="Remarque 2 2 5 2 5 8 2" xfId="24075" xr:uid="{00000000-0005-0000-0000-0000A73B0000}"/>
    <cellStyle name="Remarque 2 2 5 2 5 8 3" xfId="48035" xr:uid="{00000000-0005-0000-0000-0000A83B0000}"/>
    <cellStyle name="Remarque 2 2 5 2 5 9" xfId="1738" xr:uid="{00000000-0005-0000-0000-0000A93B0000}"/>
    <cellStyle name="Remarque 2 2 5 2 5 9 2" xfId="25752" xr:uid="{00000000-0005-0000-0000-0000AA3B0000}"/>
    <cellStyle name="Remarque 2 2 5 2 5 9 3" xfId="49712" xr:uid="{00000000-0005-0000-0000-0000AB3B0000}"/>
    <cellStyle name="Remarque 2 2 5 2 6" xfId="638" xr:uid="{00000000-0005-0000-0000-0000AC3B0000}"/>
    <cellStyle name="Remarque 2 2 5 2 6 10" xfId="24670" xr:uid="{00000000-0005-0000-0000-0000AD3B0000}"/>
    <cellStyle name="Remarque 2 2 5 2 6 10 2" xfId="48630" xr:uid="{00000000-0005-0000-0000-0000AE3B0000}"/>
    <cellStyle name="Remarque 2 2 5 2 6 11" xfId="36333" xr:uid="{00000000-0005-0000-0000-0000AF3B0000}"/>
    <cellStyle name="Remarque 2 2 5 2 6 11 2" xfId="60293" xr:uid="{00000000-0005-0000-0000-0000B03B0000}"/>
    <cellStyle name="Remarque 2 2 5 2 6 12" xfId="13335" xr:uid="{00000000-0005-0000-0000-0000B13B0000}"/>
    <cellStyle name="Remarque 2 2 5 2 6 13" xfId="37295" xr:uid="{00000000-0005-0000-0000-0000B23B0000}"/>
    <cellStyle name="Remarque 2 2 5 2 6 2" xfId="3544" xr:uid="{00000000-0005-0000-0000-0000B33B0000}"/>
    <cellStyle name="Remarque 2 2 5 2 6 2 2" xfId="27558" xr:uid="{00000000-0005-0000-0000-0000B43B0000}"/>
    <cellStyle name="Remarque 2 2 5 2 6 2 2 2" xfId="51518" xr:uid="{00000000-0005-0000-0000-0000B53B0000}"/>
    <cellStyle name="Remarque 2 2 5 2 6 2 3" xfId="14805" xr:uid="{00000000-0005-0000-0000-0000B63B0000}"/>
    <cellStyle name="Remarque 2 2 5 2 6 2 4" xfId="38765" xr:uid="{00000000-0005-0000-0000-0000B73B0000}"/>
    <cellStyle name="Remarque 2 2 5 2 6 3" xfId="4978" xr:uid="{00000000-0005-0000-0000-0000B83B0000}"/>
    <cellStyle name="Remarque 2 2 5 2 6 3 2" xfId="28992" xr:uid="{00000000-0005-0000-0000-0000B93B0000}"/>
    <cellStyle name="Remarque 2 2 5 2 6 3 2 2" xfId="52952" xr:uid="{00000000-0005-0000-0000-0000BA3B0000}"/>
    <cellStyle name="Remarque 2 2 5 2 6 3 3" xfId="16239" xr:uid="{00000000-0005-0000-0000-0000BB3B0000}"/>
    <cellStyle name="Remarque 2 2 5 2 6 3 4" xfId="40199" xr:uid="{00000000-0005-0000-0000-0000BC3B0000}"/>
    <cellStyle name="Remarque 2 2 5 2 6 4" xfId="6372" xr:uid="{00000000-0005-0000-0000-0000BD3B0000}"/>
    <cellStyle name="Remarque 2 2 5 2 6 4 2" xfId="30386" xr:uid="{00000000-0005-0000-0000-0000BE3B0000}"/>
    <cellStyle name="Remarque 2 2 5 2 6 4 2 2" xfId="54346" xr:uid="{00000000-0005-0000-0000-0000BF3B0000}"/>
    <cellStyle name="Remarque 2 2 5 2 6 4 3" xfId="17633" xr:uid="{00000000-0005-0000-0000-0000C03B0000}"/>
    <cellStyle name="Remarque 2 2 5 2 6 4 4" xfId="41593" xr:uid="{00000000-0005-0000-0000-0000C13B0000}"/>
    <cellStyle name="Remarque 2 2 5 2 6 5" xfId="7760" xr:uid="{00000000-0005-0000-0000-0000C23B0000}"/>
    <cellStyle name="Remarque 2 2 5 2 6 5 2" xfId="31774" xr:uid="{00000000-0005-0000-0000-0000C33B0000}"/>
    <cellStyle name="Remarque 2 2 5 2 6 5 2 2" xfId="55734" xr:uid="{00000000-0005-0000-0000-0000C43B0000}"/>
    <cellStyle name="Remarque 2 2 5 2 6 5 3" xfId="19021" xr:uid="{00000000-0005-0000-0000-0000C53B0000}"/>
    <cellStyle name="Remarque 2 2 5 2 6 5 4" xfId="42981" xr:uid="{00000000-0005-0000-0000-0000C63B0000}"/>
    <cellStyle name="Remarque 2 2 5 2 6 6" xfId="9145" xr:uid="{00000000-0005-0000-0000-0000C73B0000}"/>
    <cellStyle name="Remarque 2 2 5 2 6 6 2" xfId="33159" xr:uid="{00000000-0005-0000-0000-0000C83B0000}"/>
    <cellStyle name="Remarque 2 2 5 2 6 6 2 2" xfId="57119" xr:uid="{00000000-0005-0000-0000-0000C93B0000}"/>
    <cellStyle name="Remarque 2 2 5 2 6 6 3" xfId="20406" xr:uid="{00000000-0005-0000-0000-0000CA3B0000}"/>
    <cellStyle name="Remarque 2 2 5 2 6 6 4" xfId="44366" xr:uid="{00000000-0005-0000-0000-0000CB3B0000}"/>
    <cellStyle name="Remarque 2 2 5 2 6 7" xfId="10602" xr:uid="{00000000-0005-0000-0000-0000CC3B0000}"/>
    <cellStyle name="Remarque 2 2 5 2 6 7 2" xfId="34612" xr:uid="{00000000-0005-0000-0000-0000CD3B0000}"/>
    <cellStyle name="Remarque 2 2 5 2 6 7 2 2" xfId="58572" xr:uid="{00000000-0005-0000-0000-0000CE3B0000}"/>
    <cellStyle name="Remarque 2 2 5 2 6 7 3" xfId="21869" xr:uid="{00000000-0005-0000-0000-0000CF3B0000}"/>
    <cellStyle name="Remarque 2 2 5 2 6 7 4" xfId="45829" xr:uid="{00000000-0005-0000-0000-0000D03B0000}"/>
    <cellStyle name="Remarque 2 2 5 2 6 8" xfId="11652" xr:uid="{00000000-0005-0000-0000-0000D13B0000}"/>
    <cellStyle name="Remarque 2 2 5 2 6 8 2" xfId="22920" xr:uid="{00000000-0005-0000-0000-0000D23B0000}"/>
    <cellStyle name="Remarque 2 2 5 2 6 8 3" xfId="46880" xr:uid="{00000000-0005-0000-0000-0000D33B0000}"/>
    <cellStyle name="Remarque 2 2 5 2 6 9" xfId="2074" xr:uid="{00000000-0005-0000-0000-0000D43B0000}"/>
    <cellStyle name="Remarque 2 2 5 2 6 9 2" xfId="26088" xr:uid="{00000000-0005-0000-0000-0000D53B0000}"/>
    <cellStyle name="Remarque 2 2 5 2 6 9 3" xfId="50048" xr:uid="{00000000-0005-0000-0000-0000D63B0000}"/>
    <cellStyle name="Remarque 2 2 5 2 7" xfId="832" xr:uid="{00000000-0005-0000-0000-0000D73B0000}"/>
    <cellStyle name="Remarque 2 2 5 2 7 10" xfId="24864" xr:uid="{00000000-0005-0000-0000-0000D83B0000}"/>
    <cellStyle name="Remarque 2 2 5 2 7 10 2" xfId="48824" xr:uid="{00000000-0005-0000-0000-0000D93B0000}"/>
    <cellStyle name="Remarque 2 2 5 2 7 11" xfId="36450" xr:uid="{00000000-0005-0000-0000-0000DA3B0000}"/>
    <cellStyle name="Remarque 2 2 5 2 7 11 2" xfId="60410" xr:uid="{00000000-0005-0000-0000-0000DB3B0000}"/>
    <cellStyle name="Remarque 2 2 5 2 7 12" xfId="13529" xr:uid="{00000000-0005-0000-0000-0000DC3B0000}"/>
    <cellStyle name="Remarque 2 2 5 2 7 13" xfId="37489" xr:uid="{00000000-0005-0000-0000-0000DD3B0000}"/>
    <cellStyle name="Remarque 2 2 5 2 7 2" xfId="3738" xr:uid="{00000000-0005-0000-0000-0000DE3B0000}"/>
    <cellStyle name="Remarque 2 2 5 2 7 2 2" xfId="27752" xr:uid="{00000000-0005-0000-0000-0000DF3B0000}"/>
    <cellStyle name="Remarque 2 2 5 2 7 2 2 2" xfId="51712" xr:uid="{00000000-0005-0000-0000-0000E03B0000}"/>
    <cellStyle name="Remarque 2 2 5 2 7 2 3" xfId="14999" xr:uid="{00000000-0005-0000-0000-0000E13B0000}"/>
    <cellStyle name="Remarque 2 2 5 2 7 2 4" xfId="38959" xr:uid="{00000000-0005-0000-0000-0000E23B0000}"/>
    <cellStyle name="Remarque 2 2 5 2 7 3" xfId="5172" xr:uid="{00000000-0005-0000-0000-0000E33B0000}"/>
    <cellStyle name="Remarque 2 2 5 2 7 3 2" xfId="29186" xr:uid="{00000000-0005-0000-0000-0000E43B0000}"/>
    <cellStyle name="Remarque 2 2 5 2 7 3 2 2" xfId="53146" xr:uid="{00000000-0005-0000-0000-0000E53B0000}"/>
    <cellStyle name="Remarque 2 2 5 2 7 3 3" xfId="16433" xr:uid="{00000000-0005-0000-0000-0000E63B0000}"/>
    <cellStyle name="Remarque 2 2 5 2 7 3 4" xfId="40393" xr:uid="{00000000-0005-0000-0000-0000E73B0000}"/>
    <cellStyle name="Remarque 2 2 5 2 7 4" xfId="6566" xr:uid="{00000000-0005-0000-0000-0000E83B0000}"/>
    <cellStyle name="Remarque 2 2 5 2 7 4 2" xfId="30580" xr:uid="{00000000-0005-0000-0000-0000E93B0000}"/>
    <cellStyle name="Remarque 2 2 5 2 7 4 2 2" xfId="54540" xr:uid="{00000000-0005-0000-0000-0000EA3B0000}"/>
    <cellStyle name="Remarque 2 2 5 2 7 4 3" xfId="17827" xr:uid="{00000000-0005-0000-0000-0000EB3B0000}"/>
    <cellStyle name="Remarque 2 2 5 2 7 4 4" xfId="41787" xr:uid="{00000000-0005-0000-0000-0000EC3B0000}"/>
    <cellStyle name="Remarque 2 2 5 2 7 5" xfId="7954" xr:uid="{00000000-0005-0000-0000-0000ED3B0000}"/>
    <cellStyle name="Remarque 2 2 5 2 7 5 2" xfId="31968" xr:uid="{00000000-0005-0000-0000-0000EE3B0000}"/>
    <cellStyle name="Remarque 2 2 5 2 7 5 2 2" xfId="55928" xr:uid="{00000000-0005-0000-0000-0000EF3B0000}"/>
    <cellStyle name="Remarque 2 2 5 2 7 5 3" xfId="19215" xr:uid="{00000000-0005-0000-0000-0000F03B0000}"/>
    <cellStyle name="Remarque 2 2 5 2 7 5 4" xfId="43175" xr:uid="{00000000-0005-0000-0000-0000F13B0000}"/>
    <cellStyle name="Remarque 2 2 5 2 7 6" xfId="9339" xr:uid="{00000000-0005-0000-0000-0000F23B0000}"/>
    <cellStyle name="Remarque 2 2 5 2 7 6 2" xfId="33353" xr:uid="{00000000-0005-0000-0000-0000F33B0000}"/>
    <cellStyle name="Remarque 2 2 5 2 7 6 2 2" xfId="57313" xr:uid="{00000000-0005-0000-0000-0000F43B0000}"/>
    <cellStyle name="Remarque 2 2 5 2 7 6 3" xfId="20600" xr:uid="{00000000-0005-0000-0000-0000F53B0000}"/>
    <cellStyle name="Remarque 2 2 5 2 7 6 4" xfId="44560" xr:uid="{00000000-0005-0000-0000-0000F63B0000}"/>
    <cellStyle name="Remarque 2 2 5 2 7 7" xfId="10796" xr:uid="{00000000-0005-0000-0000-0000F73B0000}"/>
    <cellStyle name="Remarque 2 2 5 2 7 7 2" xfId="34806" xr:uid="{00000000-0005-0000-0000-0000F83B0000}"/>
    <cellStyle name="Remarque 2 2 5 2 7 7 2 2" xfId="58766" xr:uid="{00000000-0005-0000-0000-0000F93B0000}"/>
    <cellStyle name="Remarque 2 2 5 2 7 7 3" xfId="22063" xr:uid="{00000000-0005-0000-0000-0000FA3B0000}"/>
    <cellStyle name="Remarque 2 2 5 2 7 7 4" xfId="46023" xr:uid="{00000000-0005-0000-0000-0000FB3B0000}"/>
    <cellStyle name="Remarque 2 2 5 2 7 8" xfId="12653" xr:uid="{00000000-0005-0000-0000-0000FC3B0000}"/>
    <cellStyle name="Remarque 2 2 5 2 7 8 2" xfId="23958" xr:uid="{00000000-0005-0000-0000-0000FD3B0000}"/>
    <cellStyle name="Remarque 2 2 5 2 7 8 3" xfId="47918" xr:uid="{00000000-0005-0000-0000-0000FE3B0000}"/>
    <cellStyle name="Remarque 2 2 5 2 7 9" xfId="2268" xr:uid="{00000000-0005-0000-0000-0000FF3B0000}"/>
    <cellStyle name="Remarque 2 2 5 2 7 9 2" xfId="26282" xr:uid="{00000000-0005-0000-0000-0000003C0000}"/>
    <cellStyle name="Remarque 2 2 5 2 7 9 3" xfId="50242" xr:uid="{00000000-0005-0000-0000-0000013C0000}"/>
    <cellStyle name="Remarque 2 2 5 2 8" xfId="1025" xr:uid="{00000000-0005-0000-0000-0000023C0000}"/>
    <cellStyle name="Remarque 2 2 5 2 8 10" xfId="25057" xr:uid="{00000000-0005-0000-0000-0000033C0000}"/>
    <cellStyle name="Remarque 2 2 5 2 8 10 2" xfId="49017" xr:uid="{00000000-0005-0000-0000-0000043C0000}"/>
    <cellStyle name="Remarque 2 2 5 2 8 11" xfId="36399" xr:uid="{00000000-0005-0000-0000-0000053C0000}"/>
    <cellStyle name="Remarque 2 2 5 2 8 11 2" xfId="60359" xr:uid="{00000000-0005-0000-0000-0000063C0000}"/>
    <cellStyle name="Remarque 2 2 5 2 8 12" xfId="13722" xr:uid="{00000000-0005-0000-0000-0000073C0000}"/>
    <cellStyle name="Remarque 2 2 5 2 8 13" xfId="37682" xr:uid="{00000000-0005-0000-0000-0000083C0000}"/>
    <cellStyle name="Remarque 2 2 5 2 8 2" xfId="3931" xr:uid="{00000000-0005-0000-0000-0000093C0000}"/>
    <cellStyle name="Remarque 2 2 5 2 8 2 2" xfId="27945" xr:uid="{00000000-0005-0000-0000-00000A3C0000}"/>
    <cellStyle name="Remarque 2 2 5 2 8 2 2 2" xfId="51905" xr:uid="{00000000-0005-0000-0000-00000B3C0000}"/>
    <cellStyle name="Remarque 2 2 5 2 8 2 3" xfId="15192" xr:uid="{00000000-0005-0000-0000-00000C3C0000}"/>
    <cellStyle name="Remarque 2 2 5 2 8 2 4" xfId="39152" xr:uid="{00000000-0005-0000-0000-00000D3C0000}"/>
    <cellStyle name="Remarque 2 2 5 2 8 3" xfId="5365" xr:uid="{00000000-0005-0000-0000-00000E3C0000}"/>
    <cellStyle name="Remarque 2 2 5 2 8 3 2" xfId="29379" xr:uid="{00000000-0005-0000-0000-00000F3C0000}"/>
    <cellStyle name="Remarque 2 2 5 2 8 3 2 2" xfId="53339" xr:uid="{00000000-0005-0000-0000-0000103C0000}"/>
    <cellStyle name="Remarque 2 2 5 2 8 3 3" xfId="16626" xr:uid="{00000000-0005-0000-0000-0000113C0000}"/>
    <cellStyle name="Remarque 2 2 5 2 8 3 4" xfId="40586" xr:uid="{00000000-0005-0000-0000-0000123C0000}"/>
    <cellStyle name="Remarque 2 2 5 2 8 4" xfId="6759" xr:uid="{00000000-0005-0000-0000-0000133C0000}"/>
    <cellStyle name="Remarque 2 2 5 2 8 4 2" xfId="30773" xr:uid="{00000000-0005-0000-0000-0000143C0000}"/>
    <cellStyle name="Remarque 2 2 5 2 8 4 2 2" xfId="54733" xr:uid="{00000000-0005-0000-0000-0000153C0000}"/>
    <cellStyle name="Remarque 2 2 5 2 8 4 3" xfId="18020" xr:uid="{00000000-0005-0000-0000-0000163C0000}"/>
    <cellStyle name="Remarque 2 2 5 2 8 4 4" xfId="41980" xr:uid="{00000000-0005-0000-0000-0000173C0000}"/>
    <cellStyle name="Remarque 2 2 5 2 8 5" xfId="8147" xr:uid="{00000000-0005-0000-0000-0000183C0000}"/>
    <cellStyle name="Remarque 2 2 5 2 8 5 2" xfId="32161" xr:uid="{00000000-0005-0000-0000-0000193C0000}"/>
    <cellStyle name="Remarque 2 2 5 2 8 5 2 2" xfId="56121" xr:uid="{00000000-0005-0000-0000-00001A3C0000}"/>
    <cellStyle name="Remarque 2 2 5 2 8 5 3" xfId="19408" xr:uid="{00000000-0005-0000-0000-00001B3C0000}"/>
    <cellStyle name="Remarque 2 2 5 2 8 5 4" xfId="43368" xr:uid="{00000000-0005-0000-0000-00001C3C0000}"/>
    <cellStyle name="Remarque 2 2 5 2 8 6" xfId="9532" xr:uid="{00000000-0005-0000-0000-00001D3C0000}"/>
    <cellStyle name="Remarque 2 2 5 2 8 6 2" xfId="33546" xr:uid="{00000000-0005-0000-0000-00001E3C0000}"/>
    <cellStyle name="Remarque 2 2 5 2 8 6 2 2" xfId="57506" xr:uid="{00000000-0005-0000-0000-00001F3C0000}"/>
    <cellStyle name="Remarque 2 2 5 2 8 6 3" xfId="20793" xr:uid="{00000000-0005-0000-0000-0000203C0000}"/>
    <cellStyle name="Remarque 2 2 5 2 8 6 4" xfId="44753" xr:uid="{00000000-0005-0000-0000-0000213C0000}"/>
    <cellStyle name="Remarque 2 2 5 2 8 7" xfId="10989" xr:uid="{00000000-0005-0000-0000-0000223C0000}"/>
    <cellStyle name="Remarque 2 2 5 2 8 7 2" xfId="34999" xr:uid="{00000000-0005-0000-0000-0000233C0000}"/>
    <cellStyle name="Remarque 2 2 5 2 8 7 2 2" xfId="58959" xr:uid="{00000000-0005-0000-0000-0000243C0000}"/>
    <cellStyle name="Remarque 2 2 5 2 8 7 3" xfId="22256" xr:uid="{00000000-0005-0000-0000-0000253C0000}"/>
    <cellStyle name="Remarque 2 2 5 2 8 7 4" xfId="46216" xr:uid="{00000000-0005-0000-0000-0000263C0000}"/>
    <cellStyle name="Remarque 2 2 5 2 8 8" xfId="12236" xr:uid="{00000000-0005-0000-0000-0000273C0000}"/>
    <cellStyle name="Remarque 2 2 5 2 8 8 2" xfId="23520" xr:uid="{00000000-0005-0000-0000-0000283C0000}"/>
    <cellStyle name="Remarque 2 2 5 2 8 8 3" xfId="47480" xr:uid="{00000000-0005-0000-0000-0000293C0000}"/>
    <cellStyle name="Remarque 2 2 5 2 8 9" xfId="2461" xr:uid="{00000000-0005-0000-0000-00002A3C0000}"/>
    <cellStyle name="Remarque 2 2 5 2 8 9 2" xfId="26475" xr:uid="{00000000-0005-0000-0000-00002B3C0000}"/>
    <cellStyle name="Remarque 2 2 5 2 8 9 3" xfId="50435" xr:uid="{00000000-0005-0000-0000-00002C3C0000}"/>
    <cellStyle name="Remarque 2 2 5 2 9" xfId="1211" xr:uid="{00000000-0005-0000-0000-00002D3C0000}"/>
    <cellStyle name="Remarque 2 2 5 2 9 10" xfId="25243" xr:uid="{00000000-0005-0000-0000-00002E3C0000}"/>
    <cellStyle name="Remarque 2 2 5 2 9 10 2" xfId="49203" xr:uid="{00000000-0005-0000-0000-00002F3C0000}"/>
    <cellStyle name="Remarque 2 2 5 2 9 11" xfId="36306" xr:uid="{00000000-0005-0000-0000-0000303C0000}"/>
    <cellStyle name="Remarque 2 2 5 2 9 11 2" xfId="60266" xr:uid="{00000000-0005-0000-0000-0000313C0000}"/>
    <cellStyle name="Remarque 2 2 5 2 9 12" xfId="13908" xr:uid="{00000000-0005-0000-0000-0000323C0000}"/>
    <cellStyle name="Remarque 2 2 5 2 9 13" xfId="37868" xr:uid="{00000000-0005-0000-0000-0000333C0000}"/>
    <cellStyle name="Remarque 2 2 5 2 9 2" xfId="4117" xr:uid="{00000000-0005-0000-0000-0000343C0000}"/>
    <cellStyle name="Remarque 2 2 5 2 9 2 2" xfId="28131" xr:uid="{00000000-0005-0000-0000-0000353C0000}"/>
    <cellStyle name="Remarque 2 2 5 2 9 2 2 2" xfId="52091" xr:uid="{00000000-0005-0000-0000-0000363C0000}"/>
    <cellStyle name="Remarque 2 2 5 2 9 2 3" xfId="15378" xr:uid="{00000000-0005-0000-0000-0000373C0000}"/>
    <cellStyle name="Remarque 2 2 5 2 9 2 4" xfId="39338" xr:uid="{00000000-0005-0000-0000-0000383C0000}"/>
    <cellStyle name="Remarque 2 2 5 2 9 3" xfId="5551" xr:uid="{00000000-0005-0000-0000-0000393C0000}"/>
    <cellStyle name="Remarque 2 2 5 2 9 3 2" xfId="29565" xr:uid="{00000000-0005-0000-0000-00003A3C0000}"/>
    <cellStyle name="Remarque 2 2 5 2 9 3 2 2" xfId="53525" xr:uid="{00000000-0005-0000-0000-00003B3C0000}"/>
    <cellStyle name="Remarque 2 2 5 2 9 3 3" xfId="16812" xr:uid="{00000000-0005-0000-0000-00003C3C0000}"/>
    <cellStyle name="Remarque 2 2 5 2 9 3 4" xfId="40772" xr:uid="{00000000-0005-0000-0000-00003D3C0000}"/>
    <cellStyle name="Remarque 2 2 5 2 9 4" xfId="6945" xr:uid="{00000000-0005-0000-0000-00003E3C0000}"/>
    <cellStyle name="Remarque 2 2 5 2 9 4 2" xfId="30959" xr:uid="{00000000-0005-0000-0000-00003F3C0000}"/>
    <cellStyle name="Remarque 2 2 5 2 9 4 2 2" xfId="54919" xr:uid="{00000000-0005-0000-0000-0000403C0000}"/>
    <cellStyle name="Remarque 2 2 5 2 9 4 3" xfId="18206" xr:uid="{00000000-0005-0000-0000-0000413C0000}"/>
    <cellStyle name="Remarque 2 2 5 2 9 4 4" xfId="42166" xr:uid="{00000000-0005-0000-0000-0000423C0000}"/>
    <cellStyle name="Remarque 2 2 5 2 9 5" xfId="8333" xr:uid="{00000000-0005-0000-0000-0000433C0000}"/>
    <cellStyle name="Remarque 2 2 5 2 9 5 2" xfId="32347" xr:uid="{00000000-0005-0000-0000-0000443C0000}"/>
    <cellStyle name="Remarque 2 2 5 2 9 5 2 2" xfId="56307" xr:uid="{00000000-0005-0000-0000-0000453C0000}"/>
    <cellStyle name="Remarque 2 2 5 2 9 5 3" xfId="19594" xr:uid="{00000000-0005-0000-0000-0000463C0000}"/>
    <cellStyle name="Remarque 2 2 5 2 9 5 4" xfId="43554" xr:uid="{00000000-0005-0000-0000-0000473C0000}"/>
    <cellStyle name="Remarque 2 2 5 2 9 6" xfId="9718" xr:uid="{00000000-0005-0000-0000-0000483C0000}"/>
    <cellStyle name="Remarque 2 2 5 2 9 6 2" xfId="33732" xr:uid="{00000000-0005-0000-0000-0000493C0000}"/>
    <cellStyle name="Remarque 2 2 5 2 9 6 2 2" xfId="57692" xr:uid="{00000000-0005-0000-0000-00004A3C0000}"/>
    <cellStyle name="Remarque 2 2 5 2 9 6 3" xfId="20979" xr:uid="{00000000-0005-0000-0000-00004B3C0000}"/>
    <cellStyle name="Remarque 2 2 5 2 9 6 4" xfId="44939" xr:uid="{00000000-0005-0000-0000-00004C3C0000}"/>
    <cellStyle name="Remarque 2 2 5 2 9 7" xfId="11175" xr:uid="{00000000-0005-0000-0000-00004D3C0000}"/>
    <cellStyle name="Remarque 2 2 5 2 9 7 2" xfId="35185" xr:uid="{00000000-0005-0000-0000-00004E3C0000}"/>
    <cellStyle name="Remarque 2 2 5 2 9 7 2 2" xfId="59145" xr:uid="{00000000-0005-0000-0000-00004F3C0000}"/>
    <cellStyle name="Remarque 2 2 5 2 9 7 3" xfId="22442" xr:uid="{00000000-0005-0000-0000-0000503C0000}"/>
    <cellStyle name="Remarque 2 2 5 2 9 7 4" xfId="46402" xr:uid="{00000000-0005-0000-0000-0000513C0000}"/>
    <cellStyle name="Remarque 2 2 5 2 9 8" xfId="11824" xr:uid="{00000000-0005-0000-0000-0000523C0000}"/>
    <cellStyle name="Remarque 2 2 5 2 9 8 2" xfId="23098" xr:uid="{00000000-0005-0000-0000-0000533C0000}"/>
    <cellStyle name="Remarque 2 2 5 2 9 8 3" xfId="47058" xr:uid="{00000000-0005-0000-0000-0000543C0000}"/>
    <cellStyle name="Remarque 2 2 5 2 9 9" xfId="2647" xr:uid="{00000000-0005-0000-0000-0000553C0000}"/>
    <cellStyle name="Remarque 2 2 5 2 9 9 2" xfId="26661" xr:uid="{00000000-0005-0000-0000-0000563C0000}"/>
    <cellStyle name="Remarque 2 2 5 2 9 9 3" xfId="50621" xr:uid="{00000000-0005-0000-0000-0000573C0000}"/>
    <cellStyle name="Remarque 2 2 5 3" xfId="89" xr:uid="{00000000-0005-0000-0000-0000583C0000}"/>
    <cellStyle name="Remarque 2 2 5 3 10" xfId="36890" xr:uid="{00000000-0005-0000-0000-0000593C0000}"/>
    <cellStyle name="Remarque 2 2 5 3 11" xfId="233" xr:uid="{00000000-0005-0000-0000-00005A3C0000}"/>
    <cellStyle name="Remarque 2 2 5 3 2" xfId="467" xr:uid="{00000000-0005-0000-0000-00005B3C0000}"/>
    <cellStyle name="Remarque 2 2 5 3 2 10" xfId="6201" xr:uid="{00000000-0005-0000-0000-00005C3C0000}"/>
    <cellStyle name="Remarque 2 2 5 3 2 10 2" xfId="30215" xr:uid="{00000000-0005-0000-0000-00005D3C0000}"/>
    <cellStyle name="Remarque 2 2 5 3 2 10 2 2" xfId="54175" xr:uid="{00000000-0005-0000-0000-00005E3C0000}"/>
    <cellStyle name="Remarque 2 2 5 3 2 10 3" xfId="17462" xr:uid="{00000000-0005-0000-0000-00005F3C0000}"/>
    <cellStyle name="Remarque 2 2 5 3 2 10 4" xfId="41422" xr:uid="{00000000-0005-0000-0000-0000603C0000}"/>
    <cellStyle name="Remarque 2 2 5 3 2 11" xfId="7589" xr:uid="{00000000-0005-0000-0000-0000613C0000}"/>
    <cellStyle name="Remarque 2 2 5 3 2 11 2" xfId="31603" xr:uid="{00000000-0005-0000-0000-0000623C0000}"/>
    <cellStyle name="Remarque 2 2 5 3 2 11 2 2" xfId="55563" xr:uid="{00000000-0005-0000-0000-0000633C0000}"/>
    <cellStyle name="Remarque 2 2 5 3 2 11 3" xfId="18850" xr:uid="{00000000-0005-0000-0000-0000643C0000}"/>
    <cellStyle name="Remarque 2 2 5 3 2 11 4" xfId="42810" xr:uid="{00000000-0005-0000-0000-0000653C0000}"/>
    <cellStyle name="Remarque 2 2 5 3 2 12" xfId="8974" xr:uid="{00000000-0005-0000-0000-0000663C0000}"/>
    <cellStyle name="Remarque 2 2 5 3 2 12 2" xfId="32988" xr:uid="{00000000-0005-0000-0000-0000673C0000}"/>
    <cellStyle name="Remarque 2 2 5 3 2 12 2 2" xfId="56948" xr:uid="{00000000-0005-0000-0000-0000683C0000}"/>
    <cellStyle name="Remarque 2 2 5 3 2 12 3" xfId="20235" xr:uid="{00000000-0005-0000-0000-0000693C0000}"/>
    <cellStyle name="Remarque 2 2 5 3 2 12 4" xfId="44195" xr:uid="{00000000-0005-0000-0000-00006A3C0000}"/>
    <cellStyle name="Remarque 2 2 5 3 2 13" xfId="10431" xr:uid="{00000000-0005-0000-0000-00006B3C0000}"/>
    <cellStyle name="Remarque 2 2 5 3 2 13 2" xfId="34441" xr:uid="{00000000-0005-0000-0000-00006C3C0000}"/>
    <cellStyle name="Remarque 2 2 5 3 2 13 2 2" xfId="58401" xr:uid="{00000000-0005-0000-0000-00006D3C0000}"/>
    <cellStyle name="Remarque 2 2 5 3 2 13 3" xfId="21698" xr:uid="{00000000-0005-0000-0000-00006E3C0000}"/>
    <cellStyle name="Remarque 2 2 5 3 2 13 4" xfId="45658" xr:uid="{00000000-0005-0000-0000-00006F3C0000}"/>
    <cellStyle name="Remarque 2 2 5 3 2 14" xfId="12816" xr:uid="{00000000-0005-0000-0000-0000703C0000}"/>
    <cellStyle name="Remarque 2 2 5 3 2 14 2" xfId="24127" xr:uid="{00000000-0005-0000-0000-0000713C0000}"/>
    <cellStyle name="Remarque 2 2 5 3 2 14 3" xfId="48087" xr:uid="{00000000-0005-0000-0000-0000723C0000}"/>
    <cellStyle name="Remarque 2 2 5 3 2 15" xfId="1903" xr:uid="{00000000-0005-0000-0000-0000733C0000}"/>
    <cellStyle name="Remarque 2 2 5 3 2 15 2" xfId="25917" xr:uid="{00000000-0005-0000-0000-0000743C0000}"/>
    <cellStyle name="Remarque 2 2 5 3 2 15 3" xfId="49877" xr:uid="{00000000-0005-0000-0000-0000753C0000}"/>
    <cellStyle name="Remarque 2 2 5 3 2 16" xfId="24499" xr:uid="{00000000-0005-0000-0000-0000763C0000}"/>
    <cellStyle name="Remarque 2 2 5 3 2 16 2" xfId="48459" xr:uid="{00000000-0005-0000-0000-0000773C0000}"/>
    <cellStyle name="Remarque 2 2 5 3 2 17" xfId="36500" xr:uid="{00000000-0005-0000-0000-0000783C0000}"/>
    <cellStyle name="Remarque 2 2 5 3 2 17 2" xfId="60460" xr:uid="{00000000-0005-0000-0000-0000793C0000}"/>
    <cellStyle name="Remarque 2 2 5 3 2 18" xfId="13164" xr:uid="{00000000-0005-0000-0000-00007A3C0000}"/>
    <cellStyle name="Remarque 2 2 5 3 2 19" xfId="37124" xr:uid="{00000000-0005-0000-0000-00007B3C0000}"/>
    <cellStyle name="Remarque 2 2 5 3 2 2" xfId="603" xr:uid="{00000000-0005-0000-0000-00007C3C0000}"/>
    <cellStyle name="Remarque 2 2 5 3 2 2 10" xfId="24635" xr:uid="{00000000-0005-0000-0000-00007D3C0000}"/>
    <cellStyle name="Remarque 2 2 5 3 2 2 10 2" xfId="48595" xr:uid="{00000000-0005-0000-0000-00007E3C0000}"/>
    <cellStyle name="Remarque 2 2 5 3 2 2 11" xfId="35737" xr:uid="{00000000-0005-0000-0000-00007F3C0000}"/>
    <cellStyle name="Remarque 2 2 5 3 2 2 11 2" xfId="59697" xr:uid="{00000000-0005-0000-0000-0000803C0000}"/>
    <cellStyle name="Remarque 2 2 5 3 2 2 12" xfId="13300" xr:uid="{00000000-0005-0000-0000-0000813C0000}"/>
    <cellStyle name="Remarque 2 2 5 3 2 2 13" xfId="37260" xr:uid="{00000000-0005-0000-0000-0000823C0000}"/>
    <cellStyle name="Remarque 2 2 5 3 2 2 2" xfId="3509" xr:uid="{00000000-0005-0000-0000-0000833C0000}"/>
    <cellStyle name="Remarque 2 2 5 3 2 2 2 2" xfId="27523" xr:uid="{00000000-0005-0000-0000-0000843C0000}"/>
    <cellStyle name="Remarque 2 2 5 3 2 2 2 2 2" xfId="51483" xr:uid="{00000000-0005-0000-0000-0000853C0000}"/>
    <cellStyle name="Remarque 2 2 5 3 2 2 2 3" xfId="14770" xr:uid="{00000000-0005-0000-0000-0000863C0000}"/>
    <cellStyle name="Remarque 2 2 5 3 2 2 2 4" xfId="38730" xr:uid="{00000000-0005-0000-0000-0000873C0000}"/>
    <cellStyle name="Remarque 2 2 5 3 2 2 3" xfId="4943" xr:uid="{00000000-0005-0000-0000-0000883C0000}"/>
    <cellStyle name="Remarque 2 2 5 3 2 2 3 2" xfId="28957" xr:uid="{00000000-0005-0000-0000-0000893C0000}"/>
    <cellStyle name="Remarque 2 2 5 3 2 2 3 2 2" xfId="52917" xr:uid="{00000000-0005-0000-0000-00008A3C0000}"/>
    <cellStyle name="Remarque 2 2 5 3 2 2 3 3" xfId="16204" xr:uid="{00000000-0005-0000-0000-00008B3C0000}"/>
    <cellStyle name="Remarque 2 2 5 3 2 2 3 4" xfId="40164" xr:uid="{00000000-0005-0000-0000-00008C3C0000}"/>
    <cellStyle name="Remarque 2 2 5 3 2 2 4" xfId="6337" xr:uid="{00000000-0005-0000-0000-00008D3C0000}"/>
    <cellStyle name="Remarque 2 2 5 3 2 2 4 2" xfId="30351" xr:uid="{00000000-0005-0000-0000-00008E3C0000}"/>
    <cellStyle name="Remarque 2 2 5 3 2 2 4 2 2" xfId="54311" xr:uid="{00000000-0005-0000-0000-00008F3C0000}"/>
    <cellStyle name="Remarque 2 2 5 3 2 2 4 3" xfId="17598" xr:uid="{00000000-0005-0000-0000-0000903C0000}"/>
    <cellStyle name="Remarque 2 2 5 3 2 2 4 4" xfId="41558" xr:uid="{00000000-0005-0000-0000-0000913C0000}"/>
    <cellStyle name="Remarque 2 2 5 3 2 2 5" xfId="7725" xr:uid="{00000000-0005-0000-0000-0000923C0000}"/>
    <cellStyle name="Remarque 2 2 5 3 2 2 5 2" xfId="31739" xr:uid="{00000000-0005-0000-0000-0000933C0000}"/>
    <cellStyle name="Remarque 2 2 5 3 2 2 5 2 2" xfId="55699" xr:uid="{00000000-0005-0000-0000-0000943C0000}"/>
    <cellStyle name="Remarque 2 2 5 3 2 2 5 3" xfId="18986" xr:uid="{00000000-0005-0000-0000-0000953C0000}"/>
    <cellStyle name="Remarque 2 2 5 3 2 2 5 4" xfId="42946" xr:uid="{00000000-0005-0000-0000-0000963C0000}"/>
    <cellStyle name="Remarque 2 2 5 3 2 2 6" xfId="9110" xr:uid="{00000000-0005-0000-0000-0000973C0000}"/>
    <cellStyle name="Remarque 2 2 5 3 2 2 6 2" xfId="33124" xr:uid="{00000000-0005-0000-0000-0000983C0000}"/>
    <cellStyle name="Remarque 2 2 5 3 2 2 6 2 2" xfId="57084" xr:uid="{00000000-0005-0000-0000-0000993C0000}"/>
    <cellStyle name="Remarque 2 2 5 3 2 2 6 3" xfId="20371" xr:uid="{00000000-0005-0000-0000-00009A3C0000}"/>
    <cellStyle name="Remarque 2 2 5 3 2 2 6 4" xfId="44331" xr:uid="{00000000-0005-0000-0000-00009B3C0000}"/>
    <cellStyle name="Remarque 2 2 5 3 2 2 7" xfId="10567" xr:uid="{00000000-0005-0000-0000-00009C3C0000}"/>
    <cellStyle name="Remarque 2 2 5 3 2 2 7 2" xfId="34577" xr:uid="{00000000-0005-0000-0000-00009D3C0000}"/>
    <cellStyle name="Remarque 2 2 5 3 2 2 7 2 2" xfId="58537" xr:uid="{00000000-0005-0000-0000-00009E3C0000}"/>
    <cellStyle name="Remarque 2 2 5 3 2 2 7 3" xfId="21834" xr:uid="{00000000-0005-0000-0000-00009F3C0000}"/>
    <cellStyle name="Remarque 2 2 5 3 2 2 7 4" xfId="45794" xr:uid="{00000000-0005-0000-0000-0000A03C0000}"/>
    <cellStyle name="Remarque 2 2 5 3 2 2 8" xfId="12397" xr:uid="{00000000-0005-0000-0000-0000A13C0000}"/>
    <cellStyle name="Remarque 2 2 5 3 2 2 8 2" xfId="23687" xr:uid="{00000000-0005-0000-0000-0000A23C0000}"/>
    <cellStyle name="Remarque 2 2 5 3 2 2 8 3" xfId="47647" xr:uid="{00000000-0005-0000-0000-0000A33C0000}"/>
    <cellStyle name="Remarque 2 2 5 3 2 2 9" xfId="2039" xr:uid="{00000000-0005-0000-0000-0000A43C0000}"/>
    <cellStyle name="Remarque 2 2 5 3 2 2 9 2" xfId="26053" xr:uid="{00000000-0005-0000-0000-0000A53C0000}"/>
    <cellStyle name="Remarque 2 2 5 3 2 2 9 3" xfId="50013" xr:uid="{00000000-0005-0000-0000-0000A63C0000}"/>
    <cellStyle name="Remarque 2 2 5 3 2 3" xfId="795" xr:uid="{00000000-0005-0000-0000-0000A73C0000}"/>
    <cellStyle name="Remarque 2 2 5 3 2 3 10" xfId="24827" xr:uid="{00000000-0005-0000-0000-0000A83C0000}"/>
    <cellStyle name="Remarque 2 2 5 3 2 3 10 2" xfId="48787" xr:uid="{00000000-0005-0000-0000-0000A93C0000}"/>
    <cellStyle name="Remarque 2 2 5 3 2 3 11" xfId="23489" xr:uid="{00000000-0005-0000-0000-0000AA3C0000}"/>
    <cellStyle name="Remarque 2 2 5 3 2 3 11 2" xfId="47449" xr:uid="{00000000-0005-0000-0000-0000AB3C0000}"/>
    <cellStyle name="Remarque 2 2 5 3 2 3 12" xfId="13492" xr:uid="{00000000-0005-0000-0000-0000AC3C0000}"/>
    <cellStyle name="Remarque 2 2 5 3 2 3 13" xfId="37452" xr:uid="{00000000-0005-0000-0000-0000AD3C0000}"/>
    <cellStyle name="Remarque 2 2 5 3 2 3 2" xfId="3701" xr:uid="{00000000-0005-0000-0000-0000AE3C0000}"/>
    <cellStyle name="Remarque 2 2 5 3 2 3 2 2" xfId="27715" xr:uid="{00000000-0005-0000-0000-0000AF3C0000}"/>
    <cellStyle name="Remarque 2 2 5 3 2 3 2 2 2" xfId="51675" xr:uid="{00000000-0005-0000-0000-0000B03C0000}"/>
    <cellStyle name="Remarque 2 2 5 3 2 3 2 3" xfId="14962" xr:uid="{00000000-0005-0000-0000-0000B13C0000}"/>
    <cellStyle name="Remarque 2 2 5 3 2 3 2 4" xfId="38922" xr:uid="{00000000-0005-0000-0000-0000B23C0000}"/>
    <cellStyle name="Remarque 2 2 5 3 2 3 3" xfId="5135" xr:uid="{00000000-0005-0000-0000-0000B33C0000}"/>
    <cellStyle name="Remarque 2 2 5 3 2 3 3 2" xfId="29149" xr:uid="{00000000-0005-0000-0000-0000B43C0000}"/>
    <cellStyle name="Remarque 2 2 5 3 2 3 3 2 2" xfId="53109" xr:uid="{00000000-0005-0000-0000-0000B53C0000}"/>
    <cellStyle name="Remarque 2 2 5 3 2 3 3 3" xfId="16396" xr:uid="{00000000-0005-0000-0000-0000B63C0000}"/>
    <cellStyle name="Remarque 2 2 5 3 2 3 3 4" xfId="40356" xr:uid="{00000000-0005-0000-0000-0000B73C0000}"/>
    <cellStyle name="Remarque 2 2 5 3 2 3 4" xfId="6529" xr:uid="{00000000-0005-0000-0000-0000B83C0000}"/>
    <cellStyle name="Remarque 2 2 5 3 2 3 4 2" xfId="30543" xr:uid="{00000000-0005-0000-0000-0000B93C0000}"/>
    <cellStyle name="Remarque 2 2 5 3 2 3 4 2 2" xfId="54503" xr:uid="{00000000-0005-0000-0000-0000BA3C0000}"/>
    <cellStyle name="Remarque 2 2 5 3 2 3 4 3" xfId="17790" xr:uid="{00000000-0005-0000-0000-0000BB3C0000}"/>
    <cellStyle name="Remarque 2 2 5 3 2 3 4 4" xfId="41750" xr:uid="{00000000-0005-0000-0000-0000BC3C0000}"/>
    <cellStyle name="Remarque 2 2 5 3 2 3 5" xfId="7917" xr:uid="{00000000-0005-0000-0000-0000BD3C0000}"/>
    <cellStyle name="Remarque 2 2 5 3 2 3 5 2" xfId="31931" xr:uid="{00000000-0005-0000-0000-0000BE3C0000}"/>
    <cellStyle name="Remarque 2 2 5 3 2 3 5 2 2" xfId="55891" xr:uid="{00000000-0005-0000-0000-0000BF3C0000}"/>
    <cellStyle name="Remarque 2 2 5 3 2 3 5 3" xfId="19178" xr:uid="{00000000-0005-0000-0000-0000C03C0000}"/>
    <cellStyle name="Remarque 2 2 5 3 2 3 5 4" xfId="43138" xr:uid="{00000000-0005-0000-0000-0000C13C0000}"/>
    <cellStyle name="Remarque 2 2 5 3 2 3 6" xfId="9302" xr:uid="{00000000-0005-0000-0000-0000C23C0000}"/>
    <cellStyle name="Remarque 2 2 5 3 2 3 6 2" xfId="33316" xr:uid="{00000000-0005-0000-0000-0000C33C0000}"/>
    <cellStyle name="Remarque 2 2 5 3 2 3 6 2 2" xfId="57276" xr:uid="{00000000-0005-0000-0000-0000C43C0000}"/>
    <cellStyle name="Remarque 2 2 5 3 2 3 6 3" xfId="20563" xr:uid="{00000000-0005-0000-0000-0000C53C0000}"/>
    <cellStyle name="Remarque 2 2 5 3 2 3 6 4" xfId="44523" xr:uid="{00000000-0005-0000-0000-0000C63C0000}"/>
    <cellStyle name="Remarque 2 2 5 3 2 3 7" xfId="10759" xr:uid="{00000000-0005-0000-0000-0000C73C0000}"/>
    <cellStyle name="Remarque 2 2 5 3 2 3 7 2" xfId="34769" xr:uid="{00000000-0005-0000-0000-0000C83C0000}"/>
    <cellStyle name="Remarque 2 2 5 3 2 3 7 2 2" xfId="58729" xr:uid="{00000000-0005-0000-0000-0000C93C0000}"/>
    <cellStyle name="Remarque 2 2 5 3 2 3 7 3" xfId="22026" xr:uid="{00000000-0005-0000-0000-0000CA3C0000}"/>
    <cellStyle name="Remarque 2 2 5 3 2 3 7 4" xfId="45986" xr:uid="{00000000-0005-0000-0000-0000CB3C0000}"/>
    <cellStyle name="Remarque 2 2 5 3 2 3 8" xfId="12294" xr:uid="{00000000-0005-0000-0000-0000CC3C0000}"/>
    <cellStyle name="Remarque 2 2 5 3 2 3 8 2" xfId="23582" xr:uid="{00000000-0005-0000-0000-0000CD3C0000}"/>
    <cellStyle name="Remarque 2 2 5 3 2 3 8 3" xfId="47542" xr:uid="{00000000-0005-0000-0000-0000CE3C0000}"/>
    <cellStyle name="Remarque 2 2 5 3 2 3 9" xfId="2231" xr:uid="{00000000-0005-0000-0000-0000CF3C0000}"/>
    <cellStyle name="Remarque 2 2 5 3 2 3 9 2" xfId="26245" xr:uid="{00000000-0005-0000-0000-0000D03C0000}"/>
    <cellStyle name="Remarque 2 2 5 3 2 3 9 3" xfId="50205" xr:uid="{00000000-0005-0000-0000-0000D13C0000}"/>
    <cellStyle name="Remarque 2 2 5 3 2 4" xfId="989" xr:uid="{00000000-0005-0000-0000-0000D23C0000}"/>
    <cellStyle name="Remarque 2 2 5 3 2 4 10" xfId="25021" xr:uid="{00000000-0005-0000-0000-0000D33C0000}"/>
    <cellStyle name="Remarque 2 2 5 3 2 4 10 2" xfId="48981" xr:uid="{00000000-0005-0000-0000-0000D43C0000}"/>
    <cellStyle name="Remarque 2 2 5 3 2 4 11" xfId="34151" xr:uid="{00000000-0005-0000-0000-0000D53C0000}"/>
    <cellStyle name="Remarque 2 2 5 3 2 4 11 2" xfId="58111" xr:uid="{00000000-0005-0000-0000-0000D63C0000}"/>
    <cellStyle name="Remarque 2 2 5 3 2 4 12" xfId="13686" xr:uid="{00000000-0005-0000-0000-0000D73C0000}"/>
    <cellStyle name="Remarque 2 2 5 3 2 4 13" xfId="37646" xr:uid="{00000000-0005-0000-0000-0000D83C0000}"/>
    <cellStyle name="Remarque 2 2 5 3 2 4 2" xfId="3895" xr:uid="{00000000-0005-0000-0000-0000D93C0000}"/>
    <cellStyle name="Remarque 2 2 5 3 2 4 2 2" xfId="27909" xr:uid="{00000000-0005-0000-0000-0000DA3C0000}"/>
    <cellStyle name="Remarque 2 2 5 3 2 4 2 2 2" xfId="51869" xr:uid="{00000000-0005-0000-0000-0000DB3C0000}"/>
    <cellStyle name="Remarque 2 2 5 3 2 4 2 3" xfId="15156" xr:uid="{00000000-0005-0000-0000-0000DC3C0000}"/>
    <cellStyle name="Remarque 2 2 5 3 2 4 2 4" xfId="39116" xr:uid="{00000000-0005-0000-0000-0000DD3C0000}"/>
    <cellStyle name="Remarque 2 2 5 3 2 4 3" xfId="5329" xr:uid="{00000000-0005-0000-0000-0000DE3C0000}"/>
    <cellStyle name="Remarque 2 2 5 3 2 4 3 2" xfId="29343" xr:uid="{00000000-0005-0000-0000-0000DF3C0000}"/>
    <cellStyle name="Remarque 2 2 5 3 2 4 3 2 2" xfId="53303" xr:uid="{00000000-0005-0000-0000-0000E03C0000}"/>
    <cellStyle name="Remarque 2 2 5 3 2 4 3 3" xfId="16590" xr:uid="{00000000-0005-0000-0000-0000E13C0000}"/>
    <cellStyle name="Remarque 2 2 5 3 2 4 3 4" xfId="40550" xr:uid="{00000000-0005-0000-0000-0000E23C0000}"/>
    <cellStyle name="Remarque 2 2 5 3 2 4 4" xfId="6723" xr:uid="{00000000-0005-0000-0000-0000E33C0000}"/>
    <cellStyle name="Remarque 2 2 5 3 2 4 4 2" xfId="30737" xr:uid="{00000000-0005-0000-0000-0000E43C0000}"/>
    <cellStyle name="Remarque 2 2 5 3 2 4 4 2 2" xfId="54697" xr:uid="{00000000-0005-0000-0000-0000E53C0000}"/>
    <cellStyle name="Remarque 2 2 5 3 2 4 4 3" xfId="17984" xr:uid="{00000000-0005-0000-0000-0000E63C0000}"/>
    <cellStyle name="Remarque 2 2 5 3 2 4 4 4" xfId="41944" xr:uid="{00000000-0005-0000-0000-0000E73C0000}"/>
    <cellStyle name="Remarque 2 2 5 3 2 4 5" xfId="8111" xr:uid="{00000000-0005-0000-0000-0000E83C0000}"/>
    <cellStyle name="Remarque 2 2 5 3 2 4 5 2" xfId="32125" xr:uid="{00000000-0005-0000-0000-0000E93C0000}"/>
    <cellStyle name="Remarque 2 2 5 3 2 4 5 2 2" xfId="56085" xr:uid="{00000000-0005-0000-0000-0000EA3C0000}"/>
    <cellStyle name="Remarque 2 2 5 3 2 4 5 3" xfId="19372" xr:uid="{00000000-0005-0000-0000-0000EB3C0000}"/>
    <cellStyle name="Remarque 2 2 5 3 2 4 5 4" xfId="43332" xr:uid="{00000000-0005-0000-0000-0000EC3C0000}"/>
    <cellStyle name="Remarque 2 2 5 3 2 4 6" xfId="9496" xr:uid="{00000000-0005-0000-0000-0000ED3C0000}"/>
    <cellStyle name="Remarque 2 2 5 3 2 4 6 2" xfId="33510" xr:uid="{00000000-0005-0000-0000-0000EE3C0000}"/>
    <cellStyle name="Remarque 2 2 5 3 2 4 6 2 2" xfId="57470" xr:uid="{00000000-0005-0000-0000-0000EF3C0000}"/>
    <cellStyle name="Remarque 2 2 5 3 2 4 6 3" xfId="20757" xr:uid="{00000000-0005-0000-0000-0000F03C0000}"/>
    <cellStyle name="Remarque 2 2 5 3 2 4 6 4" xfId="44717" xr:uid="{00000000-0005-0000-0000-0000F13C0000}"/>
    <cellStyle name="Remarque 2 2 5 3 2 4 7" xfId="10953" xr:uid="{00000000-0005-0000-0000-0000F23C0000}"/>
    <cellStyle name="Remarque 2 2 5 3 2 4 7 2" xfId="34963" xr:uid="{00000000-0005-0000-0000-0000F33C0000}"/>
    <cellStyle name="Remarque 2 2 5 3 2 4 7 2 2" xfId="58923" xr:uid="{00000000-0005-0000-0000-0000F43C0000}"/>
    <cellStyle name="Remarque 2 2 5 3 2 4 7 3" xfId="22220" xr:uid="{00000000-0005-0000-0000-0000F53C0000}"/>
    <cellStyle name="Remarque 2 2 5 3 2 4 7 4" xfId="46180" xr:uid="{00000000-0005-0000-0000-0000F63C0000}"/>
    <cellStyle name="Remarque 2 2 5 3 2 4 8" xfId="11895" xr:uid="{00000000-0005-0000-0000-0000F73C0000}"/>
    <cellStyle name="Remarque 2 2 5 3 2 4 8 2" xfId="23172" xr:uid="{00000000-0005-0000-0000-0000F83C0000}"/>
    <cellStyle name="Remarque 2 2 5 3 2 4 8 3" xfId="47132" xr:uid="{00000000-0005-0000-0000-0000F93C0000}"/>
    <cellStyle name="Remarque 2 2 5 3 2 4 9" xfId="2425" xr:uid="{00000000-0005-0000-0000-0000FA3C0000}"/>
    <cellStyle name="Remarque 2 2 5 3 2 4 9 2" xfId="26439" xr:uid="{00000000-0005-0000-0000-0000FB3C0000}"/>
    <cellStyle name="Remarque 2 2 5 3 2 4 9 3" xfId="50399" xr:uid="{00000000-0005-0000-0000-0000FC3C0000}"/>
    <cellStyle name="Remarque 2 2 5 3 2 5" xfId="1182" xr:uid="{00000000-0005-0000-0000-0000FD3C0000}"/>
    <cellStyle name="Remarque 2 2 5 3 2 5 10" xfId="25214" xr:uid="{00000000-0005-0000-0000-0000FE3C0000}"/>
    <cellStyle name="Remarque 2 2 5 3 2 5 10 2" xfId="49174" xr:uid="{00000000-0005-0000-0000-0000FF3C0000}"/>
    <cellStyle name="Remarque 2 2 5 3 2 5 11" xfId="36563" xr:uid="{00000000-0005-0000-0000-0000003D0000}"/>
    <cellStyle name="Remarque 2 2 5 3 2 5 11 2" xfId="60523" xr:uid="{00000000-0005-0000-0000-0000013D0000}"/>
    <cellStyle name="Remarque 2 2 5 3 2 5 12" xfId="13879" xr:uid="{00000000-0005-0000-0000-0000023D0000}"/>
    <cellStyle name="Remarque 2 2 5 3 2 5 13" xfId="37839" xr:uid="{00000000-0005-0000-0000-0000033D0000}"/>
    <cellStyle name="Remarque 2 2 5 3 2 5 2" xfId="4088" xr:uid="{00000000-0005-0000-0000-0000043D0000}"/>
    <cellStyle name="Remarque 2 2 5 3 2 5 2 2" xfId="28102" xr:uid="{00000000-0005-0000-0000-0000053D0000}"/>
    <cellStyle name="Remarque 2 2 5 3 2 5 2 2 2" xfId="52062" xr:uid="{00000000-0005-0000-0000-0000063D0000}"/>
    <cellStyle name="Remarque 2 2 5 3 2 5 2 3" xfId="15349" xr:uid="{00000000-0005-0000-0000-0000073D0000}"/>
    <cellStyle name="Remarque 2 2 5 3 2 5 2 4" xfId="39309" xr:uid="{00000000-0005-0000-0000-0000083D0000}"/>
    <cellStyle name="Remarque 2 2 5 3 2 5 3" xfId="5522" xr:uid="{00000000-0005-0000-0000-0000093D0000}"/>
    <cellStyle name="Remarque 2 2 5 3 2 5 3 2" xfId="29536" xr:uid="{00000000-0005-0000-0000-00000A3D0000}"/>
    <cellStyle name="Remarque 2 2 5 3 2 5 3 2 2" xfId="53496" xr:uid="{00000000-0005-0000-0000-00000B3D0000}"/>
    <cellStyle name="Remarque 2 2 5 3 2 5 3 3" xfId="16783" xr:uid="{00000000-0005-0000-0000-00000C3D0000}"/>
    <cellStyle name="Remarque 2 2 5 3 2 5 3 4" xfId="40743" xr:uid="{00000000-0005-0000-0000-00000D3D0000}"/>
    <cellStyle name="Remarque 2 2 5 3 2 5 4" xfId="6916" xr:uid="{00000000-0005-0000-0000-00000E3D0000}"/>
    <cellStyle name="Remarque 2 2 5 3 2 5 4 2" xfId="30930" xr:uid="{00000000-0005-0000-0000-00000F3D0000}"/>
    <cellStyle name="Remarque 2 2 5 3 2 5 4 2 2" xfId="54890" xr:uid="{00000000-0005-0000-0000-0000103D0000}"/>
    <cellStyle name="Remarque 2 2 5 3 2 5 4 3" xfId="18177" xr:uid="{00000000-0005-0000-0000-0000113D0000}"/>
    <cellStyle name="Remarque 2 2 5 3 2 5 4 4" xfId="42137" xr:uid="{00000000-0005-0000-0000-0000123D0000}"/>
    <cellStyle name="Remarque 2 2 5 3 2 5 5" xfId="8304" xr:uid="{00000000-0005-0000-0000-0000133D0000}"/>
    <cellStyle name="Remarque 2 2 5 3 2 5 5 2" xfId="32318" xr:uid="{00000000-0005-0000-0000-0000143D0000}"/>
    <cellStyle name="Remarque 2 2 5 3 2 5 5 2 2" xfId="56278" xr:uid="{00000000-0005-0000-0000-0000153D0000}"/>
    <cellStyle name="Remarque 2 2 5 3 2 5 5 3" xfId="19565" xr:uid="{00000000-0005-0000-0000-0000163D0000}"/>
    <cellStyle name="Remarque 2 2 5 3 2 5 5 4" xfId="43525" xr:uid="{00000000-0005-0000-0000-0000173D0000}"/>
    <cellStyle name="Remarque 2 2 5 3 2 5 6" xfId="9689" xr:uid="{00000000-0005-0000-0000-0000183D0000}"/>
    <cellStyle name="Remarque 2 2 5 3 2 5 6 2" xfId="33703" xr:uid="{00000000-0005-0000-0000-0000193D0000}"/>
    <cellStyle name="Remarque 2 2 5 3 2 5 6 2 2" xfId="57663" xr:uid="{00000000-0005-0000-0000-00001A3D0000}"/>
    <cellStyle name="Remarque 2 2 5 3 2 5 6 3" xfId="20950" xr:uid="{00000000-0005-0000-0000-00001B3D0000}"/>
    <cellStyle name="Remarque 2 2 5 3 2 5 6 4" xfId="44910" xr:uid="{00000000-0005-0000-0000-00001C3D0000}"/>
    <cellStyle name="Remarque 2 2 5 3 2 5 7" xfId="11146" xr:uid="{00000000-0005-0000-0000-00001D3D0000}"/>
    <cellStyle name="Remarque 2 2 5 3 2 5 7 2" xfId="35156" xr:uid="{00000000-0005-0000-0000-00001E3D0000}"/>
    <cellStyle name="Remarque 2 2 5 3 2 5 7 2 2" xfId="59116" xr:uid="{00000000-0005-0000-0000-00001F3D0000}"/>
    <cellStyle name="Remarque 2 2 5 3 2 5 7 3" xfId="22413" xr:uid="{00000000-0005-0000-0000-0000203D0000}"/>
    <cellStyle name="Remarque 2 2 5 3 2 5 7 4" xfId="46373" xr:uid="{00000000-0005-0000-0000-0000213D0000}"/>
    <cellStyle name="Remarque 2 2 5 3 2 5 8" xfId="12344" xr:uid="{00000000-0005-0000-0000-0000223D0000}"/>
    <cellStyle name="Remarque 2 2 5 3 2 5 8 2" xfId="23632" xr:uid="{00000000-0005-0000-0000-0000233D0000}"/>
    <cellStyle name="Remarque 2 2 5 3 2 5 8 3" xfId="47592" xr:uid="{00000000-0005-0000-0000-0000243D0000}"/>
    <cellStyle name="Remarque 2 2 5 3 2 5 9" xfId="2618" xr:uid="{00000000-0005-0000-0000-0000253D0000}"/>
    <cellStyle name="Remarque 2 2 5 3 2 5 9 2" xfId="26632" xr:uid="{00000000-0005-0000-0000-0000263D0000}"/>
    <cellStyle name="Remarque 2 2 5 3 2 5 9 3" xfId="50592" xr:uid="{00000000-0005-0000-0000-0000273D0000}"/>
    <cellStyle name="Remarque 2 2 5 3 2 6" xfId="1349" xr:uid="{00000000-0005-0000-0000-0000283D0000}"/>
    <cellStyle name="Remarque 2 2 5 3 2 6 10" xfId="25381" xr:uid="{00000000-0005-0000-0000-0000293D0000}"/>
    <cellStyle name="Remarque 2 2 5 3 2 6 10 2" xfId="49341" xr:uid="{00000000-0005-0000-0000-00002A3D0000}"/>
    <cellStyle name="Remarque 2 2 5 3 2 6 11" xfId="35798" xr:uid="{00000000-0005-0000-0000-00002B3D0000}"/>
    <cellStyle name="Remarque 2 2 5 3 2 6 11 2" xfId="59758" xr:uid="{00000000-0005-0000-0000-00002C3D0000}"/>
    <cellStyle name="Remarque 2 2 5 3 2 6 12" xfId="14046" xr:uid="{00000000-0005-0000-0000-00002D3D0000}"/>
    <cellStyle name="Remarque 2 2 5 3 2 6 13" xfId="38006" xr:uid="{00000000-0005-0000-0000-00002E3D0000}"/>
    <cellStyle name="Remarque 2 2 5 3 2 6 2" xfId="4255" xr:uid="{00000000-0005-0000-0000-00002F3D0000}"/>
    <cellStyle name="Remarque 2 2 5 3 2 6 2 2" xfId="28269" xr:uid="{00000000-0005-0000-0000-0000303D0000}"/>
    <cellStyle name="Remarque 2 2 5 3 2 6 2 2 2" xfId="52229" xr:uid="{00000000-0005-0000-0000-0000313D0000}"/>
    <cellStyle name="Remarque 2 2 5 3 2 6 2 3" xfId="15516" xr:uid="{00000000-0005-0000-0000-0000323D0000}"/>
    <cellStyle name="Remarque 2 2 5 3 2 6 2 4" xfId="39476" xr:uid="{00000000-0005-0000-0000-0000333D0000}"/>
    <cellStyle name="Remarque 2 2 5 3 2 6 3" xfId="5689" xr:uid="{00000000-0005-0000-0000-0000343D0000}"/>
    <cellStyle name="Remarque 2 2 5 3 2 6 3 2" xfId="29703" xr:uid="{00000000-0005-0000-0000-0000353D0000}"/>
    <cellStyle name="Remarque 2 2 5 3 2 6 3 2 2" xfId="53663" xr:uid="{00000000-0005-0000-0000-0000363D0000}"/>
    <cellStyle name="Remarque 2 2 5 3 2 6 3 3" xfId="16950" xr:uid="{00000000-0005-0000-0000-0000373D0000}"/>
    <cellStyle name="Remarque 2 2 5 3 2 6 3 4" xfId="40910" xr:uid="{00000000-0005-0000-0000-0000383D0000}"/>
    <cellStyle name="Remarque 2 2 5 3 2 6 4" xfId="7083" xr:uid="{00000000-0005-0000-0000-0000393D0000}"/>
    <cellStyle name="Remarque 2 2 5 3 2 6 4 2" xfId="31097" xr:uid="{00000000-0005-0000-0000-00003A3D0000}"/>
    <cellStyle name="Remarque 2 2 5 3 2 6 4 2 2" xfId="55057" xr:uid="{00000000-0005-0000-0000-00003B3D0000}"/>
    <cellStyle name="Remarque 2 2 5 3 2 6 4 3" xfId="18344" xr:uid="{00000000-0005-0000-0000-00003C3D0000}"/>
    <cellStyle name="Remarque 2 2 5 3 2 6 4 4" xfId="42304" xr:uid="{00000000-0005-0000-0000-00003D3D0000}"/>
    <cellStyle name="Remarque 2 2 5 3 2 6 5" xfId="8471" xr:uid="{00000000-0005-0000-0000-00003E3D0000}"/>
    <cellStyle name="Remarque 2 2 5 3 2 6 5 2" xfId="32485" xr:uid="{00000000-0005-0000-0000-00003F3D0000}"/>
    <cellStyle name="Remarque 2 2 5 3 2 6 5 2 2" xfId="56445" xr:uid="{00000000-0005-0000-0000-0000403D0000}"/>
    <cellStyle name="Remarque 2 2 5 3 2 6 5 3" xfId="19732" xr:uid="{00000000-0005-0000-0000-0000413D0000}"/>
    <cellStyle name="Remarque 2 2 5 3 2 6 5 4" xfId="43692" xr:uid="{00000000-0005-0000-0000-0000423D0000}"/>
    <cellStyle name="Remarque 2 2 5 3 2 6 6" xfId="9856" xr:uid="{00000000-0005-0000-0000-0000433D0000}"/>
    <cellStyle name="Remarque 2 2 5 3 2 6 6 2" xfId="33870" xr:uid="{00000000-0005-0000-0000-0000443D0000}"/>
    <cellStyle name="Remarque 2 2 5 3 2 6 6 2 2" xfId="57830" xr:uid="{00000000-0005-0000-0000-0000453D0000}"/>
    <cellStyle name="Remarque 2 2 5 3 2 6 6 3" xfId="21117" xr:uid="{00000000-0005-0000-0000-0000463D0000}"/>
    <cellStyle name="Remarque 2 2 5 3 2 6 6 4" xfId="45077" xr:uid="{00000000-0005-0000-0000-0000473D0000}"/>
    <cellStyle name="Remarque 2 2 5 3 2 6 7" xfId="11313" xr:uid="{00000000-0005-0000-0000-0000483D0000}"/>
    <cellStyle name="Remarque 2 2 5 3 2 6 7 2" xfId="35323" xr:uid="{00000000-0005-0000-0000-0000493D0000}"/>
    <cellStyle name="Remarque 2 2 5 3 2 6 7 2 2" xfId="59283" xr:uid="{00000000-0005-0000-0000-00004A3D0000}"/>
    <cellStyle name="Remarque 2 2 5 3 2 6 7 3" xfId="22580" xr:uid="{00000000-0005-0000-0000-00004B3D0000}"/>
    <cellStyle name="Remarque 2 2 5 3 2 6 7 4" xfId="46540" xr:uid="{00000000-0005-0000-0000-00004C3D0000}"/>
    <cellStyle name="Remarque 2 2 5 3 2 6 8" xfId="11634" xr:uid="{00000000-0005-0000-0000-00004D3D0000}"/>
    <cellStyle name="Remarque 2 2 5 3 2 6 8 2" xfId="22902" xr:uid="{00000000-0005-0000-0000-00004E3D0000}"/>
    <cellStyle name="Remarque 2 2 5 3 2 6 8 3" xfId="46862" xr:uid="{00000000-0005-0000-0000-00004F3D0000}"/>
    <cellStyle name="Remarque 2 2 5 3 2 6 9" xfId="2785" xr:uid="{00000000-0005-0000-0000-0000503D0000}"/>
    <cellStyle name="Remarque 2 2 5 3 2 6 9 2" xfId="26799" xr:uid="{00000000-0005-0000-0000-0000513D0000}"/>
    <cellStyle name="Remarque 2 2 5 3 2 6 9 3" xfId="50759" xr:uid="{00000000-0005-0000-0000-0000523D0000}"/>
    <cellStyle name="Remarque 2 2 5 3 2 7" xfId="1518" xr:uid="{00000000-0005-0000-0000-0000533D0000}"/>
    <cellStyle name="Remarque 2 2 5 3 2 7 10" xfId="25550" xr:uid="{00000000-0005-0000-0000-0000543D0000}"/>
    <cellStyle name="Remarque 2 2 5 3 2 7 10 2" xfId="49510" xr:uid="{00000000-0005-0000-0000-0000553D0000}"/>
    <cellStyle name="Remarque 2 2 5 3 2 7 11" xfId="36382" xr:uid="{00000000-0005-0000-0000-0000563D0000}"/>
    <cellStyle name="Remarque 2 2 5 3 2 7 11 2" xfId="60342" xr:uid="{00000000-0005-0000-0000-0000573D0000}"/>
    <cellStyle name="Remarque 2 2 5 3 2 7 12" xfId="14215" xr:uid="{00000000-0005-0000-0000-0000583D0000}"/>
    <cellStyle name="Remarque 2 2 5 3 2 7 13" xfId="38175" xr:uid="{00000000-0005-0000-0000-0000593D0000}"/>
    <cellStyle name="Remarque 2 2 5 3 2 7 2" xfId="4424" xr:uid="{00000000-0005-0000-0000-00005A3D0000}"/>
    <cellStyle name="Remarque 2 2 5 3 2 7 2 2" xfId="28438" xr:uid="{00000000-0005-0000-0000-00005B3D0000}"/>
    <cellStyle name="Remarque 2 2 5 3 2 7 2 2 2" xfId="52398" xr:uid="{00000000-0005-0000-0000-00005C3D0000}"/>
    <cellStyle name="Remarque 2 2 5 3 2 7 2 3" xfId="15685" xr:uid="{00000000-0005-0000-0000-00005D3D0000}"/>
    <cellStyle name="Remarque 2 2 5 3 2 7 2 4" xfId="39645" xr:uid="{00000000-0005-0000-0000-00005E3D0000}"/>
    <cellStyle name="Remarque 2 2 5 3 2 7 3" xfId="5858" xr:uid="{00000000-0005-0000-0000-00005F3D0000}"/>
    <cellStyle name="Remarque 2 2 5 3 2 7 3 2" xfId="29872" xr:uid="{00000000-0005-0000-0000-0000603D0000}"/>
    <cellStyle name="Remarque 2 2 5 3 2 7 3 2 2" xfId="53832" xr:uid="{00000000-0005-0000-0000-0000613D0000}"/>
    <cellStyle name="Remarque 2 2 5 3 2 7 3 3" xfId="17119" xr:uid="{00000000-0005-0000-0000-0000623D0000}"/>
    <cellStyle name="Remarque 2 2 5 3 2 7 3 4" xfId="41079" xr:uid="{00000000-0005-0000-0000-0000633D0000}"/>
    <cellStyle name="Remarque 2 2 5 3 2 7 4" xfId="7252" xr:uid="{00000000-0005-0000-0000-0000643D0000}"/>
    <cellStyle name="Remarque 2 2 5 3 2 7 4 2" xfId="31266" xr:uid="{00000000-0005-0000-0000-0000653D0000}"/>
    <cellStyle name="Remarque 2 2 5 3 2 7 4 2 2" xfId="55226" xr:uid="{00000000-0005-0000-0000-0000663D0000}"/>
    <cellStyle name="Remarque 2 2 5 3 2 7 4 3" xfId="18513" xr:uid="{00000000-0005-0000-0000-0000673D0000}"/>
    <cellStyle name="Remarque 2 2 5 3 2 7 4 4" xfId="42473" xr:uid="{00000000-0005-0000-0000-0000683D0000}"/>
    <cellStyle name="Remarque 2 2 5 3 2 7 5" xfId="8640" xr:uid="{00000000-0005-0000-0000-0000693D0000}"/>
    <cellStyle name="Remarque 2 2 5 3 2 7 5 2" xfId="32654" xr:uid="{00000000-0005-0000-0000-00006A3D0000}"/>
    <cellStyle name="Remarque 2 2 5 3 2 7 5 2 2" xfId="56614" xr:uid="{00000000-0005-0000-0000-00006B3D0000}"/>
    <cellStyle name="Remarque 2 2 5 3 2 7 5 3" xfId="19901" xr:uid="{00000000-0005-0000-0000-00006C3D0000}"/>
    <cellStyle name="Remarque 2 2 5 3 2 7 5 4" xfId="43861" xr:uid="{00000000-0005-0000-0000-00006D3D0000}"/>
    <cellStyle name="Remarque 2 2 5 3 2 7 6" xfId="10025" xr:uid="{00000000-0005-0000-0000-00006E3D0000}"/>
    <cellStyle name="Remarque 2 2 5 3 2 7 6 2" xfId="34039" xr:uid="{00000000-0005-0000-0000-00006F3D0000}"/>
    <cellStyle name="Remarque 2 2 5 3 2 7 6 2 2" xfId="57999" xr:uid="{00000000-0005-0000-0000-0000703D0000}"/>
    <cellStyle name="Remarque 2 2 5 3 2 7 6 3" xfId="21286" xr:uid="{00000000-0005-0000-0000-0000713D0000}"/>
    <cellStyle name="Remarque 2 2 5 3 2 7 6 4" xfId="45246" xr:uid="{00000000-0005-0000-0000-0000723D0000}"/>
    <cellStyle name="Remarque 2 2 5 3 2 7 7" xfId="11482" xr:uid="{00000000-0005-0000-0000-0000733D0000}"/>
    <cellStyle name="Remarque 2 2 5 3 2 7 7 2" xfId="35492" xr:uid="{00000000-0005-0000-0000-0000743D0000}"/>
    <cellStyle name="Remarque 2 2 5 3 2 7 7 2 2" xfId="59452" xr:uid="{00000000-0005-0000-0000-0000753D0000}"/>
    <cellStyle name="Remarque 2 2 5 3 2 7 7 3" xfId="22749" xr:uid="{00000000-0005-0000-0000-0000763D0000}"/>
    <cellStyle name="Remarque 2 2 5 3 2 7 7 4" xfId="46709" xr:uid="{00000000-0005-0000-0000-0000773D0000}"/>
    <cellStyle name="Remarque 2 2 5 3 2 7 8" xfId="12330" xr:uid="{00000000-0005-0000-0000-0000783D0000}"/>
    <cellStyle name="Remarque 2 2 5 3 2 7 8 2" xfId="23618" xr:uid="{00000000-0005-0000-0000-0000793D0000}"/>
    <cellStyle name="Remarque 2 2 5 3 2 7 8 3" xfId="47578" xr:uid="{00000000-0005-0000-0000-00007A3D0000}"/>
    <cellStyle name="Remarque 2 2 5 3 2 7 9" xfId="2954" xr:uid="{00000000-0005-0000-0000-00007B3D0000}"/>
    <cellStyle name="Remarque 2 2 5 3 2 7 9 2" xfId="26968" xr:uid="{00000000-0005-0000-0000-00007C3D0000}"/>
    <cellStyle name="Remarque 2 2 5 3 2 7 9 3" xfId="50928" xr:uid="{00000000-0005-0000-0000-00007D3D0000}"/>
    <cellStyle name="Remarque 2 2 5 3 2 8" xfId="3373" xr:uid="{00000000-0005-0000-0000-00007E3D0000}"/>
    <cellStyle name="Remarque 2 2 5 3 2 8 2" xfId="27387" xr:uid="{00000000-0005-0000-0000-00007F3D0000}"/>
    <cellStyle name="Remarque 2 2 5 3 2 8 2 2" xfId="51347" xr:uid="{00000000-0005-0000-0000-0000803D0000}"/>
    <cellStyle name="Remarque 2 2 5 3 2 8 3" xfId="14634" xr:uid="{00000000-0005-0000-0000-0000813D0000}"/>
    <cellStyle name="Remarque 2 2 5 3 2 8 4" xfId="38594" xr:uid="{00000000-0005-0000-0000-0000823D0000}"/>
    <cellStyle name="Remarque 2 2 5 3 2 9" xfId="4807" xr:uid="{00000000-0005-0000-0000-0000833D0000}"/>
    <cellStyle name="Remarque 2 2 5 3 2 9 2" xfId="28821" xr:uid="{00000000-0005-0000-0000-0000843D0000}"/>
    <cellStyle name="Remarque 2 2 5 3 2 9 2 2" xfId="52781" xr:uid="{00000000-0005-0000-0000-0000853D0000}"/>
    <cellStyle name="Remarque 2 2 5 3 2 9 3" xfId="16068" xr:uid="{00000000-0005-0000-0000-0000863D0000}"/>
    <cellStyle name="Remarque 2 2 5 3 2 9 4" xfId="40028" xr:uid="{00000000-0005-0000-0000-0000873D0000}"/>
    <cellStyle name="Remarque 2 2 5 3 3" xfId="281" xr:uid="{00000000-0005-0000-0000-0000883D0000}"/>
    <cellStyle name="Remarque 2 2 5 3 3 10" xfId="24313" xr:uid="{00000000-0005-0000-0000-0000893D0000}"/>
    <cellStyle name="Remarque 2 2 5 3 3 10 2" xfId="48273" xr:uid="{00000000-0005-0000-0000-00008A3D0000}"/>
    <cellStyle name="Remarque 2 2 5 3 3 11" xfId="36676" xr:uid="{00000000-0005-0000-0000-00008B3D0000}"/>
    <cellStyle name="Remarque 2 2 5 3 3 11 2" xfId="60636" xr:uid="{00000000-0005-0000-0000-00008C3D0000}"/>
    <cellStyle name="Remarque 2 2 5 3 3 12" xfId="12978" xr:uid="{00000000-0005-0000-0000-00008D3D0000}"/>
    <cellStyle name="Remarque 2 2 5 3 3 13" xfId="36938" xr:uid="{00000000-0005-0000-0000-00008E3D0000}"/>
    <cellStyle name="Remarque 2 2 5 3 3 2" xfId="3187" xr:uid="{00000000-0005-0000-0000-00008F3D0000}"/>
    <cellStyle name="Remarque 2 2 5 3 3 2 2" xfId="27201" xr:uid="{00000000-0005-0000-0000-0000903D0000}"/>
    <cellStyle name="Remarque 2 2 5 3 3 2 2 2" xfId="51161" xr:uid="{00000000-0005-0000-0000-0000913D0000}"/>
    <cellStyle name="Remarque 2 2 5 3 3 2 3" xfId="14448" xr:uid="{00000000-0005-0000-0000-0000923D0000}"/>
    <cellStyle name="Remarque 2 2 5 3 3 2 4" xfId="38408" xr:uid="{00000000-0005-0000-0000-0000933D0000}"/>
    <cellStyle name="Remarque 2 2 5 3 3 3" xfId="4621" xr:uid="{00000000-0005-0000-0000-0000943D0000}"/>
    <cellStyle name="Remarque 2 2 5 3 3 3 2" xfId="28635" xr:uid="{00000000-0005-0000-0000-0000953D0000}"/>
    <cellStyle name="Remarque 2 2 5 3 3 3 2 2" xfId="52595" xr:uid="{00000000-0005-0000-0000-0000963D0000}"/>
    <cellStyle name="Remarque 2 2 5 3 3 3 3" xfId="15882" xr:uid="{00000000-0005-0000-0000-0000973D0000}"/>
    <cellStyle name="Remarque 2 2 5 3 3 3 4" xfId="39842" xr:uid="{00000000-0005-0000-0000-0000983D0000}"/>
    <cellStyle name="Remarque 2 2 5 3 3 4" xfId="6015" xr:uid="{00000000-0005-0000-0000-0000993D0000}"/>
    <cellStyle name="Remarque 2 2 5 3 3 4 2" xfId="30029" xr:uid="{00000000-0005-0000-0000-00009A3D0000}"/>
    <cellStyle name="Remarque 2 2 5 3 3 4 2 2" xfId="53989" xr:uid="{00000000-0005-0000-0000-00009B3D0000}"/>
    <cellStyle name="Remarque 2 2 5 3 3 4 3" xfId="17276" xr:uid="{00000000-0005-0000-0000-00009C3D0000}"/>
    <cellStyle name="Remarque 2 2 5 3 3 4 4" xfId="41236" xr:uid="{00000000-0005-0000-0000-00009D3D0000}"/>
    <cellStyle name="Remarque 2 2 5 3 3 5" xfId="7403" xr:uid="{00000000-0005-0000-0000-00009E3D0000}"/>
    <cellStyle name="Remarque 2 2 5 3 3 5 2" xfId="31417" xr:uid="{00000000-0005-0000-0000-00009F3D0000}"/>
    <cellStyle name="Remarque 2 2 5 3 3 5 2 2" xfId="55377" xr:uid="{00000000-0005-0000-0000-0000A03D0000}"/>
    <cellStyle name="Remarque 2 2 5 3 3 5 3" xfId="18664" xr:uid="{00000000-0005-0000-0000-0000A13D0000}"/>
    <cellStyle name="Remarque 2 2 5 3 3 5 4" xfId="42624" xr:uid="{00000000-0005-0000-0000-0000A23D0000}"/>
    <cellStyle name="Remarque 2 2 5 3 3 6" xfId="8788" xr:uid="{00000000-0005-0000-0000-0000A33D0000}"/>
    <cellStyle name="Remarque 2 2 5 3 3 6 2" xfId="32802" xr:uid="{00000000-0005-0000-0000-0000A43D0000}"/>
    <cellStyle name="Remarque 2 2 5 3 3 6 2 2" xfId="56762" xr:uid="{00000000-0005-0000-0000-0000A53D0000}"/>
    <cellStyle name="Remarque 2 2 5 3 3 6 3" xfId="20049" xr:uid="{00000000-0005-0000-0000-0000A63D0000}"/>
    <cellStyle name="Remarque 2 2 5 3 3 6 4" xfId="44009" xr:uid="{00000000-0005-0000-0000-0000A73D0000}"/>
    <cellStyle name="Remarque 2 2 5 3 3 7" xfId="10245" xr:uid="{00000000-0005-0000-0000-0000A83D0000}"/>
    <cellStyle name="Remarque 2 2 5 3 3 7 2" xfId="34255" xr:uid="{00000000-0005-0000-0000-0000A93D0000}"/>
    <cellStyle name="Remarque 2 2 5 3 3 7 2 2" xfId="58215" xr:uid="{00000000-0005-0000-0000-0000AA3D0000}"/>
    <cellStyle name="Remarque 2 2 5 3 3 7 3" xfId="21512" xr:uid="{00000000-0005-0000-0000-0000AB3D0000}"/>
    <cellStyle name="Remarque 2 2 5 3 3 7 4" xfId="45472" xr:uid="{00000000-0005-0000-0000-0000AC3D0000}"/>
    <cellStyle name="Remarque 2 2 5 3 3 8" xfId="11643" xr:uid="{00000000-0005-0000-0000-0000AD3D0000}"/>
    <cellStyle name="Remarque 2 2 5 3 3 8 2" xfId="22911" xr:uid="{00000000-0005-0000-0000-0000AE3D0000}"/>
    <cellStyle name="Remarque 2 2 5 3 3 8 3" xfId="46871" xr:uid="{00000000-0005-0000-0000-0000AF3D0000}"/>
    <cellStyle name="Remarque 2 2 5 3 3 9" xfId="1717" xr:uid="{00000000-0005-0000-0000-0000B03D0000}"/>
    <cellStyle name="Remarque 2 2 5 3 3 9 2" xfId="25731" xr:uid="{00000000-0005-0000-0000-0000B13D0000}"/>
    <cellStyle name="Remarque 2 2 5 3 3 9 3" xfId="49691" xr:uid="{00000000-0005-0000-0000-0000B23D0000}"/>
    <cellStyle name="Remarque 2 2 5 3 4" xfId="660" xr:uid="{00000000-0005-0000-0000-0000B33D0000}"/>
    <cellStyle name="Remarque 2 2 5 3 4 10" xfId="24692" xr:uid="{00000000-0005-0000-0000-0000B43D0000}"/>
    <cellStyle name="Remarque 2 2 5 3 4 10 2" xfId="48652" xr:uid="{00000000-0005-0000-0000-0000B53D0000}"/>
    <cellStyle name="Remarque 2 2 5 3 4 11" xfId="36380" xr:uid="{00000000-0005-0000-0000-0000B63D0000}"/>
    <cellStyle name="Remarque 2 2 5 3 4 11 2" xfId="60340" xr:uid="{00000000-0005-0000-0000-0000B73D0000}"/>
    <cellStyle name="Remarque 2 2 5 3 4 12" xfId="13357" xr:uid="{00000000-0005-0000-0000-0000B83D0000}"/>
    <cellStyle name="Remarque 2 2 5 3 4 13" xfId="37317" xr:uid="{00000000-0005-0000-0000-0000B93D0000}"/>
    <cellStyle name="Remarque 2 2 5 3 4 2" xfId="3566" xr:uid="{00000000-0005-0000-0000-0000BA3D0000}"/>
    <cellStyle name="Remarque 2 2 5 3 4 2 2" xfId="27580" xr:uid="{00000000-0005-0000-0000-0000BB3D0000}"/>
    <cellStyle name="Remarque 2 2 5 3 4 2 2 2" xfId="51540" xr:uid="{00000000-0005-0000-0000-0000BC3D0000}"/>
    <cellStyle name="Remarque 2 2 5 3 4 2 3" xfId="14827" xr:uid="{00000000-0005-0000-0000-0000BD3D0000}"/>
    <cellStyle name="Remarque 2 2 5 3 4 2 4" xfId="38787" xr:uid="{00000000-0005-0000-0000-0000BE3D0000}"/>
    <cellStyle name="Remarque 2 2 5 3 4 3" xfId="5000" xr:uid="{00000000-0005-0000-0000-0000BF3D0000}"/>
    <cellStyle name="Remarque 2 2 5 3 4 3 2" xfId="29014" xr:uid="{00000000-0005-0000-0000-0000C03D0000}"/>
    <cellStyle name="Remarque 2 2 5 3 4 3 2 2" xfId="52974" xr:uid="{00000000-0005-0000-0000-0000C13D0000}"/>
    <cellStyle name="Remarque 2 2 5 3 4 3 3" xfId="16261" xr:uid="{00000000-0005-0000-0000-0000C23D0000}"/>
    <cellStyle name="Remarque 2 2 5 3 4 3 4" xfId="40221" xr:uid="{00000000-0005-0000-0000-0000C33D0000}"/>
    <cellStyle name="Remarque 2 2 5 3 4 4" xfId="6394" xr:uid="{00000000-0005-0000-0000-0000C43D0000}"/>
    <cellStyle name="Remarque 2 2 5 3 4 4 2" xfId="30408" xr:uid="{00000000-0005-0000-0000-0000C53D0000}"/>
    <cellStyle name="Remarque 2 2 5 3 4 4 2 2" xfId="54368" xr:uid="{00000000-0005-0000-0000-0000C63D0000}"/>
    <cellStyle name="Remarque 2 2 5 3 4 4 3" xfId="17655" xr:uid="{00000000-0005-0000-0000-0000C73D0000}"/>
    <cellStyle name="Remarque 2 2 5 3 4 4 4" xfId="41615" xr:uid="{00000000-0005-0000-0000-0000C83D0000}"/>
    <cellStyle name="Remarque 2 2 5 3 4 5" xfId="7782" xr:uid="{00000000-0005-0000-0000-0000C93D0000}"/>
    <cellStyle name="Remarque 2 2 5 3 4 5 2" xfId="31796" xr:uid="{00000000-0005-0000-0000-0000CA3D0000}"/>
    <cellStyle name="Remarque 2 2 5 3 4 5 2 2" xfId="55756" xr:uid="{00000000-0005-0000-0000-0000CB3D0000}"/>
    <cellStyle name="Remarque 2 2 5 3 4 5 3" xfId="19043" xr:uid="{00000000-0005-0000-0000-0000CC3D0000}"/>
    <cellStyle name="Remarque 2 2 5 3 4 5 4" xfId="43003" xr:uid="{00000000-0005-0000-0000-0000CD3D0000}"/>
    <cellStyle name="Remarque 2 2 5 3 4 6" xfId="9167" xr:uid="{00000000-0005-0000-0000-0000CE3D0000}"/>
    <cellStyle name="Remarque 2 2 5 3 4 6 2" xfId="33181" xr:uid="{00000000-0005-0000-0000-0000CF3D0000}"/>
    <cellStyle name="Remarque 2 2 5 3 4 6 2 2" xfId="57141" xr:uid="{00000000-0005-0000-0000-0000D03D0000}"/>
    <cellStyle name="Remarque 2 2 5 3 4 6 3" xfId="20428" xr:uid="{00000000-0005-0000-0000-0000D13D0000}"/>
    <cellStyle name="Remarque 2 2 5 3 4 6 4" xfId="44388" xr:uid="{00000000-0005-0000-0000-0000D23D0000}"/>
    <cellStyle name="Remarque 2 2 5 3 4 7" xfId="10624" xr:uid="{00000000-0005-0000-0000-0000D33D0000}"/>
    <cellStyle name="Remarque 2 2 5 3 4 7 2" xfId="34634" xr:uid="{00000000-0005-0000-0000-0000D43D0000}"/>
    <cellStyle name="Remarque 2 2 5 3 4 7 2 2" xfId="58594" xr:uid="{00000000-0005-0000-0000-0000D53D0000}"/>
    <cellStyle name="Remarque 2 2 5 3 4 7 3" xfId="21891" xr:uid="{00000000-0005-0000-0000-0000D63D0000}"/>
    <cellStyle name="Remarque 2 2 5 3 4 7 4" xfId="45851" xr:uid="{00000000-0005-0000-0000-0000D73D0000}"/>
    <cellStyle name="Remarque 2 2 5 3 4 8" xfId="12614" xr:uid="{00000000-0005-0000-0000-0000D83D0000}"/>
    <cellStyle name="Remarque 2 2 5 3 4 8 2" xfId="23916" xr:uid="{00000000-0005-0000-0000-0000D93D0000}"/>
    <cellStyle name="Remarque 2 2 5 3 4 8 3" xfId="47876" xr:uid="{00000000-0005-0000-0000-0000DA3D0000}"/>
    <cellStyle name="Remarque 2 2 5 3 4 9" xfId="2096" xr:uid="{00000000-0005-0000-0000-0000DB3D0000}"/>
    <cellStyle name="Remarque 2 2 5 3 4 9 2" xfId="26110" xr:uid="{00000000-0005-0000-0000-0000DC3D0000}"/>
    <cellStyle name="Remarque 2 2 5 3 4 9 3" xfId="50070" xr:uid="{00000000-0005-0000-0000-0000DD3D0000}"/>
    <cellStyle name="Remarque 2 2 5 3 5" xfId="854" xr:uid="{00000000-0005-0000-0000-0000DE3D0000}"/>
    <cellStyle name="Remarque 2 2 5 3 5 10" xfId="24886" xr:uid="{00000000-0005-0000-0000-0000DF3D0000}"/>
    <cellStyle name="Remarque 2 2 5 3 5 10 2" xfId="48846" xr:uid="{00000000-0005-0000-0000-0000E03D0000}"/>
    <cellStyle name="Remarque 2 2 5 3 5 11" xfId="36692" xr:uid="{00000000-0005-0000-0000-0000E13D0000}"/>
    <cellStyle name="Remarque 2 2 5 3 5 11 2" xfId="60652" xr:uid="{00000000-0005-0000-0000-0000E23D0000}"/>
    <cellStyle name="Remarque 2 2 5 3 5 12" xfId="13551" xr:uid="{00000000-0005-0000-0000-0000E33D0000}"/>
    <cellStyle name="Remarque 2 2 5 3 5 13" xfId="37511" xr:uid="{00000000-0005-0000-0000-0000E43D0000}"/>
    <cellStyle name="Remarque 2 2 5 3 5 2" xfId="3760" xr:uid="{00000000-0005-0000-0000-0000E53D0000}"/>
    <cellStyle name="Remarque 2 2 5 3 5 2 2" xfId="27774" xr:uid="{00000000-0005-0000-0000-0000E63D0000}"/>
    <cellStyle name="Remarque 2 2 5 3 5 2 2 2" xfId="51734" xr:uid="{00000000-0005-0000-0000-0000E73D0000}"/>
    <cellStyle name="Remarque 2 2 5 3 5 2 3" xfId="15021" xr:uid="{00000000-0005-0000-0000-0000E83D0000}"/>
    <cellStyle name="Remarque 2 2 5 3 5 2 4" xfId="38981" xr:uid="{00000000-0005-0000-0000-0000E93D0000}"/>
    <cellStyle name="Remarque 2 2 5 3 5 3" xfId="5194" xr:uid="{00000000-0005-0000-0000-0000EA3D0000}"/>
    <cellStyle name="Remarque 2 2 5 3 5 3 2" xfId="29208" xr:uid="{00000000-0005-0000-0000-0000EB3D0000}"/>
    <cellStyle name="Remarque 2 2 5 3 5 3 2 2" xfId="53168" xr:uid="{00000000-0005-0000-0000-0000EC3D0000}"/>
    <cellStyle name="Remarque 2 2 5 3 5 3 3" xfId="16455" xr:uid="{00000000-0005-0000-0000-0000ED3D0000}"/>
    <cellStyle name="Remarque 2 2 5 3 5 3 4" xfId="40415" xr:uid="{00000000-0005-0000-0000-0000EE3D0000}"/>
    <cellStyle name="Remarque 2 2 5 3 5 4" xfId="6588" xr:uid="{00000000-0005-0000-0000-0000EF3D0000}"/>
    <cellStyle name="Remarque 2 2 5 3 5 4 2" xfId="30602" xr:uid="{00000000-0005-0000-0000-0000F03D0000}"/>
    <cellStyle name="Remarque 2 2 5 3 5 4 2 2" xfId="54562" xr:uid="{00000000-0005-0000-0000-0000F13D0000}"/>
    <cellStyle name="Remarque 2 2 5 3 5 4 3" xfId="17849" xr:uid="{00000000-0005-0000-0000-0000F23D0000}"/>
    <cellStyle name="Remarque 2 2 5 3 5 4 4" xfId="41809" xr:uid="{00000000-0005-0000-0000-0000F33D0000}"/>
    <cellStyle name="Remarque 2 2 5 3 5 5" xfId="7976" xr:uid="{00000000-0005-0000-0000-0000F43D0000}"/>
    <cellStyle name="Remarque 2 2 5 3 5 5 2" xfId="31990" xr:uid="{00000000-0005-0000-0000-0000F53D0000}"/>
    <cellStyle name="Remarque 2 2 5 3 5 5 2 2" xfId="55950" xr:uid="{00000000-0005-0000-0000-0000F63D0000}"/>
    <cellStyle name="Remarque 2 2 5 3 5 5 3" xfId="19237" xr:uid="{00000000-0005-0000-0000-0000F73D0000}"/>
    <cellStyle name="Remarque 2 2 5 3 5 5 4" xfId="43197" xr:uid="{00000000-0005-0000-0000-0000F83D0000}"/>
    <cellStyle name="Remarque 2 2 5 3 5 6" xfId="9361" xr:uid="{00000000-0005-0000-0000-0000F93D0000}"/>
    <cellStyle name="Remarque 2 2 5 3 5 6 2" xfId="33375" xr:uid="{00000000-0005-0000-0000-0000FA3D0000}"/>
    <cellStyle name="Remarque 2 2 5 3 5 6 2 2" xfId="57335" xr:uid="{00000000-0005-0000-0000-0000FB3D0000}"/>
    <cellStyle name="Remarque 2 2 5 3 5 6 3" xfId="20622" xr:uid="{00000000-0005-0000-0000-0000FC3D0000}"/>
    <cellStyle name="Remarque 2 2 5 3 5 6 4" xfId="44582" xr:uid="{00000000-0005-0000-0000-0000FD3D0000}"/>
    <cellStyle name="Remarque 2 2 5 3 5 7" xfId="10818" xr:uid="{00000000-0005-0000-0000-0000FE3D0000}"/>
    <cellStyle name="Remarque 2 2 5 3 5 7 2" xfId="34828" xr:uid="{00000000-0005-0000-0000-0000FF3D0000}"/>
    <cellStyle name="Remarque 2 2 5 3 5 7 2 2" xfId="58788" xr:uid="{00000000-0005-0000-0000-0000003E0000}"/>
    <cellStyle name="Remarque 2 2 5 3 5 7 3" xfId="22085" xr:uid="{00000000-0005-0000-0000-0000013E0000}"/>
    <cellStyle name="Remarque 2 2 5 3 5 7 4" xfId="46045" xr:uid="{00000000-0005-0000-0000-0000023E0000}"/>
    <cellStyle name="Remarque 2 2 5 3 5 8" xfId="12461" xr:uid="{00000000-0005-0000-0000-0000033E0000}"/>
    <cellStyle name="Remarque 2 2 5 3 5 8 2" xfId="23756" xr:uid="{00000000-0005-0000-0000-0000043E0000}"/>
    <cellStyle name="Remarque 2 2 5 3 5 8 3" xfId="47716" xr:uid="{00000000-0005-0000-0000-0000053E0000}"/>
    <cellStyle name="Remarque 2 2 5 3 5 9" xfId="2290" xr:uid="{00000000-0005-0000-0000-0000063E0000}"/>
    <cellStyle name="Remarque 2 2 5 3 5 9 2" xfId="26304" xr:uid="{00000000-0005-0000-0000-0000073E0000}"/>
    <cellStyle name="Remarque 2 2 5 3 5 9 3" xfId="50264" xr:uid="{00000000-0005-0000-0000-0000083E0000}"/>
    <cellStyle name="Remarque 2 2 5 3 6" xfId="1047" xr:uid="{00000000-0005-0000-0000-0000093E0000}"/>
    <cellStyle name="Remarque 2 2 5 3 6 10" xfId="25079" xr:uid="{00000000-0005-0000-0000-00000A3E0000}"/>
    <cellStyle name="Remarque 2 2 5 3 6 10 2" xfId="49039" xr:uid="{00000000-0005-0000-0000-00000B3E0000}"/>
    <cellStyle name="Remarque 2 2 5 3 6 11" xfId="36117" xr:uid="{00000000-0005-0000-0000-00000C3E0000}"/>
    <cellStyle name="Remarque 2 2 5 3 6 11 2" xfId="60077" xr:uid="{00000000-0005-0000-0000-00000D3E0000}"/>
    <cellStyle name="Remarque 2 2 5 3 6 12" xfId="13744" xr:uid="{00000000-0005-0000-0000-00000E3E0000}"/>
    <cellStyle name="Remarque 2 2 5 3 6 13" xfId="37704" xr:uid="{00000000-0005-0000-0000-00000F3E0000}"/>
    <cellStyle name="Remarque 2 2 5 3 6 2" xfId="3953" xr:uid="{00000000-0005-0000-0000-0000103E0000}"/>
    <cellStyle name="Remarque 2 2 5 3 6 2 2" xfId="27967" xr:uid="{00000000-0005-0000-0000-0000113E0000}"/>
    <cellStyle name="Remarque 2 2 5 3 6 2 2 2" xfId="51927" xr:uid="{00000000-0005-0000-0000-0000123E0000}"/>
    <cellStyle name="Remarque 2 2 5 3 6 2 3" xfId="15214" xr:uid="{00000000-0005-0000-0000-0000133E0000}"/>
    <cellStyle name="Remarque 2 2 5 3 6 2 4" xfId="39174" xr:uid="{00000000-0005-0000-0000-0000143E0000}"/>
    <cellStyle name="Remarque 2 2 5 3 6 3" xfId="5387" xr:uid="{00000000-0005-0000-0000-0000153E0000}"/>
    <cellStyle name="Remarque 2 2 5 3 6 3 2" xfId="29401" xr:uid="{00000000-0005-0000-0000-0000163E0000}"/>
    <cellStyle name="Remarque 2 2 5 3 6 3 2 2" xfId="53361" xr:uid="{00000000-0005-0000-0000-0000173E0000}"/>
    <cellStyle name="Remarque 2 2 5 3 6 3 3" xfId="16648" xr:uid="{00000000-0005-0000-0000-0000183E0000}"/>
    <cellStyle name="Remarque 2 2 5 3 6 3 4" xfId="40608" xr:uid="{00000000-0005-0000-0000-0000193E0000}"/>
    <cellStyle name="Remarque 2 2 5 3 6 4" xfId="6781" xr:uid="{00000000-0005-0000-0000-00001A3E0000}"/>
    <cellStyle name="Remarque 2 2 5 3 6 4 2" xfId="30795" xr:uid="{00000000-0005-0000-0000-00001B3E0000}"/>
    <cellStyle name="Remarque 2 2 5 3 6 4 2 2" xfId="54755" xr:uid="{00000000-0005-0000-0000-00001C3E0000}"/>
    <cellStyle name="Remarque 2 2 5 3 6 4 3" xfId="18042" xr:uid="{00000000-0005-0000-0000-00001D3E0000}"/>
    <cellStyle name="Remarque 2 2 5 3 6 4 4" xfId="42002" xr:uid="{00000000-0005-0000-0000-00001E3E0000}"/>
    <cellStyle name="Remarque 2 2 5 3 6 5" xfId="8169" xr:uid="{00000000-0005-0000-0000-00001F3E0000}"/>
    <cellStyle name="Remarque 2 2 5 3 6 5 2" xfId="32183" xr:uid="{00000000-0005-0000-0000-0000203E0000}"/>
    <cellStyle name="Remarque 2 2 5 3 6 5 2 2" xfId="56143" xr:uid="{00000000-0005-0000-0000-0000213E0000}"/>
    <cellStyle name="Remarque 2 2 5 3 6 5 3" xfId="19430" xr:uid="{00000000-0005-0000-0000-0000223E0000}"/>
    <cellStyle name="Remarque 2 2 5 3 6 5 4" xfId="43390" xr:uid="{00000000-0005-0000-0000-0000233E0000}"/>
    <cellStyle name="Remarque 2 2 5 3 6 6" xfId="9554" xr:uid="{00000000-0005-0000-0000-0000243E0000}"/>
    <cellStyle name="Remarque 2 2 5 3 6 6 2" xfId="33568" xr:uid="{00000000-0005-0000-0000-0000253E0000}"/>
    <cellStyle name="Remarque 2 2 5 3 6 6 2 2" xfId="57528" xr:uid="{00000000-0005-0000-0000-0000263E0000}"/>
    <cellStyle name="Remarque 2 2 5 3 6 6 3" xfId="20815" xr:uid="{00000000-0005-0000-0000-0000273E0000}"/>
    <cellStyle name="Remarque 2 2 5 3 6 6 4" xfId="44775" xr:uid="{00000000-0005-0000-0000-0000283E0000}"/>
    <cellStyle name="Remarque 2 2 5 3 6 7" xfId="11011" xr:uid="{00000000-0005-0000-0000-0000293E0000}"/>
    <cellStyle name="Remarque 2 2 5 3 6 7 2" xfId="35021" xr:uid="{00000000-0005-0000-0000-00002A3E0000}"/>
    <cellStyle name="Remarque 2 2 5 3 6 7 2 2" xfId="58981" xr:uid="{00000000-0005-0000-0000-00002B3E0000}"/>
    <cellStyle name="Remarque 2 2 5 3 6 7 3" xfId="22278" xr:uid="{00000000-0005-0000-0000-00002C3E0000}"/>
    <cellStyle name="Remarque 2 2 5 3 6 7 4" xfId="46238" xr:uid="{00000000-0005-0000-0000-00002D3E0000}"/>
    <cellStyle name="Remarque 2 2 5 3 6 8" xfId="11683" xr:uid="{00000000-0005-0000-0000-00002E3E0000}"/>
    <cellStyle name="Remarque 2 2 5 3 6 8 2" xfId="22952" xr:uid="{00000000-0005-0000-0000-00002F3E0000}"/>
    <cellStyle name="Remarque 2 2 5 3 6 8 3" xfId="46912" xr:uid="{00000000-0005-0000-0000-0000303E0000}"/>
    <cellStyle name="Remarque 2 2 5 3 6 9" xfId="2483" xr:uid="{00000000-0005-0000-0000-0000313E0000}"/>
    <cellStyle name="Remarque 2 2 5 3 6 9 2" xfId="26497" xr:uid="{00000000-0005-0000-0000-0000323E0000}"/>
    <cellStyle name="Remarque 2 2 5 3 6 9 3" xfId="50457" xr:uid="{00000000-0005-0000-0000-0000333E0000}"/>
    <cellStyle name="Remarque 2 2 5 3 7" xfId="1383" xr:uid="{00000000-0005-0000-0000-0000343E0000}"/>
    <cellStyle name="Remarque 2 2 5 3 7 10" xfId="25415" xr:uid="{00000000-0005-0000-0000-0000353E0000}"/>
    <cellStyle name="Remarque 2 2 5 3 7 10 2" xfId="49375" xr:uid="{00000000-0005-0000-0000-0000363E0000}"/>
    <cellStyle name="Remarque 2 2 5 3 7 11" xfId="36270" xr:uid="{00000000-0005-0000-0000-0000373E0000}"/>
    <cellStyle name="Remarque 2 2 5 3 7 11 2" xfId="60230" xr:uid="{00000000-0005-0000-0000-0000383E0000}"/>
    <cellStyle name="Remarque 2 2 5 3 7 12" xfId="14080" xr:uid="{00000000-0005-0000-0000-0000393E0000}"/>
    <cellStyle name="Remarque 2 2 5 3 7 13" xfId="38040" xr:uid="{00000000-0005-0000-0000-00003A3E0000}"/>
    <cellStyle name="Remarque 2 2 5 3 7 2" xfId="4289" xr:uid="{00000000-0005-0000-0000-00003B3E0000}"/>
    <cellStyle name="Remarque 2 2 5 3 7 2 2" xfId="28303" xr:uid="{00000000-0005-0000-0000-00003C3E0000}"/>
    <cellStyle name="Remarque 2 2 5 3 7 2 2 2" xfId="52263" xr:uid="{00000000-0005-0000-0000-00003D3E0000}"/>
    <cellStyle name="Remarque 2 2 5 3 7 2 3" xfId="15550" xr:uid="{00000000-0005-0000-0000-00003E3E0000}"/>
    <cellStyle name="Remarque 2 2 5 3 7 2 4" xfId="39510" xr:uid="{00000000-0005-0000-0000-00003F3E0000}"/>
    <cellStyle name="Remarque 2 2 5 3 7 3" xfId="5723" xr:uid="{00000000-0005-0000-0000-0000403E0000}"/>
    <cellStyle name="Remarque 2 2 5 3 7 3 2" xfId="29737" xr:uid="{00000000-0005-0000-0000-0000413E0000}"/>
    <cellStyle name="Remarque 2 2 5 3 7 3 2 2" xfId="53697" xr:uid="{00000000-0005-0000-0000-0000423E0000}"/>
    <cellStyle name="Remarque 2 2 5 3 7 3 3" xfId="16984" xr:uid="{00000000-0005-0000-0000-0000433E0000}"/>
    <cellStyle name="Remarque 2 2 5 3 7 3 4" xfId="40944" xr:uid="{00000000-0005-0000-0000-0000443E0000}"/>
    <cellStyle name="Remarque 2 2 5 3 7 4" xfId="7117" xr:uid="{00000000-0005-0000-0000-0000453E0000}"/>
    <cellStyle name="Remarque 2 2 5 3 7 4 2" xfId="31131" xr:uid="{00000000-0005-0000-0000-0000463E0000}"/>
    <cellStyle name="Remarque 2 2 5 3 7 4 2 2" xfId="55091" xr:uid="{00000000-0005-0000-0000-0000473E0000}"/>
    <cellStyle name="Remarque 2 2 5 3 7 4 3" xfId="18378" xr:uid="{00000000-0005-0000-0000-0000483E0000}"/>
    <cellStyle name="Remarque 2 2 5 3 7 4 4" xfId="42338" xr:uid="{00000000-0005-0000-0000-0000493E0000}"/>
    <cellStyle name="Remarque 2 2 5 3 7 5" xfId="8505" xr:uid="{00000000-0005-0000-0000-00004A3E0000}"/>
    <cellStyle name="Remarque 2 2 5 3 7 5 2" xfId="32519" xr:uid="{00000000-0005-0000-0000-00004B3E0000}"/>
    <cellStyle name="Remarque 2 2 5 3 7 5 2 2" xfId="56479" xr:uid="{00000000-0005-0000-0000-00004C3E0000}"/>
    <cellStyle name="Remarque 2 2 5 3 7 5 3" xfId="19766" xr:uid="{00000000-0005-0000-0000-00004D3E0000}"/>
    <cellStyle name="Remarque 2 2 5 3 7 5 4" xfId="43726" xr:uid="{00000000-0005-0000-0000-00004E3E0000}"/>
    <cellStyle name="Remarque 2 2 5 3 7 6" xfId="9890" xr:uid="{00000000-0005-0000-0000-00004F3E0000}"/>
    <cellStyle name="Remarque 2 2 5 3 7 6 2" xfId="33904" xr:uid="{00000000-0005-0000-0000-0000503E0000}"/>
    <cellStyle name="Remarque 2 2 5 3 7 6 2 2" xfId="57864" xr:uid="{00000000-0005-0000-0000-0000513E0000}"/>
    <cellStyle name="Remarque 2 2 5 3 7 6 3" xfId="21151" xr:uid="{00000000-0005-0000-0000-0000523E0000}"/>
    <cellStyle name="Remarque 2 2 5 3 7 6 4" xfId="45111" xr:uid="{00000000-0005-0000-0000-0000533E0000}"/>
    <cellStyle name="Remarque 2 2 5 3 7 7" xfId="11347" xr:uid="{00000000-0005-0000-0000-0000543E0000}"/>
    <cellStyle name="Remarque 2 2 5 3 7 7 2" xfId="35357" xr:uid="{00000000-0005-0000-0000-0000553E0000}"/>
    <cellStyle name="Remarque 2 2 5 3 7 7 2 2" xfId="59317" xr:uid="{00000000-0005-0000-0000-0000563E0000}"/>
    <cellStyle name="Remarque 2 2 5 3 7 7 3" xfId="22614" xr:uid="{00000000-0005-0000-0000-0000573E0000}"/>
    <cellStyle name="Remarque 2 2 5 3 7 7 4" xfId="46574" xr:uid="{00000000-0005-0000-0000-0000583E0000}"/>
    <cellStyle name="Remarque 2 2 5 3 7 8" xfId="11740" xr:uid="{00000000-0005-0000-0000-0000593E0000}"/>
    <cellStyle name="Remarque 2 2 5 3 7 8 2" xfId="23011" xr:uid="{00000000-0005-0000-0000-00005A3E0000}"/>
    <cellStyle name="Remarque 2 2 5 3 7 8 3" xfId="46971" xr:uid="{00000000-0005-0000-0000-00005B3E0000}"/>
    <cellStyle name="Remarque 2 2 5 3 7 9" xfId="2819" xr:uid="{00000000-0005-0000-0000-00005C3E0000}"/>
    <cellStyle name="Remarque 2 2 5 3 7 9 2" xfId="26833" xr:uid="{00000000-0005-0000-0000-00005D3E0000}"/>
    <cellStyle name="Remarque 2 2 5 3 7 9 3" xfId="50793" xr:uid="{00000000-0005-0000-0000-00005E3E0000}"/>
    <cellStyle name="Remarque 2 2 5 3 8" xfId="3139" xr:uid="{00000000-0005-0000-0000-00005F3E0000}"/>
    <cellStyle name="Remarque 2 2 5 3 8 2" xfId="27153" xr:uid="{00000000-0005-0000-0000-0000603E0000}"/>
    <cellStyle name="Remarque 2 2 5 3 8 2 2" xfId="51113" xr:uid="{00000000-0005-0000-0000-0000613E0000}"/>
    <cellStyle name="Remarque 2 2 5 3 8 3" xfId="14400" xr:uid="{00000000-0005-0000-0000-0000623E0000}"/>
    <cellStyle name="Remarque 2 2 5 3 8 4" xfId="38360" xr:uid="{00000000-0005-0000-0000-0000633E0000}"/>
    <cellStyle name="Remarque 2 2 5 3 9" xfId="1669" xr:uid="{00000000-0005-0000-0000-0000643E0000}"/>
    <cellStyle name="Remarque 2 2 5 3 9 2" xfId="25683" xr:uid="{00000000-0005-0000-0000-0000653E0000}"/>
    <cellStyle name="Remarque 2 2 5 3 9 3" xfId="49643" xr:uid="{00000000-0005-0000-0000-0000663E0000}"/>
    <cellStyle name="Remarque 2 2 5 4" xfId="129" xr:uid="{00000000-0005-0000-0000-0000673E0000}"/>
    <cellStyle name="Remarque 2 2 5 4 10" xfId="6125" xr:uid="{00000000-0005-0000-0000-0000683E0000}"/>
    <cellStyle name="Remarque 2 2 5 4 10 2" xfId="30139" xr:uid="{00000000-0005-0000-0000-0000693E0000}"/>
    <cellStyle name="Remarque 2 2 5 4 10 2 2" xfId="54099" xr:uid="{00000000-0005-0000-0000-00006A3E0000}"/>
    <cellStyle name="Remarque 2 2 5 4 10 3" xfId="17386" xr:uid="{00000000-0005-0000-0000-00006B3E0000}"/>
    <cellStyle name="Remarque 2 2 5 4 10 4" xfId="41346" xr:uid="{00000000-0005-0000-0000-00006C3E0000}"/>
    <cellStyle name="Remarque 2 2 5 4 11" xfId="7513" xr:uid="{00000000-0005-0000-0000-00006D3E0000}"/>
    <cellStyle name="Remarque 2 2 5 4 11 2" xfId="31527" xr:uid="{00000000-0005-0000-0000-00006E3E0000}"/>
    <cellStyle name="Remarque 2 2 5 4 11 2 2" xfId="55487" xr:uid="{00000000-0005-0000-0000-00006F3E0000}"/>
    <cellStyle name="Remarque 2 2 5 4 11 3" xfId="18774" xr:uid="{00000000-0005-0000-0000-0000703E0000}"/>
    <cellStyle name="Remarque 2 2 5 4 11 4" xfId="42734" xr:uid="{00000000-0005-0000-0000-0000713E0000}"/>
    <cellStyle name="Remarque 2 2 5 4 12" xfId="8898" xr:uid="{00000000-0005-0000-0000-0000723E0000}"/>
    <cellStyle name="Remarque 2 2 5 4 12 2" xfId="32912" xr:uid="{00000000-0005-0000-0000-0000733E0000}"/>
    <cellStyle name="Remarque 2 2 5 4 12 2 2" xfId="56872" xr:uid="{00000000-0005-0000-0000-0000743E0000}"/>
    <cellStyle name="Remarque 2 2 5 4 12 3" xfId="20159" xr:uid="{00000000-0005-0000-0000-0000753E0000}"/>
    <cellStyle name="Remarque 2 2 5 4 12 4" xfId="44119" xr:uid="{00000000-0005-0000-0000-0000763E0000}"/>
    <cellStyle name="Remarque 2 2 5 4 13" xfId="10355" xr:uid="{00000000-0005-0000-0000-0000773E0000}"/>
    <cellStyle name="Remarque 2 2 5 4 13 2" xfId="34365" xr:uid="{00000000-0005-0000-0000-0000783E0000}"/>
    <cellStyle name="Remarque 2 2 5 4 13 2 2" xfId="58325" xr:uid="{00000000-0005-0000-0000-0000793E0000}"/>
    <cellStyle name="Remarque 2 2 5 4 13 3" xfId="21622" xr:uid="{00000000-0005-0000-0000-00007A3E0000}"/>
    <cellStyle name="Remarque 2 2 5 4 13 4" xfId="45582" xr:uid="{00000000-0005-0000-0000-00007B3E0000}"/>
    <cellStyle name="Remarque 2 2 5 4 14" xfId="11828" xr:uid="{00000000-0005-0000-0000-00007C3E0000}"/>
    <cellStyle name="Remarque 2 2 5 4 14 2" xfId="23102" xr:uid="{00000000-0005-0000-0000-00007D3E0000}"/>
    <cellStyle name="Remarque 2 2 5 4 14 3" xfId="47062" xr:uid="{00000000-0005-0000-0000-00007E3E0000}"/>
    <cellStyle name="Remarque 2 2 5 4 15" xfId="1827" xr:uid="{00000000-0005-0000-0000-00007F3E0000}"/>
    <cellStyle name="Remarque 2 2 5 4 15 2" xfId="25841" xr:uid="{00000000-0005-0000-0000-0000803E0000}"/>
    <cellStyle name="Remarque 2 2 5 4 15 3" xfId="49801" xr:uid="{00000000-0005-0000-0000-0000813E0000}"/>
    <cellStyle name="Remarque 2 2 5 4 16" xfId="24423" xr:uid="{00000000-0005-0000-0000-0000823E0000}"/>
    <cellStyle name="Remarque 2 2 5 4 16 2" xfId="48383" xr:uid="{00000000-0005-0000-0000-0000833E0000}"/>
    <cellStyle name="Remarque 2 2 5 4 17" xfId="36677" xr:uid="{00000000-0005-0000-0000-0000843E0000}"/>
    <cellStyle name="Remarque 2 2 5 4 17 2" xfId="60637" xr:uid="{00000000-0005-0000-0000-0000853E0000}"/>
    <cellStyle name="Remarque 2 2 5 4 18" xfId="13088" xr:uid="{00000000-0005-0000-0000-0000863E0000}"/>
    <cellStyle name="Remarque 2 2 5 4 19" xfId="37048" xr:uid="{00000000-0005-0000-0000-0000873E0000}"/>
    <cellStyle name="Remarque 2 2 5 4 2" xfId="527" xr:uid="{00000000-0005-0000-0000-0000883E0000}"/>
    <cellStyle name="Remarque 2 2 5 4 2 10" xfId="24559" xr:uid="{00000000-0005-0000-0000-0000893E0000}"/>
    <cellStyle name="Remarque 2 2 5 4 2 10 2" xfId="48519" xr:uid="{00000000-0005-0000-0000-00008A3E0000}"/>
    <cellStyle name="Remarque 2 2 5 4 2 11" xfId="36686" xr:uid="{00000000-0005-0000-0000-00008B3E0000}"/>
    <cellStyle name="Remarque 2 2 5 4 2 11 2" xfId="60646" xr:uid="{00000000-0005-0000-0000-00008C3E0000}"/>
    <cellStyle name="Remarque 2 2 5 4 2 12" xfId="13224" xr:uid="{00000000-0005-0000-0000-00008D3E0000}"/>
    <cellStyle name="Remarque 2 2 5 4 2 13" xfId="37184" xr:uid="{00000000-0005-0000-0000-00008E3E0000}"/>
    <cellStyle name="Remarque 2 2 5 4 2 2" xfId="3433" xr:uid="{00000000-0005-0000-0000-00008F3E0000}"/>
    <cellStyle name="Remarque 2 2 5 4 2 2 2" xfId="27447" xr:uid="{00000000-0005-0000-0000-0000903E0000}"/>
    <cellStyle name="Remarque 2 2 5 4 2 2 2 2" xfId="51407" xr:uid="{00000000-0005-0000-0000-0000913E0000}"/>
    <cellStyle name="Remarque 2 2 5 4 2 2 3" xfId="14694" xr:uid="{00000000-0005-0000-0000-0000923E0000}"/>
    <cellStyle name="Remarque 2 2 5 4 2 2 4" xfId="38654" xr:uid="{00000000-0005-0000-0000-0000933E0000}"/>
    <cellStyle name="Remarque 2 2 5 4 2 3" xfId="4867" xr:uid="{00000000-0005-0000-0000-0000943E0000}"/>
    <cellStyle name="Remarque 2 2 5 4 2 3 2" xfId="28881" xr:uid="{00000000-0005-0000-0000-0000953E0000}"/>
    <cellStyle name="Remarque 2 2 5 4 2 3 2 2" xfId="52841" xr:uid="{00000000-0005-0000-0000-0000963E0000}"/>
    <cellStyle name="Remarque 2 2 5 4 2 3 3" xfId="16128" xr:uid="{00000000-0005-0000-0000-0000973E0000}"/>
    <cellStyle name="Remarque 2 2 5 4 2 3 4" xfId="40088" xr:uid="{00000000-0005-0000-0000-0000983E0000}"/>
    <cellStyle name="Remarque 2 2 5 4 2 4" xfId="6261" xr:uid="{00000000-0005-0000-0000-0000993E0000}"/>
    <cellStyle name="Remarque 2 2 5 4 2 4 2" xfId="30275" xr:uid="{00000000-0005-0000-0000-00009A3E0000}"/>
    <cellStyle name="Remarque 2 2 5 4 2 4 2 2" xfId="54235" xr:uid="{00000000-0005-0000-0000-00009B3E0000}"/>
    <cellStyle name="Remarque 2 2 5 4 2 4 3" xfId="17522" xr:uid="{00000000-0005-0000-0000-00009C3E0000}"/>
    <cellStyle name="Remarque 2 2 5 4 2 4 4" xfId="41482" xr:uid="{00000000-0005-0000-0000-00009D3E0000}"/>
    <cellStyle name="Remarque 2 2 5 4 2 5" xfId="7649" xr:uid="{00000000-0005-0000-0000-00009E3E0000}"/>
    <cellStyle name="Remarque 2 2 5 4 2 5 2" xfId="31663" xr:uid="{00000000-0005-0000-0000-00009F3E0000}"/>
    <cellStyle name="Remarque 2 2 5 4 2 5 2 2" xfId="55623" xr:uid="{00000000-0005-0000-0000-0000A03E0000}"/>
    <cellStyle name="Remarque 2 2 5 4 2 5 3" xfId="18910" xr:uid="{00000000-0005-0000-0000-0000A13E0000}"/>
    <cellStyle name="Remarque 2 2 5 4 2 5 4" xfId="42870" xr:uid="{00000000-0005-0000-0000-0000A23E0000}"/>
    <cellStyle name="Remarque 2 2 5 4 2 6" xfId="9034" xr:uid="{00000000-0005-0000-0000-0000A33E0000}"/>
    <cellStyle name="Remarque 2 2 5 4 2 6 2" xfId="33048" xr:uid="{00000000-0005-0000-0000-0000A43E0000}"/>
    <cellStyle name="Remarque 2 2 5 4 2 6 2 2" xfId="57008" xr:uid="{00000000-0005-0000-0000-0000A53E0000}"/>
    <cellStyle name="Remarque 2 2 5 4 2 6 3" xfId="20295" xr:uid="{00000000-0005-0000-0000-0000A63E0000}"/>
    <cellStyle name="Remarque 2 2 5 4 2 6 4" xfId="44255" xr:uid="{00000000-0005-0000-0000-0000A73E0000}"/>
    <cellStyle name="Remarque 2 2 5 4 2 7" xfId="10491" xr:uid="{00000000-0005-0000-0000-0000A83E0000}"/>
    <cellStyle name="Remarque 2 2 5 4 2 7 2" xfId="34501" xr:uid="{00000000-0005-0000-0000-0000A93E0000}"/>
    <cellStyle name="Remarque 2 2 5 4 2 7 2 2" xfId="58461" xr:uid="{00000000-0005-0000-0000-0000AA3E0000}"/>
    <cellStyle name="Remarque 2 2 5 4 2 7 3" xfId="21758" xr:uid="{00000000-0005-0000-0000-0000AB3E0000}"/>
    <cellStyle name="Remarque 2 2 5 4 2 7 4" xfId="45718" xr:uid="{00000000-0005-0000-0000-0000AC3E0000}"/>
    <cellStyle name="Remarque 2 2 5 4 2 8" xfId="12328" xr:uid="{00000000-0005-0000-0000-0000AD3E0000}"/>
    <cellStyle name="Remarque 2 2 5 4 2 8 2" xfId="23616" xr:uid="{00000000-0005-0000-0000-0000AE3E0000}"/>
    <cellStyle name="Remarque 2 2 5 4 2 8 3" xfId="47576" xr:uid="{00000000-0005-0000-0000-0000AF3E0000}"/>
    <cellStyle name="Remarque 2 2 5 4 2 9" xfId="1963" xr:uid="{00000000-0005-0000-0000-0000B03E0000}"/>
    <cellStyle name="Remarque 2 2 5 4 2 9 2" xfId="25977" xr:uid="{00000000-0005-0000-0000-0000B13E0000}"/>
    <cellStyle name="Remarque 2 2 5 4 2 9 3" xfId="49937" xr:uid="{00000000-0005-0000-0000-0000B23E0000}"/>
    <cellStyle name="Remarque 2 2 5 4 20" xfId="391" xr:uid="{00000000-0005-0000-0000-0000B33E0000}"/>
    <cellStyle name="Remarque 2 2 5 4 3" xfId="719" xr:uid="{00000000-0005-0000-0000-0000B43E0000}"/>
    <cellStyle name="Remarque 2 2 5 4 3 10" xfId="24751" xr:uid="{00000000-0005-0000-0000-0000B53E0000}"/>
    <cellStyle name="Remarque 2 2 5 4 3 10 2" xfId="48711" xr:uid="{00000000-0005-0000-0000-0000B63E0000}"/>
    <cellStyle name="Remarque 2 2 5 4 3 11" xfId="35696" xr:uid="{00000000-0005-0000-0000-0000B73E0000}"/>
    <cellStyle name="Remarque 2 2 5 4 3 11 2" xfId="59656" xr:uid="{00000000-0005-0000-0000-0000B83E0000}"/>
    <cellStyle name="Remarque 2 2 5 4 3 12" xfId="13416" xr:uid="{00000000-0005-0000-0000-0000B93E0000}"/>
    <cellStyle name="Remarque 2 2 5 4 3 13" xfId="37376" xr:uid="{00000000-0005-0000-0000-0000BA3E0000}"/>
    <cellStyle name="Remarque 2 2 5 4 3 2" xfId="3625" xr:uid="{00000000-0005-0000-0000-0000BB3E0000}"/>
    <cellStyle name="Remarque 2 2 5 4 3 2 2" xfId="27639" xr:uid="{00000000-0005-0000-0000-0000BC3E0000}"/>
    <cellStyle name="Remarque 2 2 5 4 3 2 2 2" xfId="51599" xr:uid="{00000000-0005-0000-0000-0000BD3E0000}"/>
    <cellStyle name="Remarque 2 2 5 4 3 2 3" xfId="14886" xr:uid="{00000000-0005-0000-0000-0000BE3E0000}"/>
    <cellStyle name="Remarque 2 2 5 4 3 2 4" xfId="38846" xr:uid="{00000000-0005-0000-0000-0000BF3E0000}"/>
    <cellStyle name="Remarque 2 2 5 4 3 3" xfId="5059" xr:uid="{00000000-0005-0000-0000-0000C03E0000}"/>
    <cellStyle name="Remarque 2 2 5 4 3 3 2" xfId="29073" xr:uid="{00000000-0005-0000-0000-0000C13E0000}"/>
    <cellStyle name="Remarque 2 2 5 4 3 3 2 2" xfId="53033" xr:uid="{00000000-0005-0000-0000-0000C23E0000}"/>
    <cellStyle name="Remarque 2 2 5 4 3 3 3" xfId="16320" xr:uid="{00000000-0005-0000-0000-0000C33E0000}"/>
    <cellStyle name="Remarque 2 2 5 4 3 3 4" xfId="40280" xr:uid="{00000000-0005-0000-0000-0000C43E0000}"/>
    <cellStyle name="Remarque 2 2 5 4 3 4" xfId="6453" xr:uid="{00000000-0005-0000-0000-0000C53E0000}"/>
    <cellStyle name="Remarque 2 2 5 4 3 4 2" xfId="30467" xr:uid="{00000000-0005-0000-0000-0000C63E0000}"/>
    <cellStyle name="Remarque 2 2 5 4 3 4 2 2" xfId="54427" xr:uid="{00000000-0005-0000-0000-0000C73E0000}"/>
    <cellStyle name="Remarque 2 2 5 4 3 4 3" xfId="17714" xr:uid="{00000000-0005-0000-0000-0000C83E0000}"/>
    <cellStyle name="Remarque 2 2 5 4 3 4 4" xfId="41674" xr:uid="{00000000-0005-0000-0000-0000C93E0000}"/>
    <cellStyle name="Remarque 2 2 5 4 3 5" xfId="7841" xr:uid="{00000000-0005-0000-0000-0000CA3E0000}"/>
    <cellStyle name="Remarque 2 2 5 4 3 5 2" xfId="31855" xr:uid="{00000000-0005-0000-0000-0000CB3E0000}"/>
    <cellStyle name="Remarque 2 2 5 4 3 5 2 2" xfId="55815" xr:uid="{00000000-0005-0000-0000-0000CC3E0000}"/>
    <cellStyle name="Remarque 2 2 5 4 3 5 3" xfId="19102" xr:uid="{00000000-0005-0000-0000-0000CD3E0000}"/>
    <cellStyle name="Remarque 2 2 5 4 3 5 4" xfId="43062" xr:uid="{00000000-0005-0000-0000-0000CE3E0000}"/>
    <cellStyle name="Remarque 2 2 5 4 3 6" xfId="9226" xr:uid="{00000000-0005-0000-0000-0000CF3E0000}"/>
    <cellStyle name="Remarque 2 2 5 4 3 6 2" xfId="33240" xr:uid="{00000000-0005-0000-0000-0000D03E0000}"/>
    <cellStyle name="Remarque 2 2 5 4 3 6 2 2" xfId="57200" xr:uid="{00000000-0005-0000-0000-0000D13E0000}"/>
    <cellStyle name="Remarque 2 2 5 4 3 6 3" xfId="20487" xr:uid="{00000000-0005-0000-0000-0000D23E0000}"/>
    <cellStyle name="Remarque 2 2 5 4 3 6 4" xfId="44447" xr:uid="{00000000-0005-0000-0000-0000D33E0000}"/>
    <cellStyle name="Remarque 2 2 5 4 3 7" xfId="10683" xr:uid="{00000000-0005-0000-0000-0000D43E0000}"/>
    <cellStyle name="Remarque 2 2 5 4 3 7 2" xfId="34693" xr:uid="{00000000-0005-0000-0000-0000D53E0000}"/>
    <cellStyle name="Remarque 2 2 5 4 3 7 2 2" xfId="58653" xr:uid="{00000000-0005-0000-0000-0000D63E0000}"/>
    <cellStyle name="Remarque 2 2 5 4 3 7 3" xfId="21950" xr:uid="{00000000-0005-0000-0000-0000D73E0000}"/>
    <cellStyle name="Remarque 2 2 5 4 3 7 4" xfId="45910" xr:uid="{00000000-0005-0000-0000-0000D83E0000}"/>
    <cellStyle name="Remarque 2 2 5 4 3 8" xfId="11597" xr:uid="{00000000-0005-0000-0000-0000D93E0000}"/>
    <cellStyle name="Remarque 2 2 5 4 3 8 2" xfId="22864" xr:uid="{00000000-0005-0000-0000-0000DA3E0000}"/>
    <cellStyle name="Remarque 2 2 5 4 3 8 3" xfId="46824" xr:uid="{00000000-0005-0000-0000-0000DB3E0000}"/>
    <cellStyle name="Remarque 2 2 5 4 3 9" xfId="2155" xr:uid="{00000000-0005-0000-0000-0000DC3E0000}"/>
    <cellStyle name="Remarque 2 2 5 4 3 9 2" xfId="26169" xr:uid="{00000000-0005-0000-0000-0000DD3E0000}"/>
    <cellStyle name="Remarque 2 2 5 4 3 9 3" xfId="50129" xr:uid="{00000000-0005-0000-0000-0000DE3E0000}"/>
    <cellStyle name="Remarque 2 2 5 4 4" xfId="913" xr:uid="{00000000-0005-0000-0000-0000DF3E0000}"/>
    <cellStyle name="Remarque 2 2 5 4 4 10" xfId="24945" xr:uid="{00000000-0005-0000-0000-0000E03E0000}"/>
    <cellStyle name="Remarque 2 2 5 4 4 10 2" xfId="48905" xr:uid="{00000000-0005-0000-0000-0000E13E0000}"/>
    <cellStyle name="Remarque 2 2 5 4 4 11" xfId="36788" xr:uid="{00000000-0005-0000-0000-0000E23E0000}"/>
    <cellStyle name="Remarque 2 2 5 4 4 11 2" xfId="60748" xr:uid="{00000000-0005-0000-0000-0000E33E0000}"/>
    <cellStyle name="Remarque 2 2 5 4 4 12" xfId="13610" xr:uid="{00000000-0005-0000-0000-0000E43E0000}"/>
    <cellStyle name="Remarque 2 2 5 4 4 13" xfId="37570" xr:uid="{00000000-0005-0000-0000-0000E53E0000}"/>
    <cellStyle name="Remarque 2 2 5 4 4 2" xfId="3819" xr:uid="{00000000-0005-0000-0000-0000E63E0000}"/>
    <cellStyle name="Remarque 2 2 5 4 4 2 2" xfId="27833" xr:uid="{00000000-0005-0000-0000-0000E73E0000}"/>
    <cellStyle name="Remarque 2 2 5 4 4 2 2 2" xfId="51793" xr:uid="{00000000-0005-0000-0000-0000E83E0000}"/>
    <cellStyle name="Remarque 2 2 5 4 4 2 3" xfId="15080" xr:uid="{00000000-0005-0000-0000-0000E93E0000}"/>
    <cellStyle name="Remarque 2 2 5 4 4 2 4" xfId="39040" xr:uid="{00000000-0005-0000-0000-0000EA3E0000}"/>
    <cellStyle name="Remarque 2 2 5 4 4 3" xfId="5253" xr:uid="{00000000-0005-0000-0000-0000EB3E0000}"/>
    <cellStyle name="Remarque 2 2 5 4 4 3 2" xfId="29267" xr:uid="{00000000-0005-0000-0000-0000EC3E0000}"/>
    <cellStyle name="Remarque 2 2 5 4 4 3 2 2" xfId="53227" xr:uid="{00000000-0005-0000-0000-0000ED3E0000}"/>
    <cellStyle name="Remarque 2 2 5 4 4 3 3" xfId="16514" xr:uid="{00000000-0005-0000-0000-0000EE3E0000}"/>
    <cellStyle name="Remarque 2 2 5 4 4 3 4" xfId="40474" xr:uid="{00000000-0005-0000-0000-0000EF3E0000}"/>
    <cellStyle name="Remarque 2 2 5 4 4 4" xfId="6647" xr:uid="{00000000-0005-0000-0000-0000F03E0000}"/>
    <cellStyle name="Remarque 2 2 5 4 4 4 2" xfId="30661" xr:uid="{00000000-0005-0000-0000-0000F13E0000}"/>
    <cellStyle name="Remarque 2 2 5 4 4 4 2 2" xfId="54621" xr:uid="{00000000-0005-0000-0000-0000F23E0000}"/>
    <cellStyle name="Remarque 2 2 5 4 4 4 3" xfId="17908" xr:uid="{00000000-0005-0000-0000-0000F33E0000}"/>
    <cellStyle name="Remarque 2 2 5 4 4 4 4" xfId="41868" xr:uid="{00000000-0005-0000-0000-0000F43E0000}"/>
    <cellStyle name="Remarque 2 2 5 4 4 5" xfId="8035" xr:uid="{00000000-0005-0000-0000-0000F53E0000}"/>
    <cellStyle name="Remarque 2 2 5 4 4 5 2" xfId="32049" xr:uid="{00000000-0005-0000-0000-0000F63E0000}"/>
    <cellStyle name="Remarque 2 2 5 4 4 5 2 2" xfId="56009" xr:uid="{00000000-0005-0000-0000-0000F73E0000}"/>
    <cellStyle name="Remarque 2 2 5 4 4 5 3" xfId="19296" xr:uid="{00000000-0005-0000-0000-0000F83E0000}"/>
    <cellStyle name="Remarque 2 2 5 4 4 5 4" xfId="43256" xr:uid="{00000000-0005-0000-0000-0000F93E0000}"/>
    <cellStyle name="Remarque 2 2 5 4 4 6" xfId="9420" xr:uid="{00000000-0005-0000-0000-0000FA3E0000}"/>
    <cellStyle name="Remarque 2 2 5 4 4 6 2" xfId="33434" xr:uid="{00000000-0005-0000-0000-0000FB3E0000}"/>
    <cellStyle name="Remarque 2 2 5 4 4 6 2 2" xfId="57394" xr:uid="{00000000-0005-0000-0000-0000FC3E0000}"/>
    <cellStyle name="Remarque 2 2 5 4 4 6 3" xfId="20681" xr:uid="{00000000-0005-0000-0000-0000FD3E0000}"/>
    <cellStyle name="Remarque 2 2 5 4 4 6 4" xfId="44641" xr:uid="{00000000-0005-0000-0000-0000FE3E0000}"/>
    <cellStyle name="Remarque 2 2 5 4 4 7" xfId="10877" xr:uid="{00000000-0005-0000-0000-0000FF3E0000}"/>
    <cellStyle name="Remarque 2 2 5 4 4 7 2" xfId="34887" xr:uid="{00000000-0005-0000-0000-0000003F0000}"/>
    <cellStyle name="Remarque 2 2 5 4 4 7 2 2" xfId="58847" xr:uid="{00000000-0005-0000-0000-0000013F0000}"/>
    <cellStyle name="Remarque 2 2 5 4 4 7 3" xfId="22144" xr:uid="{00000000-0005-0000-0000-0000023F0000}"/>
    <cellStyle name="Remarque 2 2 5 4 4 7 4" xfId="46104" xr:uid="{00000000-0005-0000-0000-0000033F0000}"/>
    <cellStyle name="Remarque 2 2 5 4 4 8" xfId="11892" xr:uid="{00000000-0005-0000-0000-0000043F0000}"/>
    <cellStyle name="Remarque 2 2 5 4 4 8 2" xfId="23169" xr:uid="{00000000-0005-0000-0000-0000053F0000}"/>
    <cellStyle name="Remarque 2 2 5 4 4 8 3" xfId="47129" xr:uid="{00000000-0005-0000-0000-0000063F0000}"/>
    <cellStyle name="Remarque 2 2 5 4 4 9" xfId="2349" xr:uid="{00000000-0005-0000-0000-0000073F0000}"/>
    <cellStyle name="Remarque 2 2 5 4 4 9 2" xfId="26363" xr:uid="{00000000-0005-0000-0000-0000083F0000}"/>
    <cellStyle name="Remarque 2 2 5 4 4 9 3" xfId="50323" xr:uid="{00000000-0005-0000-0000-0000093F0000}"/>
    <cellStyle name="Remarque 2 2 5 4 5" xfId="1106" xr:uid="{00000000-0005-0000-0000-00000A3F0000}"/>
    <cellStyle name="Remarque 2 2 5 4 5 10" xfId="25138" xr:uid="{00000000-0005-0000-0000-00000B3F0000}"/>
    <cellStyle name="Remarque 2 2 5 4 5 10 2" xfId="49098" xr:uid="{00000000-0005-0000-0000-00000C3F0000}"/>
    <cellStyle name="Remarque 2 2 5 4 5 11" xfId="36758" xr:uid="{00000000-0005-0000-0000-00000D3F0000}"/>
    <cellStyle name="Remarque 2 2 5 4 5 11 2" xfId="60718" xr:uid="{00000000-0005-0000-0000-00000E3F0000}"/>
    <cellStyle name="Remarque 2 2 5 4 5 12" xfId="13803" xr:uid="{00000000-0005-0000-0000-00000F3F0000}"/>
    <cellStyle name="Remarque 2 2 5 4 5 13" xfId="37763" xr:uid="{00000000-0005-0000-0000-0000103F0000}"/>
    <cellStyle name="Remarque 2 2 5 4 5 2" xfId="4012" xr:uid="{00000000-0005-0000-0000-0000113F0000}"/>
    <cellStyle name="Remarque 2 2 5 4 5 2 2" xfId="28026" xr:uid="{00000000-0005-0000-0000-0000123F0000}"/>
    <cellStyle name="Remarque 2 2 5 4 5 2 2 2" xfId="51986" xr:uid="{00000000-0005-0000-0000-0000133F0000}"/>
    <cellStyle name="Remarque 2 2 5 4 5 2 3" xfId="15273" xr:uid="{00000000-0005-0000-0000-0000143F0000}"/>
    <cellStyle name="Remarque 2 2 5 4 5 2 4" xfId="39233" xr:uid="{00000000-0005-0000-0000-0000153F0000}"/>
    <cellStyle name="Remarque 2 2 5 4 5 3" xfId="5446" xr:uid="{00000000-0005-0000-0000-0000163F0000}"/>
    <cellStyle name="Remarque 2 2 5 4 5 3 2" xfId="29460" xr:uid="{00000000-0005-0000-0000-0000173F0000}"/>
    <cellStyle name="Remarque 2 2 5 4 5 3 2 2" xfId="53420" xr:uid="{00000000-0005-0000-0000-0000183F0000}"/>
    <cellStyle name="Remarque 2 2 5 4 5 3 3" xfId="16707" xr:uid="{00000000-0005-0000-0000-0000193F0000}"/>
    <cellStyle name="Remarque 2 2 5 4 5 3 4" xfId="40667" xr:uid="{00000000-0005-0000-0000-00001A3F0000}"/>
    <cellStyle name="Remarque 2 2 5 4 5 4" xfId="6840" xr:uid="{00000000-0005-0000-0000-00001B3F0000}"/>
    <cellStyle name="Remarque 2 2 5 4 5 4 2" xfId="30854" xr:uid="{00000000-0005-0000-0000-00001C3F0000}"/>
    <cellStyle name="Remarque 2 2 5 4 5 4 2 2" xfId="54814" xr:uid="{00000000-0005-0000-0000-00001D3F0000}"/>
    <cellStyle name="Remarque 2 2 5 4 5 4 3" xfId="18101" xr:uid="{00000000-0005-0000-0000-00001E3F0000}"/>
    <cellStyle name="Remarque 2 2 5 4 5 4 4" xfId="42061" xr:uid="{00000000-0005-0000-0000-00001F3F0000}"/>
    <cellStyle name="Remarque 2 2 5 4 5 5" xfId="8228" xr:uid="{00000000-0005-0000-0000-0000203F0000}"/>
    <cellStyle name="Remarque 2 2 5 4 5 5 2" xfId="32242" xr:uid="{00000000-0005-0000-0000-0000213F0000}"/>
    <cellStyle name="Remarque 2 2 5 4 5 5 2 2" xfId="56202" xr:uid="{00000000-0005-0000-0000-0000223F0000}"/>
    <cellStyle name="Remarque 2 2 5 4 5 5 3" xfId="19489" xr:uid="{00000000-0005-0000-0000-0000233F0000}"/>
    <cellStyle name="Remarque 2 2 5 4 5 5 4" xfId="43449" xr:uid="{00000000-0005-0000-0000-0000243F0000}"/>
    <cellStyle name="Remarque 2 2 5 4 5 6" xfId="9613" xr:uid="{00000000-0005-0000-0000-0000253F0000}"/>
    <cellStyle name="Remarque 2 2 5 4 5 6 2" xfId="33627" xr:uid="{00000000-0005-0000-0000-0000263F0000}"/>
    <cellStyle name="Remarque 2 2 5 4 5 6 2 2" xfId="57587" xr:uid="{00000000-0005-0000-0000-0000273F0000}"/>
    <cellStyle name="Remarque 2 2 5 4 5 6 3" xfId="20874" xr:uid="{00000000-0005-0000-0000-0000283F0000}"/>
    <cellStyle name="Remarque 2 2 5 4 5 6 4" xfId="44834" xr:uid="{00000000-0005-0000-0000-0000293F0000}"/>
    <cellStyle name="Remarque 2 2 5 4 5 7" xfId="11070" xr:uid="{00000000-0005-0000-0000-00002A3F0000}"/>
    <cellStyle name="Remarque 2 2 5 4 5 7 2" xfId="35080" xr:uid="{00000000-0005-0000-0000-00002B3F0000}"/>
    <cellStyle name="Remarque 2 2 5 4 5 7 2 2" xfId="59040" xr:uid="{00000000-0005-0000-0000-00002C3F0000}"/>
    <cellStyle name="Remarque 2 2 5 4 5 7 3" xfId="22337" xr:uid="{00000000-0005-0000-0000-00002D3F0000}"/>
    <cellStyle name="Remarque 2 2 5 4 5 7 4" xfId="46297" xr:uid="{00000000-0005-0000-0000-00002E3F0000}"/>
    <cellStyle name="Remarque 2 2 5 4 5 8" xfId="11923" xr:uid="{00000000-0005-0000-0000-00002F3F0000}"/>
    <cellStyle name="Remarque 2 2 5 4 5 8 2" xfId="23201" xr:uid="{00000000-0005-0000-0000-0000303F0000}"/>
    <cellStyle name="Remarque 2 2 5 4 5 8 3" xfId="47161" xr:uid="{00000000-0005-0000-0000-0000313F0000}"/>
    <cellStyle name="Remarque 2 2 5 4 5 9" xfId="2542" xr:uid="{00000000-0005-0000-0000-0000323F0000}"/>
    <cellStyle name="Remarque 2 2 5 4 5 9 2" xfId="26556" xr:uid="{00000000-0005-0000-0000-0000333F0000}"/>
    <cellStyle name="Remarque 2 2 5 4 5 9 3" xfId="50516" xr:uid="{00000000-0005-0000-0000-0000343F0000}"/>
    <cellStyle name="Remarque 2 2 5 4 6" xfId="1273" xr:uid="{00000000-0005-0000-0000-0000353F0000}"/>
    <cellStyle name="Remarque 2 2 5 4 6 10" xfId="25305" xr:uid="{00000000-0005-0000-0000-0000363F0000}"/>
    <cellStyle name="Remarque 2 2 5 4 6 10 2" xfId="49265" xr:uid="{00000000-0005-0000-0000-0000373F0000}"/>
    <cellStyle name="Remarque 2 2 5 4 6 11" xfId="36212" xr:uid="{00000000-0005-0000-0000-0000383F0000}"/>
    <cellStyle name="Remarque 2 2 5 4 6 11 2" xfId="60172" xr:uid="{00000000-0005-0000-0000-0000393F0000}"/>
    <cellStyle name="Remarque 2 2 5 4 6 12" xfId="13970" xr:uid="{00000000-0005-0000-0000-00003A3F0000}"/>
    <cellStyle name="Remarque 2 2 5 4 6 13" xfId="37930" xr:uid="{00000000-0005-0000-0000-00003B3F0000}"/>
    <cellStyle name="Remarque 2 2 5 4 6 2" xfId="4179" xr:uid="{00000000-0005-0000-0000-00003C3F0000}"/>
    <cellStyle name="Remarque 2 2 5 4 6 2 2" xfId="28193" xr:uid="{00000000-0005-0000-0000-00003D3F0000}"/>
    <cellStyle name="Remarque 2 2 5 4 6 2 2 2" xfId="52153" xr:uid="{00000000-0005-0000-0000-00003E3F0000}"/>
    <cellStyle name="Remarque 2 2 5 4 6 2 3" xfId="15440" xr:uid="{00000000-0005-0000-0000-00003F3F0000}"/>
    <cellStyle name="Remarque 2 2 5 4 6 2 4" xfId="39400" xr:uid="{00000000-0005-0000-0000-0000403F0000}"/>
    <cellStyle name="Remarque 2 2 5 4 6 3" xfId="5613" xr:uid="{00000000-0005-0000-0000-0000413F0000}"/>
    <cellStyle name="Remarque 2 2 5 4 6 3 2" xfId="29627" xr:uid="{00000000-0005-0000-0000-0000423F0000}"/>
    <cellStyle name="Remarque 2 2 5 4 6 3 2 2" xfId="53587" xr:uid="{00000000-0005-0000-0000-0000433F0000}"/>
    <cellStyle name="Remarque 2 2 5 4 6 3 3" xfId="16874" xr:uid="{00000000-0005-0000-0000-0000443F0000}"/>
    <cellStyle name="Remarque 2 2 5 4 6 3 4" xfId="40834" xr:uid="{00000000-0005-0000-0000-0000453F0000}"/>
    <cellStyle name="Remarque 2 2 5 4 6 4" xfId="7007" xr:uid="{00000000-0005-0000-0000-0000463F0000}"/>
    <cellStyle name="Remarque 2 2 5 4 6 4 2" xfId="31021" xr:uid="{00000000-0005-0000-0000-0000473F0000}"/>
    <cellStyle name="Remarque 2 2 5 4 6 4 2 2" xfId="54981" xr:uid="{00000000-0005-0000-0000-0000483F0000}"/>
    <cellStyle name="Remarque 2 2 5 4 6 4 3" xfId="18268" xr:uid="{00000000-0005-0000-0000-0000493F0000}"/>
    <cellStyle name="Remarque 2 2 5 4 6 4 4" xfId="42228" xr:uid="{00000000-0005-0000-0000-00004A3F0000}"/>
    <cellStyle name="Remarque 2 2 5 4 6 5" xfId="8395" xr:uid="{00000000-0005-0000-0000-00004B3F0000}"/>
    <cellStyle name="Remarque 2 2 5 4 6 5 2" xfId="32409" xr:uid="{00000000-0005-0000-0000-00004C3F0000}"/>
    <cellStyle name="Remarque 2 2 5 4 6 5 2 2" xfId="56369" xr:uid="{00000000-0005-0000-0000-00004D3F0000}"/>
    <cellStyle name="Remarque 2 2 5 4 6 5 3" xfId="19656" xr:uid="{00000000-0005-0000-0000-00004E3F0000}"/>
    <cellStyle name="Remarque 2 2 5 4 6 5 4" xfId="43616" xr:uid="{00000000-0005-0000-0000-00004F3F0000}"/>
    <cellStyle name="Remarque 2 2 5 4 6 6" xfId="9780" xr:uid="{00000000-0005-0000-0000-0000503F0000}"/>
    <cellStyle name="Remarque 2 2 5 4 6 6 2" xfId="33794" xr:uid="{00000000-0005-0000-0000-0000513F0000}"/>
    <cellStyle name="Remarque 2 2 5 4 6 6 2 2" xfId="57754" xr:uid="{00000000-0005-0000-0000-0000523F0000}"/>
    <cellStyle name="Remarque 2 2 5 4 6 6 3" xfId="21041" xr:uid="{00000000-0005-0000-0000-0000533F0000}"/>
    <cellStyle name="Remarque 2 2 5 4 6 6 4" xfId="45001" xr:uid="{00000000-0005-0000-0000-0000543F0000}"/>
    <cellStyle name="Remarque 2 2 5 4 6 7" xfId="11237" xr:uid="{00000000-0005-0000-0000-0000553F0000}"/>
    <cellStyle name="Remarque 2 2 5 4 6 7 2" xfId="35247" xr:uid="{00000000-0005-0000-0000-0000563F0000}"/>
    <cellStyle name="Remarque 2 2 5 4 6 7 2 2" xfId="59207" xr:uid="{00000000-0005-0000-0000-0000573F0000}"/>
    <cellStyle name="Remarque 2 2 5 4 6 7 3" xfId="22504" xr:uid="{00000000-0005-0000-0000-0000583F0000}"/>
    <cellStyle name="Remarque 2 2 5 4 6 7 4" xfId="46464" xr:uid="{00000000-0005-0000-0000-0000593F0000}"/>
    <cellStyle name="Remarque 2 2 5 4 6 8" xfId="12068" xr:uid="{00000000-0005-0000-0000-00005A3F0000}"/>
    <cellStyle name="Remarque 2 2 5 4 6 8 2" xfId="23349" xr:uid="{00000000-0005-0000-0000-00005B3F0000}"/>
    <cellStyle name="Remarque 2 2 5 4 6 8 3" xfId="47309" xr:uid="{00000000-0005-0000-0000-00005C3F0000}"/>
    <cellStyle name="Remarque 2 2 5 4 6 9" xfId="2709" xr:uid="{00000000-0005-0000-0000-00005D3F0000}"/>
    <cellStyle name="Remarque 2 2 5 4 6 9 2" xfId="26723" xr:uid="{00000000-0005-0000-0000-00005E3F0000}"/>
    <cellStyle name="Remarque 2 2 5 4 6 9 3" xfId="50683" xr:uid="{00000000-0005-0000-0000-00005F3F0000}"/>
    <cellStyle name="Remarque 2 2 5 4 7" xfId="1442" xr:uid="{00000000-0005-0000-0000-0000603F0000}"/>
    <cellStyle name="Remarque 2 2 5 4 7 10" xfId="25474" xr:uid="{00000000-0005-0000-0000-0000613F0000}"/>
    <cellStyle name="Remarque 2 2 5 4 7 10 2" xfId="49434" xr:uid="{00000000-0005-0000-0000-0000623F0000}"/>
    <cellStyle name="Remarque 2 2 5 4 7 11" xfId="36389" xr:uid="{00000000-0005-0000-0000-0000633F0000}"/>
    <cellStyle name="Remarque 2 2 5 4 7 11 2" xfId="60349" xr:uid="{00000000-0005-0000-0000-0000643F0000}"/>
    <cellStyle name="Remarque 2 2 5 4 7 12" xfId="14139" xr:uid="{00000000-0005-0000-0000-0000653F0000}"/>
    <cellStyle name="Remarque 2 2 5 4 7 13" xfId="38099" xr:uid="{00000000-0005-0000-0000-0000663F0000}"/>
    <cellStyle name="Remarque 2 2 5 4 7 2" xfId="4348" xr:uid="{00000000-0005-0000-0000-0000673F0000}"/>
    <cellStyle name="Remarque 2 2 5 4 7 2 2" xfId="28362" xr:uid="{00000000-0005-0000-0000-0000683F0000}"/>
    <cellStyle name="Remarque 2 2 5 4 7 2 2 2" xfId="52322" xr:uid="{00000000-0005-0000-0000-0000693F0000}"/>
    <cellStyle name="Remarque 2 2 5 4 7 2 3" xfId="15609" xr:uid="{00000000-0005-0000-0000-00006A3F0000}"/>
    <cellStyle name="Remarque 2 2 5 4 7 2 4" xfId="39569" xr:uid="{00000000-0005-0000-0000-00006B3F0000}"/>
    <cellStyle name="Remarque 2 2 5 4 7 3" xfId="5782" xr:uid="{00000000-0005-0000-0000-00006C3F0000}"/>
    <cellStyle name="Remarque 2 2 5 4 7 3 2" xfId="29796" xr:uid="{00000000-0005-0000-0000-00006D3F0000}"/>
    <cellStyle name="Remarque 2 2 5 4 7 3 2 2" xfId="53756" xr:uid="{00000000-0005-0000-0000-00006E3F0000}"/>
    <cellStyle name="Remarque 2 2 5 4 7 3 3" xfId="17043" xr:uid="{00000000-0005-0000-0000-00006F3F0000}"/>
    <cellStyle name="Remarque 2 2 5 4 7 3 4" xfId="41003" xr:uid="{00000000-0005-0000-0000-0000703F0000}"/>
    <cellStyle name="Remarque 2 2 5 4 7 4" xfId="7176" xr:uid="{00000000-0005-0000-0000-0000713F0000}"/>
    <cellStyle name="Remarque 2 2 5 4 7 4 2" xfId="31190" xr:uid="{00000000-0005-0000-0000-0000723F0000}"/>
    <cellStyle name="Remarque 2 2 5 4 7 4 2 2" xfId="55150" xr:uid="{00000000-0005-0000-0000-0000733F0000}"/>
    <cellStyle name="Remarque 2 2 5 4 7 4 3" xfId="18437" xr:uid="{00000000-0005-0000-0000-0000743F0000}"/>
    <cellStyle name="Remarque 2 2 5 4 7 4 4" xfId="42397" xr:uid="{00000000-0005-0000-0000-0000753F0000}"/>
    <cellStyle name="Remarque 2 2 5 4 7 5" xfId="8564" xr:uid="{00000000-0005-0000-0000-0000763F0000}"/>
    <cellStyle name="Remarque 2 2 5 4 7 5 2" xfId="32578" xr:uid="{00000000-0005-0000-0000-0000773F0000}"/>
    <cellStyle name="Remarque 2 2 5 4 7 5 2 2" xfId="56538" xr:uid="{00000000-0005-0000-0000-0000783F0000}"/>
    <cellStyle name="Remarque 2 2 5 4 7 5 3" xfId="19825" xr:uid="{00000000-0005-0000-0000-0000793F0000}"/>
    <cellStyle name="Remarque 2 2 5 4 7 5 4" xfId="43785" xr:uid="{00000000-0005-0000-0000-00007A3F0000}"/>
    <cellStyle name="Remarque 2 2 5 4 7 6" xfId="9949" xr:uid="{00000000-0005-0000-0000-00007B3F0000}"/>
    <cellStyle name="Remarque 2 2 5 4 7 6 2" xfId="33963" xr:uid="{00000000-0005-0000-0000-00007C3F0000}"/>
    <cellStyle name="Remarque 2 2 5 4 7 6 2 2" xfId="57923" xr:uid="{00000000-0005-0000-0000-00007D3F0000}"/>
    <cellStyle name="Remarque 2 2 5 4 7 6 3" xfId="21210" xr:uid="{00000000-0005-0000-0000-00007E3F0000}"/>
    <cellStyle name="Remarque 2 2 5 4 7 6 4" xfId="45170" xr:uid="{00000000-0005-0000-0000-00007F3F0000}"/>
    <cellStyle name="Remarque 2 2 5 4 7 7" xfId="11406" xr:uid="{00000000-0005-0000-0000-0000803F0000}"/>
    <cellStyle name="Remarque 2 2 5 4 7 7 2" xfId="35416" xr:uid="{00000000-0005-0000-0000-0000813F0000}"/>
    <cellStyle name="Remarque 2 2 5 4 7 7 2 2" xfId="59376" xr:uid="{00000000-0005-0000-0000-0000823F0000}"/>
    <cellStyle name="Remarque 2 2 5 4 7 7 3" xfId="22673" xr:uid="{00000000-0005-0000-0000-0000833F0000}"/>
    <cellStyle name="Remarque 2 2 5 4 7 7 4" xfId="46633" xr:uid="{00000000-0005-0000-0000-0000843F0000}"/>
    <cellStyle name="Remarque 2 2 5 4 7 8" xfId="12686" xr:uid="{00000000-0005-0000-0000-0000853F0000}"/>
    <cellStyle name="Remarque 2 2 5 4 7 8 2" xfId="23991" xr:uid="{00000000-0005-0000-0000-0000863F0000}"/>
    <cellStyle name="Remarque 2 2 5 4 7 8 3" xfId="47951" xr:uid="{00000000-0005-0000-0000-0000873F0000}"/>
    <cellStyle name="Remarque 2 2 5 4 7 9" xfId="2878" xr:uid="{00000000-0005-0000-0000-0000883F0000}"/>
    <cellStyle name="Remarque 2 2 5 4 7 9 2" xfId="26892" xr:uid="{00000000-0005-0000-0000-0000893F0000}"/>
    <cellStyle name="Remarque 2 2 5 4 7 9 3" xfId="50852" xr:uid="{00000000-0005-0000-0000-00008A3F0000}"/>
    <cellStyle name="Remarque 2 2 5 4 8" xfId="3297" xr:uid="{00000000-0005-0000-0000-00008B3F0000}"/>
    <cellStyle name="Remarque 2 2 5 4 8 2" xfId="27311" xr:uid="{00000000-0005-0000-0000-00008C3F0000}"/>
    <cellStyle name="Remarque 2 2 5 4 8 2 2" xfId="51271" xr:uid="{00000000-0005-0000-0000-00008D3F0000}"/>
    <cellStyle name="Remarque 2 2 5 4 8 3" xfId="14558" xr:uid="{00000000-0005-0000-0000-00008E3F0000}"/>
    <cellStyle name="Remarque 2 2 5 4 8 4" xfId="38518" xr:uid="{00000000-0005-0000-0000-00008F3F0000}"/>
    <cellStyle name="Remarque 2 2 5 4 9" xfId="4731" xr:uid="{00000000-0005-0000-0000-0000903F0000}"/>
    <cellStyle name="Remarque 2 2 5 4 9 2" xfId="28745" xr:uid="{00000000-0005-0000-0000-0000913F0000}"/>
    <cellStyle name="Remarque 2 2 5 4 9 2 2" xfId="52705" xr:uid="{00000000-0005-0000-0000-0000923F0000}"/>
    <cellStyle name="Remarque 2 2 5 4 9 3" xfId="15992" xr:uid="{00000000-0005-0000-0000-0000933F0000}"/>
    <cellStyle name="Remarque 2 2 5 4 9 4" xfId="39952" xr:uid="{00000000-0005-0000-0000-0000943F0000}"/>
    <cellStyle name="Remarque 2 2 5 5" xfId="380" xr:uid="{00000000-0005-0000-0000-0000953F0000}"/>
    <cellStyle name="Remarque 2 2 5 5 10" xfId="6114" xr:uid="{00000000-0005-0000-0000-0000963F0000}"/>
    <cellStyle name="Remarque 2 2 5 5 10 2" xfId="30128" xr:uid="{00000000-0005-0000-0000-0000973F0000}"/>
    <cellStyle name="Remarque 2 2 5 5 10 2 2" xfId="54088" xr:uid="{00000000-0005-0000-0000-0000983F0000}"/>
    <cellStyle name="Remarque 2 2 5 5 10 3" xfId="17375" xr:uid="{00000000-0005-0000-0000-0000993F0000}"/>
    <cellStyle name="Remarque 2 2 5 5 10 4" xfId="41335" xr:uid="{00000000-0005-0000-0000-00009A3F0000}"/>
    <cellStyle name="Remarque 2 2 5 5 11" xfId="7502" xr:uid="{00000000-0005-0000-0000-00009B3F0000}"/>
    <cellStyle name="Remarque 2 2 5 5 11 2" xfId="31516" xr:uid="{00000000-0005-0000-0000-00009C3F0000}"/>
    <cellStyle name="Remarque 2 2 5 5 11 2 2" xfId="55476" xr:uid="{00000000-0005-0000-0000-00009D3F0000}"/>
    <cellStyle name="Remarque 2 2 5 5 11 3" xfId="18763" xr:uid="{00000000-0005-0000-0000-00009E3F0000}"/>
    <cellStyle name="Remarque 2 2 5 5 11 4" xfId="42723" xr:uid="{00000000-0005-0000-0000-00009F3F0000}"/>
    <cellStyle name="Remarque 2 2 5 5 12" xfId="8887" xr:uid="{00000000-0005-0000-0000-0000A03F0000}"/>
    <cellStyle name="Remarque 2 2 5 5 12 2" xfId="32901" xr:uid="{00000000-0005-0000-0000-0000A13F0000}"/>
    <cellStyle name="Remarque 2 2 5 5 12 2 2" xfId="56861" xr:uid="{00000000-0005-0000-0000-0000A23F0000}"/>
    <cellStyle name="Remarque 2 2 5 5 12 3" xfId="20148" xr:uid="{00000000-0005-0000-0000-0000A33F0000}"/>
    <cellStyle name="Remarque 2 2 5 5 12 4" xfId="44108" xr:uid="{00000000-0005-0000-0000-0000A43F0000}"/>
    <cellStyle name="Remarque 2 2 5 5 13" xfId="10344" xr:uid="{00000000-0005-0000-0000-0000A53F0000}"/>
    <cellStyle name="Remarque 2 2 5 5 13 2" xfId="34354" xr:uid="{00000000-0005-0000-0000-0000A63F0000}"/>
    <cellStyle name="Remarque 2 2 5 5 13 2 2" xfId="58314" xr:uid="{00000000-0005-0000-0000-0000A73F0000}"/>
    <cellStyle name="Remarque 2 2 5 5 13 3" xfId="21611" xr:uid="{00000000-0005-0000-0000-0000A83F0000}"/>
    <cellStyle name="Remarque 2 2 5 5 13 4" xfId="45571" xr:uid="{00000000-0005-0000-0000-0000A93F0000}"/>
    <cellStyle name="Remarque 2 2 5 5 14" xfId="12702" xr:uid="{00000000-0005-0000-0000-0000AA3F0000}"/>
    <cellStyle name="Remarque 2 2 5 5 14 2" xfId="24007" xr:uid="{00000000-0005-0000-0000-0000AB3F0000}"/>
    <cellStyle name="Remarque 2 2 5 5 14 3" xfId="47967" xr:uid="{00000000-0005-0000-0000-0000AC3F0000}"/>
    <cellStyle name="Remarque 2 2 5 5 15" xfId="1816" xr:uid="{00000000-0005-0000-0000-0000AD3F0000}"/>
    <cellStyle name="Remarque 2 2 5 5 15 2" xfId="25830" xr:uid="{00000000-0005-0000-0000-0000AE3F0000}"/>
    <cellStyle name="Remarque 2 2 5 5 15 3" xfId="49790" xr:uid="{00000000-0005-0000-0000-0000AF3F0000}"/>
    <cellStyle name="Remarque 2 2 5 5 16" xfId="24412" xr:uid="{00000000-0005-0000-0000-0000B03F0000}"/>
    <cellStyle name="Remarque 2 2 5 5 16 2" xfId="48372" xr:uid="{00000000-0005-0000-0000-0000B13F0000}"/>
    <cellStyle name="Remarque 2 2 5 5 17" xfId="35611" xr:uid="{00000000-0005-0000-0000-0000B23F0000}"/>
    <cellStyle name="Remarque 2 2 5 5 17 2" xfId="59571" xr:uid="{00000000-0005-0000-0000-0000B33F0000}"/>
    <cellStyle name="Remarque 2 2 5 5 18" xfId="13077" xr:uid="{00000000-0005-0000-0000-0000B43F0000}"/>
    <cellStyle name="Remarque 2 2 5 5 19" xfId="37037" xr:uid="{00000000-0005-0000-0000-0000B53F0000}"/>
    <cellStyle name="Remarque 2 2 5 5 2" xfId="516" xr:uid="{00000000-0005-0000-0000-0000B63F0000}"/>
    <cellStyle name="Remarque 2 2 5 5 2 10" xfId="24548" xr:uid="{00000000-0005-0000-0000-0000B73F0000}"/>
    <cellStyle name="Remarque 2 2 5 5 2 10 2" xfId="48508" xr:uid="{00000000-0005-0000-0000-0000B83F0000}"/>
    <cellStyle name="Remarque 2 2 5 5 2 11" xfId="35739" xr:uid="{00000000-0005-0000-0000-0000B93F0000}"/>
    <cellStyle name="Remarque 2 2 5 5 2 11 2" xfId="59699" xr:uid="{00000000-0005-0000-0000-0000BA3F0000}"/>
    <cellStyle name="Remarque 2 2 5 5 2 12" xfId="13213" xr:uid="{00000000-0005-0000-0000-0000BB3F0000}"/>
    <cellStyle name="Remarque 2 2 5 5 2 13" xfId="37173" xr:uid="{00000000-0005-0000-0000-0000BC3F0000}"/>
    <cellStyle name="Remarque 2 2 5 5 2 2" xfId="3422" xr:uid="{00000000-0005-0000-0000-0000BD3F0000}"/>
    <cellStyle name="Remarque 2 2 5 5 2 2 2" xfId="27436" xr:uid="{00000000-0005-0000-0000-0000BE3F0000}"/>
    <cellStyle name="Remarque 2 2 5 5 2 2 2 2" xfId="51396" xr:uid="{00000000-0005-0000-0000-0000BF3F0000}"/>
    <cellStyle name="Remarque 2 2 5 5 2 2 3" xfId="14683" xr:uid="{00000000-0005-0000-0000-0000C03F0000}"/>
    <cellStyle name="Remarque 2 2 5 5 2 2 4" xfId="38643" xr:uid="{00000000-0005-0000-0000-0000C13F0000}"/>
    <cellStyle name="Remarque 2 2 5 5 2 3" xfId="4856" xr:uid="{00000000-0005-0000-0000-0000C23F0000}"/>
    <cellStyle name="Remarque 2 2 5 5 2 3 2" xfId="28870" xr:uid="{00000000-0005-0000-0000-0000C33F0000}"/>
    <cellStyle name="Remarque 2 2 5 5 2 3 2 2" xfId="52830" xr:uid="{00000000-0005-0000-0000-0000C43F0000}"/>
    <cellStyle name="Remarque 2 2 5 5 2 3 3" xfId="16117" xr:uid="{00000000-0005-0000-0000-0000C53F0000}"/>
    <cellStyle name="Remarque 2 2 5 5 2 3 4" xfId="40077" xr:uid="{00000000-0005-0000-0000-0000C63F0000}"/>
    <cellStyle name="Remarque 2 2 5 5 2 4" xfId="6250" xr:uid="{00000000-0005-0000-0000-0000C73F0000}"/>
    <cellStyle name="Remarque 2 2 5 5 2 4 2" xfId="30264" xr:uid="{00000000-0005-0000-0000-0000C83F0000}"/>
    <cellStyle name="Remarque 2 2 5 5 2 4 2 2" xfId="54224" xr:uid="{00000000-0005-0000-0000-0000C93F0000}"/>
    <cellStyle name="Remarque 2 2 5 5 2 4 3" xfId="17511" xr:uid="{00000000-0005-0000-0000-0000CA3F0000}"/>
    <cellStyle name="Remarque 2 2 5 5 2 4 4" xfId="41471" xr:uid="{00000000-0005-0000-0000-0000CB3F0000}"/>
    <cellStyle name="Remarque 2 2 5 5 2 5" xfId="7638" xr:uid="{00000000-0005-0000-0000-0000CC3F0000}"/>
    <cellStyle name="Remarque 2 2 5 5 2 5 2" xfId="31652" xr:uid="{00000000-0005-0000-0000-0000CD3F0000}"/>
    <cellStyle name="Remarque 2 2 5 5 2 5 2 2" xfId="55612" xr:uid="{00000000-0005-0000-0000-0000CE3F0000}"/>
    <cellStyle name="Remarque 2 2 5 5 2 5 3" xfId="18899" xr:uid="{00000000-0005-0000-0000-0000CF3F0000}"/>
    <cellStyle name="Remarque 2 2 5 5 2 5 4" xfId="42859" xr:uid="{00000000-0005-0000-0000-0000D03F0000}"/>
    <cellStyle name="Remarque 2 2 5 5 2 6" xfId="9023" xr:uid="{00000000-0005-0000-0000-0000D13F0000}"/>
    <cellStyle name="Remarque 2 2 5 5 2 6 2" xfId="33037" xr:uid="{00000000-0005-0000-0000-0000D23F0000}"/>
    <cellStyle name="Remarque 2 2 5 5 2 6 2 2" xfId="56997" xr:uid="{00000000-0005-0000-0000-0000D33F0000}"/>
    <cellStyle name="Remarque 2 2 5 5 2 6 3" xfId="20284" xr:uid="{00000000-0005-0000-0000-0000D43F0000}"/>
    <cellStyle name="Remarque 2 2 5 5 2 6 4" xfId="44244" xr:uid="{00000000-0005-0000-0000-0000D53F0000}"/>
    <cellStyle name="Remarque 2 2 5 5 2 7" xfId="10480" xr:uid="{00000000-0005-0000-0000-0000D63F0000}"/>
    <cellStyle name="Remarque 2 2 5 5 2 7 2" xfId="34490" xr:uid="{00000000-0005-0000-0000-0000D73F0000}"/>
    <cellStyle name="Remarque 2 2 5 5 2 7 2 2" xfId="58450" xr:uid="{00000000-0005-0000-0000-0000D83F0000}"/>
    <cellStyle name="Remarque 2 2 5 5 2 7 3" xfId="21747" xr:uid="{00000000-0005-0000-0000-0000D93F0000}"/>
    <cellStyle name="Remarque 2 2 5 5 2 7 4" xfId="45707" xr:uid="{00000000-0005-0000-0000-0000DA3F0000}"/>
    <cellStyle name="Remarque 2 2 5 5 2 8" xfId="12071" xr:uid="{00000000-0005-0000-0000-0000DB3F0000}"/>
    <cellStyle name="Remarque 2 2 5 5 2 8 2" xfId="23352" xr:uid="{00000000-0005-0000-0000-0000DC3F0000}"/>
    <cellStyle name="Remarque 2 2 5 5 2 8 3" xfId="47312" xr:uid="{00000000-0005-0000-0000-0000DD3F0000}"/>
    <cellStyle name="Remarque 2 2 5 5 2 9" xfId="1952" xr:uid="{00000000-0005-0000-0000-0000DE3F0000}"/>
    <cellStyle name="Remarque 2 2 5 5 2 9 2" xfId="25966" xr:uid="{00000000-0005-0000-0000-0000DF3F0000}"/>
    <cellStyle name="Remarque 2 2 5 5 2 9 3" xfId="49926" xr:uid="{00000000-0005-0000-0000-0000E03F0000}"/>
    <cellStyle name="Remarque 2 2 5 5 3" xfId="708" xr:uid="{00000000-0005-0000-0000-0000E13F0000}"/>
    <cellStyle name="Remarque 2 2 5 5 3 10" xfId="24740" xr:uid="{00000000-0005-0000-0000-0000E23F0000}"/>
    <cellStyle name="Remarque 2 2 5 5 3 10 2" xfId="48700" xr:uid="{00000000-0005-0000-0000-0000E33F0000}"/>
    <cellStyle name="Remarque 2 2 5 5 3 11" xfId="35942" xr:uid="{00000000-0005-0000-0000-0000E43F0000}"/>
    <cellStyle name="Remarque 2 2 5 5 3 11 2" xfId="59902" xr:uid="{00000000-0005-0000-0000-0000E53F0000}"/>
    <cellStyle name="Remarque 2 2 5 5 3 12" xfId="13405" xr:uid="{00000000-0005-0000-0000-0000E63F0000}"/>
    <cellStyle name="Remarque 2 2 5 5 3 13" xfId="37365" xr:uid="{00000000-0005-0000-0000-0000E73F0000}"/>
    <cellStyle name="Remarque 2 2 5 5 3 2" xfId="3614" xr:uid="{00000000-0005-0000-0000-0000E83F0000}"/>
    <cellStyle name="Remarque 2 2 5 5 3 2 2" xfId="27628" xr:uid="{00000000-0005-0000-0000-0000E93F0000}"/>
    <cellStyle name="Remarque 2 2 5 5 3 2 2 2" xfId="51588" xr:uid="{00000000-0005-0000-0000-0000EA3F0000}"/>
    <cellStyle name="Remarque 2 2 5 5 3 2 3" xfId="14875" xr:uid="{00000000-0005-0000-0000-0000EB3F0000}"/>
    <cellStyle name="Remarque 2 2 5 5 3 2 4" xfId="38835" xr:uid="{00000000-0005-0000-0000-0000EC3F0000}"/>
    <cellStyle name="Remarque 2 2 5 5 3 3" xfId="5048" xr:uid="{00000000-0005-0000-0000-0000ED3F0000}"/>
    <cellStyle name="Remarque 2 2 5 5 3 3 2" xfId="29062" xr:uid="{00000000-0005-0000-0000-0000EE3F0000}"/>
    <cellStyle name="Remarque 2 2 5 5 3 3 2 2" xfId="53022" xr:uid="{00000000-0005-0000-0000-0000EF3F0000}"/>
    <cellStyle name="Remarque 2 2 5 5 3 3 3" xfId="16309" xr:uid="{00000000-0005-0000-0000-0000F03F0000}"/>
    <cellStyle name="Remarque 2 2 5 5 3 3 4" xfId="40269" xr:uid="{00000000-0005-0000-0000-0000F13F0000}"/>
    <cellStyle name="Remarque 2 2 5 5 3 4" xfId="6442" xr:uid="{00000000-0005-0000-0000-0000F23F0000}"/>
    <cellStyle name="Remarque 2 2 5 5 3 4 2" xfId="30456" xr:uid="{00000000-0005-0000-0000-0000F33F0000}"/>
    <cellStyle name="Remarque 2 2 5 5 3 4 2 2" xfId="54416" xr:uid="{00000000-0005-0000-0000-0000F43F0000}"/>
    <cellStyle name="Remarque 2 2 5 5 3 4 3" xfId="17703" xr:uid="{00000000-0005-0000-0000-0000F53F0000}"/>
    <cellStyle name="Remarque 2 2 5 5 3 4 4" xfId="41663" xr:uid="{00000000-0005-0000-0000-0000F63F0000}"/>
    <cellStyle name="Remarque 2 2 5 5 3 5" xfId="7830" xr:uid="{00000000-0005-0000-0000-0000F73F0000}"/>
    <cellStyle name="Remarque 2 2 5 5 3 5 2" xfId="31844" xr:uid="{00000000-0005-0000-0000-0000F83F0000}"/>
    <cellStyle name="Remarque 2 2 5 5 3 5 2 2" xfId="55804" xr:uid="{00000000-0005-0000-0000-0000F93F0000}"/>
    <cellStyle name="Remarque 2 2 5 5 3 5 3" xfId="19091" xr:uid="{00000000-0005-0000-0000-0000FA3F0000}"/>
    <cellStyle name="Remarque 2 2 5 5 3 5 4" xfId="43051" xr:uid="{00000000-0005-0000-0000-0000FB3F0000}"/>
    <cellStyle name="Remarque 2 2 5 5 3 6" xfId="9215" xr:uid="{00000000-0005-0000-0000-0000FC3F0000}"/>
    <cellStyle name="Remarque 2 2 5 5 3 6 2" xfId="33229" xr:uid="{00000000-0005-0000-0000-0000FD3F0000}"/>
    <cellStyle name="Remarque 2 2 5 5 3 6 2 2" xfId="57189" xr:uid="{00000000-0005-0000-0000-0000FE3F0000}"/>
    <cellStyle name="Remarque 2 2 5 5 3 6 3" xfId="20476" xr:uid="{00000000-0005-0000-0000-0000FF3F0000}"/>
    <cellStyle name="Remarque 2 2 5 5 3 6 4" xfId="44436" xr:uid="{00000000-0005-0000-0000-000000400000}"/>
    <cellStyle name="Remarque 2 2 5 5 3 7" xfId="10672" xr:uid="{00000000-0005-0000-0000-000001400000}"/>
    <cellStyle name="Remarque 2 2 5 5 3 7 2" xfId="34682" xr:uid="{00000000-0005-0000-0000-000002400000}"/>
    <cellStyle name="Remarque 2 2 5 5 3 7 2 2" xfId="58642" xr:uid="{00000000-0005-0000-0000-000003400000}"/>
    <cellStyle name="Remarque 2 2 5 5 3 7 3" xfId="21939" xr:uid="{00000000-0005-0000-0000-000004400000}"/>
    <cellStyle name="Remarque 2 2 5 5 3 7 4" xfId="45899" xr:uid="{00000000-0005-0000-0000-000005400000}"/>
    <cellStyle name="Remarque 2 2 5 5 3 8" xfId="12375" xr:uid="{00000000-0005-0000-0000-000006400000}"/>
    <cellStyle name="Remarque 2 2 5 5 3 8 2" xfId="23664" xr:uid="{00000000-0005-0000-0000-000007400000}"/>
    <cellStyle name="Remarque 2 2 5 5 3 8 3" xfId="47624" xr:uid="{00000000-0005-0000-0000-000008400000}"/>
    <cellStyle name="Remarque 2 2 5 5 3 9" xfId="2144" xr:uid="{00000000-0005-0000-0000-000009400000}"/>
    <cellStyle name="Remarque 2 2 5 5 3 9 2" xfId="26158" xr:uid="{00000000-0005-0000-0000-00000A400000}"/>
    <cellStyle name="Remarque 2 2 5 5 3 9 3" xfId="50118" xr:uid="{00000000-0005-0000-0000-00000B400000}"/>
    <cellStyle name="Remarque 2 2 5 5 4" xfId="902" xr:uid="{00000000-0005-0000-0000-00000C400000}"/>
    <cellStyle name="Remarque 2 2 5 5 4 10" xfId="24934" xr:uid="{00000000-0005-0000-0000-00000D400000}"/>
    <cellStyle name="Remarque 2 2 5 5 4 10 2" xfId="48894" xr:uid="{00000000-0005-0000-0000-00000E400000}"/>
    <cellStyle name="Remarque 2 2 5 5 4 11" xfId="36019" xr:uid="{00000000-0005-0000-0000-00000F400000}"/>
    <cellStyle name="Remarque 2 2 5 5 4 11 2" xfId="59979" xr:uid="{00000000-0005-0000-0000-000010400000}"/>
    <cellStyle name="Remarque 2 2 5 5 4 12" xfId="13599" xr:uid="{00000000-0005-0000-0000-000011400000}"/>
    <cellStyle name="Remarque 2 2 5 5 4 13" xfId="37559" xr:uid="{00000000-0005-0000-0000-000012400000}"/>
    <cellStyle name="Remarque 2 2 5 5 4 2" xfId="3808" xr:uid="{00000000-0005-0000-0000-000013400000}"/>
    <cellStyle name="Remarque 2 2 5 5 4 2 2" xfId="27822" xr:uid="{00000000-0005-0000-0000-000014400000}"/>
    <cellStyle name="Remarque 2 2 5 5 4 2 2 2" xfId="51782" xr:uid="{00000000-0005-0000-0000-000015400000}"/>
    <cellStyle name="Remarque 2 2 5 5 4 2 3" xfId="15069" xr:uid="{00000000-0005-0000-0000-000016400000}"/>
    <cellStyle name="Remarque 2 2 5 5 4 2 4" xfId="39029" xr:uid="{00000000-0005-0000-0000-000017400000}"/>
    <cellStyle name="Remarque 2 2 5 5 4 3" xfId="5242" xr:uid="{00000000-0005-0000-0000-000018400000}"/>
    <cellStyle name="Remarque 2 2 5 5 4 3 2" xfId="29256" xr:uid="{00000000-0005-0000-0000-000019400000}"/>
    <cellStyle name="Remarque 2 2 5 5 4 3 2 2" xfId="53216" xr:uid="{00000000-0005-0000-0000-00001A400000}"/>
    <cellStyle name="Remarque 2 2 5 5 4 3 3" xfId="16503" xr:uid="{00000000-0005-0000-0000-00001B400000}"/>
    <cellStyle name="Remarque 2 2 5 5 4 3 4" xfId="40463" xr:uid="{00000000-0005-0000-0000-00001C400000}"/>
    <cellStyle name="Remarque 2 2 5 5 4 4" xfId="6636" xr:uid="{00000000-0005-0000-0000-00001D400000}"/>
    <cellStyle name="Remarque 2 2 5 5 4 4 2" xfId="30650" xr:uid="{00000000-0005-0000-0000-00001E400000}"/>
    <cellStyle name="Remarque 2 2 5 5 4 4 2 2" xfId="54610" xr:uid="{00000000-0005-0000-0000-00001F400000}"/>
    <cellStyle name="Remarque 2 2 5 5 4 4 3" xfId="17897" xr:uid="{00000000-0005-0000-0000-000020400000}"/>
    <cellStyle name="Remarque 2 2 5 5 4 4 4" xfId="41857" xr:uid="{00000000-0005-0000-0000-000021400000}"/>
    <cellStyle name="Remarque 2 2 5 5 4 5" xfId="8024" xr:uid="{00000000-0005-0000-0000-000022400000}"/>
    <cellStyle name="Remarque 2 2 5 5 4 5 2" xfId="32038" xr:uid="{00000000-0005-0000-0000-000023400000}"/>
    <cellStyle name="Remarque 2 2 5 5 4 5 2 2" xfId="55998" xr:uid="{00000000-0005-0000-0000-000024400000}"/>
    <cellStyle name="Remarque 2 2 5 5 4 5 3" xfId="19285" xr:uid="{00000000-0005-0000-0000-000025400000}"/>
    <cellStyle name="Remarque 2 2 5 5 4 5 4" xfId="43245" xr:uid="{00000000-0005-0000-0000-000026400000}"/>
    <cellStyle name="Remarque 2 2 5 5 4 6" xfId="9409" xr:uid="{00000000-0005-0000-0000-000027400000}"/>
    <cellStyle name="Remarque 2 2 5 5 4 6 2" xfId="33423" xr:uid="{00000000-0005-0000-0000-000028400000}"/>
    <cellStyle name="Remarque 2 2 5 5 4 6 2 2" xfId="57383" xr:uid="{00000000-0005-0000-0000-000029400000}"/>
    <cellStyle name="Remarque 2 2 5 5 4 6 3" xfId="20670" xr:uid="{00000000-0005-0000-0000-00002A400000}"/>
    <cellStyle name="Remarque 2 2 5 5 4 6 4" xfId="44630" xr:uid="{00000000-0005-0000-0000-00002B400000}"/>
    <cellStyle name="Remarque 2 2 5 5 4 7" xfId="10866" xr:uid="{00000000-0005-0000-0000-00002C400000}"/>
    <cellStyle name="Remarque 2 2 5 5 4 7 2" xfId="34876" xr:uid="{00000000-0005-0000-0000-00002D400000}"/>
    <cellStyle name="Remarque 2 2 5 5 4 7 2 2" xfId="58836" xr:uid="{00000000-0005-0000-0000-00002E400000}"/>
    <cellStyle name="Remarque 2 2 5 5 4 7 3" xfId="22133" xr:uid="{00000000-0005-0000-0000-00002F400000}"/>
    <cellStyle name="Remarque 2 2 5 5 4 7 4" xfId="46093" xr:uid="{00000000-0005-0000-0000-000030400000}"/>
    <cellStyle name="Remarque 2 2 5 5 4 8" xfId="12641" xr:uid="{00000000-0005-0000-0000-000031400000}"/>
    <cellStyle name="Remarque 2 2 5 5 4 8 2" xfId="23946" xr:uid="{00000000-0005-0000-0000-000032400000}"/>
    <cellStyle name="Remarque 2 2 5 5 4 8 3" xfId="47906" xr:uid="{00000000-0005-0000-0000-000033400000}"/>
    <cellStyle name="Remarque 2 2 5 5 4 9" xfId="2338" xr:uid="{00000000-0005-0000-0000-000034400000}"/>
    <cellStyle name="Remarque 2 2 5 5 4 9 2" xfId="26352" xr:uid="{00000000-0005-0000-0000-000035400000}"/>
    <cellStyle name="Remarque 2 2 5 5 4 9 3" xfId="50312" xr:uid="{00000000-0005-0000-0000-000036400000}"/>
    <cellStyle name="Remarque 2 2 5 5 5" xfId="1095" xr:uid="{00000000-0005-0000-0000-000037400000}"/>
    <cellStyle name="Remarque 2 2 5 5 5 10" xfId="25127" xr:uid="{00000000-0005-0000-0000-000038400000}"/>
    <cellStyle name="Remarque 2 2 5 5 5 10 2" xfId="49087" xr:uid="{00000000-0005-0000-0000-000039400000}"/>
    <cellStyle name="Remarque 2 2 5 5 5 11" xfId="35585" xr:uid="{00000000-0005-0000-0000-00003A400000}"/>
    <cellStyle name="Remarque 2 2 5 5 5 11 2" xfId="59545" xr:uid="{00000000-0005-0000-0000-00003B400000}"/>
    <cellStyle name="Remarque 2 2 5 5 5 12" xfId="13792" xr:uid="{00000000-0005-0000-0000-00003C400000}"/>
    <cellStyle name="Remarque 2 2 5 5 5 13" xfId="37752" xr:uid="{00000000-0005-0000-0000-00003D400000}"/>
    <cellStyle name="Remarque 2 2 5 5 5 2" xfId="4001" xr:uid="{00000000-0005-0000-0000-00003E400000}"/>
    <cellStyle name="Remarque 2 2 5 5 5 2 2" xfId="28015" xr:uid="{00000000-0005-0000-0000-00003F400000}"/>
    <cellStyle name="Remarque 2 2 5 5 5 2 2 2" xfId="51975" xr:uid="{00000000-0005-0000-0000-000040400000}"/>
    <cellStyle name="Remarque 2 2 5 5 5 2 3" xfId="15262" xr:uid="{00000000-0005-0000-0000-000041400000}"/>
    <cellStyle name="Remarque 2 2 5 5 5 2 4" xfId="39222" xr:uid="{00000000-0005-0000-0000-000042400000}"/>
    <cellStyle name="Remarque 2 2 5 5 5 3" xfId="5435" xr:uid="{00000000-0005-0000-0000-000043400000}"/>
    <cellStyle name="Remarque 2 2 5 5 5 3 2" xfId="29449" xr:uid="{00000000-0005-0000-0000-000044400000}"/>
    <cellStyle name="Remarque 2 2 5 5 5 3 2 2" xfId="53409" xr:uid="{00000000-0005-0000-0000-000045400000}"/>
    <cellStyle name="Remarque 2 2 5 5 5 3 3" xfId="16696" xr:uid="{00000000-0005-0000-0000-000046400000}"/>
    <cellStyle name="Remarque 2 2 5 5 5 3 4" xfId="40656" xr:uid="{00000000-0005-0000-0000-000047400000}"/>
    <cellStyle name="Remarque 2 2 5 5 5 4" xfId="6829" xr:uid="{00000000-0005-0000-0000-000048400000}"/>
    <cellStyle name="Remarque 2 2 5 5 5 4 2" xfId="30843" xr:uid="{00000000-0005-0000-0000-000049400000}"/>
    <cellStyle name="Remarque 2 2 5 5 5 4 2 2" xfId="54803" xr:uid="{00000000-0005-0000-0000-00004A400000}"/>
    <cellStyle name="Remarque 2 2 5 5 5 4 3" xfId="18090" xr:uid="{00000000-0005-0000-0000-00004B400000}"/>
    <cellStyle name="Remarque 2 2 5 5 5 4 4" xfId="42050" xr:uid="{00000000-0005-0000-0000-00004C400000}"/>
    <cellStyle name="Remarque 2 2 5 5 5 5" xfId="8217" xr:uid="{00000000-0005-0000-0000-00004D400000}"/>
    <cellStyle name="Remarque 2 2 5 5 5 5 2" xfId="32231" xr:uid="{00000000-0005-0000-0000-00004E400000}"/>
    <cellStyle name="Remarque 2 2 5 5 5 5 2 2" xfId="56191" xr:uid="{00000000-0005-0000-0000-00004F400000}"/>
    <cellStyle name="Remarque 2 2 5 5 5 5 3" xfId="19478" xr:uid="{00000000-0005-0000-0000-000050400000}"/>
    <cellStyle name="Remarque 2 2 5 5 5 5 4" xfId="43438" xr:uid="{00000000-0005-0000-0000-000051400000}"/>
    <cellStyle name="Remarque 2 2 5 5 5 6" xfId="9602" xr:uid="{00000000-0005-0000-0000-000052400000}"/>
    <cellStyle name="Remarque 2 2 5 5 5 6 2" xfId="33616" xr:uid="{00000000-0005-0000-0000-000053400000}"/>
    <cellStyle name="Remarque 2 2 5 5 5 6 2 2" xfId="57576" xr:uid="{00000000-0005-0000-0000-000054400000}"/>
    <cellStyle name="Remarque 2 2 5 5 5 6 3" xfId="20863" xr:uid="{00000000-0005-0000-0000-000055400000}"/>
    <cellStyle name="Remarque 2 2 5 5 5 6 4" xfId="44823" xr:uid="{00000000-0005-0000-0000-000056400000}"/>
    <cellStyle name="Remarque 2 2 5 5 5 7" xfId="11059" xr:uid="{00000000-0005-0000-0000-000057400000}"/>
    <cellStyle name="Remarque 2 2 5 5 5 7 2" xfId="35069" xr:uid="{00000000-0005-0000-0000-000058400000}"/>
    <cellStyle name="Remarque 2 2 5 5 5 7 2 2" xfId="59029" xr:uid="{00000000-0005-0000-0000-000059400000}"/>
    <cellStyle name="Remarque 2 2 5 5 5 7 3" xfId="22326" xr:uid="{00000000-0005-0000-0000-00005A400000}"/>
    <cellStyle name="Remarque 2 2 5 5 5 7 4" xfId="46286" xr:uid="{00000000-0005-0000-0000-00005B400000}"/>
    <cellStyle name="Remarque 2 2 5 5 5 8" xfId="12563" xr:uid="{00000000-0005-0000-0000-00005C400000}"/>
    <cellStyle name="Remarque 2 2 5 5 5 8 2" xfId="23863" xr:uid="{00000000-0005-0000-0000-00005D400000}"/>
    <cellStyle name="Remarque 2 2 5 5 5 8 3" xfId="47823" xr:uid="{00000000-0005-0000-0000-00005E400000}"/>
    <cellStyle name="Remarque 2 2 5 5 5 9" xfId="2531" xr:uid="{00000000-0005-0000-0000-00005F400000}"/>
    <cellStyle name="Remarque 2 2 5 5 5 9 2" xfId="26545" xr:uid="{00000000-0005-0000-0000-000060400000}"/>
    <cellStyle name="Remarque 2 2 5 5 5 9 3" xfId="50505" xr:uid="{00000000-0005-0000-0000-000061400000}"/>
    <cellStyle name="Remarque 2 2 5 5 6" xfId="1262" xr:uid="{00000000-0005-0000-0000-000062400000}"/>
    <cellStyle name="Remarque 2 2 5 5 6 10" xfId="25294" xr:uid="{00000000-0005-0000-0000-000063400000}"/>
    <cellStyle name="Remarque 2 2 5 5 6 10 2" xfId="49254" xr:uid="{00000000-0005-0000-0000-000064400000}"/>
    <cellStyle name="Remarque 2 2 5 5 6 11" xfId="35680" xr:uid="{00000000-0005-0000-0000-000065400000}"/>
    <cellStyle name="Remarque 2 2 5 5 6 11 2" xfId="59640" xr:uid="{00000000-0005-0000-0000-000066400000}"/>
    <cellStyle name="Remarque 2 2 5 5 6 12" xfId="13959" xr:uid="{00000000-0005-0000-0000-000067400000}"/>
    <cellStyle name="Remarque 2 2 5 5 6 13" xfId="37919" xr:uid="{00000000-0005-0000-0000-000068400000}"/>
    <cellStyle name="Remarque 2 2 5 5 6 2" xfId="4168" xr:uid="{00000000-0005-0000-0000-000069400000}"/>
    <cellStyle name="Remarque 2 2 5 5 6 2 2" xfId="28182" xr:uid="{00000000-0005-0000-0000-00006A400000}"/>
    <cellStyle name="Remarque 2 2 5 5 6 2 2 2" xfId="52142" xr:uid="{00000000-0005-0000-0000-00006B400000}"/>
    <cellStyle name="Remarque 2 2 5 5 6 2 3" xfId="15429" xr:uid="{00000000-0005-0000-0000-00006C400000}"/>
    <cellStyle name="Remarque 2 2 5 5 6 2 4" xfId="39389" xr:uid="{00000000-0005-0000-0000-00006D400000}"/>
    <cellStyle name="Remarque 2 2 5 5 6 3" xfId="5602" xr:uid="{00000000-0005-0000-0000-00006E400000}"/>
    <cellStyle name="Remarque 2 2 5 5 6 3 2" xfId="29616" xr:uid="{00000000-0005-0000-0000-00006F400000}"/>
    <cellStyle name="Remarque 2 2 5 5 6 3 2 2" xfId="53576" xr:uid="{00000000-0005-0000-0000-000070400000}"/>
    <cellStyle name="Remarque 2 2 5 5 6 3 3" xfId="16863" xr:uid="{00000000-0005-0000-0000-000071400000}"/>
    <cellStyle name="Remarque 2 2 5 5 6 3 4" xfId="40823" xr:uid="{00000000-0005-0000-0000-000072400000}"/>
    <cellStyle name="Remarque 2 2 5 5 6 4" xfId="6996" xr:uid="{00000000-0005-0000-0000-000073400000}"/>
    <cellStyle name="Remarque 2 2 5 5 6 4 2" xfId="31010" xr:uid="{00000000-0005-0000-0000-000074400000}"/>
    <cellStyle name="Remarque 2 2 5 5 6 4 2 2" xfId="54970" xr:uid="{00000000-0005-0000-0000-000075400000}"/>
    <cellStyle name="Remarque 2 2 5 5 6 4 3" xfId="18257" xr:uid="{00000000-0005-0000-0000-000076400000}"/>
    <cellStyle name="Remarque 2 2 5 5 6 4 4" xfId="42217" xr:uid="{00000000-0005-0000-0000-000077400000}"/>
    <cellStyle name="Remarque 2 2 5 5 6 5" xfId="8384" xr:uid="{00000000-0005-0000-0000-000078400000}"/>
    <cellStyle name="Remarque 2 2 5 5 6 5 2" xfId="32398" xr:uid="{00000000-0005-0000-0000-000079400000}"/>
    <cellStyle name="Remarque 2 2 5 5 6 5 2 2" xfId="56358" xr:uid="{00000000-0005-0000-0000-00007A400000}"/>
    <cellStyle name="Remarque 2 2 5 5 6 5 3" xfId="19645" xr:uid="{00000000-0005-0000-0000-00007B400000}"/>
    <cellStyle name="Remarque 2 2 5 5 6 5 4" xfId="43605" xr:uid="{00000000-0005-0000-0000-00007C400000}"/>
    <cellStyle name="Remarque 2 2 5 5 6 6" xfId="9769" xr:uid="{00000000-0005-0000-0000-00007D400000}"/>
    <cellStyle name="Remarque 2 2 5 5 6 6 2" xfId="33783" xr:uid="{00000000-0005-0000-0000-00007E400000}"/>
    <cellStyle name="Remarque 2 2 5 5 6 6 2 2" xfId="57743" xr:uid="{00000000-0005-0000-0000-00007F400000}"/>
    <cellStyle name="Remarque 2 2 5 5 6 6 3" xfId="21030" xr:uid="{00000000-0005-0000-0000-000080400000}"/>
    <cellStyle name="Remarque 2 2 5 5 6 6 4" xfId="44990" xr:uid="{00000000-0005-0000-0000-000081400000}"/>
    <cellStyle name="Remarque 2 2 5 5 6 7" xfId="11226" xr:uid="{00000000-0005-0000-0000-000082400000}"/>
    <cellStyle name="Remarque 2 2 5 5 6 7 2" xfId="35236" xr:uid="{00000000-0005-0000-0000-000083400000}"/>
    <cellStyle name="Remarque 2 2 5 5 6 7 2 2" xfId="59196" xr:uid="{00000000-0005-0000-0000-000084400000}"/>
    <cellStyle name="Remarque 2 2 5 5 6 7 3" xfId="22493" xr:uid="{00000000-0005-0000-0000-000085400000}"/>
    <cellStyle name="Remarque 2 2 5 5 6 7 4" xfId="46453" xr:uid="{00000000-0005-0000-0000-000086400000}"/>
    <cellStyle name="Remarque 2 2 5 5 6 8" xfId="12734" xr:uid="{00000000-0005-0000-0000-000087400000}"/>
    <cellStyle name="Remarque 2 2 5 5 6 8 2" xfId="24040" xr:uid="{00000000-0005-0000-0000-000088400000}"/>
    <cellStyle name="Remarque 2 2 5 5 6 8 3" xfId="48000" xr:uid="{00000000-0005-0000-0000-000089400000}"/>
    <cellStyle name="Remarque 2 2 5 5 6 9" xfId="2698" xr:uid="{00000000-0005-0000-0000-00008A400000}"/>
    <cellStyle name="Remarque 2 2 5 5 6 9 2" xfId="26712" xr:uid="{00000000-0005-0000-0000-00008B400000}"/>
    <cellStyle name="Remarque 2 2 5 5 6 9 3" xfId="50672" xr:uid="{00000000-0005-0000-0000-00008C400000}"/>
    <cellStyle name="Remarque 2 2 5 5 7" xfId="1431" xr:uid="{00000000-0005-0000-0000-00008D400000}"/>
    <cellStyle name="Remarque 2 2 5 5 7 10" xfId="25463" xr:uid="{00000000-0005-0000-0000-00008E400000}"/>
    <cellStyle name="Remarque 2 2 5 5 7 10 2" xfId="49423" xr:uid="{00000000-0005-0000-0000-00008F400000}"/>
    <cellStyle name="Remarque 2 2 5 5 7 11" xfId="23846" xr:uid="{00000000-0005-0000-0000-000090400000}"/>
    <cellStyle name="Remarque 2 2 5 5 7 11 2" xfId="47806" xr:uid="{00000000-0005-0000-0000-000091400000}"/>
    <cellStyle name="Remarque 2 2 5 5 7 12" xfId="14128" xr:uid="{00000000-0005-0000-0000-000092400000}"/>
    <cellStyle name="Remarque 2 2 5 5 7 13" xfId="38088" xr:uid="{00000000-0005-0000-0000-000093400000}"/>
    <cellStyle name="Remarque 2 2 5 5 7 2" xfId="4337" xr:uid="{00000000-0005-0000-0000-000094400000}"/>
    <cellStyle name="Remarque 2 2 5 5 7 2 2" xfId="28351" xr:uid="{00000000-0005-0000-0000-000095400000}"/>
    <cellStyle name="Remarque 2 2 5 5 7 2 2 2" xfId="52311" xr:uid="{00000000-0005-0000-0000-000096400000}"/>
    <cellStyle name="Remarque 2 2 5 5 7 2 3" xfId="15598" xr:uid="{00000000-0005-0000-0000-000097400000}"/>
    <cellStyle name="Remarque 2 2 5 5 7 2 4" xfId="39558" xr:uid="{00000000-0005-0000-0000-000098400000}"/>
    <cellStyle name="Remarque 2 2 5 5 7 3" xfId="5771" xr:uid="{00000000-0005-0000-0000-000099400000}"/>
    <cellStyle name="Remarque 2 2 5 5 7 3 2" xfId="29785" xr:uid="{00000000-0005-0000-0000-00009A400000}"/>
    <cellStyle name="Remarque 2 2 5 5 7 3 2 2" xfId="53745" xr:uid="{00000000-0005-0000-0000-00009B400000}"/>
    <cellStyle name="Remarque 2 2 5 5 7 3 3" xfId="17032" xr:uid="{00000000-0005-0000-0000-00009C400000}"/>
    <cellStyle name="Remarque 2 2 5 5 7 3 4" xfId="40992" xr:uid="{00000000-0005-0000-0000-00009D400000}"/>
    <cellStyle name="Remarque 2 2 5 5 7 4" xfId="7165" xr:uid="{00000000-0005-0000-0000-00009E400000}"/>
    <cellStyle name="Remarque 2 2 5 5 7 4 2" xfId="31179" xr:uid="{00000000-0005-0000-0000-00009F400000}"/>
    <cellStyle name="Remarque 2 2 5 5 7 4 2 2" xfId="55139" xr:uid="{00000000-0005-0000-0000-0000A0400000}"/>
    <cellStyle name="Remarque 2 2 5 5 7 4 3" xfId="18426" xr:uid="{00000000-0005-0000-0000-0000A1400000}"/>
    <cellStyle name="Remarque 2 2 5 5 7 4 4" xfId="42386" xr:uid="{00000000-0005-0000-0000-0000A2400000}"/>
    <cellStyle name="Remarque 2 2 5 5 7 5" xfId="8553" xr:uid="{00000000-0005-0000-0000-0000A3400000}"/>
    <cellStyle name="Remarque 2 2 5 5 7 5 2" xfId="32567" xr:uid="{00000000-0005-0000-0000-0000A4400000}"/>
    <cellStyle name="Remarque 2 2 5 5 7 5 2 2" xfId="56527" xr:uid="{00000000-0005-0000-0000-0000A5400000}"/>
    <cellStyle name="Remarque 2 2 5 5 7 5 3" xfId="19814" xr:uid="{00000000-0005-0000-0000-0000A6400000}"/>
    <cellStyle name="Remarque 2 2 5 5 7 5 4" xfId="43774" xr:uid="{00000000-0005-0000-0000-0000A7400000}"/>
    <cellStyle name="Remarque 2 2 5 5 7 6" xfId="9938" xr:uid="{00000000-0005-0000-0000-0000A8400000}"/>
    <cellStyle name="Remarque 2 2 5 5 7 6 2" xfId="33952" xr:uid="{00000000-0005-0000-0000-0000A9400000}"/>
    <cellStyle name="Remarque 2 2 5 5 7 6 2 2" xfId="57912" xr:uid="{00000000-0005-0000-0000-0000AA400000}"/>
    <cellStyle name="Remarque 2 2 5 5 7 6 3" xfId="21199" xr:uid="{00000000-0005-0000-0000-0000AB400000}"/>
    <cellStyle name="Remarque 2 2 5 5 7 6 4" xfId="45159" xr:uid="{00000000-0005-0000-0000-0000AC400000}"/>
    <cellStyle name="Remarque 2 2 5 5 7 7" xfId="11395" xr:uid="{00000000-0005-0000-0000-0000AD400000}"/>
    <cellStyle name="Remarque 2 2 5 5 7 7 2" xfId="35405" xr:uid="{00000000-0005-0000-0000-0000AE400000}"/>
    <cellStyle name="Remarque 2 2 5 5 7 7 2 2" xfId="59365" xr:uid="{00000000-0005-0000-0000-0000AF400000}"/>
    <cellStyle name="Remarque 2 2 5 5 7 7 3" xfId="22662" xr:uid="{00000000-0005-0000-0000-0000B0400000}"/>
    <cellStyle name="Remarque 2 2 5 5 7 7 4" xfId="46622" xr:uid="{00000000-0005-0000-0000-0000B1400000}"/>
    <cellStyle name="Remarque 2 2 5 5 7 8" xfId="12639" xr:uid="{00000000-0005-0000-0000-0000B2400000}"/>
    <cellStyle name="Remarque 2 2 5 5 7 8 2" xfId="23943" xr:uid="{00000000-0005-0000-0000-0000B3400000}"/>
    <cellStyle name="Remarque 2 2 5 5 7 8 3" xfId="47903" xr:uid="{00000000-0005-0000-0000-0000B4400000}"/>
    <cellStyle name="Remarque 2 2 5 5 7 9" xfId="2867" xr:uid="{00000000-0005-0000-0000-0000B5400000}"/>
    <cellStyle name="Remarque 2 2 5 5 7 9 2" xfId="26881" xr:uid="{00000000-0005-0000-0000-0000B6400000}"/>
    <cellStyle name="Remarque 2 2 5 5 7 9 3" xfId="50841" xr:uid="{00000000-0005-0000-0000-0000B7400000}"/>
    <cellStyle name="Remarque 2 2 5 5 8" xfId="3286" xr:uid="{00000000-0005-0000-0000-0000B8400000}"/>
    <cellStyle name="Remarque 2 2 5 5 8 2" xfId="27300" xr:uid="{00000000-0005-0000-0000-0000B9400000}"/>
    <cellStyle name="Remarque 2 2 5 5 8 2 2" xfId="51260" xr:uid="{00000000-0005-0000-0000-0000BA400000}"/>
    <cellStyle name="Remarque 2 2 5 5 8 3" xfId="14547" xr:uid="{00000000-0005-0000-0000-0000BB400000}"/>
    <cellStyle name="Remarque 2 2 5 5 8 4" xfId="38507" xr:uid="{00000000-0005-0000-0000-0000BC400000}"/>
    <cellStyle name="Remarque 2 2 5 5 9" xfId="4720" xr:uid="{00000000-0005-0000-0000-0000BD400000}"/>
    <cellStyle name="Remarque 2 2 5 5 9 2" xfId="28734" xr:uid="{00000000-0005-0000-0000-0000BE400000}"/>
    <cellStyle name="Remarque 2 2 5 5 9 2 2" xfId="52694" xr:uid="{00000000-0005-0000-0000-0000BF400000}"/>
    <cellStyle name="Remarque 2 2 5 5 9 3" xfId="15981" xr:uid="{00000000-0005-0000-0000-0000C0400000}"/>
    <cellStyle name="Remarque 2 2 5 5 9 4" xfId="39941" xr:uid="{00000000-0005-0000-0000-0000C1400000}"/>
    <cellStyle name="Remarque 2 2 5 6" xfId="310" xr:uid="{00000000-0005-0000-0000-0000C2400000}"/>
    <cellStyle name="Remarque 2 2 5 6 10" xfId="24342" xr:uid="{00000000-0005-0000-0000-0000C3400000}"/>
    <cellStyle name="Remarque 2 2 5 6 10 2" xfId="48302" xr:uid="{00000000-0005-0000-0000-0000C4400000}"/>
    <cellStyle name="Remarque 2 2 5 6 11" xfId="36783" xr:uid="{00000000-0005-0000-0000-0000C5400000}"/>
    <cellStyle name="Remarque 2 2 5 6 11 2" xfId="60743" xr:uid="{00000000-0005-0000-0000-0000C6400000}"/>
    <cellStyle name="Remarque 2 2 5 6 12" xfId="13007" xr:uid="{00000000-0005-0000-0000-0000C7400000}"/>
    <cellStyle name="Remarque 2 2 5 6 13" xfId="36967" xr:uid="{00000000-0005-0000-0000-0000C8400000}"/>
    <cellStyle name="Remarque 2 2 5 6 2" xfId="3216" xr:uid="{00000000-0005-0000-0000-0000C9400000}"/>
    <cellStyle name="Remarque 2 2 5 6 2 2" xfId="27230" xr:uid="{00000000-0005-0000-0000-0000CA400000}"/>
    <cellStyle name="Remarque 2 2 5 6 2 2 2" xfId="51190" xr:uid="{00000000-0005-0000-0000-0000CB400000}"/>
    <cellStyle name="Remarque 2 2 5 6 2 3" xfId="14477" xr:uid="{00000000-0005-0000-0000-0000CC400000}"/>
    <cellStyle name="Remarque 2 2 5 6 2 4" xfId="38437" xr:uid="{00000000-0005-0000-0000-0000CD400000}"/>
    <cellStyle name="Remarque 2 2 5 6 3" xfId="4650" xr:uid="{00000000-0005-0000-0000-0000CE400000}"/>
    <cellStyle name="Remarque 2 2 5 6 3 2" xfId="28664" xr:uid="{00000000-0005-0000-0000-0000CF400000}"/>
    <cellStyle name="Remarque 2 2 5 6 3 2 2" xfId="52624" xr:uid="{00000000-0005-0000-0000-0000D0400000}"/>
    <cellStyle name="Remarque 2 2 5 6 3 3" xfId="15911" xr:uid="{00000000-0005-0000-0000-0000D1400000}"/>
    <cellStyle name="Remarque 2 2 5 6 3 4" xfId="39871" xr:uid="{00000000-0005-0000-0000-0000D2400000}"/>
    <cellStyle name="Remarque 2 2 5 6 4" xfId="6044" xr:uid="{00000000-0005-0000-0000-0000D3400000}"/>
    <cellStyle name="Remarque 2 2 5 6 4 2" xfId="30058" xr:uid="{00000000-0005-0000-0000-0000D4400000}"/>
    <cellStyle name="Remarque 2 2 5 6 4 2 2" xfId="54018" xr:uid="{00000000-0005-0000-0000-0000D5400000}"/>
    <cellStyle name="Remarque 2 2 5 6 4 3" xfId="17305" xr:uid="{00000000-0005-0000-0000-0000D6400000}"/>
    <cellStyle name="Remarque 2 2 5 6 4 4" xfId="41265" xr:uid="{00000000-0005-0000-0000-0000D7400000}"/>
    <cellStyle name="Remarque 2 2 5 6 5" xfId="7432" xr:uid="{00000000-0005-0000-0000-0000D8400000}"/>
    <cellStyle name="Remarque 2 2 5 6 5 2" xfId="31446" xr:uid="{00000000-0005-0000-0000-0000D9400000}"/>
    <cellStyle name="Remarque 2 2 5 6 5 2 2" xfId="55406" xr:uid="{00000000-0005-0000-0000-0000DA400000}"/>
    <cellStyle name="Remarque 2 2 5 6 5 3" xfId="18693" xr:uid="{00000000-0005-0000-0000-0000DB400000}"/>
    <cellStyle name="Remarque 2 2 5 6 5 4" xfId="42653" xr:uid="{00000000-0005-0000-0000-0000DC400000}"/>
    <cellStyle name="Remarque 2 2 5 6 6" xfId="8817" xr:uid="{00000000-0005-0000-0000-0000DD400000}"/>
    <cellStyle name="Remarque 2 2 5 6 6 2" xfId="32831" xr:uid="{00000000-0005-0000-0000-0000DE400000}"/>
    <cellStyle name="Remarque 2 2 5 6 6 2 2" xfId="56791" xr:uid="{00000000-0005-0000-0000-0000DF400000}"/>
    <cellStyle name="Remarque 2 2 5 6 6 3" xfId="20078" xr:uid="{00000000-0005-0000-0000-0000E0400000}"/>
    <cellStyle name="Remarque 2 2 5 6 6 4" xfId="44038" xr:uid="{00000000-0005-0000-0000-0000E1400000}"/>
    <cellStyle name="Remarque 2 2 5 6 7" xfId="10274" xr:uid="{00000000-0005-0000-0000-0000E2400000}"/>
    <cellStyle name="Remarque 2 2 5 6 7 2" xfId="34284" xr:uid="{00000000-0005-0000-0000-0000E3400000}"/>
    <cellStyle name="Remarque 2 2 5 6 7 2 2" xfId="58244" xr:uid="{00000000-0005-0000-0000-0000E4400000}"/>
    <cellStyle name="Remarque 2 2 5 6 7 3" xfId="21541" xr:uid="{00000000-0005-0000-0000-0000E5400000}"/>
    <cellStyle name="Remarque 2 2 5 6 7 4" xfId="45501" xr:uid="{00000000-0005-0000-0000-0000E6400000}"/>
    <cellStyle name="Remarque 2 2 5 6 8" xfId="12559" xr:uid="{00000000-0005-0000-0000-0000E7400000}"/>
    <cellStyle name="Remarque 2 2 5 6 8 2" xfId="23859" xr:uid="{00000000-0005-0000-0000-0000E8400000}"/>
    <cellStyle name="Remarque 2 2 5 6 8 3" xfId="47819" xr:uid="{00000000-0005-0000-0000-0000E9400000}"/>
    <cellStyle name="Remarque 2 2 5 6 9" xfId="1746" xr:uid="{00000000-0005-0000-0000-0000EA400000}"/>
    <cellStyle name="Remarque 2 2 5 6 9 2" xfId="25760" xr:uid="{00000000-0005-0000-0000-0000EB400000}"/>
    <cellStyle name="Remarque 2 2 5 6 9 3" xfId="49720" xr:uid="{00000000-0005-0000-0000-0000EC400000}"/>
    <cellStyle name="Remarque 2 2 5 7" xfId="624" xr:uid="{00000000-0005-0000-0000-0000ED400000}"/>
    <cellStyle name="Remarque 2 2 5 7 10" xfId="24656" xr:uid="{00000000-0005-0000-0000-0000EE400000}"/>
    <cellStyle name="Remarque 2 2 5 7 10 2" xfId="48616" xr:uid="{00000000-0005-0000-0000-0000EF400000}"/>
    <cellStyle name="Remarque 2 2 5 7 11" xfId="36413" xr:uid="{00000000-0005-0000-0000-0000F0400000}"/>
    <cellStyle name="Remarque 2 2 5 7 11 2" xfId="60373" xr:uid="{00000000-0005-0000-0000-0000F1400000}"/>
    <cellStyle name="Remarque 2 2 5 7 12" xfId="13321" xr:uid="{00000000-0005-0000-0000-0000F2400000}"/>
    <cellStyle name="Remarque 2 2 5 7 13" xfId="37281" xr:uid="{00000000-0005-0000-0000-0000F3400000}"/>
    <cellStyle name="Remarque 2 2 5 7 2" xfId="3530" xr:uid="{00000000-0005-0000-0000-0000F4400000}"/>
    <cellStyle name="Remarque 2 2 5 7 2 2" xfId="27544" xr:uid="{00000000-0005-0000-0000-0000F5400000}"/>
    <cellStyle name="Remarque 2 2 5 7 2 2 2" xfId="51504" xr:uid="{00000000-0005-0000-0000-0000F6400000}"/>
    <cellStyle name="Remarque 2 2 5 7 2 3" xfId="14791" xr:uid="{00000000-0005-0000-0000-0000F7400000}"/>
    <cellStyle name="Remarque 2 2 5 7 2 4" xfId="38751" xr:uid="{00000000-0005-0000-0000-0000F8400000}"/>
    <cellStyle name="Remarque 2 2 5 7 3" xfId="4964" xr:uid="{00000000-0005-0000-0000-0000F9400000}"/>
    <cellStyle name="Remarque 2 2 5 7 3 2" xfId="28978" xr:uid="{00000000-0005-0000-0000-0000FA400000}"/>
    <cellStyle name="Remarque 2 2 5 7 3 2 2" xfId="52938" xr:uid="{00000000-0005-0000-0000-0000FB400000}"/>
    <cellStyle name="Remarque 2 2 5 7 3 3" xfId="16225" xr:uid="{00000000-0005-0000-0000-0000FC400000}"/>
    <cellStyle name="Remarque 2 2 5 7 3 4" xfId="40185" xr:uid="{00000000-0005-0000-0000-0000FD400000}"/>
    <cellStyle name="Remarque 2 2 5 7 4" xfId="6358" xr:uid="{00000000-0005-0000-0000-0000FE400000}"/>
    <cellStyle name="Remarque 2 2 5 7 4 2" xfId="30372" xr:uid="{00000000-0005-0000-0000-0000FF400000}"/>
    <cellStyle name="Remarque 2 2 5 7 4 2 2" xfId="54332" xr:uid="{00000000-0005-0000-0000-000000410000}"/>
    <cellStyle name="Remarque 2 2 5 7 4 3" xfId="17619" xr:uid="{00000000-0005-0000-0000-000001410000}"/>
    <cellStyle name="Remarque 2 2 5 7 4 4" xfId="41579" xr:uid="{00000000-0005-0000-0000-000002410000}"/>
    <cellStyle name="Remarque 2 2 5 7 5" xfId="7746" xr:uid="{00000000-0005-0000-0000-000003410000}"/>
    <cellStyle name="Remarque 2 2 5 7 5 2" xfId="31760" xr:uid="{00000000-0005-0000-0000-000004410000}"/>
    <cellStyle name="Remarque 2 2 5 7 5 2 2" xfId="55720" xr:uid="{00000000-0005-0000-0000-000005410000}"/>
    <cellStyle name="Remarque 2 2 5 7 5 3" xfId="19007" xr:uid="{00000000-0005-0000-0000-000006410000}"/>
    <cellStyle name="Remarque 2 2 5 7 5 4" xfId="42967" xr:uid="{00000000-0005-0000-0000-000007410000}"/>
    <cellStyle name="Remarque 2 2 5 7 6" xfId="9131" xr:uid="{00000000-0005-0000-0000-000008410000}"/>
    <cellStyle name="Remarque 2 2 5 7 6 2" xfId="33145" xr:uid="{00000000-0005-0000-0000-000009410000}"/>
    <cellStyle name="Remarque 2 2 5 7 6 2 2" xfId="57105" xr:uid="{00000000-0005-0000-0000-00000A410000}"/>
    <cellStyle name="Remarque 2 2 5 7 6 3" xfId="20392" xr:uid="{00000000-0005-0000-0000-00000B410000}"/>
    <cellStyle name="Remarque 2 2 5 7 6 4" xfId="44352" xr:uid="{00000000-0005-0000-0000-00000C410000}"/>
    <cellStyle name="Remarque 2 2 5 7 7" xfId="10588" xr:uid="{00000000-0005-0000-0000-00000D410000}"/>
    <cellStyle name="Remarque 2 2 5 7 7 2" xfId="34598" xr:uid="{00000000-0005-0000-0000-00000E410000}"/>
    <cellStyle name="Remarque 2 2 5 7 7 2 2" xfId="58558" xr:uid="{00000000-0005-0000-0000-00000F410000}"/>
    <cellStyle name="Remarque 2 2 5 7 7 3" xfId="21855" xr:uid="{00000000-0005-0000-0000-000010410000}"/>
    <cellStyle name="Remarque 2 2 5 7 7 4" xfId="45815" xr:uid="{00000000-0005-0000-0000-000011410000}"/>
    <cellStyle name="Remarque 2 2 5 7 8" xfId="12053" xr:uid="{00000000-0005-0000-0000-000012410000}"/>
    <cellStyle name="Remarque 2 2 5 7 8 2" xfId="23333" xr:uid="{00000000-0005-0000-0000-000013410000}"/>
    <cellStyle name="Remarque 2 2 5 7 8 3" xfId="47293" xr:uid="{00000000-0005-0000-0000-000014410000}"/>
    <cellStyle name="Remarque 2 2 5 7 9" xfId="2060" xr:uid="{00000000-0005-0000-0000-000015410000}"/>
    <cellStyle name="Remarque 2 2 5 7 9 2" xfId="26074" xr:uid="{00000000-0005-0000-0000-000016410000}"/>
    <cellStyle name="Remarque 2 2 5 7 9 3" xfId="50034" xr:uid="{00000000-0005-0000-0000-000017410000}"/>
    <cellStyle name="Remarque 2 2 5 8" xfId="818" xr:uid="{00000000-0005-0000-0000-000018410000}"/>
    <cellStyle name="Remarque 2 2 5 8 10" xfId="24850" xr:uid="{00000000-0005-0000-0000-000019410000}"/>
    <cellStyle name="Remarque 2 2 5 8 10 2" xfId="48810" xr:uid="{00000000-0005-0000-0000-00001A410000}"/>
    <cellStyle name="Remarque 2 2 5 8 11" xfId="36107" xr:uid="{00000000-0005-0000-0000-00001B410000}"/>
    <cellStyle name="Remarque 2 2 5 8 11 2" xfId="60067" xr:uid="{00000000-0005-0000-0000-00001C410000}"/>
    <cellStyle name="Remarque 2 2 5 8 12" xfId="13515" xr:uid="{00000000-0005-0000-0000-00001D410000}"/>
    <cellStyle name="Remarque 2 2 5 8 13" xfId="37475" xr:uid="{00000000-0005-0000-0000-00001E410000}"/>
    <cellStyle name="Remarque 2 2 5 8 2" xfId="3724" xr:uid="{00000000-0005-0000-0000-00001F410000}"/>
    <cellStyle name="Remarque 2 2 5 8 2 2" xfId="27738" xr:uid="{00000000-0005-0000-0000-000020410000}"/>
    <cellStyle name="Remarque 2 2 5 8 2 2 2" xfId="51698" xr:uid="{00000000-0005-0000-0000-000021410000}"/>
    <cellStyle name="Remarque 2 2 5 8 2 3" xfId="14985" xr:uid="{00000000-0005-0000-0000-000022410000}"/>
    <cellStyle name="Remarque 2 2 5 8 2 4" xfId="38945" xr:uid="{00000000-0005-0000-0000-000023410000}"/>
    <cellStyle name="Remarque 2 2 5 8 3" xfId="5158" xr:uid="{00000000-0005-0000-0000-000024410000}"/>
    <cellStyle name="Remarque 2 2 5 8 3 2" xfId="29172" xr:uid="{00000000-0005-0000-0000-000025410000}"/>
    <cellStyle name="Remarque 2 2 5 8 3 2 2" xfId="53132" xr:uid="{00000000-0005-0000-0000-000026410000}"/>
    <cellStyle name="Remarque 2 2 5 8 3 3" xfId="16419" xr:uid="{00000000-0005-0000-0000-000027410000}"/>
    <cellStyle name="Remarque 2 2 5 8 3 4" xfId="40379" xr:uid="{00000000-0005-0000-0000-000028410000}"/>
    <cellStyle name="Remarque 2 2 5 8 4" xfId="6552" xr:uid="{00000000-0005-0000-0000-000029410000}"/>
    <cellStyle name="Remarque 2 2 5 8 4 2" xfId="30566" xr:uid="{00000000-0005-0000-0000-00002A410000}"/>
    <cellStyle name="Remarque 2 2 5 8 4 2 2" xfId="54526" xr:uid="{00000000-0005-0000-0000-00002B410000}"/>
    <cellStyle name="Remarque 2 2 5 8 4 3" xfId="17813" xr:uid="{00000000-0005-0000-0000-00002C410000}"/>
    <cellStyle name="Remarque 2 2 5 8 4 4" xfId="41773" xr:uid="{00000000-0005-0000-0000-00002D410000}"/>
    <cellStyle name="Remarque 2 2 5 8 5" xfId="7940" xr:uid="{00000000-0005-0000-0000-00002E410000}"/>
    <cellStyle name="Remarque 2 2 5 8 5 2" xfId="31954" xr:uid="{00000000-0005-0000-0000-00002F410000}"/>
    <cellStyle name="Remarque 2 2 5 8 5 2 2" xfId="55914" xr:uid="{00000000-0005-0000-0000-000030410000}"/>
    <cellStyle name="Remarque 2 2 5 8 5 3" xfId="19201" xr:uid="{00000000-0005-0000-0000-000031410000}"/>
    <cellStyle name="Remarque 2 2 5 8 5 4" xfId="43161" xr:uid="{00000000-0005-0000-0000-000032410000}"/>
    <cellStyle name="Remarque 2 2 5 8 6" xfId="9325" xr:uid="{00000000-0005-0000-0000-000033410000}"/>
    <cellStyle name="Remarque 2 2 5 8 6 2" xfId="33339" xr:uid="{00000000-0005-0000-0000-000034410000}"/>
    <cellStyle name="Remarque 2 2 5 8 6 2 2" xfId="57299" xr:uid="{00000000-0005-0000-0000-000035410000}"/>
    <cellStyle name="Remarque 2 2 5 8 6 3" xfId="20586" xr:uid="{00000000-0005-0000-0000-000036410000}"/>
    <cellStyle name="Remarque 2 2 5 8 6 4" xfId="44546" xr:uid="{00000000-0005-0000-0000-000037410000}"/>
    <cellStyle name="Remarque 2 2 5 8 7" xfId="10782" xr:uid="{00000000-0005-0000-0000-000038410000}"/>
    <cellStyle name="Remarque 2 2 5 8 7 2" xfId="34792" xr:uid="{00000000-0005-0000-0000-000039410000}"/>
    <cellStyle name="Remarque 2 2 5 8 7 2 2" xfId="58752" xr:uid="{00000000-0005-0000-0000-00003A410000}"/>
    <cellStyle name="Remarque 2 2 5 8 7 3" xfId="22049" xr:uid="{00000000-0005-0000-0000-00003B410000}"/>
    <cellStyle name="Remarque 2 2 5 8 7 4" xfId="46009" xr:uid="{00000000-0005-0000-0000-00003C410000}"/>
    <cellStyle name="Remarque 2 2 5 8 8" xfId="11704" xr:uid="{00000000-0005-0000-0000-00003D410000}"/>
    <cellStyle name="Remarque 2 2 5 8 8 2" xfId="22973" xr:uid="{00000000-0005-0000-0000-00003E410000}"/>
    <cellStyle name="Remarque 2 2 5 8 8 3" xfId="46933" xr:uid="{00000000-0005-0000-0000-00003F410000}"/>
    <cellStyle name="Remarque 2 2 5 8 9" xfId="2254" xr:uid="{00000000-0005-0000-0000-000040410000}"/>
    <cellStyle name="Remarque 2 2 5 8 9 2" xfId="26268" xr:uid="{00000000-0005-0000-0000-000041410000}"/>
    <cellStyle name="Remarque 2 2 5 8 9 3" xfId="50228" xr:uid="{00000000-0005-0000-0000-000042410000}"/>
    <cellStyle name="Remarque 2 2 5 9" xfId="1011" xr:uid="{00000000-0005-0000-0000-000043410000}"/>
    <cellStyle name="Remarque 2 2 5 9 10" xfId="25043" xr:uid="{00000000-0005-0000-0000-000044410000}"/>
    <cellStyle name="Remarque 2 2 5 9 10 2" xfId="49003" xr:uid="{00000000-0005-0000-0000-000045410000}"/>
    <cellStyle name="Remarque 2 2 5 9 11" xfId="36675" xr:uid="{00000000-0005-0000-0000-000046410000}"/>
    <cellStyle name="Remarque 2 2 5 9 11 2" xfId="60635" xr:uid="{00000000-0005-0000-0000-000047410000}"/>
    <cellStyle name="Remarque 2 2 5 9 12" xfId="13708" xr:uid="{00000000-0005-0000-0000-000048410000}"/>
    <cellStyle name="Remarque 2 2 5 9 13" xfId="37668" xr:uid="{00000000-0005-0000-0000-000049410000}"/>
    <cellStyle name="Remarque 2 2 5 9 2" xfId="3917" xr:uid="{00000000-0005-0000-0000-00004A410000}"/>
    <cellStyle name="Remarque 2 2 5 9 2 2" xfId="27931" xr:uid="{00000000-0005-0000-0000-00004B410000}"/>
    <cellStyle name="Remarque 2 2 5 9 2 2 2" xfId="51891" xr:uid="{00000000-0005-0000-0000-00004C410000}"/>
    <cellStyle name="Remarque 2 2 5 9 2 3" xfId="15178" xr:uid="{00000000-0005-0000-0000-00004D410000}"/>
    <cellStyle name="Remarque 2 2 5 9 2 4" xfId="39138" xr:uid="{00000000-0005-0000-0000-00004E410000}"/>
    <cellStyle name="Remarque 2 2 5 9 3" xfId="5351" xr:uid="{00000000-0005-0000-0000-00004F410000}"/>
    <cellStyle name="Remarque 2 2 5 9 3 2" xfId="29365" xr:uid="{00000000-0005-0000-0000-000050410000}"/>
    <cellStyle name="Remarque 2 2 5 9 3 2 2" xfId="53325" xr:uid="{00000000-0005-0000-0000-000051410000}"/>
    <cellStyle name="Remarque 2 2 5 9 3 3" xfId="16612" xr:uid="{00000000-0005-0000-0000-000052410000}"/>
    <cellStyle name="Remarque 2 2 5 9 3 4" xfId="40572" xr:uid="{00000000-0005-0000-0000-000053410000}"/>
    <cellStyle name="Remarque 2 2 5 9 4" xfId="6745" xr:uid="{00000000-0005-0000-0000-000054410000}"/>
    <cellStyle name="Remarque 2 2 5 9 4 2" xfId="30759" xr:uid="{00000000-0005-0000-0000-000055410000}"/>
    <cellStyle name="Remarque 2 2 5 9 4 2 2" xfId="54719" xr:uid="{00000000-0005-0000-0000-000056410000}"/>
    <cellStyle name="Remarque 2 2 5 9 4 3" xfId="18006" xr:uid="{00000000-0005-0000-0000-000057410000}"/>
    <cellStyle name="Remarque 2 2 5 9 4 4" xfId="41966" xr:uid="{00000000-0005-0000-0000-000058410000}"/>
    <cellStyle name="Remarque 2 2 5 9 5" xfId="8133" xr:uid="{00000000-0005-0000-0000-000059410000}"/>
    <cellStyle name="Remarque 2 2 5 9 5 2" xfId="32147" xr:uid="{00000000-0005-0000-0000-00005A410000}"/>
    <cellStyle name="Remarque 2 2 5 9 5 2 2" xfId="56107" xr:uid="{00000000-0005-0000-0000-00005B410000}"/>
    <cellStyle name="Remarque 2 2 5 9 5 3" xfId="19394" xr:uid="{00000000-0005-0000-0000-00005C410000}"/>
    <cellStyle name="Remarque 2 2 5 9 5 4" xfId="43354" xr:uid="{00000000-0005-0000-0000-00005D410000}"/>
    <cellStyle name="Remarque 2 2 5 9 6" xfId="9518" xr:uid="{00000000-0005-0000-0000-00005E410000}"/>
    <cellStyle name="Remarque 2 2 5 9 6 2" xfId="33532" xr:uid="{00000000-0005-0000-0000-00005F410000}"/>
    <cellStyle name="Remarque 2 2 5 9 6 2 2" xfId="57492" xr:uid="{00000000-0005-0000-0000-000060410000}"/>
    <cellStyle name="Remarque 2 2 5 9 6 3" xfId="20779" xr:uid="{00000000-0005-0000-0000-000061410000}"/>
    <cellStyle name="Remarque 2 2 5 9 6 4" xfId="44739" xr:uid="{00000000-0005-0000-0000-000062410000}"/>
    <cellStyle name="Remarque 2 2 5 9 7" xfId="10975" xr:uid="{00000000-0005-0000-0000-000063410000}"/>
    <cellStyle name="Remarque 2 2 5 9 7 2" xfId="34985" xr:uid="{00000000-0005-0000-0000-000064410000}"/>
    <cellStyle name="Remarque 2 2 5 9 7 2 2" xfId="58945" xr:uid="{00000000-0005-0000-0000-000065410000}"/>
    <cellStyle name="Remarque 2 2 5 9 7 3" xfId="22242" xr:uid="{00000000-0005-0000-0000-000066410000}"/>
    <cellStyle name="Remarque 2 2 5 9 7 4" xfId="46202" xr:uid="{00000000-0005-0000-0000-000067410000}"/>
    <cellStyle name="Remarque 2 2 5 9 8" xfId="4583" xr:uid="{00000000-0005-0000-0000-000068410000}"/>
    <cellStyle name="Remarque 2 2 5 9 8 2" xfId="15844" xr:uid="{00000000-0005-0000-0000-000069410000}"/>
    <cellStyle name="Remarque 2 2 5 9 8 3" xfId="39804" xr:uid="{00000000-0005-0000-0000-00006A410000}"/>
    <cellStyle name="Remarque 2 2 5 9 9" xfId="2447" xr:uid="{00000000-0005-0000-0000-00006B410000}"/>
    <cellStyle name="Remarque 2 2 5 9 9 2" xfId="26461" xr:uid="{00000000-0005-0000-0000-00006C410000}"/>
    <cellStyle name="Remarque 2 2 5 9 9 3" xfId="50421" xr:uid="{00000000-0005-0000-0000-00006D410000}"/>
    <cellStyle name="Remarque 2 2 6" xfId="79" xr:uid="{00000000-0005-0000-0000-00006E410000}"/>
    <cellStyle name="Remarque 2 2 6 10" xfId="1373" xr:uid="{00000000-0005-0000-0000-00006F410000}"/>
    <cellStyle name="Remarque 2 2 6 10 10" xfId="25405" xr:uid="{00000000-0005-0000-0000-000070410000}"/>
    <cellStyle name="Remarque 2 2 6 10 10 2" xfId="49365" xr:uid="{00000000-0005-0000-0000-000071410000}"/>
    <cellStyle name="Remarque 2 2 6 10 11" xfId="36031" xr:uid="{00000000-0005-0000-0000-000072410000}"/>
    <cellStyle name="Remarque 2 2 6 10 11 2" xfId="59991" xr:uid="{00000000-0005-0000-0000-000073410000}"/>
    <cellStyle name="Remarque 2 2 6 10 12" xfId="14070" xr:uid="{00000000-0005-0000-0000-000074410000}"/>
    <cellStyle name="Remarque 2 2 6 10 13" xfId="38030" xr:uid="{00000000-0005-0000-0000-000075410000}"/>
    <cellStyle name="Remarque 2 2 6 10 2" xfId="4279" xr:uid="{00000000-0005-0000-0000-000076410000}"/>
    <cellStyle name="Remarque 2 2 6 10 2 2" xfId="28293" xr:uid="{00000000-0005-0000-0000-000077410000}"/>
    <cellStyle name="Remarque 2 2 6 10 2 2 2" xfId="52253" xr:uid="{00000000-0005-0000-0000-000078410000}"/>
    <cellStyle name="Remarque 2 2 6 10 2 3" xfId="15540" xr:uid="{00000000-0005-0000-0000-000079410000}"/>
    <cellStyle name="Remarque 2 2 6 10 2 4" xfId="39500" xr:uid="{00000000-0005-0000-0000-00007A410000}"/>
    <cellStyle name="Remarque 2 2 6 10 3" xfId="5713" xr:uid="{00000000-0005-0000-0000-00007B410000}"/>
    <cellStyle name="Remarque 2 2 6 10 3 2" xfId="29727" xr:uid="{00000000-0005-0000-0000-00007C410000}"/>
    <cellStyle name="Remarque 2 2 6 10 3 2 2" xfId="53687" xr:uid="{00000000-0005-0000-0000-00007D410000}"/>
    <cellStyle name="Remarque 2 2 6 10 3 3" xfId="16974" xr:uid="{00000000-0005-0000-0000-00007E410000}"/>
    <cellStyle name="Remarque 2 2 6 10 3 4" xfId="40934" xr:uid="{00000000-0005-0000-0000-00007F410000}"/>
    <cellStyle name="Remarque 2 2 6 10 4" xfId="7107" xr:uid="{00000000-0005-0000-0000-000080410000}"/>
    <cellStyle name="Remarque 2 2 6 10 4 2" xfId="31121" xr:uid="{00000000-0005-0000-0000-000081410000}"/>
    <cellStyle name="Remarque 2 2 6 10 4 2 2" xfId="55081" xr:uid="{00000000-0005-0000-0000-000082410000}"/>
    <cellStyle name="Remarque 2 2 6 10 4 3" xfId="18368" xr:uid="{00000000-0005-0000-0000-000083410000}"/>
    <cellStyle name="Remarque 2 2 6 10 4 4" xfId="42328" xr:uid="{00000000-0005-0000-0000-000084410000}"/>
    <cellStyle name="Remarque 2 2 6 10 5" xfId="8495" xr:uid="{00000000-0005-0000-0000-000085410000}"/>
    <cellStyle name="Remarque 2 2 6 10 5 2" xfId="32509" xr:uid="{00000000-0005-0000-0000-000086410000}"/>
    <cellStyle name="Remarque 2 2 6 10 5 2 2" xfId="56469" xr:uid="{00000000-0005-0000-0000-000087410000}"/>
    <cellStyle name="Remarque 2 2 6 10 5 3" xfId="19756" xr:uid="{00000000-0005-0000-0000-000088410000}"/>
    <cellStyle name="Remarque 2 2 6 10 5 4" xfId="43716" xr:uid="{00000000-0005-0000-0000-000089410000}"/>
    <cellStyle name="Remarque 2 2 6 10 6" xfId="9880" xr:uid="{00000000-0005-0000-0000-00008A410000}"/>
    <cellStyle name="Remarque 2 2 6 10 6 2" xfId="33894" xr:uid="{00000000-0005-0000-0000-00008B410000}"/>
    <cellStyle name="Remarque 2 2 6 10 6 2 2" xfId="57854" xr:uid="{00000000-0005-0000-0000-00008C410000}"/>
    <cellStyle name="Remarque 2 2 6 10 6 3" xfId="21141" xr:uid="{00000000-0005-0000-0000-00008D410000}"/>
    <cellStyle name="Remarque 2 2 6 10 6 4" xfId="45101" xr:uid="{00000000-0005-0000-0000-00008E410000}"/>
    <cellStyle name="Remarque 2 2 6 10 7" xfId="11337" xr:uid="{00000000-0005-0000-0000-00008F410000}"/>
    <cellStyle name="Remarque 2 2 6 10 7 2" xfId="35347" xr:uid="{00000000-0005-0000-0000-000090410000}"/>
    <cellStyle name="Remarque 2 2 6 10 7 2 2" xfId="59307" xr:uid="{00000000-0005-0000-0000-000091410000}"/>
    <cellStyle name="Remarque 2 2 6 10 7 3" xfId="22604" xr:uid="{00000000-0005-0000-0000-000092410000}"/>
    <cellStyle name="Remarque 2 2 6 10 7 4" xfId="46564" xr:uid="{00000000-0005-0000-0000-000093410000}"/>
    <cellStyle name="Remarque 2 2 6 10 8" xfId="12354" xr:uid="{00000000-0005-0000-0000-000094410000}"/>
    <cellStyle name="Remarque 2 2 6 10 8 2" xfId="23642" xr:uid="{00000000-0005-0000-0000-000095410000}"/>
    <cellStyle name="Remarque 2 2 6 10 8 3" xfId="47602" xr:uid="{00000000-0005-0000-0000-000096410000}"/>
    <cellStyle name="Remarque 2 2 6 10 9" xfId="2809" xr:uid="{00000000-0005-0000-0000-000097410000}"/>
    <cellStyle name="Remarque 2 2 6 10 9 2" xfId="26823" xr:uid="{00000000-0005-0000-0000-000098410000}"/>
    <cellStyle name="Remarque 2 2 6 10 9 3" xfId="50783" xr:uid="{00000000-0005-0000-0000-000099410000}"/>
    <cellStyle name="Remarque 2 2 6 11" xfId="1584" xr:uid="{00000000-0005-0000-0000-00009A410000}"/>
    <cellStyle name="Remarque 2 2 6 11 10" xfId="25616" xr:uid="{00000000-0005-0000-0000-00009B410000}"/>
    <cellStyle name="Remarque 2 2 6 11 10 2" xfId="49576" xr:uid="{00000000-0005-0000-0000-00009C410000}"/>
    <cellStyle name="Remarque 2 2 6 11 11" xfId="36843" xr:uid="{00000000-0005-0000-0000-00009D410000}"/>
    <cellStyle name="Remarque 2 2 6 11 11 2" xfId="60803" xr:uid="{00000000-0005-0000-0000-00009E410000}"/>
    <cellStyle name="Remarque 2 2 6 11 12" xfId="14281" xr:uid="{00000000-0005-0000-0000-00009F410000}"/>
    <cellStyle name="Remarque 2 2 6 11 13" xfId="38241" xr:uid="{00000000-0005-0000-0000-0000A0410000}"/>
    <cellStyle name="Remarque 2 2 6 11 2" xfId="4490" xr:uid="{00000000-0005-0000-0000-0000A1410000}"/>
    <cellStyle name="Remarque 2 2 6 11 2 2" xfId="28504" xr:uid="{00000000-0005-0000-0000-0000A2410000}"/>
    <cellStyle name="Remarque 2 2 6 11 2 2 2" xfId="52464" xr:uid="{00000000-0005-0000-0000-0000A3410000}"/>
    <cellStyle name="Remarque 2 2 6 11 2 3" xfId="15751" xr:uid="{00000000-0005-0000-0000-0000A4410000}"/>
    <cellStyle name="Remarque 2 2 6 11 2 4" xfId="39711" xr:uid="{00000000-0005-0000-0000-0000A5410000}"/>
    <cellStyle name="Remarque 2 2 6 11 3" xfId="5924" xr:uid="{00000000-0005-0000-0000-0000A6410000}"/>
    <cellStyle name="Remarque 2 2 6 11 3 2" xfId="29938" xr:uid="{00000000-0005-0000-0000-0000A7410000}"/>
    <cellStyle name="Remarque 2 2 6 11 3 2 2" xfId="53898" xr:uid="{00000000-0005-0000-0000-0000A8410000}"/>
    <cellStyle name="Remarque 2 2 6 11 3 3" xfId="17185" xr:uid="{00000000-0005-0000-0000-0000A9410000}"/>
    <cellStyle name="Remarque 2 2 6 11 3 4" xfId="41145" xr:uid="{00000000-0005-0000-0000-0000AA410000}"/>
    <cellStyle name="Remarque 2 2 6 11 4" xfId="7318" xr:uid="{00000000-0005-0000-0000-0000AB410000}"/>
    <cellStyle name="Remarque 2 2 6 11 4 2" xfId="31332" xr:uid="{00000000-0005-0000-0000-0000AC410000}"/>
    <cellStyle name="Remarque 2 2 6 11 4 2 2" xfId="55292" xr:uid="{00000000-0005-0000-0000-0000AD410000}"/>
    <cellStyle name="Remarque 2 2 6 11 4 3" xfId="18579" xr:uid="{00000000-0005-0000-0000-0000AE410000}"/>
    <cellStyle name="Remarque 2 2 6 11 4 4" xfId="42539" xr:uid="{00000000-0005-0000-0000-0000AF410000}"/>
    <cellStyle name="Remarque 2 2 6 11 5" xfId="8706" xr:uid="{00000000-0005-0000-0000-0000B0410000}"/>
    <cellStyle name="Remarque 2 2 6 11 5 2" xfId="32720" xr:uid="{00000000-0005-0000-0000-0000B1410000}"/>
    <cellStyle name="Remarque 2 2 6 11 5 2 2" xfId="56680" xr:uid="{00000000-0005-0000-0000-0000B2410000}"/>
    <cellStyle name="Remarque 2 2 6 11 5 3" xfId="19967" xr:uid="{00000000-0005-0000-0000-0000B3410000}"/>
    <cellStyle name="Remarque 2 2 6 11 5 4" xfId="43927" xr:uid="{00000000-0005-0000-0000-0000B4410000}"/>
    <cellStyle name="Remarque 2 2 6 11 6" xfId="10091" xr:uid="{00000000-0005-0000-0000-0000B5410000}"/>
    <cellStyle name="Remarque 2 2 6 11 6 2" xfId="34105" xr:uid="{00000000-0005-0000-0000-0000B6410000}"/>
    <cellStyle name="Remarque 2 2 6 11 6 2 2" xfId="58065" xr:uid="{00000000-0005-0000-0000-0000B7410000}"/>
    <cellStyle name="Remarque 2 2 6 11 6 3" xfId="21352" xr:uid="{00000000-0005-0000-0000-0000B8410000}"/>
    <cellStyle name="Remarque 2 2 6 11 6 4" xfId="45312" xr:uid="{00000000-0005-0000-0000-0000B9410000}"/>
    <cellStyle name="Remarque 2 2 6 11 7" xfId="11548" xr:uid="{00000000-0005-0000-0000-0000BA410000}"/>
    <cellStyle name="Remarque 2 2 6 11 7 2" xfId="35558" xr:uid="{00000000-0005-0000-0000-0000BB410000}"/>
    <cellStyle name="Remarque 2 2 6 11 7 2 2" xfId="59518" xr:uid="{00000000-0005-0000-0000-0000BC410000}"/>
    <cellStyle name="Remarque 2 2 6 11 7 3" xfId="22815" xr:uid="{00000000-0005-0000-0000-0000BD410000}"/>
    <cellStyle name="Remarque 2 2 6 11 7 4" xfId="46775" xr:uid="{00000000-0005-0000-0000-0000BE410000}"/>
    <cellStyle name="Remarque 2 2 6 11 8" xfId="10141" xr:uid="{00000000-0005-0000-0000-0000BF410000}"/>
    <cellStyle name="Remarque 2 2 6 11 8 2" xfId="21404" xr:uid="{00000000-0005-0000-0000-0000C0410000}"/>
    <cellStyle name="Remarque 2 2 6 11 8 3" xfId="45364" xr:uid="{00000000-0005-0000-0000-0000C1410000}"/>
    <cellStyle name="Remarque 2 2 6 11 9" xfId="3020" xr:uid="{00000000-0005-0000-0000-0000C2410000}"/>
    <cellStyle name="Remarque 2 2 6 11 9 2" xfId="27034" xr:uid="{00000000-0005-0000-0000-0000C3410000}"/>
    <cellStyle name="Remarque 2 2 6 11 9 3" xfId="50994" xr:uid="{00000000-0005-0000-0000-0000C4410000}"/>
    <cellStyle name="Remarque 2 2 6 12" xfId="1541" xr:uid="{00000000-0005-0000-0000-0000C5410000}"/>
    <cellStyle name="Remarque 2 2 6 12 10" xfId="25573" xr:uid="{00000000-0005-0000-0000-0000C6410000}"/>
    <cellStyle name="Remarque 2 2 6 12 10 2" xfId="49533" xr:uid="{00000000-0005-0000-0000-0000C7410000}"/>
    <cellStyle name="Remarque 2 2 6 12 11" xfId="36089" xr:uid="{00000000-0005-0000-0000-0000C8410000}"/>
    <cellStyle name="Remarque 2 2 6 12 11 2" xfId="60049" xr:uid="{00000000-0005-0000-0000-0000C9410000}"/>
    <cellStyle name="Remarque 2 2 6 12 12" xfId="14238" xr:uid="{00000000-0005-0000-0000-0000CA410000}"/>
    <cellStyle name="Remarque 2 2 6 12 13" xfId="38198" xr:uid="{00000000-0005-0000-0000-0000CB410000}"/>
    <cellStyle name="Remarque 2 2 6 12 2" xfId="4447" xr:uid="{00000000-0005-0000-0000-0000CC410000}"/>
    <cellStyle name="Remarque 2 2 6 12 2 2" xfId="28461" xr:uid="{00000000-0005-0000-0000-0000CD410000}"/>
    <cellStyle name="Remarque 2 2 6 12 2 2 2" xfId="52421" xr:uid="{00000000-0005-0000-0000-0000CE410000}"/>
    <cellStyle name="Remarque 2 2 6 12 2 3" xfId="15708" xr:uid="{00000000-0005-0000-0000-0000CF410000}"/>
    <cellStyle name="Remarque 2 2 6 12 2 4" xfId="39668" xr:uid="{00000000-0005-0000-0000-0000D0410000}"/>
    <cellStyle name="Remarque 2 2 6 12 3" xfId="5881" xr:uid="{00000000-0005-0000-0000-0000D1410000}"/>
    <cellStyle name="Remarque 2 2 6 12 3 2" xfId="29895" xr:uid="{00000000-0005-0000-0000-0000D2410000}"/>
    <cellStyle name="Remarque 2 2 6 12 3 2 2" xfId="53855" xr:uid="{00000000-0005-0000-0000-0000D3410000}"/>
    <cellStyle name="Remarque 2 2 6 12 3 3" xfId="17142" xr:uid="{00000000-0005-0000-0000-0000D4410000}"/>
    <cellStyle name="Remarque 2 2 6 12 3 4" xfId="41102" xr:uid="{00000000-0005-0000-0000-0000D5410000}"/>
    <cellStyle name="Remarque 2 2 6 12 4" xfId="7275" xr:uid="{00000000-0005-0000-0000-0000D6410000}"/>
    <cellStyle name="Remarque 2 2 6 12 4 2" xfId="31289" xr:uid="{00000000-0005-0000-0000-0000D7410000}"/>
    <cellStyle name="Remarque 2 2 6 12 4 2 2" xfId="55249" xr:uid="{00000000-0005-0000-0000-0000D8410000}"/>
    <cellStyle name="Remarque 2 2 6 12 4 3" xfId="18536" xr:uid="{00000000-0005-0000-0000-0000D9410000}"/>
    <cellStyle name="Remarque 2 2 6 12 4 4" xfId="42496" xr:uid="{00000000-0005-0000-0000-0000DA410000}"/>
    <cellStyle name="Remarque 2 2 6 12 5" xfId="8663" xr:uid="{00000000-0005-0000-0000-0000DB410000}"/>
    <cellStyle name="Remarque 2 2 6 12 5 2" xfId="32677" xr:uid="{00000000-0005-0000-0000-0000DC410000}"/>
    <cellStyle name="Remarque 2 2 6 12 5 2 2" xfId="56637" xr:uid="{00000000-0005-0000-0000-0000DD410000}"/>
    <cellStyle name="Remarque 2 2 6 12 5 3" xfId="19924" xr:uid="{00000000-0005-0000-0000-0000DE410000}"/>
    <cellStyle name="Remarque 2 2 6 12 5 4" xfId="43884" xr:uid="{00000000-0005-0000-0000-0000DF410000}"/>
    <cellStyle name="Remarque 2 2 6 12 6" xfId="10048" xr:uid="{00000000-0005-0000-0000-0000E0410000}"/>
    <cellStyle name="Remarque 2 2 6 12 6 2" xfId="34062" xr:uid="{00000000-0005-0000-0000-0000E1410000}"/>
    <cellStyle name="Remarque 2 2 6 12 6 2 2" xfId="58022" xr:uid="{00000000-0005-0000-0000-0000E2410000}"/>
    <cellStyle name="Remarque 2 2 6 12 6 3" xfId="21309" xr:uid="{00000000-0005-0000-0000-0000E3410000}"/>
    <cellStyle name="Remarque 2 2 6 12 6 4" xfId="45269" xr:uid="{00000000-0005-0000-0000-0000E4410000}"/>
    <cellStyle name="Remarque 2 2 6 12 7" xfId="11505" xr:uid="{00000000-0005-0000-0000-0000E5410000}"/>
    <cellStyle name="Remarque 2 2 6 12 7 2" xfId="35515" xr:uid="{00000000-0005-0000-0000-0000E6410000}"/>
    <cellStyle name="Remarque 2 2 6 12 7 2 2" xfId="59475" xr:uid="{00000000-0005-0000-0000-0000E7410000}"/>
    <cellStyle name="Remarque 2 2 6 12 7 3" xfId="22772" xr:uid="{00000000-0005-0000-0000-0000E8410000}"/>
    <cellStyle name="Remarque 2 2 6 12 7 4" xfId="46732" xr:uid="{00000000-0005-0000-0000-0000E9410000}"/>
    <cellStyle name="Remarque 2 2 6 12 8" xfId="11773" xr:uid="{00000000-0005-0000-0000-0000EA410000}"/>
    <cellStyle name="Remarque 2 2 6 12 8 2" xfId="23046" xr:uid="{00000000-0005-0000-0000-0000EB410000}"/>
    <cellStyle name="Remarque 2 2 6 12 8 3" xfId="47006" xr:uid="{00000000-0005-0000-0000-0000EC410000}"/>
    <cellStyle name="Remarque 2 2 6 12 9" xfId="2977" xr:uid="{00000000-0005-0000-0000-0000ED410000}"/>
    <cellStyle name="Remarque 2 2 6 12 9 2" xfId="26991" xr:uid="{00000000-0005-0000-0000-0000EE410000}"/>
    <cellStyle name="Remarque 2 2 6 12 9 3" xfId="50951" xr:uid="{00000000-0005-0000-0000-0000EF410000}"/>
    <cellStyle name="Remarque 2 2 6 13" xfId="1601" xr:uid="{00000000-0005-0000-0000-0000F0410000}"/>
    <cellStyle name="Remarque 2 2 6 13 10" xfId="25633" xr:uid="{00000000-0005-0000-0000-0000F1410000}"/>
    <cellStyle name="Remarque 2 2 6 13 10 2" xfId="49593" xr:uid="{00000000-0005-0000-0000-0000F2410000}"/>
    <cellStyle name="Remarque 2 2 6 13 11" xfId="36860" xr:uid="{00000000-0005-0000-0000-0000F3410000}"/>
    <cellStyle name="Remarque 2 2 6 13 11 2" xfId="60820" xr:uid="{00000000-0005-0000-0000-0000F4410000}"/>
    <cellStyle name="Remarque 2 2 6 13 12" xfId="14298" xr:uid="{00000000-0005-0000-0000-0000F5410000}"/>
    <cellStyle name="Remarque 2 2 6 13 13" xfId="38258" xr:uid="{00000000-0005-0000-0000-0000F6410000}"/>
    <cellStyle name="Remarque 2 2 6 13 2" xfId="4507" xr:uid="{00000000-0005-0000-0000-0000F7410000}"/>
    <cellStyle name="Remarque 2 2 6 13 2 2" xfId="28521" xr:uid="{00000000-0005-0000-0000-0000F8410000}"/>
    <cellStyle name="Remarque 2 2 6 13 2 2 2" xfId="52481" xr:uid="{00000000-0005-0000-0000-0000F9410000}"/>
    <cellStyle name="Remarque 2 2 6 13 2 3" xfId="15768" xr:uid="{00000000-0005-0000-0000-0000FA410000}"/>
    <cellStyle name="Remarque 2 2 6 13 2 4" xfId="39728" xr:uid="{00000000-0005-0000-0000-0000FB410000}"/>
    <cellStyle name="Remarque 2 2 6 13 3" xfId="5941" xr:uid="{00000000-0005-0000-0000-0000FC410000}"/>
    <cellStyle name="Remarque 2 2 6 13 3 2" xfId="29955" xr:uid="{00000000-0005-0000-0000-0000FD410000}"/>
    <cellStyle name="Remarque 2 2 6 13 3 2 2" xfId="53915" xr:uid="{00000000-0005-0000-0000-0000FE410000}"/>
    <cellStyle name="Remarque 2 2 6 13 3 3" xfId="17202" xr:uid="{00000000-0005-0000-0000-0000FF410000}"/>
    <cellStyle name="Remarque 2 2 6 13 3 4" xfId="41162" xr:uid="{00000000-0005-0000-0000-000000420000}"/>
    <cellStyle name="Remarque 2 2 6 13 4" xfId="7335" xr:uid="{00000000-0005-0000-0000-000001420000}"/>
    <cellStyle name="Remarque 2 2 6 13 4 2" xfId="31349" xr:uid="{00000000-0005-0000-0000-000002420000}"/>
    <cellStyle name="Remarque 2 2 6 13 4 2 2" xfId="55309" xr:uid="{00000000-0005-0000-0000-000003420000}"/>
    <cellStyle name="Remarque 2 2 6 13 4 3" xfId="18596" xr:uid="{00000000-0005-0000-0000-000004420000}"/>
    <cellStyle name="Remarque 2 2 6 13 4 4" xfId="42556" xr:uid="{00000000-0005-0000-0000-000005420000}"/>
    <cellStyle name="Remarque 2 2 6 13 5" xfId="8723" xr:uid="{00000000-0005-0000-0000-000006420000}"/>
    <cellStyle name="Remarque 2 2 6 13 5 2" xfId="32737" xr:uid="{00000000-0005-0000-0000-000007420000}"/>
    <cellStyle name="Remarque 2 2 6 13 5 2 2" xfId="56697" xr:uid="{00000000-0005-0000-0000-000008420000}"/>
    <cellStyle name="Remarque 2 2 6 13 5 3" xfId="19984" xr:uid="{00000000-0005-0000-0000-000009420000}"/>
    <cellStyle name="Remarque 2 2 6 13 5 4" xfId="43944" xr:uid="{00000000-0005-0000-0000-00000A420000}"/>
    <cellStyle name="Remarque 2 2 6 13 6" xfId="10108" xr:uid="{00000000-0005-0000-0000-00000B420000}"/>
    <cellStyle name="Remarque 2 2 6 13 6 2" xfId="34122" xr:uid="{00000000-0005-0000-0000-00000C420000}"/>
    <cellStyle name="Remarque 2 2 6 13 6 2 2" xfId="58082" xr:uid="{00000000-0005-0000-0000-00000D420000}"/>
    <cellStyle name="Remarque 2 2 6 13 6 3" xfId="21369" xr:uid="{00000000-0005-0000-0000-00000E420000}"/>
    <cellStyle name="Remarque 2 2 6 13 6 4" xfId="45329" xr:uid="{00000000-0005-0000-0000-00000F420000}"/>
    <cellStyle name="Remarque 2 2 6 13 7" xfId="11565" xr:uid="{00000000-0005-0000-0000-000010420000}"/>
    <cellStyle name="Remarque 2 2 6 13 7 2" xfId="35575" xr:uid="{00000000-0005-0000-0000-000011420000}"/>
    <cellStyle name="Remarque 2 2 6 13 7 2 2" xfId="59535" xr:uid="{00000000-0005-0000-0000-000012420000}"/>
    <cellStyle name="Remarque 2 2 6 13 7 3" xfId="22832" xr:uid="{00000000-0005-0000-0000-000013420000}"/>
    <cellStyle name="Remarque 2 2 6 13 7 4" xfId="46792" xr:uid="{00000000-0005-0000-0000-000014420000}"/>
    <cellStyle name="Remarque 2 2 6 13 8" xfId="10196" xr:uid="{00000000-0005-0000-0000-000015420000}"/>
    <cellStyle name="Remarque 2 2 6 13 8 2" xfId="21461" xr:uid="{00000000-0005-0000-0000-000016420000}"/>
    <cellStyle name="Remarque 2 2 6 13 8 3" xfId="45421" xr:uid="{00000000-0005-0000-0000-000017420000}"/>
    <cellStyle name="Remarque 2 2 6 13 9" xfId="3037" xr:uid="{00000000-0005-0000-0000-000018420000}"/>
    <cellStyle name="Remarque 2 2 6 13 9 2" xfId="27051" xr:uid="{00000000-0005-0000-0000-000019420000}"/>
    <cellStyle name="Remarque 2 2 6 13 9 3" xfId="51011" xr:uid="{00000000-0005-0000-0000-00001A420000}"/>
    <cellStyle name="Remarque 2 2 6 14" xfId="3101" xr:uid="{00000000-0005-0000-0000-00001B420000}"/>
    <cellStyle name="Remarque 2 2 6 14 2" xfId="27115" xr:uid="{00000000-0005-0000-0000-00001C420000}"/>
    <cellStyle name="Remarque 2 2 6 14 2 2" xfId="51075" xr:uid="{00000000-0005-0000-0000-00001D420000}"/>
    <cellStyle name="Remarque 2 2 6 14 3" xfId="14362" xr:uid="{00000000-0005-0000-0000-00001E420000}"/>
    <cellStyle name="Remarque 2 2 6 14 4" xfId="38322" xr:uid="{00000000-0005-0000-0000-00001F420000}"/>
    <cellStyle name="Remarque 2 2 6 15" xfId="4540" xr:uid="{00000000-0005-0000-0000-000020420000}"/>
    <cellStyle name="Remarque 2 2 6 15 2" xfId="28554" xr:uid="{00000000-0005-0000-0000-000021420000}"/>
    <cellStyle name="Remarque 2 2 6 15 2 2" xfId="52514" xr:uid="{00000000-0005-0000-0000-000022420000}"/>
    <cellStyle name="Remarque 2 2 6 15 3" xfId="15801" xr:uid="{00000000-0005-0000-0000-000023420000}"/>
    <cellStyle name="Remarque 2 2 6 15 4" xfId="39761" xr:uid="{00000000-0005-0000-0000-000024420000}"/>
    <cellStyle name="Remarque 2 2 6 16" xfId="3045" xr:uid="{00000000-0005-0000-0000-000025420000}"/>
    <cellStyle name="Remarque 2 2 6 16 2" xfId="27059" xr:uid="{00000000-0005-0000-0000-000026420000}"/>
    <cellStyle name="Remarque 2 2 6 16 2 2" xfId="51019" xr:uid="{00000000-0005-0000-0000-000027420000}"/>
    <cellStyle name="Remarque 2 2 6 16 3" xfId="14306" xr:uid="{00000000-0005-0000-0000-000028420000}"/>
    <cellStyle name="Remarque 2 2 6 16 4" xfId="38266" xr:uid="{00000000-0005-0000-0000-000029420000}"/>
    <cellStyle name="Remarque 2 2 6 17" xfId="4523" xr:uid="{00000000-0005-0000-0000-00002A420000}"/>
    <cellStyle name="Remarque 2 2 6 17 2" xfId="28537" xr:uid="{00000000-0005-0000-0000-00002B420000}"/>
    <cellStyle name="Remarque 2 2 6 17 2 2" xfId="52497" xr:uid="{00000000-0005-0000-0000-00002C420000}"/>
    <cellStyle name="Remarque 2 2 6 17 3" xfId="15784" xr:uid="{00000000-0005-0000-0000-00002D420000}"/>
    <cellStyle name="Remarque 2 2 6 17 4" xfId="39744" xr:uid="{00000000-0005-0000-0000-00002E420000}"/>
    <cellStyle name="Remarque 2 2 6 18" xfId="3056" xr:uid="{00000000-0005-0000-0000-00002F420000}"/>
    <cellStyle name="Remarque 2 2 6 18 2" xfId="27070" xr:uid="{00000000-0005-0000-0000-000030420000}"/>
    <cellStyle name="Remarque 2 2 6 18 2 2" xfId="51030" xr:uid="{00000000-0005-0000-0000-000031420000}"/>
    <cellStyle name="Remarque 2 2 6 18 3" xfId="14317" xr:uid="{00000000-0005-0000-0000-000032420000}"/>
    <cellStyle name="Remarque 2 2 6 18 4" xfId="38277" xr:uid="{00000000-0005-0000-0000-000033420000}"/>
    <cellStyle name="Remarque 2 2 6 19" xfId="10161" xr:uid="{00000000-0005-0000-0000-000034420000}"/>
    <cellStyle name="Remarque 2 2 6 19 2" xfId="34173" xr:uid="{00000000-0005-0000-0000-000035420000}"/>
    <cellStyle name="Remarque 2 2 6 19 2 2" xfId="58133" xr:uid="{00000000-0005-0000-0000-000036420000}"/>
    <cellStyle name="Remarque 2 2 6 19 3" xfId="21426" xr:uid="{00000000-0005-0000-0000-000037420000}"/>
    <cellStyle name="Remarque 2 2 6 19 4" xfId="45386" xr:uid="{00000000-0005-0000-0000-000038420000}"/>
    <cellStyle name="Remarque 2 2 6 2" xfId="115" xr:uid="{00000000-0005-0000-0000-000039420000}"/>
    <cellStyle name="Remarque 2 2 6 2 10" xfId="3152" xr:uid="{00000000-0005-0000-0000-00003A420000}"/>
    <cellStyle name="Remarque 2 2 6 2 10 2" xfId="27166" xr:uid="{00000000-0005-0000-0000-00003B420000}"/>
    <cellStyle name="Remarque 2 2 6 2 10 2 2" xfId="51126" xr:uid="{00000000-0005-0000-0000-00003C420000}"/>
    <cellStyle name="Remarque 2 2 6 2 10 3" xfId="14413" xr:uid="{00000000-0005-0000-0000-00003D420000}"/>
    <cellStyle name="Remarque 2 2 6 2 10 4" xfId="38373" xr:uid="{00000000-0005-0000-0000-00003E420000}"/>
    <cellStyle name="Remarque 2 2 6 2 11" xfId="4586" xr:uid="{00000000-0005-0000-0000-00003F420000}"/>
    <cellStyle name="Remarque 2 2 6 2 11 2" xfId="28600" xr:uid="{00000000-0005-0000-0000-000040420000}"/>
    <cellStyle name="Remarque 2 2 6 2 11 2 2" xfId="52560" xr:uid="{00000000-0005-0000-0000-000041420000}"/>
    <cellStyle name="Remarque 2 2 6 2 11 3" xfId="15847" xr:uid="{00000000-0005-0000-0000-000042420000}"/>
    <cellStyle name="Remarque 2 2 6 2 11 4" xfId="39807" xr:uid="{00000000-0005-0000-0000-000043420000}"/>
    <cellStyle name="Remarque 2 2 6 2 12" xfId="5980" xr:uid="{00000000-0005-0000-0000-000044420000}"/>
    <cellStyle name="Remarque 2 2 6 2 12 2" xfId="29994" xr:uid="{00000000-0005-0000-0000-000045420000}"/>
    <cellStyle name="Remarque 2 2 6 2 12 2 2" xfId="53954" xr:uid="{00000000-0005-0000-0000-000046420000}"/>
    <cellStyle name="Remarque 2 2 6 2 12 3" xfId="17241" xr:uid="{00000000-0005-0000-0000-000047420000}"/>
    <cellStyle name="Remarque 2 2 6 2 12 4" xfId="41201" xr:uid="{00000000-0005-0000-0000-000048420000}"/>
    <cellStyle name="Remarque 2 2 6 2 13" xfId="7368" xr:uid="{00000000-0005-0000-0000-000049420000}"/>
    <cellStyle name="Remarque 2 2 6 2 13 2" xfId="31382" xr:uid="{00000000-0005-0000-0000-00004A420000}"/>
    <cellStyle name="Remarque 2 2 6 2 13 2 2" xfId="55342" xr:uid="{00000000-0005-0000-0000-00004B420000}"/>
    <cellStyle name="Remarque 2 2 6 2 13 3" xfId="18629" xr:uid="{00000000-0005-0000-0000-00004C420000}"/>
    <cellStyle name="Remarque 2 2 6 2 13 4" xfId="42589" xr:uid="{00000000-0005-0000-0000-00004D420000}"/>
    <cellStyle name="Remarque 2 2 6 2 14" xfId="8753" xr:uid="{00000000-0005-0000-0000-00004E420000}"/>
    <cellStyle name="Remarque 2 2 6 2 14 2" xfId="32767" xr:uid="{00000000-0005-0000-0000-00004F420000}"/>
    <cellStyle name="Remarque 2 2 6 2 14 2 2" xfId="56727" xr:uid="{00000000-0005-0000-0000-000050420000}"/>
    <cellStyle name="Remarque 2 2 6 2 14 3" xfId="20014" xr:uid="{00000000-0005-0000-0000-000051420000}"/>
    <cellStyle name="Remarque 2 2 6 2 14 4" xfId="43974" xr:uid="{00000000-0005-0000-0000-000052420000}"/>
    <cellStyle name="Remarque 2 2 6 2 15" xfId="10210" xr:uid="{00000000-0005-0000-0000-000053420000}"/>
    <cellStyle name="Remarque 2 2 6 2 15 2" xfId="34220" xr:uid="{00000000-0005-0000-0000-000054420000}"/>
    <cellStyle name="Remarque 2 2 6 2 15 2 2" xfId="58180" xr:uid="{00000000-0005-0000-0000-000055420000}"/>
    <cellStyle name="Remarque 2 2 6 2 15 3" xfId="21477" xr:uid="{00000000-0005-0000-0000-000056420000}"/>
    <cellStyle name="Remarque 2 2 6 2 15 4" xfId="45437" xr:uid="{00000000-0005-0000-0000-000057420000}"/>
    <cellStyle name="Remarque 2 2 6 2 16" xfId="11788" xr:uid="{00000000-0005-0000-0000-000058420000}"/>
    <cellStyle name="Remarque 2 2 6 2 16 2" xfId="23062" xr:uid="{00000000-0005-0000-0000-000059420000}"/>
    <cellStyle name="Remarque 2 2 6 2 16 3" xfId="47022" xr:uid="{00000000-0005-0000-0000-00005A420000}"/>
    <cellStyle name="Remarque 2 2 6 2 17" xfId="1682" xr:uid="{00000000-0005-0000-0000-00005B420000}"/>
    <cellStyle name="Remarque 2 2 6 2 17 2" xfId="25696" xr:uid="{00000000-0005-0000-0000-00005C420000}"/>
    <cellStyle name="Remarque 2 2 6 2 17 3" xfId="49656" xr:uid="{00000000-0005-0000-0000-00005D420000}"/>
    <cellStyle name="Remarque 2 2 6 2 18" xfId="24278" xr:uid="{00000000-0005-0000-0000-00005E420000}"/>
    <cellStyle name="Remarque 2 2 6 2 18 2" xfId="48238" xr:uid="{00000000-0005-0000-0000-00005F420000}"/>
    <cellStyle name="Remarque 2 2 6 2 19" xfId="36037" xr:uid="{00000000-0005-0000-0000-000060420000}"/>
    <cellStyle name="Remarque 2 2 6 2 19 2" xfId="59997" xr:uid="{00000000-0005-0000-0000-000061420000}"/>
    <cellStyle name="Remarque 2 2 6 2 2" xfId="421" xr:uid="{00000000-0005-0000-0000-000062420000}"/>
    <cellStyle name="Remarque 2 2 6 2 2 10" xfId="6155" xr:uid="{00000000-0005-0000-0000-000063420000}"/>
    <cellStyle name="Remarque 2 2 6 2 2 10 2" xfId="30169" xr:uid="{00000000-0005-0000-0000-000064420000}"/>
    <cellStyle name="Remarque 2 2 6 2 2 10 2 2" xfId="54129" xr:uid="{00000000-0005-0000-0000-000065420000}"/>
    <cellStyle name="Remarque 2 2 6 2 2 10 3" xfId="17416" xr:uid="{00000000-0005-0000-0000-000066420000}"/>
    <cellStyle name="Remarque 2 2 6 2 2 10 4" xfId="41376" xr:uid="{00000000-0005-0000-0000-000067420000}"/>
    <cellStyle name="Remarque 2 2 6 2 2 11" xfId="7543" xr:uid="{00000000-0005-0000-0000-000068420000}"/>
    <cellStyle name="Remarque 2 2 6 2 2 11 2" xfId="31557" xr:uid="{00000000-0005-0000-0000-000069420000}"/>
    <cellStyle name="Remarque 2 2 6 2 2 11 2 2" xfId="55517" xr:uid="{00000000-0005-0000-0000-00006A420000}"/>
    <cellStyle name="Remarque 2 2 6 2 2 11 3" xfId="18804" xr:uid="{00000000-0005-0000-0000-00006B420000}"/>
    <cellStyle name="Remarque 2 2 6 2 2 11 4" xfId="42764" xr:uid="{00000000-0005-0000-0000-00006C420000}"/>
    <cellStyle name="Remarque 2 2 6 2 2 12" xfId="8928" xr:uid="{00000000-0005-0000-0000-00006D420000}"/>
    <cellStyle name="Remarque 2 2 6 2 2 12 2" xfId="32942" xr:uid="{00000000-0005-0000-0000-00006E420000}"/>
    <cellStyle name="Remarque 2 2 6 2 2 12 2 2" xfId="56902" xr:uid="{00000000-0005-0000-0000-00006F420000}"/>
    <cellStyle name="Remarque 2 2 6 2 2 12 3" xfId="20189" xr:uid="{00000000-0005-0000-0000-000070420000}"/>
    <cellStyle name="Remarque 2 2 6 2 2 12 4" xfId="44149" xr:uid="{00000000-0005-0000-0000-000071420000}"/>
    <cellStyle name="Remarque 2 2 6 2 2 13" xfId="10385" xr:uid="{00000000-0005-0000-0000-000072420000}"/>
    <cellStyle name="Remarque 2 2 6 2 2 13 2" xfId="34395" xr:uid="{00000000-0005-0000-0000-000073420000}"/>
    <cellStyle name="Remarque 2 2 6 2 2 13 2 2" xfId="58355" xr:uid="{00000000-0005-0000-0000-000074420000}"/>
    <cellStyle name="Remarque 2 2 6 2 2 13 3" xfId="21652" xr:uid="{00000000-0005-0000-0000-000075420000}"/>
    <cellStyle name="Remarque 2 2 6 2 2 13 4" xfId="45612" xr:uid="{00000000-0005-0000-0000-000076420000}"/>
    <cellStyle name="Remarque 2 2 6 2 2 14" xfId="12475" xr:uid="{00000000-0005-0000-0000-000077420000}"/>
    <cellStyle name="Remarque 2 2 6 2 2 14 2" xfId="23771" xr:uid="{00000000-0005-0000-0000-000078420000}"/>
    <cellStyle name="Remarque 2 2 6 2 2 14 3" xfId="47731" xr:uid="{00000000-0005-0000-0000-000079420000}"/>
    <cellStyle name="Remarque 2 2 6 2 2 15" xfId="1857" xr:uid="{00000000-0005-0000-0000-00007A420000}"/>
    <cellStyle name="Remarque 2 2 6 2 2 15 2" xfId="25871" xr:uid="{00000000-0005-0000-0000-00007B420000}"/>
    <cellStyle name="Remarque 2 2 6 2 2 15 3" xfId="49831" xr:uid="{00000000-0005-0000-0000-00007C420000}"/>
    <cellStyle name="Remarque 2 2 6 2 2 16" xfId="24453" xr:uid="{00000000-0005-0000-0000-00007D420000}"/>
    <cellStyle name="Remarque 2 2 6 2 2 16 2" xfId="48413" xr:uid="{00000000-0005-0000-0000-00007E420000}"/>
    <cellStyle name="Remarque 2 2 6 2 2 17" xfId="35802" xr:uid="{00000000-0005-0000-0000-00007F420000}"/>
    <cellStyle name="Remarque 2 2 6 2 2 17 2" xfId="59762" xr:uid="{00000000-0005-0000-0000-000080420000}"/>
    <cellStyle name="Remarque 2 2 6 2 2 18" xfId="13118" xr:uid="{00000000-0005-0000-0000-000081420000}"/>
    <cellStyle name="Remarque 2 2 6 2 2 19" xfId="37078" xr:uid="{00000000-0005-0000-0000-000082420000}"/>
    <cellStyle name="Remarque 2 2 6 2 2 2" xfId="557" xr:uid="{00000000-0005-0000-0000-000083420000}"/>
    <cellStyle name="Remarque 2 2 6 2 2 2 10" xfId="24589" xr:uid="{00000000-0005-0000-0000-000084420000}"/>
    <cellStyle name="Remarque 2 2 6 2 2 2 10 2" xfId="48549" xr:uid="{00000000-0005-0000-0000-000085420000}"/>
    <cellStyle name="Remarque 2 2 6 2 2 2 11" xfId="34203" xr:uid="{00000000-0005-0000-0000-000086420000}"/>
    <cellStyle name="Remarque 2 2 6 2 2 2 11 2" xfId="58163" xr:uid="{00000000-0005-0000-0000-000087420000}"/>
    <cellStyle name="Remarque 2 2 6 2 2 2 12" xfId="13254" xr:uid="{00000000-0005-0000-0000-000088420000}"/>
    <cellStyle name="Remarque 2 2 6 2 2 2 13" xfId="37214" xr:uid="{00000000-0005-0000-0000-000089420000}"/>
    <cellStyle name="Remarque 2 2 6 2 2 2 2" xfId="3463" xr:uid="{00000000-0005-0000-0000-00008A420000}"/>
    <cellStyle name="Remarque 2 2 6 2 2 2 2 2" xfId="27477" xr:uid="{00000000-0005-0000-0000-00008B420000}"/>
    <cellStyle name="Remarque 2 2 6 2 2 2 2 2 2" xfId="51437" xr:uid="{00000000-0005-0000-0000-00008C420000}"/>
    <cellStyle name="Remarque 2 2 6 2 2 2 2 3" xfId="14724" xr:uid="{00000000-0005-0000-0000-00008D420000}"/>
    <cellStyle name="Remarque 2 2 6 2 2 2 2 4" xfId="38684" xr:uid="{00000000-0005-0000-0000-00008E420000}"/>
    <cellStyle name="Remarque 2 2 6 2 2 2 3" xfId="4897" xr:uid="{00000000-0005-0000-0000-00008F420000}"/>
    <cellStyle name="Remarque 2 2 6 2 2 2 3 2" xfId="28911" xr:uid="{00000000-0005-0000-0000-000090420000}"/>
    <cellStyle name="Remarque 2 2 6 2 2 2 3 2 2" xfId="52871" xr:uid="{00000000-0005-0000-0000-000091420000}"/>
    <cellStyle name="Remarque 2 2 6 2 2 2 3 3" xfId="16158" xr:uid="{00000000-0005-0000-0000-000092420000}"/>
    <cellStyle name="Remarque 2 2 6 2 2 2 3 4" xfId="40118" xr:uid="{00000000-0005-0000-0000-000093420000}"/>
    <cellStyle name="Remarque 2 2 6 2 2 2 4" xfId="6291" xr:uid="{00000000-0005-0000-0000-000094420000}"/>
    <cellStyle name="Remarque 2 2 6 2 2 2 4 2" xfId="30305" xr:uid="{00000000-0005-0000-0000-000095420000}"/>
    <cellStyle name="Remarque 2 2 6 2 2 2 4 2 2" xfId="54265" xr:uid="{00000000-0005-0000-0000-000096420000}"/>
    <cellStyle name="Remarque 2 2 6 2 2 2 4 3" xfId="17552" xr:uid="{00000000-0005-0000-0000-000097420000}"/>
    <cellStyle name="Remarque 2 2 6 2 2 2 4 4" xfId="41512" xr:uid="{00000000-0005-0000-0000-000098420000}"/>
    <cellStyle name="Remarque 2 2 6 2 2 2 5" xfId="7679" xr:uid="{00000000-0005-0000-0000-000099420000}"/>
    <cellStyle name="Remarque 2 2 6 2 2 2 5 2" xfId="31693" xr:uid="{00000000-0005-0000-0000-00009A420000}"/>
    <cellStyle name="Remarque 2 2 6 2 2 2 5 2 2" xfId="55653" xr:uid="{00000000-0005-0000-0000-00009B420000}"/>
    <cellStyle name="Remarque 2 2 6 2 2 2 5 3" xfId="18940" xr:uid="{00000000-0005-0000-0000-00009C420000}"/>
    <cellStyle name="Remarque 2 2 6 2 2 2 5 4" xfId="42900" xr:uid="{00000000-0005-0000-0000-00009D420000}"/>
    <cellStyle name="Remarque 2 2 6 2 2 2 6" xfId="9064" xr:uid="{00000000-0005-0000-0000-00009E420000}"/>
    <cellStyle name="Remarque 2 2 6 2 2 2 6 2" xfId="33078" xr:uid="{00000000-0005-0000-0000-00009F420000}"/>
    <cellStyle name="Remarque 2 2 6 2 2 2 6 2 2" xfId="57038" xr:uid="{00000000-0005-0000-0000-0000A0420000}"/>
    <cellStyle name="Remarque 2 2 6 2 2 2 6 3" xfId="20325" xr:uid="{00000000-0005-0000-0000-0000A1420000}"/>
    <cellStyle name="Remarque 2 2 6 2 2 2 6 4" xfId="44285" xr:uid="{00000000-0005-0000-0000-0000A2420000}"/>
    <cellStyle name="Remarque 2 2 6 2 2 2 7" xfId="10521" xr:uid="{00000000-0005-0000-0000-0000A3420000}"/>
    <cellStyle name="Remarque 2 2 6 2 2 2 7 2" xfId="34531" xr:uid="{00000000-0005-0000-0000-0000A4420000}"/>
    <cellStyle name="Remarque 2 2 6 2 2 2 7 2 2" xfId="58491" xr:uid="{00000000-0005-0000-0000-0000A5420000}"/>
    <cellStyle name="Remarque 2 2 6 2 2 2 7 3" xfId="21788" xr:uid="{00000000-0005-0000-0000-0000A6420000}"/>
    <cellStyle name="Remarque 2 2 6 2 2 2 7 4" xfId="45748" xr:uid="{00000000-0005-0000-0000-0000A7420000}"/>
    <cellStyle name="Remarque 2 2 6 2 2 2 8" xfId="11724" xr:uid="{00000000-0005-0000-0000-0000A8420000}"/>
    <cellStyle name="Remarque 2 2 6 2 2 2 8 2" xfId="22995" xr:uid="{00000000-0005-0000-0000-0000A9420000}"/>
    <cellStyle name="Remarque 2 2 6 2 2 2 8 3" xfId="46955" xr:uid="{00000000-0005-0000-0000-0000AA420000}"/>
    <cellStyle name="Remarque 2 2 6 2 2 2 9" xfId="1993" xr:uid="{00000000-0005-0000-0000-0000AB420000}"/>
    <cellStyle name="Remarque 2 2 6 2 2 2 9 2" xfId="26007" xr:uid="{00000000-0005-0000-0000-0000AC420000}"/>
    <cellStyle name="Remarque 2 2 6 2 2 2 9 3" xfId="49967" xr:uid="{00000000-0005-0000-0000-0000AD420000}"/>
    <cellStyle name="Remarque 2 2 6 2 2 3" xfId="749" xr:uid="{00000000-0005-0000-0000-0000AE420000}"/>
    <cellStyle name="Remarque 2 2 6 2 2 3 10" xfId="24781" xr:uid="{00000000-0005-0000-0000-0000AF420000}"/>
    <cellStyle name="Remarque 2 2 6 2 2 3 10 2" xfId="48741" xr:uid="{00000000-0005-0000-0000-0000B0420000}"/>
    <cellStyle name="Remarque 2 2 6 2 2 3 11" xfId="36741" xr:uid="{00000000-0005-0000-0000-0000B1420000}"/>
    <cellStyle name="Remarque 2 2 6 2 2 3 11 2" xfId="60701" xr:uid="{00000000-0005-0000-0000-0000B2420000}"/>
    <cellStyle name="Remarque 2 2 6 2 2 3 12" xfId="13446" xr:uid="{00000000-0005-0000-0000-0000B3420000}"/>
    <cellStyle name="Remarque 2 2 6 2 2 3 13" xfId="37406" xr:uid="{00000000-0005-0000-0000-0000B4420000}"/>
    <cellStyle name="Remarque 2 2 6 2 2 3 2" xfId="3655" xr:uid="{00000000-0005-0000-0000-0000B5420000}"/>
    <cellStyle name="Remarque 2 2 6 2 2 3 2 2" xfId="27669" xr:uid="{00000000-0005-0000-0000-0000B6420000}"/>
    <cellStyle name="Remarque 2 2 6 2 2 3 2 2 2" xfId="51629" xr:uid="{00000000-0005-0000-0000-0000B7420000}"/>
    <cellStyle name="Remarque 2 2 6 2 2 3 2 3" xfId="14916" xr:uid="{00000000-0005-0000-0000-0000B8420000}"/>
    <cellStyle name="Remarque 2 2 6 2 2 3 2 4" xfId="38876" xr:uid="{00000000-0005-0000-0000-0000B9420000}"/>
    <cellStyle name="Remarque 2 2 6 2 2 3 3" xfId="5089" xr:uid="{00000000-0005-0000-0000-0000BA420000}"/>
    <cellStyle name="Remarque 2 2 6 2 2 3 3 2" xfId="29103" xr:uid="{00000000-0005-0000-0000-0000BB420000}"/>
    <cellStyle name="Remarque 2 2 6 2 2 3 3 2 2" xfId="53063" xr:uid="{00000000-0005-0000-0000-0000BC420000}"/>
    <cellStyle name="Remarque 2 2 6 2 2 3 3 3" xfId="16350" xr:uid="{00000000-0005-0000-0000-0000BD420000}"/>
    <cellStyle name="Remarque 2 2 6 2 2 3 3 4" xfId="40310" xr:uid="{00000000-0005-0000-0000-0000BE420000}"/>
    <cellStyle name="Remarque 2 2 6 2 2 3 4" xfId="6483" xr:uid="{00000000-0005-0000-0000-0000BF420000}"/>
    <cellStyle name="Remarque 2 2 6 2 2 3 4 2" xfId="30497" xr:uid="{00000000-0005-0000-0000-0000C0420000}"/>
    <cellStyle name="Remarque 2 2 6 2 2 3 4 2 2" xfId="54457" xr:uid="{00000000-0005-0000-0000-0000C1420000}"/>
    <cellStyle name="Remarque 2 2 6 2 2 3 4 3" xfId="17744" xr:uid="{00000000-0005-0000-0000-0000C2420000}"/>
    <cellStyle name="Remarque 2 2 6 2 2 3 4 4" xfId="41704" xr:uid="{00000000-0005-0000-0000-0000C3420000}"/>
    <cellStyle name="Remarque 2 2 6 2 2 3 5" xfId="7871" xr:uid="{00000000-0005-0000-0000-0000C4420000}"/>
    <cellStyle name="Remarque 2 2 6 2 2 3 5 2" xfId="31885" xr:uid="{00000000-0005-0000-0000-0000C5420000}"/>
    <cellStyle name="Remarque 2 2 6 2 2 3 5 2 2" xfId="55845" xr:uid="{00000000-0005-0000-0000-0000C6420000}"/>
    <cellStyle name="Remarque 2 2 6 2 2 3 5 3" xfId="19132" xr:uid="{00000000-0005-0000-0000-0000C7420000}"/>
    <cellStyle name="Remarque 2 2 6 2 2 3 5 4" xfId="43092" xr:uid="{00000000-0005-0000-0000-0000C8420000}"/>
    <cellStyle name="Remarque 2 2 6 2 2 3 6" xfId="9256" xr:uid="{00000000-0005-0000-0000-0000C9420000}"/>
    <cellStyle name="Remarque 2 2 6 2 2 3 6 2" xfId="33270" xr:uid="{00000000-0005-0000-0000-0000CA420000}"/>
    <cellStyle name="Remarque 2 2 6 2 2 3 6 2 2" xfId="57230" xr:uid="{00000000-0005-0000-0000-0000CB420000}"/>
    <cellStyle name="Remarque 2 2 6 2 2 3 6 3" xfId="20517" xr:uid="{00000000-0005-0000-0000-0000CC420000}"/>
    <cellStyle name="Remarque 2 2 6 2 2 3 6 4" xfId="44477" xr:uid="{00000000-0005-0000-0000-0000CD420000}"/>
    <cellStyle name="Remarque 2 2 6 2 2 3 7" xfId="10713" xr:uid="{00000000-0005-0000-0000-0000CE420000}"/>
    <cellStyle name="Remarque 2 2 6 2 2 3 7 2" xfId="34723" xr:uid="{00000000-0005-0000-0000-0000CF420000}"/>
    <cellStyle name="Remarque 2 2 6 2 2 3 7 2 2" xfId="58683" xr:uid="{00000000-0005-0000-0000-0000D0420000}"/>
    <cellStyle name="Remarque 2 2 6 2 2 3 7 3" xfId="21980" xr:uid="{00000000-0005-0000-0000-0000D1420000}"/>
    <cellStyle name="Remarque 2 2 6 2 2 3 7 4" xfId="45940" xr:uid="{00000000-0005-0000-0000-0000D2420000}"/>
    <cellStyle name="Remarque 2 2 6 2 2 3 8" xfId="12258" xr:uid="{00000000-0005-0000-0000-0000D3420000}"/>
    <cellStyle name="Remarque 2 2 6 2 2 3 8 2" xfId="23543" xr:uid="{00000000-0005-0000-0000-0000D4420000}"/>
    <cellStyle name="Remarque 2 2 6 2 2 3 8 3" xfId="47503" xr:uid="{00000000-0005-0000-0000-0000D5420000}"/>
    <cellStyle name="Remarque 2 2 6 2 2 3 9" xfId="2185" xr:uid="{00000000-0005-0000-0000-0000D6420000}"/>
    <cellStyle name="Remarque 2 2 6 2 2 3 9 2" xfId="26199" xr:uid="{00000000-0005-0000-0000-0000D7420000}"/>
    <cellStyle name="Remarque 2 2 6 2 2 3 9 3" xfId="50159" xr:uid="{00000000-0005-0000-0000-0000D8420000}"/>
    <cellStyle name="Remarque 2 2 6 2 2 4" xfId="943" xr:uid="{00000000-0005-0000-0000-0000D9420000}"/>
    <cellStyle name="Remarque 2 2 6 2 2 4 10" xfId="24975" xr:uid="{00000000-0005-0000-0000-0000DA420000}"/>
    <cellStyle name="Remarque 2 2 6 2 2 4 10 2" xfId="48935" xr:uid="{00000000-0005-0000-0000-0000DB420000}"/>
    <cellStyle name="Remarque 2 2 6 2 2 4 11" xfId="35957" xr:uid="{00000000-0005-0000-0000-0000DC420000}"/>
    <cellStyle name="Remarque 2 2 6 2 2 4 11 2" xfId="59917" xr:uid="{00000000-0005-0000-0000-0000DD420000}"/>
    <cellStyle name="Remarque 2 2 6 2 2 4 12" xfId="13640" xr:uid="{00000000-0005-0000-0000-0000DE420000}"/>
    <cellStyle name="Remarque 2 2 6 2 2 4 13" xfId="37600" xr:uid="{00000000-0005-0000-0000-0000DF420000}"/>
    <cellStyle name="Remarque 2 2 6 2 2 4 2" xfId="3849" xr:uid="{00000000-0005-0000-0000-0000E0420000}"/>
    <cellStyle name="Remarque 2 2 6 2 2 4 2 2" xfId="27863" xr:uid="{00000000-0005-0000-0000-0000E1420000}"/>
    <cellStyle name="Remarque 2 2 6 2 2 4 2 2 2" xfId="51823" xr:uid="{00000000-0005-0000-0000-0000E2420000}"/>
    <cellStyle name="Remarque 2 2 6 2 2 4 2 3" xfId="15110" xr:uid="{00000000-0005-0000-0000-0000E3420000}"/>
    <cellStyle name="Remarque 2 2 6 2 2 4 2 4" xfId="39070" xr:uid="{00000000-0005-0000-0000-0000E4420000}"/>
    <cellStyle name="Remarque 2 2 6 2 2 4 3" xfId="5283" xr:uid="{00000000-0005-0000-0000-0000E5420000}"/>
    <cellStyle name="Remarque 2 2 6 2 2 4 3 2" xfId="29297" xr:uid="{00000000-0005-0000-0000-0000E6420000}"/>
    <cellStyle name="Remarque 2 2 6 2 2 4 3 2 2" xfId="53257" xr:uid="{00000000-0005-0000-0000-0000E7420000}"/>
    <cellStyle name="Remarque 2 2 6 2 2 4 3 3" xfId="16544" xr:uid="{00000000-0005-0000-0000-0000E8420000}"/>
    <cellStyle name="Remarque 2 2 6 2 2 4 3 4" xfId="40504" xr:uid="{00000000-0005-0000-0000-0000E9420000}"/>
    <cellStyle name="Remarque 2 2 6 2 2 4 4" xfId="6677" xr:uid="{00000000-0005-0000-0000-0000EA420000}"/>
    <cellStyle name="Remarque 2 2 6 2 2 4 4 2" xfId="30691" xr:uid="{00000000-0005-0000-0000-0000EB420000}"/>
    <cellStyle name="Remarque 2 2 6 2 2 4 4 2 2" xfId="54651" xr:uid="{00000000-0005-0000-0000-0000EC420000}"/>
    <cellStyle name="Remarque 2 2 6 2 2 4 4 3" xfId="17938" xr:uid="{00000000-0005-0000-0000-0000ED420000}"/>
    <cellStyle name="Remarque 2 2 6 2 2 4 4 4" xfId="41898" xr:uid="{00000000-0005-0000-0000-0000EE420000}"/>
    <cellStyle name="Remarque 2 2 6 2 2 4 5" xfId="8065" xr:uid="{00000000-0005-0000-0000-0000EF420000}"/>
    <cellStyle name="Remarque 2 2 6 2 2 4 5 2" xfId="32079" xr:uid="{00000000-0005-0000-0000-0000F0420000}"/>
    <cellStyle name="Remarque 2 2 6 2 2 4 5 2 2" xfId="56039" xr:uid="{00000000-0005-0000-0000-0000F1420000}"/>
    <cellStyle name="Remarque 2 2 6 2 2 4 5 3" xfId="19326" xr:uid="{00000000-0005-0000-0000-0000F2420000}"/>
    <cellStyle name="Remarque 2 2 6 2 2 4 5 4" xfId="43286" xr:uid="{00000000-0005-0000-0000-0000F3420000}"/>
    <cellStyle name="Remarque 2 2 6 2 2 4 6" xfId="9450" xr:uid="{00000000-0005-0000-0000-0000F4420000}"/>
    <cellStyle name="Remarque 2 2 6 2 2 4 6 2" xfId="33464" xr:uid="{00000000-0005-0000-0000-0000F5420000}"/>
    <cellStyle name="Remarque 2 2 6 2 2 4 6 2 2" xfId="57424" xr:uid="{00000000-0005-0000-0000-0000F6420000}"/>
    <cellStyle name="Remarque 2 2 6 2 2 4 6 3" xfId="20711" xr:uid="{00000000-0005-0000-0000-0000F7420000}"/>
    <cellStyle name="Remarque 2 2 6 2 2 4 6 4" xfId="44671" xr:uid="{00000000-0005-0000-0000-0000F8420000}"/>
    <cellStyle name="Remarque 2 2 6 2 2 4 7" xfId="10907" xr:uid="{00000000-0005-0000-0000-0000F9420000}"/>
    <cellStyle name="Remarque 2 2 6 2 2 4 7 2" xfId="34917" xr:uid="{00000000-0005-0000-0000-0000FA420000}"/>
    <cellStyle name="Remarque 2 2 6 2 2 4 7 2 2" xfId="58877" xr:uid="{00000000-0005-0000-0000-0000FB420000}"/>
    <cellStyle name="Remarque 2 2 6 2 2 4 7 3" xfId="22174" xr:uid="{00000000-0005-0000-0000-0000FC420000}"/>
    <cellStyle name="Remarque 2 2 6 2 2 4 7 4" xfId="46134" xr:uid="{00000000-0005-0000-0000-0000FD420000}"/>
    <cellStyle name="Remarque 2 2 6 2 2 4 8" xfId="11976" xr:uid="{00000000-0005-0000-0000-0000FE420000}"/>
    <cellStyle name="Remarque 2 2 6 2 2 4 8 2" xfId="23254" xr:uid="{00000000-0005-0000-0000-0000FF420000}"/>
    <cellStyle name="Remarque 2 2 6 2 2 4 8 3" xfId="47214" xr:uid="{00000000-0005-0000-0000-000000430000}"/>
    <cellStyle name="Remarque 2 2 6 2 2 4 9" xfId="2379" xr:uid="{00000000-0005-0000-0000-000001430000}"/>
    <cellStyle name="Remarque 2 2 6 2 2 4 9 2" xfId="26393" xr:uid="{00000000-0005-0000-0000-000002430000}"/>
    <cellStyle name="Remarque 2 2 6 2 2 4 9 3" xfId="50353" xr:uid="{00000000-0005-0000-0000-000003430000}"/>
    <cellStyle name="Remarque 2 2 6 2 2 5" xfId="1136" xr:uid="{00000000-0005-0000-0000-000004430000}"/>
    <cellStyle name="Remarque 2 2 6 2 2 5 10" xfId="25168" xr:uid="{00000000-0005-0000-0000-000005430000}"/>
    <cellStyle name="Remarque 2 2 6 2 2 5 10 2" xfId="49128" xr:uid="{00000000-0005-0000-0000-000006430000}"/>
    <cellStyle name="Remarque 2 2 6 2 2 5 11" xfId="36167" xr:uid="{00000000-0005-0000-0000-000007430000}"/>
    <cellStyle name="Remarque 2 2 6 2 2 5 11 2" xfId="60127" xr:uid="{00000000-0005-0000-0000-000008430000}"/>
    <cellStyle name="Remarque 2 2 6 2 2 5 12" xfId="13833" xr:uid="{00000000-0005-0000-0000-000009430000}"/>
    <cellStyle name="Remarque 2 2 6 2 2 5 13" xfId="37793" xr:uid="{00000000-0005-0000-0000-00000A430000}"/>
    <cellStyle name="Remarque 2 2 6 2 2 5 2" xfId="4042" xr:uid="{00000000-0005-0000-0000-00000B430000}"/>
    <cellStyle name="Remarque 2 2 6 2 2 5 2 2" xfId="28056" xr:uid="{00000000-0005-0000-0000-00000C430000}"/>
    <cellStyle name="Remarque 2 2 6 2 2 5 2 2 2" xfId="52016" xr:uid="{00000000-0005-0000-0000-00000D430000}"/>
    <cellStyle name="Remarque 2 2 6 2 2 5 2 3" xfId="15303" xr:uid="{00000000-0005-0000-0000-00000E430000}"/>
    <cellStyle name="Remarque 2 2 6 2 2 5 2 4" xfId="39263" xr:uid="{00000000-0005-0000-0000-00000F430000}"/>
    <cellStyle name="Remarque 2 2 6 2 2 5 3" xfId="5476" xr:uid="{00000000-0005-0000-0000-000010430000}"/>
    <cellStyle name="Remarque 2 2 6 2 2 5 3 2" xfId="29490" xr:uid="{00000000-0005-0000-0000-000011430000}"/>
    <cellStyle name="Remarque 2 2 6 2 2 5 3 2 2" xfId="53450" xr:uid="{00000000-0005-0000-0000-000012430000}"/>
    <cellStyle name="Remarque 2 2 6 2 2 5 3 3" xfId="16737" xr:uid="{00000000-0005-0000-0000-000013430000}"/>
    <cellStyle name="Remarque 2 2 6 2 2 5 3 4" xfId="40697" xr:uid="{00000000-0005-0000-0000-000014430000}"/>
    <cellStyle name="Remarque 2 2 6 2 2 5 4" xfId="6870" xr:uid="{00000000-0005-0000-0000-000015430000}"/>
    <cellStyle name="Remarque 2 2 6 2 2 5 4 2" xfId="30884" xr:uid="{00000000-0005-0000-0000-000016430000}"/>
    <cellStyle name="Remarque 2 2 6 2 2 5 4 2 2" xfId="54844" xr:uid="{00000000-0005-0000-0000-000017430000}"/>
    <cellStyle name="Remarque 2 2 6 2 2 5 4 3" xfId="18131" xr:uid="{00000000-0005-0000-0000-000018430000}"/>
    <cellStyle name="Remarque 2 2 6 2 2 5 4 4" xfId="42091" xr:uid="{00000000-0005-0000-0000-000019430000}"/>
    <cellStyle name="Remarque 2 2 6 2 2 5 5" xfId="8258" xr:uid="{00000000-0005-0000-0000-00001A430000}"/>
    <cellStyle name="Remarque 2 2 6 2 2 5 5 2" xfId="32272" xr:uid="{00000000-0005-0000-0000-00001B430000}"/>
    <cellStyle name="Remarque 2 2 6 2 2 5 5 2 2" xfId="56232" xr:uid="{00000000-0005-0000-0000-00001C430000}"/>
    <cellStyle name="Remarque 2 2 6 2 2 5 5 3" xfId="19519" xr:uid="{00000000-0005-0000-0000-00001D430000}"/>
    <cellStyle name="Remarque 2 2 6 2 2 5 5 4" xfId="43479" xr:uid="{00000000-0005-0000-0000-00001E430000}"/>
    <cellStyle name="Remarque 2 2 6 2 2 5 6" xfId="9643" xr:uid="{00000000-0005-0000-0000-00001F430000}"/>
    <cellStyle name="Remarque 2 2 6 2 2 5 6 2" xfId="33657" xr:uid="{00000000-0005-0000-0000-000020430000}"/>
    <cellStyle name="Remarque 2 2 6 2 2 5 6 2 2" xfId="57617" xr:uid="{00000000-0005-0000-0000-000021430000}"/>
    <cellStyle name="Remarque 2 2 6 2 2 5 6 3" xfId="20904" xr:uid="{00000000-0005-0000-0000-000022430000}"/>
    <cellStyle name="Remarque 2 2 6 2 2 5 6 4" xfId="44864" xr:uid="{00000000-0005-0000-0000-000023430000}"/>
    <cellStyle name="Remarque 2 2 6 2 2 5 7" xfId="11100" xr:uid="{00000000-0005-0000-0000-000024430000}"/>
    <cellStyle name="Remarque 2 2 6 2 2 5 7 2" xfId="35110" xr:uid="{00000000-0005-0000-0000-000025430000}"/>
    <cellStyle name="Remarque 2 2 6 2 2 5 7 2 2" xfId="59070" xr:uid="{00000000-0005-0000-0000-000026430000}"/>
    <cellStyle name="Remarque 2 2 6 2 2 5 7 3" xfId="22367" xr:uid="{00000000-0005-0000-0000-000027430000}"/>
    <cellStyle name="Remarque 2 2 6 2 2 5 7 4" xfId="46327" xr:uid="{00000000-0005-0000-0000-000028430000}"/>
    <cellStyle name="Remarque 2 2 6 2 2 5 8" xfId="12656" xr:uid="{00000000-0005-0000-0000-000029430000}"/>
    <cellStyle name="Remarque 2 2 6 2 2 5 8 2" xfId="23961" xr:uid="{00000000-0005-0000-0000-00002A430000}"/>
    <cellStyle name="Remarque 2 2 6 2 2 5 8 3" xfId="47921" xr:uid="{00000000-0005-0000-0000-00002B430000}"/>
    <cellStyle name="Remarque 2 2 6 2 2 5 9" xfId="2572" xr:uid="{00000000-0005-0000-0000-00002C430000}"/>
    <cellStyle name="Remarque 2 2 6 2 2 5 9 2" xfId="26586" xr:uid="{00000000-0005-0000-0000-00002D430000}"/>
    <cellStyle name="Remarque 2 2 6 2 2 5 9 3" xfId="50546" xr:uid="{00000000-0005-0000-0000-00002E430000}"/>
    <cellStyle name="Remarque 2 2 6 2 2 6" xfId="1303" xr:uid="{00000000-0005-0000-0000-00002F430000}"/>
    <cellStyle name="Remarque 2 2 6 2 2 6 10" xfId="25335" xr:uid="{00000000-0005-0000-0000-000030430000}"/>
    <cellStyle name="Remarque 2 2 6 2 2 6 10 2" xfId="49295" xr:uid="{00000000-0005-0000-0000-000031430000}"/>
    <cellStyle name="Remarque 2 2 6 2 2 6 11" xfId="35981" xr:uid="{00000000-0005-0000-0000-000032430000}"/>
    <cellStyle name="Remarque 2 2 6 2 2 6 11 2" xfId="59941" xr:uid="{00000000-0005-0000-0000-000033430000}"/>
    <cellStyle name="Remarque 2 2 6 2 2 6 12" xfId="14000" xr:uid="{00000000-0005-0000-0000-000034430000}"/>
    <cellStyle name="Remarque 2 2 6 2 2 6 13" xfId="37960" xr:uid="{00000000-0005-0000-0000-000035430000}"/>
    <cellStyle name="Remarque 2 2 6 2 2 6 2" xfId="4209" xr:uid="{00000000-0005-0000-0000-000036430000}"/>
    <cellStyle name="Remarque 2 2 6 2 2 6 2 2" xfId="28223" xr:uid="{00000000-0005-0000-0000-000037430000}"/>
    <cellStyle name="Remarque 2 2 6 2 2 6 2 2 2" xfId="52183" xr:uid="{00000000-0005-0000-0000-000038430000}"/>
    <cellStyle name="Remarque 2 2 6 2 2 6 2 3" xfId="15470" xr:uid="{00000000-0005-0000-0000-000039430000}"/>
    <cellStyle name="Remarque 2 2 6 2 2 6 2 4" xfId="39430" xr:uid="{00000000-0005-0000-0000-00003A430000}"/>
    <cellStyle name="Remarque 2 2 6 2 2 6 3" xfId="5643" xr:uid="{00000000-0005-0000-0000-00003B430000}"/>
    <cellStyle name="Remarque 2 2 6 2 2 6 3 2" xfId="29657" xr:uid="{00000000-0005-0000-0000-00003C430000}"/>
    <cellStyle name="Remarque 2 2 6 2 2 6 3 2 2" xfId="53617" xr:uid="{00000000-0005-0000-0000-00003D430000}"/>
    <cellStyle name="Remarque 2 2 6 2 2 6 3 3" xfId="16904" xr:uid="{00000000-0005-0000-0000-00003E430000}"/>
    <cellStyle name="Remarque 2 2 6 2 2 6 3 4" xfId="40864" xr:uid="{00000000-0005-0000-0000-00003F430000}"/>
    <cellStyle name="Remarque 2 2 6 2 2 6 4" xfId="7037" xr:uid="{00000000-0005-0000-0000-000040430000}"/>
    <cellStyle name="Remarque 2 2 6 2 2 6 4 2" xfId="31051" xr:uid="{00000000-0005-0000-0000-000041430000}"/>
    <cellStyle name="Remarque 2 2 6 2 2 6 4 2 2" xfId="55011" xr:uid="{00000000-0005-0000-0000-000042430000}"/>
    <cellStyle name="Remarque 2 2 6 2 2 6 4 3" xfId="18298" xr:uid="{00000000-0005-0000-0000-000043430000}"/>
    <cellStyle name="Remarque 2 2 6 2 2 6 4 4" xfId="42258" xr:uid="{00000000-0005-0000-0000-000044430000}"/>
    <cellStyle name="Remarque 2 2 6 2 2 6 5" xfId="8425" xr:uid="{00000000-0005-0000-0000-000045430000}"/>
    <cellStyle name="Remarque 2 2 6 2 2 6 5 2" xfId="32439" xr:uid="{00000000-0005-0000-0000-000046430000}"/>
    <cellStyle name="Remarque 2 2 6 2 2 6 5 2 2" xfId="56399" xr:uid="{00000000-0005-0000-0000-000047430000}"/>
    <cellStyle name="Remarque 2 2 6 2 2 6 5 3" xfId="19686" xr:uid="{00000000-0005-0000-0000-000048430000}"/>
    <cellStyle name="Remarque 2 2 6 2 2 6 5 4" xfId="43646" xr:uid="{00000000-0005-0000-0000-000049430000}"/>
    <cellStyle name="Remarque 2 2 6 2 2 6 6" xfId="9810" xr:uid="{00000000-0005-0000-0000-00004A430000}"/>
    <cellStyle name="Remarque 2 2 6 2 2 6 6 2" xfId="33824" xr:uid="{00000000-0005-0000-0000-00004B430000}"/>
    <cellStyle name="Remarque 2 2 6 2 2 6 6 2 2" xfId="57784" xr:uid="{00000000-0005-0000-0000-00004C430000}"/>
    <cellStyle name="Remarque 2 2 6 2 2 6 6 3" xfId="21071" xr:uid="{00000000-0005-0000-0000-00004D430000}"/>
    <cellStyle name="Remarque 2 2 6 2 2 6 6 4" xfId="45031" xr:uid="{00000000-0005-0000-0000-00004E430000}"/>
    <cellStyle name="Remarque 2 2 6 2 2 6 7" xfId="11267" xr:uid="{00000000-0005-0000-0000-00004F430000}"/>
    <cellStyle name="Remarque 2 2 6 2 2 6 7 2" xfId="35277" xr:uid="{00000000-0005-0000-0000-000050430000}"/>
    <cellStyle name="Remarque 2 2 6 2 2 6 7 2 2" xfId="59237" xr:uid="{00000000-0005-0000-0000-000051430000}"/>
    <cellStyle name="Remarque 2 2 6 2 2 6 7 3" xfId="22534" xr:uid="{00000000-0005-0000-0000-000052430000}"/>
    <cellStyle name="Remarque 2 2 6 2 2 6 7 4" xfId="46494" xr:uid="{00000000-0005-0000-0000-000053430000}"/>
    <cellStyle name="Remarque 2 2 6 2 2 6 8" xfId="12450" xr:uid="{00000000-0005-0000-0000-000054430000}"/>
    <cellStyle name="Remarque 2 2 6 2 2 6 8 2" xfId="23744" xr:uid="{00000000-0005-0000-0000-000055430000}"/>
    <cellStyle name="Remarque 2 2 6 2 2 6 8 3" xfId="47704" xr:uid="{00000000-0005-0000-0000-000056430000}"/>
    <cellStyle name="Remarque 2 2 6 2 2 6 9" xfId="2739" xr:uid="{00000000-0005-0000-0000-000057430000}"/>
    <cellStyle name="Remarque 2 2 6 2 2 6 9 2" xfId="26753" xr:uid="{00000000-0005-0000-0000-000058430000}"/>
    <cellStyle name="Remarque 2 2 6 2 2 6 9 3" xfId="50713" xr:uid="{00000000-0005-0000-0000-000059430000}"/>
    <cellStyle name="Remarque 2 2 6 2 2 7" xfId="1472" xr:uid="{00000000-0005-0000-0000-00005A430000}"/>
    <cellStyle name="Remarque 2 2 6 2 2 7 10" xfId="25504" xr:uid="{00000000-0005-0000-0000-00005B430000}"/>
    <cellStyle name="Remarque 2 2 6 2 2 7 10 2" xfId="49464" xr:uid="{00000000-0005-0000-0000-00005C430000}"/>
    <cellStyle name="Remarque 2 2 6 2 2 7 11" xfId="36495" xr:uid="{00000000-0005-0000-0000-00005D430000}"/>
    <cellStyle name="Remarque 2 2 6 2 2 7 11 2" xfId="60455" xr:uid="{00000000-0005-0000-0000-00005E430000}"/>
    <cellStyle name="Remarque 2 2 6 2 2 7 12" xfId="14169" xr:uid="{00000000-0005-0000-0000-00005F430000}"/>
    <cellStyle name="Remarque 2 2 6 2 2 7 13" xfId="38129" xr:uid="{00000000-0005-0000-0000-000060430000}"/>
    <cellStyle name="Remarque 2 2 6 2 2 7 2" xfId="4378" xr:uid="{00000000-0005-0000-0000-000061430000}"/>
    <cellStyle name="Remarque 2 2 6 2 2 7 2 2" xfId="28392" xr:uid="{00000000-0005-0000-0000-000062430000}"/>
    <cellStyle name="Remarque 2 2 6 2 2 7 2 2 2" xfId="52352" xr:uid="{00000000-0005-0000-0000-000063430000}"/>
    <cellStyle name="Remarque 2 2 6 2 2 7 2 3" xfId="15639" xr:uid="{00000000-0005-0000-0000-000064430000}"/>
    <cellStyle name="Remarque 2 2 6 2 2 7 2 4" xfId="39599" xr:uid="{00000000-0005-0000-0000-000065430000}"/>
    <cellStyle name="Remarque 2 2 6 2 2 7 3" xfId="5812" xr:uid="{00000000-0005-0000-0000-000066430000}"/>
    <cellStyle name="Remarque 2 2 6 2 2 7 3 2" xfId="29826" xr:uid="{00000000-0005-0000-0000-000067430000}"/>
    <cellStyle name="Remarque 2 2 6 2 2 7 3 2 2" xfId="53786" xr:uid="{00000000-0005-0000-0000-000068430000}"/>
    <cellStyle name="Remarque 2 2 6 2 2 7 3 3" xfId="17073" xr:uid="{00000000-0005-0000-0000-000069430000}"/>
    <cellStyle name="Remarque 2 2 6 2 2 7 3 4" xfId="41033" xr:uid="{00000000-0005-0000-0000-00006A430000}"/>
    <cellStyle name="Remarque 2 2 6 2 2 7 4" xfId="7206" xr:uid="{00000000-0005-0000-0000-00006B430000}"/>
    <cellStyle name="Remarque 2 2 6 2 2 7 4 2" xfId="31220" xr:uid="{00000000-0005-0000-0000-00006C430000}"/>
    <cellStyle name="Remarque 2 2 6 2 2 7 4 2 2" xfId="55180" xr:uid="{00000000-0005-0000-0000-00006D430000}"/>
    <cellStyle name="Remarque 2 2 6 2 2 7 4 3" xfId="18467" xr:uid="{00000000-0005-0000-0000-00006E430000}"/>
    <cellStyle name="Remarque 2 2 6 2 2 7 4 4" xfId="42427" xr:uid="{00000000-0005-0000-0000-00006F430000}"/>
    <cellStyle name="Remarque 2 2 6 2 2 7 5" xfId="8594" xr:uid="{00000000-0005-0000-0000-000070430000}"/>
    <cellStyle name="Remarque 2 2 6 2 2 7 5 2" xfId="32608" xr:uid="{00000000-0005-0000-0000-000071430000}"/>
    <cellStyle name="Remarque 2 2 6 2 2 7 5 2 2" xfId="56568" xr:uid="{00000000-0005-0000-0000-000072430000}"/>
    <cellStyle name="Remarque 2 2 6 2 2 7 5 3" xfId="19855" xr:uid="{00000000-0005-0000-0000-000073430000}"/>
    <cellStyle name="Remarque 2 2 6 2 2 7 5 4" xfId="43815" xr:uid="{00000000-0005-0000-0000-000074430000}"/>
    <cellStyle name="Remarque 2 2 6 2 2 7 6" xfId="9979" xr:uid="{00000000-0005-0000-0000-000075430000}"/>
    <cellStyle name="Remarque 2 2 6 2 2 7 6 2" xfId="33993" xr:uid="{00000000-0005-0000-0000-000076430000}"/>
    <cellStyle name="Remarque 2 2 6 2 2 7 6 2 2" xfId="57953" xr:uid="{00000000-0005-0000-0000-000077430000}"/>
    <cellStyle name="Remarque 2 2 6 2 2 7 6 3" xfId="21240" xr:uid="{00000000-0005-0000-0000-000078430000}"/>
    <cellStyle name="Remarque 2 2 6 2 2 7 6 4" xfId="45200" xr:uid="{00000000-0005-0000-0000-000079430000}"/>
    <cellStyle name="Remarque 2 2 6 2 2 7 7" xfId="11436" xr:uid="{00000000-0005-0000-0000-00007A430000}"/>
    <cellStyle name="Remarque 2 2 6 2 2 7 7 2" xfId="35446" xr:uid="{00000000-0005-0000-0000-00007B430000}"/>
    <cellStyle name="Remarque 2 2 6 2 2 7 7 2 2" xfId="59406" xr:uid="{00000000-0005-0000-0000-00007C430000}"/>
    <cellStyle name="Remarque 2 2 6 2 2 7 7 3" xfId="22703" xr:uid="{00000000-0005-0000-0000-00007D430000}"/>
    <cellStyle name="Remarque 2 2 6 2 2 7 7 4" xfId="46663" xr:uid="{00000000-0005-0000-0000-00007E430000}"/>
    <cellStyle name="Remarque 2 2 6 2 2 7 8" xfId="12315" xr:uid="{00000000-0005-0000-0000-00007F430000}"/>
    <cellStyle name="Remarque 2 2 6 2 2 7 8 2" xfId="23603" xr:uid="{00000000-0005-0000-0000-000080430000}"/>
    <cellStyle name="Remarque 2 2 6 2 2 7 8 3" xfId="47563" xr:uid="{00000000-0005-0000-0000-000081430000}"/>
    <cellStyle name="Remarque 2 2 6 2 2 7 9" xfId="2908" xr:uid="{00000000-0005-0000-0000-000082430000}"/>
    <cellStyle name="Remarque 2 2 6 2 2 7 9 2" xfId="26922" xr:uid="{00000000-0005-0000-0000-000083430000}"/>
    <cellStyle name="Remarque 2 2 6 2 2 7 9 3" xfId="50882" xr:uid="{00000000-0005-0000-0000-000084430000}"/>
    <cellStyle name="Remarque 2 2 6 2 2 8" xfId="3327" xr:uid="{00000000-0005-0000-0000-000085430000}"/>
    <cellStyle name="Remarque 2 2 6 2 2 8 2" xfId="27341" xr:uid="{00000000-0005-0000-0000-000086430000}"/>
    <cellStyle name="Remarque 2 2 6 2 2 8 2 2" xfId="51301" xr:uid="{00000000-0005-0000-0000-000087430000}"/>
    <cellStyle name="Remarque 2 2 6 2 2 8 3" xfId="14588" xr:uid="{00000000-0005-0000-0000-000088430000}"/>
    <cellStyle name="Remarque 2 2 6 2 2 8 4" xfId="38548" xr:uid="{00000000-0005-0000-0000-000089430000}"/>
    <cellStyle name="Remarque 2 2 6 2 2 9" xfId="4761" xr:uid="{00000000-0005-0000-0000-00008A430000}"/>
    <cellStyle name="Remarque 2 2 6 2 2 9 2" xfId="28775" xr:uid="{00000000-0005-0000-0000-00008B430000}"/>
    <cellStyle name="Remarque 2 2 6 2 2 9 2 2" xfId="52735" xr:uid="{00000000-0005-0000-0000-00008C430000}"/>
    <cellStyle name="Remarque 2 2 6 2 2 9 3" xfId="16022" xr:uid="{00000000-0005-0000-0000-00008D430000}"/>
    <cellStyle name="Remarque 2 2 6 2 2 9 4" xfId="39982" xr:uid="{00000000-0005-0000-0000-00008E430000}"/>
    <cellStyle name="Remarque 2 2 6 2 20" xfId="12943" xr:uid="{00000000-0005-0000-0000-00008F430000}"/>
    <cellStyle name="Remarque 2 2 6 2 21" xfId="36903" xr:uid="{00000000-0005-0000-0000-000090430000}"/>
    <cellStyle name="Remarque 2 2 6 2 22" xfId="246" xr:uid="{00000000-0005-0000-0000-000091430000}"/>
    <cellStyle name="Remarque 2 2 6 2 3" xfId="345" xr:uid="{00000000-0005-0000-0000-000092430000}"/>
    <cellStyle name="Remarque 2 2 6 2 3 10" xfId="24377" xr:uid="{00000000-0005-0000-0000-000093430000}"/>
    <cellStyle name="Remarque 2 2 6 2 3 10 2" xfId="48337" xr:uid="{00000000-0005-0000-0000-000094430000}"/>
    <cellStyle name="Remarque 2 2 6 2 3 11" xfId="36835" xr:uid="{00000000-0005-0000-0000-000095430000}"/>
    <cellStyle name="Remarque 2 2 6 2 3 11 2" xfId="60795" xr:uid="{00000000-0005-0000-0000-000096430000}"/>
    <cellStyle name="Remarque 2 2 6 2 3 12" xfId="13042" xr:uid="{00000000-0005-0000-0000-000097430000}"/>
    <cellStyle name="Remarque 2 2 6 2 3 13" xfId="37002" xr:uid="{00000000-0005-0000-0000-000098430000}"/>
    <cellStyle name="Remarque 2 2 6 2 3 2" xfId="3251" xr:uid="{00000000-0005-0000-0000-000099430000}"/>
    <cellStyle name="Remarque 2 2 6 2 3 2 2" xfId="27265" xr:uid="{00000000-0005-0000-0000-00009A430000}"/>
    <cellStyle name="Remarque 2 2 6 2 3 2 2 2" xfId="51225" xr:uid="{00000000-0005-0000-0000-00009B430000}"/>
    <cellStyle name="Remarque 2 2 6 2 3 2 3" xfId="14512" xr:uid="{00000000-0005-0000-0000-00009C430000}"/>
    <cellStyle name="Remarque 2 2 6 2 3 2 4" xfId="38472" xr:uid="{00000000-0005-0000-0000-00009D430000}"/>
    <cellStyle name="Remarque 2 2 6 2 3 3" xfId="4685" xr:uid="{00000000-0005-0000-0000-00009E430000}"/>
    <cellStyle name="Remarque 2 2 6 2 3 3 2" xfId="28699" xr:uid="{00000000-0005-0000-0000-00009F430000}"/>
    <cellStyle name="Remarque 2 2 6 2 3 3 2 2" xfId="52659" xr:uid="{00000000-0005-0000-0000-0000A0430000}"/>
    <cellStyle name="Remarque 2 2 6 2 3 3 3" xfId="15946" xr:uid="{00000000-0005-0000-0000-0000A1430000}"/>
    <cellStyle name="Remarque 2 2 6 2 3 3 4" xfId="39906" xr:uid="{00000000-0005-0000-0000-0000A2430000}"/>
    <cellStyle name="Remarque 2 2 6 2 3 4" xfId="6079" xr:uid="{00000000-0005-0000-0000-0000A3430000}"/>
    <cellStyle name="Remarque 2 2 6 2 3 4 2" xfId="30093" xr:uid="{00000000-0005-0000-0000-0000A4430000}"/>
    <cellStyle name="Remarque 2 2 6 2 3 4 2 2" xfId="54053" xr:uid="{00000000-0005-0000-0000-0000A5430000}"/>
    <cellStyle name="Remarque 2 2 6 2 3 4 3" xfId="17340" xr:uid="{00000000-0005-0000-0000-0000A6430000}"/>
    <cellStyle name="Remarque 2 2 6 2 3 4 4" xfId="41300" xr:uid="{00000000-0005-0000-0000-0000A7430000}"/>
    <cellStyle name="Remarque 2 2 6 2 3 5" xfId="7467" xr:uid="{00000000-0005-0000-0000-0000A8430000}"/>
    <cellStyle name="Remarque 2 2 6 2 3 5 2" xfId="31481" xr:uid="{00000000-0005-0000-0000-0000A9430000}"/>
    <cellStyle name="Remarque 2 2 6 2 3 5 2 2" xfId="55441" xr:uid="{00000000-0005-0000-0000-0000AA430000}"/>
    <cellStyle name="Remarque 2 2 6 2 3 5 3" xfId="18728" xr:uid="{00000000-0005-0000-0000-0000AB430000}"/>
    <cellStyle name="Remarque 2 2 6 2 3 5 4" xfId="42688" xr:uid="{00000000-0005-0000-0000-0000AC430000}"/>
    <cellStyle name="Remarque 2 2 6 2 3 6" xfId="8852" xr:uid="{00000000-0005-0000-0000-0000AD430000}"/>
    <cellStyle name="Remarque 2 2 6 2 3 6 2" xfId="32866" xr:uid="{00000000-0005-0000-0000-0000AE430000}"/>
    <cellStyle name="Remarque 2 2 6 2 3 6 2 2" xfId="56826" xr:uid="{00000000-0005-0000-0000-0000AF430000}"/>
    <cellStyle name="Remarque 2 2 6 2 3 6 3" xfId="20113" xr:uid="{00000000-0005-0000-0000-0000B0430000}"/>
    <cellStyle name="Remarque 2 2 6 2 3 6 4" xfId="44073" xr:uid="{00000000-0005-0000-0000-0000B1430000}"/>
    <cellStyle name="Remarque 2 2 6 2 3 7" xfId="10309" xr:uid="{00000000-0005-0000-0000-0000B2430000}"/>
    <cellStyle name="Remarque 2 2 6 2 3 7 2" xfId="34319" xr:uid="{00000000-0005-0000-0000-0000B3430000}"/>
    <cellStyle name="Remarque 2 2 6 2 3 7 2 2" xfId="58279" xr:uid="{00000000-0005-0000-0000-0000B4430000}"/>
    <cellStyle name="Remarque 2 2 6 2 3 7 3" xfId="21576" xr:uid="{00000000-0005-0000-0000-0000B5430000}"/>
    <cellStyle name="Remarque 2 2 6 2 3 7 4" xfId="45536" xr:uid="{00000000-0005-0000-0000-0000B6430000}"/>
    <cellStyle name="Remarque 2 2 6 2 3 8" xfId="11872" xr:uid="{00000000-0005-0000-0000-0000B7430000}"/>
    <cellStyle name="Remarque 2 2 6 2 3 8 2" xfId="23148" xr:uid="{00000000-0005-0000-0000-0000B8430000}"/>
    <cellStyle name="Remarque 2 2 6 2 3 8 3" xfId="47108" xr:uid="{00000000-0005-0000-0000-0000B9430000}"/>
    <cellStyle name="Remarque 2 2 6 2 3 9" xfId="1781" xr:uid="{00000000-0005-0000-0000-0000BA430000}"/>
    <cellStyle name="Remarque 2 2 6 2 3 9 2" xfId="25795" xr:uid="{00000000-0005-0000-0000-0000BB430000}"/>
    <cellStyle name="Remarque 2 2 6 2 3 9 3" xfId="49755" xr:uid="{00000000-0005-0000-0000-0000BC430000}"/>
    <cellStyle name="Remarque 2 2 6 2 4" xfId="481" xr:uid="{00000000-0005-0000-0000-0000BD430000}"/>
    <cellStyle name="Remarque 2 2 6 2 4 10" xfId="24513" xr:uid="{00000000-0005-0000-0000-0000BE430000}"/>
    <cellStyle name="Remarque 2 2 6 2 4 10 2" xfId="48473" xr:uid="{00000000-0005-0000-0000-0000BF430000}"/>
    <cellStyle name="Remarque 2 2 6 2 4 11" xfId="35872" xr:uid="{00000000-0005-0000-0000-0000C0430000}"/>
    <cellStyle name="Remarque 2 2 6 2 4 11 2" xfId="59832" xr:uid="{00000000-0005-0000-0000-0000C1430000}"/>
    <cellStyle name="Remarque 2 2 6 2 4 12" xfId="13178" xr:uid="{00000000-0005-0000-0000-0000C2430000}"/>
    <cellStyle name="Remarque 2 2 6 2 4 13" xfId="37138" xr:uid="{00000000-0005-0000-0000-0000C3430000}"/>
    <cellStyle name="Remarque 2 2 6 2 4 2" xfId="3387" xr:uid="{00000000-0005-0000-0000-0000C4430000}"/>
    <cellStyle name="Remarque 2 2 6 2 4 2 2" xfId="27401" xr:uid="{00000000-0005-0000-0000-0000C5430000}"/>
    <cellStyle name="Remarque 2 2 6 2 4 2 2 2" xfId="51361" xr:uid="{00000000-0005-0000-0000-0000C6430000}"/>
    <cellStyle name="Remarque 2 2 6 2 4 2 3" xfId="14648" xr:uid="{00000000-0005-0000-0000-0000C7430000}"/>
    <cellStyle name="Remarque 2 2 6 2 4 2 4" xfId="38608" xr:uid="{00000000-0005-0000-0000-0000C8430000}"/>
    <cellStyle name="Remarque 2 2 6 2 4 3" xfId="4821" xr:uid="{00000000-0005-0000-0000-0000C9430000}"/>
    <cellStyle name="Remarque 2 2 6 2 4 3 2" xfId="28835" xr:uid="{00000000-0005-0000-0000-0000CA430000}"/>
    <cellStyle name="Remarque 2 2 6 2 4 3 2 2" xfId="52795" xr:uid="{00000000-0005-0000-0000-0000CB430000}"/>
    <cellStyle name="Remarque 2 2 6 2 4 3 3" xfId="16082" xr:uid="{00000000-0005-0000-0000-0000CC430000}"/>
    <cellStyle name="Remarque 2 2 6 2 4 3 4" xfId="40042" xr:uid="{00000000-0005-0000-0000-0000CD430000}"/>
    <cellStyle name="Remarque 2 2 6 2 4 4" xfId="6215" xr:uid="{00000000-0005-0000-0000-0000CE430000}"/>
    <cellStyle name="Remarque 2 2 6 2 4 4 2" xfId="30229" xr:uid="{00000000-0005-0000-0000-0000CF430000}"/>
    <cellStyle name="Remarque 2 2 6 2 4 4 2 2" xfId="54189" xr:uid="{00000000-0005-0000-0000-0000D0430000}"/>
    <cellStyle name="Remarque 2 2 6 2 4 4 3" xfId="17476" xr:uid="{00000000-0005-0000-0000-0000D1430000}"/>
    <cellStyle name="Remarque 2 2 6 2 4 4 4" xfId="41436" xr:uid="{00000000-0005-0000-0000-0000D2430000}"/>
    <cellStyle name="Remarque 2 2 6 2 4 5" xfId="7603" xr:uid="{00000000-0005-0000-0000-0000D3430000}"/>
    <cellStyle name="Remarque 2 2 6 2 4 5 2" xfId="31617" xr:uid="{00000000-0005-0000-0000-0000D4430000}"/>
    <cellStyle name="Remarque 2 2 6 2 4 5 2 2" xfId="55577" xr:uid="{00000000-0005-0000-0000-0000D5430000}"/>
    <cellStyle name="Remarque 2 2 6 2 4 5 3" xfId="18864" xr:uid="{00000000-0005-0000-0000-0000D6430000}"/>
    <cellStyle name="Remarque 2 2 6 2 4 5 4" xfId="42824" xr:uid="{00000000-0005-0000-0000-0000D7430000}"/>
    <cellStyle name="Remarque 2 2 6 2 4 6" xfId="8988" xr:uid="{00000000-0005-0000-0000-0000D8430000}"/>
    <cellStyle name="Remarque 2 2 6 2 4 6 2" xfId="33002" xr:uid="{00000000-0005-0000-0000-0000D9430000}"/>
    <cellStyle name="Remarque 2 2 6 2 4 6 2 2" xfId="56962" xr:uid="{00000000-0005-0000-0000-0000DA430000}"/>
    <cellStyle name="Remarque 2 2 6 2 4 6 3" xfId="20249" xr:uid="{00000000-0005-0000-0000-0000DB430000}"/>
    <cellStyle name="Remarque 2 2 6 2 4 6 4" xfId="44209" xr:uid="{00000000-0005-0000-0000-0000DC430000}"/>
    <cellStyle name="Remarque 2 2 6 2 4 7" xfId="10445" xr:uid="{00000000-0005-0000-0000-0000DD430000}"/>
    <cellStyle name="Remarque 2 2 6 2 4 7 2" xfId="34455" xr:uid="{00000000-0005-0000-0000-0000DE430000}"/>
    <cellStyle name="Remarque 2 2 6 2 4 7 2 2" xfId="58415" xr:uid="{00000000-0005-0000-0000-0000DF430000}"/>
    <cellStyle name="Remarque 2 2 6 2 4 7 3" xfId="21712" xr:uid="{00000000-0005-0000-0000-0000E0430000}"/>
    <cellStyle name="Remarque 2 2 6 2 4 7 4" xfId="45672" xr:uid="{00000000-0005-0000-0000-0000E1430000}"/>
    <cellStyle name="Remarque 2 2 6 2 4 8" xfId="12713" xr:uid="{00000000-0005-0000-0000-0000E2430000}"/>
    <cellStyle name="Remarque 2 2 6 2 4 8 2" xfId="24019" xr:uid="{00000000-0005-0000-0000-0000E3430000}"/>
    <cellStyle name="Remarque 2 2 6 2 4 8 3" xfId="47979" xr:uid="{00000000-0005-0000-0000-0000E4430000}"/>
    <cellStyle name="Remarque 2 2 6 2 4 9" xfId="1917" xr:uid="{00000000-0005-0000-0000-0000E5430000}"/>
    <cellStyle name="Remarque 2 2 6 2 4 9 2" xfId="25931" xr:uid="{00000000-0005-0000-0000-0000E6430000}"/>
    <cellStyle name="Remarque 2 2 6 2 4 9 3" xfId="49891" xr:uid="{00000000-0005-0000-0000-0000E7430000}"/>
    <cellStyle name="Remarque 2 2 6 2 5" xfId="673" xr:uid="{00000000-0005-0000-0000-0000E8430000}"/>
    <cellStyle name="Remarque 2 2 6 2 5 10" xfId="24705" xr:uid="{00000000-0005-0000-0000-0000E9430000}"/>
    <cellStyle name="Remarque 2 2 6 2 5 10 2" xfId="48665" xr:uid="{00000000-0005-0000-0000-0000EA430000}"/>
    <cellStyle name="Remarque 2 2 6 2 5 11" xfId="36262" xr:uid="{00000000-0005-0000-0000-0000EB430000}"/>
    <cellStyle name="Remarque 2 2 6 2 5 11 2" xfId="60222" xr:uid="{00000000-0005-0000-0000-0000EC430000}"/>
    <cellStyle name="Remarque 2 2 6 2 5 12" xfId="13370" xr:uid="{00000000-0005-0000-0000-0000ED430000}"/>
    <cellStyle name="Remarque 2 2 6 2 5 13" xfId="37330" xr:uid="{00000000-0005-0000-0000-0000EE430000}"/>
    <cellStyle name="Remarque 2 2 6 2 5 2" xfId="3579" xr:uid="{00000000-0005-0000-0000-0000EF430000}"/>
    <cellStyle name="Remarque 2 2 6 2 5 2 2" xfId="27593" xr:uid="{00000000-0005-0000-0000-0000F0430000}"/>
    <cellStyle name="Remarque 2 2 6 2 5 2 2 2" xfId="51553" xr:uid="{00000000-0005-0000-0000-0000F1430000}"/>
    <cellStyle name="Remarque 2 2 6 2 5 2 3" xfId="14840" xr:uid="{00000000-0005-0000-0000-0000F2430000}"/>
    <cellStyle name="Remarque 2 2 6 2 5 2 4" xfId="38800" xr:uid="{00000000-0005-0000-0000-0000F3430000}"/>
    <cellStyle name="Remarque 2 2 6 2 5 3" xfId="5013" xr:uid="{00000000-0005-0000-0000-0000F4430000}"/>
    <cellStyle name="Remarque 2 2 6 2 5 3 2" xfId="29027" xr:uid="{00000000-0005-0000-0000-0000F5430000}"/>
    <cellStyle name="Remarque 2 2 6 2 5 3 2 2" xfId="52987" xr:uid="{00000000-0005-0000-0000-0000F6430000}"/>
    <cellStyle name="Remarque 2 2 6 2 5 3 3" xfId="16274" xr:uid="{00000000-0005-0000-0000-0000F7430000}"/>
    <cellStyle name="Remarque 2 2 6 2 5 3 4" xfId="40234" xr:uid="{00000000-0005-0000-0000-0000F8430000}"/>
    <cellStyle name="Remarque 2 2 6 2 5 4" xfId="6407" xr:uid="{00000000-0005-0000-0000-0000F9430000}"/>
    <cellStyle name="Remarque 2 2 6 2 5 4 2" xfId="30421" xr:uid="{00000000-0005-0000-0000-0000FA430000}"/>
    <cellStyle name="Remarque 2 2 6 2 5 4 2 2" xfId="54381" xr:uid="{00000000-0005-0000-0000-0000FB430000}"/>
    <cellStyle name="Remarque 2 2 6 2 5 4 3" xfId="17668" xr:uid="{00000000-0005-0000-0000-0000FC430000}"/>
    <cellStyle name="Remarque 2 2 6 2 5 4 4" xfId="41628" xr:uid="{00000000-0005-0000-0000-0000FD430000}"/>
    <cellStyle name="Remarque 2 2 6 2 5 5" xfId="7795" xr:uid="{00000000-0005-0000-0000-0000FE430000}"/>
    <cellStyle name="Remarque 2 2 6 2 5 5 2" xfId="31809" xr:uid="{00000000-0005-0000-0000-0000FF430000}"/>
    <cellStyle name="Remarque 2 2 6 2 5 5 2 2" xfId="55769" xr:uid="{00000000-0005-0000-0000-000000440000}"/>
    <cellStyle name="Remarque 2 2 6 2 5 5 3" xfId="19056" xr:uid="{00000000-0005-0000-0000-000001440000}"/>
    <cellStyle name="Remarque 2 2 6 2 5 5 4" xfId="43016" xr:uid="{00000000-0005-0000-0000-000002440000}"/>
    <cellStyle name="Remarque 2 2 6 2 5 6" xfId="9180" xr:uid="{00000000-0005-0000-0000-000003440000}"/>
    <cellStyle name="Remarque 2 2 6 2 5 6 2" xfId="33194" xr:uid="{00000000-0005-0000-0000-000004440000}"/>
    <cellStyle name="Remarque 2 2 6 2 5 6 2 2" xfId="57154" xr:uid="{00000000-0005-0000-0000-000005440000}"/>
    <cellStyle name="Remarque 2 2 6 2 5 6 3" xfId="20441" xr:uid="{00000000-0005-0000-0000-000006440000}"/>
    <cellStyle name="Remarque 2 2 6 2 5 6 4" xfId="44401" xr:uid="{00000000-0005-0000-0000-000007440000}"/>
    <cellStyle name="Remarque 2 2 6 2 5 7" xfId="10637" xr:uid="{00000000-0005-0000-0000-000008440000}"/>
    <cellStyle name="Remarque 2 2 6 2 5 7 2" xfId="34647" xr:uid="{00000000-0005-0000-0000-000009440000}"/>
    <cellStyle name="Remarque 2 2 6 2 5 7 2 2" xfId="58607" xr:uid="{00000000-0005-0000-0000-00000A440000}"/>
    <cellStyle name="Remarque 2 2 6 2 5 7 3" xfId="21904" xr:uid="{00000000-0005-0000-0000-00000B440000}"/>
    <cellStyle name="Remarque 2 2 6 2 5 7 4" xfId="45864" xr:uid="{00000000-0005-0000-0000-00000C440000}"/>
    <cellStyle name="Remarque 2 2 6 2 5 8" xfId="12799" xr:uid="{00000000-0005-0000-0000-00000D440000}"/>
    <cellStyle name="Remarque 2 2 6 2 5 8 2" xfId="24109" xr:uid="{00000000-0005-0000-0000-00000E440000}"/>
    <cellStyle name="Remarque 2 2 6 2 5 8 3" xfId="48069" xr:uid="{00000000-0005-0000-0000-00000F440000}"/>
    <cellStyle name="Remarque 2 2 6 2 5 9" xfId="2109" xr:uid="{00000000-0005-0000-0000-000010440000}"/>
    <cellStyle name="Remarque 2 2 6 2 5 9 2" xfId="26123" xr:uid="{00000000-0005-0000-0000-000011440000}"/>
    <cellStyle name="Remarque 2 2 6 2 5 9 3" xfId="50083" xr:uid="{00000000-0005-0000-0000-000012440000}"/>
    <cellStyle name="Remarque 2 2 6 2 6" xfId="867" xr:uid="{00000000-0005-0000-0000-000013440000}"/>
    <cellStyle name="Remarque 2 2 6 2 6 10" xfId="24899" xr:uid="{00000000-0005-0000-0000-000014440000}"/>
    <cellStyle name="Remarque 2 2 6 2 6 10 2" xfId="48859" xr:uid="{00000000-0005-0000-0000-000015440000}"/>
    <cellStyle name="Remarque 2 2 6 2 6 11" xfId="36465" xr:uid="{00000000-0005-0000-0000-000016440000}"/>
    <cellStyle name="Remarque 2 2 6 2 6 11 2" xfId="60425" xr:uid="{00000000-0005-0000-0000-000017440000}"/>
    <cellStyle name="Remarque 2 2 6 2 6 12" xfId="13564" xr:uid="{00000000-0005-0000-0000-000018440000}"/>
    <cellStyle name="Remarque 2 2 6 2 6 13" xfId="37524" xr:uid="{00000000-0005-0000-0000-000019440000}"/>
    <cellStyle name="Remarque 2 2 6 2 6 2" xfId="3773" xr:uid="{00000000-0005-0000-0000-00001A440000}"/>
    <cellStyle name="Remarque 2 2 6 2 6 2 2" xfId="27787" xr:uid="{00000000-0005-0000-0000-00001B440000}"/>
    <cellStyle name="Remarque 2 2 6 2 6 2 2 2" xfId="51747" xr:uid="{00000000-0005-0000-0000-00001C440000}"/>
    <cellStyle name="Remarque 2 2 6 2 6 2 3" xfId="15034" xr:uid="{00000000-0005-0000-0000-00001D440000}"/>
    <cellStyle name="Remarque 2 2 6 2 6 2 4" xfId="38994" xr:uid="{00000000-0005-0000-0000-00001E440000}"/>
    <cellStyle name="Remarque 2 2 6 2 6 3" xfId="5207" xr:uid="{00000000-0005-0000-0000-00001F440000}"/>
    <cellStyle name="Remarque 2 2 6 2 6 3 2" xfId="29221" xr:uid="{00000000-0005-0000-0000-000020440000}"/>
    <cellStyle name="Remarque 2 2 6 2 6 3 2 2" xfId="53181" xr:uid="{00000000-0005-0000-0000-000021440000}"/>
    <cellStyle name="Remarque 2 2 6 2 6 3 3" xfId="16468" xr:uid="{00000000-0005-0000-0000-000022440000}"/>
    <cellStyle name="Remarque 2 2 6 2 6 3 4" xfId="40428" xr:uid="{00000000-0005-0000-0000-000023440000}"/>
    <cellStyle name="Remarque 2 2 6 2 6 4" xfId="6601" xr:uid="{00000000-0005-0000-0000-000024440000}"/>
    <cellStyle name="Remarque 2 2 6 2 6 4 2" xfId="30615" xr:uid="{00000000-0005-0000-0000-000025440000}"/>
    <cellStyle name="Remarque 2 2 6 2 6 4 2 2" xfId="54575" xr:uid="{00000000-0005-0000-0000-000026440000}"/>
    <cellStyle name="Remarque 2 2 6 2 6 4 3" xfId="17862" xr:uid="{00000000-0005-0000-0000-000027440000}"/>
    <cellStyle name="Remarque 2 2 6 2 6 4 4" xfId="41822" xr:uid="{00000000-0005-0000-0000-000028440000}"/>
    <cellStyle name="Remarque 2 2 6 2 6 5" xfId="7989" xr:uid="{00000000-0005-0000-0000-000029440000}"/>
    <cellStyle name="Remarque 2 2 6 2 6 5 2" xfId="32003" xr:uid="{00000000-0005-0000-0000-00002A440000}"/>
    <cellStyle name="Remarque 2 2 6 2 6 5 2 2" xfId="55963" xr:uid="{00000000-0005-0000-0000-00002B440000}"/>
    <cellStyle name="Remarque 2 2 6 2 6 5 3" xfId="19250" xr:uid="{00000000-0005-0000-0000-00002C440000}"/>
    <cellStyle name="Remarque 2 2 6 2 6 5 4" xfId="43210" xr:uid="{00000000-0005-0000-0000-00002D440000}"/>
    <cellStyle name="Remarque 2 2 6 2 6 6" xfId="9374" xr:uid="{00000000-0005-0000-0000-00002E440000}"/>
    <cellStyle name="Remarque 2 2 6 2 6 6 2" xfId="33388" xr:uid="{00000000-0005-0000-0000-00002F440000}"/>
    <cellStyle name="Remarque 2 2 6 2 6 6 2 2" xfId="57348" xr:uid="{00000000-0005-0000-0000-000030440000}"/>
    <cellStyle name="Remarque 2 2 6 2 6 6 3" xfId="20635" xr:uid="{00000000-0005-0000-0000-000031440000}"/>
    <cellStyle name="Remarque 2 2 6 2 6 6 4" xfId="44595" xr:uid="{00000000-0005-0000-0000-000032440000}"/>
    <cellStyle name="Remarque 2 2 6 2 6 7" xfId="10831" xr:uid="{00000000-0005-0000-0000-000033440000}"/>
    <cellStyle name="Remarque 2 2 6 2 6 7 2" xfId="34841" xr:uid="{00000000-0005-0000-0000-000034440000}"/>
    <cellStyle name="Remarque 2 2 6 2 6 7 2 2" xfId="58801" xr:uid="{00000000-0005-0000-0000-000035440000}"/>
    <cellStyle name="Remarque 2 2 6 2 6 7 3" xfId="22098" xr:uid="{00000000-0005-0000-0000-000036440000}"/>
    <cellStyle name="Remarque 2 2 6 2 6 7 4" xfId="46058" xr:uid="{00000000-0005-0000-0000-000037440000}"/>
    <cellStyle name="Remarque 2 2 6 2 6 8" xfId="11973" xr:uid="{00000000-0005-0000-0000-000038440000}"/>
    <cellStyle name="Remarque 2 2 6 2 6 8 2" xfId="23251" xr:uid="{00000000-0005-0000-0000-000039440000}"/>
    <cellStyle name="Remarque 2 2 6 2 6 8 3" xfId="47211" xr:uid="{00000000-0005-0000-0000-00003A440000}"/>
    <cellStyle name="Remarque 2 2 6 2 6 9" xfId="2303" xr:uid="{00000000-0005-0000-0000-00003B440000}"/>
    <cellStyle name="Remarque 2 2 6 2 6 9 2" xfId="26317" xr:uid="{00000000-0005-0000-0000-00003C440000}"/>
    <cellStyle name="Remarque 2 2 6 2 6 9 3" xfId="50277" xr:uid="{00000000-0005-0000-0000-00003D440000}"/>
    <cellStyle name="Remarque 2 2 6 2 7" xfId="1060" xr:uid="{00000000-0005-0000-0000-00003E440000}"/>
    <cellStyle name="Remarque 2 2 6 2 7 10" xfId="25092" xr:uid="{00000000-0005-0000-0000-00003F440000}"/>
    <cellStyle name="Remarque 2 2 6 2 7 10 2" xfId="49052" xr:uid="{00000000-0005-0000-0000-000040440000}"/>
    <cellStyle name="Remarque 2 2 6 2 7 11" xfId="36474" xr:uid="{00000000-0005-0000-0000-000041440000}"/>
    <cellStyle name="Remarque 2 2 6 2 7 11 2" xfId="60434" xr:uid="{00000000-0005-0000-0000-000042440000}"/>
    <cellStyle name="Remarque 2 2 6 2 7 12" xfId="13757" xr:uid="{00000000-0005-0000-0000-000043440000}"/>
    <cellStyle name="Remarque 2 2 6 2 7 13" xfId="37717" xr:uid="{00000000-0005-0000-0000-000044440000}"/>
    <cellStyle name="Remarque 2 2 6 2 7 2" xfId="3966" xr:uid="{00000000-0005-0000-0000-000045440000}"/>
    <cellStyle name="Remarque 2 2 6 2 7 2 2" xfId="27980" xr:uid="{00000000-0005-0000-0000-000046440000}"/>
    <cellStyle name="Remarque 2 2 6 2 7 2 2 2" xfId="51940" xr:uid="{00000000-0005-0000-0000-000047440000}"/>
    <cellStyle name="Remarque 2 2 6 2 7 2 3" xfId="15227" xr:uid="{00000000-0005-0000-0000-000048440000}"/>
    <cellStyle name="Remarque 2 2 6 2 7 2 4" xfId="39187" xr:uid="{00000000-0005-0000-0000-000049440000}"/>
    <cellStyle name="Remarque 2 2 6 2 7 3" xfId="5400" xr:uid="{00000000-0005-0000-0000-00004A440000}"/>
    <cellStyle name="Remarque 2 2 6 2 7 3 2" xfId="29414" xr:uid="{00000000-0005-0000-0000-00004B440000}"/>
    <cellStyle name="Remarque 2 2 6 2 7 3 2 2" xfId="53374" xr:uid="{00000000-0005-0000-0000-00004C440000}"/>
    <cellStyle name="Remarque 2 2 6 2 7 3 3" xfId="16661" xr:uid="{00000000-0005-0000-0000-00004D440000}"/>
    <cellStyle name="Remarque 2 2 6 2 7 3 4" xfId="40621" xr:uid="{00000000-0005-0000-0000-00004E440000}"/>
    <cellStyle name="Remarque 2 2 6 2 7 4" xfId="6794" xr:uid="{00000000-0005-0000-0000-00004F440000}"/>
    <cellStyle name="Remarque 2 2 6 2 7 4 2" xfId="30808" xr:uid="{00000000-0005-0000-0000-000050440000}"/>
    <cellStyle name="Remarque 2 2 6 2 7 4 2 2" xfId="54768" xr:uid="{00000000-0005-0000-0000-000051440000}"/>
    <cellStyle name="Remarque 2 2 6 2 7 4 3" xfId="18055" xr:uid="{00000000-0005-0000-0000-000052440000}"/>
    <cellStyle name="Remarque 2 2 6 2 7 4 4" xfId="42015" xr:uid="{00000000-0005-0000-0000-000053440000}"/>
    <cellStyle name="Remarque 2 2 6 2 7 5" xfId="8182" xr:uid="{00000000-0005-0000-0000-000054440000}"/>
    <cellStyle name="Remarque 2 2 6 2 7 5 2" xfId="32196" xr:uid="{00000000-0005-0000-0000-000055440000}"/>
    <cellStyle name="Remarque 2 2 6 2 7 5 2 2" xfId="56156" xr:uid="{00000000-0005-0000-0000-000056440000}"/>
    <cellStyle name="Remarque 2 2 6 2 7 5 3" xfId="19443" xr:uid="{00000000-0005-0000-0000-000057440000}"/>
    <cellStyle name="Remarque 2 2 6 2 7 5 4" xfId="43403" xr:uid="{00000000-0005-0000-0000-000058440000}"/>
    <cellStyle name="Remarque 2 2 6 2 7 6" xfId="9567" xr:uid="{00000000-0005-0000-0000-000059440000}"/>
    <cellStyle name="Remarque 2 2 6 2 7 6 2" xfId="33581" xr:uid="{00000000-0005-0000-0000-00005A440000}"/>
    <cellStyle name="Remarque 2 2 6 2 7 6 2 2" xfId="57541" xr:uid="{00000000-0005-0000-0000-00005B440000}"/>
    <cellStyle name="Remarque 2 2 6 2 7 6 3" xfId="20828" xr:uid="{00000000-0005-0000-0000-00005C440000}"/>
    <cellStyle name="Remarque 2 2 6 2 7 6 4" xfId="44788" xr:uid="{00000000-0005-0000-0000-00005D440000}"/>
    <cellStyle name="Remarque 2 2 6 2 7 7" xfId="11024" xr:uid="{00000000-0005-0000-0000-00005E440000}"/>
    <cellStyle name="Remarque 2 2 6 2 7 7 2" xfId="35034" xr:uid="{00000000-0005-0000-0000-00005F440000}"/>
    <cellStyle name="Remarque 2 2 6 2 7 7 2 2" xfId="58994" xr:uid="{00000000-0005-0000-0000-000060440000}"/>
    <cellStyle name="Remarque 2 2 6 2 7 7 3" xfId="22291" xr:uid="{00000000-0005-0000-0000-000061440000}"/>
    <cellStyle name="Remarque 2 2 6 2 7 7 4" xfId="46251" xr:uid="{00000000-0005-0000-0000-000062440000}"/>
    <cellStyle name="Remarque 2 2 6 2 7 8" xfId="11886" xr:uid="{00000000-0005-0000-0000-000063440000}"/>
    <cellStyle name="Remarque 2 2 6 2 7 8 2" xfId="23163" xr:uid="{00000000-0005-0000-0000-000064440000}"/>
    <cellStyle name="Remarque 2 2 6 2 7 8 3" xfId="47123" xr:uid="{00000000-0005-0000-0000-000065440000}"/>
    <cellStyle name="Remarque 2 2 6 2 7 9" xfId="2496" xr:uid="{00000000-0005-0000-0000-000066440000}"/>
    <cellStyle name="Remarque 2 2 6 2 7 9 2" xfId="26510" xr:uid="{00000000-0005-0000-0000-000067440000}"/>
    <cellStyle name="Remarque 2 2 6 2 7 9 3" xfId="50470" xr:uid="{00000000-0005-0000-0000-000068440000}"/>
    <cellStyle name="Remarque 2 2 6 2 8" xfId="1227" xr:uid="{00000000-0005-0000-0000-000069440000}"/>
    <cellStyle name="Remarque 2 2 6 2 8 10" xfId="25259" xr:uid="{00000000-0005-0000-0000-00006A440000}"/>
    <cellStyle name="Remarque 2 2 6 2 8 10 2" xfId="49219" xr:uid="{00000000-0005-0000-0000-00006B440000}"/>
    <cellStyle name="Remarque 2 2 6 2 8 11" xfId="36482" xr:uid="{00000000-0005-0000-0000-00006C440000}"/>
    <cellStyle name="Remarque 2 2 6 2 8 11 2" xfId="60442" xr:uid="{00000000-0005-0000-0000-00006D440000}"/>
    <cellStyle name="Remarque 2 2 6 2 8 12" xfId="13924" xr:uid="{00000000-0005-0000-0000-00006E440000}"/>
    <cellStyle name="Remarque 2 2 6 2 8 13" xfId="37884" xr:uid="{00000000-0005-0000-0000-00006F440000}"/>
    <cellStyle name="Remarque 2 2 6 2 8 2" xfId="4133" xr:uid="{00000000-0005-0000-0000-000070440000}"/>
    <cellStyle name="Remarque 2 2 6 2 8 2 2" xfId="28147" xr:uid="{00000000-0005-0000-0000-000071440000}"/>
    <cellStyle name="Remarque 2 2 6 2 8 2 2 2" xfId="52107" xr:uid="{00000000-0005-0000-0000-000072440000}"/>
    <cellStyle name="Remarque 2 2 6 2 8 2 3" xfId="15394" xr:uid="{00000000-0005-0000-0000-000073440000}"/>
    <cellStyle name="Remarque 2 2 6 2 8 2 4" xfId="39354" xr:uid="{00000000-0005-0000-0000-000074440000}"/>
    <cellStyle name="Remarque 2 2 6 2 8 3" xfId="5567" xr:uid="{00000000-0005-0000-0000-000075440000}"/>
    <cellStyle name="Remarque 2 2 6 2 8 3 2" xfId="29581" xr:uid="{00000000-0005-0000-0000-000076440000}"/>
    <cellStyle name="Remarque 2 2 6 2 8 3 2 2" xfId="53541" xr:uid="{00000000-0005-0000-0000-000077440000}"/>
    <cellStyle name="Remarque 2 2 6 2 8 3 3" xfId="16828" xr:uid="{00000000-0005-0000-0000-000078440000}"/>
    <cellStyle name="Remarque 2 2 6 2 8 3 4" xfId="40788" xr:uid="{00000000-0005-0000-0000-000079440000}"/>
    <cellStyle name="Remarque 2 2 6 2 8 4" xfId="6961" xr:uid="{00000000-0005-0000-0000-00007A440000}"/>
    <cellStyle name="Remarque 2 2 6 2 8 4 2" xfId="30975" xr:uid="{00000000-0005-0000-0000-00007B440000}"/>
    <cellStyle name="Remarque 2 2 6 2 8 4 2 2" xfId="54935" xr:uid="{00000000-0005-0000-0000-00007C440000}"/>
    <cellStyle name="Remarque 2 2 6 2 8 4 3" xfId="18222" xr:uid="{00000000-0005-0000-0000-00007D440000}"/>
    <cellStyle name="Remarque 2 2 6 2 8 4 4" xfId="42182" xr:uid="{00000000-0005-0000-0000-00007E440000}"/>
    <cellStyle name="Remarque 2 2 6 2 8 5" xfId="8349" xr:uid="{00000000-0005-0000-0000-00007F440000}"/>
    <cellStyle name="Remarque 2 2 6 2 8 5 2" xfId="32363" xr:uid="{00000000-0005-0000-0000-000080440000}"/>
    <cellStyle name="Remarque 2 2 6 2 8 5 2 2" xfId="56323" xr:uid="{00000000-0005-0000-0000-000081440000}"/>
    <cellStyle name="Remarque 2 2 6 2 8 5 3" xfId="19610" xr:uid="{00000000-0005-0000-0000-000082440000}"/>
    <cellStyle name="Remarque 2 2 6 2 8 5 4" xfId="43570" xr:uid="{00000000-0005-0000-0000-000083440000}"/>
    <cellStyle name="Remarque 2 2 6 2 8 6" xfId="9734" xr:uid="{00000000-0005-0000-0000-000084440000}"/>
    <cellStyle name="Remarque 2 2 6 2 8 6 2" xfId="33748" xr:uid="{00000000-0005-0000-0000-000085440000}"/>
    <cellStyle name="Remarque 2 2 6 2 8 6 2 2" xfId="57708" xr:uid="{00000000-0005-0000-0000-000086440000}"/>
    <cellStyle name="Remarque 2 2 6 2 8 6 3" xfId="20995" xr:uid="{00000000-0005-0000-0000-000087440000}"/>
    <cellStyle name="Remarque 2 2 6 2 8 6 4" xfId="44955" xr:uid="{00000000-0005-0000-0000-000088440000}"/>
    <cellStyle name="Remarque 2 2 6 2 8 7" xfId="11191" xr:uid="{00000000-0005-0000-0000-000089440000}"/>
    <cellStyle name="Remarque 2 2 6 2 8 7 2" xfId="35201" xr:uid="{00000000-0005-0000-0000-00008A440000}"/>
    <cellStyle name="Remarque 2 2 6 2 8 7 2 2" xfId="59161" xr:uid="{00000000-0005-0000-0000-00008B440000}"/>
    <cellStyle name="Remarque 2 2 6 2 8 7 3" xfId="22458" xr:uid="{00000000-0005-0000-0000-00008C440000}"/>
    <cellStyle name="Remarque 2 2 6 2 8 7 4" xfId="46418" xr:uid="{00000000-0005-0000-0000-00008D440000}"/>
    <cellStyle name="Remarque 2 2 6 2 8 8" xfId="12447" xr:uid="{00000000-0005-0000-0000-00008E440000}"/>
    <cellStyle name="Remarque 2 2 6 2 8 8 2" xfId="23741" xr:uid="{00000000-0005-0000-0000-00008F440000}"/>
    <cellStyle name="Remarque 2 2 6 2 8 8 3" xfId="47701" xr:uid="{00000000-0005-0000-0000-000090440000}"/>
    <cellStyle name="Remarque 2 2 6 2 8 9" xfId="2663" xr:uid="{00000000-0005-0000-0000-000091440000}"/>
    <cellStyle name="Remarque 2 2 6 2 8 9 2" xfId="26677" xr:uid="{00000000-0005-0000-0000-000092440000}"/>
    <cellStyle name="Remarque 2 2 6 2 8 9 3" xfId="50637" xr:uid="{00000000-0005-0000-0000-000093440000}"/>
    <cellStyle name="Remarque 2 2 6 2 9" xfId="1396" xr:uid="{00000000-0005-0000-0000-000094440000}"/>
    <cellStyle name="Remarque 2 2 6 2 9 10" xfId="25428" xr:uid="{00000000-0005-0000-0000-000095440000}"/>
    <cellStyle name="Remarque 2 2 6 2 9 10 2" xfId="49388" xr:uid="{00000000-0005-0000-0000-000096440000}"/>
    <cellStyle name="Remarque 2 2 6 2 9 11" xfId="36272" xr:uid="{00000000-0005-0000-0000-000097440000}"/>
    <cellStyle name="Remarque 2 2 6 2 9 11 2" xfId="60232" xr:uid="{00000000-0005-0000-0000-000098440000}"/>
    <cellStyle name="Remarque 2 2 6 2 9 12" xfId="14093" xr:uid="{00000000-0005-0000-0000-000099440000}"/>
    <cellStyle name="Remarque 2 2 6 2 9 13" xfId="38053" xr:uid="{00000000-0005-0000-0000-00009A440000}"/>
    <cellStyle name="Remarque 2 2 6 2 9 2" xfId="4302" xr:uid="{00000000-0005-0000-0000-00009B440000}"/>
    <cellStyle name="Remarque 2 2 6 2 9 2 2" xfId="28316" xr:uid="{00000000-0005-0000-0000-00009C440000}"/>
    <cellStyle name="Remarque 2 2 6 2 9 2 2 2" xfId="52276" xr:uid="{00000000-0005-0000-0000-00009D440000}"/>
    <cellStyle name="Remarque 2 2 6 2 9 2 3" xfId="15563" xr:uid="{00000000-0005-0000-0000-00009E440000}"/>
    <cellStyle name="Remarque 2 2 6 2 9 2 4" xfId="39523" xr:uid="{00000000-0005-0000-0000-00009F440000}"/>
    <cellStyle name="Remarque 2 2 6 2 9 3" xfId="5736" xr:uid="{00000000-0005-0000-0000-0000A0440000}"/>
    <cellStyle name="Remarque 2 2 6 2 9 3 2" xfId="29750" xr:uid="{00000000-0005-0000-0000-0000A1440000}"/>
    <cellStyle name="Remarque 2 2 6 2 9 3 2 2" xfId="53710" xr:uid="{00000000-0005-0000-0000-0000A2440000}"/>
    <cellStyle name="Remarque 2 2 6 2 9 3 3" xfId="16997" xr:uid="{00000000-0005-0000-0000-0000A3440000}"/>
    <cellStyle name="Remarque 2 2 6 2 9 3 4" xfId="40957" xr:uid="{00000000-0005-0000-0000-0000A4440000}"/>
    <cellStyle name="Remarque 2 2 6 2 9 4" xfId="7130" xr:uid="{00000000-0005-0000-0000-0000A5440000}"/>
    <cellStyle name="Remarque 2 2 6 2 9 4 2" xfId="31144" xr:uid="{00000000-0005-0000-0000-0000A6440000}"/>
    <cellStyle name="Remarque 2 2 6 2 9 4 2 2" xfId="55104" xr:uid="{00000000-0005-0000-0000-0000A7440000}"/>
    <cellStyle name="Remarque 2 2 6 2 9 4 3" xfId="18391" xr:uid="{00000000-0005-0000-0000-0000A8440000}"/>
    <cellStyle name="Remarque 2 2 6 2 9 4 4" xfId="42351" xr:uid="{00000000-0005-0000-0000-0000A9440000}"/>
    <cellStyle name="Remarque 2 2 6 2 9 5" xfId="8518" xr:uid="{00000000-0005-0000-0000-0000AA440000}"/>
    <cellStyle name="Remarque 2 2 6 2 9 5 2" xfId="32532" xr:uid="{00000000-0005-0000-0000-0000AB440000}"/>
    <cellStyle name="Remarque 2 2 6 2 9 5 2 2" xfId="56492" xr:uid="{00000000-0005-0000-0000-0000AC440000}"/>
    <cellStyle name="Remarque 2 2 6 2 9 5 3" xfId="19779" xr:uid="{00000000-0005-0000-0000-0000AD440000}"/>
    <cellStyle name="Remarque 2 2 6 2 9 5 4" xfId="43739" xr:uid="{00000000-0005-0000-0000-0000AE440000}"/>
    <cellStyle name="Remarque 2 2 6 2 9 6" xfId="9903" xr:uid="{00000000-0005-0000-0000-0000AF440000}"/>
    <cellStyle name="Remarque 2 2 6 2 9 6 2" xfId="33917" xr:uid="{00000000-0005-0000-0000-0000B0440000}"/>
    <cellStyle name="Remarque 2 2 6 2 9 6 2 2" xfId="57877" xr:uid="{00000000-0005-0000-0000-0000B1440000}"/>
    <cellStyle name="Remarque 2 2 6 2 9 6 3" xfId="21164" xr:uid="{00000000-0005-0000-0000-0000B2440000}"/>
    <cellStyle name="Remarque 2 2 6 2 9 6 4" xfId="45124" xr:uid="{00000000-0005-0000-0000-0000B3440000}"/>
    <cellStyle name="Remarque 2 2 6 2 9 7" xfId="11360" xr:uid="{00000000-0005-0000-0000-0000B4440000}"/>
    <cellStyle name="Remarque 2 2 6 2 9 7 2" xfId="35370" xr:uid="{00000000-0005-0000-0000-0000B5440000}"/>
    <cellStyle name="Remarque 2 2 6 2 9 7 2 2" xfId="59330" xr:uid="{00000000-0005-0000-0000-0000B6440000}"/>
    <cellStyle name="Remarque 2 2 6 2 9 7 3" xfId="22627" xr:uid="{00000000-0005-0000-0000-0000B7440000}"/>
    <cellStyle name="Remarque 2 2 6 2 9 7 4" xfId="46587" xr:uid="{00000000-0005-0000-0000-0000B8440000}"/>
    <cellStyle name="Remarque 2 2 6 2 9 8" xfId="12835" xr:uid="{00000000-0005-0000-0000-0000B9440000}"/>
    <cellStyle name="Remarque 2 2 6 2 9 8 2" xfId="24146" xr:uid="{00000000-0005-0000-0000-0000BA440000}"/>
    <cellStyle name="Remarque 2 2 6 2 9 8 3" xfId="48106" xr:uid="{00000000-0005-0000-0000-0000BB440000}"/>
    <cellStyle name="Remarque 2 2 6 2 9 9" xfId="2832" xr:uid="{00000000-0005-0000-0000-0000BC440000}"/>
    <cellStyle name="Remarque 2 2 6 2 9 9 2" xfId="26846" xr:uid="{00000000-0005-0000-0000-0000BD440000}"/>
    <cellStyle name="Remarque 2 2 6 2 9 9 3" xfId="50806" xr:uid="{00000000-0005-0000-0000-0000BE440000}"/>
    <cellStyle name="Remarque 2 2 6 20" xfId="12591" xr:uid="{00000000-0005-0000-0000-0000BF440000}"/>
    <cellStyle name="Remarque 2 2 6 20 2" xfId="23892" xr:uid="{00000000-0005-0000-0000-0000C0440000}"/>
    <cellStyle name="Remarque 2 2 6 20 3" xfId="47852" xr:uid="{00000000-0005-0000-0000-0000C1440000}"/>
    <cellStyle name="Remarque 2 2 6 21" xfId="1659" xr:uid="{00000000-0005-0000-0000-0000C2440000}"/>
    <cellStyle name="Remarque 2 2 6 21 2" xfId="25673" xr:uid="{00000000-0005-0000-0000-0000C3440000}"/>
    <cellStyle name="Remarque 2 2 6 21 3" xfId="49633" xr:uid="{00000000-0005-0000-0000-0000C4440000}"/>
    <cellStyle name="Remarque 2 2 6 22" xfId="24227" xr:uid="{00000000-0005-0000-0000-0000C5440000}"/>
    <cellStyle name="Remarque 2 2 6 22 2" xfId="48187" xr:uid="{00000000-0005-0000-0000-0000C6440000}"/>
    <cellStyle name="Remarque 2 2 6 23" xfId="35661" xr:uid="{00000000-0005-0000-0000-0000C7440000}"/>
    <cellStyle name="Remarque 2 2 6 23 2" xfId="59621" xr:uid="{00000000-0005-0000-0000-0000C8440000}"/>
    <cellStyle name="Remarque 2 2 6 24" xfId="12939" xr:uid="{00000000-0005-0000-0000-0000C9440000}"/>
    <cellStyle name="Remarque 2 2 6 25" xfId="36880" xr:uid="{00000000-0005-0000-0000-0000CA440000}"/>
    <cellStyle name="Remarque 2 2 6 26" xfId="195" xr:uid="{00000000-0005-0000-0000-0000CB440000}"/>
    <cellStyle name="Remarque 2 2 6 3" xfId="155" xr:uid="{00000000-0005-0000-0000-0000CC440000}"/>
    <cellStyle name="Remarque 2 2 6 3 10" xfId="6151" xr:uid="{00000000-0005-0000-0000-0000CD440000}"/>
    <cellStyle name="Remarque 2 2 6 3 10 2" xfId="30165" xr:uid="{00000000-0005-0000-0000-0000CE440000}"/>
    <cellStyle name="Remarque 2 2 6 3 10 2 2" xfId="54125" xr:uid="{00000000-0005-0000-0000-0000CF440000}"/>
    <cellStyle name="Remarque 2 2 6 3 10 3" xfId="17412" xr:uid="{00000000-0005-0000-0000-0000D0440000}"/>
    <cellStyle name="Remarque 2 2 6 3 10 4" xfId="41372" xr:uid="{00000000-0005-0000-0000-0000D1440000}"/>
    <cellStyle name="Remarque 2 2 6 3 11" xfId="7539" xr:uid="{00000000-0005-0000-0000-0000D2440000}"/>
    <cellStyle name="Remarque 2 2 6 3 11 2" xfId="31553" xr:uid="{00000000-0005-0000-0000-0000D3440000}"/>
    <cellStyle name="Remarque 2 2 6 3 11 2 2" xfId="55513" xr:uid="{00000000-0005-0000-0000-0000D4440000}"/>
    <cellStyle name="Remarque 2 2 6 3 11 3" xfId="18800" xr:uid="{00000000-0005-0000-0000-0000D5440000}"/>
    <cellStyle name="Remarque 2 2 6 3 11 4" xfId="42760" xr:uid="{00000000-0005-0000-0000-0000D6440000}"/>
    <cellStyle name="Remarque 2 2 6 3 12" xfId="8924" xr:uid="{00000000-0005-0000-0000-0000D7440000}"/>
    <cellStyle name="Remarque 2 2 6 3 12 2" xfId="32938" xr:uid="{00000000-0005-0000-0000-0000D8440000}"/>
    <cellStyle name="Remarque 2 2 6 3 12 2 2" xfId="56898" xr:uid="{00000000-0005-0000-0000-0000D9440000}"/>
    <cellStyle name="Remarque 2 2 6 3 12 3" xfId="20185" xr:uid="{00000000-0005-0000-0000-0000DA440000}"/>
    <cellStyle name="Remarque 2 2 6 3 12 4" xfId="44145" xr:uid="{00000000-0005-0000-0000-0000DB440000}"/>
    <cellStyle name="Remarque 2 2 6 3 13" xfId="10381" xr:uid="{00000000-0005-0000-0000-0000DC440000}"/>
    <cellStyle name="Remarque 2 2 6 3 13 2" xfId="34391" xr:uid="{00000000-0005-0000-0000-0000DD440000}"/>
    <cellStyle name="Remarque 2 2 6 3 13 2 2" xfId="58351" xr:uid="{00000000-0005-0000-0000-0000DE440000}"/>
    <cellStyle name="Remarque 2 2 6 3 13 3" xfId="21648" xr:uid="{00000000-0005-0000-0000-0000DF440000}"/>
    <cellStyle name="Remarque 2 2 6 3 13 4" xfId="45608" xr:uid="{00000000-0005-0000-0000-0000E0440000}"/>
    <cellStyle name="Remarque 2 2 6 3 14" xfId="11850" xr:uid="{00000000-0005-0000-0000-0000E1440000}"/>
    <cellStyle name="Remarque 2 2 6 3 14 2" xfId="23126" xr:uid="{00000000-0005-0000-0000-0000E2440000}"/>
    <cellStyle name="Remarque 2 2 6 3 14 3" xfId="47086" xr:uid="{00000000-0005-0000-0000-0000E3440000}"/>
    <cellStyle name="Remarque 2 2 6 3 15" xfId="1853" xr:uid="{00000000-0005-0000-0000-0000E4440000}"/>
    <cellStyle name="Remarque 2 2 6 3 15 2" xfId="25867" xr:uid="{00000000-0005-0000-0000-0000E5440000}"/>
    <cellStyle name="Remarque 2 2 6 3 15 3" xfId="49827" xr:uid="{00000000-0005-0000-0000-0000E6440000}"/>
    <cellStyle name="Remarque 2 2 6 3 16" xfId="24449" xr:uid="{00000000-0005-0000-0000-0000E7440000}"/>
    <cellStyle name="Remarque 2 2 6 3 16 2" xfId="48409" xr:uid="{00000000-0005-0000-0000-0000E8440000}"/>
    <cellStyle name="Remarque 2 2 6 3 17" xfId="36735" xr:uid="{00000000-0005-0000-0000-0000E9440000}"/>
    <cellStyle name="Remarque 2 2 6 3 17 2" xfId="60695" xr:uid="{00000000-0005-0000-0000-0000EA440000}"/>
    <cellStyle name="Remarque 2 2 6 3 18" xfId="13114" xr:uid="{00000000-0005-0000-0000-0000EB440000}"/>
    <cellStyle name="Remarque 2 2 6 3 19" xfId="37074" xr:uid="{00000000-0005-0000-0000-0000EC440000}"/>
    <cellStyle name="Remarque 2 2 6 3 2" xfId="553" xr:uid="{00000000-0005-0000-0000-0000ED440000}"/>
    <cellStyle name="Remarque 2 2 6 3 2 10" xfId="24585" xr:uid="{00000000-0005-0000-0000-0000EE440000}"/>
    <cellStyle name="Remarque 2 2 6 3 2 10 2" xfId="48545" xr:uid="{00000000-0005-0000-0000-0000EF440000}"/>
    <cellStyle name="Remarque 2 2 6 3 2 11" xfId="36543" xr:uid="{00000000-0005-0000-0000-0000F0440000}"/>
    <cellStyle name="Remarque 2 2 6 3 2 11 2" xfId="60503" xr:uid="{00000000-0005-0000-0000-0000F1440000}"/>
    <cellStyle name="Remarque 2 2 6 3 2 12" xfId="13250" xr:uid="{00000000-0005-0000-0000-0000F2440000}"/>
    <cellStyle name="Remarque 2 2 6 3 2 13" xfId="37210" xr:uid="{00000000-0005-0000-0000-0000F3440000}"/>
    <cellStyle name="Remarque 2 2 6 3 2 2" xfId="3459" xr:uid="{00000000-0005-0000-0000-0000F4440000}"/>
    <cellStyle name="Remarque 2 2 6 3 2 2 2" xfId="27473" xr:uid="{00000000-0005-0000-0000-0000F5440000}"/>
    <cellStyle name="Remarque 2 2 6 3 2 2 2 2" xfId="51433" xr:uid="{00000000-0005-0000-0000-0000F6440000}"/>
    <cellStyle name="Remarque 2 2 6 3 2 2 3" xfId="14720" xr:uid="{00000000-0005-0000-0000-0000F7440000}"/>
    <cellStyle name="Remarque 2 2 6 3 2 2 4" xfId="38680" xr:uid="{00000000-0005-0000-0000-0000F8440000}"/>
    <cellStyle name="Remarque 2 2 6 3 2 3" xfId="4893" xr:uid="{00000000-0005-0000-0000-0000F9440000}"/>
    <cellStyle name="Remarque 2 2 6 3 2 3 2" xfId="28907" xr:uid="{00000000-0005-0000-0000-0000FA440000}"/>
    <cellStyle name="Remarque 2 2 6 3 2 3 2 2" xfId="52867" xr:uid="{00000000-0005-0000-0000-0000FB440000}"/>
    <cellStyle name="Remarque 2 2 6 3 2 3 3" xfId="16154" xr:uid="{00000000-0005-0000-0000-0000FC440000}"/>
    <cellStyle name="Remarque 2 2 6 3 2 3 4" xfId="40114" xr:uid="{00000000-0005-0000-0000-0000FD440000}"/>
    <cellStyle name="Remarque 2 2 6 3 2 4" xfId="6287" xr:uid="{00000000-0005-0000-0000-0000FE440000}"/>
    <cellStyle name="Remarque 2 2 6 3 2 4 2" xfId="30301" xr:uid="{00000000-0005-0000-0000-0000FF440000}"/>
    <cellStyle name="Remarque 2 2 6 3 2 4 2 2" xfId="54261" xr:uid="{00000000-0005-0000-0000-000000450000}"/>
    <cellStyle name="Remarque 2 2 6 3 2 4 3" xfId="17548" xr:uid="{00000000-0005-0000-0000-000001450000}"/>
    <cellStyle name="Remarque 2 2 6 3 2 4 4" xfId="41508" xr:uid="{00000000-0005-0000-0000-000002450000}"/>
    <cellStyle name="Remarque 2 2 6 3 2 5" xfId="7675" xr:uid="{00000000-0005-0000-0000-000003450000}"/>
    <cellStyle name="Remarque 2 2 6 3 2 5 2" xfId="31689" xr:uid="{00000000-0005-0000-0000-000004450000}"/>
    <cellStyle name="Remarque 2 2 6 3 2 5 2 2" xfId="55649" xr:uid="{00000000-0005-0000-0000-000005450000}"/>
    <cellStyle name="Remarque 2 2 6 3 2 5 3" xfId="18936" xr:uid="{00000000-0005-0000-0000-000006450000}"/>
    <cellStyle name="Remarque 2 2 6 3 2 5 4" xfId="42896" xr:uid="{00000000-0005-0000-0000-000007450000}"/>
    <cellStyle name="Remarque 2 2 6 3 2 6" xfId="9060" xr:uid="{00000000-0005-0000-0000-000008450000}"/>
    <cellStyle name="Remarque 2 2 6 3 2 6 2" xfId="33074" xr:uid="{00000000-0005-0000-0000-000009450000}"/>
    <cellStyle name="Remarque 2 2 6 3 2 6 2 2" xfId="57034" xr:uid="{00000000-0005-0000-0000-00000A450000}"/>
    <cellStyle name="Remarque 2 2 6 3 2 6 3" xfId="20321" xr:uid="{00000000-0005-0000-0000-00000B450000}"/>
    <cellStyle name="Remarque 2 2 6 3 2 6 4" xfId="44281" xr:uid="{00000000-0005-0000-0000-00000C450000}"/>
    <cellStyle name="Remarque 2 2 6 3 2 7" xfId="10517" xr:uid="{00000000-0005-0000-0000-00000D450000}"/>
    <cellStyle name="Remarque 2 2 6 3 2 7 2" xfId="34527" xr:uid="{00000000-0005-0000-0000-00000E450000}"/>
    <cellStyle name="Remarque 2 2 6 3 2 7 2 2" xfId="58487" xr:uid="{00000000-0005-0000-0000-00000F450000}"/>
    <cellStyle name="Remarque 2 2 6 3 2 7 3" xfId="21784" xr:uid="{00000000-0005-0000-0000-000010450000}"/>
    <cellStyle name="Remarque 2 2 6 3 2 7 4" xfId="45744" xr:uid="{00000000-0005-0000-0000-000011450000}"/>
    <cellStyle name="Remarque 2 2 6 3 2 8" xfId="12406" xr:uid="{00000000-0005-0000-0000-000012450000}"/>
    <cellStyle name="Remarque 2 2 6 3 2 8 2" xfId="23697" xr:uid="{00000000-0005-0000-0000-000013450000}"/>
    <cellStyle name="Remarque 2 2 6 3 2 8 3" xfId="47657" xr:uid="{00000000-0005-0000-0000-000014450000}"/>
    <cellStyle name="Remarque 2 2 6 3 2 9" xfId="1989" xr:uid="{00000000-0005-0000-0000-000015450000}"/>
    <cellStyle name="Remarque 2 2 6 3 2 9 2" xfId="26003" xr:uid="{00000000-0005-0000-0000-000016450000}"/>
    <cellStyle name="Remarque 2 2 6 3 2 9 3" xfId="49963" xr:uid="{00000000-0005-0000-0000-000017450000}"/>
    <cellStyle name="Remarque 2 2 6 3 20" xfId="417" xr:uid="{00000000-0005-0000-0000-000018450000}"/>
    <cellStyle name="Remarque 2 2 6 3 3" xfId="745" xr:uid="{00000000-0005-0000-0000-000019450000}"/>
    <cellStyle name="Remarque 2 2 6 3 3 10" xfId="24777" xr:uid="{00000000-0005-0000-0000-00001A450000}"/>
    <cellStyle name="Remarque 2 2 6 3 3 10 2" xfId="48737" xr:uid="{00000000-0005-0000-0000-00001B450000}"/>
    <cellStyle name="Remarque 2 2 6 3 3 11" xfId="36740" xr:uid="{00000000-0005-0000-0000-00001C450000}"/>
    <cellStyle name="Remarque 2 2 6 3 3 11 2" xfId="60700" xr:uid="{00000000-0005-0000-0000-00001D450000}"/>
    <cellStyle name="Remarque 2 2 6 3 3 12" xfId="13442" xr:uid="{00000000-0005-0000-0000-00001E450000}"/>
    <cellStyle name="Remarque 2 2 6 3 3 13" xfId="37402" xr:uid="{00000000-0005-0000-0000-00001F450000}"/>
    <cellStyle name="Remarque 2 2 6 3 3 2" xfId="3651" xr:uid="{00000000-0005-0000-0000-000020450000}"/>
    <cellStyle name="Remarque 2 2 6 3 3 2 2" xfId="27665" xr:uid="{00000000-0005-0000-0000-000021450000}"/>
    <cellStyle name="Remarque 2 2 6 3 3 2 2 2" xfId="51625" xr:uid="{00000000-0005-0000-0000-000022450000}"/>
    <cellStyle name="Remarque 2 2 6 3 3 2 3" xfId="14912" xr:uid="{00000000-0005-0000-0000-000023450000}"/>
    <cellStyle name="Remarque 2 2 6 3 3 2 4" xfId="38872" xr:uid="{00000000-0005-0000-0000-000024450000}"/>
    <cellStyle name="Remarque 2 2 6 3 3 3" xfId="5085" xr:uid="{00000000-0005-0000-0000-000025450000}"/>
    <cellStyle name="Remarque 2 2 6 3 3 3 2" xfId="29099" xr:uid="{00000000-0005-0000-0000-000026450000}"/>
    <cellStyle name="Remarque 2 2 6 3 3 3 2 2" xfId="53059" xr:uid="{00000000-0005-0000-0000-000027450000}"/>
    <cellStyle name="Remarque 2 2 6 3 3 3 3" xfId="16346" xr:uid="{00000000-0005-0000-0000-000028450000}"/>
    <cellStyle name="Remarque 2 2 6 3 3 3 4" xfId="40306" xr:uid="{00000000-0005-0000-0000-000029450000}"/>
    <cellStyle name="Remarque 2 2 6 3 3 4" xfId="6479" xr:uid="{00000000-0005-0000-0000-00002A450000}"/>
    <cellStyle name="Remarque 2 2 6 3 3 4 2" xfId="30493" xr:uid="{00000000-0005-0000-0000-00002B450000}"/>
    <cellStyle name="Remarque 2 2 6 3 3 4 2 2" xfId="54453" xr:uid="{00000000-0005-0000-0000-00002C450000}"/>
    <cellStyle name="Remarque 2 2 6 3 3 4 3" xfId="17740" xr:uid="{00000000-0005-0000-0000-00002D450000}"/>
    <cellStyle name="Remarque 2 2 6 3 3 4 4" xfId="41700" xr:uid="{00000000-0005-0000-0000-00002E450000}"/>
    <cellStyle name="Remarque 2 2 6 3 3 5" xfId="7867" xr:uid="{00000000-0005-0000-0000-00002F450000}"/>
    <cellStyle name="Remarque 2 2 6 3 3 5 2" xfId="31881" xr:uid="{00000000-0005-0000-0000-000030450000}"/>
    <cellStyle name="Remarque 2 2 6 3 3 5 2 2" xfId="55841" xr:uid="{00000000-0005-0000-0000-000031450000}"/>
    <cellStyle name="Remarque 2 2 6 3 3 5 3" xfId="19128" xr:uid="{00000000-0005-0000-0000-000032450000}"/>
    <cellStyle name="Remarque 2 2 6 3 3 5 4" xfId="43088" xr:uid="{00000000-0005-0000-0000-000033450000}"/>
    <cellStyle name="Remarque 2 2 6 3 3 6" xfId="9252" xr:uid="{00000000-0005-0000-0000-000034450000}"/>
    <cellStyle name="Remarque 2 2 6 3 3 6 2" xfId="33266" xr:uid="{00000000-0005-0000-0000-000035450000}"/>
    <cellStyle name="Remarque 2 2 6 3 3 6 2 2" xfId="57226" xr:uid="{00000000-0005-0000-0000-000036450000}"/>
    <cellStyle name="Remarque 2 2 6 3 3 6 3" xfId="20513" xr:uid="{00000000-0005-0000-0000-000037450000}"/>
    <cellStyle name="Remarque 2 2 6 3 3 6 4" xfId="44473" xr:uid="{00000000-0005-0000-0000-000038450000}"/>
    <cellStyle name="Remarque 2 2 6 3 3 7" xfId="10709" xr:uid="{00000000-0005-0000-0000-000039450000}"/>
    <cellStyle name="Remarque 2 2 6 3 3 7 2" xfId="34719" xr:uid="{00000000-0005-0000-0000-00003A450000}"/>
    <cellStyle name="Remarque 2 2 6 3 3 7 2 2" xfId="58679" xr:uid="{00000000-0005-0000-0000-00003B450000}"/>
    <cellStyle name="Remarque 2 2 6 3 3 7 3" xfId="21976" xr:uid="{00000000-0005-0000-0000-00003C450000}"/>
    <cellStyle name="Remarque 2 2 6 3 3 7 4" xfId="45936" xr:uid="{00000000-0005-0000-0000-00003D450000}"/>
    <cellStyle name="Remarque 2 2 6 3 3 8" xfId="11742" xr:uid="{00000000-0005-0000-0000-00003E450000}"/>
    <cellStyle name="Remarque 2 2 6 3 3 8 2" xfId="23013" xr:uid="{00000000-0005-0000-0000-00003F450000}"/>
    <cellStyle name="Remarque 2 2 6 3 3 8 3" xfId="46973" xr:uid="{00000000-0005-0000-0000-000040450000}"/>
    <cellStyle name="Remarque 2 2 6 3 3 9" xfId="2181" xr:uid="{00000000-0005-0000-0000-000041450000}"/>
    <cellStyle name="Remarque 2 2 6 3 3 9 2" xfId="26195" xr:uid="{00000000-0005-0000-0000-000042450000}"/>
    <cellStyle name="Remarque 2 2 6 3 3 9 3" xfId="50155" xr:uid="{00000000-0005-0000-0000-000043450000}"/>
    <cellStyle name="Remarque 2 2 6 3 4" xfId="939" xr:uid="{00000000-0005-0000-0000-000044450000}"/>
    <cellStyle name="Remarque 2 2 6 3 4 10" xfId="24971" xr:uid="{00000000-0005-0000-0000-000045450000}"/>
    <cellStyle name="Remarque 2 2 6 3 4 10 2" xfId="48931" xr:uid="{00000000-0005-0000-0000-000046450000}"/>
    <cellStyle name="Remarque 2 2 6 3 4 11" xfId="36527" xr:uid="{00000000-0005-0000-0000-000047450000}"/>
    <cellStyle name="Remarque 2 2 6 3 4 11 2" xfId="60487" xr:uid="{00000000-0005-0000-0000-000048450000}"/>
    <cellStyle name="Remarque 2 2 6 3 4 12" xfId="13636" xr:uid="{00000000-0005-0000-0000-000049450000}"/>
    <cellStyle name="Remarque 2 2 6 3 4 13" xfId="37596" xr:uid="{00000000-0005-0000-0000-00004A450000}"/>
    <cellStyle name="Remarque 2 2 6 3 4 2" xfId="3845" xr:uid="{00000000-0005-0000-0000-00004B450000}"/>
    <cellStyle name="Remarque 2 2 6 3 4 2 2" xfId="27859" xr:uid="{00000000-0005-0000-0000-00004C450000}"/>
    <cellStyle name="Remarque 2 2 6 3 4 2 2 2" xfId="51819" xr:uid="{00000000-0005-0000-0000-00004D450000}"/>
    <cellStyle name="Remarque 2 2 6 3 4 2 3" xfId="15106" xr:uid="{00000000-0005-0000-0000-00004E450000}"/>
    <cellStyle name="Remarque 2 2 6 3 4 2 4" xfId="39066" xr:uid="{00000000-0005-0000-0000-00004F450000}"/>
    <cellStyle name="Remarque 2 2 6 3 4 3" xfId="5279" xr:uid="{00000000-0005-0000-0000-000050450000}"/>
    <cellStyle name="Remarque 2 2 6 3 4 3 2" xfId="29293" xr:uid="{00000000-0005-0000-0000-000051450000}"/>
    <cellStyle name="Remarque 2 2 6 3 4 3 2 2" xfId="53253" xr:uid="{00000000-0005-0000-0000-000052450000}"/>
    <cellStyle name="Remarque 2 2 6 3 4 3 3" xfId="16540" xr:uid="{00000000-0005-0000-0000-000053450000}"/>
    <cellStyle name="Remarque 2 2 6 3 4 3 4" xfId="40500" xr:uid="{00000000-0005-0000-0000-000054450000}"/>
    <cellStyle name="Remarque 2 2 6 3 4 4" xfId="6673" xr:uid="{00000000-0005-0000-0000-000055450000}"/>
    <cellStyle name="Remarque 2 2 6 3 4 4 2" xfId="30687" xr:uid="{00000000-0005-0000-0000-000056450000}"/>
    <cellStyle name="Remarque 2 2 6 3 4 4 2 2" xfId="54647" xr:uid="{00000000-0005-0000-0000-000057450000}"/>
    <cellStyle name="Remarque 2 2 6 3 4 4 3" xfId="17934" xr:uid="{00000000-0005-0000-0000-000058450000}"/>
    <cellStyle name="Remarque 2 2 6 3 4 4 4" xfId="41894" xr:uid="{00000000-0005-0000-0000-000059450000}"/>
    <cellStyle name="Remarque 2 2 6 3 4 5" xfId="8061" xr:uid="{00000000-0005-0000-0000-00005A450000}"/>
    <cellStyle name="Remarque 2 2 6 3 4 5 2" xfId="32075" xr:uid="{00000000-0005-0000-0000-00005B450000}"/>
    <cellStyle name="Remarque 2 2 6 3 4 5 2 2" xfId="56035" xr:uid="{00000000-0005-0000-0000-00005C450000}"/>
    <cellStyle name="Remarque 2 2 6 3 4 5 3" xfId="19322" xr:uid="{00000000-0005-0000-0000-00005D450000}"/>
    <cellStyle name="Remarque 2 2 6 3 4 5 4" xfId="43282" xr:uid="{00000000-0005-0000-0000-00005E450000}"/>
    <cellStyle name="Remarque 2 2 6 3 4 6" xfId="9446" xr:uid="{00000000-0005-0000-0000-00005F450000}"/>
    <cellStyle name="Remarque 2 2 6 3 4 6 2" xfId="33460" xr:uid="{00000000-0005-0000-0000-000060450000}"/>
    <cellStyle name="Remarque 2 2 6 3 4 6 2 2" xfId="57420" xr:uid="{00000000-0005-0000-0000-000061450000}"/>
    <cellStyle name="Remarque 2 2 6 3 4 6 3" xfId="20707" xr:uid="{00000000-0005-0000-0000-000062450000}"/>
    <cellStyle name="Remarque 2 2 6 3 4 6 4" xfId="44667" xr:uid="{00000000-0005-0000-0000-000063450000}"/>
    <cellStyle name="Remarque 2 2 6 3 4 7" xfId="10903" xr:uid="{00000000-0005-0000-0000-000064450000}"/>
    <cellStyle name="Remarque 2 2 6 3 4 7 2" xfId="34913" xr:uid="{00000000-0005-0000-0000-000065450000}"/>
    <cellStyle name="Remarque 2 2 6 3 4 7 2 2" xfId="58873" xr:uid="{00000000-0005-0000-0000-000066450000}"/>
    <cellStyle name="Remarque 2 2 6 3 4 7 3" xfId="22170" xr:uid="{00000000-0005-0000-0000-000067450000}"/>
    <cellStyle name="Remarque 2 2 6 3 4 7 4" xfId="46130" xr:uid="{00000000-0005-0000-0000-000068450000}"/>
    <cellStyle name="Remarque 2 2 6 3 4 8" xfId="12520" xr:uid="{00000000-0005-0000-0000-000069450000}"/>
    <cellStyle name="Remarque 2 2 6 3 4 8 2" xfId="23817" xr:uid="{00000000-0005-0000-0000-00006A450000}"/>
    <cellStyle name="Remarque 2 2 6 3 4 8 3" xfId="47777" xr:uid="{00000000-0005-0000-0000-00006B450000}"/>
    <cellStyle name="Remarque 2 2 6 3 4 9" xfId="2375" xr:uid="{00000000-0005-0000-0000-00006C450000}"/>
    <cellStyle name="Remarque 2 2 6 3 4 9 2" xfId="26389" xr:uid="{00000000-0005-0000-0000-00006D450000}"/>
    <cellStyle name="Remarque 2 2 6 3 4 9 3" xfId="50349" xr:uid="{00000000-0005-0000-0000-00006E450000}"/>
    <cellStyle name="Remarque 2 2 6 3 5" xfId="1132" xr:uid="{00000000-0005-0000-0000-00006F450000}"/>
    <cellStyle name="Remarque 2 2 6 3 5 10" xfId="25164" xr:uid="{00000000-0005-0000-0000-000070450000}"/>
    <cellStyle name="Remarque 2 2 6 3 5 10 2" xfId="49124" xr:uid="{00000000-0005-0000-0000-000071450000}"/>
    <cellStyle name="Remarque 2 2 6 3 5 11" xfId="36759" xr:uid="{00000000-0005-0000-0000-000072450000}"/>
    <cellStyle name="Remarque 2 2 6 3 5 11 2" xfId="60719" xr:uid="{00000000-0005-0000-0000-000073450000}"/>
    <cellStyle name="Remarque 2 2 6 3 5 12" xfId="13829" xr:uid="{00000000-0005-0000-0000-000074450000}"/>
    <cellStyle name="Remarque 2 2 6 3 5 13" xfId="37789" xr:uid="{00000000-0005-0000-0000-000075450000}"/>
    <cellStyle name="Remarque 2 2 6 3 5 2" xfId="4038" xr:uid="{00000000-0005-0000-0000-000076450000}"/>
    <cellStyle name="Remarque 2 2 6 3 5 2 2" xfId="28052" xr:uid="{00000000-0005-0000-0000-000077450000}"/>
    <cellStyle name="Remarque 2 2 6 3 5 2 2 2" xfId="52012" xr:uid="{00000000-0005-0000-0000-000078450000}"/>
    <cellStyle name="Remarque 2 2 6 3 5 2 3" xfId="15299" xr:uid="{00000000-0005-0000-0000-000079450000}"/>
    <cellStyle name="Remarque 2 2 6 3 5 2 4" xfId="39259" xr:uid="{00000000-0005-0000-0000-00007A450000}"/>
    <cellStyle name="Remarque 2 2 6 3 5 3" xfId="5472" xr:uid="{00000000-0005-0000-0000-00007B450000}"/>
    <cellStyle name="Remarque 2 2 6 3 5 3 2" xfId="29486" xr:uid="{00000000-0005-0000-0000-00007C450000}"/>
    <cellStyle name="Remarque 2 2 6 3 5 3 2 2" xfId="53446" xr:uid="{00000000-0005-0000-0000-00007D450000}"/>
    <cellStyle name="Remarque 2 2 6 3 5 3 3" xfId="16733" xr:uid="{00000000-0005-0000-0000-00007E450000}"/>
    <cellStyle name="Remarque 2 2 6 3 5 3 4" xfId="40693" xr:uid="{00000000-0005-0000-0000-00007F450000}"/>
    <cellStyle name="Remarque 2 2 6 3 5 4" xfId="6866" xr:uid="{00000000-0005-0000-0000-000080450000}"/>
    <cellStyle name="Remarque 2 2 6 3 5 4 2" xfId="30880" xr:uid="{00000000-0005-0000-0000-000081450000}"/>
    <cellStyle name="Remarque 2 2 6 3 5 4 2 2" xfId="54840" xr:uid="{00000000-0005-0000-0000-000082450000}"/>
    <cellStyle name="Remarque 2 2 6 3 5 4 3" xfId="18127" xr:uid="{00000000-0005-0000-0000-000083450000}"/>
    <cellStyle name="Remarque 2 2 6 3 5 4 4" xfId="42087" xr:uid="{00000000-0005-0000-0000-000084450000}"/>
    <cellStyle name="Remarque 2 2 6 3 5 5" xfId="8254" xr:uid="{00000000-0005-0000-0000-000085450000}"/>
    <cellStyle name="Remarque 2 2 6 3 5 5 2" xfId="32268" xr:uid="{00000000-0005-0000-0000-000086450000}"/>
    <cellStyle name="Remarque 2 2 6 3 5 5 2 2" xfId="56228" xr:uid="{00000000-0005-0000-0000-000087450000}"/>
    <cellStyle name="Remarque 2 2 6 3 5 5 3" xfId="19515" xr:uid="{00000000-0005-0000-0000-000088450000}"/>
    <cellStyle name="Remarque 2 2 6 3 5 5 4" xfId="43475" xr:uid="{00000000-0005-0000-0000-000089450000}"/>
    <cellStyle name="Remarque 2 2 6 3 5 6" xfId="9639" xr:uid="{00000000-0005-0000-0000-00008A450000}"/>
    <cellStyle name="Remarque 2 2 6 3 5 6 2" xfId="33653" xr:uid="{00000000-0005-0000-0000-00008B450000}"/>
    <cellStyle name="Remarque 2 2 6 3 5 6 2 2" xfId="57613" xr:uid="{00000000-0005-0000-0000-00008C450000}"/>
    <cellStyle name="Remarque 2 2 6 3 5 6 3" xfId="20900" xr:uid="{00000000-0005-0000-0000-00008D450000}"/>
    <cellStyle name="Remarque 2 2 6 3 5 6 4" xfId="44860" xr:uid="{00000000-0005-0000-0000-00008E450000}"/>
    <cellStyle name="Remarque 2 2 6 3 5 7" xfId="11096" xr:uid="{00000000-0005-0000-0000-00008F450000}"/>
    <cellStyle name="Remarque 2 2 6 3 5 7 2" xfId="35106" xr:uid="{00000000-0005-0000-0000-000090450000}"/>
    <cellStyle name="Remarque 2 2 6 3 5 7 2 2" xfId="59066" xr:uid="{00000000-0005-0000-0000-000091450000}"/>
    <cellStyle name="Remarque 2 2 6 3 5 7 3" xfId="22363" xr:uid="{00000000-0005-0000-0000-000092450000}"/>
    <cellStyle name="Remarque 2 2 6 3 5 7 4" xfId="46323" xr:uid="{00000000-0005-0000-0000-000093450000}"/>
    <cellStyle name="Remarque 2 2 6 3 5 8" xfId="12187" xr:uid="{00000000-0005-0000-0000-000094450000}"/>
    <cellStyle name="Remarque 2 2 6 3 5 8 2" xfId="23470" xr:uid="{00000000-0005-0000-0000-000095450000}"/>
    <cellStyle name="Remarque 2 2 6 3 5 8 3" xfId="47430" xr:uid="{00000000-0005-0000-0000-000096450000}"/>
    <cellStyle name="Remarque 2 2 6 3 5 9" xfId="2568" xr:uid="{00000000-0005-0000-0000-000097450000}"/>
    <cellStyle name="Remarque 2 2 6 3 5 9 2" xfId="26582" xr:uid="{00000000-0005-0000-0000-000098450000}"/>
    <cellStyle name="Remarque 2 2 6 3 5 9 3" xfId="50542" xr:uid="{00000000-0005-0000-0000-000099450000}"/>
    <cellStyle name="Remarque 2 2 6 3 6" xfId="1299" xr:uid="{00000000-0005-0000-0000-00009A450000}"/>
    <cellStyle name="Remarque 2 2 6 3 6 10" xfId="25331" xr:uid="{00000000-0005-0000-0000-00009B450000}"/>
    <cellStyle name="Remarque 2 2 6 3 6 10 2" xfId="49291" xr:uid="{00000000-0005-0000-0000-00009C450000}"/>
    <cellStyle name="Remarque 2 2 6 3 6 11" xfId="36129" xr:uid="{00000000-0005-0000-0000-00009D450000}"/>
    <cellStyle name="Remarque 2 2 6 3 6 11 2" xfId="60089" xr:uid="{00000000-0005-0000-0000-00009E450000}"/>
    <cellStyle name="Remarque 2 2 6 3 6 12" xfId="13996" xr:uid="{00000000-0005-0000-0000-00009F450000}"/>
    <cellStyle name="Remarque 2 2 6 3 6 13" xfId="37956" xr:uid="{00000000-0005-0000-0000-0000A0450000}"/>
    <cellStyle name="Remarque 2 2 6 3 6 2" xfId="4205" xr:uid="{00000000-0005-0000-0000-0000A1450000}"/>
    <cellStyle name="Remarque 2 2 6 3 6 2 2" xfId="28219" xr:uid="{00000000-0005-0000-0000-0000A2450000}"/>
    <cellStyle name="Remarque 2 2 6 3 6 2 2 2" xfId="52179" xr:uid="{00000000-0005-0000-0000-0000A3450000}"/>
    <cellStyle name="Remarque 2 2 6 3 6 2 3" xfId="15466" xr:uid="{00000000-0005-0000-0000-0000A4450000}"/>
    <cellStyle name="Remarque 2 2 6 3 6 2 4" xfId="39426" xr:uid="{00000000-0005-0000-0000-0000A5450000}"/>
    <cellStyle name="Remarque 2 2 6 3 6 3" xfId="5639" xr:uid="{00000000-0005-0000-0000-0000A6450000}"/>
    <cellStyle name="Remarque 2 2 6 3 6 3 2" xfId="29653" xr:uid="{00000000-0005-0000-0000-0000A7450000}"/>
    <cellStyle name="Remarque 2 2 6 3 6 3 2 2" xfId="53613" xr:uid="{00000000-0005-0000-0000-0000A8450000}"/>
    <cellStyle name="Remarque 2 2 6 3 6 3 3" xfId="16900" xr:uid="{00000000-0005-0000-0000-0000A9450000}"/>
    <cellStyle name="Remarque 2 2 6 3 6 3 4" xfId="40860" xr:uid="{00000000-0005-0000-0000-0000AA450000}"/>
    <cellStyle name="Remarque 2 2 6 3 6 4" xfId="7033" xr:uid="{00000000-0005-0000-0000-0000AB450000}"/>
    <cellStyle name="Remarque 2 2 6 3 6 4 2" xfId="31047" xr:uid="{00000000-0005-0000-0000-0000AC450000}"/>
    <cellStyle name="Remarque 2 2 6 3 6 4 2 2" xfId="55007" xr:uid="{00000000-0005-0000-0000-0000AD450000}"/>
    <cellStyle name="Remarque 2 2 6 3 6 4 3" xfId="18294" xr:uid="{00000000-0005-0000-0000-0000AE450000}"/>
    <cellStyle name="Remarque 2 2 6 3 6 4 4" xfId="42254" xr:uid="{00000000-0005-0000-0000-0000AF450000}"/>
    <cellStyle name="Remarque 2 2 6 3 6 5" xfId="8421" xr:uid="{00000000-0005-0000-0000-0000B0450000}"/>
    <cellStyle name="Remarque 2 2 6 3 6 5 2" xfId="32435" xr:uid="{00000000-0005-0000-0000-0000B1450000}"/>
    <cellStyle name="Remarque 2 2 6 3 6 5 2 2" xfId="56395" xr:uid="{00000000-0005-0000-0000-0000B2450000}"/>
    <cellStyle name="Remarque 2 2 6 3 6 5 3" xfId="19682" xr:uid="{00000000-0005-0000-0000-0000B3450000}"/>
    <cellStyle name="Remarque 2 2 6 3 6 5 4" xfId="43642" xr:uid="{00000000-0005-0000-0000-0000B4450000}"/>
    <cellStyle name="Remarque 2 2 6 3 6 6" xfId="9806" xr:uid="{00000000-0005-0000-0000-0000B5450000}"/>
    <cellStyle name="Remarque 2 2 6 3 6 6 2" xfId="33820" xr:uid="{00000000-0005-0000-0000-0000B6450000}"/>
    <cellStyle name="Remarque 2 2 6 3 6 6 2 2" xfId="57780" xr:uid="{00000000-0005-0000-0000-0000B7450000}"/>
    <cellStyle name="Remarque 2 2 6 3 6 6 3" xfId="21067" xr:uid="{00000000-0005-0000-0000-0000B8450000}"/>
    <cellStyle name="Remarque 2 2 6 3 6 6 4" xfId="45027" xr:uid="{00000000-0005-0000-0000-0000B9450000}"/>
    <cellStyle name="Remarque 2 2 6 3 6 7" xfId="11263" xr:uid="{00000000-0005-0000-0000-0000BA450000}"/>
    <cellStyle name="Remarque 2 2 6 3 6 7 2" xfId="35273" xr:uid="{00000000-0005-0000-0000-0000BB450000}"/>
    <cellStyle name="Remarque 2 2 6 3 6 7 2 2" xfId="59233" xr:uid="{00000000-0005-0000-0000-0000BC450000}"/>
    <cellStyle name="Remarque 2 2 6 3 6 7 3" xfId="22530" xr:uid="{00000000-0005-0000-0000-0000BD450000}"/>
    <cellStyle name="Remarque 2 2 6 3 6 7 4" xfId="46490" xr:uid="{00000000-0005-0000-0000-0000BE450000}"/>
    <cellStyle name="Remarque 2 2 6 3 6 8" xfId="11934" xr:uid="{00000000-0005-0000-0000-0000BF450000}"/>
    <cellStyle name="Remarque 2 2 6 3 6 8 2" xfId="23212" xr:uid="{00000000-0005-0000-0000-0000C0450000}"/>
    <cellStyle name="Remarque 2 2 6 3 6 8 3" xfId="47172" xr:uid="{00000000-0005-0000-0000-0000C1450000}"/>
    <cellStyle name="Remarque 2 2 6 3 6 9" xfId="2735" xr:uid="{00000000-0005-0000-0000-0000C2450000}"/>
    <cellStyle name="Remarque 2 2 6 3 6 9 2" xfId="26749" xr:uid="{00000000-0005-0000-0000-0000C3450000}"/>
    <cellStyle name="Remarque 2 2 6 3 6 9 3" xfId="50709" xr:uid="{00000000-0005-0000-0000-0000C4450000}"/>
    <cellStyle name="Remarque 2 2 6 3 7" xfId="1468" xr:uid="{00000000-0005-0000-0000-0000C5450000}"/>
    <cellStyle name="Remarque 2 2 6 3 7 10" xfId="25500" xr:uid="{00000000-0005-0000-0000-0000C6450000}"/>
    <cellStyle name="Remarque 2 2 6 3 7 10 2" xfId="49460" xr:uid="{00000000-0005-0000-0000-0000C7450000}"/>
    <cellStyle name="Remarque 2 2 6 3 7 11" xfId="36097" xr:uid="{00000000-0005-0000-0000-0000C8450000}"/>
    <cellStyle name="Remarque 2 2 6 3 7 11 2" xfId="60057" xr:uid="{00000000-0005-0000-0000-0000C9450000}"/>
    <cellStyle name="Remarque 2 2 6 3 7 12" xfId="14165" xr:uid="{00000000-0005-0000-0000-0000CA450000}"/>
    <cellStyle name="Remarque 2 2 6 3 7 13" xfId="38125" xr:uid="{00000000-0005-0000-0000-0000CB450000}"/>
    <cellStyle name="Remarque 2 2 6 3 7 2" xfId="4374" xr:uid="{00000000-0005-0000-0000-0000CC450000}"/>
    <cellStyle name="Remarque 2 2 6 3 7 2 2" xfId="28388" xr:uid="{00000000-0005-0000-0000-0000CD450000}"/>
    <cellStyle name="Remarque 2 2 6 3 7 2 2 2" xfId="52348" xr:uid="{00000000-0005-0000-0000-0000CE450000}"/>
    <cellStyle name="Remarque 2 2 6 3 7 2 3" xfId="15635" xr:uid="{00000000-0005-0000-0000-0000CF450000}"/>
    <cellStyle name="Remarque 2 2 6 3 7 2 4" xfId="39595" xr:uid="{00000000-0005-0000-0000-0000D0450000}"/>
    <cellStyle name="Remarque 2 2 6 3 7 3" xfId="5808" xr:uid="{00000000-0005-0000-0000-0000D1450000}"/>
    <cellStyle name="Remarque 2 2 6 3 7 3 2" xfId="29822" xr:uid="{00000000-0005-0000-0000-0000D2450000}"/>
    <cellStyle name="Remarque 2 2 6 3 7 3 2 2" xfId="53782" xr:uid="{00000000-0005-0000-0000-0000D3450000}"/>
    <cellStyle name="Remarque 2 2 6 3 7 3 3" xfId="17069" xr:uid="{00000000-0005-0000-0000-0000D4450000}"/>
    <cellStyle name="Remarque 2 2 6 3 7 3 4" xfId="41029" xr:uid="{00000000-0005-0000-0000-0000D5450000}"/>
    <cellStyle name="Remarque 2 2 6 3 7 4" xfId="7202" xr:uid="{00000000-0005-0000-0000-0000D6450000}"/>
    <cellStyle name="Remarque 2 2 6 3 7 4 2" xfId="31216" xr:uid="{00000000-0005-0000-0000-0000D7450000}"/>
    <cellStyle name="Remarque 2 2 6 3 7 4 2 2" xfId="55176" xr:uid="{00000000-0005-0000-0000-0000D8450000}"/>
    <cellStyle name="Remarque 2 2 6 3 7 4 3" xfId="18463" xr:uid="{00000000-0005-0000-0000-0000D9450000}"/>
    <cellStyle name="Remarque 2 2 6 3 7 4 4" xfId="42423" xr:uid="{00000000-0005-0000-0000-0000DA450000}"/>
    <cellStyle name="Remarque 2 2 6 3 7 5" xfId="8590" xr:uid="{00000000-0005-0000-0000-0000DB450000}"/>
    <cellStyle name="Remarque 2 2 6 3 7 5 2" xfId="32604" xr:uid="{00000000-0005-0000-0000-0000DC450000}"/>
    <cellStyle name="Remarque 2 2 6 3 7 5 2 2" xfId="56564" xr:uid="{00000000-0005-0000-0000-0000DD450000}"/>
    <cellStyle name="Remarque 2 2 6 3 7 5 3" xfId="19851" xr:uid="{00000000-0005-0000-0000-0000DE450000}"/>
    <cellStyle name="Remarque 2 2 6 3 7 5 4" xfId="43811" xr:uid="{00000000-0005-0000-0000-0000DF450000}"/>
    <cellStyle name="Remarque 2 2 6 3 7 6" xfId="9975" xr:uid="{00000000-0005-0000-0000-0000E0450000}"/>
    <cellStyle name="Remarque 2 2 6 3 7 6 2" xfId="33989" xr:uid="{00000000-0005-0000-0000-0000E1450000}"/>
    <cellStyle name="Remarque 2 2 6 3 7 6 2 2" xfId="57949" xr:uid="{00000000-0005-0000-0000-0000E2450000}"/>
    <cellStyle name="Remarque 2 2 6 3 7 6 3" xfId="21236" xr:uid="{00000000-0005-0000-0000-0000E3450000}"/>
    <cellStyle name="Remarque 2 2 6 3 7 6 4" xfId="45196" xr:uid="{00000000-0005-0000-0000-0000E4450000}"/>
    <cellStyle name="Remarque 2 2 6 3 7 7" xfId="11432" xr:uid="{00000000-0005-0000-0000-0000E5450000}"/>
    <cellStyle name="Remarque 2 2 6 3 7 7 2" xfId="35442" xr:uid="{00000000-0005-0000-0000-0000E6450000}"/>
    <cellStyle name="Remarque 2 2 6 3 7 7 2 2" xfId="59402" xr:uid="{00000000-0005-0000-0000-0000E7450000}"/>
    <cellStyle name="Remarque 2 2 6 3 7 7 3" xfId="22699" xr:uid="{00000000-0005-0000-0000-0000E8450000}"/>
    <cellStyle name="Remarque 2 2 6 3 7 7 4" xfId="46659" xr:uid="{00000000-0005-0000-0000-0000E9450000}"/>
    <cellStyle name="Remarque 2 2 6 3 7 8" xfId="11638" xr:uid="{00000000-0005-0000-0000-0000EA450000}"/>
    <cellStyle name="Remarque 2 2 6 3 7 8 2" xfId="22906" xr:uid="{00000000-0005-0000-0000-0000EB450000}"/>
    <cellStyle name="Remarque 2 2 6 3 7 8 3" xfId="46866" xr:uid="{00000000-0005-0000-0000-0000EC450000}"/>
    <cellStyle name="Remarque 2 2 6 3 7 9" xfId="2904" xr:uid="{00000000-0005-0000-0000-0000ED450000}"/>
    <cellStyle name="Remarque 2 2 6 3 7 9 2" xfId="26918" xr:uid="{00000000-0005-0000-0000-0000EE450000}"/>
    <cellStyle name="Remarque 2 2 6 3 7 9 3" xfId="50878" xr:uid="{00000000-0005-0000-0000-0000EF450000}"/>
    <cellStyle name="Remarque 2 2 6 3 8" xfId="3323" xr:uid="{00000000-0005-0000-0000-0000F0450000}"/>
    <cellStyle name="Remarque 2 2 6 3 8 2" xfId="27337" xr:uid="{00000000-0005-0000-0000-0000F1450000}"/>
    <cellStyle name="Remarque 2 2 6 3 8 2 2" xfId="51297" xr:uid="{00000000-0005-0000-0000-0000F2450000}"/>
    <cellStyle name="Remarque 2 2 6 3 8 3" xfId="14584" xr:uid="{00000000-0005-0000-0000-0000F3450000}"/>
    <cellStyle name="Remarque 2 2 6 3 8 4" xfId="38544" xr:uid="{00000000-0005-0000-0000-0000F4450000}"/>
    <cellStyle name="Remarque 2 2 6 3 9" xfId="4757" xr:uid="{00000000-0005-0000-0000-0000F5450000}"/>
    <cellStyle name="Remarque 2 2 6 3 9 2" xfId="28771" xr:uid="{00000000-0005-0000-0000-0000F6450000}"/>
    <cellStyle name="Remarque 2 2 6 3 9 2 2" xfId="52731" xr:uid="{00000000-0005-0000-0000-0000F7450000}"/>
    <cellStyle name="Remarque 2 2 6 3 9 3" xfId="16018" xr:uid="{00000000-0005-0000-0000-0000F8450000}"/>
    <cellStyle name="Remarque 2 2 6 3 9 4" xfId="39978" xr:uid="{00000000-0005-0000-0000-0000F9450000}"/>
    <cellStyle name="Remarque 2 2 6 4" xfId="457" xr:uid="{00000000-0005-0000-0000-0000FA450000}"/>
    <cellStyle name="Remarque 2 2 6 4 10" xfId="6191" xr:uid="{00000000-0005-0000-0000-0000FB450000}"/>
    <cellStyle name="Remarque 2 2 6 4 10 2" xfId="30205" xr:uid="{00000000-0005-0000-0000-0000FC450000}"/>
    <cellStyle name="Remarque 2 2 6 4 10 2 2" xfId="54165" xr:uid="{00000000-0005-0000-0000-0000FD450000}"/>
    <cellStyle name="Remarque 2 2 6 4 10 3" xfId="17452" xr:uid="{00000000-0005-0000-0000-0000FE450000}"/>
    <cellStyle name="Remarque 2 2 6 4 10 4" xfId="41412" xr:uid="{00000000-0005-0000-0000-0000FF450000}"/>
    <cellStyle name="Remarque 2 2 6 4 11" xfId="7579" xr:uid="{00000000-0005-0000-0000-000000460000}"/>
    <cellStyle name="Remarque 2 2 6 4 11 2" xfId="31593" xr:uid="{00000000-0005-0000-0000-000001460000}"/>
    <cellStyle name="Remarque 2 2 6 4 11 2 2" xfId="55553" xr:uid="{00000000-0005-0000-0000-000002460000}"/>
    <cellStyle name="Remarque 2 2 6 4 11 3" xfId="18840" xr:uid="{00000000-0005-0000-0000-000003460000}"/>
    <cellStyle name="Remarque 2 2 6 4 11 4" xfId="42800" xr:uid="{00000000-0005-0000-0000-000004460000}"/>
    <cellStyle name="Remarque 2 2 6 4 12" xfId="8964" xr:uid="{00000000-0005-0000-0000-000005460000}"/>
    <cellStyle name="Remarque 2 2 6 4 12 2" xfId="32978" xr:uid="{00000000-0005-0000-0000-000006460000}"/>
    <cellStyle name="Remarque 2 2 6 4 12 2 2" xfId="56938" xr:uid="{00000000-0005-0000-0000-000007460000}"/>
    <cellStyle name="Remarque 2 2 6 4 12 3" xfId="20225" xr:uid="{00000000-0005-0000-0000-000008460000}"/>
    <cellStyle name="Remarque 2 2 6 4 12 4" xfId="44185" xr:uid="{00000000-0005-0000-0000-000009460000}"/>
    <cellStyle name="Remarque 2 2 6 4 13" xfId="10421" xr:uid="{00000000-0005-0000-0000-00000A460000}"/>
    <cellStyle name="Remarque 2 2 6 4 13 2" xfId="34431" xr:uid="{00000000-0005-0000-0000-00000B460000}"/>
    <cellStyle name="Remarque 2 2 6 4 13 2 2" xfId="58391" xr:uid="{00000000-0005-0000-0000-00000C460000}"/>
    <cellStyle name="Remarque 2 2 6 4 13 3" xfId="21688" xr:uid="{00000000-0005-0000-0000-00000D460000}"/>
    <cellStyle name="Remarque 2 2 6 4 13 4" xfId="45648" xr:uid="{00000000-0005-0000-0000-00000E460000}"/>
    <cellStyle name="Remarque 2 2 6 4 14" xfId="12317" xr:uid="{00000000-0005-0000-0000-00000F460000}"/>
    <cellStyle name="Remarque 2 2 6 4 14 2" xfId="23605" xr:uid="{00000000-0005-0000-0000-000010460000}"/>
    <cellStyle name="Remarque 2 2 6 4 14 3" xfId="47565" xr:uid="{00000000-0005-0000-0000-000011460000}"/>
    <cellStyle name="Remarque 2 2 6 4 15" xfId="1893" xr:uid="{00000000-0005-0000-0000-000012460000}"/>
    <cellStyle name="Remarque 2 2 6 4 15 2" xfId="25907" xr:uid="{00000000-0005-0000-0000-000013460000}"/>
    <cellStyle name="Remarque 2 2 6 4 15 3" xfId="49867" xr:uid="{00000000-0005-0000-0000-000014460000}"/>
    <cellStyle name="Remarque 2 2 6 4 16" xfId="24489" xr:uid="{00000000-0005-0000-0000-000015460000}"/>
    <cellStyle name="Remarque 2 2 6 4 16 2" xfId="48449" xr:uid="{00000000-0005-0000-0000-000016460000}"/>
    <cellStyle name="Remarque 2 2 6 4 17" xfId="36702" xr:uid="{00000000-0005-0000-0000-000017460000}"/>
    <cellStyle name="Remarque 2 2 6 4 17 2" xfId="60662" xr:uid="{00000000-0005-0000-0000-000018460000}"/>
    <cellStyle name="Remarque 2 2 6 4 18" xfId="13154" xr:uid="{00000000-0005-0000-0000-000019460000}"/>
    <cellStyle name="Remarque 2 2 6 4 19" xfId="37114" xr:uid="{00000000-0005-0000-0000-00001A460000}"/>
    <cellStyle name="Remarque 2 2 6 4 2" xfId="593" xr:uid="{00000000-0005-0000-0000-00001B460000}"/>
    <cellStyle name="Remarque 2 2 6 4 2 10" xfId="24625" xr:uid="{00000000-0005-0000-0000-00001C460000}"/>
    <cellStyle name="Remarque 2 2 6 4 2 10 2" xfId="48585" xr:uid="{00000000-0005-0000-0000-00001D460000}"/>
    <cellStyle name="Remarque 2 2 6 4 2 11" xfId="35594" xr:uid="{00000000-0005-0000-0000-00001E460000}"/>
    <cellStyle name="Remarque 2 2 6 4 2 11 2" xfId="59554" xr:uid="{00000000-0005-0000-0000-00001F460000}"/>
    <cellStyle name="Remarque 2 2 6 4 2 12" xfId="13290" xr:uid="{00000000-0005-0000-0000-000020460000}"/>
    <cellStyle name="Remarque 2 2 6 4 2 13" xfId="37250" xr:uid="{00000000-0005-0000-0000-000021460000}"/>
    <cellStyle name="Remarque 2 2 6 4 2 2" xfId="3499" xr:uid="{00000000-0005-0000-0000-000022460000}"/>
    <cellStyle name="Remarque 2 2 6 4 2 2 2" xfId="27513" xr:uid="{00000000-0005-0000-0000-000023460000}"/>
    <cellStyle name="Remarque 2 2 6 4 2 2 2 2" xfId="51473" xr:uid="{00000000-0005-0000-0000-000024460000}"/>
    <cellStyle name="Remarque 2 2 6 4 2 2 3" xfId="14760" xr:uid="{00000000-0005-0000-0000-000025460000}"/>
    <cellStyle name="Remarque 2 2 6 4 2 2 4" xfId="38720" xr:uid="{00000000-0005-0000-0000-000026460000}"/>
    <cellStyle name="Remarque 2 2 6 4 2 3" xfId="4933" xr:uid="{00000000-0005-0000-0000-000027460000}"/>
    <cellStyle name="Remarque 2 2 6 4 2 3 2" xfId="28947" xr:uid="{00000000-0005-0000-0000-000028460000}"/>
    <cellStyle name="Remarque 2 2 6 4 2 3 2 2" xfId="52907" xr:uid="{00000000-0005-0000-0000-000029460000}"/>
    <cellStyle name="Remarque 2 2 6 4 2 3 3" xfId="16194" xr:uid="{00000000-0005-0000-0000-00002A460000}"/>
    <cellStyle name="Remarque 2 2 6 4 2 3 4" xfId="40154" xr:uid="{00000000-0005-0000-0000-00002B460000}"/>
    <cellStyle name="Remarque 2 2 6 4 2 4" xfId="6327" xr:uid="{00000000-0005-0000-0000-00002C460000}"/>
    <cellStyle name="Remarque 2 2 6 4 2 4 2" xfId="30341" xr:uid="{00000000-0005-0000-0000-00002D460000}"/>
    <cellStyle name="Remarque 2 2 6 4 2 4 2 2" xfId="54301" xr:uid="{00000000-0005-0000-0000-00002E460000}"/>
    <cellStyle name="Remarque 2 2 6 4 2 4 3" xfId="17588" xr:uid="{00000000-0005-0000-0000-00002F460000}"/>
    <cellStyle name="Remarque 2 2 6 4 2 4 4" xfId="41548" xr:uid="{00000000-0005-0000-0000-000030460000}"/>
    <cellStyle name="Remarque 2 2 6 4 2 5" xfId="7715" xr:uid="{00000000-0005-0000-0000-000031460000}"/>
    <cellStyle name="Remarque 2 2 6 4 2 5 2" xfId="31729" xr:uid="{00000000-0005-0000-0000-000032460000}"/>
    <cellStyle name="Remarque 2 2 6 4 2 5 2 2" xfId="55689" xr:uid="{00000000-0005-0000-0000-000033460000}"/>
    <cellStyle name="Remarque 2 2 6 4 2 5 3" xfId="18976" xr:uid="{00000000-0005-0000-0000-000034460000}"/>
    <cellStyle name="Remarque 2 2 6 4 2 5 4" xfId="42936" xr:uid="{00000000-0005-0000-0000-000035460000}"/>
    <cellStyle name="Remarque 2 2 6 4 2 6" xfId="9100" xr:uid="{00000000-0005-0000-0000-000036460000}"/>
    <cellStyle name="Remarque 2 2 6 4 2 6 2" xfId="33114" xr:uid="{00000000-0005-0000-0000-000037460000}"/>
    <cellStyle name="Remarque 2 2 6 4 2 6 2 2" xfId="57074" xr:uid="{00000000-0005-0000-0000-000038460000}"/>
    <cellStyle name="Remarque 2 2 6 4 2 6 3" xfId="20361" xr:uid="{00000000-0005-0000-0000-000039460000}"/>
    <cellStyle name="Remarque 2 2 6 4 2 6 4" xfId="44321" xr:uid="{00000000-0005-0000-0000-00003A460000}"/>
    <cellStyle name="Remarque 2 2 6 4 2 7" xfId="10557" xr:uid="{00000000-0005-0000-0000-00003B460000}"/>
    <cellStyle name="Remarque 2 2 6 4 2 7 2" xfId="34567" xr:uid="{00000000-0005-0000-0000-00003C460000}"/>
    <cellStyle name="Remarque 2 2 6 4 2 7 2 2" xfId="58527" xr:uid="{00000000-0005-0000-0000-00003D460000}"/>
    <cellStyle name="Remarque 2 2 6 4 2 7 3" xfId="21824" xr:uid="{00000000-0005-0000-0000-00003E460000}"/>
    <cellStyle name="Remarque 2 2 6 4 2 7 4" xfId="45784" xr:uid="{00000000-0005-0000-0000-00003F460000}"/>
    <cellStyle name="Remarque 2 2 6 4 2 8" xfId="12822" xr:uid="{00000000-0005-0000-0000-000040460000}"/>
    <cellStyle name="Remarque 2 2 6 4 2 8 2" xfId="24133" xr:uid="{00000000-0005-0000-0000-000041460000}"/>
    <cellStyle name="Remarque 2 2 6 4 2 8 3" xfId="48093" xr:uid="{00000000-0005-0000-0000-000042460000}"/>
    <cellStyle name="Remarque 2 2 6 4 2 9" xfId="2029" xr:uid="{00000000-0005-0000-0000-000043460000}"/>
    <cellStyle name="Remarque 2 2 6 4 2 9 2" xfId="26043" xr:uid="{00000000-0005-0000-0000-000044460000}"/>
    <cellStyle name="Remarque 2 2 6 4 2 9 3" xfId="50003" xr:uid="{00000000-0005-0000-0000-000045460000}"/>
    <cellStyle name="Remarque 2 2 6 4 3" xfId="785" xr:uid="{00000000-0005-0000-0000-000046460000}"/>
    <cellStyle name="Remarque 2 2 6 4 3 10" xfId="24817" xr:uid="{00000000-0005-0000-0000-000047460000}"/>
    <cellStyle name="Remarque 2 2 6 4 3 10 2" xfId="48777" xr:uid="{00000000-0005-0000-0000-000048460000}"/>
    <cellStyle name="Remarque 2 2 6 4 3 11" xfId="36455" xr:uid="{00000000-0005-0000-0000-000049460000}"/>
    <cellStyle name="Remarque 2 2 6 4 3 11 2" xfId="60415" xr:uid="{00000000-0005-0000-0000-00004A460000}"/>
    <cellStyle name="Remarque 2 2 6 4 3 12" xfId="13482" xr:uid="{00000000-0005-0000-0000-00004B460000}"/>
    <cellStyle name="Remarque 2 2 6 4 3 13" xfId="37442" xr:uid="{00000000-0005-0000-0000-00004C460000}"/>
    <cellStyle name="Remarque 2 2 6 4 3 2" xfId="3691" xr:uid="{00000000-0005-0000-0000-00004D460000}"/>
    <cellStyle name="Remarque 2 2 6 4 3 2 2" xfId="27705" xr:uid="{00000000-0005-0000-0000-00004E460000}"/>
    <cellStyle name="Remarque 2 2 6 4 3 2 2 2" xfId="51665" xr:uid="{00000000-0005-0000-0000-00004F460000}"/>
    <cellStyle name="Remarque 2 2 6 4 3 2 3" xfId="14952" xr:uid="{00000000-0005-0000-0000-000050460000}"/>
    <cellStyle name="Remarque 2 2 6 4 3 2 4" xfId="38912" xr:uid="{00000000-0005-0000-0000-000051460000}"/>
    <cellStyle name="Remarque 2 2 6 4 3 3" xfId="5125" xr:uid="{00000000-0005-0000-0000-000052460000}"/>
    <cellStyle name="Remarque 2 2 6 4 3 3 2" xfId="29139" xr:uid="{00000000-0005-0000-0000-000053460000}"/>
    <cellStyle name="Remarque 2 2 6 4 3 3 2 2" xfId="53099" xr:uid="{00000000-0005-0000-0000-000054460000}"/>
    <cellStyle name="Remarque 2 2 6 4 3 3 3" xfId="16386" xr:uid="{00000000-0005-0000-0000-000055460000}"/>
    <cellStyle name="Remarque 2 2 6 4 3 3 4" xfId="40346" xr:uid="{00000000-0005-0000-0000-000056460000}"/>
    <cellStyle name="Remarque 2 2 6 4 3 4" xfId="6519" xr:uid="{00000000-0005-0000-0000-000057460000}"/>
    <cellStyle name="Remarque 2 2 6 4 3 4 2" xfId="30533" xr:uid="{00000000-0005-0000-0000-000058460000}"/>
    <cellStyle name="Remarque 2 2 6 4 3 4 2 2" xfId="54493" xr:uid="{00000000-0005-0000-0000-000059460000}"/>
    <cellStyle name="Remarque 2 2 6 4 3 4 3" xfId="17780" xr:uid="{00000000-0005-0000-0000-00005A460000}"/>
    <cellStyle name="Remarque 2 2 6 4 3 4 4" xfId="41740" xr:uid="{00000000-0005-0000-0000-00005B460000}"/>
    <cellStyle name="Remarque 2 2 6 4 3 5" xfId="7907" xr:uid="{00000000-0005-0000-0000-00005C460000}"/>
    <cellStyle name="Remarque 2 2 6 4 3 5 2" xfId="31921" xr:uid="{00000000-0005-0000-0000-00005D460000}"/>
    <cellStyle name="Remarque 2 2 6 4 3 5 2 2" xfId="55881" xr:uid="{00000000-0005-0000-0000-00005E460000}"/>
    <cellStyle name="Remarque 2 2 6 4 3 5 3" xfId="19168" xr:uid="{00000000-0005-0000-0000-00005F460000}"/>
    <cellStyle name="Remarque 2 2 6 4 3 5 4" xfId="43128" xr:uid="{00000000-0005-0000-0000-000060460000}"/>
    <cellStyle name="Remarque 2 2 6 4 3 6" xfId="9292" xr:uid="{00000000-0005-0000-0000-000061460000}"/>
    <cellStyle name="Remarque 2 2 6 4 3 6 2" xfId="33306" xr:uid="{00000000-0005-0000-0000-000062460000}"/>
    <cellStyle name="Remarque 2 2 6 4 3 6 2 2" xfId="57266" xr:uid="{00000000-0005-0000-0000-000063460000}"/>
    <cellStyle name="Remarque 2 2 6 4 3 6 3" xfId="20553" xr:uid="{00000000-0005-0000-0000-000064460000}"/>
    <cellStyle name="Remarque 2 2 6 4 3 6 4" xfId="44513" xr:uid="{00000000-0005-0000-0000-000065460000}"/>
    <cellStyle name="Remarque 2 2 6 4 3 7" xfId="10749" xr:uid="{00000000-0005-0000-0000-000066460000}"/>
    <cellStyle name="Remarque 2 2 6 4 3 7 2" xfId="34759" xr:uid="{00000000-0005-0000-0000-000067460000}"/>
    <cellStyle name="Remarque 2 2 6 4 3 7 2 2" xfId="58719" xr:uid="{00000000-0005-0000-0000-000068460000}"/>
    <cellStyle name="Remarque 2 2 6 4 3 7 3" xfId="22016" xr:uid="{00000000-0005-0000-0000-000069460000}"/>
    <cellStyle name="Remarque 2 2 6 4 3 7 4" xfId="45976" xr:uid="{00000000-0005-0000-0000-00006A460000}"/>
    <cellStyle name="Remarque 2 2 6 4 3 8" xfId="12726" xr:uid="{00000000-0005-0000-0000-00006B460000}"/>
    <cellStyle name="Remarque 2 2 6 4 3 8 2" xfId="24032" xr:uid="{00000000-0005-0000-0000-00006C460000}"/>
    <cellStyle name="Remarque 2 2 6 4 3 8 3" xfId="47992" xr:uid="{00000000-0005-0000-0000-00006D460000}"/>
    <cellStyle name="Remarque 2 2 6 4 3 9" xfId="2221" xr:uid="{00000000-0005-0000-0000-00006E460000}"/>
    <cellStyle name="Remarque 2 2 6 4 3 9 2" xfId="26235" xr:uid="{00000000-0005-0000-0000-00006F460000}"/>
    <cellStyle name="Remarque 2 2 6 4 3 9 3" xfId="50195" xr:uid="{00000000-0005-0000-0000-000070460000}"/>
    <cellStyle name="Remarque 2 2 6 4 4" xfId="979" xr:uid="{00000000-0005-0000-0000-000071460000}"/>
    <cellStyle name="Remarque 2 2 6 4 4 10" xfId="25011" xr:uid="{00000000-0005-0000-0000-000072460000}"/>
    <cellStyle name="Remarque 2 2 6 4 4 10 2" xfId="48971" xr:uid="{00000000-0005-0000-0000-000073460000}"/>
    <cellStyle name="Remarque 2 2 6 4 4 11" xfId="36731" xr:uid="{00000000-0005-0000-0000-000074460000}"/>
    <cellStyle name="Remarque 2 2 6 4 4 11 2" xfId="60691" xr:uid="{00000000-0005-0000-0000-000075460000}"/>
    <cellStyle name="Remarque 2 2 6 4 4 12" xfId="13676" xr:uid="{00000000-0005-0000-0000-000076460000}"/>
    <cellStyle name="Remarque 2 2 6 4 4 13" xfId="37636" xr:uid="{00000000-0005-0000-0000-000077460000}"/>
    <cellStyle name="Remarque 2 2 6 4 4 2" xfId="3885" xr:uid="{00000000-0005-0000-0000-000078460000}"/>
    <cellStyle name="Remarque 2 2 6 4 4 2 2" xfId="27899" xr:uid="{00000000-0005-0000-0000-000079460000}"/>
    <cellStyle name="Remarque 2 2 6 4 4 2 2 2" xfId="51859" xr:uid="{00000000-0005-0000-0000-00007A460000}"/>
    <cellStyle name="Remarque 2 2 6 4 4 2 3" xfId="15146" xr:uid="{00000000-0005-0000-0000-00007B460000}"/>
    <cellStyle name="Remarque 2 2 6 4 4 2 4" xfId="39106" xr:uid="{00000000-0005-0000-0000-00007C460000}"/>
    <cellStyle name="Remarque 2 2 6 4 4 3" xfId="5319" xr:uid="{00000000-0005-0000-0000-00007D460000}"/>
    <cellStyle name="Remarque 2 2 6 4 4 3 2" xfId="29333" xr:uid="{00000000-0005-0000-0000-00007E460000}"/>
    <cellStyle name="Remarque 2 2 6 4 4 3 2 2" xfId="53293" xr:uid="{00000000-0005-0000-0000-00007F460000}"/>
    <cellStyle name="Remarque 2 2 6 4 4 3 3" xfId="16580" xr:uid="{00000000-0005-0000-0000-000080460000}"/>
    <cellStyle name="Remarque 2 2 6 4 4 3 4" xfId="40540" xr:uid="{00000000-0005-0000-0000-000081460000}"/>
    <cellStyle name="Remarque 2 2 6 4 4 4" xfId="6713" xr:uid="{00000000-0005-0000-0000-000082460000}"/>
    <cellStyle name="Remarque 2 2 6 4 4 4 2" xfId="30727" xr:uid="{00000000-0005-0000-0000-000083460000}"/>
    <cellStyle name="Remarque 2 2 6 4 4 4 2 2" xfId="54687" xr:uid="{00000000-0005-0000-0000-000084460000}"/>
    <cellStyle name="Remarque 2 2 6 4 4 4 3" xfId="17974" xr:uid="{00000000-0005-0000-0000-000085460000}"/>
    <cellStyle name="Remarque 2 2 6 4 4 4 4" xfId="41934" xr:uid="{00000000-0005-0000-0000-000086460000}"/>
    <cellStyle name="Remarque 2 2 6 4 4 5" xfId="8101" xr:uid="{00000000-0005-0000-0000-000087460000}"/>
    <cellStyle name="Remarque 2 2 6 4 4 5 2" xfId="32115" xr:uid="{00000000-0005-0000-0000-000088460000}"/>
    <cellStyle name="Remarque 2 2 6 4 4 5 2 2" xfId="56075" xr:uid="{00000000-0005-0000-0000-000089460000}"/>
    <cellStyle name="Remarque 2 2 6 4 4 5 3" xfId="19362" xr:uid="{00000000-0005-0000-0000-00008A460000}"/>
    <cellStyle name="Remarque 2 2 6 4 4 5 4" xfId="43322" xr:uid="{00000000-0005-0000-0000-00008B460000}"/>
    <cellStyle name="Remarque 2 2 6 4 4 6" xfId="9486" xr:uid="{00000000-0005-0000-0000-00008C460000}"/>
    <cellStyle name="Remarque 2 2 6 4 4 6 2" xfId="33500" xr:uid="{00000000-0005-0000-0000-00008D460000}"/>
    <cellStyle name="Remarque 2 2 6 4 4 6 2 2" xfId="57460" xr:uid="{00000000-0005-0000-0000-00008E460000}"/>
    <cellStyle name="Remarque 2 2 6 4 4 6 3" xfId="20747" xr:uid="{00000000-0005-0000-0000-00008F460000}"/>
    <cellStyle name="Remarque 2 2 6 4 4 6 4" xfId="44707" xr:uid="{00000000-0005-0000-0000-000090460000}"/>
    <cellStyle name="Remarque 2 2 6 4 4 7" xfId="10943" xr:uid="{00000000-0005-0000-0000-000091460000}"/>
    <cellStyle name="Remarque 2 2 6 4 4 7 2" xfId="34953" xr:uid="{00000000-0005-0000-0000-000092460000}"/>
    <cellStyle name="Remarque 2 2 6 4 4 7 2 2" xfId="58913" xr:uid="{00000000-0005-0000-0000-000093460000}"/>
    <cellStyle name="Remarque 2 2 6 4 4 7 3" xfId="22210" xr:uid="{00000000-0005-0000-0000-000094460000}"/>
    <cellStyle name="Remarque 2 2 6 4 4 7 4" xfId="46170" xr:uid="{00000000-0005-0000-0000-000095460000}"/>
    <cellStyle name="Remarque 2 2 6 4 4 8" xfId="12486" xr:uid="{00000000-0005-0000-0000-000096460000}"/>
    <cellStyle name="Remarque 2 2 6 4 4 8 2" xfId="23783" xr:uid="{00000000-0005-0000-0000-000097460000}"/>
    <cellStyle name="Remarque 2 2 6 4 4 8 3" xfId="47743" xr:uid="{00000000-0005-0000-0000-000098460000}"/>
    <cellStyle name="Remarque 2 2 6 4 4 9" xfId="2415" xr:uid="{00000000-0005-0000-0000-000099460000}"/>
    <cellStyle name="Remarque 2 2 6 4 4 9 2" xfId="26429" xr:uid="{00000000-0005-0000-0000-00009A460000}"/>
    <cellStyle name="Remarque 2 2 6 4 4 9 3" xfId="50389" xr:uid="{00000000-0005-0000-0000-00009B460000}"/>
    <cellStyle name="Remarque 2 2 6 4 5" xfId="1172" xr:uid="{00000000-0005-0000-0000-00009C460000}"/>
    <cellStyle name="Remarque 2 2 6 4 5 10" xfId="25204" xr:uid="{00000000-0005-0000-0000-00009D460000}"/>
    <cellStyle name="Remarque 2 2 6 4 5 10 2" xfId="49164" xr:uid="{00000000-0005-0000-0000-00009E460000}"/>
    <cellStyle name="Remarque 2 2 6 4 5 11" xfId="36631" xr:uid="{00000000-0005-0000-0000-00009F460000}"/>
    <cellStyle name="Remarque 2 2 6 4 5 11 2" xfId="60591" xr:uid="{00000000-0005-0000-0000-0000A0460000}"/>
    <cellStyle name="Remarque 2 2 6 4 5 12" xfId="13869" xr:uid="{00000000-0005-0000-0000-0000A1460000}"/>
    <cellStyle name="Remarque 2 2 6 4 5 13" xfId="37829" xr:uid="{00000000-0005-0000-0000-0000A2460000}"/>
    <cellStyle name="Remarque 2 2 6 4 5 2" xfId="4078" xr:uid="{00000000-0005-0000-0000-0000A3460000}"/>
    <cellStyle name="Remarque 2 2 6 4 5 2 2" xfId="28092" xr:uid="{00000000-0005-0000-0000-0000A4460000}"/>
    <cellStyle name="Remarque 2 2 6 4 5 2 2 2" xfId="52052" xr:uid="{00000000-0005-0000-0000-0000A5460000}"/>
    <cellStyle name="Remarque 2 2 6 4 5 2 3" xfId="15339" xr:uid="{00000000-0005-0000-0000-0000A6460000}"/>
    <cellStyle name="Remarque 2 2 6 4 5 2 4" xfId="39299" xr:uid="{00000000-0005-0000-0000-0000A7460000}"/>
    <cellStyle name="Remarque 2 2 6 4 5 3" xfId="5512" xr:uid="{00000000-0005-0000-0000-0000A8460000}"/>
    <cellStyle name="Remarque 2 2 6 4 5 3 2" xfId="29526" xr:uid="{00000000-0005-0000-0000-0000A9460000}"/>
    <cellStyle name="Remarque 2 2 6 4 5 3 2 2" xfId="53486" xr:uid="{00000000-0005-0000-0000-0000AA460000}"/>
    <cellStyle name="Remarque 2 2 6 4 5 3 3" xfId="16773" xr:uid="{00000000-0005-0000-0000-0000AB460000}"/>
    <cellStyle name="Remarque 2 2 6 4 5 3 4" xfId="40733" xr:uid="{00000000-0005-0000-0000-0000AC460000}"/>
    <cellStyle name="Remarque 2 2 6 4 5 4" xfId="6906" xr:uid="{00000000-0005-0000-0000-0000AD460000}"/>
    <cellStyle name="Remarque 2 2 6 4 5 4 2" xfId="30920" xr:uid="{00000000-0005-0000-0000-0000AE460000}"/>
    <cellStyle name="Remarque 2 2 6 4 5 4 2 2" xfId="54880" xr:uid="{00000000-0005-0000-0000-0000AF460000}"/>
    <cellStyle name="Remarque 2 2 6 4 5 4 3" xfId="18167" xr:uid="{00000000-0005-0000-0000-0000B0460000}"/>
    <cellStyle name="Remarque 2 2 6 4 5 4 4" xfId="42127" xr:uid="{00000000-0005-0000-0000-0000B1460000}"/>
    <cellStyle name="Remarque 2 2 6 4 5 5" xfId="8294" xr:uid="{00000000-0005-0000-0000-0000B2460000}"/>
    <cellStyle name="Remarque 2 2 6 4 5 5 2" xfId="32308" xr:uid="{00000000-0005-0000-0000-0000B3460000}"/>
    <cellStyle name="Remarque 2 2 6 4 5 5 2 2" xfId="56268" xr:uid="{00000000-0005-0000-0000-0000B4460000}"/>
    <cellStyle name="Remarque 2 2 6 4 5 5 3" xfId="19555" xr:uid="{00000000-0005-0000-0000-0000B5460000}"/>
    <cellStyle name="Remarque 2 2 6 4 5 5 4" xfId="43515" xr:uid="{00000000-0005-0000-0000-0000B6460000}"/>
    <cellStyle name="Remarque 2 2 6 4 5 6" xfId="9679" xr:uid="{00000000-0005-0000-0000-0000B7460000}"/>
    <cellStyle name="Remarque 2 2 6 4 5 6 2" xfId="33693" xr:uid="{00000000-0005-0000-0000-0000B8460000}"/>
    <cellStyle name="Remarque 2 2 6 4 5 6 2 2" xfId="57653" xr:uid="{00000000-0005-0000-0000-0000B9460000}"/>
    <cellStyle name="Remarque 2 2 6 4 5 6 3" xfId="20940" xr:uid="{00000000-0005-0000-0000-0000BA460000}"/>
    <cellStyle name="Remarque 2 2 6 4 5 6 4" xfId="44900" xr:uid="{00000000-0005-0000-0000-0000BB460000}"/>
    <cellStyle name="Remarque 2 2 6 4 5 7" xfId="11136" xr:uid="{00000000-0005-0000-0000-0000BC460000}"/>
    <cellStyle name="Remarque 2 2 6 4 5 7 2" xfId="35146" xr:uid="{00000000-0005-0000-0000-0000BD460000}"/>
    <cellStyle name="Remarque 2 2 6 4 5 7 2 2" xfId="59106" xr:uid="{00000000-0005-0000-0000-0000BE460000}"/>
    <cellStyle name="Remarque 2 2 6 4 5 7 3" xfId="22403" xr:uid="{00000000-0005-0000-0000-0000BF460000}"/>
    <cellStyle name="Remarque 2 2 6 4 5 7 4" xfId="46363" xr:uid="{00000000-0005-0000-0000-0000C0460000}"/>
    <cellStyle name="Remarque 2 2 6 4 5 8" xfId="12278" xr:uid="{00000000-0005-0000-0000-0000C1460000}"/>
    <cellStyle name="Remarque 2 2 6 4 5 8 2" xfId="23565" xr:uid="{00000000-0005-0000-0000-0000C2460000}"/>
    <cellStyle name="Remarque 2 2 6 4 5 8 3" xfId="47525" xr:uid="{00000000-0005-0000-0000-0000C3460000}"/>
    <cellStyle name="Remarque 2 2 6 4 5 9" xfId="2608" xr:uid="{00000000-0005-0000-0000-0000C4460000}"/>
    <cellStyle name="Remarque 2 2 6 4 5 9 2" xfId="26622" xr:uid="{00000000-0005-0000-0000-0000C5460000}"/>
    <cellStyle name="Remarque 2 2 6 4 5 9 3" xfId="50582" xr:uid="{00000000-0005-0000-0000-0000C6460000}"/>
    <cellStyle name="Remarque 2 2 6 4 6" xfId="1339" xr:uid="{00000000-0005-0000-0000-0000C7460000}"/>
    <cellStyle name="Remarque 2 2 6 4 6 10" xfId="25371" xr:uid="{00000000-0005-0000-0000-0000C8460000}"/>
    <cellStyle name="Remarque 2 2 6 4 6 10 2" xfId="49331" xr:uid="{00000000-0005-0000-0000-0000C9460000}"/>
    <cellStyle name="Remarque 2 2 6 4 6 11" xfId="36766" xr:uid="{00000000-0005-0000-0000-0000CA460000}"/>
    <cellStyle name="Remarque 2 2 6 4 6 11 2" xfId="60726" xr:uid="{00000000-0005-0000-0000-0000CB460000}"/>
    <cellStyle name="Remarque 2 2 6 4 6 12" xfId="14036" xr:uid="{00000000-0005-0000-0000-0000CC460000}"/>
    <cellStyle name="Remarque 2 2 6 4 6 13" xfId="37996" xr:uid="{00000000-0005-0000-0000-0000CD460000}"/>
    <cellStyle name="Remarque 2 2 6 4 6 2" xfId="4245" xr:uid="{00000000-0005-0000-0000-0000CE460000}"/>
    <cellStyle name="Remarque 2 2 6 4 6 2 2" xfId="28259" xr:uid="{00000000-0005-0000-0000-0000CF460000}"/>
    <cellStyle name="Remarque 2 2 6 4 6 2 2 2" xfId="52219" xr:uid="{00000000-0005-0000-0000-0000D0460000}"/>
    <cellStyle name="Remarque 2 2 6 4 6 2 3" xfId="15506" xr:uid="{00000000-0005-0000-0000-0000D1460000}"/>
    <cellStyle name="Remarque 2 2 6 4 6 2 4" xfId="39466" xr:uid="{00000000-0005-0000-0000-0000D2460000}"/>
    <cellStyle name="Remarque 2 2 6 4 6 3" xfId="5679" xr:uid="{00000000-0005-0000-0000-0000D3460000}"/>
    <cellStyle name="Remarque 2 2 6 4 6 3 2" xfId="29693" xr:uid="{00000000-0005-0000-0000-0000D4460000}"/>
    <cellStyle name="Remarque 2 2 6 4 6 3 2 2" xfId="53653" xr:uid="{00000000-0005-0000-0000-0000D5460000}"/>
    <cellStyle name="Remarque 2 2 6 4 6 3 3" xfId="16940" xr:uid="{00000000-0005-0000-0000-0000D6460000}"/>
    <cellStyle name="Remarque 2 2 6 4 6 3 4" xfId="40900" xr:uid="{00000000-0005-0000-0000-0000D7460000}"/>
    <cellStyle name="Remarque 2 2 6 4 6 4" xfId="7073" xr:uid="{00000000-0005-0000-0000-0000D8460000}"/>
    <cellStyle name="Remarque 2 2 6 4 6 4 2" xfId="31087" xr:uid="{00000000-0005-0000-0000-0000D9460000}"/>
    <cellStyle name="Remarque 2 2 6 4 6 4 2 2" xfId="55047" xr:uid="{00000000-0005-0000-0000-0000DA460000}"/>
    <cellStyle name="Remarque 2 2 6 4 6 4 3" xfId="18334" xr:uid="{00000000-0005-0000-0000-0000DB460000}"/>
    <cellStyle name="Remarque 2 2 6 4 6 4 4" xfId="42294" xr:uid="{00000000-0005-0000-0000-0000DC460000}"/>
    <cellStyle name="Remarque 2 2 6 4 6 5" xfId="8461" xr:uid="{00000000-0005-0000-0000-0000DD460000}"/>
    <cellStyle name="Remarque 2 2 6 4 6 5 2" xfId="32475" xr:uid="{00000000-0005-0000-0000-0000DE460000}"/>
    <cellStyle name="Remarque 2 2 6 4 6 5 2 2" xfId="56435" xr:uid="{00000000-0005-0000-0000-0000DF460000}"/>
    <cellStyle name="Remarque 2 2 6 4 6 5 3" xfId="19722" xr:uid="{00000000-0005-0000-0000-0000E0460000}"/>
    <cellStyle name="Remarque 2 2 6 4 6 5 4" xfId="43682" xr:uid="{00000000-0005-0000-0000-0000E1460000}"/>
    <cellStyle name="Remarque 2 2 6 4 6 6" xfId="9846" xr:uid="{00000000-0005-0000-0000-0000E2460000}"/>
    <cellStyle name="Remarque 2 2 6 4 6 6 2" xfId="33860" xr:uid="{00000000-0005-0000-0000-0000E3460000}"/>
    <cellStyle name="Remarque 2 2 6 4 6 6 2 2" xfId="57820" xr:uid="{00000000-0005-0000-0000-0000E4460000}"/>
    <cellStyle name="Remarque 2 2 6 4 6 6 3" xfId="21107" xr:uid="{00000000-0005-0000-0000-0000E5460000}"/>
    <cellStyle name="Remarque 2 2 6 4 6 6 4" xfId="45067" xr:uid="{00000000-0005-0000-0000-0000E6460000}"/>
    <cellStyle name="Remarque 2 2 6 4 6 7" xfId="11303" xr:uid="{00000000-0005-0000-0000-0000E7460000}"/>
    <cellStyle name="Remarque 2 2 6 4 6 7 2" xfId="35313" xr:uid="{00000000-0005-0000-0000-0000E8460000}"/>
    <cellStyle name="Remarque 2 2 6 4 6 7 2 2" xfId="59273" xr:uid="{00000000-0005-0000-0000-0000E9460000}"/>
    <cellStyle name="Remarque 2 2 6 4 6 7 3" xfId="22570" xr:uid="{00000000-0005-0000-0000-0000EA460000}"/>
    <cellStyle name="Remarque 2 2 6 4 6 7 4" xfId="46530" xr:uid="{00000000-0005-0000-0000-0000EB460000}"/>
    <cellStyle name="Remarque 2 2 6 4 6 8" xfId="12589" xr:uid="{00000000-0005-0000-0000-0000EC460000}"/>
    <cellStyle name="Remarque 2 2 6 4 6 8 2" xfId="23890" xr:uid="{00000000-0005-0000-0000-0000ED460000}"/>
    <cellStyle name="Remarque 2 2 6 4 6 8 3" xfId="47850" xr:uid="{00000000-0005-0000-0000-0000EE460000}"/>
    <cellStyle name="Remarque 2 2 6 4 6 9" xfId="2775" xr:uid="{00000000-0005-0000-0000-0000EF460000}"/>
    <cellStyle name="Remarque 2 2 6 4 6 9 2" xfId="26789" xr:uid="{00000000-0005-0000-0000-0000F0460000}"/>
    <cellStyle name="Remarque 2 2 6 4 6 9 3" xfId="50749" xr:uid="{00000000-0005-0000-0000-0000F1460000}"/>
    <cellStyle name="Remarque 2 2 6 4 7" xfId="1508" xr:uid="{00000000-0005-0000-0000-0000F2460000}"/>
    <cellStyle name="Remarque 2 2 6 4 7 10" xfId="25540" xr:uid="{00000000-0005-0000-0000-0000F3460000}"/>
    <cellStyle name="Remarque 2 2 6 4 7 10 2" xfId="49500" xr:uid="{00000000-0005-0000-0000-0000F4460000}"/>
    <cellStyle name="Remarque 2 2 6 4 7 11" xfId="36138" xr:uid="{00000000-0005-0000-0000-0000F5460000}"/>
    <cellStyle name="Remarque 2 2 6 4 7 11 2" xfId="60098" xr:uid="{00000000-0005-0000-0000-0000F6460000}"/>
    <cellStyle name="Remarque 2 2 6 4 7 12" xfId="14205" xr:uid="{00000000-0005-0000-0000-0000F7460000}"/>
    <cellStyle name="Remarque 2 2 6 4 7 13" xfId="38165" xr:uid="{00000000-0005-0000-0000-0000F8460000}"/>
    <cellStyle name="Remarque 2 2 6 4 7 2" xfId="4414" xr:uid="{00000000-0005-0000-0000-0000F9460000}"/>
    <cellStyle name="Remarque 2 2 6 4 7 2 2" xfId="28428" xr:uid="{00000000-0005-0000-0000-0000FA460000}"/>
    <cellStyle name="Remarque 2 2 6 4 7 2 2 2" xfId="52388" xr:uid="{00000000-0005-0000-0000-0000FB460000}"/>
    <cellStyle name="Remarque 2 2 6 4 7 2 3" xfId="15675" xr:uid="{00000000-0005-0000-0000-0000FC460000}"/>
    <cellStyle name="Remarque 2 2 6 4 7 2 4" xfId="39635" xr:uid="{00000000-0005-0000-0000-0000FD460000}"/>
    <cellStyle name="Remarque 2 2 6 4 7 3" xfId="5848" xr:uid="{00000000-0005-0000-0000-0000FE460000}"/>
    <cellStyle name="Remarque 2 2 6 4 7 3 2" xfId="29862" xr:uid="{00000000-0005-0000-0000-0000FF460000}"/>
    <cellStyle name="Remarque 2 2 6 4 7 3 2 2" xfId="53822" xr:uid="{00000000-0005-0000-0000-000000470000}"/>
    <cellStyle name="Remarque 2 2 6 4 7 3 3" xfId="17109" xr:uid="{00000000-0005-0000-0000-000001470000}"/>
    <cellStyle name="Remarque 2 2 6 4 7 3 4" xfId="41069" xr:uid="{00000000-0005-0000-0000-000002470000}"/>
    <cellStyle name="Remarque 2 2 6 4 7 4" xfId="7242" xr:uid="{00000000-0005-0000-0000-000003470000}"/>
    <cellStyle name="Remarque 2 2 6 4 7 4 2" xfId="31256" xr:uid="{00000000-0005-0000-0000-000004470000}"/>
    <cellStyle name="Remarque 2 2 6 4 7 4 2 2" xfId="55216" xr:uid="{00000000-0005-0000-0000-000005470000}"/>
    <cellStyle name="Remarque 2 2 6 4 7 4 3" xfId="18503" xr:uid="{00000000-0005-0000-0000-000006470000}"/>
    <cellStyle name="Remarque 2 2 6 4 7 4 4" xfId="42463" xr:uid="{00000000-0005-0000-0000-000007470000}"/>
    <cellStyle name="Remarque 2 2 6 4 7 5" xfId="8630" xr:uid="{00000000-0005-0000-0000-000008470000}"/>
    <cellStyle name="Remarque 2 2 6 4 7 5 2" xfId="32644" xr:uid="{00000000-0005-0000-0000-000009470000}"/>
    <cellStyle name="Remarque 2 2 6 4 7 5 2 2" xfId="56604" xr:uid="{00000000-0005-0000-0000-00000A470000}"/>
    <cellStyle name="Remarque 2 2 6 4 7 5 3" xfId="19891" xr:uid="{00000000-0005-0000-0000-00000B470000}"/>
    <cellStyle name="Remarque 2 2 6 4 7 5 4" xfId="43851" xr:uid="{00000000-0005-0000-0000-00000C470000}"/>
    <cellStyle name="Remarque 2 2 6 4 7 6" xfId="10015" xr:uid="{00000000-0005-0000-0000-00000D470000}"/>
    <cellStyle name="Remarque 2 2 6 4 7 6 2" xfId="34029" xr:uid="{00000000-0005-0000-0000-00000E470000}"/>
    <cellStyle name="Remarque 2 2 6 4 7 6 2 2" xfId="57989" xr:uid="{00000000-0005-0000-0000-00000F470000}"/>
    <cellStyle name="Remarque 2 2 6 4 7 6 3" xfId="21276" xr:uid="{00000000-0005-0000-0000-000010470000}"/>
    <cellStyle name="Remarque 2 2 6 4 7 6 4" xfId="45236" xr:uid="{00000000-0005-0000-0000-000011470000}"/>
    <cellStyle name="Remarque 2 2 6 4 7 7" xfId="11472" xr:uid="{00000000-0005-0000-0000-000012470000}"/>
    <cellStyle name="Remarque 2 2 6 4 7 7 2" xfId="35482" xr:uid="{00000000-0005-0000-0000-000013470000}"/>
    <cellStyle name="Remarque 2 2 6 4 7 7 2 2" xfId="59442" xr:uid="{00000000-0005-0000-0000-000014470000}"/>
    <cellStyle name="Remarque 2 2 6 4 7 7 3" xfId="22739" xr:uid="{00000000-0005-0000-0000-000015470000}"/>
    <cellStyle name="Remarque 2 2 6 4 7 7 4" xfId="46699" xr:uid="{00000000-0005-0000-0000-000016470000}"/>
    <cellStyle name="Remarque 2 2 6 4 7 8" xfId="11889" xr:uid="{00000000-0005-0000-0000-000017470000}"/>
    <cellStyle name="Remarque 2 2 6 4 7 8 2" xfId="23166" xr:uid="{00000000-0005-0000-0000-000018470000}"/>
    <cellStyle name="Remarque 2 2 6 4 7 8 3" xfId="47126" xr:uid="{00000000-0005-0000-0000-000019470000}"/>
    <cellStyle name="Remarque 2 2 6 4 7 9" xfId="2944" xr:uid="{00000000-0005-0000-0000-00001A470000}"/>
    <cellStyle name="Remarque 2 2 6 4 7 9 2" xfId="26958" xr:uid="{00000000-0005-0000-0000-00001B470000}"/>
    <cellStyle name="Remarque 2 2 6 4 7 9 3" xfId="50918" xr:uid="{00000000-0005-0000-0000-00001C470000}"/>
    <cellStyle name="Remarque 2 2 6 4 8" xfId="3363" xr:uid="{00000000-0005-0000-0000-00001D470000}"/>
    <cellStyle name="Remarque 2 2 6 4 8 2" xfId="27377" xr:uid="{00000000-0005-0000-0000-00001E470000}"/>
    <cellStyle name="Remarque 2 2 6 4 8 2 2" xfId="51337" xr:uid="{00000000-0005-0000-0000-00001F470000}"/>
    <cellStyle name="Remarque 2 2 6 4 8 3" xfId="14624" xr:uid="{00000000-0005-0000-0000-000020470000}"/>
    <cellStyle name="Remarque 2 2 6 4 8 4" xfId="38584" xr:uid="{00000000-0005-0000-0000-000021470000}"/>
    <cellStyle name="Remarque 2 2 6 4 9" xfId="4797" xr:uid="{00000000-0005-0000-0000-000022470000}"/>
    <cellStyle name="Remarque 2 2 6 4 9 2" xfId="28811" xr:uid="{00000000-0005-0000-0000-000023470000}"/>
    <cellStyle name="Remarque 2 2 6 4 9 2 2" xfId="52771" xr:uid="{00000000-0005-0000-0000-000024470000}"/>
    <cellStyle name="Remarque 2 2 6 4 9 3" xfId="16058" xr:uid="{00000000-0005-0000-0000-000025470000}"/>
    <cellStyle name="Remarque 2 2 6 4 9 4" xfId="40018" xr:uid="{00000000-0005-0000-0000-000026470000}"/>
    <cellStyle name="Remarque 2 2 6 5" xfId="280" xr:uid="{00000000-0005-0000-0000-000027470000}"/>
    <cellStyle name="Remarque 2 2 6 5 10" xfId="24312" xr:uid="{00000000-0005-0000-0000-000028470000}"/>
    <cellStyle name="Remarque 2 2 6 5 10 2" xfId="48272" xr:uid="{00000000-0005-0000-0000-000029470000}"/>
    <cellStyle name="Remarque 2 2 6 5 11" xfId="36050" xr:uid="{00000000-0005-0000-0000-00002A470000}"/>
    <cellStyle name="Remarque 2 2 6 5 11 2" xfId="60010" xr:uid="{00000000-0005-0000-0000-00002B470000}"/>
    <cellStyle name="Remarque 2 2 6 5 12" xfId="12977" xr:uid="{00000000-0005-0000-0000-00002C470000}"/>
    <cellStyle name="Remarque 2 2 6 5 13" xfId="36937" xr:uid="{00000000-0005-0000-0000-00002D470000}"/>
    <cellStyle name="Remarque 2 2 6 5 2" xfId="3186" xr:uid="{00000000-0005-0000-0000-00002E470000}"/>
    <cellStyle name="Remarque 2 2 6 5 2 2" xfId="27200" xr:uid="{00000000-0005-0000-0000-00002F470000}"/>
    <cellStyle name="Remarque 2 2 6 5 2 2 2" xfId="51160" xr:uid="{00000000-0005-0000-0000-000030470000}"/>
    <cellStyle name="Remarque 2 2 6 5 2 3" xfId="14447" xr:uid="{00000000-0005-0000-0000-000031470000}"/>
    <cellStyle name="Remarque 2 2 6 5 2 4" xfId="38407" xr:uid="{00000000-0005-0000-0000-000032470000}"/>
    <cellStyle name="Remarque 2 2 6 5 3" xfId="4620" xr:uid="{00000000-0005-0000-0000-000033470000}"/>
    <cellStyle name="Remarque 2 2 6 5 3 2" xfId="28634" xr:uid="{00000000-0005-0000-0000-000034470000}"/>
    <cellStyle name="Remarque 2 2 6 5 3 2 2" xfId="52594" xr:uid="{00000000-0005-0000-0000-000035470000}"/>
    <cellStyle name="Remarque 2 2 6 5 3 3" xfId="15881" xr:uid="{00000000-0005-0000-0000-000036470000}"/>
    <cellStyle name="Remarque 2 2 6 5 3 4" xfId="39841" xr:uid="{00000000-0005-0000-0000-000037470000}"/>
    <cellStyle name="Remarque 2 2 6 5 4" xfId="6014" xr:uid="{00000000-0005-0000-0000-000038470000}"/>
    <cellStyle name="Remarque 2 2 6 5 4 2" xfId="30028" xr:uid="{00000000-0005-0000-0000-000039470000}"/>
    <cellStyle name="Remarque 2 2 6 5 4 2 2" xfId="53988" xr:uid="{00000000-0005-0000-0000-00003A470000}"/>
    <cellStyle name="Remarque 2 2 6 5 4 3" xfId="17275" xr:uid="{00000000-0005-0000-0000-00003B470000}"/>
    <cellStyle name="Remarque 2 2 6 5 4 4" xfId="41235" xr:uid="{00000000-0005-0000-0000-00003C470000}"/>
    <cellStyle name="Remarque 2 2 6 5 5" xfId="7402" xr:uid="{00000000-0005-0000-0000-00003D470000}"/>
    <cellStyle name="Remarque 2 2 6 5 5 2" xfId="31416" xr:uid="{00000000-0005-0000-0000-00003E470000}"/>
    <cellStyle name="Remarque 2 2 6 5 5 2 2" xfId="55376" xr:uid="{00000000-0005-0000-0000-00003F470000}"/>
    <cellStyle name="Remarque 2 2 6 5 5 3" xfId="18663" xr:uid="{00000000-0005-0000-0000-000040470000}"/>
    <cellStyle name="Remarque 2 2 6 5 5 4" xfId="42623" xr:uid="{00000000-0005-0000-0000-000041470000}"/>
    <cellStyle name="Remarque 2 2 6 5 6" xfId="8787" xr:uid="{00000000-0005-0000-0000-000042470000}"/>
    <cellStyle name="Remarque 2 2 6 5 6 2" xfId="32801" xr:uid="{00000000-0005-0000-0000-000043470000}"/>
    <cellStyle name="Remarque 2 2 6 5 6 2 2" xfId="56761" xr:uid="{00000000-0005-0000-0000-000044470000}"/>
    <cellStyle name="Remarque 2 2 6 5 6 3" xfId="20048" xr:uid="{00000000-0005-0000-0000-000045470000}"/>
    <cellStyle name="Remarque 2 2 6 5 6 4" xfId="44008" xr:uid="{00000000-0005-0000-0000-000046470000}"/>
    <cellStyle name="Remarque 2 2 6 5 7" xfId="10244" xr:uid="{00000000-0005-0000-0000-000047470000}"/>
    <cellStyle name="Remarque 2 2 6 5 7 2" xfId="34254" xr:uid="{00000000-0005-0000-0000-000048470000}"/>
    <cellStyle name="Remarque 2 2 6 5 7 2 2" xfId="58214" xr:uid="{00000000-0005-0000-0000-000049470000}"/>
    <cellStyle name="Remarque 2 2 6 5 7 3" xfId="21511" xr:uid="{00000000-0005-0000-0000-00004A470000}"/>
    <cellStyle name="Remarque 2 2 6 5 7 4" xfId="45471" xr:uid="{00000000-0005-0000-0000-00004B470000}"/>
    <cellStyle name="Remarque 2 2 6 5 8" xfId="12010" xr:uid="{00000000-0005-0000-0000-00004C470000}"/>
    <cellStyle name="Remarque 2 2 6 5 8 2" xfId="23289" xr:uid="{00000000-0005-0000-0000-00004D470000}"/>
    <cellStyle name="Remarque 2 2 6 5 8 3" xfId="47249" xr:uid="{00000000-0005-0000-0000-00004E470000}"/>
    <cellStyle name="Remarque 2 2 6 5 9" xfId="1716" xr:uid="{00000000-0005-0000-0000-00004F470000}"/>
    <cellStyle name="Remarque 2 2 6 5 9 2" xfId="25730" xr:uid="{00000000-0005-0000-0000-000050470000}"/>
    <cellStyle name="Remarque 2 2 6 5 9 3" xfId="49690" xr:uid="{00000000-0005-0000-0000-000051470000}"/>
    <cellStyle name="Remarque 2 2 6 6" xfId="650" xr:uid="{00000000-0005-0000-0000-000052470000}"/>
    <cellStyle name="Remarque 2 2 6 6 10" xfId="24682" xr:uid="{00000000-0005-0000-0000-000053470000}"/>
    <cellStyle name="Remarque 2 2 6 6 10 2" xfId="48642" xr:uid="{00000000-0005-0000-0000-000054470000}"/>
    <cellStyle name="Remarque 2 2 6 6 11" xfId="34133" xr:uid="{00000000-0005-0000-0000-000055470000}"/>
    <cellStyle name="Remarque 2 2 6 6 11 2" xfId="58093" xr:uid="{00000000-0005-0000-0000-000056470000}"/>
    <cellStyle name="Remarque 2 2 6 6 12" xfId="13347" xr:uid="{00000000-0005-0000-0000-000057470000}"/>
    <cellStyle name="Remarque 2 2 6 6 13" xfId="37307" xr:uid="{00000000-0005-0000-0000-000058470000}"/>
    <cellStyle name="Remarque 2 2 6 6 2" xfId="3556" xr:uid="{00000000-0005-0000-0000-000059470000}"/>
    <cellStyle name="Remarque 2 2 6 6 2 2" xfId="27570" xr:uid="{00000000-0005-0000-0000-00005A470000}"/>
    <cellStyle name="Remarque 2 2 6 6 2 2 2" xfId="51530" xr:uid="{00000000-0005-0000-0000-00005B470000}"/>
    <cellStyle name="Remarque 2 2 6 6 2 3" xfId="14817" xr:uid="{00000000-0005-0000-0000-00005C470000}"/>
    <cellStyle name="Remarque 2 2 6 6 2 4" xfId="38777" xr:uid="{00000000-0005-0000-0000-00005D470000}"/>
    <cellStyle name="Remarque 2 2 6 6 3" xfId="4990" xr:uid="{00000000-0005-0000-0000-00005E470000}"/>
    <cellStyle name="Remarque 2 2 6 6 3 2" xfId="29004" xr:uid="{00000000-0005-0000-0000-00005F470000}"/>
    <cellStyle name="Remarque 2 2 6 6 3 2 2" xfId="52964" xr:uid="{00000000-0005-0000-0000-000060470000}"/>
    <cellStyle name="Remarque 2 2 6 6 3 3" xfId="16251" xr:uid="{00000000-0005-0000-0000-000061470000}"/>
    <cellStyle name="Remarque 2 2 6 6 3 4" xfId="40211" xr:uid="{00000000-0005-0000-0000-000062470000}"/>
    <cellStyle name="Remarque 2 2 6 6 4" xfId="6384" xr:uid="{00000000-0005-0000-0000-000063470000}"/>
    <cellStyle name="Remarque 2 2 6 6 4 2" xfId="30398" xr:uid="{00000000-0005-0000-0000-000064470000}"/>
    <cellStyle name="Remarque 2 2 6 6 4 2 2" xfId="54358" xr:uid="{00000000-0005-0000-0000-000065470000}"/>
    <cellStyle name="Remarque 2 2 6 6 4 3" xfId="17645" xr:uid="{00000000-0005-0000-0000-000066470000}"/>
    <cellStyle name="Remarque 2 2 6 6 4 4" xfId="41605" xr:uid="{00000000-0005-0000-0000-000067470000}"/>
    <cellStyle name="Remarque 2 2 6 6 5" xfId="7772" xr:uid="{00000000-0005-0000-0000-000068470000}"/>
    <cellStyle name="Remarque 2 2 6 6 5 2" xfId="31786" xr:uid="{00000000-0005-0000-0000-000069470000}"/>
    <cellStyle name="Remarque 2 2 6 6 5 2 2" xfId="55746" xr:uid="{00000000-0005-0000-0000-00006A470000}"/>
    <cellStyle name="Remarque 2 2 6 6 5 3" xfId="19033" xr:uid="{00000000-0005-0000-0000-00006B470000}"/>
    <cellStyle name="Remarque 2 2 6 6 5 4" xfId="42993" xr:uid="{00000000-0005-0000-0000-00006C470000}"/>
    <cellStyle name="Remarque 2 2 6 6 6" xfId="9157" xr:uid="{00000000-0005-0000-0000-00006D470000}"/>
    <cellStyle name="Remarque 2 2 6 6 6 2" xfId="33171" xr:uid="{00000000-0005-0000-0000-00006E470000}"/>
    <cellStyle name="Remarque 2 2 6 6 6 2 2" xfId="57131" xr:uid="{00000000-0005-0000-0000-00006F470000}"/>
    <cellStyle name="Remarque 2 2 6 6 6 3" xfId="20418" xr:uid="{00000000-0005-0000-0000-000070470000}"/>
    <cellStyle name="Remarque 2 2 6 6 6 4" xfId="44378" xr:uid="{00000000-0005-0000-0000-000071470000}"/>
    <cellStyle name="Remarque 2 2 6 6 7" xfId="10614" xr:uid="{00000000-0005-0000-0000-000072470000}"/>
    <cellStyle name="Remarque 2 2 6 6 7 2" xfId="34624" xr:uid="{00000000-0005-0000-0000-000073470000}"/>
    <cellStyle name="Remarque 2 2 6 6 7 2 2" xfId="58584" xr:uid="{00000000-0005-0000-0000-000074470000}"/>
    <cellStyle name="Remarque 2 2 6 6 7 3" xfId="21881" xr:uid="{00000000-0005-0000-0000-000075470000}"/>
    <cellStyle name="Remarque 2 2 6 6 7 4" xfId="45841" xr:uid="{00000000-0005-0000-0000-000076470000}"/>
    <cellStyle name="Remarque 2 2 6 6 8" xfId="11996" xr:uid="{00000000-0005-0000-0000-000077470000}"/>
    <cellStyle name="Remarque 2 2 6 6 8 2" xfId="23275" xr:uid="{00000000-0005-0000-0000-000078470000}"/>
    <cellStyle name="Remarque 2 2 6 6 8 3" xfId="47235" xr:uid="{00000000-0005-0000-0000-000079470000}"/>
    <cellStyle name="Remarque 2 2 6 6 9" xfId="2086" xr:uid="{00000000-0005-0000-0000-00007A470000}"/>
    <cellStyle name="Remarque 2 2 6 6 9 2" xfId="26100" xr:uid="{00000000-0005-0000-0000-00007B470000}"/>
    <cellStyle name="Remarque 2 2 6 6 9 3" xfId="50060" xr:uid="{00000000-0005-0000-0000-00007C470000}"/>
    <cellStyle name="Remarque 2 2 6 7" xfId="844" xr:uid="{00000000-0005-0000-0000-00007D470000}"/>
    <cellStyle name="Remarque 2 2 6 7 10" xfId="24876" xr:uid="{00000000-0005-0000-0000-00007E470000}"/>
    <cellStyle name="Remarque 2 2 6 7 10 2" xfId="48836" xr:uid="{00000000-0005-0000-0000-00007F470000}"/>
    <cellStyle name="Remarque 2 2 6 7 11" xfId="36623" xr:uid="{00000000-0005-0000-0000-000080470000}"/>
    <cellStyle name="Remarque 2 2 6 7 11 2" xfId="60583" xr:uid="{00000000-0005-0000-0000-000081470000}"/>
    <cellStyle name="Remarque 2 2 6 7 12" xfId="13541" xr:uid="{00000000-0005-0000-0000-000082470000}"/>
    <cellStyle name="Remarque 2 2 6 7 13" xfId="37501" xr:uid="{00000000-0005-0000-0000-000083470000}"/>
    <cellStyle name="Remarque 2 2 6 7 2" xfId="3750" xr:uid="{00000000-0005-0000-0000-000084470000}"/>
    <cellStyle name="Remarque 2 2 6 7 2 2" xfId="27764" xr:uid="{00000000-0005-0000-0000-000085470000}"/>
    <cellStyle name="Remarque 2 2 6 7 2 2 2" xfId="51724" xr:uid="{00000000-0005-0000-0000-000086470000}"/>
    <cellStyle name="Remarque 2 2 6 7 2 3" xfId="15011" xr:uid="{00000000-0005-0000-0000-000087470000}"/>
    <cellStyle name="Remarque 2 2 6 7 2 4" xfId="38971" xr:uid="{00000000-0005-0000-0000-000088470000}"/>
    <cellStyle name="Remarque 2 2 6 7 3" xfId="5184" xr:uid="{00000000-0005-0000-0000-000089470000}"/>
    <cellStyle name="Remarque 2 2 6 7 3 2" xfId="29198" xr:uid="{00000000-0005-0000-0000-00008A470000}"/>
    <cellStyle name="Remarque 2 2 6 7 3 2 2" xfId="53158" xr:uid="{00000000-0005-0000-0000-00008B470000}"/>
    <cellStyle name="Remarque 2 2 6 7 3 3" xfId="16445" xr:uid="{00000000-0005-0000-0000-00008C470000}"/>
    <cellStyle name="Remarque 2 2 6 7 3 4" xfId="40405" xr:uid="{00000000-0005-0000-0000-00008D470000}"/>
    <cellStyle name="Remarque 2 2 6 7 4" xfId="6578" xr:uid="{00000000-0005-0000-0000-00008E470000}"/>
    <cellStyle name="Remarque 2 2 6 7 4 2" xfId="30592" xr:uid="{00000000-0005-0000-0000-00008F470000}"/>
    <cellStyle name="Remarque 2 2 6 7 4 2 2" xfId="54552" xr:uid="{00000000-0005-0000-0000-000090470000}"/>
    <cellStyle name="Remarque 2 2 6 7 4 3" xfId="17839" xr:uid="{00000000-0005-0000-0000-000091470000}"/>
    <cellStyle name="Remarque 2 2 6 7 4 4" xfId="41799" xr:uid="{00000000-0005-0000-0000-000092470000}"/>
    <cellStyle name="Remarque 2 2 6 7 5" xfId="7966" xr:uid="{00000000-0005-0000-0000-000093470000}"/>
    <cellStyle name="Remarque 2 2 6 7 5 2" xfId="31980" xr:uid="{00000000-0005-0000-0000-000094470000}"/>
    <cellStyle name="Remarque 2 2 6 7 5 2 2" xfId="55940" xr:uid="{00000000-0005-0000-0000-000095470000}"/>
    <cellStyle name="Remarque 2 2 6 7 5 3" xfId="19227" xr:uid="{00000000-0005-0000-0000-000096470000}"/>
    <cellStyle name="Remarque 2 2 6 7 5 4" xfId="43187" xr:uid="{00000000-0005-0000-0000-000097470000}"/>
    <cellStyle name="Remarque 2 2 6 7 6" xfId="9351" xr:uid="{00000000-0005-0000-0000-000098470000}"/>
    <cellStyle name="Remarque 2 2 6 7 6 2" xfId="33365" xr:uid="{00000000-0005-0000-0000-000099470000}"/>
    <cellStyle name="Remarque 2 2 6 7 6 2 2" xfId="57325" xr:uid="{00000000-0005-0000-0000-00009A470000}"/>
    <cellStyle name="Remarque 2 2 6 7 6 3" xfId="20612" xr:uid="{00000000-0005-0000-0000-00009B470000}"/>
    <cellStyle name="Remarque 2 2 6 7 6 4" xfId="44572" xr:uid="{00000000-0005-0000-0000-00009C470000}"/>
    <cellStyle name="Remarque 2 2 6 7 7" xfId="10808" xr:uid="{00000000-0005-0000-0000-00009D470000}"/>
    <cellStyle name="Remarque 2 2 6 7 7 2" xfId="34818" xr:uid="{00000000-0005-0000-0000-00009E470000}"/>
    <cellStyle name="Remarque 2 2 6 7 7 2 2" xfId="58778" xr:uid="{00000000-0005-0000-0000-00009F470000}"/>
    <cellStyle name="Remarque 2 2 6 7 7 3" xfId="22075" xr:uid="{00000000-0005-0000-0000-0000A0470000}"/>
    <cellStyle name="Remarque 2 2 6 7 7 4" xfId="46035" xr:uid="{00000000-0005-0000-0000-0000A1470000}"/>
    <cellStyle name="Remarque 2 2 6 7 8" xfId="11776" xr:uid="{00000000-0005-0000-0000-0000A2470000}"/>
    <cellStyle name="Remarque 2 2 6 7 8 2" xfId="23049" xr:uid="{00000000-0005-0000-0000-0000A3470000}"/>
    <cellStyle name="Remarque 2 2 6 7 8 3" xfId="47009" xr:uid="{00000000-0005-0000-0000-0000A4470000}"/>
    <cellStyle name="Remarque 2 2 6 7 9" xfId="2280" xr:uid="{00000000-0005-0000-0000-0000A5470000}"/>
    <cellStyle name="Remarque 2 2 6 7 9 2" xfId="26294" xr:uid="{00000000-0005-0000-0000-0000A6470000}"/>
    <cellStyle name="Remarque 2 2 6 7 9 3" xfId="50254" xr:uid="{00000000-0005-0000-0000-0000A7470000}"/>
    <cellStyle name="Remarque 2 2 6 8" xfId="1037" xr:uid="{00000000-0005-0000-0000-0000A8470000}"/>
    <cellStyle name="Remarque 2 2 6 8 10" xfId="25069" xr:uid="{00000000-0005-0000-0000-0000A9470000}"/>
    <cellStyle name="Remarque 2 2 6 8 10 2" xfId="49029" xr:uid="{00000000-0005-0000-0000-0000AA470000}"/>
    <cellStyle name="Remarque 2 2 6 8 11" xfId="36194" xr:uid="{00000000-0005-0000-0000-0000AB470000}"/>
    <cellStyle name="Remarque 2 2 6 8 11 2" xfId="60154" xr:uid="{00000000-0005-0000-0000-0000AC470000}"/>
    <cellStyle name="Remarque 2 2 6 8 12" xfId="13734" xr:uid="{00000000-0005-0000-0000-0000AD470000}"/>
    <cellStyle name="Remarque 2 2 6 8 13" xfId="37694" xr:uid="{00000000-0005-0000-0000-0000AE470000}"/>
    <cellStyle name="Remarque 2 2 6 8 2" xfId="3943" xr:uid="{00000000-0005-0000-0000-0000AF470000}"/>
    <cellStyle name="Remarque 2 2 6 8 2 2" xfId="27957" xr:uid="{00000000-0005-0000-0000-0000B0470000}"/>
    <cellStyle name="Remarque 2 2 6 8 2 2 2" xfId="51917" xr:uid="{00000000-0005-0000-0000-0000B1470000}"/>
    <cellStyle name="Remarque 2 2 6 8 2 3" xfId="15204" xr:uid="{00000000-0005-0000-0000-0000B2470000}"/>
    <cellStyle name="Remarque 2 2 6 8 2 4" xfId="39164" xr:uid="{00000000-0005-0000-0000-0000B3470000}"/>
    <cellStyle name="Remarque 2 2 6 8 3" xfId="5377" xr:uid="{00000000-0005-0000-0000-0000B4470000}"/>
    <cellStyle name="Remarque 2 2 6 8 3 2" xfId="29391" xr:uid="{00000000-0005-0000-0000-0000B5470000}"/>
    <cellStyle name="Remarque 2 2 6 8 3 2 2" xfId="53351" xr:uid="{00000000-0005-0000-0000-0000B6470000}"/>
    <cellStyle name="Remarque 2 2 6 8 3 3" xfId="16638" xr:uid="{00000000-0005-0000-0000-0000B7470000}"/>
    <cellStyle name="Remarque 2 2 6 8 3 4" xfId="40598" xr:uid="{00000000-0005-0000-0000-0000B8470000}"/>
    <cellStyle name="Remarque 2 2 6 8 4" xfId="6771" xr:uid="{00000000-0005-0000-0000-0000B9470000}"/>
    <cellStyle name="Remarque 2 2 6 8 4 2" xfId="30785" xr:uid="{00000000-0005-0000-0000-0000BA470000}"/>
    <cellStyle name="Remarque 2 2 6 8 4 2 2" xfId="54745" xr:uid="{00000000-0005-0000-0000-0000BB470000}"/>
    <cellStyle name="Remarque 2 2 6 8 4 3" xfId="18032" xr:uid="{00000000-0005-0000-0000-0000BC470000}"/>
    <cellStyle name="Remarque 2 2 6 8 4 4" xfId="41992" xr:uid="{00000000-0005-0000-0000-0000BD470000}"/>
    <cellStyle name="Remarque 2 2 6 8 5" xfId="8159" xr:uid="{00000000-0005-0000-0000-0000BE470000}"/>
    <cellStyle name="Remarque 2 2 6 8 5 2" xfId="32173" xr:uid="{00000000-0005-0000-0000-0000BF470000}"/>
    <cellStyle name="Remarque 2 2 6 8 5 2 2" xfId="56133" xr:uid="{00000000-0005-0000-0000-0000C0470000}"/>
    <cellStyle name="Remarque 2 2 6 8 5 3" xfId="19420" xr:uid="{00000000-0005-0000-0000-0000C1470000}"/>
    <cellStyle name="Remarque 2 2 6 8 5 4" xfId="43380" xr:uid="{00000000-0005-0000-0000-0000C2470000}"/>
    <cellStyle name="Remarque 2 2 6 8 6" xfId="9544" xr:uid="{00000000-0005-0000-0000-0000C3470000}"/>
    <cellStyle name="Remarque 2 2 6 8 6 2" xfId="33558" xr:uid="{00000000-0005-0000-0000-0000C4470000}"/>
    <cellStyle name="Remarque 2 2 6 8 6 2 2" xfId="57518" xr:uid="{00000000-0005-0000-0000-0000C5470000}"/>
    <cellStyle name="Remarque 2 2 6 8 6 3" xfId="20805" xr:uid="{00000000-0005-0000-0000-0000C6470000}"/>
    <cellStyle name="Remarque 2 2 6 8 6 4" xfId="44765" xr:uid="{00000000-0005-0000-0000-0000C7470000}"/>
    <cellStyle name="Remarque 2 2 6 8 7" xfId="11001" xr:uid="{00000000-0005-0000-0000-0000C8470000}"/>
    <cellStyle name="Remarque 2 2 6 8 7 2" xfId="35011" xr:uid="{00000000-0005-0000-0000-0000C9470000}"/>
    <cellStyle name="Remarque 2 2 6 8 7 2 2" xfId="58971" xr:uid="{00000000-0005-0000-0000-0000CA470000}"/>
    <cellStyle name="Remarque 2 2 6 8 7 3" xfId="22268" xr:uid="{00000000-0005-0000-0000-0000CB470000}"/>
    <cellStyle name="Remarque 2 2 6 8 7 4" xfId="46228" xr:uid="{00000000-0005-0000-0000-0000CC470000}"/>
    <cellStyle name="Remarque 2 2 6 8 8" xfId="12622" xr:uid="{00000000-0005-0000-0000-0000CD470000}"/>
    <cellStyle name="Remarque 2 2 6 8 8 2" xfId="23925" xr:uid="{00000000-0005-0000-0000-0000CE470000}"/>
    <cellStyle name="Remarque 2 2 6 8 8 3" xfId="47885" xr:uid="{00000000-0005-0000-0000-0000CF470000}"/>
    <cellStyle name="Remarque 2 2 6 8 9" xfId="2473" xr:uid="{00000000-0005-0000-0000-0000D0470000}"/>
    <cellStyle name="Remarque 2 2 6 8 9 2" xfId="26487" xr:uid="{00000000-0005-0000-0000-0000D1470000}"/>
    <cellStyle name="Remarque 2 2 6 8 9 3" xfId="50447" xr:uid="{00000000-0005-0000-0000-0000D2470000}"/>
    <cellStyle name="Remarque 2 2 6 9" xfId="1223" xr:uid="{00000000-0005-0000-0000-0000D3470000}"/>
    <cellStyle name="Remarque 2 2 6 9 10" xfId="25255" xr:uid="{00000000-0005-0000-0000-0000D4470000}"/>
    <cellStyle name="Remarque 2 2 6 9 10 2" xfId="49215" xr:uid="{00000000-0005-0000-0000-0000D5470000}"/>
    <cellStyle name="Remarque 2 2 6 9 11" xfId="36617" xr:uid="{00000000-0005-0000-0000-0000D6470000}"/>
    <cellStyle name="Remarque 2 2 6 9 11 2" xfId="60577" xr:uid="{00000000-0005-0000-0000-0000D7470000}"/>
    <cellStyle name="Remarque 2 2 6 9 12" xfId="13920" xr:uid="{00000000-0005-0000-0000-0000D8470000}"/>
    <cellStyle name="Remarque 2 2 6 9 13" xfId="37880" xr:uid="{00000000-0005-0000-0000-0000D9470000}"/>
    <cellStyle name="Remarque 2 2 6 9 2" xfId="4129" xr:uid="{00000000-0005-0000-0000-0000DA470000}"/>
    <cellStyle name="Remarque 2 2 6 9 2 2" xfId="28143" xr:uid="{00000000-0005-0000-0000-0000DB470000}"/>
    <cellStyle name="Remarque 2 2 6 9 2 2 2" xfId="52103" xr:uid="{00000000-0005-0000-0000-0000DC470000}"/>
    <cellStyle name="Remarque 2 2 6 9 2 3" xfId="15390" xr:uid="{00000000-0005-0000-0000-0000DD470000}"/>
    <cellStyle name="Remarque 2 2 6 9 2 4" xfId="39350" xr:uid="{00000000-0005-0000-0000-0000DE470000}"/>
    <cellStyle name="Remarque 2 2 6 9 3" xfId="5563" xr:uid="{00000000-0005-0000-0000-0000DF470000}"/>
    <cellStyle name="Remarque 2 2 6 9 3 2" xfId="29577" xr:uid="{00000000-0005-0000-0000-0000E0470000}"/>
    <cellStyle name="Remarque 2 2 6 9 3 2 2" xfId="53537" xr:uid="{00000000-0005-0000-0000-0000E1470000}"/>
    <cellStyle name="Remarque 2 2 6 9 3 3" xfId="16824" xr:uid="{00000000-0005-0000-0000-0000E2470000}"/>
    <cellStyle name="Remarque 2 2 6 9 3 4" xfId="40784" xr:uid="{00000000-0005-0000-0000-0000E3470000}"/>
    <cellStyle name="Remarque 2 2 6 9 4" xfId="6957" xr:uid="{00000000-0005-0000-0000-0000E4470000}"/>
    <cellStyle name="Remarque 2 2 6 9 4 2" xfId="30971" xr:uid="{00000000-0005-0000-0000-0000E5470000}"/>
    <cellStyle name="Remarque 2 2 6 9 4 2 2" xfId="54931" xr:uid="{00000000-0005-0000-0000-0000E6470000}"/>
    <cellStyle name="Remarque 2 2 6 9 4 3" xfId="18218" xr:uid="{00000000-0005-0000-0000-0000E7470000}"/>
    <cellStyle name="Remarque 2 2 6 9 4 4" xfId="42178" xr:uid="{00000000-0005-0000-0000-0000E8470000}"/>
    <cellStyle name="Remarque 2 2 6 9 5" xfId="8345" xr:uid="{00000000-0005-0000-0000-0000E9470000}"/>
    <cellStyle name="Remarque 2 2 6 9 5 2" xfId="32359" xr:uid="{00000000-0005-0000-0000-0000EA470000}"/>
    <cellStyle name="Remarque 2 2 6 9 5 2 2" xfId="56319" xr:uid="{00000000-0005-0000-0000-0000EB470000}"/>
    <cellStyle name="Remarque 2 2 6 9 5 3" xfId="19606" xr:uid="{00000000-0005-0000-0000-0000EC470000}"/>
    <cellStyle name="Remarque 2 2 6 9 5 4" xfId="43566" xr:uid="{00000000-0005-0000-0000-0000ED470000}"/>
    <cellStyle name="Remarque 2 2 6 9 6" xfId="9730" xr:uid="{00000000-0005-0000-0000-0000EE470000}"/>
    <cellStyle name="Remarque 2 2 6 9 6 2" xfId="33744" xr:uid="{00000000-0005-0000-0000-0000EF470000}"/>
    <cellStyle name="Remarque 2 2 6 9 6 2 2" xfId="57704" xr:uid="{00000000-0005-0000-0000-0000F0470000}"/>
    <cellStyle name="Remarque 2 2 6 9 6 3" xfId="20991" xr:uid="{00000000-0005-0000-0000-0000F1470000}"/>
    <cellStyle name="Remarque 2 2 6 9 6 4" xfId="44951" xr:uid="{00000000-0005-0000-0000-0000F2470000}"/>
    <cellStyle name="Remarque 2 2 6 9 7" xfId="11187" xr:uid="{00000000-0005-0000-0000-0000F3470000}"/>
    <cellStyle name="Remarque 2 2 6 9 7 2" xfId="35197" xr:uid="{00000000-0005-0000-0000-0000F4470000}"/>
    <cellStyle name="Remarque 2 2 6 9 7 2 2" xfId="59157" xr:uid="{00000000-0005-0000-0000-0000F5470000}"/>
    <cellStyle name="Remarque 2 2 6 9 7 3" xfId="22454" xr:uid="{00000000-0005-0000-0000-0000F6470000}"/>
    <cellStyle name="Remarque 2 2 6 9 7 4" xfId="46414" xr:uid="{00000000-0005-0000-0000-0000F7470000}"/>
    <cellStyle name="Remarque 2 2 6 9 8" xfId="11931" xr:uid="{00000000-0005-0000-0000-0000F8470000}"/>
    <cellStyle name="Remarque 2 2 6 9 8 2" xfId="23209" xr:uid="{00000000-0005-0000-0000-0000F9470000}"/>
    <cellStyle name="Remarque 2 2 6 9 8 3" xfId="47169" xr:uid="{00000000-0005-0000-0000-0000FA470000}"/>
    <cellStyle name="Remarque 2 2 6 9 9" xfId="2659" xr:uid="{00000000-0005-0000-0000-0000FB470000}"/>
    <cellStyle name="Remarque 2 2 6 9 9 2" xfId="26673" xr:uid="{00000000-0005-0000-0000-0000FC470000}"/>
    <cellStyle name="Remarque 2 2 6 9 9 3" xfId="50633" xr:uid="{00000000-0005-0000-0000-0000FD470000}"/>
    <cellStyle name="Remarque 2 2 7" xfId="43" xr:uid="{00000000-0005-0000-0000-0000FE470000}"/>
    <cellStyle name="Remarque 2 2 7 10" xfId="36882" xr:uid="{00000000-0005-0000-0000-0000FF470000}"/>
    <cellStyle name="Remarque 2 2 7 11" xfId="225" xr:uid="{00000000-0005-0000-0000-000000480000}"/>
    <cellStyle name="Remarque 2 2 7 2" xfId="459" xr:uid="{00000000-0005-0000-0000-000001480000}"/>
    <cellStyle name="Remarque 2 2 7 2 10" xfId="6193" xr:uid="{00000000-0005-0000-0000-000002480000}"/>
    <cellStyle name="Remarque 2 2 7 2 10 2" xfId="30207" xr:uid="{00000000-0005-0000-0000-000003480000}"/>
    <cellStyle name="Remarque 2 2 7 2 10 2 2" xfId="54167" xr:uid="{00000000-0005-0000-0000-000004480000}"/>
    <cellStyle name="Remarque 2 2 7 2 10 3" xfId="17454" xr:uid="{00000000-0005-0000-0000-000005480000}"/>
    <cellStyle name="Remarque 2 2 7 2 10 4" xfId="41414" xr:uid="{00000000-0005-0000-0000-000006480000}"/>
    <cellStyle name="Remarque 2 2 7 2 11" xfId="7581" xr:uid="{00000000-0005-0000-0000-000007480000}"/>
    <cellStyle name="Remarque 2 2 7 2 11 2" xfId="31595" xr:uid="{00000000-0005-0000-0000-000008480000}"/>
    <cellStyle name="Remarque 2 2 7 2 11 2 2" xfId="55555" xr:uid="{00000000-0005-0000-0000-000009480000}"/>
    <cellStyle name="Remarque 2 2 7 2 11 3" xfId="18842" xr:uid="{00000000-0005-0000-0000-00000A480000}"/>
    <cellStyle name="Remarque 2 2 7 2 11 4" xfId="42802" xr:uid="{00000000-0005-0000-0000-00000B480000}"/>
    <cellStyle name="Remarque 2 2 7 2 12" xfId="8966" xr:uid="{00000000-0005-0000-0000-00000C480000}"/>
    <cellStyle name="Remarque 2 2 7 2 12 2" xfId="32980" xr:uid="{00000000-0005-0000-0000-00000D480000}"/>
    <cellStyle name="Remarque 2 2 7 2 12 2 2" xfId="56940" xr:uid="{00000000-0005-0000-0000-00000E480000}"/>
    <cellStyle name="Remarque 2 2 7 2 12 3" xfId="20227" xr:uid="{00000000-0005-0000-0000-00000F480000}"/>
    <cellStyle name="Remarque 2 2 7 2 12 4" xfId="44187" xr:uid="{00000000-0005-0000-0000-000010480000}"/>
    <cellStyle name="Remarque 2 2 7 2 13" xfId="10423" xr:uid="{00000000-0005-0000-0000-000011480000}"/>
    <cellStyle name="Remarque 2 2 7 2 13 2" xfId="34433" xr:uid="{00000000-0005-0000-0000-000012480000}"/>
    <cellStyle name="Remarque 2 2 7 2 13 2 2" xfId="58393" xr:uid="{00000000-0005-0000-0000-000013480000}"/>
    <cellStyle name="Remarque 2 2 7 2 13 3" xfId="21690" xr:uid="{00000000-0005-0000-0000-000014480000}"/>
    <cellStyle name="Remarque 2 2 7 2 13 4" xfId="45650" xr:uid="{00000000-0005-0000-0000-000015480000}"/>
    <cellStyle name="Remarque 2 2 7 2 14" xfId="11948" xr:uid="{00000000-0005-0000-0000-000016480000}"/>
    <cellStyle name="Remarque 2 2 7 2 14 2" xfId="23226" xr:uid="{00000000-0005-0000-0000-000017480000}"/>
    <cellStyle name="Remarque 2 2 7 2 14 3" xfId="47186" xr:uid="{00000000-0005-0000-0000-000018480000}"/>
    <cellStyle name="Remarque 2 2 7 2 15" xfId="1895" xr:uid="{00000000-0005-0000-0000-000019480000}"/>
    <cellStyle name="Remarque 2 2 7 2 15 2" xfId="25909" xr:uid="{00000000-0005-0000-0000-00001A480000}"/>
    <cellStyle name="Remarque 2 2 7 2 15 3" xfId="49869" xr:uid="{00000000-0005-0000-0000-00001B480000}"/>
    <cellStyle name="Remarque 2 2 7 2 16" xfId="24491" xr:uid="{00000000-0005-0000-0000-00001C480000}"/>
    <cellStyle name="Remarque 2 2 7 2 16 2" xfId="48451" xr:uid="{00000000-0005-0000-0000-00001D480000}"/>
    <cellStyle name="Remarque 2 2 7 2 17" xfId="35725" xr:uid="{00000000-0005-0000-0000-00001E480000}"/>
    <cellStyle name="Remarque 2 2 7 2 17 2" xfId="59685" xr:uid="{00000000-0005-0000-0000-00001F480000}"/>
    <cellStyle name="Remarque 2 2 7 2 18" xfId="13156" xr:uid="{00000000-0005-0000-0000-000020480000}"/>
    <cellStyle name="Remarque 2 2 7 2 19" xfId="37116" xr:uid="{00000000-0005-0000-0000-000021480000}"/>
    <cellStyle name="Remarque 2 2 7 2 2" xfId="595" xr:uid="{00000000-0005-0000-0000-000022480000}"/>
    <cellStyle name="Remarque 2 2 7 2 2 10" xfId="24627" xr:uid="{00000000-0005-0000-0000-000023480000}"/>
    <cellStyle name="Remarque 2 2 7 2 2 10 2" xfId="48587" xr:uid="{00000000-0005-0000-0000-000024480000}"/>
    <cellStyle name="Remarque 2 2 7 2 2 11" xfId="35961" xr:uid="{00000000-0005-0000-0000-000025480000}"/>
    <cellStyle name="Remarque 2 2 7 2 2 11 2" xfId="59921" xr:uid="{00000000-0005-0000-0000-000026480000}"/>
    <cellStyle name="Remarque 2 2 7 2 2 12" xfId="13292" xr:uid="{00000000-0005-0000-0000-000027480000}"/>
    <cellStyle name="Remarque 2 2 7 2 2 13" xfId="37252" xr:uid="{00000000-0005-0000-0000-000028480000}"/>
    <cellStyle name="Remarque 2 2 7 2 2 2" xfId="3501" xr:uid="{00000000-0005-0000-0000-000029480000}"/>
    <cellStyle name="Remarque 2 2 7 2 2 2 2" xfId="27515" xr:uid="{00000000-0005-0000-0000-00002A480000}"/>
    <cellStyle name="Remarque 2 2 7 2 2 2 2 2" xfId="51475" xr:uid="{00000000-0005-0000-0000-00002B480000}"/>
    <cellStyle name="Remarque 2 2 7 2 2 2 3" xfId="14762" xr:uid="{00000000-0005-0000-0000-00002C480000}"/>
    <cellStyle name="Remarque 2 2 7 2 2 2 4" xfId="38722" xr:uid="{00000000-0005-0000-0000-00002D480000}"/>
    <cellStyle name="Remarque 2 2 7 2 2 3" xfId="4935" xr:uid="{00000000-0005-0000-0000-00002E480000}"/>
    <cellStyle name="Remarque 2 2 7 2 2 3 2" xfId="28949" xr:uid="{00000000-0005-0000-0000-00002F480000}"/>
    <cellStyle name="Remarque 2 2 7 2 2 3 2 2" xfId="52909" xr:uid="{00000000-0005-0000-0000-000030480000}"/>
    <cellStyle name="Remarque 2 2 7 2 2 3 3" xfId="16196" xr:uid="{00000000-0005-0000-0000-000031480000}"/>
    <cellStyle name="Remarque 2 2 7 2 2 3 4" xfId="40156" xr:uid="{00000000-0005-0000-0000-000032480000}"/>
    <cellStyle name="Remarque 2 2 7 2 2 4" xfId="6329" xr:uid="{00000000-0005-0000-0000-000033480000}"/>
    <cellStyle name="Remarque 2 2 7 2 2 4 2" xfId="30343" xr:uid="{00000000-0005-0000-0000-000034480000}"/>
    <cellStyle name="Remarque 2 2 7 2 2 4 2 2" xfId="54303" xr:uid="{00000000-0005-0000-0000-000035480000}"/>
    <cellStyle name="Remarque 2 2 7 2 2 4 3" xfId="17590" xr:uid="{00000000-0005-0000-0000-000036480000}"/>
    <cellStyle name="Remarque 2 2 7 2 2 4 4" xfId="41550" xr:uid="{00000000-0005-0000-0000-000037480000}"/>
    <cellStyle name="Remarque 2 2 7 2 2 5" xfId="7717" xr:uid="{00000000-0005-0000-0000-000038480000}"/>
    <cellStyle name="Remarque 2 2 7 2 2 5 2" xfId="31731" xr:uid="{00000000-0005-0000-0000-000039480000}"/>
    <cellStyle name="Remarque 2 2 7 2 2 5 2 2" xfId="55691" xr:uid="{00000000-0005-0000-0000-00003A480000}"/>
    <cellStyle name="Remarque 2 2 7 2 2 5 3" xfId="18978" xr:uid="{00000000-0005-0000-0000-00003B480000}"/>
    <cellStyle name="Remarque 2 2 7 2 2 5 4" xfId="42938" xr:uid="{00000000-0005-0000-0000-00003C480000}"/>
    <cellStyle name="Remarque 2 2 7 2 2 6" xfId="9102" xr:uid="{00000000-0005-0000-0000-00003D480000}"/>
    <cellStyle name="Remarque 2 2 7 2 2 6 2" xfId="33116" xr:uid="{00000000-0005-0000-0000-00003E480000}"/>
    <cellStyle name="Remarque 2 2 7 2 2 6 2 2" xfId="57076" xr:uid="{00000000-0005-0000-0000-00003F480000}"/>
    <cellStyle name="Remarque 2 2 7 2 2 6 3" xfId="20363" xr:uid="{00000000-0005-0000-0000-000040480000}"/>
    <cellStyle name="Remarque 2 2 7 2 2 6 4" xfId="44323" xr:uid="{00000000-0005-0000-0000-000041480000}"/>
    <cellStyle name="Remarque 2 2 7 2 2 7" xfId="10559" xr:uid="{00000000-0005-0000-0000-000042480000}"/>
    <cellStyle name="Remarque 2 2 7 2 2 7 2" xfId="34569" xr:uid="{00000000-0005-0000-0000-000043480000}"/>
    <cellStyle name="Remarque 2 2 7 2 2 7 2 2" xfId="58529" xr:uid="{00000000-0005-0000-0000-000044480000}"/>
    <cellStyle name="Remarque 2 2 7 2 2 7 3" xfId="21826" xr:uid="{00000000-0005-0000-0000-000045480000}"/>
    <cellStyle name="Remarque 2 2 7 2 2 7 4" xfId="45786" xr:uid="{00000000-0005-0000-0000-000046480000}"/>
    <cellStyle name="Remarque 2 2 7 2 2 8" xfId="12503" xr:uid="{00000000-0005-0000-0000-000047480000}"/>
    <cellStyle name="Remarque 2 2 7 2 2 8 2" xfId="23800" xr:uid="{00000000-0005-0000-0000-000048480000}"/>
    <cellStyle name="Remarque 2 2 7 2 2 8 3" xfId="47760" xr:uid="{00000000-0005-0000-0000-000049480000}"/>
    <cellStyle name="Remarque 2 2 7 2 2 9" xfId="2031" xr:uid="{00000000-0005-0000-0000-00004A480000}"/>
    <cellStyle name="Remarque 2 2 7 2 2 9 2" xfId="26045" xr:uid="{00000000-0005-0000-0000-00004B480000}"/>
    <cellStyle name="Remarque 2 2 7 2 2 9 3" xfId="50005" xr:uid="{00000000-0005-0000-0000-00004C480000}"/>
    <cellStyle name="Remarque 2 2 7 2 3" xfId="787" xr:uid="{00000000-0005-0000-0000-00004D480000}"/>
    <cellStyle name="Remarque 2 2 7 2 3 10" xfId="24819" xr:uid="{00000000-0005-0000-0000-00004E480000}"/>
    <cellStyle name="Remarque 2 2 7 2 3 10 2" xfId="48779" xr:uid="{00000000-0005-0000-0000-00004F480000}"/>
    <cellStyle name="Remarque 2 2 7 2 3 11" xfId="36319" xr:uid="{00000000-0005-0000-0000-000050480000}"/>
    <cellStyle name="Remarque 2 2 7 2 3 11 2" xfId="60279" xr:uid="{00000000-0005-0000-0000-000051480000}"/>
    <cellStyle name="Remarque 2 2 7 2 3 12" xfId="13484" xr:uid="{00000000-0005-0000-0000-000052480000}"/>
    <cellStyle name="Remarque 2 2 7 2 3 13" xfId="37444" xr:uid="{00000000-0005-0000-0000-000053480000}"/>
    <cellStyle name="Remarque 2 2 7 2 3 2" xfId="3693" xr:uid="{00000000-0005-0000-0000-000054480000}"/>
    <cellStyle name="Remarque 2 2 7 2 3 2 2" xfId="27707" xr:uid="{00000000-0005-0000-0000-000055480000}"/>
    <cellStyle name="Remarque 2 2 7 2 3 2 2 2" xfId="51667" xr:uid="{00000000-0005-0000-0000-000056480000}"/>
    <cellStyle name="Remarque 2 2 7 2 3 2 3" xfId="14954" xr:uid="{00000000-0005-0000-0000-000057480000}"/>
    <cellStyle name="Remarque 2 2 7 2 3 2 4" xfId="38914" xr:uid="{00000000-0005-0000-0000-000058480000}"/>
    <cellStyle name="Remarque 2 2 7 2 3 3" xfId="5127" xr:uid="{00000000-0005-0000-0000-000059480000}"/>
    <cellStyle name="Remarque 2 2 7 2 3 3 2" xfId="29141" xr:uid="{00000000-0005-0000-0000-00005A480000}"/>
    <cellStyle name="Remarque 2 2 7 2 3 3 2 2" xfId="53101" xr:uid="{00000000-0005-0000-0000-00005B480000}"/>
    <cellStyle name="Remarque 2 2 7 2 3 3 3" xfId="16388" xr:uid="{00000000-0005-0000-0000-00005C480000}"/>
    <cellStyle name="Remarque 2 2 7 2 3 3 4" xfId="40348" xr:uid="{00000000-0005-0000-0000-00005D480000}"/>
    <cellStyle name="Remarque 2 2 7 2 3 4" xfId="6521" xr:uid="{00000000-0005-0000-0000-00005E480000}"/>
    <cellStyle name="Remarque 2 2 7 2 3 4 2" xfId="30535" xr:uid="{00000000-0005-0000-0000-00005F480000}"/>
    <cellStyle name="Remarque 2 2 7 2 3 4 2 2" xfId="54495" xr:uid="{00000000-0005-0000-0000-000060480000}"/>
    <cellStyle name="Remarque 2 2 7 2 3 4 3" xfId="17782" xr:uid="{00000000-0005-0000-0000-000061480000}"/>
    <cellStyle name="Remarque 2 2 7 2 3 4 4" xfId="41742" xr:uid="{00000000-0005-0000-0000-000062480000}"/>
    <cellStyle name="Remarque 2 2 7 2 3 5" xfId="7909" xr:uid="{00000000-0005-0000-0000-000063480000}"/>
    <cellStyle name="Remarque 2 2 7 2 3 5 2" xfId="31923" xr:uid="{00000000-0005-0000-0000-000064480000}"/>
    <cellStyle name="Remarque 2 2 7 2 3 5 2 2" xfId="55883" xr:uid="{00000000-0005-0000-0000-000065480000}"/>
    <cellStyle name="Remarque 2 2 7 2 3 5 3" xfId="19170" xr:uid="{00000000-0005-0000-0000-000066480000}"/>
    <cellStyle name="Remarque 2 2 7 2 3 5 4" xfId="43130" xr:uid="{00000000-0005-0000-0000-000067480000}"/>
    <cellStyle name="Remarque 2 2 7 2 3 6" xfId="9294" xr:uid="{00000000-0005-0000-0000-000068480000}"/>
    <cellStyle name="Remarque 2 2 7 2 3 6 2" xfId="33308" xr:uid="{00000000-0005-0000-0000-000069480000}"/>
    <cellStyle name="Remarque 2 2 7 2 3 6 2 2" xfId="57268" xr:uid="{00000000-0005-0000-0000-00006A480000}"/>
    <cellStyle name="Remarque 2 2 7 2 3 6 3" xfId="20555" xr:uid="{00000000-0005-0000-0000-00006B480000}"/>
    <cellStyle name="Remarque 2 2 7 2 3 6 4" xfId="44515" xr:uid="{00000000-0005-0000-0000-00006C480000}"/>
    <cellStyle name="Remarque 2 2 7 2 3 7" xfId="10751" xr:uid="{00000000-0005-0000-0000-00006D480000}"/>
    <cellStyle name="Remarque 2 2 7 2 3 7 2" xfId="34761" xr:uid="{00000000-0005-0000-0000-00006E480000}"/>
    <cellStyle name="Remarque 2 2 7 2 3 7 2 2" xfId="58721" xr:uid="{00000000-0005-0000-0000-00006F480000}"/>
    <cellStyle name="Remarque 2 2 7 2 3 7 3" xfId="22018" xr:uid="{00000000-0005-0000-0000-000070480000}"/>
    <cellStyle name="Remarque 2 2 7 2 3 7 4" xfId="45978" xr:uid="{00000000-0005-0000-0000-000071480000}"/>
    <cellStyle name="Remarque 2 2 7 2 3 8" xfId="12407" xr:uid="{00000000-0005-0000-0000-000072480000}"/>
    <cellStyle name="Remarque 2 2 7 2 3 8 2" xfId="23698" xr:uid="{00000000-0005-0000-0000-000073480000}"/>
    <cellStyle name="Remarque 2 2 7 2 3 8 3" xfId="47658" xr:uid="{00000000-0005-0000-0000-000074480000}"/>
    <cellStyle name="Remarque 2 2 7 2 3 9" xfId="2223" xr:uid="{00000000-0005-0000-0000-000075480000}"/>
    <cellStyle name="Remarque 2 2 7 2 3 9 2" xfId="26237" xr:uid="{00000000-0005-0000-0000-000076480000}"/>
    <cellStyle name="Remarque 2 2 7 2 3 9 3" xfId="50197" xr:uid="{00000000-0005-0000-0000-000077480000}"/>
    <cellStyle name="Remarque 2 2 7 2 4" xfId="981" xr:uid="{00000000-0005-0000-0000-000078480000}"/>
    <cellStyle name="Remarque 2 2 7 2 4 10" xfId="25013" xr:uid="{00000000-0005-0000-0000-000079480000}"/>
    <cellStyle name="Remarque 2 2 7 2 4 10 2" xfId="48973" xr:uid="{00000000-0005-0000-0000-00007A480000}"/>
    <cellStyle name="Remarque 2 2 7 2 4 11" xfId="36229" xr:uid="{00000000-0005-0000-0000-00007B480000}"/>
    <cellStyle name="Remarque 2 2 7 2 4 11 2" xfId="60189" xr:uid="{00000000-0005-0000-0000-00007C480000}"/>
    <cellStyle name="Remarque 2 2 7 2 4 12" xfId="13678" xr:uid="{00000000-0005-0000-0000-00007D480000}"/>
    <cellStyle name="Remarque 2 2 7 2 4 13" xfId="37638" xr:uid="{00000000-0005-0000-0000-00007E480000}"/>
    <cellStyle name="Remarque 2 2 7 2 4 2" xfId="3887" xr:uid="{00000000-0005-0000-0000-00007F480000}"/>
    <cellStyle name="Remarque 2 2 7 2 4 2 2" xfId="27901" xr:uid="{00000000-0005-0000-0000-000080480000}"/>
    <cellStyle name="Remarque 2 2 7 2 4 2 2 2" xfId="51861" xr:uid="{00000000-0005-0000-0000-000081480000}"/>
    <cellStyle name="Remarque 2 2 7 2 4 2 3" xfId="15148" xr:uid="{00000000-0005-0000-0000-000082480000}"/>
    <cellStyle name="Remarque 2 2 7 2 4 2 4" xfId="39108" xr:uid="{00000000-0005-0000-0000-000083480000}"/>
    <cellStyle name="Remarque 2 2 7 2 4 3" xfId="5321" xr:uid="{00000000-0005-0000-0000-000084480000}"/>
    <cellStyle name="Remarque 2 2 7 2 4 3 2" xfId="29335" xr:uid="{00000000-0005-0000-0000-000085480000}"/>
    <cellStyle name="Remarque 2 2 7 2 4 3 2 2" xfId="53295" xr:uid="{00000000-0005-0000-0000-000086480000}"/>
    <cellStyle name="Remarque 2 2 7 2 4 3 3" xfId="16582" xr:uid="{00000000-0005-0000-0000-000087480000}"/>
    <cellStyle name="Remarque 2 2 7 2 4 3 4" xfId="40542" xr:uid="{00000000-0005-0000-0000-000088480000}"/>
    <cellStyle name="Remarque 2 2 7 2 4 4" xfId="6715" xr:uid="{00000000-0005-0000-0000-000089480000}"/>
    <cellStyle name="Remarque 2 2 7 2 4 4 2" xfId="30729" xr:uid="{00000000-0005-0000-0000-00008A480000}"/>
    <cellStyle name="Remarque 2 2 7 2 4 4 2 2" xfId="54689" xr:uid="{00000000-0005-0000-0000-00008B480000}"/>
    <cellStyle name="Remarque 2 2 7 2 4 4 3" xfId="17976" xr:uid="{00000000-0005-0000-0000-00008C480000}"/>
    <cellStyle name="Remarque 2 2 7 2 4 4 4" xfId="41936" xr:uid="{00000000-0005-0000-0000-00008D480000}"/>
    <cellStyle name="Remarque 2 2 7 2 4 5" xfId="8103" xr:uid="{00000000-0005-0000-0000-00008E480000}"/>
    <cellStyle name="Remarque 2 2 7 2 4 5 2" xfId="32117" xr:uid="{00000000-0005-0000-0000-00008F480000}"/>
    <cellStyle name="Remarque 2 2 7 2 4 5 2 2" xfId="56077" xr:uid="{00000000-0005-0000-0000-000090480000}"/>
    <cellStyle name="Remarque 2 2 7 2 4 5 3" xfId="19364" xr:uid="{00000000-0005-0000-0000-000091480000}"/>
    <cellStyle name="Remarque 2 2 7 2 4 5 4" xfId="43324" xr:uid="{00000000-0005-0000-0000-000092480000}"/>
    <cellStyle name="Remarque 2 2 7 2 4 6" xfId="9488" xr:uid="{00000000-0005-0000-0000-000093480000}"/>
    <cellStyle name="Remarque 2 2 7 2 4 6 2" xfId="33502" xr:uid="{00000000-0005-0000-0000-000094480000}"/>
    <cellStyle name="Remarque 2 2 7 2 4 6 2 2" xfId="57462" xr:uid="{00000000-0005-0000-0000-000095480000}"/>
    <cellStyle name="Remarque 2 2 7 2 4 6 3" xfId="20749" xr:uid="{00000000-0005-0000-0000-000096480000}"/>
    <cellStyle name="Remarque 2 2 7 2 4 6 4" xfId="44709" xr:uid="{00000000-0005-0000-0000-000097480000}"/>
    <cellStyle name="Remarque 2 2 7 2 4 7" xfId="10945" xr:uid="{00000000-0005-0000-0000-000098480000}"/>
    <cellStyle name="Remarque 2 2 7 2 4 7 2" xfId="34955" xr:uid="{00000000-0005-0000-0000-000099480000}"/>
    <cellStyle name="Remarque 2 2 7 2 4 7 2 2" xfId="58915" xr:uid="{00000000-0005-0000-0000-00009A480000}"/>
    <cellStyle name="Remarque 2 2 7 2 4 7 3" xfId="22212" xr:uid="{00000000-0005-0000-0000-00009B480000}"/>
    <cellStyle name="Remarque 2 2 7 2 4 7 4" xfId="46172" xr:uid="{00000000-0005-0000-0000-00009C480000}"/>
    <cellStyle name="Remarque 2 2 7 2 4 8" xfId="12117" xr:uid="{00000000-0005-0000-0000-00009D480000}"/>
    <cellStyle name="Remarque 2 2 7 2 4 8 2" xfId="23400" xr:uid="{00000000-0005-0000-0000-00009E480000}"/>
    <cellStyle name="Remarque 2 2 7 2 4 8 3" xfId="47360" xr:uid="{00000000-0005-0000-0000-00009F480000}"/>
    <cellStyle name="Remarque 2 2 7 2 4 9" xfId="2417" xr:uid="{00000000-0005-0000-0000-0000A0480000}"/>
    <cellStyle name="Remarque 2 2 7 2 4 9 2" xfId="26431" xr:uid="{00000000-0005-0000-0000-0000A1480000}"/>
    <cellStyle name="Remarque 2 2 7 2 4 9 3" xfId="50391" xr:uid="{00000000-0005-0000-0000-0000A2480000}"/>
    <cellStyle name="Remarque 2 2 7 2 5" xfId="1174" xr:uid="{00000000-0005-0000-0000-0000A3480000}"/>
    <cellStyle name="Remarque 2 2 7 2 5 10" xfId="25206" xr:uid="{00000000-0005-0000-0000-0000A4480000}"/>
    <cellStyle name="Remarque 2 2 7 2 5 10 2" xfId="49166" xr:uid="{00000000-0005-0000-0000-0000A5480000}"/>
    <cellStyle name="Remarque 2 2 7 2 5 11" xfId="35920" xr:uid="{00000000-0005-0000-0000-0000A6480000}"/>
    <cellStyle name="Remarque 2 2 7 2 5 11 2" xfId="59880" xr:uid="{00000000-0005-0000-0000-0000A7480000}"/>
    <cellStyle name="Remarque 2 2 7 2 5 12" xfId="13871" xr:uid="{00000000-0005-0000-0000-0000A8480000}"/>
    <cellStyle name="Remarque 2 2 7 2 5 13" xfId="37831" xr:uid="{00000000-0005-0000-0000-0000A9480000}"/>
    <cellStyle name="Remarque 2 2 7 2 5 2" xfId="4080" xr:uid="{00000000-0005-0000-0000-0000AA480000}"/>
    <cellStyle name="Remarque 2 2 7 2 5 2 2" xfId="28094" xr:uid="{00000000-0005-0000-0000-0000AB480000}"/>
    <cellStyle name="Remarque 2 2 7 2 5 2 2 2" xfId="52054" xr:uid="{00000000-0005-0000-0000-0000AC480000}"/>
    <cellStyle name="Remarque 2 2 7 2 5 2 3" xfId="15341" xr:uid="{00000000-0005-0000-0000-0000AD480000}"/>
    <cellStyle name="Remarque 2 2 7 2 5 2 4" xfId="39301" xr:uid="{00000000-0005-0000-0000-0000AE480000}"/>
    <cellStyle name="Remarque 2 2 7 2 5 3" xfId="5514" xr:uid="{00000000-0005-0000-0000-0000AF480000}"/>
    <cellStyle name="Remarque 2 2 7 2 5 3 2" xfId="29528" xr:uid="{00000000-0005-0000-0000-0000B0480000}"/>
    <cellStyle name="Remarque 2 2 7 2 5 3 2 2" xfId="53488" xr:uid="{00000000-0005-0000-0000-0000B1480000}"/>
    <cellStyle name="Remarque 2 2 7 2 5 3 3" xfId="16775" xr:uid="{00000000-0005-0000-0000-0000B2480000}"/>
    <cellStyle name="Remarque 2 2 7 2 5 3 4" xfId="40735" xr:uid="{00000000-0005-0000-0000-0000B3480000}"/>
    <cellStyle name="Remarque 2 2 7 2 5 4" xfId="6908" xr:uid="{00000000-0005-0000-0000-0000B4480000}"/>
    <cellStyle name="Remarque 2 2 7 2 5 4 2" xfId="30922" xr:uid="{00000000-0005-0000-0000-0000B5480000}"/>
    <cellStyle name="Remarque 2 2 7 2 5 4 2 2" xfId="54882" xr:uid="{00000000-0005-0000-0000-0000B6480000}"/>
    <cellStyle name="Remarque 2 2 7 2 5 4 3" xfId="18169" xr:uid="{00000000-0005-0000-0000-0000B7480000}"/>
    <cellStyle name="Remarque 2 2 7 2 5 4 4" xfId="42129" xr:uid="{00000000-0005-0000-0000-0000B8480000}"/>
    <cellStyle name="Remarque 2 2 7 2 5 5" xfId="8296" xr:uid="{00000000-0005-0000-0000-0000B9480000}"/>
    <cellStyle name="Remarque 2 2 7 2 5 5 2" xfId="32310" xr:uid="{00000000-0005-0000-0000-0000BA480000}"/>
    <cellStyle name="Remarque 2 2 7 2 5 5 2 2" xfId="56270" xr:uid="{00000000-0005-0000-0000-0000BB480000}"/>
    <cellStyle name="Remarque 2 2 7 2 5 5 3" xfId="19557" xr:uid="{00000000-0005-0000-0000-0000BC480000}"/>
    <cellStyle name="Remarque 2 2 7 2 5 5 4" xfId="43517" xr:uid="{00000000-0005-0000-0000-0000BD480000}"/>
    <cellStyle name="Remarque 2 2 7 2 5 6" xfId="9681" xr:uid="{00000000-0005-0000-0000-0000BE480000}"/>
    <cellStyle name="Remarque 2 2 7 2 5 6 2" xfId="33695" xr:uid="{00000000-0005-0000-0000-0000BF480000}"/>
    <cellStyle name="Remarque 2 2 7 2 5 6 2 2" xfId="57655" xr:uid="{00000000-0005-0000-0000-0000C0480000}"/>
    <cellStyle name="Remarque 2 2 7 2 5 6 3" xfId="20942" xr:uid="{00000000-0005-0000-0000-0000C1480000}"/>
    <cellStyle name="Remarque 2 2 7 2 5 6 4" xfId="44902" xr:uid="{00000000-0005-0000-0000-0000C2480000}"/>
    <cellStyle name="Remarque 2 2 7 2 5 7" xfId="11138" xr:uid="{00000000-0005-0000-0000-0000C3480000}"/>
    <cellStyle name="Remarque 2 2 7 2 5 7 2" xfId="35148" xr:uid="{00000000-0005-0000-0000-0000C4480000}"/>
    <cellStyle name="Remarque 2 2 7 2 5 7 2 2" xfId="59108" xr:uid="{00000000-0005-0000-0000-0000C5480000}"/>
    <cellStyle name="Remarque 2 2 7 2 5 7 3" xfId="22405" xr:uid="{00000000-0005-0000-0000-0000C6480000}"/>
    <cellStyle name="Remarque 2 2 7 2 5 7 4" xfId="46365" xr:uid="{00000000-0005-0000-0000-0000C7480000}"/>
    <cellStyle name="Remarque 2 2 7 2 5 8" xfId="11908" xr:uid="{00000000-0005-0000-0000-0000C8480000}"/>
    <cellStyle name="Remarque 2 2 7 2 5 8 2" xfId="23186" xr:uid="{00000000-0005-0000-0000-0000C9480000}"/>
    <cellStyle name="Remarque 2 2 7 2 5 8 3" xfId="47146" xr:uid="{00000000-0005-0000-0000-0000CA480000}"/>
    <cellStyle name="Remarque 2 2 7 2 5 9" xfId="2610" xr:uid="{00000000-0005-0000-0000-0000CB480000}"/>
    <cellStyle name="Remarque 2 2 7 2 5 9 2" xfId="26624" xr:uid="{00000000-0005-0000-0000-0000CC480000}"/>
    <cellStyle name="Remarque 2 2 7 2 5 9 3" xfId="50584" xr:uid="{00000000-0005-0000-0000-0000CD480000}"/>
    <cellStyle name="Remarque 2 2 7 2 6" xfId="1341" xr:uid="{00000000-0005-0000-0000-0000CE480000}"/>
    <cellStyle name="Remarque 2 2 7 2 6 10" xfId="25373" xr:uid="{00000000-0005-0000-0000-0000CF480000}"/>
    <cellStyle name="Remarque 2 2 7 2 6 10 2" xfId="49333" xr:uid="{00000000-0005-0000-0000-0000D0480000}"/>
    <cellStyle name="Remarque 2 2 7 2 6 11" xfId="35638" xr:uid="{00000000-0005-0000-0000-0000D1480000}"/>
    <cellStyle name="Remarque 2 2 7 2 6 11 2" xfId="59598" xr:uid="{00000000-0005-0000-0000-0000D2480000}"/>
    <cellStyle name="Remarque 2 2 7 2 6 12" xfId="14038" xr:uid="{00000000-0005-0000-0000-0000D3480000}"/>
    <cellStyle name="Remarque 2 2 7 2 6 13" xfId="37998" xr:uid="{00000000-0005-0000-0000-0000D4480000}"/>
    <cellStyle name="Remarque 2 2 7 2 6 2" xfId="4247" xr:uid="{00000000-0005-0000-0000-0000D5480000}"/>
    <cellStyle name="Remarque 2 2 7 2 6 2 2" xfId="28261" xr:uid="{00000000-0005-0000-0000-0000D6480000}"/>
    <cellStyle name="Remarque 2 2 7 2 6 2 2 2" xfId="52221" xr:uid="{00000000-0005-0000-0000-0000D7480000}"/>
    <cellStyle name="Remarque 2 2 7 2 6 2 3" xfId="15508" xr:uid="{00000000-0005-0000-0000-0000D8480000}"/>
    <cellStyle name="Remarque 2 2 7 2 6 2 4" xfId="39468" xr:uid="{00000000-0005-0000-0000-0000D9480000}"/>
    <cellStyle name="Remarque 2 2 7 2 6 3" xfId="5681" xr:uid="{00000000-0005-0000-0000-0000DA480000}"/>
    <cellStyle name="Remarque 2 2 7 2 6 3 2" xfId="29695" xr:uid="{00000000-0005-0000-0000-0000DB480000}"/>
    <cellStyle name="Remarque 2 2 7 2 6 3 2 2" xfId="53655" xr:uid="{00000000-0005-0000-0000-0000DC480000}"/>
    <cellStyle name="Remarque 2 2 7 2 6 3 3" xfId="16942" xr:uid="{00000000-0005-0000-0000-0000DD480000}"/>
    <cellStyle name="Remarque 2 2 7 2 6 3 4" xfId="40902" xr:uid="{00000000-0005-0000-0000-0000DE480000}"/>
    <cellStyle name="Remarque 2 2 7 2 6 4" xfId="7075" xr:uid="{00000000-0005-0000-0000-0000DF480000}"/>
    <cellStyle name="Remarque 2 2 7 2 6 4 2" xfId="31089" xr:uid="{00000000-0005-0000-0000-0000E0480000}"/>
    <cellStyle name="Remarque 2 2 7 2 6 4 2 2" xfId="55049" xr:uid="{00000000-0005-0000-0000-0000E1480000}"/>
    <cellStyle name="Remarque 2 2 7 2 6 4 3" xfId="18336" xr:uid="{00000000-0005-0000-0000-0000E2480000}"/>
    <cellStyle name="Remarque 2 2 7 2 6 4 4" xfId="42296" xr:uid="{00000000-0005-0000-0000-0000E3480000}"/>
    <cellStyle name="Remarque 2 2 7 2 6 5" xfId="8463" xr:uid="{00000000-0005-0000-0000-0000E4480000}"/>
    <cellStyle name="Remarque 2 2 7 2 6 5 2" xfId="32477" xr:uid="{00000000-0005-0000-0000-0000E5480000}"/>
    <cellStyle name="Remarque 2 2 7 2 6 5 2 2" xfId="56437" xr:uid="{00000000-0005-0000-0000-0000E6480000}"/>
    <cellStyle name="Remarque 2 2 7 2 6 5 3" xfId="19724" xr:uid="{00000000-0005-0000-0000-0000E7480000}"/>
    <cellStyle name="Remarque 2 2 7 2 6 5 4" xfId="43684" xr:uid="{00000000-0005-0000-0000-0000E8480000}"/>
    <cellStyle name="Remarque 2 2 7 2 6 6" xfId="9848" xr:uid="{00000000-0005-0000-0000-0000E9480000}"/>
    <cellStyle name="Remarque 2 2 7 2 6 6 2" xfId="33862" xr:uid="{00000000-0005-0000-0000-0000EA480000}"/>
    <cellStyle name="Remarque 2 2 7 2 6 6 2 2" xfId="57822" xr:uid="{00000000-0005-0000-0000-0000EB480000}"/>
    <cellStyle name="Remarque 2 2 7 2 6 6 3" xfId="21109" xr:uid="{00000000-0005-0000-0000-0000EC480000}"/>
    <cellStyle name="Remarque 2 2 7 2 6 6 4" xfId="45069" xr:uid="{00000000-0005-0000-0000-0000ED480000}"/>
    <cellStyle name="Remarque 2 2 7 2 6 7" xfId="11305" xr:uid="{00000000-0005-0000-0000-0000EE480000}"/>
    <cellStyle name="Remarque 2 2 7 2 6 7 2" xfId="35315" xr:uid="{00000000-0005-0000-0000-0000EF480000}"/>
    <cellStyle name="Remarque 2 2 7 2 6 7 2 2" xfId="59275" xr:uid="{00000000-0005-0000-0000-0000F0480000}"/>
    <cellStyle name="Remarque 2 2 7 2 6 7 3" xfId="22572" xr:uid="{00000000-0005-0000-0000-0000F1480000}"/>
    <cellStyle name="Remarque 2 2 7 2 6 7 4" xfId="46532" xr:uid="{00000000-0005-0000-0000-0000F2480000}"/>
    <cellStyle name="Remarque 2 2 7 2 6 8" xfId="12247" xr:uid="{00000000-0005-0000-0000-0000F3480000}"/>
    <cellStyle name="Remarque 2 2 7 2 6 8 2" xfId="23532" xr:uid="{00000000-0005-0000-0000-0000F4480000}"/>
    <cellStyle name="Remarque 2 2 7 2 6 8 3" xfId="47492" xr:uid="{00000000-0005-0000-0000-0000F5480000}"/>
    <cellStyle name="Remarque 2 2 7 2 6 9" xfId="2777" xr:uid="{00000000-0005-0000-0000-0000F6480000}"/>
    <cellStyle name="Remarque 2 2 7 2 6 9 2" xfId="26791" xr:uid="{00000000-0005-0000-0000-0000F7480000}"/>
    <cellStyle name="Remarque 2 2 7 2 6 9 3" xfId="50751" xr:uid="{00000000-0005-0000-0000-0000F8480000}"/>
    <cellStyle name="Remarque 2 2 7 2 7" xfId="1510" xr:uid="{00000000-0005-0000-0000-0000F9480000}"/>
    <cellStyle name="Remarque 2 2 7 2 7 10" xfId="25542" xr:uid="{00000000-0005-0000-0000-0000FA480000}"/>
    <cellStyle name="Remarque 2 2 7 2 7 10 2" xfId="49502" xr:uid="{00000000-0005-0000-0000-0000FB480000}"/>
    <cellStyle name="Remarque 2 2 7 2 7 11" xfId="35985" xr:uid="{00000000-0005-0000-0000-0000FC480000}"/>
    <cellStyle name="Remarque 2 2 7 2 7 11 2" xfId="59945" xr:uid="{00000000-0005-0000-0000-0000FD480000}"/>
    <cellStyle name="Remarque 2 2 7 2 7 12" xfId="14207" xr:uid="{00000000-0005-0000-0000-0000FE480000}"/>
    <cellStyle name="Remarque 2 2 7 2 7 13" xfId="38167" xr:uid="{00000000-0005-0000-0000-0000FF480000}"/>
    <cellStyle name="Remarque 2 2 7 2 7 2" xfId="4416" xr:uid="{00000000-0005-0000-0000-000000490000}"/>
    <cellStyle name="Remarque 2 2 7 2 7 2 2" xfId="28430" xr:uid="{00000000-0005-0000-0000-000001490000}"/>
    <cellStyle name="Remarque 2 2 7 2 7 2 2 2" xfId="52390" xr:uid="{00000000-0005-0000-0000-000002490000}"/>
    <cellStyle name="Remarque 2 2 7 2 7 2 3" xfId="15677" xr:uid="{00000000-0005-0000-0000-000003490000}"/>
    <cellStyle name="Remarque 2 2 7 2 7 2 4" xfId="39637" xr:uid="{00000000-0005-0000-0000-000004490000}"/>
    <cellStyle name="Remarque 2 2 7 2 7 3" xfId="5850" xr:uid="{00000000-0005-0000-0000-000005490000}"/>
    <cellStyle name="Remarque 2 2 7 2 7 3 2" xfId="29864" xr:uid="{00000000-0005-0000-0000-000006490000}"/>
    <cellStyle name="Remarque 2 2 7 2 7 3 2 2" xfId="53824" xr:uid="{00000000-0005-0000-0000-000007490000}"/>
    <cellStyle name="Remarque 2 2 7 2 7 3 3" xfId="17111" xr:uid="{00000000-0005-0000-0000-000008490000}"/>
    <cellStyle name="Remarque 2 2 7 2 7 3 4" xfId="41071" xr:uid="{00000000-0005-0000-0000-000009490000}"/>
    <cellStyle name="Remarque 2 2 7 2 7 4" xfId="7244" xr:uid="{00000000-0005-0000-0000-00000A490000}"/>
    <cellStyle name="Remarque 2 2 7 2 7 4 2" xfId="31258" xr:uid="{00000000-0005-0000-0000-00000B490000}"/>
    <cellStyle name="Remarque 2 2 7 2 7 4 2 2" xfId="55218" xr:uid="{00000000-0005-0000-0000-00000C490000}"/>
    <cellStyle name="Remarque 2 2 7 2 7 4 3" xfId="18505" xr:uid="{00000000-0005-0000-0000-00000D490000}"/>
    <cellStyle name="Remarque 2 2 7 2 7 4 4" xfId="42465" xr:uid="{00000000-0005-0000-0000-00000E490000}"/>
    <cellStyle name="Remarque 2 2 7 2 7 5" xfId="8632" xr:uid="{00000000-0005-0000-0000-00000F490000}"/>
    <cellStyle name="Remarque 2 2 7 2 7 5 2" xfId="32646" xr:uid="{00000000-0005-0000-0000-000010490000}"/>
    <cellStyle name="Remarque 2 2 7 2 7 5 2 2" xfId="56606" xr:uid="{00000000-0005-0000-0000-000011490000}"/>
    <cellStyle name="Remarque 2 2 7 2 7 5 3" xfId="19893" xr:uid="{00000000-0005-0000-0000-000012490000}"/>
    <cellStyle name="Remarque 2 2 7 2 7 5 4" xfId="43853" xr:uid="{00000000-0005-0000-0000-000013490000}"/>
    <cellStyle name="Remarque 2 2 7 2 7 6" xfId="10017" xr:uid="{00000000-0005-0000-0000-000014490000}"/>
    <cellStyle name="Remarque 2 2 7 2 7 6 2" xfId="34031" xr:uid="{00000000-0005-0000-0000-000015490000}"/>
    <cellStyle name="Remarque 2 2 7 2 7 6 2 2" xfId="57991" xr:uid="{00000000-0005-0000-0000-000016490000}"/>
    <cellStyle name="Remarque 2 2 7 2 7 6 3" xfId="21278" xr:uid="{00000000-0005-0000-0000-000017490000}"/>
    <cellStyle name="Remarque 2 2 7 2 7 6 4" xfId="45238" xr:uid="{00000000-0005-0000-0000-000018490000}"/>
    <cellStyle name="Remarque 2 2 7 2 7 7" xfId="11474" xr:uid="{00000000-0005-0000-0000-000019490000}"/>
    <cellStyle name="Remarque 2 2 7 2 7 7 2" xfId="35484" xr:uid="{00000000-0005-0000-0000-00001A490000}"/>
    <cellStyle name="Remarque 2 2 7 2 7 7 2 2" xfId="59444" xr:uid="{00000000-0005-0000-0000-00001B490000}"/>
    <cellStyle name="Remarque 2 2 7 2 7 7 3" xfId="22741" xr:uid="{00000000-0005-0000-0000-00001C490000}"/>
    <cellStyle name="Remarque 2 2 7 2 7 7 4" xfId="46701" xr:uid="{00000000-0005-0000-0000-00001D490000}"/>
    <cellStyle name="Remarque 2 2 7 2 7 8" xfId="12706" xr:uid="{00000000-0005-0000-0000-00001E490000}"/>
    <cellStyle name="Remarque 2 2 7 2 7 8 2" xfId="24011" xr:uid="{00000000-0005-0000-0000-00001F490000}"/>
    <cellStyle name="Remarque 2 2 7 2 7 8 3" xfId="47971" xr:uid="{00000000-0005-0000-0000-000020490000}"/>
    <cellStyle name="Remarque 2 2 7 2 7 9" xfId="2946" xr:uid="{00000000-0005-0000-0000-000021490000}"/>
    <cellStyle name="Remarque 2 2 7 2 7 9 2" xfId="26960" xr:uid="{00000000-0005-0000-0000-000022490000}"/>
    <cellStyle name="Remarque 2 2 7 2 7 9 3" xfId="50920" xr:uid="{00000000-0005-0000-0000-000023490000}"/>
    <cellStyle name="Remarque 2 2 7 2 8" xfId="3365" xr:uid="{00000000-0005-0000-0000-000024490000}"/>
    <cellStyle name="Remarque 2 2 7 2 8 2" xfId="27379" xr:uid="{00000000-0005-0000-0000-000025490000}"/>
    <cellStyle name="Remarque 2 2 7 2 8 2 2" xfId="51339" xr:uid="{00000000-0005-0000-0000-000026490000}"/>
    <cellStyle name="Remarque 2 2 7 2 8 3" xfId="14626" xr:uid="{00000000-0005-0000-0000-000027490000}"/>
    <cellStyle name="Remarque 2 2 7 2 8 4" xfId="38586" xr:uid="{00000000-0005-0000-0000-000028490000}"/>
    <cellStyle name="Remarque 2 2 7 2 9" xfId="4799" xr:uid="{00000000-0005-0000-0000-000029490000}"/>
    <cellStyle name="Remarque 2 2 7 2 9 2" xfId="28813" xr:uid="{00000000-0005-0000-0000-00002A490000}"/>
    <cellStyle name="Remarque 2 2 7 2 9 2 2" xfId="52773" xr:uid="{00000000-0005-0000-0000-00002B490000}"/>
    <cellStyle name="Remarque 2 2 7 2 9 3" xfId="16060" xr:uid="{00000000-0005-0000-0000-00002C490000}"/>
    <cellStyle name="Remarque 2 2 7 2 9 4" xfId="40020" xr:uid="{00000000-0005-0000-0000-00002D490000}"/>
    <cellStyle name="Remarque 2 2 7 3" xfId="275" xr:uid="{00000000-0005-0000-0000-00002E490000}"/>
    <cellStyle name="Remarque 2 2 7 3 10" xfId="24307" xr:uid="{00000000-0005-0000-0000-00002F490000}"/>
    <cellStyle name="Remarque 2 2 7 3 10 2" xfId="48267" xr:uid="{00000000-0005-0000-0000-000030490000}"/>
    <cellStyle name="Remarque 2 2 7 3 11" xfId="34129" xr:uid="{00000000-0005-0000-0000-000031490000}"/>
    <cellStyle name="Remarque 2 2 7 3 11 2" xfId="58089" xr:uid="{00000000-0005-0000-0000-000032490000}"/>
    <cellStyle name="Remarque 2 2 7 3 12" xfId="12972" xr:uid="{00000000-0005-0000-0000-000033490000}"/>
    <cellStyle name="Remarque 2 2 7 3 13" xfId="36932" xr:uid="{00000000-0005-0000-0000-000034490000}"/>
    <cellStyle name="Remarque 2 2 7 3 2" xfId="3181" xr:uid="{00000000-0005-0000-0000-000035490000}"/>
    <cellStyle name="Remarque 2 2 7 3 2 2" xfId="27195" xr:uid="{00000000-0005-0000-0000-000036490000}"/>
    <cellStyle name="Remarque 2 2 7 3 2 2 2" xfId="51155" xr:uid="{00000000-0005-0000-0000-000037490000}"/>
    <cellStyle name="Remarque 2 2 7 3 2 3" xfId="14442" xr:uid="{00000000-0005-0000-0000-000038490000}"/>
    <cellStyle name="Remarque 2 2 7 3 2 4" xfId="38402" xr:uid="{00000000-0005-0000-0000-000039490000}"/>
    <cellStyle name="Remarque 2 2 7 3 3" xfId="4615" xr:uid="{00000000-0005-0000-0000-00003A490000}"/>
    <cellStyle name="Remarque 2 2 7 3 3 2" xfId="28629" xr:uid="{00000000-0005-0000-0000-00003B490000}"/>
    <cellStyle name="Remarque 2 2 7 3 3 2 2" xfId="52589" xr:uid="{00000000-0005-0000-0000-00003C490000}"/>
    <cellStyle name="Remarque 2 2 7 3 3 3" xfId="15876" xr:uid="{00000000-0005-0000-0000-00003D490000}"/>
    <cellStyle name="Remarque 2 2 7 3 3 4" xfId="39836" xr:uid="{00000000-0005-0000-0000-00003E490000}"/>
    <cellStyle name="Remarque 2 2 7 3 4" xfId="6009" xr:uid="{00000000-0005-0000-0000-00003F490000}"/>
    <cellStyle name="Remarque 2 2 7 3 4 2" xfId="30023" xr:uid="{00000000-0005-0000-0000-000040490000}"/>
    <cellStyle name="Remarque 2 2 7 3 4 2 2" xfId="53983" xr:uid="{00000000-0005-0000-0000-000041490000}"/>
    <cellStyle name="Remarque 2 2 7 3 4 3" xfId="17270" xr:uid="{00000000-0005-0000-0000-000042490000}"/>
    <cellStyle name="Remarque 2 2 7 3 4 4" xfId="41230" xr:uid="{00000000-0005-0000-0000-000043490000}"/>
    <cellStyle name="Remarque 2 2 7 3 5" xfId="7397" xr:uid="{00000000-0005-0000-0000-000044490000}"/>
    <cellStyle name="Remarque 2 2 7 3 5 2" xfId="31411" xr:uid="{00000000-0005-0000-0000-000045490000}"/>
    <cellStyle name="Remarque 2 2 7 3 5 2 2" xfId="55371" xr:uid="{00000000-0005-0000-0000-000046490000}"/>
    <cellStyle name="Remarque 2 2 7 3 5 3" xfId="18658" xr:uid="{00000000-0005-0000-0000-000047490000}"/>
    <cellStyle name="Remarque 2 2 7 3 5 4" xfId="42618" xr:uid="{00000000-0005-0000-0000-000048490000}"/>
    <cellStyle name="Remarque 2 2 7 3 6" xfId="8782" xr:uid="{00000000-0005-0000-0000-000049490000}"/>
    <cellStyle name="Remarque 2 2 7 3 6 2" xfId="32796" xr:uid="{00000000-0005-0000-0000-00004A490000}"/>
    <cellStyle name="Remarque 2 2 7 3 6 2 2" xfId="56756" xr:uid="{00000000-0005-0000-0000-00004B490000}"/>
    <cellStyle name="Remarque 2 2 7 3 6 3" xfId="20043" xr:uid="{00000000-0005-0000-0000-00004C490000}"/>
    <cellStyle name="Remarque 2 2 7 3 6 4" xfId="44003" xr:uid="{00000000-0005-0000-0000-00004D490000}"/>
    <cellStyle name="Remarque 2 2 7 3 7" xfId="10239" xr:uid="{00000000-0005-0000-0000-00004E490000}"/>
    <cellStyle name="Remarque 2 2 7 3 7 2" xfId="34249" xr:uid="{00000000-0005-0000-0000-00004F490000}"/>
    <cellStyle name="Remarque 2 2 7 3 7 2 2" xfId="58209" xr:uid="{00000000-0005-0000-0000-000050490000}"/>
    <cellStyle name="Remarque 2 2 7 3 7 3" xfId="21506" xr:uid="{00000000-0005-0000-0000-000051490000}"/>
    <cellStyle name="Remarque 2 2 7 3 7 4" xfId="45466" xr:uid="{00000000-0005-0000-0000-000052490000}"/>
    <cellStyle name="Remarque 2 2 7 3 8" xfId="11882" xr:uid="{00000000-0005-0000-0000-000053490000}"/>
    <cellStyle name="Remarque 2 2 7 3 8 2" xfId="23159" xr:uid="{00000000-0005-0000-0000-000054490000}"/>
    <cellStyle name="Remarque 2 2 7 3 8 3" xfId="47119" xr:uid="{00000000-0005-0000-0000-000055490000}"/>
    <cellStyle name="Remarque 2 2 7 3 9" xfId="1711" xr:uid="{00000000-0005-0000-0000-000056490000}"/>
    <cellStyle name="Remarque 2 2 7 3 9 2" xfId="25725" xr:uid="{00000000-0005-0000-0000-000057490000}"/>
    <cellStyle name="Remarque 2 2 7 3 9 3" xfId="49685" xr:uid="{00000000-0005-0000-0000-000058490000}"/>
    <cellStyle name="Remarque 2 2 7 4" xfId="652" xr:uid="{00000000-0005-0000-0000-000059490000}"/>
    <cellStyle name="Remarque 2 2 7 4 10" xfId="24684" xr:uid="{00000000-0005-0000-0000-00005A490000}"/>
    <cellStyle name="Remarque 2 2 7 4 10 2" xfId="48644" xr:uid="{00000000-0005-0000-0000-00005B490000}"/>
    <cellStyle name="Remarque 2 2 7 4 11" xfId="35974" xr:uid="{00000000-0005-0000-0000-00005C490000}"/>
    <cellStyle name="Remarque 2 2 7 4 11 2" xfId="59934" xr:uid="{00000000-0005-0000-0000-00005D490000}"/>
    <cellStyle name="Remarque 2 2 7 4 12" xfId="13349" xr:uid="{00000000-0005-0000-0000-00005E490000}"/>
    <cellStyle name="Remarque 2 2 7 4 13" xfId="37309" xr:uid="{00000000-0005-0000-0000-00005F490000}"/>
    <cellStyle name="Remarque 2 2 7 4 2" xfId="3558" xr:uid="{00000000-0005-0000-0000-000060490000}"/>
    <cellStyle name="Remarque 2 2 7 4 2 2" xfId="27572" xr:uid="{00000000-0005-0000-0000-000061490000}"/>
    <cellStyle name="Remarque 2 2 7 4 2 2 2" xfId="51532" xr:uid="{00000000-0005-0000-0000-000062490000}"/>
    <cellStyle name="Remarque 2 2 7 4 2 3" xfId="14819" xr:uid="{00000000-0005-0000-0000-000063490000}"/>
    <cellStyle name="Remarque 2 2 7 4 2 4" xfId="38779" xr:uid="{00000000-0005-0000-0000-000064490000}"/>
    <cellStyle name="Remarque 2 2 7 4 3" xfId="4992" xr:uid="{00000000-0005-0000-0000-000065490000}"/>
    <cellStyle name="Remarque 2 2 7 4 3 2" xfId="29006" xr:uid="{00000000-0005-0000-0000-000066490000}"/>
    <cellStyle name="Remarque 2 2 7 4 3 2 2" xfId="52966" xr:uid="{00000000-0005-0000-0000-000067490000}"/>
    <cellStyle name="Remarque 2 2 7 4 3 3" xfId="16253" xr:uid="{00000000-0005-0000-0000-000068490000}"/>
    <cellStyle name="Remarque 2 2 7 4 3 4" xfId="40213" xr:uid="{00000000-0005-0000-0000-000069490000}"/>
    <cellStyle name="Remarque 2 2 7 4 4" xfId="6386" xr:uid="{00000000-0005-0000-0000-00006A490000}"/>
    <cellStyle name="Remarque 2 2 7 4 4 2" xfId="30400" xr:uid="{00000000-0005-0000-0000-00006B490000}"/>
    <cellStyle name="Remarque 2 2 7 4 4 2 2" xfId="54360" xr:uid="{00000000-0005-0000-0000-00006C490000}"/>
    <cellStyle name="Remarque 2 2 7 4 4 3" xfId="17647" xr:uid="{00000000-0005-0000-0000-00006D490000}"/>
    <cellStyle name="Remarque 2 2 7 4 4 4" xfId="41607" xr:uid="{00000000-0005-0000-0000-00006E490000}"/>
    <cellStyle name="Remarque 2 2 7 4 5" xfId="7774" xr:uid="{00000000-0005-0000-0000-00006F490000}"/>
    <cellStyle name="Remarque 2 2 7 4 5 2" xfId="31788" xr:uid="{00000000-0005-0000-0000-000070490000}"/>
    <cellStyle name="Remarque 2 2 7 4 5 2 2" xfId="55748" xr:uid="{00000000-0005-0000-0000-000071490000}"/>
    <cellStyle name="Remarque 2 2 7 4 5 3" xfId="19035" xr:uid="{00000000-0005-0000-0000-000072490000}"/>
    <cellStyle name="Remarque 2 2 7 4 5 4" xfId="42995" xr:uid="{00000000-0005-0000-0000-000073490000}"/>
    <cellStyle name="Remarque 2 2 7 4 6" xfId="9159" xr:uid="{00000000-0005-0000-0000-000074490000}"/>
    <cellStyle name="Remarque 2 2 7 4 6 2" xfId="33173" xr:uid="{00000000-0005-0000-0000-000075490000}"/>
    <cellStyle name="Remarque 2 2 7 4 6 2 2" xfId="57133" xr:uid="{00000000-0005-0000-0000-000076490000}"/>
    <cellStyle name="Remarque 2 2 7 4 6 3" xfId="20420" xr:uid="{00000000-0005-0000-0000-000077490000}"/>
    <cellStyle name="Remarque 2 2 7 4 6 4" xfId="44380" xr:uid="{00000000-0005-0000-0000-000078490000}"/>
    <cellStyle name="Remarque 2 2 7 4 7" xfId="10616" xr:uid="{00000000-0005-0000-0000-000079490000}"/>
    <cellStyle name="Remarque 2 2 7 4 7 2" xfId="34626" xr:uid="{00000000-0005-0000-0000-00007A490000}"/>
    <cellStyle name="Remarque 2 2 7 4 7 2 2" xfId="58586" xr:uid="{00000000-0005-0000-0000-00007B490000}"/>
    <cellStyle name="Remarque 2 2 7 4 7 3" xfId="21883" xr:uid="{00000000-0005-0000-0000-00007C490000}"/>
    <cellStyle name="Remarque 2 2 7 4 7 4" xfId="45843" xr:uid="{00000000-0005-0000-0000-00007D490000}"/>
    <cellStyle name="Remarque 2 2 7 4 8" xfId="12812" xr:uid="{00000000-0005-0000-0000-00007E490000}"/>
    <cellStyle name="Remarque 2 2 7 4 8 2" xfId="24123" xr:uid="{00000000-0005-0000-0000-00007F490000}"/>
    <cellStyle name="Remarque 2 2 7 4 8 3" xfId="48083" xr:uid="{00000000-0005-0000-0000-000080490000}"/>
    <cellStyle name="Remarque 2 2 7 4 9" xfId="2088" xr:uid="{00000000-0005-0000-0000-000081490000}"/>
    <cellStyle name="Remarque 2 2 7 4 9 2" xfId="26102" xr:uid="{00000000-0005-0000-0000-000082490000}"/>
    <cellStyle name="Remarque 2 2 7 4 9 3" xfId="50062" xr:uid="{00000000-0005-0000-0000-000083490000}"/>
    <cellStyle name="Remarque 2 2 7 5" xfId="846" xr:uid="{00000000-0005-0000-0000-000084490000}"/>
    <cellStyle name="Remarque 2 2 7 5 10" xfId="24878" xr:uid="{00000000-0005-0000-0000-000085490000}"/>
    <cellStyle name="Remarque 2 2 7 5 10 2" xfId="48838" xr:uid="{00000000-0005-0000-0000-000086490000}"/>
    <cellStyle name="Remarque 2 2 7 5 11" xfId="36217" xr:uid="{00000000-0005-0000-0000-000087490000}"/>
    <cellStyle name="Remarque 2 2 7 5 11 2" xfId="60177" xr:uid="{00000000-0005-0000-0000-000088490000}"/>
    <cellStyle name="Remarque 2 2 7 5 12" xfId="13543" xr:uid="{00000000-0005-0000-0000-000089490000}"/>
    <cellStyle name="Remarque 2 2 7 5 13" xfId="37503" xr:uid="{00000000-0005-0000-0000-00008A490000}"/>
    <cellStyle name="Remarque 2 2 7 5 2" xfId="3752" xr:uid="{00000000-0005-0000-0000-00008B490000}"/>
    <cellStyle name="Remarque 2 2 7 5 2 2" xfId="27766" xr:uid="{00000000-0005-0000-0000-00008C490000}"/>
    <cellStyle name="Remarque 2 2 7 5 2 2 2" xfId="51726" xr:uid="{00000000-0005-0000-0000-00008D490000}"/>
    <cellStyle name="Remarque 2 2 7 5 2 3" xfId="15013" xr:uid="{00000000-0005-0000-0000-00008E490000}"/>
    <cellStyle name="Remarque 2 2 7 5 2 4" xfId="38973" xr:uid="{00000000-0005-0000-0000-00008F490000}"/>
    <cellStyle name="Remarque 2 2 7 5 3" xfId="5186" xr:uid="{00000000-0005-0000-0000-000090490000}"/>
    <cellStyle name="Remarque 2 2 7 5 3 2" xfId="29200" xr:uid="{00000000-0005-0000-0000-000091490000}"/>
    <cellStyle name="Remarque 2 2 7 5 3 2 2" xfId="53160" xr:uid="{00000000-0005-0000-0000-000092490000}"/>
    <cellStyle name="Remarque 2 2 7 5 3 3" xfId="16447" xr:uid="{00000000-0005-0000-0000-000093490000}"/>
    <cellStyle name="Remarque 2 2 7 5 3 4" xfId="40407" xr:uid="{00000000-0005-0000-0000-000094490000}"/>
    <cellStyle name="Remarque 2 2 7 5 4" xfId="6580" xr:uid="{00000000-0005-0000-0000-000095490000}"/>
    <cellStyle name="Remarque 2 2 7 5 4 2" xfId="30594" xr:uid="{00000000-0005-0000-0000-000096490000}"/>
    <cellStyle name="Remarque 2 2 7 5 4 2 2" xfId="54554" xr:uid="{00000000-0005-0000-0000-000097490000}"/>
    <cellStyle name="Remarque 2 2 7 5 4 3" xfId="17841" xr:uid="{00000000-0005-0000-0000-000098490000}"/>
    <cellStyle name="Remarque 2 2 7 5 4 4" xfId="41801" xr:uid="{00000000-0005-0000-0000-000099490000}"/>
    <cellStyle name="Remarque 2 2 7 5 5" xfId="7968" xr:uid="{00000000-0005-0000-0000-00009A490000}"/>
    <cellStyle name="Remarque 2 2 7 5 5 2" xfId="31982" xr:uid="{00000000-0005-0000-0000-00009B490000}"/>
    <cellStyle name="Remarque 2 2 7 5 5 2 2" xfId="55942" xr:uid="{00000000-0005-0000-0000-00009C490000}"/>
    <cellStyle name="Remarque 2 2 7 5 5 3" xfId="19229" xr:uid="{00000000-0005-0000-0000-00009D490000}"/>
    <cellStyle name="Remarque 2 2 7 5 5 4" xfId="43189" xr:uid="{00000000-0005-0000-0000-00009E490000}"/>
    <cellStyle name="Remarque 2 2 7 5 6" xfId="9353" xr:uid="{00000000-0005-0000-0000-00009F490000}"/>
    <cellStyle name="Remarque 2 2 7 5 6 2" xfId="33367" xr:uid="{00000000-0005-0000-0000-0000A0490000}"/>
    <cellStyle name="Remarque 2 2 7 5 6 2 2" xfId="57327" xr:uid="{00000000-0005-0000-0000-0000A1490000}"/>
    <cellStyle name="Remarque 2 2 7 5 6 3" xfId="20614" xr:uid="{00000000-0005-0000-0000-0000A2490000}"/>
    <cellStyle name="Remarque 2 2 7 5 6 4" xfId="44574" xr:uid="{00000000-0005-0000-0000-0000A3490000}"/>
    <cellStyle name="Remarque 2 2 7 5 7" xfId="10810" xr:uid="{00000000-0005-0000-0000-0000A4490000}"/>
    <cellStyle name="Remarque 2 2 7 5 7 2" xfId="34820" xr:uid="{00000000-0005-0000-0000-0000A5490000}"/>
    <cellStyle name="Remarque 2 2 7 5 7 2 2" xfId="58780" xr:uid="{00000000-0005-0000-0000-0000A6490000}"/>
    <cellStyle name="Remarque 2 2 7 5 7 3" xfId="22077" xr:uid="{00000000-0005-0000-0000-0000A7490000}"/>
    <cellStyle name="Remarque 2 2 7 5 7 4" xfId="46037" xr:uid="{00000000-0005-0000-0000-0000A8490000}"/>
    <cellStyle name="Remarque 2 2 7 5 8" xfId="12548" xr:uid="{00000000-0005-0000-0000-0000A9490000}"/>
    <cellStyle name="Remarque 2 2 7 5 8 2" xfId="23847" xr:uid="{00000000-0005-0000-0000-0000AA490000}"/>
    <cellStyle name="Remarque 2 2 7 5 8 3" xfId="47807" xr:uid="{00000000-0005-0000-0000-0000AB490000}"/>
    <cellStyle name="Remarque 2 2 7 5 9" xfId="2282" xr:uid="{00000000-0005-0000-0000-0000AC490000}"/>
    <cellStyle name="Remarque 2 2 7 5 9 2" xfId="26296" xr:uid="{00000000-0005-0000-0000-0000AD490000}"/>
    <cellStyle name="Remarque 2 2 7 5 9 3" xfId="50256" xr:uid="{00000000-0005-0000-0000-0000AE490000}"/>
    <cellStyle name="Remarque 2 2 7 6" xfId="1039" xr:uid="{00000000-0005-0000-0000-0000AF490000}"/>
    <cellStyle name="Remarque 2 2 7 6 10" xfId="25071" xr:uid="{00000000-0005-0000-0000-0000B0490000}"/>
    <cellStyle name="Remarque 2 2 7 6 10 2" xfId="49031" xr:uid="{00000000-0005-0000-0000-0000B1490000}"/>
    <cellStyle name="Remarque 2 2 7 6 11" xfId="36490" xr:uid="{00000000-0005-0000-0000-0000B2490000}"/>
    <cellStyle name="Remarque 2 2 7 6 11 2" xfId="60450" xr:uid="{00000000-0005-0000-0000-0000B3490000}"/>
    <cellStyle name="Remarque 2 2 7 6 12" xfId="13736" xr:uid="{00000000-0005-0000-0000-0000B4490000}"/>
    <cellStyle name="Remarque 2 2 7 6 13" xfId="37696" xr:uid="{00000000-0005-0000-0000-0000B5490000}"/>
    <cellStyle name="Remarque 2 2 7 6 2" xfId="3945" xr:uid="{00000000-0005-0000-0000-0000B6490000}"/>
    <cellStyle name="Remarque 2 2 7 6 2 2" xfId="27959" xr:uid="{00000000-0005-0000-0000-0000B7490000}"/>
    <cellStyle name="Remarque 2 2 7 6 2 2 2" xfId="51919" xr:uid="{00000000-0005-0000-0000-0000B8490000}"/>
    <cellStyle name="Remarque 2 2 7 6 2 3" xfId="15206" xr:uid="{00000000-0005-0000-0000-0000B9490000}"/>
    <cellStyle name="Remarque 2 2 7 6 2 4" xfId="39166" xr:uid="{00000000-0005-0000-0000-0000BA490000}"/>
    <cellStyle name="Remarque 2 2 7 6 3" xfId="5379" xr:uid="{00000000-0005-0000-0000-0000BB490000}"/>
    <cellStyle name="Remarque 2 2 7 6 3 2" xfId="29393" xr:uid="{00000000-0005-0000-0000-0000BC490000}"/>
    <cellStyle name="Remarque 2 2 7 6 3 2 2" xfId="53353" xr:uid="{00000000-0005-0000-0000-0000BD490000}"/>
    <cellStyle name="Remarque 2 2 7 6 3 3" xfId="16640" xr:uid="{00000000-0005-0000-0000-0000BE490000}"/>
    <cellStyle name="Remarque 2 2 7 6 3 4" xfId="40600" xr:uid="{00000000-0005-0000-0000-0000BF490000}"/>
    <cellStyle name="Remarque 2 2 7 6 4" xfId="6773" xr:uid="{00000000-0005-0000-0000-0000C0490000}"/>
    <cellStyle name="Remarque 2 2 7 6 4 2" xfId="30787" xr:uid="{00000000-0005-0000-0000-0000C1490000}"/>
    <cellStyle name="Remarque 2 2 7 6 4 2 2" xfId="54747" xr:uid="{00000000-0005-0000-0000-0000C2490000}"/>
    <cellStyle name="Remarque 2 2 7 6 4 3" xfId="18034" xr:uid="{00000000-0005-0000-0000-0000C3490000}"/>
    <cellStyle name="Remarque 2 2 7 6 4 4" xfId="41994" xr:uid="{00000000-0005-0000-0000-0000C4490000}"/>
    <cellStyle name="Remarque 2 2 7 6 5" xfId="8161" xr:uid="{00000000-0005-0000-0000-0000C5490000}"/>
    <cellStyle name="Remarque 2 2 7 6 5 2" xfId="32175" xr:uid="{00000000-0005-0000-0000-0000C6490000}"/>
    <cellStyle name="Remarque 2 2 7 6 5 2 2" xfId="56135" xr:uid="{00000000-0005-0000-0000-0000C7490000}"/>
    <cellStyle name="Remarque 2 2 7 6 5 3" xfId="19422" xr:uid="{00000000-0005-0000-0000-0000C8490000}"/>
    <cellStyle name="Remarque 2 2 7 6 5 4" xfId="43382" xr:uid="{00000000-0005-0000-0000-0000C9490000}"/>
    <cellStyle name="Remarque 2 2 7 6 6" xfId="9546" xr:uid="{00000000-0005-0000-0000-0000CA490000}"/>
    <cellStyle name="Remarque 2 2 7 6 6 2" xfId="33560" xr:uid="{00000000-0005-0000-0000-0000CB490000}"/>
    <cellStyle name="Remarque 2 2 7 6 6 2 2" xfId="57520" xr:uid="{00000000-0005-0000-0000-0000CC490000}"/>
    <cellStyle name="Remarque 2 2 7 6 6 3" xfId="20807" xr:uid="{00000000-0005-0000-0000-0000CD490000}"/>
    <cellStyle name="Remarque 2 2 7 6 6 4" xfId="44767" xr:uid="{00000000-0005-0000-0000-0000CE490000}"/>
    <cellStyle name="Remarque 2 2 7 6 7" xfId="11003" xr:uid="{00000000-0005-0000-0000-0000CF490000}"/>
    <cellStyle name="Remarque 2 2 7 6 7 2" xfId="35013" xr:uid="{00000000-0005-0000-0000-0000D0490000}"/>
    <cellStyle name="Remarque 2 2 7 6 7 2 2" xfId="58973" xr:uid="{00000000-0005-0000-0000-0000D1490000}"/>
    <cellStyle name="Remarque 2 2 7 6 7 3" xfId="22270" xr:uid="{00000000-0005-0000-0000-0000D2490000}"/>
    <cellStyle name="Remarque 2 2 7 6 7 4" xfId="46230" xr:uid="{00000000-0005-0000-0000-0000D3490000}"/>
    <cellStyle name="Remarque 2 2 7 6 8" xfId="12280" xr:uid="{00000000-0005-0000-0000-0000D4490000}"/>
    <cellStyle name="Remarque 2 2 7 6 8 2" xfId="23567" xr:uid="{00000000-0005-0000-0000-0000D5490000}"/>
    <cellStyle name="Remarque 2 2 7 6 8 3" xfId="47527" xr:uid="{00000000-0005-0000-0000-0000D6490000}"/>
    <cellStyle name="Remarque 2 2 7 6 9" xfId="2475" xr:uid="{00000000-0005-0000-0000-0000D7490000}"/>
    <cellStyle name="Remarque 2 2 7 6 9 2" xfId="26489" xr:uid="{00000000-0005-0000-0000-0000D8490000}"/>
    <cellStyle name="Remarque 2 2 7 6 9 3" xfId="50449" xr:uid="{00000000-0005-0000-0000-0000D9490000}"/>
    <cellStyle name="Remarque 2 2 7 7" xfId="1375" xr:uid="{00000000-0005-0000-0000-0000DA490000}"/>
    <cellStyle name="Remarque 2 2 7 7 10" xfId="25407" xr:uid="{00000000-0005-0000-0000-0000DB490000}"/>
    <cellStyle name="Remarque 2 2 7 7 10 2" xfId="49367" xr:uid="{00000000-0005-0000-0000-0000DC490000}"/>
    <cellStyle name="Remarque 2 2 7 7 11" xfId="36748" xr:uid="{00000000-0005-0000-0000-0000DD490000}"/>
    <cellStyle name="Remarque 2 2 7 7 11 2" xfId="60708" xr:uid="{00000000-0005-0000-0000-0000DE490000}"/>
    <cellStyle name="Remarque 2 2 7 7 12" xfId="14072" xr:uid="{00000000-0005-0000-0000-0000DF490000}"/>
    <cellStyle name="Remarque 2 2 7 7 13" xfId="38032" xr:uid="{00000000-0005-0000-0000-0000E0490000}"/>
    <cellStyle name="Remarque 2 2 7 7 2" xfId="4281" xr:uid="{00000000-0005-0000-0000-0000E1490000}"/>
    <cellStyle name="Remarque 2 2 7 7 2 2" xfId="28295" xr:uid="{00000000-0005-0000-0000-0000E2490000}"/>
    <cellStyle name="Remarque 2 2 7 7 2 2 2" xfId="52255" xr:uid="{00000000-0005-0000-0000-0000E3490000}"/>
    <cellStyle name="Remarque 2 2 7 7 2 3" xfId="15542" xr:uid="{00000000-0005-0000-0000-0000E4490000}"/>
    <cellStyle name="Remarque 2 2 7 7 2 4" xfId="39502" xr:uid="{00000000-0005-0000-0000-0000E5490000}"/>
    <cellStyle name="Remarque 2 2 7 7 3" xfId="5715" xr:uid="{00000000-0005-0000-0000-0000E6490000}"/>
    <cellStyle name="Remarque 2 2 7 7 3 2" xfId="29729" xr:uid="{00000000-0005-0000-0000-0000E7490000}"/>
    <cellStyle name="Remarque 2 2 7 7 3 2 2" xfId="53689" xr:uid="{00000000-0005-0000-0000-0000E8490000}"/>
    <cellStyle name="Remarque 2 2 7 7 3 3" xfId="16976" xr:uid="{00000000-0005-0000-0000-0000E9490000}"/>
    <cellStyle name="Remarque 2 2 7 7 3 4" xfId="40936" xr:uid="{00000000-0005-0000-0000-0000EA490000}"/>
    <cellStyle name="Remarque 2 2 7 7 4" xfId="7109" xr:uid="{00000000-0005-0000-0000-0000EB490000}"/>
    <cellStyle name="Remarque 2 2 7 7 4 2" xfId="31123" xr:uid="{00000000-0005-0000-0000-0000EC490000}"/>
    <cellStyle name="Remarque 2 2 7 7 4 2 2" xfId="55083" xr:uid="{00000000-0005-0000-0000-0000ED490000}"/>
    <cellStyle name="Remarque 2 2 7 7 4 3" xfId="18370" xr:uid="{00000000-0005-0000-0000-0000EE490000}"/>
    <cellStyle name="Remarque 2 2 7 7 4 4" xfId="42330" xr:uid="{00000000-0005-0000-0000-0000EF490000}"/>
    <cellStyle name="Remarque 2 2 7 7 5" xfId="8497" xr:uid="{00000000-0005-0000-0000-0000F0490000}"/>
    <cellStyle name="Remarque 2 2 7 7 5 2" xfId="32511" xr:uid="{00000000-0005-0000-0000-0000F1490000}"/>
    <cellStyle name="Remarque 2 2 7 7 5 2 2" xfId="56471" xr:uid="{00000000-0005-0000-0000-0000F2490000}"/>
    <cellStyle name="Remarque 2 2 7 7 5 3" xfId="19758" xr:uid="{00000000-0005-0000-0000-0000F3490000}"/>
    <cellStyle name="Remarque 2 2 7 7 5 4" xfId="43718" xr:uid="{00000000-0005-0000-0000-0000F4490000}"/>
    <cellStyle name="Remarque 2 2 7 7 6" xfId="9882" xr:uid="{00000000-0005-0000-0000-0000F5490000}"/>
    <cellStyle name="Remarque 2 2 7 7 6 2" xfId="33896" xr:uid="{00000000-0005-0000-0000-0000F6490000}"/>
    <cellStyle name="Remarque 2 2 7 7 6 2 2" xfId="57856" xr:uid="{00000000-0005-0000-0000-0000F7490000}"/>
    <cellStyle name="Remarque 2 2 7 7 6 3" xfId="21143" xr:uid="{00000000-0005-0000-0000-0000F8490000}"/>
    <cellStyle name="Remarque 2 2 7 7 6 4" xfId="45103" xr:uid="{00000000-0005-0000-0000-0000F9490000}"/>
    <cellStyle name="Remarque 2 2 7 7 7" xfId="11339" xr:uid="{00000000-0005-0000-0000-0000FA490000}"/>
    <cellStyle name="Remarque 2 2 7 7 7 2" xfId="35349" xr:uid="{00000000-0005-0000-0000-0000FB490000}"/>
    <cellStyle name="Remarque 2 2 7 7 7 2 2" xfId="59309" xr:uid="{00000000-0005-0000-0000-0000FC490000}"/>
    <cellStyle name="Remarque 2 2 7 7 7 3" xfId="22606" xr:uid="{00000000-0005-0000-0000-0000FD490000}"/>
    <cellStyle name="Remarque 2 2 7 7 7 4" xfId="46566" xr:uid="{00000000-0005-0000-0000-0000FE490000}"/>
    <cellStyle name="Remarque 2 2 7 7 8" xfId="11984" xr:uid="{00000000-0005-0000-0000-0000FF490000}"/>
    <cellStyle name="Remarque 2 2 7 7 8 2" xfId="23262" xr:uid="{00000000-0005-0000-0000-0000004A0000}"/>
    <cellStyle name="Remarque 2 2 7 7 8 3" xfId="47222" xr:uid="{00000000-0005-0000-0000-0000014A0000}"/>
    <cellStyle name="Remarque 2 2 7 7 9" xfId="2811" xr:uid="{00000000-0005-0000-0000-0000024A0000}"/>
    <cellStyle name="Remarque 2 2 7 7 9 2" xfId="26825" xr:uid="{00000000-0005-0000-0000-0000034A0000}"/>
    <cellStyle name="Remarque 2 2 7 7 9 3" xfId="50785" xr:uid="{00000000-0005-0000-0000-0000044A0000}"/>
    <cellStyle name="Remarque 2 2 7 8" xfId="3131" xr:uid="{00000000-0005-0000-0000-0000054A0000}"/>
    <cellStyle name="Remarque 2 2 7 8 2" xfId="27145" xr:uid="{00000000-0005-0000-0000-0000064A0000}"/>
    <cellStyle name="Remarque 2 2 7 8 2 2" xfId="51105" xr:uid="{00000000-0005-0000-0000-0000074A0000}"/>
    <cellStyle name="Remarque 2 2 7 8 3" xfId="14392" xr:uid="{00000000-0005-0000-0000-0000084A0000}"/>
    <cellStyle name="Remarque 2 2 7 8 4" xfId="38352" xr:uid="{00000000-0005-0000-0000-0000094A0000}"/>
    <cellStyle name="Remarque 2 2 7 9" xfId="1661" xr:uid="{00000000-0005-0000-0000-00000A4A0000}"/>
    <cellStyle name="Remarque 2 2 7 9 2" xfId="25675" xr:uid="{00000000-0005-0000-0000-00000B4A0000}"/>
    <cellStyle name="Remarque 2 2 7 9 3" xfId="49635" xr:uid="{00000000-0005-0000-0000-00000C4A0000}"/>
    <cellStyle name="Remarque 2 2 8" xfId="119" xr:uid="{00000000-0005-0000-0000-00000D4A0000}"/>
    <cellStyle name="Remarque 2 2 8 10" xfId="6118" xr:uid="{00000000-0005-0000-0000-00000E4A0000}"/>
    <cellStyle name="Remarque 2 2 8 10 2" xfId="30132" xr:uid="{00000000-0005-0000-0000-00000F4A0000}"/>
    <cellStyle name="Remarque 2 2 8 10 2 2" xfId="54092" xr:uid="{00000000-0005-0000-0000-0000104A0000}"/>
    <cellStyle name="Remarque 2 2 8 10 3" xfId="17379" xr:uid="{00000000-0005-0000-0000-0000114A0000}"/>
    <cellStyle name="Remarque 2 2 8 10 4" xfId="41339" xr:uid="{00000000-0005-0000-0000-0000124A0000}"/>
    <cellStyle name="Remarque 2 2 8 11" xfId="7506" xr:uid="{00000000-0005-0000-0000-0000134A0000}"/>
    <cellStyle name="Remarque 2 2 8 11 2" xfId="31520" xr:uid="{00000000-0005-0000-0000-0000144A0000}"/>
    <cellStyle name="Remarque 2 2 8 11 2 2" xfId="55480" xr:uid="{00000000-0005-0000-0000-0000154A0000}"/>
    <cellStyle name="Remarque 2 2 8 11 3" xfId="18767" xr:uid="{00000000-0005-0000-0000-0000164A0000}"/>
    <cellStyle name="Remarque 2 2 8 11 4" xfId="42727" xr:uid="{00000000-0005-0000-0000-0000174A0000}"/>
    <cellStyle name="Remarque 2 2 8 12" xfId="8891" xr:uid="{00000000-0005-0000-0000-0000184A0000}"/>
    <cellStyle name="Remarque 2 2 8 12 2" xfId="32905" xr:uid="{00000000-0005-0000-0000-0000194A0000}"/>
    <cellStyle name="Remarque 2 2 8 12 2 2" xfId="56865" xr:uid="{00000000-0005-0000-0000-00001A4A0000}"/>
    <cellStyle name="Remarque 2 2 8 12 3" xfId="20152" xr:uid="{00000000-0005-0000-0000-00001B4A0000}"/>
    <cellStyle name="Remarque 2 2 8 12 4" xfId="44112" xr:uid="{00000000-0005-0000-0000-00001C4A0000}"/>
    <cellStyle name="Remarque 2 2 8 13" xfId="10348" xr:uid="{00000000-0005-0000-0000-00001D4A0000}"/>
    <cellStyle name="Remarque 2 2 8 13 2" xfId="34358" xr:uid="{00000000-0005-0000-0000-00001E4A0000}"/>
    <cellStyle name="Remarque 2 2 8 13 2 2" xfId="58318" xr:uid="{00000000-0005-0000-0000-00001F4A0000}"/>
    <cellStyle name="Remarque 2 2 8 13 3" xfId="21615" xr:uid="{00000000-0005-0000-0000-0000204A0000}"/>
    <cellStyle name="Remarque 2 2 8 13 4" xfId="45575" xr:uid="{00000000-0005-0000-0000-0000214A0000}"/>
    <cellStyle name="Remarque 2 2 8 14" xfId="11646" xr:uid="{00000000-0005-0000-0000-0000224A0000}"/>
    <cellStyle name="Remarque 2 2 8 14 2" xfId="22914" xr:uid="{00000000-0005-0000-0000-0000234A0000}"/>
    <cellStyle name="Remarque 2 2 8 14 3" xfId="46874" xr:uid="{00000000-0005-0000-0000-0000244A0000}"/>
    <cellStyle name="Remarque 2 2 8 15" xfId="1820" xr:uid="{00000000-0005-0000-0000-0000254A0000}"/>
    <cellStyle name="Remarque 2 2 8 15 2" xfId="25834" xr:uid="{00000000-0005-0000-0000-0000264A0000}"/>
    <cellStyle name="Remarque 2 2 8 15 3" xfId="49794" xr:uid="{00000000-0005-0000-0000-0000274A0000}"/>
    <cellStyle name="Remarque 2 2 8 16" xfId="24416" xr:uid="{00000000-0005-0000-0000-0000284A0000}"/>
    <cellStyle name="Remarque 2 2 8 16 2" xfId="48376" xr:uid="{00000000-0005-0000-0000-0000294A0000}"/>
    <cellStyle name="Remarque 2 2 8 17" xfId="36207" xr:uid="{00000000-0005-0000-0000-00002A4A0000}"/>
    <cellStyle name="Remarque 2 2 8 17 2" xfId="60167" xr:uid="{00000000-0005-0000-0000-00002B4A0000}"/>
    <cellStyle name="Remarque 2 2 8 18" xfId="13081" xr:uid="{00000000-0005-0000-0000-00002C4A0000}"/>
    <cellStyle name="Remarque 2 2 8 19" xfId="37041" xr:uid="{00000000-0005-0000-0000-00002D4A0000}"/>
    <cellStyle name="Remarque 2 2 8 2" xfId="520" xr:uid="{00000000-0005-0000-0000-00002E4A0000}"/>
    <cellStyle name="Remarque 2 2 8 2 10" xfId="24552" xr:uid="{00000000-0005-0000-0000-00002F4A0000}"/>
    <cellStyle name="Remarque 2 2 8 2 10 2" xfId="48512" xr:uid="{00000000-0005-0000-0000-0000304A0000}"/>
    <cellStyle name="Remarque 2 2 8 2 11" xfId="36561" xr:uid="{00000000-0005-0000-0000-0000314A0000}"/>
    <cellStyle name="Remarque 2 2 8 2 11 2" xfId="60521" xr:uid="{00000000-0005-0000-0000-0000324A0000}"/>
    <cellStyle name="Remarque 2 2 8 2 12" xfId="13217" xr:uid="{00000000-0005-0000-0000-0000334A0000}"/>
    <cellStyle name="Remarque 2 2 8 2 13" xfId="37177" xr:uid="{00000000-0005-0000-0000-0000344A0000}"/>
    <cellStyle name="Remarque 2 2 8 2 2" xfId="3426" xr:uid="{00000000-0005-0000-0000-0000354A0000}"/>
    <cellStyle name="Remarque 2 2 8 2 2 2" xfId="27440" xr:uid="{00000000-0005-0000-0000-0000364A0000}"/>
    <cellStyle name="Remarque 2 2 8 2 2 2 2" xfId="51400" xr:uid="{00000000-0005-0000-0000-0000374A0000}"/>
    <cellStyle name="Remarque 2 2 8 2 2 3" xfId="14687" xr:uid="{00000000-0005-0000-0000-0000384A0000}"/>
    <cellStyle name="Remarque 2 2 8 2 2 4" xfId="38647" xr:uid="{00000000-0005-0000-0000-0000394A0000}"/>
    <cellStyle name="Remarque 2 2 8 2 3" xfId="4860" xr:uid="{00000000-0005-0000-0000-00003A4A0000}"/>
    <cellStyle name="Remarque 2 2 8 2 3 2" xfId="28874" xr:uid="{00000000-0005-0000-0000-00003B4A0000}"/>
    <cellStyle name="Remarque 2 2 8 2 3 2 2" xfId="52834" xr:uid="{00000000-0005-0000-0000-00003C4A0000}"/>
    <cellStyle name="Remarque 2 2 8 2 3 3" xfId="16121" xr:uid="{00000000-0005-0000-0000-00003D4A0000}"/>
    <cellStyle name="Remarque 2 2 8 2 3 4" xfId="40081" xr:uid="{00000000-0005-0000-0000-00003E4A0000}"/>
    <cellStyle name="Remarque 2 2 8 2 4" xfId="6254" xr:uid="{00000000-0005-0000-0000-00003F4A0000}"/>
    <cellStyle name="Remarque 2 2 8 2 4 2" xfId="30268" xr:uid="{00000000-0005-0000-0000-0000404A0000}"/>
    <cellStyle name="Remarque 2 2 8 2 4 2 2" xfId="54228" xr:uid="{00000000-0005-0000-0000-0000414A0000}"/>
    <cellStyle name="Remarque 2 2 8 2 4 3" xfId="17515" xr:uid="{00000000-0005-0000-0000-0000424A0000}"/>
    <cellStyle name="Remarque 2 2 8 2 4 4" xfId="41475" xr:uid="{00000000-0005-0000-0000-0000434A0000}"/>
    <cellStyle name="Remarque 2 2 8 2 5" xfId="7642" xr:uid="{00000000-0005-0000-0000-0000444A0000}"/>
    <cellStyle name="Remarque 2 2 8 2 5 2" xfId="31656" xr:uid="{00000000-0005-0000-0000-0000454A0000}"/>
    <cellStyle name="Remarque 2 2 8 2 5 2 2" xfId="55616" xr:uid="{00000000-0005-0000-0000-0000464A0000}"/>
    <cellStyle name="Remarque 2 2 8 2 5 3" xfId="18903" xr:uid="{00000000-0005-0000-0000-0000474A0000}"/>
    <cellStyle name="Remarque 2 2 8 2 5 4" xfId="42863" xr:uid="{00000000-0005-0000-0000-0000484A0000}"/>
    <cellStyle name="Remarque 2 2 8 2 6" xfId="9027" xr:uid="{00000000-0005-0000-0000-0000494A0000}"/>
    <cellStyle name="Remarque 2 2 8 2 6 2" xfId="33041" xr:uid="{00000000-0005-0000-0000-00004A4A0000}"/>
    <cellStyle name="Remarque 2 2 8 2 6 2 2" xfId="57001" xr:uid="{00000000-0005-0000-0000-00004B4A0000}"/>
    <cellStyle name="Remarque 2 2 8 2 6 3" xfId="20288" xr:uid="{00000000-0005-0000-0000-00004C4A0000}"/>
    <cellStyle name="Remarque 2 2 8 2 6 4" xfId="44248" xr:uid="{00000000-0005-0000-0000-00004D4A0000}"/>
    <cellStyle name="Remarque 2 2 8 2 7" xfId="10484" xr:uid="{00000000-0005-0000-0000-00004E4A0000}"/>
    <cellStyle name="Remarque 2 2 8 2 7 2" xfId="34494" xr:uid="{00000000-0005-0000-0000-00004F4A0000}"/>
    <cellStyle name="Remarque 2 2 8 2 7 2 2" xfId="58454" xr:uid="{00000000-0005-0000-0000-0000504A0000}"/>
    <cellStyle name="Remarque 2 2 8 2 7 3" xfId="21751" xr:uid="{00000000-0005-0000-0000-0000514A0000}"/>
    <cellStyle name="Remarque 2 2 8 2 7 4" xfId="45711" xr:uid="{00000000-0005-0000-0000-0000524A0000}"/>
    <cellStyle name="Remarque 2 2 8 2 8" xfId="12385" xr:uid="{00000000-0005-0000-0000-0000534A0000}"/>
    <cellStyle name="Remarque 2 2 8 2 8 2" xfId="23674" xr:uid="{00000000-0005-0000-0000-0000544A0000}"/>
    <cellStyle name="Remarque 2 2 8 2 8 3" xfId="47634" xr:uid="{00000000-0005-0000-0000-0000554A0000}"/>
    <cellStyle name="Remarque 2 2 8 2 9" xfId="1956" xr:uid="{00000000-0005-0000-0000-0000564A0000}"/>
    <cellStyle name="Remarque 2 2 8 2 9 2" xfId="25970" xr:uid="{00000000-0005-0000-0000-0000574A0000}"/>
    <cellStyle name="Remarque 2 2 8 2 9 3" xfId="49930" xr:uid="{00000000-0005-0000-0000-0000584A0000}"/>
    <cellStyle name="Remarque 2 2 8 20" xfId="384" xr:uid="{00000000-0005-0000-0000-0000594A0000}"/>
    <cellStyle name="Remarque 2 2 8 3" xfId="712" xr:uid="{00000000-0005-0000-0000-00005A4A0000}"/>
    <cellStyle name="Remarque 2 2 8 3 10" xfId="24744" xr:uid="{00000000-0005-0000-0000-00005B4A0000}"/>
    <cellStyle name="Remarque 2 2 8 3 10 2" xfId="48704" xr:uid="{00000000-0005-0000-0000-00005C4A0000}"/>
    <cellStyle name="Remarque 2 2 8 3 11" xfId="35796" xr:uid="{00000000-0005-0000-0000-00005D4A0000}"/>
    <cellStyle name="Remarque 2 2 8 3 11 2" xfId="59756" xr:uid="{00000000-0005-0000-0000-00005E4A0000}"/>
    <cellStyle name="Remarque 2 2 8 3 12" xfId="13409" xr:uid="{00000000-0005-0000-0000-00005F4A0000}"/>
    <cellStyle name="Remarque 2 2 8 3 13" xfId="37369" xr:uid="{00000000-0005-0000-0000-0000604A0000}"/>
    <cellStyle name="Remarque 2 2 8 3 2" xfId="3618" xr:uid="{00000000-0005-0000-0000-0000614A0000}"/>
    <cellStyle name="Remarque 2 2 8 3 2 2" xfId="27632" xr:uid="{00000000-0005-0000-0000-0000624A0000}"/>
    <cellStyle name="Remarque 2 2 8 3 2 2 2" xfId="51592" xr:uid="{00000000-0005-0000-0000-0000634A0000}"/>
    <cellStyle name="Remarque 2 2 8 3 2 3" xfId="14879" xr:uid="{00000000-0005-0000-0000-0000644A0000}"/>
    <cellStyle name="Remarque 2 2 8 3 2 4" xfId="38839" xr:uid="{00000000-0005-0000-0000-0000654A0000}"/>
    <cellStyle name="Remarque 2 2 8 3 3" xfId="5052" xr:uid="{00000000-0005-0000-0000-0000664A0000}"/>
    <cellStyle name="Remarque 2 2 8 3 3 2" xfId="29066" xr:uid="{00000000-0005-0000-0000-0000674A0000}"/>
    <cellStyle name="Remarque 2 2 8 3 3 2 2" xfId="53026" xr:uid="{00000000-0005-0000-0000-0000684A0000}"/>
    <cellStyle name="Remarque 2 2 8 3 3 3" xfId="16313" xr:uid="{00000000-0005-0000-0000-0000694A0000}"/>
    <cellStyle name="Remarque 2 2 8 3 3 4" xfId="40273" xr:uid="{00000000-0005-0000-0000-00006A4A0000}"/>
    <cellStyle name="Remarque 2 2 8 3 4" xfId="6446" xr:uid="{00000000-0005-0000-0000-00006B4A0000}"/>
    <cellStyle name="Remarque 2 2 8 3 4 2" xfId="30460" xr:uid="{00000000-0005-0000-0000-00006C4A0000}"/>
    <cellStyle name="Remarque 2 2 8 3 4 2 2" xfId="54420" xr:uid="{00000000-0005-0000-0000-00006D4A0000}"/>
    <cellStyle name="Remarque 2 2 8 3 4 3" xfId="17707" xr:uid="{00000000-0005-0000-0000-00006E4A0000}"/>
    <cellStyle name="Remarque 2 2 8 3 4 4" xfId="41667" xr:uid="{00000000-0005-0000-0000-00006F4A0000}"/>
    <cellStyle name="Remarque 2 2 8 3 5" xfId="7834" xr:uid="{00000000-0005-0000-0000-0000704A0000}"/>
    <cellStyle name="Remarque 2 2 8 3 5 2" xfId="31848" xr:uid="{00000000-0005-0000-0000-0000714A0000}"/>
    <cellStyle name="Remarque 2 2 8 3 5 2 2" xfId="55808" xr:uid="{00000000-0005-0000-0000-0000724A0000}"/>
    <cellStyle name="Remarque 2 2 8 3 5 3" xfId="19095" xr:uid="{00000000-0005-0000-0000-0000734A0000}"/>
    <cellStyle name="Remarque 2 2 8 3 5 4" xfId="43055" xr:uid="{00000000-0005-0000-0000-0000744A0000}"/>
    <cellStyle name="Remarque 2 2 8 3 6" xfId="9219" xr:uid="{00000000-0005-0000-0000-0000754A0000}"/>
    <cellStyle name="Remarque 2 2 8 3 6 2" xfId="33233" xr:uid="{00000000-0005-0000-0000-0000764A0000}"/>
    <cellStyle name="Remarque 2 2 8 3 6 2 2" xfId="57193" xr:uid="{00000000-0005-0000-0000-0000774A0000}"/>
    <cellStyle name="Remarque 2 2 8 3 6 3" xfId="20480" xr:uid="{00000000-0005-0000-0000-0000784A0000}"/>
    <cellStyle name="Remarque 2 2 8 3 6 4" xfId="44440" xr:uid="{00000000-0005-0000-0000-0000794A0000}"/>
    <cellStyle name="Remarque 2 2 8 3 7" xfId="10676" xr:uid="{00000000-0005-0000-0000-00007A4A0000}"/>
    <cellStyle name="Remarque 2 2 8 3 7 2" xfId="34686" xr:uid="{00000000-0005-0000-0000-00007B4A0000}"/>
    <cellStyle name="Remarque 2 2 8 3 7 2 2" xfId="58646" xr:uid="{00000000-0005-0000-0000-00007C4A0000}"/>
    <cellStyle name="Remarque 2 2 8 3 7 3" xfId="21943" xr:uid="{00000000-0005-0000-0000-00007D4A0000}"/>
    <cellStyle name="Remarque 2 2 8 3 7 4" xfId="45903" xr:uid="{00000000-0005-0000-0000-00007E4A0000}"/>
    <cellStyle name="Remarque 2 2 8 3 8" xfId="12821" xr:uid="{00000000-0005-0000-0000-00007F4A0000}"/>
    <cellStyle name="Remarque 2 2 8 3 8 2" xfId="24132" xr:uid="{00000000-0005-0000-0000-0000804A0000}"/>
    <cellStyle name="Remarque 2 2 8 3 8 3" xfId="48092" xr:uid="{00000000-0005-0000-0000-0000814A0000}"/>
    <cellStyle name="Remarque 2 2 8 3 9" xfId="2148" xr:uid="{00000000-0005-0000-0000-0000824A0000}"/>
    <cellStyle name="Remarque 2 2 8 3 9 2" xfId="26162" xr:uid="{00000000-0005-0000-0000-0000834A0000}"/>
    <cellStyle name="Remarque 2 2 8 3 9 3" xfId="50122" xr:uid="{00000000-0005-0000-0000-0000844A0000}"/>
    <cellStyle name="Remarque 2 2 8 4" xfId="906" xr:uid="{00000000-0005-0000-0000-0000854A0000}"/>
    <cellStyle name="Remarque 2 2 8 4 10" xfId="24938" xr:uid="{00000000-0005-0000-0000-0000864A0000}"/>
    <cellStyle name="Remarque 2 2 8 4 10 2" xfId="48898" xr:uid="{00000000-0005-0000-0000-0000874A0000}"/>
    <cellStyle name="Remarque 2 2 8 4 11" xfId="36768" xr:uid="{00000000-0005-0000-0000-0000884A0000}"/>
    <cellStyle name="Remarque 2 2 8 4 11 2" xfId="60728" xr:uid="{00000000-0005-0000-0000-0000894A0000}"/>
    <cellStyle name="Remarque 2 2 8 4 12" xfId="13603" xr:uid="{00000000-0005-0000-0000-00008A4A0000}"/>
    <cellStyle name="Remarque 2 2 8 4 13" xfId="37563" xr:uid="{00000000-0005-0000-0000-00008B4A0000}"/>
    <cellStyle name="Remarque 2 2 8 4 2" xfId="3812" xr:uid="{00000000-0005-0000-0000-00008C4A0000}"/>
    <cellStyle name="Remarque 2 2 8 4 2 2" xfId="27826" xr:uid="{00000000-0005-0000-0000-00008D4A0000}"/>
    <cellStyle name="Remarque 2 2 8 4 2 2 2" xfId="51786" xr:uid="{00000000-0005-0000-0000-00008E4A0000}"/>
    <cellStyle name="Remarque 2 2 8 4 2 3" xfId="15073" xr:uid="{00000000-0005-0000-0000-00008F4A0000}"/>
    <cellStyle name="Remarque 2 2 8 4 2 4" xfId="39033" xr:uid="{00000000-0005-0000-0000-0000904A0000}"/>
    <cellStyle name="Remarque 2 2 8 4 3" xfId="5246" xr:uid="{00000000-0005-0000-0000-0000914A0000}"/>
    <cellStyle name="Remarque 2 2 8 4 3 2" xfId="29260" xr:uid="{00000000-0005-0000-0000-0000924A0000}"/>
    <cellStyle name="Remarque 2 2 8 4 3 2 2" xfId="53220" xr:uid="{00000000-0005-0000-0000-0000934A0000}"/>
    <cellStyle name="Remarque 2 2 8 4 3 3" xfId="16507" xr:uid="{00000000-0005-0000-0000-0000944A0000}"/>
    <cellStyle name="Remarque 2 2 8 4 3 4" xfId="40467" xr:uid="{00000000-0005-0000-0000-0000954A0000}"/>
    <cellStyle name="Remarque 2 2 8 4 4" xfId="6640" xr:uid="{00000000-0005-0000-0000-0000964A0000}"/>
    <cellStyle name="Remarque 2 2 8 4 4 2" xfId="30654" xr:uid="{00000000-0005-0000-0000-0000974A0000}"/>
    <cellStyle name="Remarque 2 2 8 4 4 2 2" xfId="54614" xr:uid="{00000000-0005-0000-0000-0000984A0000}"/>
    <cellStyle name="Remarque 2 2 8 4 4 3" xfId="17901" xr:uid="{00000000-0005-0000-0000-0000994A0000}"/>
    <cellStyle name="Remarque 2 2 8 4 4 4" xfId="41861" xr:uid="{00000000-0005-0000-0000-00009A4A0000}"/>
    <cellStyle name="Remarque 2 2 8 4 5" xfId="8028" xr:uid="{00000000-0005-0000-0000-00009B4A0000}"/>
    <cellStyle name="Remarque 2 2 8 4 5 2" xfId="32042" xr:uid="{00000000-0005-0000-0000-00009C4A0000}"/>
    <cellStyle name="Remarque 2 2 8 4 5 2 2" xfId="56002" xr:uid="{00000000-0005-0000-0000-00009D4A0000}"/>
    <cellStyle name="Remarque 2 2 8 4 5 3" xfId="19289" xr:uid="{00000000-0005-0000-0000-00009E4A0000}"/>
    <cellStyle name="Remarque 2 2 8 4 5 4" xfId="43249" xr:uid="{00000000-0005-0000-0000-00009F4A0000}"/>
    <cellStyle name="Remarque 2 2 8 4 6" xfId="9413" xr:uid="{00000000-0005-0000-0000-0000A04A0000}"/>
    <cellStyle name="Remarque 2 2 8 4 6 2" xfId="33427" xr:uid="{00000000-0005-0000-0000-0000A14A0000}"/>
    <cellStyle name="Remarque 2 2 8 4 6 2 2" xfId="57387" xr:uid="{00000000-0005-0000-0000-0000A24A0000}"/>
    <cellStyle name="Remarque 2 2 8 4 6 3" xfId="20674" xr:uid="{00000000-0005-0000-0000-0000A34A0000}"/>
    <cellStyle name="Remarque 2 2 8 4 6 4" xfId="44634" xr:uid="{00000000-0005-0000-0000-0000A44A0000}"/>
    <cellStyle name="Remarque 2 2 8 4 7" xfId="10870" xr:uid="{00000000-0005-0000-0000-0000A54A0000}"/>
    <cellStyle name="Remarque 2 2 8 4 7 2" xfId="34880" xr:uid="{00000000-0005-0000-0000-0000A64A0000}"/>
    <cellStyle name="Remarque 2 2 8 4 7 2 2" xfId="58840" xr:uid="{00000000-0005-0000-0000-0000A74A0000}"/>
    <cellStyle name="Remarque 2 2 8 4 7 3" xfId="22137" xr:uid="{00000000-0005-0000-0000-0000A84A0000}"/>
    <cellStyle name="Remarque 2 2 8 4 7 4" xfId="46097" xr:uid="{00000000-0005-0000-0000-0000A94A0000}"/>
    <cellStyle name="Remarque 2 2 8 4 8" xfId="11930" xr:uid="{00000000-0005-0000-0000-0000AA4A0000}"/>
    <cellStyle name="Remarque 2 2 8 4 8 2" xfId="23208" xr:uid="{00000000-0005-0000-0000-0000AB4A0000}"/>
    <cellStyle name="Remarque 2 2 8 4 8 3" xfId="47168" xr:uid="{00000000-0005-0000-0000-0000AC4A0000}"/>
    <cellStyle name="Remarque 2 2 8 4 9" xfId="2342" xr:uid="{00000000-0005-0000-0000-0000AD4A0000}"/>
    <cellStyle name="Remarque 2 2 8 4 9 2" xfId="26356" xr:uid="{00000000-0005-0000-0000-0000AE4A0000}"/>
    <cellStyle name="Remarque 2 2 8 4 9 3" xfId="50316" xr:uid="{00000000-0005-0000-0000-0000AF4A0000}"/>
    <cellStyle name="Remarque 2 2 8 5" xfId="1099" xr:uid="{00000000-0005-0000-0000-0000B04A0000}"/>
    <cellStyle name="Remarque 2 2 8 5 10" xfId="25131" xr:uid="{00000000-0005-0000-0000-0000B14A0000}"/>
    <cellStyle name="Remarque 2 2 8 5 10 2" xfId="49091" xr:uid="{00000000-0005-0000-0000-0000B24A0000}"/>
    <cellStyle name="Remarque 2 2 8 5 11" xfId="36586" xr:uid="{00000000-0005-0000-0000-0000B34A0000}"/>
    <cellStyle name="Remarque 2 2 8 5 11 2" xfId="60546" xr:uid="{00000000-0005-0000-0000-0000B44A0000}"/>
    <cellStyle name="Remarque 2 2 8 5 12" xfId="13796" xr:uid="{00000000-0005-0000-0000-0000B54A0000}"/>
    <cellStyle name="Remarque 2 2 8 5 13" xfId="37756" xr:uid="{00000000-0005-0000-0000-0000B64A0000}"/>
    <cellStyle name="Remarque 2 2 8 5 2" xfId="4005" xr:uid="{00000000-0005-0000-0000-0000B74A0000}"/>
    <cellStyle name="Remarque 2 2 8 5 2 2" xfId="28019" xr:uid="{00000000-0005-0000-0000-0000B84A0000}"/>
    <cellStyle name="Remarque 2 2 8 5 2 2 2" xfId="51979" xr:uid="{00000000-0005-0000-0000-0000B94A0000}"/>
    <cellStyle name="Remarque 2 2 8 5 2 3" xfId="15266" xr:uid="{00000000-0005-0000-0000-0000BA4A0000}"/>
    <cellStyle name="Remarque 2 2 8 5 2 4" xfId="39226" xr:uid="{00000000-0005-0000-0000-0000BB4A0000}"/>
    <cellStyle name="Remarque 2 2 8 5 3" xfId="5439" xr:uid="{00000000-0005-0000-0000-0000BC4A0000}"/>
    <cellStyle name="Remarque 2 2 8 5 3 2" xfId="29453" xr:uid="{00000000-0005-0000-0000-0000BD4A0000}"/>
    <cellStyle name="Remarque 2 2 8 5 3 2 2" xfId="53413" xr:uid="{00000000-0005-0000-0000-0000BE4A0000}"/>
    <cellStyle name="Remarque 2 2 8 5 3 3" xfId="16700" xr:uid="{00000000-0005-0000-0000-0000BF4A0000}"/>
    <cellStyle name="Remarque 2 2 8 5 3 4" xfId="40660" xr:uid="{00000000-0005-0000-0000-0000C04A0000}"/>
    <cellStyle name="Remarque 2 2 8 5 4" xfId="6833" xr:uid="{00000000-0005-0000-0000-0000C14A0000}"/>
    <cellStyle name="Remarque 2 2 8 5 4 2" xfId="30847" xr:uid="{00000000-0005-0000-0000-0000C24A0000}"/>
    <cellStyle name="Remarque 2 2 8 5 4 2 2" xfId="54807" xr:uid="{00000000-0005-0000-0000-0000C34A0000}"/>
    <cellStyle name="Remarque 2 2 8 5 4 3" xfId="18094" xr:uid="{00000000-0005-0000-0000-0000C44A0000}"/>
    <cellStyle name="Remarque 2 2 8 5 4 4" xfId="42054" xr:uid="{00000000-0005-0000-0000-0000C54A0000}"/>
    <cellStyle name="Remarque 2 2 8 5 5" xfId="8221" xr:uid="{00000000-0005-0000-0000-0000C64A0000}"/>
    <cellStyle name="Remarque 2 2 8 5 5 2" xfId="32235" xr:uid="{00000000-0005-0000-0000-0000C74A0000}"/>
    <cellStyle name="Remarque 2 2 8 5 5 2 2" xfId="56195" xr:uid="{00000000-0005-0000-0000-0000C84A0000}"/>
    <cellStyle name="Remarque 2 2 8 5 5 3" xfId="19482" xr:uid="{00000000-0005-0000-0000-0000C94A0000}"/>
    <cellStyle name="Remarque 2 2 8 5 5 4" xfId="43442" xr:uid="{00000000-0005-0000-0000-0000CA4A0000}"/>
    <cellStyle name="Remarque 2 2 8 5 6" xfId="9606" xr:uid="{00000000-0005-0000-0000-0000CB4A0000}"/>
    <cellStyle name="Remarque 2 2 8 5 6 2" xfId="33620" xr:uid="{00000000-0005-0000-0000-0000CC4A0000}"/>
    <cellStyle name="Remarque 2 2 8 5 6 2 2" xfId="57580" xr:uid="{00000000-0005-0000-0000-0000CD4A0000}"/>
    <cellStyle name="Remarque 2 2 8 5 6 3" xfId="20867" xr:uid="{00000000-0005-0000-0000-0000CE4A0000}"/>
    <cellStyle name="Remarque 2 2 8 5 6 4" xfId="44827" xr:uid="{00000000-0005-0000-0000-0000CF4A0000}"/>
    <cellStyle name="Remarque 2 2 8 5 7" xfId="11063" xr:uid="{00000000-0005-0000-0000-0000D04A0000}"/>
    <cellStyle name="Remarque 2 2 8 5 7 2" xfId="35073" xr:uid="{00000000-0005-0000-0000-0000D14A0000}"/>
    <cellStyle name="Remarque 2 2 8 5 7 2 2" xfId="59033" xr:uid="{00000000-0005-0000-0000-0000D24A0000}"/>
    <cellStyle name="Remarque 2 2 8 5 7 3" xfId="22330" xr:uid="{00000000-0005-0000-0000-0000D34A0000}"/>
    <cellStyle name="Remarque 2 2 8 5 7 4" xfId="46290" xr:uid="{00000000-0005-0000-0000-0000D44A0000}"/>
    <cellStyle name="Remarque 2 2 8 5 8" xfId="11851" xr:uid="{00000000-0005-0000-0000-0000D54A0000}"/>
    <cellStyle name="Remarque 2 2 8 5 8 2" xfId="23127" xr:uid="{00000000-0005-0000-0000-0000D64A0000}"/>
    <cellStyle name="Remarque 2 2 8 5 8 3" xfId="47087" xr:uid="{00000000-0005-0000-0000-0000D74A0000}"/>
    <cellStyle name="Remarque 2 2 8 5 9" xfId="2535" xr:uid="{00000000-0005-0000-0000-0000D84A0000}"/>
    <cellStyle name="Remarque 2 2 8 5 9 2" xfId="26549" xr:uid="{00000000-0005-0000-0000-0000D94A0000}"/>
    <cellStyle name="Remarque 2 2 8 5 9 3" xfId="50509" xr:uid="{00000000-0005-0000-0000-0000DA4A0000}"/>
    <cellStyle name="Remarque 2 2 8 6" xfId="1266" xr:uid="{00000000-0005-0000-0000-0000DB4A0000}"/>
    <cellStyle name="Remarque 2 2 8 6 10" xfId="25298" xr:uid="{00000000-0005-0000-0000-0000DC4A0000}"/>
    <cellStyle name="Remarque 2 2 8 6 10 2" xfId="49258" xr:uid="{00000000-0005-0000-0000-0000DD4A0000}"/>
    <cellStyle name="Remarque 2 2 8 6 11" xfId="36282" xr:uid="{00000000-0005-0000-0000-0000DE4A0000}"/>
    <cellStyle name="Remarque 2 2 8 6 11 2" xfId="60242" xr:uid="{00000000-0005-0000-0000-0000DF4A0000}"/>
    <cellStyle name="Remarque 2 2 8 6 12" xfId="13963" xr:uid="{00000000-0005-0000-0000-0000E04A0000}"/>
    <cellStyle name="Remarque 2 2 8 6 13" xfId="37923" xr:uid="{00000000-0005-0000-0000-0000E14A0000}"/>
    <cellStyle name="Remarque 2 2 8 6 2" xfId="4172" xr:uid="{00000000-0005-0000-0000-0000E24A0000}"/>
    <cellStyle name="Remarque 2 2 8 6 2 2" xfId="28186" xr:uid="{00000000-0005-0000-0000-0000E34A0000}"/>
    <cellStyle name="Remarque 2 2 8 6 2 2 2" xfId="52146" xr:uid="{00000000-0005-0000-0000-0000E44A0000}"/>
    <cellStyle name="Remarque 2 2 8 6 2 3" xfId="15433" xr:uid="{00000000-0005-0000-0000-0000E54A0000}"/>
    <cellStyle name="Remarque 2 2 8 6 2 4" xfId="39393" xr:uid="{00000000-0005-0000-0000-0000E64A0000}"/>
    <cellStyle name="Remarque 2 2 8 6 3" xfId="5606" xr:uid="{00000000-0005-0000-0000-0000E74A0000}"/>
    <cellStyle name="Remarque 2 2 8 6 3 2" xfId="29620" xr:uid="{00000000-0005-0000-0000-0000E84A0000}"/>
    <cellStyle name="Remarque 2 2 8 6 3 2 2" xfId="53580" xr:uid="{00000000-0005-0000-0000-0000E94A0000}"/>
    <cellStyle name="Remarque 2 2 8 6 3 3" xfId="16867" xr:uid="{00000000-0005-0000-0000-0000EA4A0000}"/>
    <cellStyle name="Remarque 2 2 8 6 3 4" xfId="40827" xr:uid="{00000000-0005-0000-0000-0000EB4A0000}"/>
    <cellStyle name="Remarque 2 2 8 6 4" xfId="7000" xr:uid="{00000000-0005-0000-0000-0000EC4A0000}"/>
    <cellStyle name="Remarque 2 2 8 6 4 2" xfId="31014" xr:uid="{00000000-0005-0000-0000-0000ED4A0000}"/>
    <cellStyle name="Remarque 2 2 8 6 4 2 2" xfId="54974" xr:uid="{00000000-0005-0000-0000-0000EE4A0000}"/>
    <cellStyle name="Remarque 2 2 8 6 4 3" xfId="18261" xr:uid="{00000000-0005-0000-0000-0000EF4A0000}"/>
    <cellStyle name="Remarque 2 2 8 6 4 4" xfId="42221" xr:uid="{00000000-0005-0000-0000-0000F04A0000}"/>
    <cellStyle name="Remarque 2 2 8 6 5" xfId="8388" xr:uid="{00000000-0005-0000-0000-0000F14A0000}"/>
    <cellStyle name="Remarque 2 2 8 6 5 2" xfId="32402" xr:uid="{00000000-0005-0000-0000-0000F24A0000}"/>
    <cellStyle name="Remarque 2 2 8 6 5 2 2" xfId="56362" xr:uid="{00000000-0005-0000-0000-0000F34A0000}"/>
    <cellStyle name="Remarque 2 2 8 6 5 3" xfId="19649" xr:uid="{00000000-0005-0000-0000-0000F44A0000}"/>
    <cellStyle name="Remarque 2 2 8 6 5 4" xfId="43609" xr:uid="{00000000-0005-0000-0000-0000F54A0000}"/>
    <cellStyle name="Remarque 2 2 8 6 6" xfId="9773" xr:uid="{00000000-0005-0000-0000-0000F64A0000}"/>
    <cellStyle name="Remarque 2 2 8 6 6 2" xfId="33787" xr:uid="{00000000-0005-0000-0000-0000F74A0000}"/>
    <cellStyle name="Remarque 2 2 8 6 6 2 2" xfId="57747" xr:uid="{00000000-0005-0000-0000-0000F84A0000}"/>
    <cellStyle name="Remarque 2 2 8 6 6 3" xfId="21034" xr:uid="{00000000-0005-0000-0000-0000F94A0000}"/>
    <cellStyle name="Remarque 2 2 8 6 6 4" xfId="44994" xr:uid="{00000000-0005-0000-0000-0000FA4A0000}"/>
    <cellStyle name="Remarque 2 2 8 6 7" xfId="11230" xr:uid="{00000000-0005-0000-0000-0000FB4A0000}"/>
    <cellStyle name="Remarque 2 2 8 6 7 2" xfId="35240" xr:uid="{00000000-0005-0000-0000-0000FC4A0000}"/>
    <cellStyle name="Remarque 2 2 8 6 7 2 2" xfId="59200" xr:uid="{00000000-0005-0000-0000-0000FD4A0000}"/>
    <cellStyle name="Remarque 2 2 8 6 7 3" xfId="22497" xr:uid="{00000000-0005-0000-0000-0000FE4A0000}"/>
    <cellStyle name="Remarque 2 2 8 6 7 4" xfId="46457" xr:uid="{00000000-0005-0000-0000-0000FF4A0000}"/>
    <cellStyle name="Remarque 2 2 8 6 8" xfId="12045" xr:uid="{00000000-0005-0000-0000-0000004B0000}"/>
    <cellStyle name="Remarque 2 2 8 6 8 2" xfId="23325" xr:uid="{00000000-0005-0000-0000-0000014B0000}"/>
    <cellStyle name="Remarque 2 2 8 6 8 3" xfId="47285" xr:uid="{00000000-0005-0000-0000-0000024B0000}"/>
    <cellStyle name="Remarque 2 2 8 6 9" xfId="2702" xr:uid="{00000000-0005-0000-0000-0000034B0000}"/>
    <cellStyle name="Remarque 2 2 8 6 9 2" xfId="26716" xr:uid="{00000000-0005-0000-0000-0000044B0000}"/>
    <cellStyle name="Remarque 2 2 8 6 9 3" xfId="50676" xr:uid="{00000000-0005-0000-0000-0000054B0000}"/>
    <cellStyle name="Remarque 2 2 8 7" xfId="1435" xr:uid="{00000000-0005-0000-0000-0000064B0000}"/>
    <cellStyle name="Remarque 2 2 8 7 10" xfId="25467" xr:uid="{00000000-0005-0000-0000-0000074B0000}"/>
    <cellStyle name="Remarque 2 2 8 7 10 2" xfId="49427" xr:uid="{00000000-0005-0000-0000-0000084B0000}"/>
    <cellStyle name="Remarque 2 2 8 7 11" xfId="36238" xr:uid="{00000000-0005-0000-0000-0000094B0000}"/>
    <cellStyle name="Remarque 2 2 8 7 11 2" xfId="60198" xr:uid="{00000000-0005-0000-0000-00000A4B0000}"/>
    <cellStyle name="Remarque 2 2 8 7 12" xfId="14132" xr:uid="{00000000-0005-0000-0000-00000B4B0000}"/>
    <cellStyle name="Remarque 2 2 8 7 13" xfId="38092" xr:uid="{00000000-0005-0000-0000-00000C4B0000}"/>
    <cellStyle name="Remarque 2 2 8 7 2" xfId="4341" xr:uid="{00000000-0005-0000-0000-00000D4B0000}"/>
    <cellStyle name="Remarque 2 2 8 7 2 2" xfId="28355" xr:uid="{00000000-0005-0000-0000-00000E4B0000}"/>
    <cellStyle name="Remarque 2 2 8 7 2 2 2" xfId="52315" xr:uid="{00000000-0005-0000-0000-00000F4B0000}"/>
    <cellStyle name="Remarque 2 2 8 7 2 3" xfId="15602" xr:uid="{00000000-0005-0000-0000-0000104B0000}"/>
    <cellStyle name="Remarque 2 2 8 7 2 4" xfId="39562" xr:uid="{00000000-0005-0000-0000-0000114B0000}"/>
    <cellStyle name="Remarque 2 2 8 7 3" xfId="5775" xr:uid="{00000000-0005-0000-0000-0000124B0000}"/>
    <cellStyle name="Remarque 2 2 8 7 3 2" xfId="29789" xr:uid="{00000000-0005-0000-0000-0000134B0000}"/>
    <cellStyle name="Remarque 2 2 8 7 3 2 2" xfId="53749" xr:uid="{00000000-0005-0000-0000-0000144B0000}"/>
    <cellStyle name="Remarque 2 2 8 7 3 3" xfId="17036" xr:uid="{00000000-0005-0000-0000-0000154B0000}"/>
    <cellStyle name="Remarque 2 2 8 7 3 4" xfId="40996" xr:uid="{00000000-0005-0000-0000-0000164B0000}"/>
    <cellStyle name="Remarque 2 2 8 7 4" xfId="7169" xr:uid="{00000000-0005-0000-0000-0000174B0000}"/>
    <cellStyle name="Remarque 2 2 8 7 4 2" xfId="31183" xr:uid="{00000000-0005-0000-0000-0000184B0000}"/>
    <cellStyle name="Remarque 2 2 8 7 4 2 2" xfId="55143" xr:uid="{00000000-0005-0000-0000-0000194B0000}"/>
    <cellStyle name="Remarque 2 2 8 7 4 3" xfId="18430" xr:uid="{00000000-0005-0000-0000-00001A4B0000}"/>
    <cellStyle name="Remarque 2 2 8 7 4 4" xfId="42390" xr:uid="{00000000-0005-0000-0000-00001B4B0000}"/>
    <cellStyle name="Remarque 2 2 8 7 5" xfId="8557" xr:uid="{00000000-0005-0000-0000-00001C4B0000}"/>
    <cellStyle name="Remarque 2 2 8 7 5 2" xfId="32571" xr:uid="{00000000-0005-0000-0000-00001D4B0000}"/>
    <cellStyle name="Remarque 2 2 8 7 5 2 2" xfId="56531" xr:uid="{00000000-0005-0000-0000-00001E4B0000}"/>
    <cellStyle name="Remarque 2 2 8 7 5 3" xfId="19818" xr:uid="{00000000-0005-0000-0000-00001F4B0000}"/>
    <cellStyle name="Remarque 2 2 8 7 5 4" xfId="43778" xr:uid="{00000000-0005-0000-0000-0000204B0000}"/>
    <cellStyle name="Remarque 2 2 8 7 6" xfId="9942" xr:uid="{00000000-0005-0000-0000-0000214B0000}"/>
    <cellStyle name="Remarque 2 2 8 7 6 2" xfId="33956" xr:uid="{00000000-0005-0000-0000-0000224B0000}"/>
    <cellStyle name="Remarque 2 2 8 7 6 2 2" xfId="57916" xr:uid="{00000000-0005-0000-0000-0000234B0000}"/>
    <cellStyle name="Remarque 2 2 8 7 6 3" xfId="21203" xr:uid="{00000000-0005-0000-0000-0000244B0000}"/>
    <cellStyle name="Remarque 2 2 8 7 6 4" xfId="45163" xr:uid="{00000000-0005-0000-0000-0000254B0000}"/>
    <cellStyle name="Remarque 2 2 8 7 7" xfId="11399" xr:uid="{00000000-0005-0000-0000-0000264B0000}"/>
    <cellStyle name="Remarque 2 2 8 7 7 2" xfId="35409" xr:uid="{00000000-0005-0000-0000-0000274B0000}"/>
    <cellStyle name="Remarque 2 2 8 7 7 2 2" xfId="59369" xr:uid="{00000000-0005-0000-0000-0000284B0000}"/>
    <cellStyle name="Remarque 2 2 8 7 7 3" xfId="22666" xr:uid="{00000000-0005-0000-0000-0000294B0000}"/>
    <cellStyle name="Remarque 2 2 8 7 7 4" xfId="46626" xr:uid="{00000000-0005-0000-0000-00002A4B0000}"/>
    <cellStyle name="Remarque 2 2 8 7 8" xfId="11928" xr:uid="{00000000-0005-0000-0000-00002B4B0000}"/>
    <cellStyle name="Remarque 2 2 8 7 8 2" xfId="23206" xr:uid="{00000000-0005-0000-0000-00002C4B0000}"/>
    <cellStyle name="Remarque 2 2 8 7 8 3" xfId="47166" xr:uid="{00000000-0005-0000-0000-00002D4B0000}"/>
    <cellStyle name="Remarque 2 2 8 7 9" xfId="2871" xr:uid="{00000000-0005-0000-0000-00002E4B0000}"/>
    <cellStyle name="Remarque 2 2 8 7 9 2" xfId="26885" xr:uid="{00000000-0005-0000-0000-00002F4B0000}"/>
    <cellStyle name="Remarque 2 2 8 7 9 3" xfId="50845" xr:uid="{00000000-0005-0000-0000-0000304B0000}"/>
    <cellStyle name="Remarque 2 2 8 8" xfId="3290" xr:uid="{00000000-0005-0000-0000-0000314B0000}"/>
    <cellStyle name="Remarque 2 2 8 8 2" xfId="27304" xr:uid="{00000000-0005-0000-0000-0000324B0000}"/>
    <cellStyle name="Remarque 2 2 8 8 2 2" xfId="51264" xr:uid="{00000000-0005-0000-0000-0000334B0000}"/>
    <cellStyle name="Remarque 2 2 8 8 3" xfId="14551" xr:uid="{00000000-0005-0000-0000-0000344B0000}"/>
    <cellStyle name="Remarque 2 2 8 8 4" xfId="38511" xr:uid="{00000000-0005-0000-0000-0000354B0000}"/>
    <cellStyle name="Remarque 2 2 8 9" xfId="4724" xr:uid="{00000000-0005-0000-0000-0000364B0000}"/>
    <cellStyle name="Remarque 2 2 8 9 2" xfId="28738" xr:uid="{00000000-0005-0000-0000-0000374B0000}"/>
    <cellStyle name="Remarque 2 2 8 9 2 2" xfId="52698" xr:uid="{00000000-0005-0000-0000-0000384B0000}"/>
    <cellStyle name="Remarque 2 2 8 9 3" xfId="15985" xr:uid="{00000000-0005-0000-0000-0000394B0000}"/>
    <cellStyle name="Remarque 2 2 8 9 4" xfId="39945" xr:uid="{00000000-0005-0000-0000-00003A4B0000}"/>
    <cellStyle name="Remarque 2 2 9" xfId="328" xr:uid="{00000000-0005-0000-0000-00003B4B0000}"/>
    <cellStyle name="Remarque 2 2 9 10" xfId="24360" xr:uid="{00000000-0005-0000-0000-00003C4B0000}"/>
    <cellStyle name="Remarque 2 2 9 10 2" xfId="48320" xr:uid="{00000000-0005-0000-0000-00003D4B0000}"/>
    <cellStyle name="Remarque 2 2 9 11" xfId="35761" xr:uid="{00000000-0005-0000-0000-00003E4B0000}"/>
    <cellStyle name="Remarque 2 2 9 11 2" xfId="59721" xr:uid="{00000000-0005-0000-0000-00003F4B0000}"/>
    <cellStyle name="Remarque 2 2 9 12" xfId="13025" xr:uid="{00000000-0005-0000-0000-0000404B0000}"/>
    <cellStyle name="Remarque 2 2 9 13" xfId="36985" xr:uid="{00000000-0005-0000-0000-0000414B0000}"/>
    <cellStyle name="Remarque 2 2 9 2" xfId="3234" xr:uid="{00000000-0005-0000-0000-0000424B0000}"/>
    <cellStyle name="Remarque 2 2 9 2 2" xfId="27248" xr:uid="{00000000-0005-0000-0000-0000434B0000}"/>
    <cellStyle name="Remarque 2 2 9 2 2 2" xfId="51208" xr:uid="{00000000-0005-0000-0000-0000444B0000}"/>
    <cellStyle name="Remarque 2 2 9 2 3" xfId="14495" xr:uid="{00000000-0005-0000-0000-0000454B0000}"/>
    <cellStyle name="Remarque 2 2 9 2 4" xfId="38455" xr:uid="{00000000-0005-0000-0000-0000464B0000}"/>
    <cellStyle name="Remarque 2 2 9 3" xfId="4668" xr:uid="{00000000-0005-0000-0000-0000474B0000}"/>
    <cellStyle name="Remarque 2 2 9 3 2" xfId="28682" xr:uid="{00000000-0005-0000-0000-0000484B0000}"/>
    <cellStyle name="Remarque 2 2 9 3 2 2" xfId="52642" xr:uid="{00000000-0005-0000-0000-0000494B0000}"/>
    <cellStyle name="Remarque 2 2 9 3 3" xfId="15929" xr:uid="{00000000-0005-0000-0000-00004A4B0000}"/>
    <cellStyle name="Remarque 2 2 9 3 4" xfId="39889" xr:uid="{00000000-0005-0000-0000-00004B4B0000}"/>
    <cellStyle name="Remarque 2 2 9 4" xfId="6062" xr:uid="{00000000-0005-0000-0000-00004C4B0000}"/>
    <cellStyle name="Remarque 2 2 9 4 2" xfId="30076" xr:uid="{00000000-0005-0000-0000-00004D4B0000}"/>
    <cellStyle name="Remarque 2 2 9 4 2 2" xfId="54036" xr:uid="{00000000-0005-0000-0000-00004E4B0000}"/>
    <cellStyle name="Remarque 2 2 9 4 3" xfId="17323" xr:uid="{00000000-0005-0000-0000-00004F4B0000}"/>
    <cellStyle name="Remarque 2 2 9 4 4" xfId="41283" xr:uid="{00000000-0005-0000-0000-0000504B0000}"/>
    <cellStyle name="Remarque 2 2 9 5" xfId="7450" xr:uid="{00000000-0005-0000-0000-0000514B0000}"/>
    <cellStyle name="Remarque 2 2 9 5 2" xfId="31464" xr:uid="{00000000-0005-0000-0000-0000524B0000}"/>
    <cellStyle name="Remarque 2 2 9 5 2 2" xfId="55424" xr:uid="{00000000-0005-0000-0000-0000534B0000}"/>
    <cellStyle name="Remarque 2 2 9 5 3" xfId="18711" xr:uid="{00000000-0005-0000-0000-0000544B0000}"/>
    <cellStyle name="Remarque 2 2 9 5 4" xfId="42671" xr:uid="{00000000-0005-0000-0000-0000554B0000}"/>
    <cellStyle name="Remarque 2 2 9 6" xfId="8835" xr:uid="{00000000-0005-0000-0000-0000564B0000}"/>
    <cellStyle name="Remarque 2 2 9 6 2" xfId="32849" xr:uid="{00000000-0005-0000-0000-0000574B0000}"/>
    <cellStyle name="Remarque 2 2 9 6 2 2" xfId="56809" xr:uid="{00000000-0005-0000-0000-0000584B0000}"/>
    <cellStyle name="Remarque 2 2 9 6 3" xfId="20096" xr:uid="{00000000-0005-0000-0000-0000594B0000}"/>
    <cellStyle name="Remarque 2 2 9 6 4" xfId="44056" xr:uid="{00000000-0005-0000-0000-00005A4B0000}"/>
    <cellStyle name="Remarque 2 2 9 7" xfId="10292" xr:uid="{00000000-0005-0000-0000-00005B4B0000}"/>
    <cellStyle name="Remarque 2 2 9 7 2" xfId="34302" xr:uid="{00000000-0005-0000-0000-00005C4B0000}"/>
    <cellStyle name="Remarque 2 2 9 7 2 2" xfId="58262" xr:uid="{00000000-0005-0000-0000-00005D4B0000}"/>
    <cellStyle name="Remarque 2 2 9 7 3" xfId="21559" xr:uid="{00000000-0005-0000-0000-00005E4B0000}"/>
    <cellStyle name="Remarque 2 2 9 7 4" xfId="45519" xr:uid="{00000000-0005-0000-0000-00005F4B0000}"/>
    <cellStyle name="Remarque 2 2 9 8" xfId="12677" xr:uid="{00000000-0005-0000-0000-0000604B0000}"/>
    <cellStyle name="Remarque 2 2 9 8 2" xfId="23982" xr:uid="{00000000-0005-0000-0000-0000614B0000}"/>
    <cellStyle name="Remarque 2 2 9 8 3" xfId="47942" xr:uid="{00000000-0005-0000-0000-0000624B0000}"/>
    <cellStyle name="Remarque 2 2 9 9" xfId="1764" xr:uid="{00000000-0005-0000-0000-0000634B0000}"/>
    <cellStyle name="Remarque 2 2 9 9 2" xfId="25778" xr:uid="{00000000-0005-0000-0000-0000644B0000}"/>
    <cellStyle name="Remarque 2 2 9 9 3" xfId="49738" xr:uid="{00000000-0005-0000-0000-0000654B0000}"/>
    <cellStyle name="Remarque 2 3" xfId="35" xr:uid="{00000000-0005-0000-0000-0000664B0000}"/>
    <cellStyle name="Remarque 2 3 10" xfId="1550" xr:uid="{00000000-0005-0000-0000-0000674B0000}"/>
    <cellStyle name="Remarque 2 3 10 10" xfId="25582" xr:uid="{00000000-0005-0000-0000-0000684B0000}"/>
    <cellStyle name="Remarque 2 3 10 10 2" xfId="49542" xr:uid="{00000000-0005-0000-0000-0000694B0000}"/>
    <cellStyle name="Remarque 2 3 10 11" xfId="35729" xr:uid="{00000000-0005-0000-0000-00006A4B0000}"/>
    <cellStyle name="Remarque 2 3 10 11 2" xfId="59689" xr:uid="{00000000-0005-0000-0000-00006B4B0000}"/>
    <cellStyle name="Remarque 2 3 10 12" xfId="14247" xr:uid="{00000000-0005-0000-0000-00006C4B0000}"/>
    <cellStyle name="Remarque 2 3 10 13" xfId="38207" xr:uid="{00000000-0005-0000-0000-00006D4B0000}"/>
    <cellStyle name="Remarque 2 3 10 2" xfId="4456" xr:uid="{00000000-0005-0000-0000-00006E4B0000}"/>
    <cellStyle name="Remarque 2 3 10 2 2" xfId="28470" xr:uid="{00000000-0005-0000-0000-00006F4B0000}"/>
    <cellStyle name="Remarque 2 3 10 2 2 2" xfId="52430" xr:uid="{00000000-0005-0000-0000-0000704B0000}"/>
    <cellStyle name="Remarque 2 3 10 2 3" xfId="15717" xr:uid="{00000000-0005-0000-0000-0000714B0000}"/>
    <cellStyle name="Remarque 2 3 10 2 4" xfId="39677" xr:uid="{00000000-0005-0000-0000-0000724B0000}"/>
    <cellStyle name="Remarque 2 3 10 3" xfId="5890" xr:uid="{00000000-0005-0000-0000-0000734B0000}"/>
    <cellStyle name="Remarque 2 3 10 3 2" xfId="29904" xr:uid="{00000000-0005-0000-0000-0000744B0000}"/>
    <cellStyle name="Remarque 2 3 10 3 2 2" xfId="53864" xr:uid="{00000000-0005-0000-0000-0000754B0000}"/>
    <cellStyle name="Remarque 2 3 10 3 3" xfId="17151" xr:uid="{00000000-0005-0000-0000-0000764B0000}"/>
    <cellStyle name="Remarque 2 3 10 3 4" xfId="41111" xr:uid="{00000000-0005-0000-0000-0000774B0000}"/>
    <cellStyle name="Remarque 2 3 10 4" xfId="7284" xr:uid="{00000000-0005-0000-0000-0000784B0000}"/>
    <cellStyle name="Remarque 2 3 10 4 2" xfId="31298" xr:uid="{00000000-0005-0000-0000-0000794B0000}"/>
    <cellStyle name="Remarque 2 3 10 4 2 2" xfId="55258" xr:uid="{00000000-0005-0000-0000-00007A4B0000}"/>
    <cellStyle name="Remarque 2 3 10 4 3" xfId="18545" xr:uid="{00000000-0005-0000-0000-00007B4B0000}"/>
    <cellStyle name="Remarque 2 3 10 4 4" xfId="42505" xr:uid="{00000000-0005-0000-0000-00007C4B0000}"/>
    <cellStyle name="Remarque 2 3 10 5" xfId="8672" xr:uid="{00000000-0005-0000-0000-00007D4B0000}"/>
    <cellStyle name="Remarque 2 3 10 5 2" xfId="32686" xr:uid="{00000000-0005-0000-0000-00007E4B0000}"/>
    <cellStyle name="Remarque 2 3 10 5 2 2" xfId="56646" xr:uid="{00000000-0005-0000-0000-00007F4B0000}"/>
    <cellStyle name="Remarque 2 3 10 5 3" xfId="19933" xr:uid="{00000000-0005-0000-0000-0000804B0000}"/>
    <cellStyle name="Remarque 2 3 10 5 4" xfId="43893" xr:uid="{00000000-0005-0000-0000-0000814B0000}"/>
    <cellStyle name="Remarque 2 3 10 6" xfId="10057" xr:uid="{00000000-0005-0000-0000-0000824B0000}"/>
    <cellStyle name="Remarque 2 3 10 6 2" xfId="34071" xr:uid="{00000000-0005-0000-0000-0000834B0000}"/>
    <cellStyle name="Remarque 2 3 10 6 2 2" xfId="58031" xr:uid="{00000000-0005-0000-0000-0000844B0000}"/>
    <cellStyle name="Remarque 2 3 10 6 3" xfId="21318" xr:uid="{00000000-0005-0000-0000-0000854B0000}"/>
    <cellStyle name="Remarque 2 3 10 6 4" xfId="45278" xr:uid="{00000000-0005-0000-0000-0000864B0000}"/>
    <cellStyle name="Remarque 2 3 10 7" xfId="11514" xr:uid="{00000000-0005-0000-0000-0000874B0000}"/>
    <cellStyle name="Remarque 2 3 10 7 2" xfId="35524" xr:uid="{00000000-0005-0000-0000-0000884B0000}"/>
    <cellStyle name="Remarque 2 3 10 7 2 2" xfId="59484" xr:uid="{00000000-0005-0000-0000-0000894B0000}"/>
    <cellStyle name="Remarque 2 3 10 7 3" xfId="22781" xr:uid="{00000000-0005-0000-0000-00008A4B0000}"/>
    <cellStyle name="Remarque 2 3 10 7 4" xfId="46741" xr:uid="{00000000-0005-0000-0000-00008B4B0000}"/>
    <cellStyle name="Remarque 2 3 10 8" xfId="12637" xr:uid="{00000000-0005-0000-0000-00008C4B0000}"/>
    <cellStyle name="Remarque 2 3 10 8 2" xfId="23941" xr:uid="{00000000-0005-0000-0000-00008D4B0000}"/>
    <cellStyle name="Remarque 2 3 10 8 3" xfId="47901" xr:uid="{00000000-0005-0000-0000-00008E4B0000}"/>
    <cellStyle name="Remarque 2 3 10 9" xfId="2986" xr:uid="{00000000-0005-0000-0000-00008F4B0000}"/>
    <cellStyle name="Remarque 2 3 10 9 2" xfId="27000" xr:uid="{00000000-0005-0000-0000-0000904B0000}"/>
    <cellStyle name="Remarque 2 3 10 9 3" xfId="50960" xr:uid="{00000000-0005-0000-0000-0000914B0000}"/>
    <cellStyle name="Remarque 2 3 11" xfId="3067" xr:uid="{00000000-0005-0000-0000-0000924B0000}"/>
    <cellStyle name="Remarque 2 3 11 2" xfId="27081" xr:uid="{00000000-0005-0000-0000-0000934B0000}"/>
    <cellStyle name="Remarque 2 3 11 2 2" xfId="51041" xr:uid="{00000000-0005-0000-0000-0000944B0000}"/>
    <cellStyle name="Remarque 2 3 11 3" xfId="14328" xr:uid="{00000000-0005-0000-0000-0000954B0000}"/>
    <cellStyle name="Remarque 2 3 11 4" xfId="38288" xr:uid="{00000000-0005-0000-0000-0000964B0000}"/>
    <cellStyle name="Remarque 2 3 12" xfId="1624" xr:uid="{00000000-0005-0000-0000-0000974B0000}"/>
    <cellStyle name="Remarque 2 3 12 2" xfId="25639" xr:uid="{00000000-0005-0000-0000-0000984B0000}"/>
    <cellStyle name="Remarque 2 3 12 3" xfId="49599" xr:uid="{00000000-0005-0000-0000-0000994B0000}"/>
    <cellStyle name="Remarque 2 3 13" xfId="1608" xr:uid="{00000000-0005-0000-0000-00009A4B0000}"/>
    <cellStyle name="Remarque 2 3 14" xfId="161" xr:uid="{00000000-0005-0000-0000-00009B4B0000}"/>
    <cellStyle name="Remarque 2 3 2" xfId="58" xr:uid="{00000000-0005-0000-0000-00009C4B0000}"/>
    <cellStyle name="Remarque 2 3 2 10" xfId="1202" xr:uid="{00000000-0005-0000-0000-00009D4B0000}"/>
    <cellStyle name="Remarque 2 3 2 10 10" xfId="25234" xr:uid="{00000000-0005-0000-0000-00009E4B0000}"/>
    <cellStyle name="Remarque 2 3 2 10 10 2" xfId="49194" xr:uid="{00000000-0005-0000-0000-00009F4B0000}"/>
    <cellStyle name="Remarque 2 3 2 10 11" xfId="36690" xr:uid="{00000000-0005-0000-0000-0000A04B0000}"/>
    <cellStyle name="Remarque 2 3 2 10 11 2" xfId="60650" xr:uid="{00000000-0005-0000-0000-0000A14B0000}"/>
    <cellStyle name="Remarque 2 3 2 10 12" xfId="13899" xr:uid="{00000000-0005-0000-0000-0000A24B0000}"/>
    <cellStyle name="Remarque 2 3 2 10 13" xfId="37859" xr:uid="{00000000-0005-0000-0000-0000A34B0000}"/>
    <cellStyle name="Remarque 2 3 2 10 2" xfId="4108" xr:uid="{00000000-0005-0000-0000-0000A44B0000}"/>
    <cellStyle name="Remarque 2 3 2 10 2 2" xfId="28122" xr:uid="{00000000-0005-0000-0000-0000A54B0000}"/>
    <cellStyle name="Remarque 2 3 2 10 2 2 2" xfId="52082" xr:uid="{00000000-0005-0000-0000-0000A64B0000}"/>
    <cellStyle name="Remarque 2 3 2 10 2 3" xfId="15369" xr:uid="{00000000-0005-0000-0000-0000A74B0000}"/>
    <cellStyle name="Remarque 2 3 2 10 2 4" xfId="39329" xr:uid="{00000000-0005-0000-0000-0000A84B0000}"/>
    <cellStyle name="Remarque 2 3 2 10 3" xfId="5542" xr:uid="{00000000-0005-0000-0000-0000A94B0000}"/>
    <cellStyle name="Remarque 2 3 2 10 3 2" xfId="29556" xr:uid="{00000000-0005-0000-0000-0000AA4B0000}"/>
    <cellStyle name="Remarque 2 3 2 10 3 2 2" xfId="53516" xr:uid="{00000000-0005-0000-0000-0000AB4B0000}"/>
    <cellStyle name="Remarque 2 3 2 10 3 3" xfId="16803" xr:uid="{00000000-0005-0000-0000-0000AC4B0000}"/>
    <cellStyle name="Remarque 2 3 2 10 3 4" xfId="40763" xr:uid="{00000000-0005-0000-0000-0000AD4B0000}"/>
    <cellStyle name="Remarque 2 3 2 10 4" xfId="6936" xr:uid="{00000000-0005-0000-0000-0000AE4B0000}"/>
    <cellStyle name="Remarque 2 3 2 10 4 2" xfId="30950" xr:uid="{00000000-0005-0000-0000-0000AF4B0000}"/>
    <cellStyle name="Remarque 2 3 2 10 4 2 2" xfId="54910" xr:uid="{00000000-0005-0000-0000-0000B04B0000}"/>
    <cellStyle name="Remarque 2 3 2 10 4 3" xfId="18197" xr:uid="{00000000-0005-0000-0000-0000B14B0000}"/>
    <cellStyle name="Remarque 2 3 2 10 4 4" xfId="42157" xr:uid="{00000000-0005-0000-0000-0000B24B0000}"/>
    <cellStyle name="Remarque 2 3 2 10 5" xfId="8324" xr:uid="{00000000-0005-0000-0000-0000B34B0000}"/>
    <cellStyle name="Remarque 2 3 2 10 5 2" xfId="32338" xr:uid="{00000000-0005-0000-0000-0000B44B0000}"/>
    <cellStyle name="Remarque 2 3 2 10 5 2 2" xfId="56298" xr:uid="{00000000-0005-0000-0000-0000B54B0000}"/>
    <cellStyle name="Remarque 2 3 2 10 5 3" xfId="19585" xr:uid="{00000000-0005-0000-0000-0000B64B0000}"/>
    <cellStyle name="Remarque 2 3 2 10 5 4" xfId="43545" xr:uid="{00000000-0005-0000-0000-0000B74B0000}"/>
    <cellStyle name="Remarque 2 3 2 10 6" xfId="9709" xr:uid="{00000000-0005-0000-0000-0000B84B0000}"/>
    <cellStyle name="Remarque 2 3 2 10 6 2" xfId="33723" xr:uid="{00000000-0005-0000-0000-0000B94B0000}"/>
    <cellStyle name="Remarque 2 3 2 10 6 2 2" xfId="57683" xr:uid="{00000000-0005-0000-0000-0000BA4B0000}"/>
    <cellStyle name="Remarque 2 3 2 10 6 3" xfId="20970" xr:uid="{00000000-0005-0000-0000-0000BB4B0000}"/>
    <cellStyle name="Remarque 2 3 2 10 6 4" xfId="44930" xr:uid="{00000000-0005-0000-0000-0000BC4B0000}"/>
    <cellStyle name="Remarque 2 3 2 10 7" xfId="11166" xr:uid="{00000000-0005-0000-0000-0000BD4B0000}"/>
    <cellStyle name="Remarque 2 3 2 10 7 2" xfId="35176" xr:uid="{00000000-0005-0000-0000-0000BE4B0000}"/>
    <cellStyle name="Remarque 2 3 2 10 7 2 2" xfId="59136" xr:uid="{00000000-0005-0000-0000-0000BF4B0000}"/>
    <cellStyle name="Remarque 2 3 2 10 7 3" xfId="22433" xr:uid="{00000000-0005-0000-0000-0000C04B0000}"/>
    <cellStyle name="Remarque 2 3 2 10 7 4" xfId="46393" xr:uid="{00000000-0005-0000-0000-0000C14B0000}"/>
    <cellStyle name="Remarque 2 3 2 10 8" xfId="12195" xr:uid="{00000000-0005-0000-0000-0000C24B0000}"/>
    <cellStyle name="Remarque 2 3 2 10 8 2" xfId="23478" xr:uid="{00000000-0005-0000-0000-0000C34B0000}"/>
    <cellStyle name="Remarque 2 3 2 10 8 3" xfId="47438" xr:uid="{00000000-0005-0000-0000-0000C44B0000}"/>
    <cellStyle name="Remarque 2 3 2 10 9" xfId="2638" xr:uid="{00000000-0005-0000-0000-0000C54B0000}"/>
    <cellStyle name="Remarque 2 3 2 10 9 2" xfId="26652" xr:uid="{00000000-0005-0000-0000-0000C64B0000}"/>
    <cellStyle name="Remarque 2 3 2 10 9 3" xfId="50612" xr:uid="{00000000-0005-0000-0000-0000C74B0000}"/>
    <cellStyle name="Remarque 2 3 2 11" xfId="1004" xr:uid="{00000000-0005-0000-0000-0000C84B0000}"/>
    <cellStyle name="Remarque 2 3 2 11 10" xfId="25036" xr:uid="{00000000-0005-0000-0000-0000C94B0000}"/>
    <cellStyle name="Remarque 2 3 2 11 10 2" xfId="48996" xr:uid="{00000000-0005-0000-0000-0000CA4B0000}"/>
    <cellStyle name="Remarque 2 3 2 11 11" xfId="36317" xr:uid="{00000000-0005-0000-0000-0000CB4B0000}"/>
    <cellStyle name="Remarque 2 3 2 11 11 2" xfId="60277" xr:uid="{00000000-0005-0000-0000-0000CC4B0000}"/>
    <cellStyle name="Remarque 2 3 2 11 12" xfId="13701" xr:uid="{00000000-0005-0000-0000-0000CD4B0000}"/>
    <cellStyle name="Remarque 2 3 2 11 13" xfId="37661" xr:uid="{00000000-0005-0000-0000-0000CE4B0000}"/>
    <cellStyle name="Remarque 2 3 2 11 2" xfId="3910" xr:uid="{00000000-0005-0000-0000-0000CF4B0000}"/>
    <cellStyle name="Remarque 2 3 2 11 2 2" xfId="27924" xr:uid="{00000000-0005-0000-0000-0000D04B0000}"/>
    <cellStyle name="Remarque 2 3 2 11 2 2 2" xfId="51884" xr:uid="{00000000-0005-0000-0000-0000D14B0000}"/>
    <cellStyle name="Remarque 2 3 2 11 2 3" xfId="15171" xr:uid="{00000000-0005-0000-0000-0000D24B0000}"/>
    <cellStyle name="Remarque 2 3 2 11 2 4" xfId="39131" xr:uid="{00000000-0005-0000-0000-0000D34B0000}"/>
    <cellStyle name="Remarque 2 3 2 11 3" xfId="5344" xr:uid="{00000000-0005-0000-0000-0000D44B0000}"/>
    <cellStyle name="Remarque 2 3 2 11 3 2" xfId="29358" xr:uid="{00000000-0005-0000-0000-0000D54B0000}"/>
    <cellStyle name="Remarque 2 3 2 11 3 2 2" xfId="53318" xr:uid="{00000000-0005-0000-0000-0000D64B0000}"/>
    <cellStyle name="Remarque 2 3 2 11 3 3" xfId="16605" xr:uid="{00000000-0005-0000-0000-0000D74B0000}"/>
    <cellStyle name="Remarque 2 3 2 11 3 4" xfId="40565" xr:uid="{00000000-0005-0000-0000-0000D84B0000}"/>
    <cellStyle name="Remarque 2 3 2 11 4" xfId="6738" xr:uid="{00000000-0005-0000-0000-0000D94B0000}"/>
    <cellStyle name="Remarque 2 3 2 11 4 2" xfId="30752" xr:uid="{00000000-0005-0000-0000-0000DA4B0000}"/>
    <cellStyle name="Remarque 2 3 2 11 4 2 2" xfId="54712" xr:uid="{00000000-0005-0000-0000-0000DB4B0000}"/>
    <cellStyle name="Remarque 2 3 2 11 4 3" xfId="17999" xr:uid="{00000000-0005-0000-0000-0000DC4B0000}"/>
    <cellStyle name="Remarque 2 3 2 11 4 4" xfId="41959" xr:uid="{00000000-0005-0000-0000-0000DD4B0000}"/>
    <cellStyle name="Remarque 2 3 2 11 5" xfId="8126" xr:uid="{00000000-0005-0000-0000-0000DE4B0000}"/>
    <cellStyle name="Remarque 2 3 2 11 5 2" xfId="32140" xr:uid="{00000000-0005-0000-0000-0000DF4B0000}"/>
    <cellStyle name="Remarque 2 3 2 11 5 2 2" xfId="56100" xr:uid="{00000000-0005-0000-0000-0000E04B0000}"/>
    <cellStyle name="Remarque 2 3 2 11 5 3" xfId="19387" xr:uid="{00000000-0005-0000-0000-0000E14B0000}"/>
    <cellStyle name="Remarque 2 3 2 11 5 4" xfId="43347" xr:uid="{00000000-0005-0000-0000-0000E24B0000}"/>
    <cellStyle name="Remarque 2 3 2 11 6" xfId="9511" xr:uid="{00000000-0005-0000-0000-0000E34B0000}"/>
    <cellStyle name="Remarque 2 3 2 11 6 2" xfId="33525" xr:uid="{00000000-0005-0000-0000-0000E44B0000}"/>
    <cellStyle name="Remarque 2 3 2 11 6 2 2" xfId="57485" xr:uid="{00000000-0005-0000-0000-0000E54B0000}"/>
    <cellStyle name="Remarque 2 3 2 11 6 3" xfId="20772" xr:uid="{00000000-0005-0000-0000-0000E64B0000}"/>
    <cellStyle name="Remarque 2 3 2 11 6 4" xfId="44732" xr:uid="{00000000-0005-0000-0000-0000E74B0000}"/>
    <cellStyle name="Remarque 2 3 2 11 7" xfId="10968" xr:uid="{00000000-0005-0000-0000-0000E84B0000}"/>
    <cellStyle name="Remarque 2 3 2 11 7 2" xfId="34978" xr:uid="{00000000-0005-0000-0000-0000E94B0000}"/>
    <cellStyle name="Remarque 2 3 2 11 7 2 2" xfId="58938" xr:uid="{00000000-0005-0000-0000-0000EA4B0000}"/>
    <cellStyle name="Remarque 2 3 2 11 7 3" xfId="22235" xr:uid="{00000000-0005-0000-0000-0000EB4B0000}"/>
    <cellStyle name="Remarque 2 3 2 11 7 4" xfId="46195" xr:uid="{00000000-0005-0000-0000-0000EC4B0000}"/>
    <cellStyle name="Remarque 2 3 2 11 8" xfId="11792" xr:uid="{00000000-0005-0000-0000-0000ED4B0000}"/>
    <cellStyle name="Remarque 2 3 2 11 8 2" xfId="23066" xr:uid="{00000000-0005-0000-0000-0000EE4B0000}"/>
    <cellStyle name="Remarque 2 3 2 11 8 3" xfId="47026" xr:uid="{00000000-0005-0000-0000-0000EF4B0000}"/>
    <cellStyle name="Remarque 2 3 2 11 9" xfId="2440" xr:uid="{00000000-0005-0000-0000-0000F04B0000}"/>
    <cellStyle name="Remarque 2 3 2 11 9 2" xfId="26454" xr:uid="{00000000-0005-0000-0000-0000F14B0000}"/>
    <cellStyle name="Remarque 2 3 2 11 9 3" xfId="50414" xr:uid="{00000000-0005-0000-0000-0000F24B0000}"/>
    <cellStyle name="Remarque 2 3 2 12" xfId="1563" xr:uid="{00000000-0005-0000-0000-0000F34B0000}"/>
    <cellStyle name="Remarque 2 3 2 12 10" xfId="25595" xr:uid="{00000000-0005-0000-0000-0000F44B0000}"/>
    <cellStyle name="Remarque 2 3 2 12 10 2" xfId="49555" xr:uid="{00000000-0005-0000-0000-0000F54B0000}"/>
    <cellStyle name="Remarque 2 3 2 12 11" xfId="23547" xr:uid="{00000000-0005-0000-0000-0000F64B0000}"/>
    <cellStyle name="Remarque 2 3 2 12 11 2" xfId="47507" xr:uid="{00000000-0005-0000-0000-0000F74B0000}"/>
    <cellStyle name="Remarque 2 3 2 12 12" xfId="14260" xr:uid="{00000000-0005-0000-0000-0000F84B0000}"/>
    <cellStyle name="Remarque 2 3 2 12 13" xfId="38220" xr:uid="{00000000-0005-0000-0000-0000F94B0000}"/>
    <cellStyle name="Remarque 2 3 2 12 2" xfId="4469" xr:uid="{00000000-0005-0000-0000-0000FA4B0000}"/>
    <cellStyle name="Remarque 2 3 2 12 2 2" xfId="28483" xr:uid="{00000000-0005-0000-0000-0000FB4B0000}"/>
    <cellStyle name="Remarque 2 3 2 12 2 2 2" xfId="52443" xr:uid="{00000000-0005-0000-0000-0000FC4B0000}"/>
    <cellStyle name="Remarque 2 3 2 12 2 3" xfId="15730" xr:uid="{00000000-0005-0000-0000-0000FD4B0000}"/>
    <cellStyle name="Remarque 2 3 2 12 2 4" xfId="39690" xr:uid="{00000000-0005-0000-0000-0000FE4B0000}"/>
    <cellStyle name="Remarque 2 3 2 12 3" xfId="5903" xr:uid="{00000000-0005-0000-0000-0000FF4B0000}"/>
    <cellStyle name="Remarque 2 3 2 12 3 2" xfId="29917" xr:uid="{00000000-0005-0000-0000-0000004C0000}"/>
    <cellStyle name="Remarque 2 3 2 12 3 2 2" xfId="53877" xr:uid="{00000000-0005-0000-0000-0000014C0000}"/>
    <cellStyle name="Remarque 2 3 2 12 3 3" xfId="17164" xr:uid="{00000000-0005-0000-0000-0000024C0000}"/>
    <cellStyle name="Remarque 2 3 2 12 3 4" xfId="41124" xr:uid="{00000000-0005-0000-0000-0000034C0000}"/>
    <cellStyle name="Remarque 2 3 2 12 4" xfId="7297" xr:uid="{00000000-0005-0000-0000-0000044C0000}"/>
    <cellStyle name="Remarque 2 3 2 12 4 2" xfId="31311" xr:uid="{00000000-0005-0000-0000-0000054C0000}"/>
    <cellStyle name="Remarque 2 3 2 12 4 2 2" xfId="55271" xr:uid="{00000000-0005-0000-0000-0000064C0000}"/>
    <cellStyle name="Remarque 2 3 2 12 4 3" xfId="18558" xr:uid="{00000000-0005-0000-0000-0000074C0000}"/>
    <cellStyle name="Remarque 2 3 2 12 4 4" xfId="42518" xr:uid="{00000000-0005-0000-0000-0000084C0000}"/>
    <cellStyle name="Remarque 2 3 2 12 5" xfId="8685" xr:uid="{00000000-0005-0000-0000-0000094C0000}"/>
    <cellStyle name="Remarque 2 3 2 12 5 2" xfId="32699" xr:uid="{00000000-0005-0000-0000-00000A4C0000}"/>
    <cellStyle name="Remarque 2 3 2 12 5 2 2" xfId="56659" xr:uid="{00000000-0005-0000-0000-00000B4C0000}"/>
    <cellStyle name="Remarque 2 3 2 12 5 3" xfId="19946" xr:uid="{00000000-0005-0000-0000-00000C4C0000}"/>
    <cellStyle name="Remarque 2 3 2 12 5 4" xfId="43906" xr:uid="{00000000-0005-0000-0000-00000D4C0000}"/>
    <cellStyle name="Remarque 2 3 2 12 6" xfId="10070" xr:uid="{00000000-0005-0000-0000-00000E4C0000}"/>
    <cellStyle name="Remarque 2 3 2 12 6 2" xfId="34084" xr:uid="{00000000-0005-0000-0000-00000F4C0000}"/>
    <cellStyle name="Remarque 2 3 2 12 6 2 2" xfId="58044" xr:uid="{00000000-0005-0000-0000-0000104C0000}"/>
    <cellStyle name="Remarque 2 3 2 12 6 3" xfId="21331" xr:uid="{00000000-0005-0000-0000-0000114C0000}"/>
    <cellStyle name="Remarque 2 3 2 12 6 4" xfId="45291" xr:uid="{00000000-0005-0000-0000-0000124C0000}"/>
    <cellStyle name="Remarque 2 3 2 12 7" xfId="11527" xr:uid="{00000000-0005-0000-0000-0000134C0000}"/>
    <cellStyle name="Remarque 2 3 2 12 7 2" xfId="35537" xr:uid="{00000000-0005-0000-0000-0000144C0000}"/>
    <cellStyle name="Remarque 2 3 2 12 7 2 2" xfId="59497" xr:uid="{00000000-0005-0000-0000-0000154C0000}"/>
    <cellStyle name="Remarque 2 3 2 12 7 3" xfId="22794" xr:uid="{00000000-0005-0000-0000-0000164C0000}"/>
    <cellStyle name="Remarque 2 3 2 12 7 4" xfId="46754" xr:uid="{00000000-0005-0000-0000-0000174C0000}"/>
    <cellStyle name="Remarque 2 3 2 12 8" xfId="11577" xr:uid="{00000000-0005-0000-0000-0000184C0000}"/>
    <cellStyle name="Remarque 2 3 2 12 8 2" xfId="22844" xr:uid="{00000000-0005-0000-0000-0000194C0000}"/>
    <cellStyle name="Remarque 2 3 2 12 8 3" xfId="46804" xr:uid="{00000000-0005-0000-0000-00001A4C0000}"/>
    <cellStyle name="Remarque 2 3 2 12 9" xfId="2999" xr:uid="{00000000-0005-0000-0000-00001B4C0000}"/>
    <cellStyle name="Remarque 2 3 2 12 9 2" xfId="27013" xr:uid="{00000000-0005-0000-0000-00001C4C0000}"/>
    <cellStyle name="Remarque 2 3 2 12 9 3" xfId="50973" xr:uid="{00000000-0005-0000-0000-00001D4C0000}"/>
    <cellStyle name="Remarque 2 3 2 13" xfId="206" xr:uid="{00000000-0005-0000-0000-00001E4C0000}"/>
    <cellStyle name="Remarque 2 3 2 13 10" xfId="36126" xr:uid="{00000000-0005-0000-0000-00001F4C0000}"/>
    <cellStyle name="Remarque 2 3 2 13 10 2" xfId="60086" xr:uid="{00000000-0005-0000-0000-0000204C0000}"/>
    <cellStyle name="Remarque 2 3 2 13 11" xfId="14373" xr:uid="{00000000-0005-0000-0000-0000214C0000}"/>
    <cellStyle name="Remarque 2 3 2 13 12" xfId="38333" xr:uid="{00000000-0005-0000-0000-0000224C0000}"/>
    <cellStyle name="Remarque 2 3 2 13 2" xfId="4551" xr:uid="{00000000-0005-0000-0000-0000234C0000}"/>
    <cellStyle name="Remarque 2 3 2 13 2 2" xfId="28565" xr:uid="{00000000-0005-0000-0000-0000244C0000}"/>
    <cellStyle name="Remarque 2 3 2 13 2 2 2" xfId="52525" xr:uid="{00000000-0005-0000-0000-0000254C0000}"/>
    <cellStyle name="Remarque 2 3 2 13 2 3" xfId="15812" xr:uid="{00000000-0005-0000-0000-0000264C0000}"/>
    <cellStyle name="Remarque 2 3 2 13 2 4" xfId="39772" xr:uid="{00000000-0005-0000-0000-0000274C0000}"/>
    <cellStyle name="Remarque 2 3 2 13 3" xfId="5950" xr:uid="{00000000-0005-0000-0000-0000284C0000}"/>
    <cellStyle name="Remarque 2 3 2 13 3 2" xfId="29964" xr:uid="{00000000-0005-0000-0000-0000294C0000}"/>
    <cellStyle name="Remarque 2 3 2 13 3 2 2" xfId="53924" xr:uid="{00000000-0005-0000-0000-00002A4C0000}"/>
    <cellStyle name="Remarque 2 3 2 13 3 3" xfId="17211" xr:uid="{00000000-0005-0000-0000-00002B4C0000}"/>
    <cellStyle name="Remarque 2 3 2 13 3 4" xfId="41171" xr:uid="{00000000-0005-0000-0000-00002C4C0000}"/>
    <cellStyle name="Remarque 2 3 2 13 4" xfId="7344" xr:uid="{00000000-0005-0000-0000-00002D4C0000}"/>
    <cellStyle name="Remarque 2 3 2 13 4 2" xfId="31358" xr:uid="{00000000-0005-0000-0000-00002E4C0000}"/>
    <cellStyle name="Remarque 2 3 2 13 4 2 2" xfId="55318" xr:uid="{00000000-0005-0000-0000-00002F4C0000}"/>
    <cellStyle name="Remarque 2 3 2 13 4 3" xfId="18605" xr:uid="{00000000-0005-0000-0000-0000304C0000}"/>
    <cellStyle name="Remarque 2 3 2 13 4 4" xfId="42565" xr:uid="{00000000-0005-0000-0000-0000314C0000}"/>
    <cellStyle name="Remarque 2 3 2 13 5" xfId="8732" xr:uid="{00000000-0005-0000-0000-0000324C0000}"/>
    <cellStyle name="Remarque 2 3 2 13 5 2" xfId="32746" xr:uid="{00000000-0005-0000-0000-0000334C0000}"/>
    <cellStyle name="Remarque 2 3 2 13 5 2 2" xfId="56706" xr:uid="{00000000-0005-0000-0000-0000344C0000}"/>
    <cellStyle name="Remarque 2 3 2 13 5 3" xfId="19993" xr:uid="{00000000-0005-0000-0000-0000354C0000}"/>
    <cellStyle name="Remarque 2 3 2 13 5 4" xfId="43953" xr:uid="{00000000-0005-0000-0000-0000364C0000}"/>
    <cellStyle name="Remarque 2 3 2 13 6" xfId="10172" xr:uid="{00000000-0005-0000-0000-0000374C0000}"/>
    <cellStyle name="Remarque 2 3 2 13 6 2" xfId="34184" xr:uid="{00000000-0005-0000-0000-0000384C0000}"/>
    <cellStyle name="Remarque 2 3 2 13 6 2 2" xfId="58144" xr:uid="{00000000-0005-0000-0000-0000394C0000}"/>
    <cellStyle name="Remarque 2 3 2 13 6 3" xfId="21437" xr:uid="{00000000-0005-0000-0000-00003A4C0000}"/>
    <cellStyle name="Remarque 2 3 2 13 6 4" xfId="45397" xr:uid="{00000000-0005-0000-0000-00003B4C0000}"/>
    <cellStyle name="Remarque 2 3 2 13 7" xfId="12823" xr:uid="{00000000-0005-0000-0000-00003C4C0000}"/>
    <cellStyle name="Remarque 2 3 2 13 7 2" xfId="24134" xr:uid="{00000000-0005-0000-0000-00003D4C0000}"/>
    <cellStyle name="Remarque 2 3 2 13 7 3" xfId="48094" xr:uid="{00000000-0005-0000-0000-00003E4C0000}"/>
    <cellStyle name="Remarque 2 3 2 13 8" xfId="3112" xr:uid="{00000000-0005-0000-0000-00003F4C0000}"/>
    <cellStyle name="Remarque 2 3 2 13 8 2" xfId="27126" xr:uid="{00000000-0005-0000-0000-0000404C0000}"/>
    <cellStyle name="Remarque 2 3 2 13 8 3" xfId="51086" xr:uid="{00000000-0005-0000-0000-0000414C0000}"/>
    <cellStyle name="Remarque 2 3 2 13 9" xfId="24238" xr:uid="{00000000-0005-0000-0000-0000424C0000}"/>
    <cellStyle name="Remarque 2 3 2 13 9 2" xfId="48198" xr:uid="{00000000-0005-0000-0000-0000434C0000}"/>
    <cellStyle name="Remarque 2 3 2 14" xfId="3080" xr:uid="{00000000-0005-0000-0000-0000444C0000}"/>
    <cellStyle name="Remarque 2 3 2 14 2" xfId="27094" xr:uid="{00000000-0005-0000-0000-0000454C0000}"/>
    <cellStyle name="Remarque 2 3 2 14 2 2" xfId="51054" xr:uid="{00000000-0005-0000-0000-0000464C0000}"/>
    <cellStyle name="Remarque 2 3 2 14 3" xfId="14341" xr:uid="{00000000-0005-0000-0000-0000474C0000}"/>
    <cellStyle name="Remarque 2 3 2 14 4" xfId="38301" xr:uid="{00000000-0005-0000-0000-0000484C0000}"/>
    <cellStyle name="Remarque 2 3 2 15" xfId="1638" xr:uid="{00000000-0005-0000-0000-0000494C0000}"/>
    <cellStyle name="Remarque 2 3 2 15 2" xfId="25652" xr:uid="{00000000-0005-0000-0000-00004A4C0000}"/>
    <cellStyle name="Remarque 2 3 2 15 3" xfId="49612" xr:uid="{00000000-0005-0000-0000-00004B4C0000}"/>
    <cellStyle name="Remarque 2 3 2 16" xfId="12918" xr:uid="{00000000-0005-0000-0000-00004C4C0000}"/>
    <cellStyle name="Remarque 2 3 2 17" xfId="1614" xr:uid="{00000000-0005-0000-0000-00004D4C0000}"/>
    <cellStyle name="Remarque 2 3 2 18" xfId="174" xr:uid="{00000000-0005-0000-0000-00004E4C0000}"/>
    <cellStyle name="Remarque 2 3 2 2" xfId="72" xr:uid="{00000000-0005-0000-0000-00004F4C0000}"/>
    <cellStyle name="Remarque 2 3 2 2 10" xfId="1366" xr:uid="{00000000-0005-0000-0000-0000504C0000}"/>
    <cellStyle name="Remarque 2 3 2 2 10 10" xfId="25398" xr:uid="{00000000-0005-0000-0000-0000514C0000}"/>
    <cellStyle name="Remarque 2 3 2 2 10 10 2" xfId="49358" xr:uid="{00000000-0005-0000-0000-0000524C0000}"/>
    <cellStyle name="Remarque 2 3 2 2 10 11" xfId="36577" xr:uid="{00000000-0005-0000-0000-0000534C0000}"/>
    <cellStyle name="Remarque 2 3 2 2 10 11 2" xfId="60537" xr:uid="{00000000-0005-0000-0000-0000544C0000}"/>
    <cellStyle name="Remarque 2 3 2 2 10 12" xfId="14063" xr:uid="{00000000-0005-0000-0000-0000554C0000}"/>
    <cellStyle name="Remarque 2 3 2 2 10 13" xfId="38023" xr:uid="{00000000-0005-0000-0000-0000564C0000}"/>
    <cellStyle name="Remarque 2 3 2 2 10 2" xfId="4272" xr:uid="{00000000-0005-0000-0000-0000574C0000}"/>
    <cellStyle name="Remarque 2 3 2 2 10 2 2" xfId="28286" xr:uid="{00000000-0005-0000-0000-0000584C0000}"/>
    <cellStyle name="Remarque 2 3 2 2 10 2 2 2" xfId="52246" xr:uid="{00000000-0005-0000-0000-0000594C0000}"/>
    <cellStyle name="Remarque 2 3 2 2 10 2 3" xfId="15533" xr:uid="{00000000-0005-0000-0000-00005A4C0000}"/>
    <cellStyle name="Remarque 2 3 2 2 10 2 4" xfId="39493" xr:uid="{00000000-0005-0000-0000-00005B4C0000}"/>
    <cellStyle name="Remarque 2 3 2 2 10 3" xfId="5706" xr:uid="{00000000-0005-0000-0000-00005C4C0000}"/>
    <cellStyle name="Remarque 2 3 2 2 10 3 2" xfId="29720" xr:uid="{00000000-0005-0000-0000-00005D4C0000}"/>
    <cellStyle name="Remarque 2 3 2 2 10 3 2 2" xfId="53680" xr:uid="{00000000-0005-0000-0000-00005E4C0000}"/>
    <cellStyle name="Remarque 2 3 2 2 10 3 3" xfId="16967" xr:uid="{00000000-0005-0000-0000-00005F4C0000}"/>
    <cellStyle name="Remarque 2 3 2 2 10 3 4" xfId="40927" xr:uid="{00000000-0005-0000-0000-0000604C0000}"/>
    <cellStyle name="Remarque 2 3 2 2 10 4" xfId="7100" xr:uid="{00000000-0005-0000-0000-0000614C0000}"/>
    <cellStyle name="Remarque 2 3 2 2 10 4 2" xfId="31114" xr:uid="{00000000-0005-0000-0000-0000624C0000}"/>
    <cellStyle name="Remarque 2 3 2 2 10 4 2 2" xfId="55074" xr:uid="{00000000-0005-0000-0000-0000634C0000}"/>
    <cellStyle name="Remarque 2 3 2 2 10 4 3" xfId="18361" xr:uid="{00000000-0005-0000-0000-0000644C0000}"/>
    <cellStyle name="Remarque 2 3 2 2 10 4 4" xfId="42321" xr:uid="{00000000-0005-0000-0000-0000654C0000}"/>
    <cellStyle name="Remarque 2 3 2 2 10 5" xfId="8488" xr:uid="{00000000-0005-0000-0000-0000664C0000}"/>
    <cellStyle name="Remarque 2 3 2 2 10 5 2" xfId="32502" xr:uid="{00000000-0005-0000-0000-0000674C0000}"/>
    <cellStyle name="Remarque 2 3 2 2 10 5 2 2" xfId="56462" xr:uid="{00000000-0005-0000-0000-0000684C0000}"/>
    <cellStyle name="Remarque 2 3 2 2 10 5 3" xfId="19749" xr:uid="{00000000-0005-0000-0000-0000694C0000}"/>
    <cellStyle name="Remarque 2 3 2 2 10 5 4" xfId="43709" xr:uid="{00000000-0005-0000-0000-00006A4C0000}"/>
    <cellStyle name="Remarque 2 3 2 2 10 6" xfId="9873" xr:uid="{00000000-0005-0000-0000-00006B4C0000}"/>
    <cellStyle name="Remarque 2 3 2 2 10 6 2" xfId="33887" xr:uid="{00000000-0005-0000-0000-00006C4C0000}"/>
    <cellStyle name="Remarque 2 3 2 2 10 6 2 2" xfId="57847" xr:uid="{00000000-0005-0000-0000-00006D4C0000}"/>
    <cellStyle name="Remarque 2 3 2 2 10 6 3" xfId="21134" xr:uid="{00000000-0005-0000-0000-00006E4C0000}"/>
    <cellStyle name="Remarque 2 3 2 2 10 6 4" xfId="45094" xr:uid="{00000000-0005-0000-0000-00006F4C0000}"/>
    <cellStyle name="Remarque 2 3 2 2 10 7" xfId="11330" xr:uid="{00000000-0005-0000-0000-0000704C0000}"/>
    <cellStyle name="Remarque 2 3 2 2 10 7 2" xfId="35340" xr:uid="{00000000-0005-0000-0000-0000714C0000}"/>
    <cellStyle name="Remarque 2 3 2 2 10 7 2 2" xfId="59300" xr:uid="{00000000-0005-0000-0000-0000724C0000}"/>
    <cellStyle name="Remarque 2 3 2 2 10 7 3" xfId="22597" xr:uid="{00000000-0005-0000-0000-0000734C0000}"/>
    <cellStyle name="Remarque 2 3 2 2 10 7 4" xfId="46557" xr:uid="{00000000-0005-0000-0000-0000744C0000}"/>
    <cellStyle name="Remarque 2 3 2 2 10 8" xfId="12627" xr:uid="{00000000-0005-0000-0000-0000754C0000}"/>
    <cellStyle name="Remarque 2 3 2 2 10 8 2" xfId="23930" xr:uid="{00000000-0005-0000-0000-0000764C0000}"/>
    <cellStyle name="Remarque 2 3 2 2 10 8 3" xfId="47890" xr:uid="{00000000-0005-0000-0000-0000774C0000}"/>
    <cellStyle name="Remarque 2 3 2 2 10 9" xfId="2802" xr:uid="{00000000-0005-0000-0000-0000784C0000}"/>
    <cellStyle name="Remarque 2 3 2 2 10 9 2" xfId="26816" xr:uid="{00000000-0005-0000-0000-0000794C0000}"/>
    <cellStyle name="Remarque 2 3 2 2 10 9 3" xfId="50776" xr:uid="{00000000-0005-0000-0000-00007A4C0000}"/>
    <cellStyle name="Remarque 2 3 2 2 11" xfId="1577" xr:uid="{00000000-0005-0000-0000-00007B4C0000}"/>
    <cellStyle name="Remarque 2 3 2 2 11 10" xfId="25609" xr:uid="{00000000-0005-0000-0000-00007C4C0000}"/>
    <cellStyle name="Remarque 2 3 2 2 11 10 2" xfId="49569" xr:uid="{00000000-0005-0000-0000-00007D4C0000}"/>
    <cellStyle name="Remarque 2 3 2 2 11 11" xfId="23689" xr:uid="{00000000-0005-0000-0000-00007E4C0000}"/>
    <cellStyle name="Remarque 2 3 2 2 11 11 2" xfId="47649" xr:uid="{00000000-0005-0000-0000-00007F4C0000}"/>
    <cellStyle name="Remarque 2 3 2 2 11 12" xfId="14274" xr:uid="{00000000-0005-0000-0000-0000804C0000}"/>
    <cellStyle name="Remarque 2 3 2 2 11 13" xfId="38234" xr:uid="{00000000-0005-0000-0000-0000814C0000}"/>
    <cellStyle name="Remarque 2 3 2 2 11 2" xfId="4483" xr:uid="{00000000-0005-0000-0000-0000824C0000}"/>
    <cellStyle name="Remarque 2 3 2 2 11 2 2" xfId="28497" xr:uid="{00000000-0005-0000-0000-0000834C0000}"/>
    <cellStyle name="Remarque 2 3 2 2 11 2 2 2" xfId="52457" xr:uid="{00000000-0005-0000-0000-0000844C0000}"/>
    <cellStyle name="Remarque 2 3 2 2 11 2 3" xfId="15744" xr:uid="{00000000-0005-0000-0000-0000854C0000}"/>
    <cellStyle name="Remarque 2 3 2 2 11 2 4" xfId="39704" xr:uid="{00000000-0005-0000-0000-0000864C0000}"/>
    <cellStyle name="Remarque 2 3 2 2 11 3" xfId="5917" xr:uid="{00000000-0005-0000-0000-0000874C0000}"/>
    <cellStyle name="Remarque 2 3 2 2 11 3 2" xfId="29931" xr:uid="{00000000-0005-0000-0000-0000884C0000}"/>
    <cellStyle name="Remarque 2 3 2 2 11 3 2 2" xfId="53891" xr:uid="{00000000-0005-0000-0000-0000894C0000}"/>
    <cellStyle name="Remarque 2 3 2 2 11 3 3" xfId="17178" xr:uid="{00000000-0005-0000-0000-00008A4C0000}"/>
    <cellStyle name="Remarque 2 3 2 2 11 3 4" xfId="41138" xr:uid="{00000000-0005-0000-0000-00008B4C0000}"/>
    <cellStyle name="Remarque 2 3 2 2 11 4" xfId="7311" xr:uid="{00000000-0005-0000-0000-00008C4C0000}"/>
    <cellStyle name="Remarque 2 3 2 2 11 4 2" xfId="31325" xr:uid="{00000000-0005-0000-0000-00008D4C0000}"/>
    <cellStyle name="Remarque 2 3 2 2 11 4 2 2" xfId="55285" xr:uid="{00000000-0005-0000-0000-00008E4C0000}"/>
    <cellStyle name="Remarque 2 3 2 2 11 4 3" xfId="18572" xr:uid="{00000000-0005-0000-0000-00008F4C0000}"/>
    <cellStyle name="Remarque 2 3 2 2 11 4 4" xfId="42532" xr:uid="{00000000-0005-0000-0000-0000904C0000}"/>
    <cellStyle name="Remarque 2 3 2 2 11 5" xfId="8699" xr:uid="{00000000-0005-0000-0000-0000914C0000}"/>
    <cellStyle name="Remarque 2 3 2 2 11 5 2" xfId="32713" xr:uid="{00000000-0005-0000-0000-0000924C0000}"/>
    <cellStyle name="Remarque 2 3 2 2 11 5 2 2" xfId="56673" xr:uid="{00000000-0005-0000-0000-0000934C0000}"/>
    <cellStyle name="Remarque 2 3 2 2 11 5 3" xfId="19960" xr:uid="{00000000-0005-0000-0000-0000944C0000}"/>
    <cellStyle name="Remarque 2 3 2 2 11 5 4" xfId="43920" xr:uid="{00000000-0005-0000-0000-0000954C0000}"/>
    <cellStyle name="Remarque 2 3 2 2 11 6" xfId="10084" xr:uid="{00000000-0005-0000-0000-0000964C0000}"/>
    <cellStyle name="Remarque 2 3 2 2 11 6 2" xfId="34098" xr:uid="{00000000-0005-0000-0000-0000974C0000}"/>
    <cellStyle name="Remarque 2 3 2 2 11 6 2 2" xfId="58058" xr:uid="{00000000-0005-0000-0000-0000984C0000}"/>
    <cellStyle name="Remarque 2 3 2 2 11 6 3" xfId="21345" xr:uid="{00000000-0005-0000-0000-0000994C0000}"/>
    <cellStyle name="Remarque 2 3 2 2 11 6 4" xfId="45305" xr:uid="{00000000-0005-0000-0000-00009A4C0000}"/>
    <cellStyle name="Remarque 2 3 2 2 11 7" xfId="11541" xr:uid="{00000000-0005-0000-0000-00009B4C0000}"/>
    <cellStyle name="Remarque 2 3 2 2 11 7 2" xfId="35551" xr:uid="{00000000-0005-0000-0000-00009C4C0000}"/>
    <cellStyle name="Remarque 2 3 2 2 11 7 2 2" xfId="59511" xr:uid="{00000000-0005-0000-0000-00009D4C0000}"/>
    <cellStyle name="Remarque 2 3 2 2 11 7 3" xfId="22808" xr:uid="{00000000-0005-0000-0000-00009E4C0000}"/>
    <cellStyle name="Remarque 2 3 2 2 11 7 4" xfId="46768" xr:uid="{00000000-0005-0000-0000-00009F4C0000}"/>
    <cellStyle name="Remarque 2 3 2 2 11 8" xfId="10200" xr:uid="{00000000-0005-0000-0000-0000A04C0000}"/>
    <cellStyle name="Remarque 2 3 2 2 11 8 2" xfId="21466" xr:uid="{00000000-0005-0000-0000-0000A14C0000}"/>
    <cellStyle name="Remarque 2 3 2 2 11 8 3" xfId="45426" xr:uid="{00000000-0005-0000-0000-0000A24C0000}"/>
    <cellStyle name="Remarque 2 3 2 2 11 9" xfId="3013" xr:uid="{00000000-0005-0000-0000-0000A34C0000}"/>
    <cellStyle name="Remarque 2 3 2 2 11 9 2" xfId="27027" xr:uid="{00000000-0005-0000-0000-0000A44C0000}"/>
    <cellStyle name="Remarque 2 3 2 2 11 9 3" xfId="50987" xr:uid="{00000000-0005-0000-0000-0000A54C0000}"/>
    <cellStyle name="Remarque 2 3 2 2 12" xfId="1534" xr:uid="{00000000-0005-0000-0000-0000A64C0000}"/>
    <cellStyle name="Remarque 2 3 2 2 12 10" xfId="25566" xr:uid="{00000000-0005-0000-0000-0000A74C0000}"/>
    <cellStyle name="Remarque 2 3 2 2 12 10 2" xfId="49526" xr:uid="{00000000-0005-0000-0000-0000A84C0000}"/>
    <cellStyle name="Remarque 2 3 2 2 12 11" xfId="36477" xr:uid="{00000000-0005-0000-0000-0000A94C0000}"/>
    <cellStyle name="Remarque 2 3 2 2 12 11 2" xfId="60437" xr:uid="{00000000-0005-0000-0000-0000AA4C0000}"/>
    <cellStyle name="Remarque 2 3 2 2 12 12" xfId="14231" xr:uid="{00000000-0005-0000-0000-0000AB4C0000}"/>
    <cellStyle name="Remarque 2 3 2 2 12 13" xfId="38191" xr:uid="{00000000-0005-0000-0000-0000AC4C0000}"/>
    <cellStyle name="Remarque 2 3 2 2 12 2" xfId="4440" xr:uid="{00000000-0005-0000-0000-0000AD4C0000}"/>
    <cellStyle name="Remarque 2 3 2 2 12 2 2" xfId="28454" xr:uid="{00000000-0005-0000-0000-0000AE4C0000}"/>
    <cellStyle name="Remarque 2 3 2 2 12 2 2 2" xfId="52414" xr:uid="{00000000-0005-0000-0000-0000AF4C0000}"/>
    <cellStyle name="Remarque 2 3 2 2 12 2 3" xfId="15701" xr:uid="{00000000-0005-0000-0000-0000B04C0000}"/>
    <cellStyle name="Remarque 2 3 2 2 12 2 4" xfId="39661" xr:uid="{00000000-0005-0000-0000-0000B14C0000}"/>
    <cellStyle name="Remarque 2 3 2 2 12 3" xfId="5874" xr:uid="{00000000-0005-0000-0000-0000B24C0000}"/>
    <cellStyle name="Remarque 2 3 2 2 12 3 2" xfId="29888" xr:uid="{00000000-0005-0000-0000-0000B34C0000}"/>
    <cellStyle name="Remarque 2 3 2 2 12 3 2 2" xfId="53848" xr:uid="{00000000-0005-0000-0000-0000B44C0000}"/>
    <cellStyle name="Remarque 2 3 2 2 12 3 3" xfId="17135" xr:uid="{00000000-0005-0000-0000-0000B54C0000}"/>
    <cellStyle name="Remarque 2 3 2 2 12 3 4" xfId="41095" xr:uid="{00000000-0005-0000-0000-0000B64C0000}"/>
    <cellStyle name="Remarque 2 3 2 2 12 4" xfId="7268" xr:uid="{00000000-0005-0000-0000-0000B74C0000}"/>
    <cellStyle name="Remarque 2 3 2 2 12 4 2" xfId="31282" xr:uid="{00000000-0005-0000-0000-0000B84C0000}"/>
    <cellStyle name="Remarque 2 3 2 2 12 4 2 2" xfId="55242" xr:uid="{00000000-0005-0000-0000-0000B94C0000}"/>
    <cellStyle name="Remarque 2 3 2 2 12 4 3" xfId="18529" xr:uid="{00000000-0005-0000-0000-0000BA4C0000}"/>
    <cellStyle name="Remarque 2 3 2 2 12 4 4" xfId="42489" xr:uid="{00000000-0005-0000-0000-0000BB4C0000}"/>
    <cellStyle name="Remarque 2 3 2 2 12 5" xfId="8656" xr:uid="{00000000-0005-0000-0000-0000BC4C0000}"/>
    <cellStyle name="Remarque 2 3 2 2 12 5 2" xfId="32670" xr:uid="{00000000-0005-0000-0000-0000BD4C0000}"/>
    <cellStyle name="Remarque 2 3 2 2 12 5 2 2" xfId="56630" xr:uid="{00000000-0005-0000-0000-0000BE4C0000}"/>
    <cellStyle name="Remarque 2 3 2 2 12 5 3" xfId="19917" xr:uid="{00000000-0005-0000-0000-0000BF4C0000}"/>
    <cellStyle name="Remarque 2 3 2 2 12 5 4" xfId="43877" xr:uid="{00000000-0005-0000-0000-0000C04C0000}"/>
    <cellStyle name="Remarque 2 3 2 2 12 6" xfId="10041" xr:uid="{00000000-0005-0000-0000-0000C14C0000}"/>
    <cellStyle name="Remarque 2 3 2 2 12 6 2" xfId="34055" xr:uid="{00000000-0005-0000-0000-0000C24C0000}"/>
    <cellStyle name="Remarque 2 3 2 2 12 6 2 2" xfId="58015" xr:uid="{00000000-0005-0000-0000-0000C34C0000}"/>
    <cellStyle name="Remarque 2 3 2 2 12 6 3" xfId="21302" xr:uid="{00000000-0005-0000-0000-0000C44C0000}"/>
    <cellStyle name="Remarque 2 3 2 2 12 6 4" xfId="45262" xr:uid="{00000000-0005-0000-0000-0000C54C0000}"/>
    <cellStyle name="Remarque 2 3 2 2 12 7" xfId="11498" xr:uid="{00000000-0005-0000-0000-0000C64C0000}"/>
    <cellStyle name="Remarque 2 3 2 2 12 7 2" xfId="35508" xr:uid="{00000000-0005-0000-0000-0000C74C0000}"/>
    <cellStyle name="Remarque 2 3 2 2 12 7 2 2" xfId="59468" xr:uid="{00000000-0005-0000-0000-0000C84C0000}"/>
    <cellStyle name="Remarque 2 3 2 2 12 7 3" xfId="22765" xr:uid="{00000000-0005-0000-0000-0000C94C0000}"/>
    <cellStyle name="Remarque 2 3 2 2 12 7 4" xfId="46725" xr:uid="{00000000-0005-0000-0000-0000CA4C0000}"/>
    <cellStyle name="Remarque 2 3 2 2 12 8" xfId="11810" xr:uid="{00000000-0005-0000-0000-0000CB4C0000}"/>
    <cellStyle name="Remarque 2 3 2 2 12 8 2" xfId="23084" xr:uid="{00000000-0005-0000-0000-0000CC4C0000}"/>
    <cellStyle name="Remarque 2 3 2 2 12 8 3" xfId="47044" xr:uid="{00000000-0005-0000-0000-0000CD4C0000}"/>
    <cellStyle name="Remarque 2 3 2 2 12 9" xfId="2970" xr:uid="{00000000-0005-0000-0000-0000CE4C0000}"/>
    <cellStyle name="Remarque 2 3 2 2 12 9 2" xfId="26984" xr:uid="{00000000-0005-0000-0000-0000CF4C0000}"/>
    <cellStyle name="Remarque 2 3 2 2 12 9 3" xfId="50944" xr:uid="{00000000-0005-0000-0000-0000D04C0000}"/>
    <cellStyle name="Remarque 2 3 2 2 13" xfId="1594" xr:uid="{00000000-0005-0000-0000-0000D14C0000}"/>
    <cellStyle name="Remarque 2 3 2 2 13 10" xfId="25626" xr:uid="{00000000-0005-0000-0000-0000D24C0000}"/>
    <cellStyle name="Remarque 2 3 2 2 13 10 2" xfId="49586" xr:uid="{00000000-0005-0000-0000-0000D34C0000}"/>
    <cellStyle name="Remarque 2 3 2 2 13 11" xfId="36853" xr:uid="{00000000-0005-0000-0000-0000D44C0000}"/>
    <cellStyle name="Remarque 2 3 2 2 13 11 2" xfId="60813" xr:uid="{00000000-0005-0000-0000-0000D54C0000}"/>
    <cellStyle name="Remarque 2 3 2 2 13 12" xfId="14291" xr:uid="{00000000-0005-0000-0000-0000D64C0000}"/>
    <cellStyle name="Remarque 2 3 2 2 13 13" xfId="38251" xr:uid="{00000000-0005-0000-0000-0000D74C0000}"/>
    <cellStyle name="Remarque 2 3 2 2 13 2" xfId="4500" xr:uid="{00000000-0005-0000-0000-0000D84C0000}"/>
    <cellStyle name="Remarque 2 3 2 2 13 2 2" xfId="28514" xr:uid="{00000000-0005-0000-0000-0000D94C0000}"/>
    <cellStyle name="Remarque 2 3 2 2 13 2 2 2" xfId="52474" xr:uid="{00000000-0005-0000-0000-0000DA4C0000}"/>
    <cellStyle name="Remarque 2 3 2 2 13 2 3" xfId="15761" xr:uid="{00000000-0005-0000-0000-0000DB4C0000}"/>
    <cellStyle name="Remarque 2 3 2 2 13 2 4" xfId="39721" xr:uid="{00000000-0005-0000-0000-0000DC4C0000}"/>
    <cellStyle name="Remarque 2 3 2 2 13 3" xfId="5934" xr:uid="{00000000-0005-0000-0000-0000DD4C0000}"/>
    <cellStyle name="Remarque 2 3 2 2 13 3 2" xfId="29948" xr:uid="{00000000-0005-0000-0000-0000DE4C0000}"/>
    <cellStyle name="Remarque 2 3 2 2 13 3 2 2" xfId="53908" xr:uid="{00000000-0005-0000-0000-0000DF4C0000}"/>
    <cellStyle name="Remarque 2 3 2 2 13 3 3" xfId="17195" xr:uid="{00000000-0005-0000-0000-0000E04C0000}"/>
    <cellStyle name="Remarque 2 3 2 2 13 3 4" xfId="41155" xr:uid="{00000000-0005-0000-0000-0000E14C0000}"/>
    <cellStyle name="Remarque 2 3 2 2 13 4" xfId="7328" xr:uid="{00000000-0005-0000-0000-0000E24C0000}"/>
    <cellStyle name="Remarque 2 3 2 2 13 4 2" xfId="31342" xr:uid="{00000000-0005-0000-0000-0000E34C0000}"/>
    <cellStyle name="Remarque 2 3 2 2 13 4 2 2" xfId="55302" xr:uid="{00000000-0005-0000-0000-0000E44C0000}"/>
    <cellStyle name="Remarque 2 3 2 2 13 4 3" xfId="18589" xr:uid="{00000000-0005-0000-0000-0000E54C0000}"/>
    <cellStyle name="Remarque 2 3 2 2 13 4 4" xfId="42549" xr:uid="{00000000-0005-0000-0000-0000E64C0000}"/>
    <cellStyle name="Remarque 2 3 2 2 13 5" xfId="8716" xr:uid="{00000000-0005-0000-0000-0000E74C0000}"/>
    <cellStyle name="Remarque 2 3 2 2 13 5 2" xfId="32730" xr:uid="{00000000-0005-0000-0000-0000E84C0000}"/>
    <cellStyle name="Remarque 2 3 2 2 13 5 2 2" xfId="56690" xr:uid="{00000000-0005-0000-0000-0000E94C0000}"/>
    <cellStyle name="Remarque 2 3 2 2 13 5 3" xfId="19977" xr:uid="{00000000-0005-0000-0000-0000EA4C0000}"/>
    <cellStyle name="Remarque 2 3 2 2 13 5 4" xfId="43937" xr:uid="{00000000-0005-0000-0000-0000EB4C0000}"/>
    <cellStyle name="Remarque 2 3 2 2 13 6" xfId="10101" xr:uid="{00000000-0005-0000-0000-0000EC4C0000}"/>
    <cellStyle name="Remarque 2 3 2 2 13 6 2" xfId="34115" xr:uid="{00000000-0005-0000-0000-0000ED4C0000}"/>
    <cellStyle name="Remarque 2 3 2 2 13 6 2 2" xfId="58075" xr:uid="{00000000-0005-0000-0000-0000EE4C0000}"/>
    <cellStyle name="Remarque 2 3 2 2 13 6 3" xfId="21362" xr:uid="{00000000-0005-0000-0000-0000EF4C0000}"/>
    <cellStyle name="Remarque 2 3 2 2 13 6 4" xfId="45322" xr:uid="{00000000-0005-0000-0000-0000F04C0000}"/>
    <cellStyle name="Remarque 2 3 2 2 13 7" xfId="11558" xr:uid="{00000000-0005-0000-0000-0000F14C0000}"/>
    <cellStyle name="Remarque 2 3 2 2 13 7 2" xfId="35568" xr:uid="{00000000-0005-0000-0000-0000F24C0000}"/>
    <cellStyle name="Remarque 2 3 2 2 13 7 2 2" xfId="59528" xr:uid="{00000000-0005-0000-0000-0000F34C0000}"/>
    <cellStyle name="Remarque 2 3 2 2 13 7 3" xfId="22825" xr:uid="{00000000-0005-0000-0000-0000F44C0000}"/>
    <cellStyle name="Remarque 2 3 2 2 13 7 4" xfId="46785" xr:uid="{00000000-0005-0000-0000-0000F54C0000}"/>
    <cellStyle name="Remarque 2 3 2 2 13 8" xfId="10131" xr:uid="{00000000-0005-0000-0000-0000F64C0000}"/>
    <cellStyle name="Remarque 2 3 2 2 13 8 2" xfId="21392" xr:uid="{00000000-0005-0000-0000-0000F74C0000}"/>
    <cellStyle name="Remarque 2 3 2 2 13 8 3" xfId="45352" xr:uid="{00000000-0005-0000-0000-0000F84C0000}"/>
    <cellStyle name="Remarque 2 3 2 2 13 9" xfId="3030" xr:uid="{00000000-0005-0000-0000-0000F94C0000}"/>
    <cellStyle name="Remarque 2 3 2 2 13 9 2" xfId="27044" xr:uid="{00000000-0005-0000-0000-0000FA4C0000}"/>
    <cellStyle name="Remarque 2 3 2 2 13 9 3" xfId="51004" xr:uid="{00000000-0005-0000-0000-0000FB4C0000}"/>
    <cellStyle name="Remarque 2 3 2 2 14" xfId="219" xr:uid="{00000000-0005-0000-0000-0000FC4C0000}"/>
    <cellStyle name="Remarque 2 3 2 2 14 10" xfId="35713" xr:uid="{00000000-0005-0000-0000-0000FD4C0000}"/>
    <cellStyle name="Remarque 2 3 2 2 14 10 2" xfId="59673" xr:uid="{00000000-0005-0000-0000-0000FE4C0000}"/>
    <cellStyle name="Remarque 2 3 2 2 14 11" xfId="14386" xr:uid="{00000000-0005-0000-0000-0000FF4C0000}"/>
    <cellStyle name="Remarque 2 3 2 2 14 12" xfId="38346" xr:uid="{00000000-0005-0000-0000-0000004D0000}"/>
    <cellStyle name="Remarque 2 3 2 2 14 2" xfId="4564" xr:uid="{00000000-0005-0000-0000-0000014D0000}"/>
    <cellStyle name="Remarque 2 3 2 2 14 2 2" xfId="28578" xr:uid="{00000000-0005-0000-0000-0000024D0000}"/>
    <cellStyle name="Remarque 2 3 2 2 14 2 2 2" xfId="52538" xr:uid="{00000000-0005-0000-0000-0000034D0000}"/>
    <cellStyle name="Remarque 2 3 2 2 14 2 3" xfId="15825" xr:uid="{00000000-0005-0000-0000-0000044D0000}"/>
    <cellStyle name="Remarque 2 3 2 2 14 2 4" xfId="39785" xr:uid="{00000000-0005-0000-0000-0000054D0000}"/>
    <cellStyle name="Remarque 2 3 2 2 14 3" xfId="5963" xr:uid="{00000000-0005-0000-0000-0000064D0000}"/>
    <cellStyle name="Remarque 2 3 2 2 14 3 2" xfId="29977" xr:uid="{00000000-0005-0000-0000-0000074D0000}"/>
    <cellStyle name="Remarque 2 3 2 2 14 3 2 2" xfId="53937" xr:uid="{00000000-0005-0000-0000-0000084D0000}"/>
    <cellStyle name="Remarque 2 3 2 2 14 3 3" xfId="17224" xr:uid="{00000000-0005-0000-0000-0000094D0000}"/>
    <cellStyle name="Remarque 2 3 2 2 14 3 4" xfId="41184" xr:uid="{00000000-0005-0000-0000-00000A4D0000}"/>
    <cellStyle name="Remarque 2 3 2 2 14 4" xfId="7357" xr:uid="{00000000-0005-0000-0000-00000B4D0000}"/>
    <cellStyle name="Remarque 2 3 2 2 14 4 2" xfId="31371" xr:uid="{00000000-0005-0000-0000-00000C4D0000}"/>
    <cellStyle name="Remarque 2 3 2 2 14 4 2 2" xfId="55331" xr:uid="{00000000-0005-0000-0000-00000D4D0000}"/>
    <cellStyle name="Remarque 2 3 2 2 14 4 3" xfId="18618" xr:uid="{00000000-0005-0000-0000-00000E4D0000}"/>
    <cellStyle name="Remarque 2 3 2 2 14 4 4" xfId="42578" xr:uid="{00000000-0005-0000-0000-00000F4D0000}"/>
    <cellStyle name="Remarque 2 3 2 2 14 5" xfId="8745" xr:uid="{00000000-0005-0000-0000-0000104D0000}"/>
    <cellStyle name="Remarque 2 3 2 2 14 5 2" xfId="32759" xr:uid="{00000000-0005-0000-0000-0000114D0000}"/>
    <cellStyle name="Remarque 2 3 2 2 14 5 2 2" xfId="56719" xr:uid="{00000000-0005-0000-0000-0000124D0000}"/>
    <cellStyle name="Remarque 2 3 2 2 14 5 3" xfId="20006" xr:uid="{00000000-0005-0000-0000-0000134D0000}"/>
    <cellStyle name="Remarque 2 3 2 2 14 5 4" xfId="43966" xr:uid="{00000000-0005-0000-0000-0000144D0000}"/>
    <cellStyle name="Remarque 2 3 2 2 14 6" xfId="10185" xr:uid="{00000000-0005-0000-0000-0000154D0000}"/>
    <cellStyle name="Remarque 2 3 2 2 14 6 2" xfId="34197" xr:uid="{00000000-0005-0000-0000-0000164D0000}"/>
    <cellStyle name="Remarque 2 3 2 2 14 6 2 2" xfId="58157" xr:uid="{00000000-0005-0000-0000-0000174D0000}"/>
    <cellStyle name="Remarque 2 3 2 2 14 6 3" xfId="21450" xr:uid="{00000000-0005-0000-0000-0000184D0000}"/>
    <cellStyle name="Remarque 2 3 2 2 14 6 4" xfId="45410" xr:uid="{00000000-0005-0000-0000-0000194D0000}"/>
    <cellStyle name="Remarque 2 3 2 2 14 7" xfId="12801" xr:uid="{00000000-0005-0000-0000-00001A4D0000}"/>
    <cellStyle name="Remarque 2 3 2 2 14 7 2" xfId="24112" xr:uid="{00000000-0005-0000-0000-00001B4D0000}"/>
    <cellStyle name="Remarque 2 3 2 2 14 7 3" xfId="48072" xr:uid="{00000000-0005-0000-0000-00001C4D0000}"/>
    <cellStyle name="Remarque 2 3 2 2 14 8" xfId="3125" xr:uid="{00000000-0005-0000-0000-00001D4D0000}"/>
    <cellStyle name="Remarque 2 3 2 2 14 8 2" xfId="27139" xr:uid="{00000000-0005-0000-0000-00001E4D0000}"/>
    <cellStyle name="Remarque 2 3 2 2 14 8 3" xfId="51099" xr:uid="{00000000-0005-0000-0000-00001F4D0000}"/>
    <cellStyle name="Remarque 2 3 2 2 14 9" xfId="24251" xr:uid="{00000000-0005-0000-0000-0000204D0000}"/>
    <cellStyle name="Remarque 2 3 2 2 14 9 2" xfId="48211" xr:uid="{00000000-0005-0000-0000-0000214D0000}"/>
    <cellStyle name="Remarque 2 3 2 2 15" xfId="3094" xr:uid="{00000000-0005-0000-0000-0000224D0000}"/>
    <cellStyle name="Remarque 2 3 2 2 15 2" xfId="27108" xr:uid="{00000000-0005-0000-0000-0000234D0000}"/>
    <cellStyle name="Remarque 2 3 2 2 15 2 2" xfId="51068" xr:uid="{00000000-0005-0000-0000-0000244D0000}"/>
    <cellStyle name="Remarque 2 3 2 2 15 3" xfId="14355" xr:uid="{00000000-0005-0000-0000-0000254D0000}"/>
    <cellStyle name="Remarque 2 3 2 2 15 4" xfId="38315" xr:uid="{00000000-0005-0000-0000-0000264D0000}"/>
    <cellStyle name="Remarque 2 3 2 2 16" xfId="4533" xr:uid="{00000000-0005-0000-0000-0000274D0000}"/>
    <cellStyle name="Remarque 2 3 2 2 16 2" xfId="28547" xr:uid="{00000000-0005-0000-0000-0000284D0000}"/>
    <cellStyle name="Remarque 2 3 2 2 16 2 2" xfId="52507" xr:uid="{00000000-0005-0000-0000-0000294D0000}"/>
    <cellStyle name="Remarque 2 3 2 2 16 3" xfId="15794" xr:uid="{00000000-0005-0000-0000-00002A4D0000}"/>
    <cellStyle name="Remarque 2 3 2 2 16 4" xfId="39754" xr:uid="{00000000-0005-0000-0000-00002B4D0000}"/>
    <cellStyle name="Remarque 2 3 2 2 17" xfId="3059" xr:uid="{00000000-0005-0000-0000-00002C4D0000}"/>
    <cellStyle name="Remarque 2 3 2 2 17 2" xfId="27073" xr:uid="{00000000-0005-0000-0000-00002D4D0000}"/>
    <cellStyle name="Remarque 2 3 2 2 17 2 2" xfId="51033" xr:uid="{00000000-0005-0000-0000-00002E4D0000}"/>
    <cellStyle name="Remarque 2 3 2 2 17 3" xfId="14320" xr:uid="{00000000-0005-0000-0000-00002F4D0000}"/>
    <cellStyle name="Remarque 2 3 2 2 17 4" xfId="38280" xr:uid="{00000000-0005-0000-0000-0000304D0000}"/>
    <cellStyle name="Remarque 2 3 2 2 18" xfId="3055" xr:uid="{00000000-0005-0000-0000-0000314D0000}"/>
    <cellStyle name="Remarque 2 3 2 2 18 2" xfId="27069" xr:uid="{00000000-0005-0000-0000-0000324D0000}"/>
    <cellStyle name="Remarque 2 3 2 2 18 2 2" xfId="51029" xr:uid="{00000000-0005-0000-0000-0000334D0000}"/>
    <cellStyle name="Remarque 2 3 2 2 18 3" xfId="14316" xr:uid="{00000000-0005-0000-0000-0000344D0000}"/>
    <cellStyle name="Remarque 2 3 2 2 18 4" xfId="38276" xr:uid="{00000000-0005-0000-0000-0000354D0000}"/>
    <cellStyle name="Remarque 2 3 2 2 19" xfId="4514" xr:uid="{00000000-0005-0000-0000-0000364D0000}"/>
    <cellStyle name="Remarque 2 3 2 2 19 2" xfId="28528" xr:uid="{00000000-0005-0000-0000-0000374D0000}"/>
    <cellStyle name="Remarque 2 3 2 2 19 2 2" xfId="52488" xr:uid="{00000000-0005-0000-0000-0000384D0000}"/>
    <cellStyle name="Remarque 2 3 2 2 19 3" xfId="15775" xr:uid="{00000000-0005-0000-0000-0000394D0000}"/>
    <cellStyle name="Remarque 2 3 2 2 19 4" xfId="39735" xr:uid="{00000000-0005-0000-0000-00003A4D0000}"/>
    <cellStyle name="Remarque 2 3 2 2 2" xfId="108" xr:uid="{00000000-0005-0000-0000-00003B4D0000}"/>
    <cellStyle name="Remarque 2 3 2 2 2 10" xfId="3167" xr:uid="{00000000-0005-0000-0000-00003C4D0000}"/>
    <cellStyle name="Remarque 2 3 2 2 2 10 2" xfId="27181" xr:uid="{00000000-0005-0000-0000-00003D4D0000}"/>
    <cellStyle name="Remarque 2 3 2 2 2 10 2 2" xfId="51141" xr:uid="{00000000-0005-0000-0000-00003E4D0000}"/>
    <cellStyle name="Remarque 2 3 2 2 2 10 3" xfId="14428" xr:uid="{00000000-0005-0000-0000-00003F4D0000}"/>
    <cellStyle name="Remarque 2 3 2 2 2 10 4" xfId="38388" xr:uid="{00000000-0005-0000-0000-0000404D0000}"/>
    <cellStyle name="Remarque 2 3 2 2 2 11" xfId="4601" xr:uid="{00000000-0005-0000-0000-0000414D0000}"/>
    <cellStyle name="Remarque 2 3 2 2 2 11 2" xfId="28615" xr:uid="{00000000-0005-0000-0000-0000424D0000}"/>
    <cellStyle name="Remarque 2 3 2 2 2 11 2 2" xfId="52575" xr:uid="{00000000-0005-0000-0000-0000434D0000}"/>
    <cellStyle name="Remarque 2 3 2 2 2 11 3" xfId="15862" xr:uid="{00000000-0005-0000-0000-0000444D0000}"/>
    <cellStyle name="Remarque 2 3 2 2 2 11 4" xfId="39822" xr:uid="{00000000-0005-0000-0000-0000454D0000}"/>
    <cellStyle name="Remarque 2 3 2 2 2 12" xfId="5995" xr:uid="{00000000-0005-0000-0000-0000464D0000}"/>
    <cellStyle name="Remarque 2 3 2 2 2 12 2" xfId="30009" xr:uid="{00000000-0005-0000-0000-0000474D0000}"/>
    <cellStyle name="Remarque 2 3 2 2 2 12 2 2" xfId="53969" xr:uid="{00000000-0005-0000-0000-0000484D0000}"/>
    <cellStyle name="Remarque 2 3 2 2 2 12 3" xfId="17256" xr:uid="{00000000-0005-0000-0000-0000494D0000}"/>
    <cellStyle name="Remarque 2 3 2 2 2 12 4" xfId="41216" xr:uid="{00000000-0005-0000-0000-00004A4D0000}"/>
    <cellStyle name="Remarque 2 3 2 2 2 13" xfId="7383" xr:uid="{00000000-0005-0000-0000-00004B4D0000}"/>
    <cellStyle name="Remarque 2 3 2 2 2 13 2" xfId="31397" xr:uid="{00000000-0005-0000-0000-00004C4D0000}"/>
    <cellStyle name="Remarque 2 3 2 2 2 13 2 2" xfId="55357" xr:uid="{00000000-0005-0000-0000-00004D4D0000}"/>
    <cellStyle name="Remarque 2 3 2 2 2 13 3" xfId="18644" xr:uid="{00000000-0005-0000-0000-00004E4D0000}"/>
    <cellStyle name="Remarque 2 3 2 2 2 13 4" xfId="42604" xr:uid="{00000000-0005-0000-0000-00004F4D0000}"/>
    <cellStyle name="Remarque 2 3 2 2 2 14" xfId="8768" xr:uid="{00000000-0005-0000-0000-0000504D0000}"/>
    <cellStyle name="Remarque 2 3 2 2 2 14 2" xfId="32782" xr:uid="{00000000-0005-0000-0000-0000514D0000}"/>
    <cellStyle name="Remarque 2 3 2 2 2 14 2 2" xfId="56742" xr:uid="{00000000-0005-0000-0000-0000524D0000}"/>
    <cellStyle name="Remarque 2 3 2 2 2 14 3" xfId="20029" xr:uid="{00000000-0005-0000-0000-0000534D0000}"/>
    <cellStyle name="Remarque 2 3 2 2 2 14 4" xfId="43989" xr:uid="{00000000-0005-0000-0000-0000544D0000}"/>
    <cellStyle name="Remarque 2 3 2 2 2 15" xfId="10225" xr:uid="{00000000-0005-0000-0000-0000554D0000}"/>
    <cellStyle name="Remarque 2 3 2 2 2 15 2" xfId="34235" xr:uid="{00000000-0005-0000-0000-0000564D0000}"/>
    <cellStyle name="Remarque 2 3 2 2 2 15 2 2" xfId="58195" xr:uid="{00000000-0005-0000-0000-0000574D0000}"/>
    <cellStyle name="Remarque 2 3 2 2 2 15 3" xfId="21492" xr:uid="{00000000-0005-0000-0000-0000584D0000}"/>
    <cellStyle name="Remarque 2 3 2 2 2 15 4" xfId="45452" xr:uid="{00000000-0005-0000-0000-0000594D0000}"/>
    <cellStyle name="Remarque 2 3 2 2 2 16" xfId="11975" xr:uid="{00000000-0005-0000-0000-00005A4D0000}"/>
    <cellStyle name="Remarque 2 3 2 2 2 16 2" xfId="23253" xr:uid="{00000000-0005-0000-0000-00005B4D0000}"/>
    <cellStyle name="Remarque 2 3 2 2 2 16 3" xfId="47213" xr:uid="{00000000-0005-0000-0000-00005C4D0000}"/>
    <cellStyle name="Remarque 2 3 2 2 2 17" xfId="1697" xr:uid="{00000000-0005-0000-0000-00005D4D0000}"/>
    <cellStyle name="Remarque 2 3 2 2 2 17 2" xfId="25711" xr:uid="{00000000-0005-0000-0000-00005E4D0000}"/>
    <cellStyle name="Remarque 2 3 2 2 2 17 3" xfId="49671" xr:uid="{00000000-0005-0000-0000-00005F4D0000}"/>
    <cellStyle name="Remarque 2 3 2 2 2 18" xfId="24293" xr:uid="{00000000-0005-0000-0000-0000604D0000}"/>
    <cellStyle name="Remarque 2 3 2 2 2 18 2" xfId="48253" xr:uid="{00000000-0005-0000-0000-0000614D0000}"/>
    <cellStyle name="Remarque 2 3 2 2 2 19" xfId="36130" xr:uid="{00000000-0005-0000-0000-0000624D0000}"/>
    <cellStyle name="Remarque 2 3 2 2 2 19 2" xfId="60090" xr:uid="{00000000-0005-0000-0000-0000634D0000}"/>
    <cellStyle name="Remarque 2 3 2 2 2 2" xfId="436" xr:uid="{00000000-0005-0000-0000-0000644D0000}"/>
    <cellStyle name="Remarque 2 3 2 2 2 2 10" xfId="6170" xr:uid="{00000000-0005-0000-0000-0000654D0000}"/>
    <cellStyle name="Remarque 2 3 2 2 2 2 10 2" xfId="30184" xr:uid="{00000000-0005-0000-0000-0000664D0000}"/>
    <cellStyle name="Remarque 2 3 2 2 2 2 10 2 2" xfId="54144" xr:uid="{00000000-0005-0000-0000-0000674D0000}"/>
    <cellStyle name="Remarque 2 3 2 2 2 2 10 3" xfId="17431" xr:uid="{00000000-0005-0000-0000-0000684D0000}"/>
    <cellStyle name="Remarque 2 3 2 2 2 2 10 4" xfId="41391" xr:uid="{00000000-0005-0000-0000-0000694D0000}"/>
    <cellStyle name="Remarque 2 3 2 2 2 2 11" xfId="7558" xr:uid="{00000000-0005-0000-0000-00006A4D0000}"/>
    <cellStyle name="Remarque 2 3 2 2 2 2 11 2" xfId="31572" xr:uid="{00000000-0005-0000-0000-00006B4D0000}"/>
    <cellStyle name="Remarque 2 3 2 2 2 2 11 2 2" xfId="55532" xr:uid="{00000000-0005-0000-0000-00006C4D0000}"/>
    <cellStyle name="Remarque 2 3 2 2 2 2 11 3" xfId="18819" xr:uid="{00000000-0005-0000-0000-00006D4D0000}"/>
    <cellStyle name="Remarque 2 3 2 2 2 2 11 4" xfId="42779" xr:uid="{00000000-0005-0000-0000-00006E4D0000}"/>
    <cellStyle name="Remarque 2 3 2 2 2 2 12" xfId="8943" xr:uid="{00000000-0005-0000-0000-00006F4D0000}"/>
    <cellStyle name="Remarque 2 3 2 2 2 2 12 2" xfId="32957" xr:uid="{00000000-0005-0000-0000-0000704D0000}"/>
    <cellStyle name="Remarque 2 3 2 2 2 2 12 2 2" xfId="56917" xr:uid="{00000000-0005-0000-0000-0000714D0000}"/>
    <cellStyle name="Remarque 2 3 2 2 2 2 12 3" xfId="20204" xr:uid="{00000000-0005-0000-0000-0000724D0000}"/>
    <cellStyle name="Remarque 2 3 2 2 2 2 12 4" xfId="44164" xr:uid="{00000000-0005-0000-0000-0000734D0000}"/>
    <cellStyle name="Remarque 2 3 2 2 2 2 13" xfId="10400" xr:uid="{00000000-0005-0000-0000-0000744D0000}"/>
    <cellStyle name="Remarque 2 3 2 2 2 2 13 2" xfId="34410" xr:uid="{00000000-0005-0000-0000-0000754D0000}"/>
    <cellStyle name="Remarque 2 3 2 2 2 2 13 2 2" xfId="58370" xr:uid="{00000000-0005-0000-0000-0000764D0000}"/>
    <cellStyle name="Remarque 2 3 2 2 2 2 13 3" xfId="21667" xr:uid="{00000000-0005-0000-0000-0000774D0000}"/>
    <cellStyle name="Remarque 2 3 2 2 2 2 13 4" xfId="45627" xr:uid="{00000000-0005-0000-0000-0000784D0000}"/>
    <cellStyle name="Remarque 2 3 2 2 2 2 14" xfId="12525" xr:uid="{00000000-0005-0000-0000-0000794D0000}"/>
    <cellStyle name="Remarque 2 3 2 2 2 2 14 2" xfId="23822" xr:uid="{00000000-0005-0000-0000-00007A4D0000}"/>
    <cellStyle name="Remarque 2 3 2 2 2 2 14 3" xfId="47782" xr:uid="{00000000-0005-0000-0000-00007B4D0000}"/>
    <cellStyle name="Remarque 2 3 2 2 2 2 15" xfId="1872" xr:uid="{00000000-0005-0000-0000-00007C4D0000}"/>
    <cellStyle name="Remarque 2 3 2 2 2 2 15 2" xfId="25886" xr:uid="{00000000-0005-0000-0000-00007D4D0000}"/>
    <cellStyle name="Remarque 2 3 2 2 2 2 15 3" xfId="49846" xr:uid="{00000000-0005-0000-0000-00007E4D0000}"/>
    <cellStyle name="Remarque 2 3 2 2 2 2 16" xfId="24468" xr:uid="{00000000-0005-0000-0000-00007F4D0000}"/>
    <cellStyle name="Remarque 2 3 2 2 2 2 16 2" xfId="48428" xr:uid="{00000000-0005-0000-0000-0000804D0000}"/>
    <cellStyle name="Remarque 2 3 2 2 2 2 17" xfId="36708" xr:uid="{00000000-0005-0000-0000-0000814D0000}"/>
    <cellStyle name="Remarque 2 3 2 2 2 2 17 2" xfId="60668" xr:uid="{00000000-0005-0000-0000-0000824D0000}"/>
    <cellStyle name="Remarque 2 3 2 2 2 2 18" xfId="13133" xr:uid="{00000000-0005-0000-0000-0000834D0000}"/>
    <cellStyle name="Remarque 2 3 2 2 2 2 19" xfId="37093" xr:uid="{00000000-0005-0000-0000-0000844D0000}"/>
    <cellStyle name="Remarque 2 3 2 2 2 2 2" xfId="572" xr:uid="{00000000-0005-0000-0000-0000854D0000}"/>
    <cellStyle name="Remarque 2 3 2 2 2 2 2 10" xfId="24604" xr:uid="{00000000-0005-0000-0000-0000864D0000}"/>
    <cellStyle name="Remarque 2 3 2 2 2 2 2 10 2" xfId="48564" xr:uid="{00000000-0005-0000-0000-0000874D0000}"/>
    <cellStyle name="Remarque 2 3 2 2 2 2 2 11" xfId="36769" xr:uid="{00000000-0005-0000-0000-0000884D0000}"/>
    <cellStyle name="Remarque 2 3 2 2 2 2 2 11 2" xfId="60729" xr:uid="{00000000-0005-0000-0000-0000894D0000}"/>
    <cellStyle name="Remarque 2 3 2 2 2 2 2 12" xfId="13269" xr:uid="{00000000-0005-0000-0000-00008A4D0000}"/>
    <cellStyle name="Remarque 2 3 2 2 2 2 2 13" xfId="37229" xr:uid="{00000000-0005-0000-0000-00008B4D0000}"/>
    <cellStyle name="Remarque 2 3 2 2 2 2 2 2" xfId="3478" xr:uid="{00000000-0005-0000-0000-00008C4D0000}"/>
    <cellStyle name="Remarque 2 3 2 2 2 2 2 2 2" xfId="27492" xr:uid="{00000000-0005-0000-0000-00008D4D0000}"/>
    <cellStyle name="Remarque 2 3 2 2 2 2 2 2 2 2" xfId="51452" xr:uid="{00000000-0005-0000-0000-00008E4D0000}"/>
    <cellStyle name="Remarque 2 3 2 2 2 2 2 2 3" xfId="14739" xr:uid="{00000000-0005-0000-0000-00008F4D0000}"/>
    <cellStyle name="Remarque 2 3 2 2 2 2 2 2 4" xfId="38699" xr:uid="{00000000-0005-0000-0000-0000904D0000}"/>
    <cellStyle name="Remarque 2 3 2 2 2 2 2 3" xfId="4912" xr:uid="{00000000-0005-0000-0000-0000914D0000}"/>
    <cellStyle name="Remarque 2 3 2 2 2 2 2 3 2" xfId="28926" xr:uid="{00000000-0005-0000-0000-0000924D0000}"/>
    <cellStyle name="Remarque 2 3 2 2 2 2 2 3 2 2" xfId="52886" xr:uid="{00000000-0005-0000-0000-0000934D0000}"/>
    <cellStyle name="Remarque 2 3 2 2 2 2 2 3 3" xfId="16173" xr:uid="{00000000-0005-0000-0000-0000944D0000}"/>
    <cellStyle name="Remarque 2 3 2 2 2 2 2 3 4" xfId="40133" xr:uid="{00000000-0005-0000-0000-0000954D0000}"/>
    <cellStyle name="Remarque 2 3 2 2 2 2 2 4" xfId="6306" xr:uid="{00000000-0005-0000-0000-0000964D0000}"/>
    <cellStyle name="Remarque 2 3 2 2 2 2 2 4 2" xfId="30320" xr:uid="{00000000-0005-0000-0000-0000974D0000}"/>
    <cellStyle name="Remarque 2 3 2 2 2 2 2 4 2 2" xfId="54280" xr:uid="{00000000-0005-0000-0000-0000984D0000}"/>
    <cellStyle name="Remarque 2 3 2 2 2 2 2 4 3" xfId="17567" xr:uid="{00000000-0005-0000-0000-0000994D0000}"/>
    <cellStyle name="Remarque 2 3 2 2 2 2 2 4 4" xfId="41527" xr:uid="{00000000-0005-0000-0000-00009A4D0000}"/>
    <cellStyle name="Remarque 2 3 2 2 2 2 2 5" xfId="7694" xr:uid="{00000000-0005-0000-0000-00009B4D0000}"/>
    <cellStyle name="Remarque 2 3 2 2 2 2 2 5 2" xfId="31708" xr:uid="{00000000-0005-0000-0000-00009C4D0000}"/>
    <cellStyle name="Remarque 2 3 2 2 2 2 2 5 2 2" xfId="55668" xr:uid="{00000000-0005-0000-0000-00009D4D0000}"/>
    <cellStyle name="Remarque 2 3 2 2 2 2 2 5 3" xfId="18955" xr:uid="{00000000-0005-0000-0000-00009E4D0000}"/>
    <cellStyle name="Remarque 2 3 2 2 2 2 2 5 4" xfId="42915" xr:uid="{00000000-0005-0000-0000-00009F4D0000}"/>
    <cellStyle name="Remarque 2 3 2 2 2 2 2 6" xfId="9079" xr:uid="{00000000-0005-0000-0000-0000A04D0000}"/>
    <cellStyle name="Remarque 2 3 2 2 2 2 2 6 2" xfId="33093" xr:uid="{00000000-0005-0000-0000-0000A14D0000}"/>
    <cellStyle name="Remarque 2 3 2 2 2 2 2 6 2 2" xfId="57053" xr:uid="{00000000-0005-0000-0000-0000A24D0000}"/>
    <cellStyle name="Remarque 2 3 2 2 2 2 2 6 3" xfId="20340" xr:uid="{00000000-0005-0000-0000-0000A34D0000}"/>
    <cellStyle name="Remarque 2 3 2 2 2 2 2 6 4" xfId="44300" xr:uid="{00000000-0005-0000-0000-0000A44D0000}"/>
    <cellStyle name="Remarque 2 3 2 2 2 2 2 7" xfId="10536" xr:uid="{00000000-0005-0000-0000-0000A54D0000}"/>
    <cellStyle name="Remarque 2 3 2 2 2 2 2 7 2" xfId="34546" xr:uid="{00000000-0005-0000-0000-0000A64D0000}"/>
    <cellStyle name="Remarque 2 3 2 2 2 2 2 7 2 2" xfId="58506" xr:uid="{00000000-0005-0000-0000-0000A74D0000}"/>
    <cellStyle name="Remarque 2 3 2 2 2 2 2 7 3" xfId="21803" xr:uid="{00000000-0005-0000-0000-0000A84D0000}"/>
    <cellStyle name="Remarque 2 3 2 2 2 2 2 7 4" xfId="45763" xr:uid="{00000000-0005-0000-0000-0000A94D0000}"/>
    <cellStyle name="Remarque 2 3 2 2 2 2 2 8" xfId="11575" xr:uid="{00000000-0005-0000-0000-0000AA4D0000}"/>
    <cellStyle name="Remarque 2 3 2 2 2 2 2 8 2" xfId="22842" xr:uid="{00000000-0005-0000-0000-0000AB4D0000}"/>
    <cellStyle name="Remarque 2 3 2 2 2 2 2 8 3" xfId="46802" xr:uid="{00000000-0005-0000-0000-0000AC4D0000}"/>
    <cellStyle name="Remarque 2 3 2 2 2 2 2 9" xfId="2008" xr:uid="{00000000-0005-0000-0000-0000AD4D0000}"/>
    <cellStyle name="Remarque 2 3 2 2 2 2 2 9 2" xfId="26022" xr:uid="{00000000-0005-0000-0000-0000AE4D0000}"/>
    <cellStyle name="Remarque 2 3 2 2 2 2 2 9 3" xfId="49982" xr:uid="{00000000-0005-0000-0000-0000AF4D0000}"/>
    <cellStyle name="Remarque 2 3 2 2 2 2 3" xfId="764" xr:uid="{00000000-0005-0000-0000-0000B04D0000}"/>
    <cellStyle name="Remarque 2 3 2 2 2 2 3 10" xfId="24796" xr:uid="{00000000-0005-0000-0000-0000B14D0000}"/>
    <cellStyle name="Remarque 2 3 2 2 2 2 3 10 2" xfId="48756" xr:uid="{00000000-0005-0000-0000-0000B24D0000}"/>
    <cellStyle name="Remarque 2 3 2 2 2 2 3 11" xfId="36208" xr:uid="{00000000-0005-0000-0000-0000B34D0000}"/>
    <cellStyle name="Remarque 2 3 2 2 2 2 3 11 2" xfId="60168" xr:uid="{00000000-0005-0000-0000-0000B44D0000}"/>
    <cellStyle name="Remarque 2 3 2 2 2 2 3 12" xfId="13461" xr:uid="{00000000-0005-0000-0000-0000B54D0000}"/>
    <cellStyle name="Remarque 2 3 2 2 2 2 3 13" xfId="37421" xr:uid="{00000000-0005-0000-0000-0000B64D0000}"/>
    <cellStyle name="Remarque 2 3 2 2 2 2 3 2" xfId="3670" xr:uid="{00000000-0005-0000-0000-0000B74D0000}"/>
    <cellStyle name="Remarque 2 3 2 2 2 2 3 2 2" xfId="27684" xr:uid="{00000000-0005-0000-0000-0000B84D0000}"/>
    <cellStyle name="Remarque 2 3 2 2 2 2 3 2 2 2" xfId="51644" xr:uid="{00000000-0005-0000-0000-0000B94D0000}"/>
    <cellStyle name="Remarque 2 3 2 2 2 2 3 2 3" xfId="14931" xr:uid="{00000000-0005-0000-0000-0000BA4D0000}"/>
    <cellStyle name="Remarque 2 3 2 2 2 2 3 2 4" xfId="38891" xr:uid="{00000000-0005-0000-0000-0000BB4D0000}"/>
    <cellStyle name="Remarque 2 3 2 2 2 2 3 3" xfId="5104" xr:uid="{00000000-0005-0000-0000-0000BC4D0000}"/>
    <cellStyle name="Remarque 2 3 2 2 2 2 3 3 2" xfId="29118" xr:uid="{00000000-0005-0000-0000-0000BD4D0000}"/>
    <cellStyle name="Remarque 2 3 2 2 2 2 3 3 2 2" xfId="53078" xr:uid="{00000000-0005-0000-0000-0000BE4D0000}"/>
    <cellStyle name="Remarque 2 3 2 2 2 2 3 3 3" xfId="16365" xr:uid="{00000000-0005-0000-0000-0000BF4D0000}"/>
    <cellStyle name="Remarque 2 3 2 2 2 2 3 3 4" xfId="40325" xr:uid="{00000000-0005-0000-0000-0000C04D0000}"/>
    <cellStyle name="Remarque 2 3 2 2 2 2 3 4" xfId="6498" xr:uid="{00000000-0005-0000-0000-0000C14D0000}"/>
    <cellStyle name="Remarque 2 3 2 2 2 2 3 4 2" xfId="30512" xr:uid="{00000000-0005-0000-0000-0000C24D0000}"/>
    <cellStyle name="Remarque 2 3 2 2 2 2 3 4 2 2" xfId="54472" xr:uid="{00000000-0005-0000-0000-0000C34D0000}"/>
    <cellStyle name="Remarque 2 3 2 2 2 2 3 4 3" xfId="17759" xr:uid="{00000000-0005-0000-0000-0000C44D0000}"/>
    <cellStyle name="Remarque 2 3 2 2 2 2 3 4 4" xfId="41719" xr:uid="{00000000-0005-0000-0000-0000C54D0000}"/>
    <cellStyle name="Remarque 2 3 2 2 2 2 3 5" xfId="7886" xr:uid="{00000000-0005-0000-0000-0000C64D0000}"/>
    <cellStyle name="Remarque 2 3 2 2 2 2 3 5 2" xfId="31900" xr:uid="{00000000-0005-0000-0000-0000C74D0000}"/>
    <cellStyle name="Remarque 2 3 2 2 2 2 3 5 2 2" xfId="55860" xr:uid="{00000000-0005-0000-0000-0000C84D0000}"/>
    <cellStyle name="Remarque 2 3 2 2 2 2 3 5 3" xfId="19147" xr:uid="{00000000-0005-0000-0000-0000C94D0000}"/>
    <cellStyle name="Remarque 2 3 2 2 2 2 3 5 4" xfId="43107" xr:uid="{00000000-0005-0000-0000-0000CA4D0000}"/>
    <cellStyle name="Remarque 2 3 2 2 2 2 3 6" xfId="9271" xr:uid="{00000000-0005-0000-0000-0000CB4D0000}"/>
    <cellStyle name="Remarque 2 3 2 2 2 2 3 6 2" xfId="33285" xr:uid="{00000000-0005-0000-0000-0000CC4D0000}"/>
    <cellStyle name="Remarque 2 3 2 2 2 2 3 6 2 2" xfId="57245" xr:uid="{00000000-0005-0000-0000-0000CD4D0000}"/>
    <cellStyle name="Remarque 2 3 2 2 2 2 3 6 3" xfId="20532" xr:uid="{00000000-0005-0000-0000-0000CE4D0000}"/>
    <cellStyle name="Remarque 2 3 2 2 2 2 3 6 4" xfId="44492" xr:uid="{00000000-0005-0000-0000-0000CF4D0000}"/>
    <cellStyle name="Remarque 2 3 2 2 2 2 3 7" xfId="10728" xr:uid="{00000000-0005-0000-0000-0000D04D0000}"/>
    <cellStyle name="Remarque 2 3 2 2 2 2 3 7 2" xfId="34738" xr:uid="{00000000-0005-0000-0000-0000D14D0000}"/>
    <cellStyle name="Remarque 2 3 2 2 2 2 3 7 2 2" xfId="58698" xr:uid="{00000000-0005-0000-0000-0000D24D0000}"/>
    <cellStyle name="Remarque 2 3 2 2 2 2 3 7 3" xfId="21995" xr:uid="{00000000-0005-0000-0000-0000D34D0000}"/>
    <cellStyle name="Remarque 2 3 2 2 2 2 3 7 4" xfId="45955" xr:uid="{00000000-0005-0000-0000-0000D44D0000}"/>
    <cellStyle name="Remarque 2 3 2 2 2 2 3 8" xfId="11831" xr:uid="{00000000-0005-0000-0000-0000D54D0000}"/>
    <cellStyle name="Remarque 2 3 2 2 2 2 3 8 2" xfId="23105" xr:uid="{00000000-0005-0000-0000-0000D64D0000}"/>
    <cellStyle name="Remarque 2 3 2 2 2 2 3 8 3" xfId="47065" xr:uid="{00000000-0005-0000-0000-0000D74D0000}"/>
    <cellStyle name="Remarque 2 3 2 2 2 2 3 9" xfId="2200" xr:uid="{00000000-0005-0000-0000-0000D84D0000}"/>
    <cellStyle name="Remarque 2 3 2 2 2 2 3 9 2" xfId="26214" xr:uid="{00000000-0005-0000-0000-0000D94D0000}"/>
    <cellStyle name="Remarque 2 3 2 2 2 2 3 9 3" xfId="50174" xr:uid="{00000000-0005-0000-0000-0000DA4D0000}"/>
    <cellStyle name="Remarque 2 3 2 2 2 2 4" xfId="958" xr:uid="{00000000-0005-0000-0000-0000DB4D0000}"/>
    <cellStyle name="Remarque 2 3 2 2 2 2 4 10" xfId="24990" xr:uid="{00000000-0005-0000-0000-0000DC4D0000}"/>
    <cellStyle name="Remarque 2 3 2 2 2 2 4 10 2" xfId="48950" xr:uid="{00000000-0005-0000-0000-0000DD4D0000}"/>
    <cellStyle name="Remarque 2 3 2 2 2 2 4 11" xfId="36655" xr:uid="{00000000-0005-0000-0000-0000DE4D0000}"/>
    <cellStyle name="Remarque 2 3 2 2 2 2 4 11 2" xfId="60615" xr:uid="{00000000-0005-0000-0000-0000DF4D0000}"/>
    <cellStyle name="Remarque 2 3 2 2 2 2 4 12" xfId="13655" xr:uid="{00000000-0005-0000-0000-0000E04D0000}"/>
    <cellStyle name="Remarque 2 3 2 2 2 2 4 13" xfId="37615" xr:uid="{00000000-0005-0000-0000-0000E14D0000}"/>
    <cellStyle name="Remarque 2 3 2 2 2 2 4 2" xfId="3864" xr:uid="{00000000-0005-0000-0000-0000E24D0000}"/>
    <cellStyle name="Remarque 2 3 2 2 2 2 4 2 2" xfId="27878" xr:uid="{00000000-0005-0000-0000-0000E34D0000}"/>
    <cellStyle name="Remarque 2 3 2 2 2 2 4 2 2 2" xfId="51838" xr:uid="{00000000-0005-0000-0000-0000E44D0000}"/>
    <cellStyle name="Remarque 2 3 2 2 2 2 4 2 3" xfId="15125" xr:uid="{00000000-0005-0000-0000-0000E54D0000}"/>
    <cellStyle name="Remarque 2 3 2 2 2 2 4 2 4" xfId="39085" xr:uid="{00000000-0005-0000-0000-0000E64D0000}"/>
    <cellStyle name="Remarque 2 3 2 2 2 2 4 3" xfId="5298" xr:uid="{00000000-0005-0000-0000-0000E74D0000}"/>
    <cellStyle name="Remarque 2 3 2 2 2 2 4 3 2" xfId="29312" xr:uid="{00000000-0005-0000-0000-0000E84D0000}"/>
    <cellStyle name="Remarque 2 3 2 2 2 2 4 3 2 2" xfId="53272" xr:uid="{00000000-0005-0000-0000-0000E94D0000}"/>
    <cellStyle name="Remarque 2 3 2 2 2 2 4 3 3" xfId="16559" xr:uid="{00000000-0005-0000-0000-0000EA4D0000}"/>
    <cellStyle name="Remarque 2 3 2 2 2 2 4 3 4" xfId="40519" xr:uid="{00000000-0005-0000-0000-0000EB4D0000}"/>
    <cellStyle name="Remarque 2 3 2 2 2 2 4 4" xfId="6692" xr:uid="{00000000-0005-0000-0000-0000EC4D0000}"/>
    <cellStyle name="Remarque 2 3 2 2 2 2 4 4 2" xfId="30706" xr:uid="{00000000-0005-0000-0000-0000ED4D0000}"/>
    <cellStyle name="Remarque 2 3 2 2 2 2 4 4 2 2" xfId="54666" xr:uid="{00000000-0005-0000-0000-0000EE4D0000}"/>
    <cellStyle name="Remarque 2 3 2 2 2 2 4 4 3" xfId="17953" xr:uid="{00000000-0005-0000-0000-0000EF4D0000}"/>
    <cellStyle name="Remarque 2 3 2 2 2 2 4 4 4" xfId="41913" xr:uid="{00000000-0005-0000-0000-0000F04D0000}"/>
    <cellStyle name="Remarque 2 3 2 2 2 2 4 5" xfId="8080" xr:uid="{00000000-0005-0000-0000-0000F14D0000}"/>
    <cellStyle name="Remarque 2 3 2 2 2 2 4 5 2" xfId="32094" xr:uid="{00000000-0005-0000-0000-0000F24D0000}"/>
    <cellStyle name="Remarque 2 3 2 2 2 2 4 5 2 2" xfId="56054" xr:uid="{00000000-0005-0000-0000-0000F34D0000}"/>
    <cellStyle name="Remarque 2 3 2 2 2 2 4 5 3" xfId="19341" xr:uid="{00000000-0005-0000-0000-0000F44D0000}"/>
    <cellStyle name="Remarque 2 3 2 2 2 2 4 5 4" xfId="43301" xr:uid="{00000000-0005-0000-0000-0000F54D0000}"/>
    <cellStyle name="Remarque 2 3 2 2 2 2 4 6" xfId="9465" xr:uid="{00000000-0005-0000-0000-0000F64D0000}"/>
    <cellStyle name="Remarque 2 3 2 2 2 2 4 6 2" xfId="33479" xr:uid="{00000000-0005-0000-0000-0000F74D0000}"/>
    <cellStyle name="Remarque 2 3 2 2 2 2 4 6 2 2" xfId="57439" xr:uid="{00000000-0005-0000-0000-0000F84D0000}"/>
    <cellStyle name="Remarque 2 3 2 2 2 2 4 6 3" xfId="20726" xr:uid="{00000000-0005-0000-0000-0000F94D0000}"/>
    <cellStyle name="Remarque 2 3 2 2 2 2 4 6 4" xfId="44686" xr:uid="{00000000-0005-0000-0000-0000FA4D0000}"/>
    <cellStyle name="Remarque 2 3 2 2 2 2 4 7" xfId="10922" xr:uid="{00000000-0005-0000-0000-0000FB4D0000}"/>
    <cellStyle name="Remarque 2 3 2 2 2 2 4 7 2" xfId="34932" xr:uid="{00000000-0005-0000-0000-0000FC4D0000}"/>
    <cellStyle name="Remarque 2 3 2 2 2 2 4 7 2 2" xfId="58892" xr:uid="{00000000-0005-0000-0000-0000FD4D0000}"/>
    <cellStyle name="Remarque 2 3 2 2 2 2 4 7 3" xfId="22189" xr:uid="{00000000-0005-0000-0000-0000FE4D0000}"/>
    <cellStyle name="Remarque 2 3 2 2 2 2 4 7 4" xfId="46149" xr:uid="{00000000-0005-0000-0000-0000FF4D0000}"/>
    <cellStyle name="Remarque 2 3 2 2 2 2 4 8" xfId="11755" xr:uid="{00000000-0005-0000-0000-0000004E0000}"/>
    <cellStyle name="Remarque 2 3 2 2 2 2 4 8 2" xfId="23027" xr:uid="{00000000-0005-0000-0000-0000014E0000}"/>
    <cellStyle name="Remarque 2 3 2 2 2 2 4 8 3" xfId="46987" xr:uid="{00000000-0005-0000-0000-0000024E0000}"/>
    <cellStyle name="Remarque 2 3 2 2 2 2 4 9" xfId="2394" xr:uid="{00000000-0005-0000-0000-0000034E0000}"/>
    <cellStyle name="Remarque 2 3 2 2 2 2 4 9 2" xfId="26408" xr:uid="{00000000-0005-0000-0000-0000044E0000}"/>
    <cellStyle name="Remarque 2 3 2 2 2 2 4 9 3" xfId="50368" xr:uid="{00000000-0005-0000-0000-0000054E0000}"/>
    <cellStyle name="Remarque 2 3 2 2 2 2 5" xfId="1151" xr:uid="{00000000-0005-0000-0000-0000064E0000}"/>
    <cellStyle name="Remarque 2 3 2 2 2 2 5 10" xfId="25183" xr:uid="{00000000-0005-0000-0000-0000074E0000}"/>
    <cellStyle name="Remarque 2 3 2 2 2 2 5 10 2" xfId="49143" xr:uid="{00000000-0005-0000-0000-0000084E0000}"/>
    <cellStyle name="Remarque 2 3 2 2 2 2 5 11" xfId="36604" xr:uid="{00000000-0005-0000-0000-0000094E0000}"/>
    <cellStyle name="Remarque 2 3 2 2 2 2 5 11 2" xfId="60564" xr:uid="{00000000-0005-0000-0000-00000A4E0000}"/>
    <cellStyle name="Remarque 2 3 2 2 2 2 5 12" xfId="13848" xr:uid="{00000000-0005-0000-0000-00000B4E0000}"/>
    <cellStyle name="Remarque 2 3 2 2 2 2 5 13" xfId="37808" xr:uid="{00000000-0005-0000-0000-00000C4E0000}"/>
    <cellStyle name="Remarque 2 3 2 2 2 2 5 2" xfId="4057" xr:uid="{00000000-0005-0000-0000-00000D4E0000}"/>
    <cellStyle name="Remarque 2 3 2 2 2 2 5 2 2" xfId="28071" xr:uid="{00000000-0005-0000-0000-00000E4E0000}"/>
    <cellStyle name="Remarque 2 3 2 2 2 2 5 2 2 2" xfId="52031" xr:uid="{00000000-0005-0000-0000-00000F4E0000}"/>
    <cellStyle name="Remarque 2 3 2 2 2 2 5 2 3" xfId="15318" xr:uid="{00000000-0005-0000-0000-0000104E0000}"/>
    <cellStyle name="Remarque 2 3 2 2 2 2 5 2 4" xfId="39278" xr:uid="{00000000-0005-0000-0000-0000114E0000}"/>
    <cellStyle name="Remarque 2 3 2 2 2 2 5 3" xfId="5491" xr:uid="{00000000-0005-0000-0000-0000124E0000}"/>
    <cellStyle name="Remarque 2 3 2 2 2 2 5 3 2" xfId="29505" xr:uid="{00000000-0005-0000-0000-0000134E0000}"/>
    <cellStyle name="Remarque 2 3 2 2 2 2 5 3 2 2" xfId="53465" xr:uid="{00000000-0005-0000-0000-0000144E0000}"/>
    <cellStyle name="Remarque 2 3 2 2 2 2 5 3 3" xfId="16752" xr:uid="{00000000-0005-0000-0000-0000154E0000}"/>
    <cellStyle name="Remarque 2 3 2 2 2 2 5 3 4" xfId="40712" xr:uid="{00000000-0005-0000-0000-0000164E0000}"/>
    <cellStyle name="Remarque 2 3 2 2 2 2 5 4" xfId="6885" xr:uid="{00000000-0005-0000-0000-0000174E0000}"/>
    <cellStyle name="Remarque 2 3 2 2 2 2 5 4 2" xfId="30899" xr:uid="{00000000-0005-0000-0000-0000184E0000}"/>
    <cellStyle name="Remarque 2 3 2 2 2 2 5 4 2 2" xfId="54859" xr:uid="{00000000-0005-0000-0000-0000194E0000}"/>
    <cellStyle name="Remarque 2 3 2 2 2 2 5 4 3" xfId="18146" xr:uid="{00000000-0005-0000-0000-00001A4E0000}"/>
    <cellStyle name="Remarque 2 3 2 2 2 2 5 4 4" xfId="42106" xr:uid="{00000000-0005-0000-0000-00001B4E0000}"/>
    <cellStyle name="Remarque 2 3 2 2 2 2 5 5" xfId="8273" xr:uid="{00000000-0005-0000-0000-00001C4E0000}"/>
    <cellStyle name="Remarque 2 3 2 2 2 2 5 5 2" xfId="32287" xr:uid="{00000000-0005-0000-0000-00001D4E0000}"/>
    <cellStyle name="Remarque 2 3 2 2 2 2 5 5 2 2" xfId="56247" xr:uid="{00000000-0005-0000-0000-00001E4E0000}"/>
    <cellStyle name="Remarque 2 3 2 2 2 2 5 5 3" xfId="19534" xr:uid="{00000000-0005-0000-0000-00001F4E0000}"/>
    <cellStyle name="Remarque 2 3 2 2 2 2 5 5 4" xfId="43494" xr:uid="{00000000-0005-0000-0000-0000204E0000}"/>
    <cellStyle name="Remarque 2 3 2 2 2 2 5 6" xfId="9658" xr:uid="{00000000-0005-0000-0000-0000214E0000}"/>
    <cellStyle name="Remarque 2 3 2 2 2 2 5 6 2" xfId="33672" xr:uid="{00000000-0005-0000-0000-0000224E0000}"/>
    <cellStyle name="Remarque 2 3 2 2 2 2 5 6 2 2" xfId="57632" xr:uid="{00000000-0005-0000-0000-0000234E0000}"/>
    <cellStyle name="Remarque 2 3 2 2 2 2 5 6 3" xfId="20919" xr:uid="{00000000-0005-0000-0000-0000244E0000}"/>
    <cellStyle name="Remarque 2 3 2 2 2 2 5 6 4" xfId="44879" xr:uid="{00000000-0005-0000-0000-0000254E0000}"/>
    <cellStyle name="Remarque 2 3 2 2 2 2 5 7" xfId="11115" xr:uid="{00000000-0005-0000-0000-0000264E0000}"/>
    <cellStyle name="Remarque 2 3 2 2 2 2 5 7 2" xfId="35125" xr:uid="{00000000-0005-0000-0000-0000274E0000}"/>
    <cellStyle name="Remarque 2 3 2 2 2 2 5 7 2 2" xfId="59085" xr:uid="{00000000-0005-0000-0000-0000284E0000}"/>
    <cellStyle name="Remarque 2 3 2 2 2 2 5 7 3" xfId="22382" xr:uid="{00000000-0005-0000-0000-0000294E0000}"/>
    <cellStyle name="Remarque 2 3 2 2 2 2 5 7 4" xfId="46342" xr:uid="{00000000-0005-0000-0000-00002A4E0000}"/>
    <cellStyle name="Remarque 2 3 2 2 2 2 5 8" xfId="12312" xr:uid="{00000000-0005-0000-0000-00002B4E0000}"/>
    <cellStyle name="Remarque 2 3 2 2 2 2 5 8 2" xfId="23600" xr:uid="{00000000-0005-0000-0000-00002C4E0000}"/>
    <cellStyle name="Remarque 2 3 2 2 2 2 5 8 3" xfId="47560" xr:uid="{00000000-0005-0000-0000-00002D4E0000}"/>
    <cellStyle name="Remarque 2 3 2 2 2 2 5 9" xfId="2587" xr:uid="{00000000-0005-0000-0000-00002E4E0000}"/>
    <cellStyle name="Remarque 2 3 2 2 2 2 5 9 2" xfId="26601" xr:uid="{00000000-0005-0000-0000-00002F4E0000}"/>
    <cellStyle name="Remarque 2 3 2 2 2 2 5 9 3" xfId="50561" xr:uid="{00000000-0005-0000-0000-0000304E0000}"/>
    <cellStyle name="Remarque 2 3 2 2 2 2 6" xfId="1318" xr:uid="{00000000-0005-0000-0000-0000314E0000}"/>
    <cellStyle name="Remarque 2 3 2 2 2 2 6 10" xfId="25350" xr:uid="{00000000-0005-0000-0000-0000324E0000}"/>
    <cellStyle name="Remarque 2 3 2 2 2 2 6 10 2" xfId="49310" xr:uid="{00000000-0005-0000-0000-0000334E0000}"/>
    <cellStyle name="Remarque 2 3 2 2 2 2 6 11" xfId="36698" xr:uid="{00000000-0005-0000-0000-0000344E0000}"/>
    <cellStyle name="Remarque 2 3 2 2 2 2 6 11 2" xfId="60658" xr:uid="{00000000-0005-0000-0000-0000354E0000}"/>
    <cellStyle name="Remarque 2 3 2 2 2 2 6 12" xfId="14015" xr:uid="{00000000-0005-0000-0000-0000364E0000}"/>
    <cellStyle name="Remarque 2 3 2 2 2 2 6 13" xfId="37975" xr:uid="{00000000-0005-0000-0000-0000374E0000}"/>
    <cellStyle name="Remarque 2 3 2 2 2 2 6 2" xfId="4224" xr:uid="{00000000-0005-0000-0000-0000384E0000}"/>
    <cellStyle name="Remarque 2 3 2 2 2 2 6 2 2" xfId="28238" xr:uid="{00000000-0005-0000-0000-0000394E0000}"/>
    <cellStyle name="Remarque 2 3 2 2 2 2 6 2 2 2" xfId="52198" xr:uid="{00000000-0005-0000-0000-00003A4E0000}"/>
    <cellStyle name="Remarque 2 3 2 2 2 2 6 2 3" xfId="15485" xr:uid="{00000000-0005-0000-0000-00003B4E0000}"/>
    <cellStyle name="Remarque 2 3 2 2 2 2 6 2 4" xfId="39445" xr:uid="{00000000-0005-0000-0000-00003C4E0000}"/>
    <cellStyle name="Remarque 2 3 2 2 2 2 6 3" xfId="5658" xr:uid="{00000000-0005-0000-0000-00003D4E0000}"/>
    <cellStyle name="Remarque 2 3 2 2 2 2 6 3 2" xfId="29672" xr:uid="{00000000-0005-0000-0000-00003E4E0000}"/>
    <cellStyle name="Remarque 2 3 2 2 2 2 6 3 2 2" xfId="53632" xr:uid="{00000000-0005-0000-0000-00003F4E0000}"/>
    <cellStyle name="Remarque 2 3 2 2 2 2 6 3 3" xfId="16919" xr:uid="{00000000-0005-0000-0000-0000404E0000}"/>
    <cellStyle name="Remarque 2 3 2 2 2 2 6 3 4" xfId="40879" xr:uid="{00000000-0005-0000-0000-0000414E0000}"/>
    <cellStyle name="Remarque 2 3 2 2 2 2 6 4" xfId="7052" xr:uid="{00000000-0005-0000-0000-0000424E0000}"/>
    <cellStyle name="Remarque 2 3 2 2 2 2 6 4 2" xfId="31066" xr:uid="{00000000-0005-0000-0000-0000434E0000}"/>
    <cellStyle name="Remarque 2 3 2 2 2 2 6 4 2 2" xfId="55026" xr:uid="{00000000-0005-0000-0000-0000444E0000}"/>
    <cellStyle name="Remarque 2 3 2 2 2 2 6 4 3" xfId="18313" xr:uid="{00000000-0005-0000-0000-0000454E0000}"/>
    <cellStyle name="Remarque 2 3 2 2 2 2 6 4 4" xfId="42273" xr:uid="{00000000-0005-0000-0000-0000464E0000}"/>
    <cellStyle name="Remarque 2 3 2 2 2 2 6 5" xfId="8440" xr:uid="{00000000-0005-0000-0000-0000474E0000}"/>
    <cellStyle name="Remarque 2 3 2 2 2 2 6 5 2" xfId="32454" xr:uid="{00000000-0005-0000-0000-0000484E0000}"/>
    <cellStyle name="Remarque 2 3 2 2 2 2 6 5 2 2" xfId="56414" xr:uid="{00000000-0005-0000-0000-0000494E0000}"/>
    <cellStyle name="Remarque 2 3 2 2 2 2 6 5 3" xfId="19701" xr:uid="{00000000-0005-0000-0000-00004A4E0000}"/>
    <cellStyle name="Remarque 2 3 2 2 2 2 6 5 4" xfId="43661" xr:uid="{00000000-0005-0000-0000-00004B4E0000}"/>
    <cellStyle name="Remarque 2 3 2 2 2 2 6 6" xfId="9825" xr:uid="{00000000-0005-0000-0000-00004C4E0000}"/>
    <cellStyle name="Remarque 2 3 2 2 2 2 6 6 2" xfId="33839" xr:uid="{00000000-0005-0000-0000-00004D4E0000}"/>
    <cellStyle name="Remarque 2 3 2 2 2 2 6 6 2 2" xfId="57799" xr:uid="{00000000-0005-0000-0000-00004E4E0000}"/>
    <cellStyle name="Remarque 2 3 2 2 2 2 6 6 3" xfId="21086" xr:uid="{00000000-0005-0000-0000-00004F4E0000}"/>
    <cellStyle name="Remarque 2 3 2 2 2 2 6 6 4" xfId="45046" xr:uid="{00000000-0005-0000-0000-0000504E0000}"/>
    <cellStyle name="Remarque 2 3 2 2 2 2 6 7" xfId="11282" xr:uid="{00000000-0005-0000-0000-0000514E0000}"/>
    <cellStyle name="Remarque 2 3 2 2 2 2 6 7 2" xfId="35292" xr:uid="{00000000-0005-0000-0000-0000524E0000}"/>
    <cellStyle name="Remarque 2 3 2 2 2 2 6 7 2 2" xfId="59252" xr:uid="{00000000-0005-0000-0000-0000534E0000}"/>
    <cellStyle name="Remarque 2 3 2 2 2 2 6 7 3" xfId="22549" xr:uid="{00000000-0005-0000-0000-0000544E0000}"/>
    <cellStyle name="Remarque 2 3 2 2 2 2 6 7 4" xfId="46509" xr:uid="{00000000-0005-0000-0000-0000554E0000}"/>
    <cellStyle name="Remarque 2 3 2 2 2 2 6 8" xfId="12290" xr:uid="{00000000-0005-0000-0000-0000564E0000}"/>
    <cellStyle name="Remarque 2 3 2 2 2 2 6 8 2" xfId="23578" xr:uid="{00000000-0005-0000-0000-0000574E0000}"/>
    <cellStyle name="Remarque 2 3 2 2 2 2 6 8 3" xfId="47538" xr:uid="{00000000-0005-0000-0000-0000584E0000}"/>
    <cellStyle name="Remarque 2 3 2 2 2 2 6 9" xfId="2754" xr:uid="{00000000-0005-0000-0000-0000594E0000}"/>
    <cellStyle name="Remarque 2 3 2 2 2 2 6 9 2" xfId="26768" xr:uid="{00000000-0005-0000-0000-00005A4E0000}"/>
    <cellStyle name="Remarque 2 3 2 2 2 2 6 9 3" xfId="50728" xr:uid="{00000000-0005-0000-0000-00005B4E0000}"/>
    <cellStyle name="Remarque 2 3 2 2 2 2 7" xfId="1487" xr:uid="{00000000-0005-0000-0000-00005C4E0000}"/>
    <cellStyle name="Remarque 2 3 2 2 2 2 7 10" xfId="25519" xr:uid="{00000000-0005-0000-0000-00005D4E0000}"/>
    <cellStyle name="Remarque 2 3 2 2 2 2 7 10 2" xfId="49479" xr:uid="{00000000-0005-0000-0000-00005E4E0000}"/>
    <cellStyle name="Remarque 2 3 2 2 2 2 7 11" xfId="35989" xr:uid="{00000000-0005-0000-0000-00005F4E0000}"/>
    <cellStyle name="Remarque 2 3 2 2 2 2 7 11 2" xfId="59949" xr:uid="{00000000-0005-0000-0000-0000604E0000}"/>
    <cellStyle name="Remarque 2 3 2 2 2 2 7 12" xfId="14184" xr:uid="{00000000-0005-0000-0000-0000614E0000}"/>
    <cellStyle name="Remarque 2 3 2 2 2 2 7 13" xfId="38144" xr:uid="{00000000-0005-0000-0000-0000624E0000}"/>
    <cellStyle name="Remarque 2 3 2 2 2 2 7 2" xfId="4393" xr:uid="{00000000-0005-0000-0000-0000634E0000}"/>
    <cellStyle name="Remarque 2 3 2 2 2 2 7 2 2" xfId="28407" xr:uid="{00000000-0005-0000-0000-0000644E0000}"/>
    <cellStyle name="Remarque 2 3 2 2 2 2 7 2 2 2" xfId="52367" xr:uid="{00000000-0005-0000-0000-0000654E0000}"/>
    <cellStyle name="Remarque 2 3 2 2 2 2 7 2 3" xfId="15654" xr:uid="{00000000-0005-0000-0000-0000664E0000}"/>
    <cellStyle name="Remarque 2 3 2 2 2 2 7 2 4" xfId="39614" xr:uid="{00000000-0005-0000-0000-0000674E0000}"/>
    <cellStyle name="Remarque 2 3 2 2 2 2 7 3" xfId="5827" xr:uid="{00000000-0005-0000-0000-0000684E0000}"/>
    <cellStyle name="Remarque 2 3 2 2 2 2 7 3 2" xfId="29841" xr:uid="{00000000-0005-0000-0000-0000694E0000}"/>
    <cellStyle name="Remarque 2 3 2 2 2 2 7 3 2 2" xfId="53801" xr:uid="{00000000-0005-0000-0000-00006A4E0000}"/>
    <cellStyle name="Remarque 2 3 2 2 2 2 7 3 3" xfId="17088" xr:uid="{00000000-0005-0000-0000-00006B4E0000}"/>
    <cellStyle name="Remarque 2 3 2 2 2 2 7 3 4" xfId="41048" xr:uid="{00000000-0005-0000-0000-00006C4E0000}"/>
    <cellStyle name="Remarque 2 3 2 2 2 2 7 4" xfId="7221" xr:uid="{00000000-0005-0000-0000-00006D4E0000}"/>
    <cellStyle name="Remarque 2 3 2 2 2 2 7 4 2" xfId="31235" xr:uid="{00000000-0005-0000-0000-00006E4E0000}"/>
    <cellStyle name="Remarque 2 3 2 2 2 2 7 4 2 2" xfId="55195" xr:uid="{00000000-0005-0000-0000-00006F4E0000}"/>
    <cellStyle name="Remarque 2 3 2 2 2 2 7 4 3" xfId="18482" xr:uid="{00000000-0005-0000-0000-0000704E0000}"/>
    <cellStyle name="Remarque 2 3 2 2 2 2 7 4 4" xfId="42442" xr:uid="{00000000-0005-0000-0000-0000714E0000}"/>
    <cellStyle name="Remarque 2 3 2 2 2 2 7 5" xfId="8609" xr:uid="{00000000-0005-0000-0000-0000724E0000}"/>
    <cellStyle name="Remarque 2 3 2 2 2 2 7 5 2" xfId="32623" xr:uid="{00000000-0005-0000-0000-0000734E0000}"/>
    <cellStyle name="Remarque 2 3 2 2 2 2 7 5 2 2" xfId="56583" xr:uid="{00000000-0005-0000-0000-0000744E0000}"/>
    <cellStyle name="Remarque 2 3 2 2 2 2 7 5 3" xfId="19870" xr:uid="{00000000-0005-0000-0000-0000754E0000}"/>
    <cellStyle name="Remarque 2 3 2 2 2 2 7 5 4" xfId="43830" xr:uid="{00000000-0005-0000-0000-0000764E0000}"/>
    <cellStyle name="Remarque 2 3 2 2 2 2 7 6" xfId="9994" xr:uid="{00000000-0005-0000-0000-0000774E0000}"/>
    <cellStyle name="Remarque 2 3 2 2 2 2 7 6 2" xfId="34008" xr:uid="{00000000-0005-0000-0000-0000784E0000}"/>
    <cellStyle name="Remarque 2 3 2 2 2 2 7 6 2 2" xfId="57968" xr:uid="{00000000-0005-0000-0000-0000794E0000}"/>
    <cellStyle name="Remarque 2 3 2 2 2 2 7 6 3" xfId="21255" xr:uid="{00000000-0005-0000-0000-00007A4E0000}"/>
    <cellStyle name="Remarque 2 3 2 2 2 2 7 6 4" xfId="45215" xr:uid="{00000000-0005-0000-0000-00007B4E0000}"/>
    <cellStyle name="Remarque 2 3 2 2 2 2 7 7" xfId="11451" xr:uid="{00000000-0005-0000-0000-00007C4E0000}"/>
    <cellStyle name="Remarque 2 3 2 2 2 2 7 7 2" xfId="35461" xr:uid="{00000000-0005-0000-0000-00007D4E0000}"/>
    <cellStyle name="Remarque 2 3 2 2 2 2 7 7 2 2" xfId="59421" xr:uid="{00000000-0005-0000-0000-00007E4E0000}"/>
    <cellStyle name="Remarque 2 3 2 2 2 2 7 7 3" xfId="22718" xr:uid="{00000000-0005-0000-0000-00007F4E0000}"/>
    <cellStyle name="Remarque 2 3 2 2 2 2 7 7 4" xfId="46678" xr:uid="{00000000-0005-0000-0000-0000804E0000}"/>
    <cellStyle name="Remarque 2 3 2 2 2 2 7 8" xfId="12283" xr:uid="{00000000-0005-0000-0000-0000814E0000}"/>
    <cellStyle name="Remarque 2 3 2 2 2 2 7 8 2" xfId="23570" xr:uid="{00000000-0005-0000-0000-0000824E0000}"/>
    <cellStyle name="Remarque 2 3 2 2 2 2 7 8 3" xfId="47530" xr:uid="{00000000-0005-0000-0000-0000834E0000}"/>
    <cellStyle name="Remarque 2 3 2 2 2 2 7 9" xfId="2923" xr:uid="{00000000-0005-0000-0000-0000844E0000}"/>
    <cellStyle name="Remarque 2 3 2 2 2 2 7 9 2" xfId="26937" xr:uid="{00000000-0005-0000-0000-0000854E0000}"/>
    <cellStyle name="Remarque 2 3 2 2 2 2 7 9 3" xfId="50897" xr:uid="{00000000-0005-0000-0000-0000864E0000}"/>
    <cellStyle name="Remarque 2 3 2 2 2 2 8" xfId="3342" xr:uid="{00000000-0005-0000-0000-0000874E0000}"/>
    <cellStyle name="Remarque 2 3 2 2 2 2 8 2" xfId="27356" xr:uid="{00000000-0005-0000-0000-0000884E0000}"/>
    <cellStyle name="Remarque 2 3 2 2 2 2 8 2 2" xfId="51316" xr:uid="{00000000-0005-0000-0000-0000894E0000}"/>
    <cellStyle name="Remarque 2 3 2 2 2 2 8 3" xfId="14603" xr:uid="{00000000-0005-0000-0000-00008A4E0000}"/>
    <cellStyle name="Remarque 2 3 2 2 2 2 8 4" xfId="38563" xr:uid="{00000000-0005-0000-0000-00008B4E0000}"/>
    <cellStyle name="Remarque 2 3 2 2 2 2 9" xfId="4776" xr:uid="{00000000-0005-0000-0000-00008C4E0000}"/>
    <cellStyle name="Remarque 2 3 2 2 2 2 9 2" xfId="28790" xr:uid="{00000000-0005-0000-0000-00008D4E0000}"/>
    <cellStyle name="Remarque 2 3 2 2 2 2 9 2 2" xfId="52750" xr:uid="{00000000-0005-0000-0000-00008E4E0000}"/>
    <cellStyle name="Remarque 2 3 2 2 2 2 9 3" xfId="16037" xr:uid="{00000000-0005-0000-0000-00008F4E0000}"/>
    <cellStyle name="Remarque 2 3 2 2 2 2 9 4" xfId="39997" xr:uid="{00000000-0005-0000-0000-0000904E0000}"/>
    <cellStyle name="Remarque 2 3 2 2 2 20" xfId="12958" xr:uid="{00000000-0005-0000-0000-0000914E0000}"/>
    <cellStyle name="Remarque 2 3 2 2 2 21" xfId="36918" xr:uid="{00000000-0005-0000-0000-0000924E0000}"/>
    <cellStyle name="Remarque 2 3 2 2 2 22" xfId="261" xr:uid="{00000000-0005-0000-0000-0000934E0000}"/>
    <cellStyle name="Remarque 2 3 2 2 2 3" xfId="360" xr:uid="{00000000-0005-0000-0000-0000944E0000}"/>
    <cellStyle name="Remarque 2 3 2 2 2 3 10" xfId="24392" xr:uid="{00000000-0005-0000-0000-0000954E0000}"/>
    <cellStyle name="Remarque 2 3 2 2 2 3 10 2" xfId="48352" xr:uid="{00000000-0005-0000-0000-0000964E0000}"/>
    <cellStyle name="Remarque 2 3 2 2 2 3 11" xfId="36213" xr:uid="{00000000-0005-0000-0000-0000974E0000}"/>
    <cellStyle name="Remarque 2 3 2 2 2 3 11 2" xfId="60173" xr:uid="{00000000-0005-0000-0000-0000984E0000}"/>
    <cellStyle name="Remarque 2 3 2 2 2 3 12" xfId="13057" xr:uid="{00000000-0005-0000-0000-0000994E0000}"/>
    <cellStyle name="Remarque 2 3 2 2 2 3 13" xfId="37017" xr:uid="{00000000-0005-0000-0000-00009A4E0000}"/>
    <cellStyle name="Remarque 2 3 2 2 2 3 2" xfId="3266" xr:uid="{00000000-0005-0000-0000-00009B4E0000}"/>
    <cellStyle name="Remarque 2 3 2 2 2 3 2 2" xfId="27280" xr:uid="{00000000-0005-0000-0000-00009C4E0000}"/>
    <cellStyle name="Remarque 2 3 2 2 2 3 2 2 2" xfId="51240" xr:uid="{00000000-0005-0000-0000-00009D4E0000}"/>
    <cellStyle name="Remarque 2 3 2 2 2 3 2 3" xfId="14527" xr:uid="{00000000-0005-0000-0000-00009E4E0000}"/>
    <cellStyle name="Remarque 2 3 2 2 2 3 2 4" xfId="38487" xr:uid="{00000000-0005-0000-0000-00009F4E0000}"/>
    <cellStyle name="Remarque 2 3 2 2 2 3 3" xfId="4700" xr:uid="{00000000-0005-0000-0000-0000A04E0000}"/>
    <cellStyle name="Remarque 2 3 2 2 2 3 3 2" xfId="28714" xr:uid="{00000000-0005-0000-0000-0000A14E0000}"/>
    <cellStyle name="Remarque 2 3 2 2 2 3 3 2 2" xfId="52674" xr:uid="{00000000-0005-0000-0000-0000A24E0000}"/>
    <cellStyle name="Remarque 2 3 2 2 2 3 3 3" xfId="15961" xr:uid="{00000000-0005-0000-0000-0000A34E0000}"/>
    <cellStyle name="Remarque 2 3 2 2 2 3 3 4" xfId="39921" xr:uid="{00000000-0005-0000-0000-0000A44E0000}"/>
    <cellStyle name="Remarque 2 3 2 2 2 3 4" xfId="6094" xr:uid="{00000000-0005-0000-0000-0000A54E0000}"/>
    <cellStyle name="Remarque 2 3 2 2 2 3 4 2" xfId="30108" xr:uid="{00000000-0005-0000-0000-0000A64E0000}"/>
    <cellStyle name="Remarque 2 3 2 2 2 3 4 2 2" xfId="54068" xr:uid="{00000000-0005-0000-0000-0000A74E0000}"/>
    <cellStyle name="Remarque 2 3 2 2 2 3 4 3" xfId="17355" xr:uid="{00000000-0005-0000-0000-0000A84E0000}"/>
    <cellStyle name="Remarque 2 3 2 2 2 3 4 4" xfId="41315" xr:uid="{00000000-0005-0000-0000-0000A94E0000}"/>
    <cellStyle name="Remarque 2 3 2 2 2 3 5" xfId="7482" xr:uid="{00000000-0005-0000-0000-0000AA4E0000}"/>
    <cellStyle name="Remarque 2 3 2 2 2 3 5 2" xfId="31496" xr:uid="{00000000-0005-0000-0000-0000AB4E0000}"/>
    <cellStyle name="Remarque 2 3 2 2 2 3 5 2 2" xfId="55456" xr:uid="{00000000-0005-0000-0000-0000AC4E0000}"/>
    <cellStyle name="Remarque 2 3 2 2 2 3 5 3" xfId="18743" xr:uid="{00000000-0005-0000-0000-0000AD4E0000}"/>
    <cellStyle name="Remarque 2 3 2 2 2 3 5 4" xfId="42703" xr:uid="{00000000-0005-0000-0000-0000AE4E0000}"/>
    <cellStyle name="Remarque 2 3 2 2 2 3 6" xfId="8867" xr:uid="{00000000-0005-0000-0000-0000AF4E0000}"/>
    <cellStyle name="Remarque 2 3 2 2 2 3 6 2" xfId="32881" xr:uid="{00000000-0005-0000-0000-0000B04E0000}"/>
    <cellStyle name="Remarque 2 3 2 2 2 3 6 2 2" xfId="56841" xr:uid="{00000000-0005-0000-0000-0000B14E0000}"/>
    <cellStyle name="Remarque 2 3 2 2 2 3 6 3" xfId="20128" xr:uid="{00000000-0005-0000-0000-0000B24E0000}"/>
    <cellStyle name="Remarque 2 3 2 2 2 3 6 4" xfId="44088" xr:uid="{00000000-0005-0000-0000-0000B34E0000}"/>
    <cellStyle name="Remarque 2 3 2 2 2 3 7" xfId="10324" xr:uid="{00000000-0005-0000-0000-0000B44E0000}"/>
    <cellStyle name="Remarque 2 3 2 2 2 3 7 2" xfId="34334" xr:uid="{00000000-0005-0000-0000-0000B54E0000}"/>
    <cellStyle name="Remarque 2 3 2 2 2 3 7 2 2" xfId="58294" xr:uid="{00000000-0005-0000-0000-0000B64E0000}"/>
    <cellStyle name="Remarque 2 3 2 2 2 3 7 3" xfId="21591" xr:uid="{00000000-0005-0000-0000-0000B74E0000}"/>
    <cellStyle name="Remarque 2 3 2 2 2 3 7 4" xfId="45551" xr:uid="{00000000-0005-0000-0000-0000B84E0000}"/>
    <cellStyle name="Remarque 2 3 2 2 2 3 8" xfId="11781" xr:uid="{00000000-0005-0000-0000-0000B94E0000}"/>
    <cellStyle name="Remarque 2 3 2 2 2 3 8 2" xfId="23055" xr:uid="{00000000-0005-0000-0000-0000BA4E0000}"/>
    <cellStyle name="Remarque 2 3 2 2 2 3 8 3" xfId="47015" xr:uid="{00000000-0005-0000-0000-0000BB4E0000}"/>
    <cellStyle name="Remarque 2 3 2 2 2 3 9" xfId="1796" xr:uid="{00000000-0005-0000-0000-0000BC4E0000}"/>
    <cellStyle name="Remarque 2 3 2 2 2 3 9 2" xfId="25810" xr:uid="{00000000-0005-0000-0000-0000BD4E0000}"/>
    <cellStyle name="Remarque 2 3 2 2 2 3 9 3" xfId="49770" xr:uid="{00000000-0005-0000-0000-0000BE4E0000}"/>
    <cellStyle name="Remarque 2 3 2 2 2 4" xfId="496" xr:uid="{00000000-0005-0000-0000-0000BF4E0000}"/>
    <cellStyle name="Remarque 2 3 2 2 2 4 10" xfId="24528" xr:uid="{00000000-0005-0000-0000-0000C04E0000}"/>
    <cellStyle name="Remarque 2 3 2 2 2 4 10 2" xfId="48488" xr:uid="{00000000-0005-0000-0000-0000C14E0000}"/>
    <cellStyle name="Remarque 2 3 2 2 2 4 11" xfId="36324" xr:uid="{00000000-0005-0000-0000-0000C24E0000}"/>
    <cellStyle name="Remarque 2 3 2 2 2 4 11 2" xfId="60284" xr:uid="{00000000-0005-0000-0000-0000C34E0000}"/>
    <cellStyle name="Remarque 2 3 2 2 2 4 12" xfId="13193" xr:uid="{00000000-0005-0000-0000-0000C44E0000}"/>
    <cellStyle name="Remarque 2 3 2 2 2 4 13" xfId="37153" xr:uid="{00000000-0005-0000-0000-0000C54E0000}"/>
    <cellStyle name="Remarque 2 3 2 2 2 4 2" xfId="3402" xr:uid="{00000000-0005-0000-0000-0000C64E0000}"/>
    <cellStyle name="Remarque 2 3 2 2 2 4 2 2" xfId="27416" xr:uid="{00000000-0005-0000-0000-0000C74E0000}"/>
    <cellStyle name="Remarque 2 3 2 2 2 4 2 2 2" xfId="51376" xr:uid="{00000000-0005-0000-0000-0000C84E0000}"/>
    <cellStyle name="Remarque 2 3 2 2 2 4 2 3" xfId="14663" xr:uid="{00000000-0005-0000-0000-0000C94E0000}"/>
    <cellStyle name="Remarque 2 3 2 2 2 4 2 4" xfId="38623" xr:uid="{00000000-0005-0000-0000-0000CA4E0000}"/>
    <cellStyle name="Remarque 2 3 2 2 2 4 3" xfId="4836" xr:uid="{00000000-0005-0000-0000-0000CB4E0000}"/>
    <cellStyle name="Remarque 2 3 2 2 2 4 3 2" xfId="28850" xr:uid="{00000000-0005-0000-0000-0000CC4E0000}"/>
    <cellStyle name="Remarque 2 3 2 2 2 4 3 2 2" xfId="52810" xr:uid="{00000000-0005-0000-0000-0000CD4E0000}"/>
    <cellStyle name="Remarque 2 3 2 2 2 4 3 3" xfId="16097" xr:uid="{00000000-0005-0000-0000-0000CE4E0000}"/>
    <cellStyle name="Remarque 2 3 2 2 2 4 3 4" xfId="40057" xr:uid="{00000000-0005-0000-0000-0000CF4E0000}"/>
    <cellStyle name="Remarque 2 3 2 2 2 4 4" xfId="6230" xr:uid="{00000000-0005-0000-0000-0000D04E0000}"/>
    <cellStyle name="Remarque 2 3 2 2 2 4 4 2" xfId="30244" xr:uid="{00000000-0005-0000-0000-0000D14E0000}"/>
    <cellStyle name="Remarque 2 3 2 2 2 4 4 2 2" xfId="54204" xr:uid="{00000000-0005-0000-0000-0000D24E0000}"/>
    <cellStyle name="Remarque 2 3 2 2 2 4 4 3" xfId="17491" xr:uid="{00000000-0005-0000-0000-0000D34E0000}"/>
    <cellStyle name="Remarque 2 3 2 2 2 4 4 4" xfId="41451" xr:uid="{00000000-0005-0000-0000-0000D44E0000}"/>
    <cellStyle name="Remarque 2 3 2 2 2 4 5" xfId="7618" xr:uid="{00000000-0005-0000-0000-0000D54E0000}"/>
    <cellStyle name="Remarque 2 3 2 2 2 4 5 2" xfId="31632" xr:uid="{00000000-0005-0000-0000-0000D64E0000}"/>
    <cellStyle name="Remarque 2 3 2 2 2 4 5 2 2" xfId="55592" xr:uid="{00000000-0005-0000-0000-0000D74E0000}"/>
    <cellStyle name="Remarque 2 3 2 2 2 4 5 3" xfId="18879" xr:uid="{00000000-0005-0000-0000-0000D84E0000}"/>
    <cellStyle name="Remarque 2 3 2 2 2 4 5 4" xfId="42839" xr:uid="{00000000-0005-0000-0000-0000D94E0000}"/>
    <cellStyle name="Remarque 2 3 2 2 2 4 6" xfId="9003" xr:uid="{00000000-0005-0000-0000-0000DA4E0000}"/>
    <cellStyle name="Remarque 2 3 2 2 2 4 6 2" xfId="33017" xr:uid="{00000000-0005-0000-0000-0000DB4E0000}"/>
    <cellStyle name="Remarque 2 3 2 2 2 4 6 2 2" xfId="56977" xr:uid="{00000000-0005-0000-0000-0000DC4E0000}"/>
    <cellStyle name="Remarque 2 3 2 2 2 4 6 3" xfId="20264" xr:uid="{00000000-0005-0000-0000-0000DD4E0000}"/>
    <cellStyle name="Remarque 2 3 2 2 2 4 6 4" xfId="44224" xr:uid="{00000000-0005-0000-0000-0000DE4E0000}"/>
    <cellStyle name="Remarque 2 3 2 2 2 4 7" xfId="10460" xr:uid="{00000000-0005-0000-0000-0000DF4E0000}"/>
    <cellStyle name="Remarque 2 3 2 2 2 4 7 2" xfId="34470" xr:uid="{00000000-0005-0000-0000-0000E04E0000}"/>
    <cellStyle name="Remarque 2 3 2 2 2 4 7 2 2" xfId="58430" xr:uid="{00000000-0005-0000-0000-0000E14E0000}"/>
    <cellStyle name="Remarque 2 3 2 2 2 4 7 3" xfId="21727" xr:uid="{00000000-0005-0000-0000-0000E24E0000}"/>
    <cellStyle name="Remarque 2 3 2 2 2 4 7 4" xfId="45687" xr:uid="{00000000-0005-0000-0000-0000E34E0000}"/>
    <cellStyle name="Remarque 2 3 2 2 2 4 8" xfId="12907" xr:uid="{00000000-0005-0000-0000-0000E44E0000}"/>
    <cellStyle name="Remarque 2 3 2 2 2 4 8 2" xfId="24220" xr:uid="{00000000-0005-0000-0000-0000E54E0000}"/>
    <cellStyle name="Remarque 2 3 2 2 2 4 8 3" xfId="48180" xr:uid="{00000000-0005-0000-0000-0000E64E0000}"/>
    <cellStyle name="Remarque 2 3 2 2 2 4 9" xfId="1932" xr:uid="{00000000-0005-0000-0000-0000E74E0000}"/>
    <cellStyle name="Remarque 2 3 2 2 2 4 9 2" xfId="25946" xr:uid="{00000000-0005-0000-0000-0000E84E0000}"/>
    <cellStyle name="Remarque 2 3 2 2 2 4 9 3" xfId="49906" xr:uid="{00000000-0005-0000-0000-0000E94E0000}"/>
    <cellStyle name="Remarque 2 3 2 2 2 5" xfId="688" xr:uid="{00000000-0005-0000-0000-0000EA4E0000}"/>
    <cellStyle name="Remarque 2 3 2 2 2 5 10" xfId="24720" xr:uid="{00000000-0005-0000-0000-0000EB4E0000}"/>
    <cellStyle name="Remarque 2 3 2 2 2 5 10 2" xfId="48680" xr:uid="{00000000-0005-0000-0000-0000EC4E0000}"/>
    <cellStyle name="Remarque 2 3 2 2 2 5 11" xfId="35837" xr:uid="{00000000-0005-0000-0000-0000ED4E0000}"/>
    <cellStyle name="Remarque 2 3 2 2 2 5 11 2" xfId="59797" xr:uid="{00000000-0005-0000-0000-0000EE4E0000}"/>
    <cellStyle name="Remarque 2 3 2 2 2 5 12" xfId="13385" xr:uid="{00000000-0005-0000-0000-0000EF4E0000}"/>
    <cellStyle name="Remarque 2 3 2 2 2 5 13" xfId="37345" xr:uid="{00000000-0005-0000-0000-0000F04E0000}"/>
    <cellStyle name="Remarque 2 3 2 2 2 5 2" xfId="3594" xr:uid="{00000000-0005-0000-0000-0000F14E0000}"/>
    <cellStyle name="Remarque 2 3 2 2 2 5 2 2" xfId="27608" xr:uid="{00000000-0005-0000-0000-0000F24E0000}"/>
    <cellStyle name="Remarque 2 3 2 2 2 5 2 2 2" xfId="51568" xr:uid="{00000000-0005-0000-0000-0000F34E0000}"/>
    <cellStyle name="Remarque 2 3 2 2 2 5 2 3" xfId="14855" xr:uid="{00000000-0005-0000-0000-0000F44E0000}"/>
    <cellStyle name="Remarque 2 3 2 2 2 5 2 4" xfId="38815" xr:uid="{00000000-0005-0000-0000-0000F54E0000}"/>
    <cellStyle name="Remarque 2 3 2 2 2 5 3" xfId="5028" xr:uid="{00000000-0005-0000-0000-0000F64E0000}"/>
    <cellStyle name="Remarque 2 3 2 2 2 5 3 2" xfId="29042" xr:uid="{00000000-0005-0000-0000-0000F74E0000}"/>
    <cellStyle name="Remarque 2 3 2 2 2 5 3 2 2" xfId="53002" xr:uid="{00000000-0005-0000-0000-0000F84E0000}"/>
    <cellStyle name="Remarque 2 3 2 2 2 5 3 3" xfId="16289" xr:uid="{00000000-0005-0000-0000-0000F94E0000}"/>
    <cellStyle name="Remarque 2 3 2 2 2 5 3 4" xfId="40249" xr:uid="{00000000-0005-0000-0000-0000FA4E0000}"/>
    <cellStyle name="Remarque 2 3 2 2 2 5 4" xfId="6422" xr:uid="{00000000-0005-0000-0000-0000FB4E0000}"/>
    <cellStyle name="Remarque 2 3 2 2 2 5 4 2" xfId="30436" xr:uid="{00000000-0005-0000-0000-0000FC4E0000}"/>
    <cellStyle name="Remarque 2 3 2 2 2 5 4 2 2" xfId="54396" xr:uid="{00000000-0005-0000-0000-0000FD4E0000}"/>
    <cellStyle name="Remarque 2 3 2 2 2 5 4 3" xfId="17683" xr:uid="{00000000-0005-0000-0000-0000FE4E0000}"/>
    <cellStyle name="Remarque 2 3 2 2 2 5 4 4" xfId="41643" xr:uid="{00000000-0005-0000-0000-0000FF4E0000}"/>
    <cellStyle name="Remarque 2 3 2 2 2 5 5" xfId="7810" xr:uid="{00000000-0005-0000-0000-0000004F0000}"/>
    <cellStyle name="Remarque 2 3 2 2 2 5 5 2" xfId="31824" xr:uid="{00000000-0005-0000-0000-0000014F0000}"/>
    <cellStyle name="Remarque 2 3 2 2 2 5 5 2 2" xfId="55784" xr:uid="{00000000-0005-0000-0000-0000024F0000}"/>
    <cellStyle name="Remarque 2 3 2 2 2 5 5 3" xfId="19071" xr:uid="{00000000-0005-0000-0000-0000034F0000}"/>
    <cellStyle name="Remarque 2 3 2 2 2 5 5 4" xfId="43031" xr:uid="{00000000-0005-0000-0000-0000044F0000}"/>
    <cellStyle name="Remarque 2 3 2 2 2 5 6" xfId="9195" xr:uid="{00000000-0005-0000-0000-0000054F0000}"/>
    <cellStyle name="Remarque 2 3 2 2 2 5 6 2" xfId="33209" xr:uid="{00000000-0005-0000-0000-0000064F0000}"/>
    <cellStyle name="Remarque 2 3 2 2 2 5 6 2 2" xfId="57169" xr:uid="{00000000-0005-0000-0000-0000074F0000}"/>
    <cellStyle name="Remarque 2 3 2 2 2 5 6 3" xfId="20456" xr:uid="{00000000-0005-0000-0000-0000084F0000}"/>
    <cellStyle name="Remarque 2 3 2 2 2 5 6 4" xfId="44416" xr:uid="{00000000-0005-0000-0000-0000094F0000}"/>
    <cellStyle name="Remarque 2 3 2 2 2 5 7" xfId="10652" xr:uid="{00000000-0005-0000-0000-00000A4F0000}"/>
    <cellStyle name="Remarque 2 3 2 2 2 5 7 2" xfId="34662" xr:uid="{00000000-0005-0000-0000-00000B4F0000}"/>
    <cellStyle name="Remarque 2 3 2 2 2 5 7 2 2" xfId="58622" xr:uid="{00000000-0005-0000-0000-00000C4F0000}"/>
    <cellStyle name="Remarque 2 3 2 2 2 5 7 3" xfId="21919" xr:uid="{00000000-0005-0000-0000-00000D4F0000}"/>
    <cellStyle name="Remarque 2 3 2 2 2 5 7 4" xfId="45879" xr:uid="{00000000-0005-0000-0000-00000E4F0000}"/>
    <cellStyle name="Remarque 2 3 2 2 2 5 8" xfId="12873" xr:uid="{00000000-0005-0000-0000-00000F4F0000}"/>
    <cellStyle name="Remarque 2 3 2 2 2 5 8 2" xfId="24185" xr:uid="{00000000-0005-0000-0000-0000104F0000}"/>
    <cellStyle name="Remarque 2 3 2 2 2 5 8 3" xfId="48145" xr:uid="{00000000-0005-0000-0000-0000114F0000}"/>
    <cellStyle name="Remarque 2 3 2 2 2 5 9" xfId="2124" xr:uid="{00000000-0005-0000-0000-0000124F0000}"/>
    <cellStyle name="Remarque 2 3 2 2 2 5 9 2" xfId="26138" xr:uid="{00000000-0005-0000-0000-0000134F0000}"/>
    <cellStyle name="Remarque 2 3 2 2 2 5 9 3" xfId="50098" xr:uid="{00000000-0005-0000-0000-0000144F0000}"/>
    <cellStyle name="Remarque 2 3 2 2 2 6" xfId="882" xr:uid="{00000000-0005-0000-0000-0000154F0000}"/>
    <cellStyle name="Remarque 2 3 2 2 2 6 10" xfId="24914" xr:uid="{00000000-0005-0000-0000-0000164F0000}"/>
    <cellStyle name="Remarque 2 3 2 2 2 6 10 2" xfId="48874" xr:uid="{00000000-0005-0000-0000-0000174F0000}"/>
    <cellStyle name="Remarque 2 3 2 2 2 6 11" xfId="36079" xr:uid="{00000000-0005-0000-0000-0000184F0000}"/>
    <cellStyle name="Remarque 2 3 2 2 2 6 11 2" xfId="60039" xr:uid="{00000000-0005-0000-0000-0000194F0000}"/>
    <cellStyle name="Remarque 2 3 2 2 2 6 12" xfId="13579" xr:uid="{00000000-0005-0000-0000-00001A4F0000}"/>
    <cellStyle name="Remarque 2 3 2 2 2 6 13" xfId="37539" xr:uid="{00000000-0005-0000-0000-00001B4F0000}"/>
    <cellStyle name="Remarque 2 3 2 2 2 6 2" xfId="3788" xr:uid="{00000000-0005-0000-0000-00001C4F0000}"/>
    <cellStyle name="Remarque 2 3 2 2 2 6 2 2" xfId="27802" xr:uid="{00000000-0005-0000-0000-00001D4F0000}"/>
    <cellStyle name="Remarque 2 3 2 2 2 6 2 2 2" xfId="51762" xr:uid="{00000000-0005-0000-0000-00001E4F0000}"/>
    <cellStyle name="Remarque 2 3 2 2 2 6 2 3" xfId="15049" xr:uid="{00000000-0005-0000-0000-00001F4F0000}"/>
    <cellStyle name="Remarque 2 3 2 2 2 6 2 4" xfId="39009" xr:uid="{00000000-0005-0000-0000-0000204F0000}"/>
    <cellStyle name="Remarque 2 3 2 2 2 6 3" xfId="5222" xr:uid="{00000000-0005-0000-0000-0000214F0000}"/>
    <cellStyle name="Remarque 2 3 2 2 2 6 3 2" xfId="29236" xr:uid="{00000000-0005-0000-0000-0000224F0000}"/>
    <cellStyle name="Remarque 2 3 2 2 2 6 3 2 2" xfId="53196" xr:uid="{00000000-0005-0000-0000-0000234F0000}"/>
    <cellStyle name="Remarque 2 3 2 2 2 6 3 3" xfId="16483" xr:uid="{00000000-0005-0000-0000-0000244F0000}"/>
    <cellStyle name="Remarque 2 3 2 2 2 6 3 4" xfId="40443" xr:uid="{00000000-0005-0000-0000-0000254F0000}"/>
    <cellStyle name="Remarque 2 3 2 2 2 6 4" xfId="6616" xr:uid="{00000000-0005-0000-0000-0000264F0000}"/>
    <cellStyle name="Remarque 2 3 2 2 2 6 4 2" xfId="30630" xr:uid="{00000000-0005-0000-0000-0000274F0000}"/>
    <cellStyle name="Remarque 2 3 2 2 2 6 4 2 2" xfId="54590" xr:uid="{00000000-0005-0000-0000-0000284F0000}"/>
    <cellStyle name="Remarque 2 3 2 2 2 6 4 3" xfId="17877" xr:uid="{00000000-0005-0000-0000-0000294F0000}"/>
    <cellStyle name="Remarque 2 3 2 2 2 6 4 4" xfId="41837" xr:uid="{00000000-0005-0000-0000-00002A4F0000}"/>
    <cellStyle name="Remarque 2 3 2 2 2 6 5" xfId="8004" xr:uid="{00000000-0005-0000-0000-00002B4F0000}"/>
    <cellStyle name="Remarque 2 3 2 2 2 6 5 2" xfId="32018" xr:uid="{00000000-0005-0000-0000-00002C4F0000}"/>
    <cellStyle name="Remarque 2 3 2 2 2 6 5 2 2" xfId="55978" xr:uid="{00000000-0005-0000-0000-00002D4F0000}"/>
    <cellStyle name="Remarque 2 3 2 2 2 6 5 3" xfId="19265" xr:uid="{00000000-0005-0000-0000-00002E4F0000}"/>
    <cellStyle name="Remarque 2 3 2 2 2 6 5 4" xfId="43225" xr:uid="{00000000-0005-0000-0000-00002F4F0000}"/>
    <cellStyle name="Remarque 2 3 2 2 2 6 6" xfId="9389" xr:uid="{00000000-0005-0000-0000-0000304F0000}"/>
    <cellStyle name="Remarque 2 3 2 2 2 6 6 2" xfId="33403" xr:uid="{00000000-0005-0000-0000-0000314F0000}"/>
    <cellStyle name="Remarque 2 3 2 2 2 6 6 2 2" xfId="57363" xr:uid="{00000000-0005-0000-0000-0000324F0000}"/>
    <cellStyle name="Remarque 2 3 2 2 2 6 6 3" xfId="20650" xr:uid="{00000000-0005-0000-0000-0000334F0000}"/>
    <cellStyle name="Remarque 2 3 2 2 2 6 6 4" xfId="44610" xr:uid="{00000000-0005-0000-0000-0000344F0000}"/>
    <cellStyle name="Remarque 2 3 2 2 2 6 7" xfId="10846" xr:uid="{00000000-0005-0000-0000-0000354F0000}"/>
    <cellStyle name="Remarque 2 3 2 2 2 6 7 2" xfId="34856" xr:uid="{00000000-0005-0000-0000-0000364F0000}"/>
    <cellStyle name="Remarque 2 3 2 2 2 6 7 2 2" xfId="58816" xr:uid="{00000000-0005-0000-0000-0000374F0000}"/>
    <cellStyle name="Remarque 2 3 2 2 2 6 7 3" xfId="22113" xr:uid="{00000000-0005-0000-0000-0000384F0000}"/>
    <cellStyle name="Remarque 2 3 2 2 2 6 7 4" xfId="46073" xr:uid="{00000000-0005-0000-0000-0000394F0000}"/>
    <cellStyle name="Remarque 2 3 2 2 2 6 8" xfId="11752" xr:uid="{00000000-0005-0000-0000-00003A4F0000}"/>
    <cellStyle name="Remarque 2 3 2 2 2 6 8 2" xfId="23024" xr:uid="{00000000-0005-0000-0000-00003B4F0000}"/>
    <cellStyle name="Remarque 2 3 2 2 2 6 8 3" xfId="46984" xr:uid="{00000000-0005-0000-0000-00003C4F0000}"/>
    <cellStyle name="Remarque 2 3 2 2 2 6 9" xfId="2318" xr:uid="{00000000-0005-0000-0000-00003D4F0000}"/>
    <cellStyle name="Remarque 2 3 2 2 2 6 9 2" xfId="26332" xr:uid="{00000000-0005-0000-0000-00003E4F0000}"/>
    <cellStyle name="Remarque 2 3 2 2 2 6 9 3" xfId="50292" xr:uid="{00000000-0005-0000-0000-00003F4F0000}"/>
    <cellStyle name="Remarque 2 3 2 2 2 7" xfId="1075" xr:uid="{00000000-0005-0000-0000-0000404F0000}"/>
    <cellStyle name="Remarque 2 3 2 2 2 7 10" xfId="25107" xr:uid="{00000000-0005-0000-0000-0000414F0000}"/>
    <cellStyle name="Remarque 2 3 2 2 2 7 10 2" xfId="49067" xr:uid="{00000000-0005-0000-0000-0000424F0000}"/>
    <cellStyle name="Remarque 2 3 2 2 2 7 11" xfId="36260" xr:uid="{00000000-0005-0000-0000-0000434F0000}"/>
    <cellStyle name="Remarque 2 3 2 2 2 7 11 2" xfId="60220" xr:uid="{00000000-0005-0000-0000-0000444F0000}"/>
    <cellStyle name="Remarque 2 3 2 2 2 7 12" xfId="13772" xr:uid="{00000000-0005-0000-0000-0000454F0000}"/>
    <cellStyle name="Remarque 2 3 2 2 2 7 13" xfId="37732" xr:uid="{00000000-0005-0000-0000-0000464F0000}"/>
    <cellStyle name="Remarque 2 3 2 2 2 7 2" xfId="3981" xr:uid="{00000000-0005-0000-0000-0000474F0000}"/>
    <cellStyle name="Remarque 2 3 2 2 2 7 2 2" xfId="27995" xr:uid="{00000000-0005-0000-0000-0000484F0000}"/>
    <cellStyle name="Remarque 2 3 2 2 2 7 2 2 2" xfId="51955" xr:uid="{00000000-0005-0000-0000-0000494F0000}"/>
    <cellStyle name="Remarque 2 3 2 2 2 7 2 3" xfId="15242" xr:uid="{00000000-0005-0000-0000-00004A4F0000}"/>
    <cellStyle name="Remarque 2 3 2 2 2 7 2 4" xfId="39202" xr:uid="{00000000-0005-0000-0000-00004B4F0000}"/>
    <cellStyle name="Remarque 2 3 2 2 2 7 3" xfId="5415" xr:uid="{00000000-0005-0000-0000-00004C4F0000}"/>
    <cellStyle name="Remarque 2 3 2 2 2 7 3 2" xfId="29429" xr:uid="{00000000-0005-0000-0000-00004D4F0000}"/>
    <cellStyle name="Remarque 2 3 2 2 2 7 3 2 2" xfId="53389" xr:uid="{00000000-0005-0000-0000-00004E4F0000}"/>
    <cellStyle name="Remarque 2 3 2 2 2 7 3 3" xfId="16676" xr:uid="{00000000-0005-0000-0000-00004F4F0000}"/>
    <cellStyle name="Remarque 2 3 2 2 2 7 3 4" xfId="40636" xr:uid="{00000000-0005-0000-0000-0000504F0000}"/>
    <cellStyle name="Remarque 2 3 2 2 2 7 4" xfId="6809" xr:uid="{00000000-0005-0000-0000-0000514F0000}"/>
    <cellStyle name="Remarque 2 3 2 2 2 7 4 2" xfId="30823" xr:uid="{00000000-0005-0000-0000-0000524F0000}"/>
    <cellStyle name="Remarque 2 3 2 2 2 7 4 2 2" xfId="54783" xr:uid="{00000000-0005-0000-0000-0000534F0000}"/>
    <cellStyle name="Remarque 2 3 2 2 2 7 4 3" xfId="18070" xr:uid="{00000000-0005-0000-0000-0000544F0000}"/>
    <cellStyle name="Remarque 2 3 2 2 2 7 4 4" xfId="42030" xr:uid="{00000000-0005-0000-0000-0000554F0000}"/>
    <cellStyle name="Remarque 2 3 2 2 2 7 5" xfId="8197" xr:uid="{00000000-0005-0000-0000-0000564F0000}"/>
    <cellStyle name="Remarque 2 3 2 2 2 7 5 2" xfId="32211" xr:uid="{00000000-0005-0000-0000-0000574F0000}"/>
    <cellStyle name="Remarque 2 3 2 2 2 7 5 2 2" xfId="56171" xr:uid="{00000000-0005-0000-0000-0000584F0000}"/>
    <cellStyle name="Remarque 2 3 2 2 2 7 5 3" xfId="19458" xr:uid="{00000000-0005-0000-0000-0000594F0000}"/>
    <cellStyle name="Remarque 2 3 2 2 2 7 5 4" xfId="43418" xr:uid="{00000000-0005-0000-0000-00005A4F0000}"/>
    <cellStyle name="Remarque 2 3 2 2 2 7 6" xfId="9582" xr:uid="{00000000-0005-0000-0000-00005B4F0000}"/>
    <cellStyle name="Remarque 2 3 2 2 2 7 6 2" xfId="33596" xr:uid="{00000000-0005-0000-0000-00005C4F0000}"/>
    <cellStyle name="Remarque 2 3 2 2 2 7 6 2 2" xfId="57556" xr:uid="{00000000-0005-0000-0000-00005D4F0000}"/>
    <cellStyle name="Remarque 2 3 2 2 2 7 6 3" xfId="20843" xr:uid="{00000000-0005-0000-0000-00005E4F0000}"/>
    <cellStyle name="Remarque 2 3 2 2 2 7 6 4" xfId="44803" xr:uid="{00000000-0005-0000-0000-00005F4F0000}"/>
    <cellStyle name="Remarque 2 3 2 2 2 7 7" xfId="11039" xr:uid="{00000000-0005-0000-0000-0000604F0000}"/>
    <cellStyle name="Remarque 2 3 2 2 2 7 7 2" xfId="35049" xr:uid="{00000000-0005-0000-0000-0000614F0000}"/>
    <cellStyle name="Remarque 2 3 2 2 2 7 7 2 2" xfId="59009" xr:uid="{00000000-0005-0000-0000-0000624F0000}"/>
    <cellStyle name="Remarque 2 3 2 2 2 7 7 3" xfId="22306" xr:uid="{00000000-0005-0000-0000-0000634F0000}"/>
    <cellStyle name="Remarque 2 3 2 2 2 7 7 4" xfId="46266" xr:uid="{00000000-0005-0000-0000-0000644F0000}"/>
    <cellStyle name="Remarque 2 3 2 2 2 7 8" xfId="12539" xr:uid="{00000000-0005-0000-0000-0000654F0000}"/>
    <cellStyle name="Remarque 2 3 2 2 2 7 8 2" xfId="23837" xr:uid="{00000000-0005-0000-0000-0000664F0000}"/>
    <cellStyle name="Remarque 2 3 2 2 2 7 8 3" xfId="47797" xr:uid="{00000000-0005-0000-0000-0000674F0000}"/>
    <cellStyle name="Remarque 2 3 2 2 2 7 9" xfId="2511" xr:uid="{00000000-0005-0000-0000-0000684F0000}"/>
    <cellStyle name="Remarque 2 3 2 2 2 7 9 2" xfId="26525" xr:uid="{00000000-0005-0000-0000-0000694F0000}"/>
    <cellStyle name="Remarque 2 3 2 2 2 7 9 3" xfId="50485" xr:uid="{00000000-0005-0000-0000-00006A4F0000}"/>
    <cellStyle name="Remarque 2 3 2 2 2 8" xfId="1242" xr:uid="{00000000-0005-0000-0000-00006B4F0000}"/>
    <cellStyle name="Remarque 2 3 2 2 2 8 10" xfId="25274" xr:uid="{00000000-0005-0000-0000-00006C4F0000}"/>
    <cellStyle name="Remarque 2 3 2 2 2 8 10 2" xfId="49234" xr:uid="{00000000-0005-0000-0000-00006D4F0000}"/>
    <cellStyle name="Remarque 2 3 2 2 2 8 11" xfId="31379" xr:uid="{00000000-0005-0000-0000-00006E4F0000}"/>
    <cellStyle name="Remarque 2 3 2 2 2 8 11 2" xfId="55339" xr:uid="{00000000-0005-0000-0000-00006F4F0000}"/>
    <cellStyle name="Remarque 2 3 2 2 2 8 12" xfId="13939" xr:uid="{00000000-0005-0000-0000-0000704F0000}"/>
    <cellStyle name="Remarque 2 3 2 2 2 8 13" xfId="37899" xr:uid="{00000000-0005-0000-0000-0000714F0000}"/>
    <cellStyle name="Remarque 2 3 2 2 2 8 2" xfId="4148" xr:uid="{00000000-0005-0000-0000-0000724F0000}"/>
    <cellStyle name="Remarque 2 3 2 2 2 8 2 2" xfId="28162" xr:uid="{00000000-0005-0000-0000-0000734F0000}"/>
    <cellStyle name="Remarque 2 3 2 2 2 8 2 2 2" xfId="52122" xr:uid="{00000000-0005-0000-0000-0000744F0000}"/>
    <cellStyle name="Remarque 2 3 2 2 2 8 2 3" xfId="15409" xr:uid="{00000000-0005-0000-0000-0000754F0000}"/>
    <cellStyle name="Remarque 2 3 2 2 2 8 2 4" xfId="39369" xr:uid="{00000000-0005-0000-0000-0000764F0000}"/>
    <cellStyle name="Remarque 2 3 2 2 2 8 3" xfId="5582" xr:uid="{00000000-0005-0000-0000-0000774F0000}"/>
    <cellStyle name="Remarque 2 3 2 2 2 8 3 2" xfId="29596" xr:uid="{00000000-0005-0000-0000-0000784F0000}"/>
    <cellStyle name="Remarque 2 3 2 2 2 8 3 2 2" xfId="53556" xr:uid="{00000000-0005-0000-0000-0000794F0000}"/>
    <cellStyle name="Remarque 2 3 2 2 2 8 3 3" xfId="16843" xr:uid="{00000000-0005-0000-0000-00007A4F0000}"/>
    <cellStyle name="Remarque 2 3 2 2 2 8 3 4" xfId="40803" xr:uid="{00000000-0005-0000-0000-00007B4F0000}"/>
    <cellStyle name="Remarque 2 3 2 2 2 8 4" xfId="6976" xr:uid="{00000000-0005-0000-0000-00007C4F0000}"/>
    <cellStyle name="Remarque 2 3 2 2 2 8 4 2" xfId="30990" xr:uid="{00000000-0005-0000-0000-00007D4F0000}"/>
    <cellStyle name="Remarque 2 3 2 2 2 8 4 2 2" xfId="54950" xr:uid="{00000000-0005-0000-0000-00007E4F0000}"/>
    <cellStyle name="Remarque 2 3 2 2 2 8 4 3" xfId="18237" xr:uid="{00000000-0005-0000-0000-00007F4F0000}"/>
    <cellStyle name="Remarque 2 3 2 2 2 8 4 4" xfId="42197" xr:uid="{00000000-0005-0000-0000-0000804F0000}"/>
    <cellStyle name="Remarque 2 3 2 2 2 8 5" xfId="8364" xr:uid="{00000000-0005-0000-0000-0000814F0000}"/>
    <cellStyle name="Remarque 2 3 2 2 2 8 5 2" xfId="32378" xr:uid="{00000000-0005-0000-0000-0000824F0000}"/>
    <cellStyle name="Remarque 2 3 2 2 2 8 5 2 2" xfId="56338" xr:uid="{00000000-0005-0000-0000-0000834F0000}"/>
    <cellStyle name="Remarque 2 3 2 2 2 8 5 3" xfId="19625" xr:uid="{00000000-0005-0000-0000-0000844F0000}"/>
    <cellStyle name="Remarque 2 3 2 2 2 8 5 4" xfId="43585" xr:uid="{00000000-0005-0000-0000-0000854F0000}"/>
    <cellStyle name="Remarque 2 3 2 2 2 8 6" xfId="9749" xr:uid="{00000000-0005-0000-0000-0000864F0000}"/>
    <cellStyle name="Remarque 2 3 2 2 2 8 6 2" xfId="33763" xr:uid="{00000000-0005-0000-0000-0000874F0000}"/>
    <cellStyle name="Remarque 2 3 2 2 2 8 6 2 2" xfId="57723" xr:uid="{00000000-0005-0000-0000-0000884F0000}"/>
    <cellStyle name="Remarque 2 3 2 2 2 8 6 3" xfId="21010" xr:uid="{00000000-0005-0000-0000-0000894F0000}"/>
    <cellStyle name="Remarque 2 3 2 2 2 8 6 4" xfId="44970" xr:uid="{00000000-0005-0000-0000-00008A4F0000}"/>
    <cellStyle name="Remarque 2 3 2 2 2 8 7" xfId="11206" xr:uid="{00000000-0005-0000-0000-00008B4F0000}"/>
    <cellStyle name="Remarque 2 3 2 2 2 8 7 2" xfId="35216" xr:uid="{00000000-0005-0000-0000-00008C4F0000}"/>
    <cellStyle name="Remarque 2 3 2 2 2 8 7 2 2" xfId="59176" xr:uid="{00000000-0005-0000-0000-00008D4F0000}"/>
    <cellStyle name="Remarque 2 3 2 2 2 8 7 3" xfId="22473" xr:uid="{00000000-0005-0000-0000-00008E4F0000}"/>
    <cellStyle name="Remarque 2 3 2 2 2 8 7 4" xfId="46433" xr:uid="{00000000-0005-0000-0000-00008F4F0000}"/>
    <cellStyle name="Remarque 2 3 2 2 2 8 8" xfId="12287" xr:uid="{00000000-0005-0000-0000-0000904F0000}"/>
    <cellStyle name="Remarque 2 3 2 2 2 8 8 2" xfId="23575" xr:uid="{00000000-0005-0000-0000-0000914F0000}"/>
    <cellStyle name="Remarque 2 3 2 2 2 8 8 3" xfId="47535" xr:uid="{00000000-0005-0000-0000-0000924F0000}"/>
    <cellStyle name="Remarque 2 3 2 2 2 8 9" xfId="2678" xr:uid="{00000000-0005-0000-0000-0000934F0000}"/>
    <cellStyle name="Remarque 2 3 2 2 2 8 9 2" xfId="26692" xr:uid="{00000000-0005-0000-0000-0000944F0000}"/>
    <cellStyle name="Remarque 2 3 2 2 2 8 9 3" xfId="50652" xr:uid="{00000000-0005-0000-0000-0000954F0000}"/>
    <cellStyle name="Remarque 2 3 2 2 2 9" xfId="1411" xr:uid="{00000000-0005-0000-0000-0000964F0000}"/>
    <cellStyle name="Remarque 2 3 2 2 2 9 10" xfId="25443" xr:uid="{00000000-0005-0000-0000-0000974F0000}"/>
    <cellStyle name="Remarque 2 3 2 2 2 9 10 2" xfId="49403" xr:uid="{00000000-0005-0000-0000-0000984F0000}"/>
    <cellStyle name="Remarque 2 3 2 2 2 9 11" xfId="35593" xr:uid="{00000000-0005-0000-0000-0000994F0000}"/>
    <cellStyle name="Remarque 2 3 2 2 2 9 11 2" xfId="59553" xr:uid="{00000000-0005-0000-0000-00009A4F0000}"/>
    <cellStyle name="Remarque 2 3 2 2 2 9 12" xfId="14108" xr:uid="{00000000-0005-0000-0000-00009B4F0000}"/>
    <cellStyle name="Remarque 2 3 2 2 2 9 13" xfId="38068" xr:uid="{00000000-0005-0000-0000-00009C4F0000}"/>
    <cellStyle name="Remarque 2 3 2 2 2 9 2" xfId="4317" xr:uid="{00000000-0005-0000-0000-00009D4F0000}"/>
    <cellStyle name="Remarque 2 3 2 2 2 9 2 2" xfId="28331" xr:uid="{00000000-0005-0000-0000-00009E4F0000}"/>
    <cellStyle name="Remarque 2 3 2 2 2 9 2 2 2" xfId="52291" xr:uid="{00000000-0005-0000-0000-00009F4F0000}"/>
    <cellStyle name="Remarque 2 3 2 2 2 9 2 3" xfId="15578" xr:uid="{00000000-0005-0000-0000-0000A04F0000}"/>
    <cellStyle name="Remarque 2 3 2 2 2 9 2 4" xfId="39538" xr:uid="{00000000-0005-0000-0000-0000A14F0000}"/>
    <cellStyle name="Remarque 2 3 2 2 2 9 3" xfId="5751" xr:uid="{00000000-0005-0000-0000-0000A24F0000}"/>
    <cellStyle name="Remarque 2 3 2 2 2 9 3 2" xfId="29765" xr:uid="{00000000-0005-0000-0000-0000A34F0000}"/>
    <cellStyle name="Remarque 2 3 2 2 2 9 3 2 2" xfId="53725" xr:uid="{00000000-0005-0000-0000-0000A44F0000}"/>
    <cellStyle name="Remarque 2 3 2 2 2 9 3 3" xfId="17012" xr:uid="{00000000-0005-0000-0000-0000A54F0000}"/>
    <cellStyle name="Remarque 2 3 2 2 2 9 3 4" xfId="40972" xr:uid="{00000000-0005-0000-0000-0000A64F0000}"/>
    <cellStyle name="Remarque 2 3 2 2 2 9 4" xfId="7145" xr:uid="{00000000-0005-0000-0000-0000A74F0000}"/>
    <cellStyle name="Remarque 2 3 2 2 2 9 4 2" xfId="31159" xr:uid="{00000000-0005-0000-0000-0000A84F0000}"/>
    <cellStyle name="Remarque 2 3 2 2 2 9 4 2 2" xfId="55119" xr:uid="{00000000-0005-0000-0000-0000A94F0000}"/>
    <cellStyle name="Remarque 2 3 2 2 2 9 4 3" xfId="18406" xr:uid="{00000000-0005-0000-0000-0000AA4F0000}"/>
    <cellStyle name="Remarque 2 3 2 2 2 9 4 4" xfId="42366" xr:uid="{00000000-0005-0000-0000-0000AB4F0000}"/>
    <cellStyle name="Remarque 2 3 2 2 2 9 5" xfId="8533" xr:uid="{00000000-0005-0000-0000-0000AC4F0000}"/>
    <cellStyle name="Remarque 2 3 2 2 2 9 5 2" xfId="32547" xr:uid="{00000000-0005-0000-0000-0000AD4F0000}"/>
    <cellStyle name="Remarque 2 3 2 2 2 9 5 2 2" xfId="56507" xr:uid="{00000000-0005-0000-0000-0000AE4F0000}"/>
    <cellStyle name="Remarque 2 3 2 2 2 9 5 3" xfId="19794" xr:uid="{00000000-0005-0000-0000-0000AF4F0000}"/>
    <cellStyle name="Remarque 2 3 2 2 2 9 5 4" xfId="43754" xr:uid="{00000000-0005-0000-0000-0000B04F0000}"/>
    <cellStyle name="Remarque 2 3 2 2 2 9 6" xfId="9918" xr:uid="{00000000-0005-0000-0000-0000B14F0000}"/>
    <cellStyle name="Remarque 2 3 2 2 2 9 6 2" xfId="33932" xr:uid="{00000000-0005-0000-0000-0000B24F0000}"/>
    <cellStyle name="Remarque 2 3 2 2 2 9 6 2 2" xfId="57892" xr:uid="{00000000-0005-0000-0000-0000B34F0000}"/>
    <cellStyle name="Remarque 2 3 2 2 2 9 6 3" xfId="21179" xr:uid="{00000000-0005-0000-0000-0000B44F0000}"/>
    <cellStyle name="Remarque 2 3 2 2 2 9 6 4" xfId="45139" xr:uid="{00000000-0005-0000-0000-0000B54F0000}"/>
    <cellStyle name="Remarque 2 3 2 2 2 9 7" xfId="11375" xr:uid="{00000000-0005-0000-0000-0000B64F0000}"/>
    <cellStyle name="Remarque 2 3 2 2 2 9 7 2" xfId="35385" xr:uid="{00000000-0005-0000-0000-0000B74F0000}"/>
    <cellStyle name="Remarque 2 3 2 2 2 9 7 2 2" xfId="59345" xr:uid="{00000000-0005-0000-0000-0000B84F0000}"/>
    <cellStyle name="Remarque 2 3 2 2 2 9 7 3" xfId="22642" xr:uid="{00000000-0005-0000-0000-0000B94F0000}"/>
    <cellStyle name="Remarque 2 3 2 2 2 9 7 4" xfId="46602" xr:uid="{00000000-0005-0000-0000-0000BA4F0000}"/>
    <cellStyle name="Remarque 2 3 2 2 2 9 8" xfId="12494" xr:uid="{00000000-0005-0000-0000-0000BB4F0000}"/>
    <cellStyle name="Remarque 2 3 2 2 2 9 8 2" xfId="23791" xr:uid="{00000000-0005-0000-0000-0000BC4F0000}"/>
    <cellStyle name="Remarque 2 3 2 2 2 9 8 3" xfId="47751" xr:uid="{00000000-0005-0000-0000-0000BD4F0000}"/>
    <cellStyle name="Remarque 2 3 2 2 2 9 9" xfId="2847" xr:uid="{00000000-0005-0000-0000-0000BE4F0000}"/>
    <cellStyle name="Remarque 2 3 2 2 2 9 9 2" xfId="26861" xr:uid="{00000000-0005-0000-0000-0000BF4F0000}"/>
    <cellStyle name="Remarque 2 3 2 2 2 9 9 3" xfId="50821" xr:uid="{00000000-0005-0000-0000-0000C04F0000}"/>
    <cellStyle name="Remarque 2 3 2 2 20" xfId="10154" xr:uid="{00000000-0005-0000-0000-0000C14F0000}"/>
    <cellStyle name="Remarque 2 3 2 2 20 2" xfId="34166" xr:uid="{00000000-0005-0000-0000-0000C24F0000}"/>
    <cellStyle name="Remarque 2 3 2 2 20 2 2" xfId="58126" xr:uid="{00000000-0005-0000-0000-0000C34F0000}"/>
    <cellStyle name="Remarque 2 3 2 2 20 3" xfId="21419" xr:uid="{00000000-0005-0000-0000-0000C44F0000}"/>
    <cellStyle name="Remarque 2 3 2 2 20 4" xfId="45379" xr:uid="{00000000-0005-0000-0000-0000C54F0000}"/>
    <cellStyle name="Remarque 2 3 2 2 21" xfId="12572" xr:uid="{00000000-0005-0000-0000-0000C64F0000}"/>
    <cellStyle name="Remarque 2 3 2 2 21 2" xfId="23872" xr:uid="{00000000-0005-0000-0000-0000C74F0000}"/>
    <cellStyle name="Remarque 2 3 2 2 21 3" xfId="47832" xr:uid="{00000000-0005-0000-0000-0000C84F0000}"/>
    <cellStyle name="Remarque 2 3 2 2 22" xfId="1652" xr:uid="{00000000-0005-0000-0000-0000C94F0000}"/>
    <cellStyle name="Remarque 2 3 2 2 22 2" xfId="25666" xr:uid="{00000000-0005-0000-0000-0000CA4F0000}"/>
    <cellStyle name="Remarque 2 3 2 2 22 3" xfId="49626" xr:uid="{00000000-0005-0000-0000-0000CB4F0000}"/>
    <cellStyle name="Remarque 2 3 2 2 23" xfId="22977" xr:uid="{00000000-0005-0000-0000-0000CC4F0000}"/>
    <cellStyle name="Remarque 2 3 2 2 23 2" xfId="46937" xr:uid="{00000000-0005-0000-0000-0000CD4F0000}"/>
    <cellStyle name="Remarque 2 3 2 2 24" xfId="36239" xr:uid="{00000000-0005-0000-0000-0000CE4F0000}"/>
    <cellStyle name="Remarque 2 3 2 2 24 2" xfId="60199" xr:uid="{00000000-0005-0000-0000-0000CF4F0000}"/>
    <cellStyle name="Remarque 2 3 2 2 25" xfId="12932" xr:uid="{00000000-0005-0000-0000-0000D04F0000}"/>
    <cellStyle name="Remarque 2 3 2 2 26" xfId="36873" xr:uid="{00000000-0005-0000-0000-0000D14F0000}"/>
    <cellStyle name="Remarque 2 3 2 2 27" xfId="188" xr:uid="{00000000-0005-0000-0000-0000D24F0000}"/>
    <cellStyle name="Remarque 2 3 2 2 3" xfId="148" xr:uid="{00000000-0005-0000-0000-0000D34F0000}"/>
    <cellStyle name="Remarque 2 3 2 2 3 10" xfId="6144" xr:uid="{00000000-0005-0000-0000-0000D44F0000}"/>
    <cellStyle name="Remarque 2 3 2 2 3 10 2" xfId="30158" xr:uid="{00000000-0005-0000-0000-0000D54F0000}"/>
    <cellStyle name="Remarque 2 3 2 2 3 10 2 2" xfId="54118" xr:uid="{00000000-0005-0000-0000-0000D64F0000}"/>
    <cellStyle name="Remarque 2 3 2 2 3 10 3" xfId="17405" xr:uid="{00000000-0005-0000-0000-0000D74F0000}"/>
    <cellStyle name="Remarque 2 3 2 2 3 10 4" xfId="41365" xr:uid="{00000000-0005-0000-0000-0000D84F0000}"/>
    <cellStyle name="Remarque 2 3 2 2 3 11" xfId="7532" xr:uid="{00000000-0005-0000-0000-0000D94F0000}"/>
    <cellStyle name="Remarque 2 3 2 2 3 11 2" xfId="31546" xr:uid="{00000000-0005-0000-0000-0000DA4F0000}"/>
    <cellStyle name="Remarque 2 3 2 2 3 11 2 2" xfId="55506" xr:uid="{00000000-0005-0000-0000-0000DB4F0000}"/>
    <cellStyle name="Remarque 2 3 2 2 3 11 3" xfId="18793" xr:uid="{00000000-0005-0000-0000-0000DC4F0000}"/>
    <cellStyle name="Remarque 2 3 2 2 3 11 4" xfId="42753" xr:uid="{00000000-0005-0000-0000-0000DD4F0000}"/>
    <cellStyle name="Remarque 2 3 2 2 3 12" xfId="8917" xr:uid="{00000000-0005-0000-0000-0000DE4F0000}"/>
    <cellStyle name="Remarque 2 3 2 2 3 12 2" xfId="32931" xr:uid="{00000000-0005-0000-0000-0000DF4F0000}"/>
    <cellStyle name="Remarque 2 3 2 2 3 12 2 2" xfId="56891" xr:uid="{00000000-0005-0000-0000-0000E04F0000}"/>
    <cellStyle name="Remarque 2 3 2 2 3 12 3" xfId="20178" xr:uid="{00000000-0005-0000-0000-0000E14F0000}"/>
    <cellStyle name="Remarque 2 3 2 2 3 12 4" xfId="44138" xr:uid="{00000000-0005-0000-0000-0000E24F0000}"/>
    <cellStyle name="Remarque 2 3 2 2 3 13" xfId="10374" xr:uid="{00000000-0005-0000-0000-0000E34F0000}"/>
    <cellStyle name="Remarque 2 3 2 2 3 13 2" xfId="34384" xr:uid="{00000000-0005-0000-0000-0000E44F0000}"/>
    <cellStyle name="Remarque 2 3 2 2 3 13 2 2" xfId="58344" xr:uid="{00000000-0005-0000-0000-0000E54F0000}"/>
    <cellStyle name="Remarque 2 3 2 2 3 13 3" xfId="21641" xr:uid="{00000000-0005-0000-0000-0000E64F0000}"/>
    <cellStyle name="Remarque 2 3 2 2 3 13 4" xfId="45601" xr:uid="{00000000-0005-0000-0000-0000E74F0000}"/>
    <cellStyle name="Remarque 2 3 2 2 3 14" xfId="11897" xr:uid="{00000000-0005-0000-0000-0000E84F0000}"/>
    <cellStyle name="Remarque 2 3 2 2 3 14 2" xfId="23174" xr:uid="{00000000-0005-0000-0000-0000E94F0000}"/>
    <cellStyle name="Remarque 2 3 2 2 3 14 3" xfId="47134" xr:uid="{00000000-0005-0000-0000-0000EA4F0000}"/>
    <cellStyle name="Remarque 2 3 2 2 3 15" xfId="1846" xr:uid="{00000000-0005-0000-0000-0000EB4F0000}"/>
    <cellStyle name="Remarque 2 3 2 2 3 15 2" xfId="25860" xr:uid="{00000000-0005-0000-0000-0000EC4F0000}"/>
    <cellStyle name="Remarque 2 3 2 2 3 15 3" xfId="49820" xr:uid="{00000000-0005-0000-0000-0000ED4F0000}"/>
    <cellStyle name="Remarque 2 3 2 2 3 16" xfId="24442" xr:uid="{00000000-0005-0000-0000-0000EE4F0000}"/>
    <cellStyle name="Remarque 2 3 2 2 3 16 2" xfId="48402" xr:uid="{00000000-0005-0000-0000-0000EF4F0000}"/>
    <cellStyle name="Remarque 2 3 2 2 3 17" xfId="35708" xr:uid="{00000000-0005-0000-0000-0000F04F0000}"/>
    <cellStyle name="Remarque 2 3 2 2 3 17 2" xfId="59668" xr:uid="{00000000-0005-0000-0000-0000F14F0000}"/>
    <cellStyle name="Remarque 2 3 2 2 3 18" xfId="13107" xr:uid="{00000000-0005-0000-0000-0000F24F0000}"/>
    <cellStyle name="Remarque 2 3 2 2 3 19" xfId="37067" xr:uid="{00000000-0005-0000-0000-0000F34F0000}"/>
    <cellStyle name="Remarque 2 3 2 2 3 2" xfId="546" xr:uid="{00000000-0005-0000-0000-0000F44F0000}"/>
    <cellStyle name="Remarque 2 3 2 2 3 2 10" xfId="24578" xr:uid="{00000000-0005-0000-0000-0000F54F0000}"/>
    <cellStyle name="Remarque 2 3 2 2 3 2 10 2" xfId="48538" xr:uid="{00000000-0005-0000-0000-0000F64F0000}"/>
    <cellStyle name="Remarque 2 3 2 2 3 2 11" xfId="36589" xr:uid="{00000000-0005-0000-0000-0000F74F0000}"/>
    <cellStyle name="Remarque 2 3 2 2 3 2 11 2" xfId="60549" xr:uid="{00000000-0005-0000-0000-0000F84F0000}"/>
    <cellStyle name="Remarque 2 3 2 2 3 2 12" xfId="13243" xr:uid="{00000000-0005-0000-0000-0000F94F0000}"/>
    <cellStyle name="Remarque 2 3 2 2 3 2 13" xfId="37203" xr:uid="{00000000-0005-0000-0000-0000FA4F0000}"/>
    <cellStyle name="Remarque 2 3 2 2 3 2 2" xfId="3452" xr:uid="{00000000-0005-0000-0000-0000FB4F0000}"/>
    <cellStyle name="Remarque 2 3 2 2 3 2 2 2" xfId="27466" xr:uid="{00000000-0005-0000-0000-0000FC4F0000}"/>
    <cellStyle name="Remarque 2 3 2 2 3 2 2 2 2" xfId="51426" xr:uid="{00000000-0005-0000-0000-0000FD4F0000}"/>
    <cellStyle name="Remarque 2 3 2 2 3 2 2 3" xfId="14713" xr:uid="{00000000-0005-0000-0000-0000FE4F0000}"/>
    <cellStyle name="Remarque 2 3 2 2 3 2 2 4" xfId="38673" xr:uid="{00000000-0005-0000-0000-0000FF4F0000}"/>
    <cellStyle name="Remarque 2 3 2 2 3 2 3" xfId="4886" xr:uid="{00000000-0005-0000-0000-000000500000}"/>
    <cellStyle name="Remarque 2 3 2 2 3 2 3 2" xfId="28900" xr:uid="{00000000-0005-0000-0000-000001500000}"/>
    <cellStyle name="Remarque 2 3 2 2 3 2 3 2 2" xfId="52860" xr:uid="{00000000-0005-0000-0000-000002500000}"/>
    <cellStyle name="Remarque 2 3 2 2 3 2 3 3" xfId="16147" xr:uid="{00000000-0005-0000-0000-000003500000}"/>
    <cellStyle name="Remarque 2 3 2 2 3 2 3 4" xfId="40107" xr:uid="{00000000-0005-0000-0000-000004500000}"/>
    <cellStyle name="Remarque 2 3 2 2 3 2 4" xfId="6280" xr:uid="{00000000-0005-0000-0000-000005500000}"/>
    <cellStyle name="Remarque 2 3 2 2 3 2 4 2" xfId="30294" xr:uid="{00000000-0005-0000-0000-000006500000}"/>
    <cellStyle name="Remarque 2 3 2 2 3 2 4 2 2" xfId="54254" xr:uid="{00000000-0005-0000-0000-000007500000}"/>
    <cellStyle name="Remarque 2 3 2 2 3 2 4 3" xfId="17541" xr:uid="{00000000-0005-0000-0000-000008500000}"/>
    <cellStyle name="Remarque 2 3 2 2 3 2 4 4" xfId="41501" xr:uid="{00000000-0005-0000-0000-000009500000}"/>
    <cellStyle name="Remarque 2 3 2 2 3 2 5" xfId="7668" xr:uid="{00000000-0005-0000-0000-00000A500000}"/>
    <cellStyle name="Remarque 2 3 2 2 3 2 5 2" xfId="31682" xr:uid="{00000000-0005-0000-0000-00000B500000}"/>
    <cellStyle name="Remarque 2 3 2 2 3 2 5 2 2" xfId="55642" xr:uid="{00000000-0005-0000-0000-00000C500000}"/>
    <cellStyle name="Remarque 2 3 2 2 3 2 5 3" xfId="18929" xr:uid="{00000000-0005-0000-0000-00000D500000}"/>
    <cellStyle name="Remarque 2 3 2 2 3 2 5 4" xfId="42889" xr:uid="{00000000-0005-0000-0000-00000E500000}"/>
    <cellStyle name="Remarque 2 3 2 2 3 2 6" xfId="9053" xr:uid="{00000000-0005-0000-0000-00000F500000}"/>
    <cellStyle name="Remarque 2 3 2 2 3 2 6 2" xfId="33067" xr:uid="{00000000-0005-0000-0000-000010500000}"/>
    <cellStyle name="Remarque 2 3 2 2 3 2 6 2 2" xfId="57027" xr:uid="{00000000-0005-0000-0000-000011500000}"/>
    <cellStyle name="Remarque 2 3 2 2 3 2 6 3" xfId="20314" xr:uid="{00000000-0005-0000-0000-000012500000}"/>
    <cellStyle name="Remarque 2 3 2 2 3 2 6 4" xfId="44274" xr:uid="{00000000-0005-0000-0000-000013500000}"/>
    <cellStyle name="Remarque 2 3 2 2 3 2 7" xfId="10510" xr:uid="{00000000-0005-0000-0000-000014500000}"/>
    <cellStyle name="Remarque 2 3 2 2 3 2 7 2" xfId="34520" xr:uid="{00000000-0005-0000-0000-000015500000}"/>
    <cellStyle name="Remarque 2 3 2 2 3 2 7 2 2" xfId="58480" xr:uid="{00000000-0005-0000-0000-000016500000}"/>
    <cellStyle name="Remarque 2 3 2 2 3 2 7 3" xfId="21777" xr:uid="{00000000-0005-0000-0000-000017500000}"/>
    <cellStyle name="Remarque 2 3 2 2 3 2 7 4" xfId="45737" xr:uid="{00000000-0005-0000-0000-000018500000}"/>
    <cellStyle name="Remarque 2 3 2 2 3 2 8" xfId="12453" xr:uid="{00000000-0005-0000-0000-000019500000}"/>
    <cellStyle name="Remarque 2 3 2 2 3 2 8 2" xfId="23747" xr:uid="{00000000-0005-0000-0000-00001A500000}"/>
    <cellStyle name="Remarque 2 3 2 2 3 2 8 3" xfId="47707" xr:uid="{00000000-0005-0000-0000-00001B500000}"/>
    <cellStyle name="Remarque 2 3 2 2 3 2 9" xfId="1982" xr:uid="{00000000-0005-0000-0000-00001C500000}"/>
    <cellStyle name="Remarque 2 3 2 2 3 2 9 2" xfId="25996" xr:uid="{00000000-0005-0000-0000-00001D500000}"/>
    <cellStyle name="Remarque 2 3 2 2 3 2 9 3" xfId="49956" xr:uid="{00000000-0005-0000-0000-00001E500000}"/>
    <cellStyle name="Remarque 2 3 2 2 3 20" xfId="410" xr:uid="{00000000-0005-0000-0000-00001F500000}"/>
    <cellStyle name="Remarque 2 3 2 2 3 3" xfId="738" xr:uid="{00000000-0005-0000-0000-000020500000}"/>
    <cellStyle name="Remarque 2 3 2 2 3 3 10" xfId="24770" xr:uid="{00000000-0005-0000-0000-000021500000}"/>
    <cellStyle name="Remarque 2 3 2 2 3 3 10 2" xfId="48730" xr:uid="{00000000-0005-0000-0000-000022500000}"/>
    <cellStyle name="Remarque 2 3 2 2 3 3 11" xfId="35820" xr:uid="{00000000-0005-0000-0000-000023500000}"/>
    <cellStyle name="Remarque 2 3 2 2 3 3 11 2" xfId="59780" xr:uid="{00000000-0005-0000-0000-000024500000}"/>
    <cellStyle name="Remarque 2 3 2 2 3 3 12" xfId="13435" xr:uid="{00000000-0005-0000-0000-000025500000}"/>
    <cellStyle name="Remarque 2 3 2 2 3 3 13" xfId="37395" xr:uid="{00000000-0005-0000-0000-000026500000}"/>
    <cellStyle name="Remarque 2 3 2 2 3 3 2" xfId="3644" xr:uid="{00000000-0005-0000-0000-000027500000}"/>
    <cellStyle name="Remarque 2 3 2 2 3 3 2 2" xfId="27658" xr:uid="{00000000-0005-0000-0000-000028500000}"/>
    <cellStyle name="Remarque 2 3 2 2 3 3 2 2 2" xfId="51618" xr:uid="{00000000-0005-0000-0000-000029500000}"/>
    <cellStyle name="Remarque 2 3 2 2 3 3 2 3" xfId="14905" xr:uid="{00000000-0005-0000-0000-00002A500000}"/>
    <cellStyle name="Remarque 2 3 2 2 3 3 2 4" xfId="38865" xr:uid="{00000000-0005-0000-0000-00002B500000}"/>
    <cellStyle name="Remarque 2 3 2 2 3 3 3" xfId="5078" xr:uid="{00000000-0005-0000-0000-00002C500000}"/>
    <cellStyle name="Remarque 2 3 2 2 3 3 3 2" xfId="29092" xr:uid="{00000000-0005-0000-0000-00002D500000}"/>
    <cellStyle name="Remarque 2 3 2 2 3 3 3 2 2" xfId="53052" xr:uid="{00000000-0005-0000-0000-00002E500000}"/>
    <cellStyle name="Remarque 2 3 2 2 3 3 3 3" xfId="16339" xr:uid="{00000000-0005-0000-0000-00002F500000}"/>
    <cellStyle name="Remarque 2 3 2 2 3 3 3 4" xfId="40299" xr:uid="{00000000-0005-0000-0000-000030500000}"/>
    <cellStyle name="Remarque 2 3 2 2 3 3 4" xfId="6472" xr:uid="{00000000-0005-0000-0000-000031500000}"/>
    <cellStyle name="Remarque 2 3 2 2 3 3 4 2" xfId="30486" xr:uid="{00000000-0005-0000-0000-000032500000}"/>
    <cellStyle name="Remarque 2 3 2 2 3 3 4 2 2" xfId="54446" xr:uid="{00000000-0005-0000-0000-000033500000}"/>
    <cellStyle name="Remarque 2 3 2 2 3 3 4 3" xfId="17733" xr:uid="{00000000-0005-0000-0000-000034500000}"/>
    <cellStyle name="Remarque 2 3 2 2 3 3 4 4" xfId="41693" xr:uid="{00000000-0005-0000-0000-000035500000}"/>
    <cellStyle name="Remarque 2 3 2 2 3 3 5" xfId="7860" xr:uid="{00000000-0005-0000-0000-000036500000}"/>
    <cellStyle name="Remarque 2 3 2 2 3 3 5 2" xfId="31874" xr:uid="{00000000-0005-0000-0000-000037500000}"/>
    <cellStyle name="Remarque 2 3 2 2 3 3 5 2 2" xfId="55834" xr:uid="{00000000-0005-0000-0000-000038500000}"/>
    <cellStyle name="Remarque 2 3 2 2 3 3 5 3" xfId="19121" xr:uid="{00000000-0005-0000-0000-000039500000}"/>
    <cellStyle name="Remarque 2 3 2 2 3 3 5 4" xfId="43081" xr:uid="{00000000-0005-0000-0000-00003A500000}"/>
    <cellStyle name="Remarque 2 3 2 2 3 3 6" xfId="9245" xr:uid="{00000000-0005-0000-0000-00003B500000}"/>
    <cellStyle name="Remarque 2 3 2 2 3 3 6 2" xfId="33259" xr:uid="{00000000-0005-0000-0000-00003C500000}"/>
    <cellStyle name="Remarque 2 3 2 2 3 3 6 2 2" xfId="57219" xr:uid="{00000000-0005-0000-0000-00003D500000}"/>
    <cellStyle name="Remarque 2 3 2 2 3 3 6 3" xfId="20506" xr:uid="{00000000-0005-0000-0000-00003E500000}"/>
    <cellStyle name="Remarque 2 3 2 2 3 3 6 4" xfId="44466" xr:uid="{00000000-0005-0000-0000-00003F500000}"/>
    <cellStyle name="Remarque 2 3 2 2 3 3 7" xfId="10702" xr:uid="{00000000-0005-0000-0000-000040500000}"/>
    <cellStyle name="Remarque 2 3 2 2 3 3 7 2" xfId="34712" xr:uid="{00000000-0005-0000-0000-000041500000}"/>
    <cellStyle name="Remarque 2 3 2 2 3 3 7 2 2" xfId="58672" xr:uid="{00000000-0005-0000-0000-000042500000}"/>
    <cellStyle name="Remarque 2 3 2 2 3 3 7 3" xfId="21969" xr:uid="{00000000-0005-0000-0000-000043500000}"/>
    <cellStyle name="Remarque 2 3 2 2 3 3 7 4" xfId="45929" xr:uid="{00000000-0005-0000-0000-000044500000}"/>
    <cellStyle name="Remarque 2 3 2 2 3 3 8" xfId="11701" xr:uid="{00000000-0005-0000-0000-000045500000}"/>
    <cellStyle name="Remarque 2 3 2 2 3 3 8 2" xfId="22970" xr:uid="{00000000-0005-0000-0000-000046500000}"/>
    <cellStyle name="Remarque 2 3 2 2 3 3 8 3" xfId="46930" xr:uid="{00000000-0005-0000-0000-000047500000}"/>
    <cellStyle name="Remarque 2 3 2 2 3 3 9" xfId="2174" xr:uid="{00000000-0005-0000-0000-000048500000}"/>
    <cellStyle name="Remarque 2 3 2 2 3 3 9 2" xfId="26188" xr:uid="{00000000-0005-0000-0000-000049500000}"/>
    <cellStyle name="Remarque 2 3 2 2 3 3 9 3" xfId="50148" xr:uid="{00000000-0005-0000-0000-00004A500000}"/>
    <cellStyle name="Remarque 2 3 2 2 3 4" xfId="932" xr:uid="{00000000-0005-0000-0000-00004B500000}"/>
    <cellStyle name="Remarque 2 3 2 2 3 4 10" xfId="24964" xr:uid="{00000000-0005-0000-0000-00004C500000}"/>
    <cellStyle name="Remarque 2 3 2 2 3 4 10 2" xfId="48924" xr:uid="{00000000-0005-0000-0000-00004D500000}"/>
    <cellStyle name="Remarque 2 3 2 2 3 4 11" xfId="35759" xr:uid="{00000000-0005-0000-0000-00004E500000}"/>
    <cellStyle name="Remarque 2 3 2 2 3 4 11 2" xfId="59719" xr:uid="{00000000-0005-0000-0000-00004F500000}"/>
    <cellStyle name="Remarque 2 3 2 2 3 4 12" xfId="13629" xr:uid="{00000000-0005-0000-0000-000050500000}"/>
    <cellStyle name="Remarque 2 3 2 2 3 4 13" xfId="37589" xr:uid="{00000000-0005-0000-0000-000051500000}"/>
    <cellStyle name="Remarque 2 3 2 2 3 4 2" xfId="3838" xr:uid="{00000000-0005-0000-0000-000052500000}"/>
    <cellStyle name="Remarque 2 3 2 2 3 4 2 2" xfId="27852" xr:uid="{00000000-0005-0000-0000-000053500000}"/>
    <cellStyle name="Remarque 2 3 2 2 3 4 2 2 2" xfId="51812" xr:uid="{00000000-0005-0000-0000-000054500000}"/>
    <cellStyle name="Remarque 2 3 2 2 3 4 2 3" xfId="15099" xr:uid="{00000000-0005-0000-0000-000055500000}"/>
    <cellStyle name="Remarque 2 3 2 2 3 4 2 4" xfId="39059" xr:uid="{00000000-0005-0000-0000-000056500000}"/>
    <cellStyle name="Remarque 2 3 2 2 3 4 3" xfId="5272" xr:uid="{00000000-0005-0000-0000-000057500000}"/>
    <cellStyle name="Remarque 2 3 2 2 3 4 3 2" xfId="29286" xr:uid="{00000000-0005-0000-0000-000058500000}"/>
    <cellStyle name="Remarque 2 3 2 2 3 4 3 2 2" xfId="53246" xr:uid="{00000000-0005-0000-0000-000059500000}"/>
    <cellStyle name="Remarque 2 3 2 2 3 4 3 3" xfId="16533" xr:uid="{00000000-0005-0000-0000-00005A500000}"/>
    <cellStyle name="Remarque 2 3 2 2 3 4 3 4" xfId="40493" xr:uid="{00000000-0005-0000-0000-00005B500000}"/>
    <cellStyle name="Remarque 2 3 2 2 3 4 4" xfId="6666" xr:uid="{00000000-0005-0000-0000-00005C500000}"/>
    <cellStyle name="Remarque 2 3 2 2 3 4 4 2" xfId="30680" xr:uid="{00000000-0005-0000-0000-00005D500000}"/>
    <cellStyle name="Remarque 2 3 2 2 3 4 4 2 2" xfId="54640" xr:uid="{00000000-0005-0000-0000-00005E500000}"/>
    <cellStyle name="Remarque 2 3 2 2 3 4 4 3" xfId="17927" xr:uid="{00000000-0005-0000-0000-00005F500000}"/>
    <cellStyle name="Remarque 2 3 2 2 3 4 4 4" xfId="41887" xr:uid="{00000000-0005-0000-0000-000060500000}"/>
    <cellStyle name="Remarque 2 3 2 2 3 4 5" xfId="8054" xr:uid="{00000000-0005-0000-0000-000061500000}"/>
    <cellStyle name="Remarque 2 3 2 2 3 4 5 2" xfId="32068" xr:uid="{00000000-0005-0000-0000-000062500000}"/>
    <cellStyle name="Remarque 2 3 2 2 3 4 5 2 2" xfId="56028" xr:uid="{00000000-0005-0000-0000-000063500000}"/>
    <cellStyle name="Remarque 2 3 2 2 3 4 5 3" xfId="19315" xr:uid="{00000000-0005-0000-0000-000064500000}"/>
    <cellStyle name="Remarque 2 3 2 2 3 4 5 4" xfId="43275" xr:uid="{00000000-0005-0000-0000-000065500000}"/>
    <cellStyle name="Remarque 2 3 2 2 3 4 6" xfId="9439" xr:uid="{00000000-0005-0000-0000-000066500000}"/>
    <cellStyle name="Remarque 2 3 2 2 3 4 6 2" xfId="33453" xr:uid="{00000000-0005-0000-0000-000067500000}"/>
    <cellStyle name="Remarque 2 3 2 2 3 4 6 2 2" xfId="57413" xr:uid="{00000000-0005-0000-0000-000068500000}"/>
    <cellStyle name="Remarque 2 3 2 2 3 4 6 3" xfId="20700" xr:uid="{00000000-0005-0000-0000-000069500000}"/>
    <cellStyle name="Remarque 2 3 2 2 3 4 6 4" xfId="44660" xr:uid="{00000000-0005-0000-0000-00006A500000}"/>
    <cellStyle name="Remarque 2 3 2 2 3 4 7" xfId="10896" xr:uid="{00000000-0005-0000-0000-00006B500000}"/>
    <cellStyle name="Remarque 2 3 2 2 3 4 7 2" xfId="34906" xr:uid="{00000000-0005-0000-0000-00006C500000}"/>
    <cellStyle name="Remarque 2 3 2 2 3 4 7 2 2" xfId="58866" xr:uid="{00000000-0005-0000-0000-00006D500000}"/>
    <cellStyle name="Remarque 2 3 2 2 3 4 7 3" xfId="22163" xr:uid="{00000000-0005-0000-0000-00006E500000}"/>
    <cellStyle name="Remarque 2 3 2 2 3 4 7 4" xfId="46123" xr:uid="{00000000-0005-0000-0000-00006F500000}"/>
    <cellStyle name="Remarque 2 3 2 2 3 4 8" xfId="12851" xr:uid="{00000000-0005-0000-0000-000070500000}"/>
    <cellStyle name="Remarque 2 3 2 2 3 4 8 2" xfId="24163" xr:uid="{00000000-0005-0000-0000-000071500000}"/>
    <cellStyle name="Remarque 2 3 2 2 3 4 8 3" xfId="48123" xr:uid="{00000000-0005-0000-0000-000072500000}"/>
    <cellStyle name="Remarque 2 3 2 2 3 4 9" xfId="2368" xr:uid="{00000000-0005-0000-0000-000073500000}"/>
    <cellStyle name="Remarque 2 3 2 2 3 4 9 2" xfId="26382" xr:uid="{00000000-0005-0000-0000-000074500000}"/>
    <cellStyle name="Remarque 2 3 2 2 3 4 9 3" xfId="50342" xr:uid="{00000000-0005-0000-0000-000075500000}"/>
    <cellStyle name="Remarque 2 3 2 2 3 5" xfId="1125" xr:uid="{00000000-0005-0000-0000-000076500000}"/>
    <cellStyle name="Remarque 2 3 2 2 3 5 10" xfId="25157" xr:uid="{00000000-0005-0000-0000-000077500000}"/>
    <cellStyle name="Remarque 2 3 2 2 3 5 10 2" xfId="49117" xr:uid="{00000000-0005-0000-0000-000078500000}"/>
    <cellStyle name="Remarque 2 3 2 2 3 5 11" xfId="35992" xr:uid="{00000000-0005-0000-0000-000079500000}"/>
    <cellStyle name="Remarque 2 3 2 2 3 5 11 2" xfId="59952" xr:uid="{00000000-0005-0000-0000-00007A500000}"/>
    <cellStyle name="Remarque 2 3 2 2 3 5 12" xfId="13822" xr:uid="{00000000-0005-0000-0000-00007B500000}"/>
    <cellStyle name="Remarque 2 3 2 2 3 5 13" xfId="37782" xr:uid="{00000000-0005-0000-0000-00007C500000}"/>
    <cellStyle name="Remarque 2 3 2 2 3 5 2" xfId="4031" xr:uid="{00000000-0005-0000-0000-00007D500000}"/>
    <cellStyle name="Remarque 2 3 2 2 3 5 2 2" xfId="28045" xr:uid="{00000000-0005-0000-0000-00007E500000}"/>
    <cellStyle name="Remarque 2 3 2 2 3 5 2 2 2" xfId="52005" xr:uid="{00000000-0005-0000-0000-00007F500000}"/>
    <cellStyle name="Remarque 2 3 2 2 3 5 2 3" xfId="15292" xr:uid="{00000000-0005-0000-0000-000080500000}"/>
    <cellStyle name="Remarque 2 3 2 2 3 5 2 4" xfId="39252" xr:uid="{00000000-0005-0000-0000-000081500000}"/>
    <cellStyle name="Remarque 2 3 2 2 3 5 3" xfId="5465" xr:uid="{00000000-0005-0000-0000-000082500000}"/>
    <cellStyle name="Remarque 2 3 2 2 3 5 3 2" xfId="29479" xr:uid="{00000000-0005-0000-0000-000083500000}"/>
    <cellStyle name="Remarque 2 3 2 2 3 5 3 2 2" xfId="53439" xr:uid="{00000000-0005-0000-0000-000084500000}"/>
    <cellStyle name="Remarque 2 3 2 2 3 5 3 3" xfId="16726" xr:uid="{00000000-0005-0000-0000-000085500000}"/>
    <cellStyle name="Remarque 2 3 2 2 3 5 3 4" xfId="40686" xr:uid="{00000000-0005-0000-0000-000086500000}"/>
    <cellStyle name="Remarque 2 3 2 2 3 5 4" xfId="6859" xr:uid="{00000000-0005-0000-0000-000087500000}"/>
    <cellStyle name="Remarque 2 3 2 2 3 5 4 2" xfId="30873" xr:uid="{00000000-0005-0000-0000-000088500000}"/>
    <cellStyle name="Remarque 2 3 2 2 3 5 4 2 2" xfId="54833" xr:uid="{00000000-0005-0000-0000-000089500000}"/>
    <cellStyle name="Remarque 2 3 2 2 3 5 4 3" xfId="18120" xr:uid="{00000000-0005-0000-0000-00008A500000}"/>
    <cellStyle name="Remarque 2 3 2 2 3 5 4 4" xfId="42080" xr:uid="{00000000-0005-0000-0000-00008B500000}"/>
    <cellStyle name="Remarque 2 3 2 2 3 5 5" xfId="8247" xr:uid="{00000000-0005-0000-0000-00008C500000}"/>
    <cellStyle name="Remarque 2 3 2 2 3 5 5 2" xfId="32261" xr:uid="{00000000-0005-0000-0000-00008D500000}"/>
    <cellStyle name="Remarque 2 3 2 2 3 5 5 2 2" xfId="56221" xr:uid="{00000000-0005-0000-0000-00008E500000}"/>
    <cellStyle name="Remarque 2 3 2 2 3 5 5 3" xfId="19508" xr:uid="{00000000-0005-0000-0000-00008F500000}"/>
    <cellStyle name="Remarque 2 3 2 2 3 5 5 4" xfId="43468" xr:uid="{00000000-0005-0000-0000-000090500000}"/>
    <cellStyle name="Remarque 2 3 2 2 3 5 6" xfId="9632" xr:uid="{00000000-0005-0000-0000-000091500000}"/>
    <cellStyle name="Remarque 2 3 2 2 3 5 6 2" xfId="33646" xr:uid="{00000000-0005-0000-0000-000092500000}"/>
    <cellStyle name="Remarque 2 3 2 2 3 5 6 2 2" xfId="57606" xr:uid="{00000000-0005-0000-0000-000093500000}"/>
    <cellStyle name="Remarque 2 3 2 2 3 5 6 3" xfId="20893" xr:uid="{00000000-0005-0000-0000-000094500000}"/>
    <cellStyle name="Remarque 2 3 2 2 3 5 6 4" xfId="44853" xr:uid="{00000000-0005-0000-0000-000095500000}"/>
    <cellStyle name="Remarque 2 3 2 2 3 5 7" xfId="11089" xr:uid="{00000000-0005-0000-0000-000096500000}"/>
    <cellStyle name="Remarque 2 3 2 2 3 5 7 2" xfId="35099" xr:uid="{00000000-0005-0000-0000-000097500000}"/>
    <cellStyle name="Remarque 2 3 2 2 3 5 7 2 2" xfId="59059" xr:uid="{00000000-0005-0000-0000-000098500000}"/>
    <cellStyle name="Remarque 2 3 2 2 3 5 7 3" xfId="22356" xr:uid="{00000000-0005-0000-0000-000099500000}"/>
    <cellStyle name="Remarque 2 3 2 2 3 5 7 4" xfId="46316" xr:uid="{00000000-0005-0000-0000-00009A500000}"/>
    <cellStyle name="Remarque 2 3 2 2 3 5 8" xfId="12428" xr:uid="{00000000-0005-0000-0000-00009B500000}"/>
    <cellStyle name="Remarque 2 3 2 2 3 5 8 2" xfId="23720" xr:uid="{00000000-0005-0000-0000-00009C500000}"/>
    <cellStyle name="Remarque 2 3 2 2 3 5 8 3" xfId="47680" xr:uid="{00000000-0005-0000-0000-00009D500000}"/>
    <cellStyle name="Remarque 2 3 2 2 3 5 9" xfId="2561" xr:uid="{00000000-0005-0000-0000-00009E500000}"/>
    <cellStyle name="Remarque 2 3 2 2 3 5 9 2" xfId="26575" xr:uid="{00000000-0005-0000-0000-00009F500000}"/>
    <cellStyle name="Remarque 2 3 2 2 3 5 9 3" xfId="50535" xr:uid="{00000000-0005-0000-0000-0000A0500000}"/>
    <cellStyle name="Remarque 2 3 2 2 3 6" xfId="1292" xr:uid="{00000000-0005-0000-0000-0000A1500000}"/>
    <cellStyle name="Remarque 2 3 2 2 3 6 10" xfId="25324" xr:uid="{00000000-0005-0000-0000-0000A2500000}"/>
    <cellStyle name="Remarque 2 3 2 2 3 6 10 2" xfId="49284" xr:uid="{00000000-0005-0000-0000-0000A3500000}"/>
    <cellStyle name="Remarque 2 3 2 2 3 6 11" xfId="31377" xr:uid="{00000000-0005-0000-0000-0000A4500000}"/>
    <cellStyle name="Remarque 2 3 2 2 3 6 11 2" xfId="55337" xr:uid="{00000000-0005-0000-0000-0000A5500000}"/>
    <cellStyle name="Remarque 2 3 2 2 3 6 12" xfId="13989" xr:uid="{00000000-0005-0000-0000-0000A6500000}"/>
    <cellStyle name="Remarque 2 3 2 2 3 6 13" xfId="37949" xr:uid="{00000000-0005-0000-0000-0000A7500000}"/>
    <cellStyle name="Remarque 2 3 2 2 3 6 2" xfId="4198" xr:uid="{00000000-0005-0000-0000-0000A8500000}"/>
    <cellStyle name="Remarque 2 3 2 2 3 6 2 2" xfId="28212" xr:uid="{00000000-0005-0000-0000-0000A9500000}"/>
    <cellStyle name="Remarque 2 3 2 2 3 6 2 2 2" xfId="52172" xr:uid="{00000000-0005-0000-0000-0000AA500000}"/>
    <cellStyle name="Remarque 2 3 2 2 3 6 2 3" xfId="15459" xr:uid="{00000000-0005-0000-0000-0000AB500000}"/>
    <cellStyle name="Remarque 2 3 2 2 3 6 2 4" xfId="39419" xr:uid="{00000000-0005-0000-0000-0000AC500000}"/>
    <cellStyle name="Remarque 2 3 2 2 3 6 3" xfId="5632" xr:uid="{00000000-0005-0000-0000-0000AD500000}"/>
    <cellStyle name="Remarque 2 3 2 2 3 6 3 2" xfId="29646" xr:uid="{00000000-0005-0000-0000-0000AE500000}"/>
    <cellStyle name="Remarque 2 3 2 2 3 6 3 2 2" xfId="53606" xr:uid="{00000000-0005-0000-0000-0000AF500000}"/>
    <cellStyle name="Remarque 2 3 2 2 3 6 3 3" xfId="16893" xr:uid="{00000000-0005-0000-0000-0000B0500000}"/>
    <cellStyle name="Remarque 2 3 2 2 3 6 3 4" xfId="40853" xr:uid="{00000000-0005-0000-0000-0000B1500000}"/>
    <cellStyle name="Remarque 2 3 2 2 3 6 4" xfId="7026" xr:uid="{00000000-0005-0000-0000-0000B2500000}"/>
    <cellStyle name="Remarque 2 3 2 2 3 6 4 2" xfId="31040" xr:uid="{00000000-0005-0000-0000-0000B3500000}"/>
    <cellStyle name="Remarque 2 3 2 2 3 6 4 2 2" xfId="55000" xr:uid="{00000000-0005-0000-0000-0000B4500000}"/>
    <cellStyle name="Remarque 2 3 2 2 3 6 4 3" xfId="18287" xr:uid="{00000000-0005-0000-0000-0000B5500000}"/>
    <cellStyle name="Remarque 2 3 2 2 3 6 4 4" xfId="42247" xr:uid="{00000000-0005-0000-0000-0000B6500000}"/>
    <cellStyle name="Remarque 2 3 2 2 3 6 5" xfId="8414" xr:uid="{00000000-0005-0000-0000-0000B7500000}"/>
    <cellStyle name="Remarque 2 3 2 2 3 6 5 2" xfId="32428" xr:uid="{00000000-0005-0000-0000-0000B8500000}"/>
    <cellStyle name="Remarque 2 3 2 2 3 6 5 2 2" xfId="56388" xr:uid="{00000000-0005-0000-0000-0000B9500000}"/>
    <cellStyle name="Remarque 2 3 2 2 3 6 5 3" xfId="19675" xr:uid="{00000000-0005-0000-0000-0000BA500000}"/>
    <cellStyle name="Remarque 2 3 2 2 3 6 5 4" xfId="43635" xr:uid="{00000000-0005-0000-0000-0000BB500000}"/>
    <cellStyle name="Remarque 2 3 2 2 3 6 6" xfId="9799" xr:uid="{00000000-0005-0000-0000-0000BC500000}"/>
    <cellStyle name="Remarque 2 3 2 2 3 6 6 2" xfId="33813" xr:uid="{00000000-0005-0000-0000-0000BD500000}"/>
    <cellStyle name="Remarque 2 3 2 2 3 6 6 2 2" xfId="57773" xr:uid="{00000000-0005-0000-0000-0000BE500000}"/>
    <cellStyle name="Remarque 2 3 2 2 3 6 6 3" xfId="21060" xr:uid="{00000000-0005-0000-0000-0000BF500000}"/>
    <cellStyle name="Remarque 2 3 2 2 3 6 6 4" xfId="45020" xr:uid="{00000000-0005-0000-0000-0000C0500000}"/>
    <cellStyle name="Remarque 2 3 2 2 3 6 7" xfId="11256" xr:uid="{00000000-0005-0000-0000-0000C1500000}"/>
    <cellStyle name="Remarque 2 3 2 2 3 6 7 2" xfId="35266" xr:uid="{00000000-0005-0000-0000-0000C2500000}"/>
    <cellStyle name="Remarque 2 3 2 2 3 6 7 2 2" xfId="59226" xr:uid="{00000000-0005-0000-0000-0000C3500000}"/>
    <cellStyle name="Remarque 2 3 2 2 3 6 7 3" xfId="22523" xr:uid="{00000000-0005-0000-0000-0000C4500000}"/>
    <cellStyle name="Remarque 2 3 2 2 3 6 7 4" xfId="46483" xr:uid="{00000000-0005-0000-0000-0000C5500000}"/>
    <cellStyle name="Remarque 2 3 2 2 3 6 8" xfId="11990" xr:uid="{00000000-0005-0000-0000-0000C6500000}"/>
    <cellStyle name="Remarque 2 3 2 2 3 6 8 2" xfId="23269" xr:uid="{00000000-0005-0000-0000-0000C7500000}"/>
    <cellStyle name="Remarque 2 3 2 2 3 6 8 3" xfId="47229" xr:uid="{00000000-0005-0000-0000-0000C8500000}"/>
    <cellStyle name="Remarque 2 3 2 2 3 6 9" xfId="2728" xr:uid="{00000000-0005-0000-0000-0000C9500000}"/>
    <cellStyle name="Remarque 2 3 2 2 3 6 9 2" xfId="26742" xr:uid="{00000000-0005-0000-0000-0000CA500000}"/>
    <cellStyle name="Remarque 2 3 2 2 3 6 9 3" xfId="50702" xr:uid="{00000000-0005-0000-0000-0000CB500000}"/>
    <cellStyle name="Remarque 2 3 2 2 3 7" xfId="1461" xr:uid="{00000000-0005-0000-0000-0000CC500000}"/>
    <cellStyle name="Remarque 2 3 2 2 3 7 10" xfId="25493" xr:uid="{00000000-0005-0000-0000-0000CD500000}"/>
    <cellStyle name="Remarque 2 3 2 2 3 7 10 2" xfId="49453" xr:uid="{00000000-0005-0000-0000-0000CE500000}"/>
    <cellStyle name="Remarque 2 3 2 2 3 7 11" xfId="35841" xr:uid="{00000000-0005-0000-0000-0000CF500000}"/>
    <cellStyle name="Remarque 2 3 2 2 3 7 11 2" xfId="59801" xr:uid="{00000000-0005-0000-0000-0000D0500000}"/>
    <cellStyle name="Remarque 2 3 2 2 3 7 12" xfId="14158" xr:uid="{00000000-0005-0000-0000-0000D1500000}"/>
    <cellStyle name="Remarque 2 3 2 2 3 7 13" xfId="38118" xr:uid="{00000000-0005-0000-0000-0000D2500000}"/>
    <cellStyle name="Remarque 2 3 2 2 3 7 2" xfId="4367" xr:uid="{00000000-0005-0000-0000-0000D3500000}"/>
    <cellStyle name="Remarque 2 3 2 2 3 7 2 2" xfId="28381" xr:uid="{00000000-0005-0000-0000-0000D4500000}"/>
    <cellStyle name="Remarque 2 3 2 2 3 7 2 2 2" xfId="52341" xr:uid="{00000000-0005-0000-0000-0000D5500000}"/>
    <cellStyle name="Remarque 2 3 2 2 3 7 2 3" xfId="15628" xr:uid="{00000000-0005-0000-0000-0000D6500000}"/>
    <cellStyle name="Remarque 2 3 2 2 3 7 2 4" xfId="39588" xr:uid="{00000000-0005-0000-0000-0000D7500000}"/>
    <cellStyle name="Remarque 2 3 2 2 3 7 3" xfId="5801" xr:uid="{00000000-0005-0000-0000-0000D8500000}"/>
    <cellStyle name="Remarque 2 3 2 2 3 7 3 2" xfId="29815" xr:uid="{00000000-0005-0000-0000-0000D9500000}"/>
    <cellStyle name="Remarque 2 3 2 2 3 7 3 2 2" xfId="53775" xr:uid="{00000000-0005-0000-0000-0000DA500000}"/>
    <cellStyle name="Remarque 2 3 2 2 3 7 3 3" xfId="17062" xr:uid="{00000000-0005-0000-0000-0000DB500000}"/>
    <cellStyle name="Remarque 2 3 2 2 3 7 3 4" xfId="41022" xr:uid="{00000000-0005-0000-0000-0000DC500000}"/>
    <cellStyle name="Remarque 2 3 2 2 3 7 4" xfId="7195" xr:uid="{00000000-0005-0000-0000-0000DD500000}"/>
    <cellStyle name="Remarque 2 3 2 2 3 7 4 2" xfId="31209" xr:uid="{00000000-0005-0000-0000-0000DE500000}"/>
    <cellStyle name="Remarque 2 3 2 2 3 7 4 2 2" xfId="55169" xr:uid="{00000000-0005-0000-0000-0000DF500000}"/>
    <cellStyle name="Remarque 2 3 2 2 3 7 4 3" xfId="18456" xr:uid="{00000000-0005-0000-0000-0000E0500000}"/>
    <cellStyle name="Remarque 2 3 2 2 3 7 4 4" xfId="42416" xr:uid="{00000000-0005-0000-0000-0000E1500000}"/>
    <cellStyle name="Remarque 2 3 2 2 3 7 5" xfId="8583" xr:uid="{00000000-0005-0000-0000-0000E2500000}"/>
    <cellStyle name="Remarque 2 3 2 2 3 7 5 2" xfId="32597" xr:uid="{00000000-0005-0000-0000-0000E3500000}"/>
    <cellStyle name="Remarque 2 3 2 2 3 7 5 2 2" xfId="56557" xr:uid="{00000000-0005-0000-0000-0000E4500000}"/>
    <cellStyle name="Remarque 2 3 2 2 3 7 5 3" xfId="19844" xr:uid="{00000000-0005-0000-0000-0000E5500000}"/>
    <cellStyle name="Remarque 2 3 2 2 3 7 5 4" xfId="43804" xr:uid="{00000000-0005-0000-0000-0000E6500000}"/>
    <cellStyle name="Remarque 2 3 2 2 3 7 6" xfId="9968" xr:uid="{00000000-0005-0000-0000-0000E7500000}"/>
    <cellStyle name="Remarque 2 3 2 2 3 7 6 2" xfId="33982" xr:uid="{00000000-0005-0000-0000-0000E8500000}"/>
    <cellStyle name="Remarque 2 3 2 2 3 7 6 2 2" xfId="57942" xr:uid="{00000000-0005-0000-0000-0000E9500000}"/>
    <cellStyle name="Remarque 2 3 2 2 3 7 6 3" xfId="21229" xr:uid="{00000000-0005-0000-0000-0000EA500000}"/>
    <cellStyle name="Remarque 2 3 2 2 3 7 6 4" xfId="45189" xr:uid="{00000000-0005-0000-0000-0000EB500000}"/>
    <cellStyle name="Remarque 2 3 2 2 3 7 7" xfId="11425" xr:uid="{00000000-0005-0000-0000-0000EC500000}"/>
    <cellStyle name="Remarque 2 3 2 2 3 7 7 2" xfId="35435" xr:uid="{00000000-0005-0000-0000-0000ED500000}"/>
    <cellStyle name="Remarque 2 3 2 2 3 7 7 2 2" xfId="59395" xr:uid="{00000000-0005-0000-0000-0000EE500000}"/>
    <cellStyle name="Remarque 2 3 2 2 3 7 7 3" xfId="22692" xr:uid="{00000000-0005-0000-0000-0000EF500000}"/>
    <cellStyle name="Remarque 2 3 2 2 3 7 7 4" xfId="46652" xr:uid="{00000000-0005-0000-0000-0000F0500000}"/>
    <cellStyle name="Remarque 2 3 2 2 3 7 8" xfId="12043" xr:uid="{00000000-0005-0000-0000-0000F1500000}"/>
    <cellStyle name="Remarque 2 3 2 2 3 7 8 2" xfId="23323" xr:uid="{00000000-0005-0000-0000-0000F2500000}"/>
    <cellStyle name="Remarque 2 3 2 2 3 7 8 3" xfId="47283" xr:uid="{00000000-0005-0000-0000-0000F3500000}"/>
    <cellStyle name="Remarque 2 3 2 2 3 7 9" xfId="2897" xr:uid="{00000000-0005-0000-0000-0000F4500000}"/>
    <cellStyle name="Remarque 2 3 2 2 3 7 9 2" xfId="26911" xr:uid="{00000000-0005-0000-0000-0000F5500000}"/>
    <cellStyle name="Remarque 2 3 2 2 3 7 9 3" xfId="50871" xr:uid="{00000000-0005-0000-0000-0000F6500000}"/>
    <cellStyle name="Remarque 2 3 2 2 3 8" xfId="3316" xr:uid="{00000000-0005-0000-0000-0000F7500000}"/>
    <cellStyle name="Remarque 2 3 2 2 3 8 2" xfId="27330" xr:uid="{00000000-0005-0000-0000-0000F8500000}"/>
    <cellStyle name="Remarque 2 3 2 2 3 8 2 2" xfId="51290" xr:uid="{00000000-0005-0000-0000-0000F9500000}"/>
    <cellStyle name="Remarque 2 3 2 2 3 8 3" xfId="14577" xr:uid="{00000000-0005-0000-0000-0000FA500000}"/>
    <cellStyle name="Remarque 2 3 2 2 3 8 4" xfId="38537" xr:uid="{00000000-0005-0000-0000-0000FB500000}"/>
    <cellStyle name="Remarque 2 3 2 2 3 9" xfId="4750" xr:uid="{00000000-0005-0000-0000-0000FC500000}"/>
    <cellStyle name="Remarque 2 3 2 2 3 9 2" xfId="28764" xr:uid="{00000000-0005-0000-0000-0000FD500000}"/>
    <cellStyle name="Remarque 2 3 2 2 3 9 2 2" xfId="52724" xr:uid="{00000000-0005-0000-0000-0000FE500000}"/>
    <cellStyle name="Remarque 2 3 2 2 3 9 3" xfId="16011" xr:uid="{00000000-0005-0000-0000-0000FF500000}"/>
    <cellStyle name="Remarque 2 3 2 2 3 9 4" xfId="39971" xr:uid="{00000000-0005-0000-0000-000000510000}"/>
    <cellStyle name="Remarque 2 3 2 2 4" xfId="450" xr:uid="{00000000-0005-0000-0000-000001510000}"/>
    <cellStyle name="Remarque 2 3 2 2 4 10" xfId="6184" xr:uid="{00000000-0005-0000-0000-000002510000}"/>
    <cellStyle name="Remarque 2 3 2 2 4 10 2" xfId="30198" xr:uid="{00000000-0005-0000-0000-000003510000}"/>
    <cellStyle name="Remarque 2 3 2 2 4 10 2 2" xfId="54158" xr:uid="{00000000-0005-0000-0000-000004510000}"/>
    <cellStyle name="Remarque 2 3 2 2 4 10 3" xfId="17445" xr:uid="{00000000-0005-0000-0000-000005510000}"/>
    <cellStyle name="Remarque 2 3 2 2 4 10 4" xfId="41405" xr:uid="{00000000-0005-0000-0000-000006510000}"/>
    <cellStyle name="Remarque 2 3 2 2 4 11" xfId="7572" xr:uid="{00000000-0005-0000-0000-000007510000}"/>
    <cellStyle name="Remarque 2 3 2 2 4 11 2" xfId="31586" xr:uid="{00000000-0005-0000-0000-000008510000}"/>
    <cellStyle name="Remarque 2 3 2 2 4 11 2 2" xfId="55546" xr:uid="{00000000-0005-0000-0000-000009510000}"/>
    <cellStyle name="Remarque 2 3 2 2 4 11 3" xfId="18833" xr:uid="{00000000-0005-0000-0000-00000A510000}"/>
    <cellStyle name="Remarque 2 3 2 2 4 11 4" xfId="42793" xr:uid="{00000000-0005-0000-0000-00000B510000}"/>
    <cellStyle name="Remarque 2 3 2 2 4 12" xfId="8957" xr:uid="{00000000-0005-0000-0000-00000C510000}"/>
    <cellStyle name="Remarque 2 3 2 2 4 12 2" xfId="32971" xr:uid="{00000000-0005-0000-0000-00000D510000}"/>
    <cellStyle name="Remarque 2 3 2 2 4 12 2 2" xfId="56931" xr:uid="{00000000-0005-0000-0000-00000E510000}"/>
    <cellStyle name="Remarque 2 3 2 2 4 12 3" xfId="20218" xr:uid="{00000000-0005-0000-0000-00000F510000}"/>
    <cellStyle name="Remarque 2 3 2 2 4 12 4" xfId="44178" xr:uid="{00000000-0005-0000-0000-000010510000}"/>
    <cellStyle name="Remarque 2 3 2 2 4 13" xfId="10414" xr:uid="{00000000-0005-0000-0000-000011510000}"/>
    <cellStyle name="Remarque 2 3 2 2 4 13 2" xfId="34424" xr:uid="{00000000-0005-0000-0000-000012510000}"/>
    <cellStyle name="Remarque 2 3 2 2 4 13 2 2" xfId="58384" xr:uid="{00000000-0005-0000-0000-000013510000}"/>
    <cellStyle name="Remarque 2 3 2 2 4 13 3" xfId="21681" xr:uid="{00000000-0005-0000-0000-000014510000}"/>
    <cellStyle name="Remarque 2 3 2 2 4 13 4" xfId="45641" xr:uid="{00000000-0005-0000-0000-000015510000}"/>
    <cellStyle name="Remarque 2 3 2 2 4 14" xfId="12374" xr:uid="{00000000-0005-0000-0000-000016510000}"/>
    <cellStyle name="Remarque 2 3 2 2 4 14 2" xfId="23663" xr:uid="{00000000-0005-0000-0000-000017510000}"/>
    <cellStyle name="Remarque 2 3 2 2 4 14 3" xfId="47623" xr:uid="{00000000-0005-0000-0000-000018510000}"/>
    <cellStyle name="Remarque 2 3 2 2 4 15" xfId="1886" xr:uid="{00000000-0005-0000-0000-000019510000}"/>
    <cellStyle name="Remarque 2 3 2 2 4 15 2" xfId="25900" xr:uid="{00000000-0005-0000-0000-00001A510000}"/>
    <cellStyle name="Remarque 2 3 2 2 4 15 3" xfId="49860" xr:uid="{00000000-0005-0000-0000-00001B510000}"/>
    <cellStyle name="Remarque 2 3 2 2 4 16" xfId="24482" xr:uid="{00000000-0005-0000-0000-00001C510000}"/>
    <cellStyle name="Remarque 2 3 2 2 4 16 2" xfId="48442" xr:uid="{00000000-0005-0000-0000-00001D510000}"/>
    <cellStyle name="Remarque 2 3 2 2 4 17" xfId="36515" xr:uid="{00000000-0005-0000-0000-00001E510000}"/>
    <cellStyle name="Remarque 2 3 2 2 4 17 2" xfId="60475" xr:uid="{00000000-0005-0000-0000-00001F510000}"/>
    <cellStyle name="Remarque 2 3 2 2 4 18" xfId="13147" xr:uid="{00000000-0005-0000-0000-000020510000}"/>
    <cellStyle name="Remarque 2 3 2 2 4 19" xfId="37107" xr:uid="{00000000-0005-0000-0000-000021510000}"/>
    <cellStyle name="Remarque 2 3 2 2 4 2" xfId="586" xr:uid="{00000000-0005-0000-0000-000022510000}"/>
    <cellStyle name="Remarque 2 3 2 2 4 2 10" xfId="24618" xr:uid="{00000000-0005-0000-0000-000023510000}"/>
    <cellStyle name="Remarque 2 3 2 2 4 2 10 2" xfId="48578" xr:uid="{00000000-0005-0000-0000-000024510000}"/>
    <cellStyle name="Remarque 2 3 2 2 4 2 11" xfId="36015" xr:uid="{00000000-0005-0000-0000-000025510000}"/>
    <cellStyle name="Remarque 2 3 2 2 4 2 11 2" xfId="59975" xr:uid="{00000000-0005-0000-0000-000026510000}"/>
    <cellStyle name="Remarque 2 3 2 2 4 2 12" xfId="13283" xr:uid="{00000000-0005-0000-0000-000027510000}"/>
    <cellStyle name="Remarque 2 3 2 2 4 2 13" xfId="37243" xr:uid="{00000000-0005-0000-0000-000028510000}"/>
    <cellStyle name="Remarque 2 3 2 2 4 2 2" xfId="3492" xr:uid="{00000000-0005-0000-0000-000029510000}"/>
    <cellStyle name="Remarque 2 3 2 2 4 2 2 2" xfId="27506" xr:uid="{00000000-0005-0000-0000-00002A510000}"/>
    <cellStyle name="Remarque 2 3 2 2 4 2 2 2 2" xfId="51466" xr:uid="{00000000-0005-0000-0000-00002B510000}"/>
    <cellStyle name="Remarque 2 3 2 2 4 2 2 3" xfId="14753" xr:uid="{00000000-0005-0000-0000-00002C510000}"/>
    <cellStyle name="Remarque 2 3 2 2 4 2 2 4" xfId="38713" xr:uid="{00000000-0005-0000-0000-00002D510000}"/>
    <cellStyle name="Remarque 2 3 2 2 4 2 3" xfId="4926" xr:uid="{00000000-0005-0000-0000-00002E510000}"/>
    <cellStyle name="Remarque 2 3 2 2 4 2 3 2" xfId="28940" xr:uid="{00000000-0005-0000-0000-00002F510000}"/>
    <cellStyle name="Remarque 2 3 2 2 4 2 3 2 2" xfId="52900" xr:uid="{00000000-0005-0000-0000-000030510000}"/>
    <cellStyle name="Remarque 2 3 2 2 4 2 3 3" xfId="16187" xr:uid="{00000000-0005-0000-0000-000031510000}"/>
    <cellStyle name="Remarque 2 3 2 2 4 2 3 4" xfId="40147" xr:uid="{00000000-0005-0000-0000-000032510000}"/>
    <cellStyle name="Remarque 2 3 2 2 4 2 4" xfId="6320" xr:uid="{00000000-0005-0000-0000-000033510000}"/>
    <cellStyle name="Remarque 2 3 2 2 4 2 4 2" xfId="30334" xr:uid="{00000000-0005-0000-0000-000034510000}"/>
    <cellStyle name="Remarque 2 3 2 2 4 2 4 2 2" xfId="54294" xr:uid="{00000000-0005-0000-0000-000035510000}"/>
    <cellStyle name="Remarque 2 3 2 2 4 2 4 3" xfId="17581" xr:uid="{00000000-0005-0000-0000-000036510000}"/>
    <cellStyle name="Remarque 2 3 2 2 4 2 4 4" xfId="41541" xr:uid="{00000000-0005-0000-0000-000037510000}"/>
    <cellStyle name="Remarque 2 3 2 2 4 2 5" xfId="7708" xr:uid="{00000000-0005-0000-0000-000038510000}"/>
    <cellStyle name="Remarque 2 3 2 2 4 2 5 2" xfId="31722" xr:uid="{00000000-0005-0000-0000-000039510000}"/>
    <cellStyle name="Remarque 2 3 2 2 4 2 5 2 2" xfId="55682" xr:uid="{00000000-0005-0000-0000-00003A510000}"/>
    <cellStyle name="Remarque 2 3 2 2 4 2 5 3" xfId="18969" xr:uid="{00000000-0005-0000-0000-00003B510000}"/>
    <cellStyle name="Remarque 2 3 2 2 4 2 5 4" xfId="42929" xr:uid="{00000000-0005-0000-0000-00003C510000}"/>
    <cellStyle name="Remarque 2 3 2 2 4 2 6" xfId="9093" xr:uid="{00000000-0005-0000-0000-00003D510000}"/>
    <cellStyle name="Remarque 2 3 2 2 4 2 6 2" xfId="33107" xr:uid="{00000000-0005-0000-0000-00003E510000}"/>
    <cellStyle name="Remarque 2 3 2 2 4 2 6 2 2" xfId="57067" xr:uid="{00000000-0005-0000-0000-00003F510000}"/>
    <cellStyle name="Remarque 2 3 2 2 4 2 6 3" xfId="20354" xr:uid="{00000000-0005-0000-0000-000040510000}"/>
    <cellStyle name="Remarque 2 3 2 2 4 2 6 4" xfId="44314" xr:uid="{00000000-0005-0000-0000-000041510000}"/>
    <cellStyle name="Remarque 2 3 2 2 4 2 7" xfId="10550" xr:uid="{00000000-0005-0000-0000-000042510000}"/>
    <cellStyle name="Remarque 2 3 2 2 4 2 7 2" xfId="34560" xr:uid="{00000000-0005-0000-0000-000043510000}"/>
    <cellStyle name="Remarque 2 3 2 2 4 2 7 2 2" xfId="58520" xr:uid="{00000000-0005-0000-0000-000044510000}"/>
    <cellStyle name="Remarque 2 3 2 2 4 2 7 3" xfId="21817" xr:uid="{00000000-0005-0000-0000-000045510000}"/>
    <cellStyle name="Remarque 2 3 2 2 4 2 7 4" xfId="45777" xr:uid="{00000000-0005-0000-0000-000046510000}"/>
    <cellStyle name="Remarque 2 3 2 2 4 2 8" xfId="11876" xr:uid="{00000000-0005-0000-0000-000047510000}"/>
    <cellStyle name="Remarque 2 3 2 2 4 2 8 2" xfId="23153" xr:uid="{00000000-0005-0000-0000-000048510000}"/>
    <cellStyle name="Remarque 2 3 2 2 4 2 8 3" xfId="47113" xr:uid="{00000000-0005-0000-0000-000049510000}"/>
    <cellStyle name="Remarque 2 3 2 2 4 2 9" xfId="2022" xr:uid="{00000000-0005-0000-0000-00004A510000}"/>
    <cellStyle name="Remarque 2 3 2 2 4 2 9 2" xfId="26036" xr:uid="{00000000-0005-0000-0000-00004B510000}"/>
    <cellStyle name="Remarque 2 3 2 2 4 2 9 3" xfId="49996" xr:uid="{00000000-0005-0000-0000-00004C510000}"/>
    <cellStyle name="Remarque 2 3 2 2 4 3" xfId="778" xr:uid="{00000000-0005-0000-0000-00004D510000}"/>
    <cellStyle name="Remarque 2 3 2 2 4 3 10" xfId="24810" xr:uid="{00000000-0005-0000-0000-00004E510000}"/>
    <cellStyle name="Remarque 2 3 2 2 4 3 10 2" xfId="48770" xr:uid="{00000000-0005-0000-0000-00004F510000}"/>
    <cellStyle name="Remarque 2 3 2 2 4 3 11" xfId="36789" xr:uid="{00000000-0005-0000-0000-000050510000}"/>
    <cellStyle name="Remarque 2 3 2 2 4 3 11 2" xfId="60749" xr:uid="{00000000-0005-0000-0000-000051510000}"/>
    <cellStyle name="Remarque 2 3 2 2 4 3 12" xfId="13475" xr:uid="{00000000-0005-0000-0000-000052510000}"/>
    <cellStyle name="Remarque 2 3 2 2 4 3 13" xfId="37435" xr:uid="{00000000-0005-0000-0000-000053510000}"/>
    <cellStyle name="Remarque 2 3 2 2 4 3 2" xfId="3684" xr:uid="{00000000-0005-0000-0000-000054510000}"/>
    <cellStyle name="Remarque 2 3 2 2 4 3 2 2" xfId="27698" xr:uid="{00000000-0005-0000-0000-000055510000}"/>
    <cellStyle name="Remarque 2 3 2 2 4 3 2 2 2" xfId="51658" xr:uid="{00000000-0005-0000-0000-000056510000}"/>
    <cellStyle name="Remarque 2 3 2 2 4 3 2 3" xfId="14945" xr:uid="{00000000-0005-0000-0000-000057510000}"/>
    <cellStyle name="Remarque 2 3 2 2 4 3 2 4" xfId="38905" xr:uid="{00000000-0005-0000-0000-000058510000}"/>
    <cellStyle name="Remarque 2 3 2 2 4 3 3" xfId="5118" xr:uid="{00000000-0005-0000-0000-000059510000}"/>
    <cellStyle name="Remarque 2 3 2 2 4 3 3 2" xfId="29132" xr:uid="{00000000-0005-0000-0000-00005A510000}"/>
    <cellStyle name="Remarque 2 3 2 2 4 3 3 2 2" xfId="53092" xr:uid="{00000000-0005-0000-0000-00005B510000}"/>
    <cellStyle name="Remarque 2 3 2 2 4 3 3 3" xfId="16379" xr:uid="{00000000-0005-0000-0000-00005C510000}"/>
    <cellStyle name="Remarque 2 3 2 2 4 3 3 4" xfId="40339" xr:uid="{00000000-0005-0000-0000-00005D510000}"/>
    <cellStyle name="Remarque 2 3 2 2 4 3 4" xfId="6512" xr:uid="{00000000-0005-0000-0000-00005E510000}"/>
    <cellStyle name="Remarque 2 3 2 2 4 3 4 2" xfId="30526" xr:uid="{00000000-0005-0000-0000-00005F510000}"/>
    <cellStyle name="Remarque 2 3 2 2 4 3 4 2 2" xfId="54486" xr:uid="{00000000-0005-0000-0000-000060510000}"/>
    <cellStyle name="Remarque 2 3 2 2 4 3 4 3" xfId="17773" xr:uid="{00000000-0005-0000-0000-000061510000}"/>
    <cellStyle name="Remarque 2 3 2 2 4 3 4 4" xfId="41733" xr:uid="{00000000-0005-0000-0000-000062510000}"/>
    <cellStyle name="Remarque 2 3 2 2 4 3 5" xfId="7900" xr:uid="{00000000-0005-0000-0000-000063510000}"/>
    <cellStyle name="Remarque 2 3 2 2 4 3 5 2" xfId="31914" xr:uid="{00000000-0005-0000-0000-000064510000}"/>
    <cellStyle name="Remarque 2 3 2 2 4 3 5 2 2" xfId="55874" xr:uid="{00000000-0005-0000-0000-000065510000}"/>
    <cellStyle name="Remarque 2 3 2 2 4 3 5 3" xfId="19161" xr:uid="{00000000-0005-0000-0000-000066510000}"/>
    <cellStyle name="Remarque 2 3 2 2 4 3 5 4" xfId="43121" xr:uid="{00000000-0005-0000-0000-000067510000}"/>
    <cellStyle name="Remarque 2 3 2 2 4 3 6" xfId="9285" xr:uid="{00000000-0005-0000-0000-000068510000}"/>
    <cellStyle name="Remarque 2 3 2 2 4 3 6 2" xfId="33299" xr:uid="{00000000-0005-0000-0000-000069510000}"/>
    <cellStyle name="Remarque 2 3 2 2 4 3 6 2 2" xfId="57259" xr:uid="{00000000-0005-0000-0000-00006A510000}"/>
    <cellStyle name="Remarque 2 3 2 2 4 3 6 3" xfId="20546" xr:uid="{00000000-0005-0000-0000-00006B510000}"/>
    <cellStyle name="Remarque 2 3 2 2 4 3 6 4" xfId="44506" xr:uid="{00000000-0005-0000-0000-00006C510000}"/>
    <cellStyle name="Remarque 2 3 2 2 4 3 7" xfId="10742" xr:uid="{00000000-0005-0000-0000-00006D510000}"/>
    <cellStyle name="Remarque 2 3 2 2 4 3 7 2" xfId="34752" xr:uid="{00000000-0005-0000-0000-00006E510000}"/>
    <cellStyle name="Remarque 2 3 2 2 4 3 7 2 2" xfId="58712" xr:uid="{00000000-0005-0000-0000-00006F510000}"/>
    <cellStyle name="Remarque 2 3 2 2 4 3 7 3" xfId="22009" xr:uid="{00000000-0005-0000-0000-000070510000}"/>
    <cellStyle name="Remarque 2 3 2 2 4 3 7 4" xfId="45969" xr:uid="{00000000-0005-0000-0000-000071510000}"/>
    <cellStyle name="Remarque 2 3 2 2 4 3 8" xfId="12773" xr:uid="{00000000-0005-0000-0000-000072510000}"/>
    <cellStyle name="Remarque 2 3 2 2 4 3 8 2" xfId="24081" xr:uid="{00000000-0005-0000-0000-000073510000}"/>
    <cellStyle name="Remarque 2 3 2 2 4 3 8 3" xfId="48041" xr:uid="{00000000-0005-0000-0000-000074510000}"/>
    <cellStyle name="Remarque 2 3 2 2 4 3 9" xfId="2214" xr:uid="{00000000-0005-0000-0000-000075510000}"/>
    <cellStyle name="Remarque 2 3 2 2 4 3 9 2" xfId="26228" xr:uid="{00000000-0005-0000-0000-000076510000}"/>
    <cellStyle name="Remarque 2 3 2 2 4 3 9 3" xfId="50188" xr:uid="{00000000-0005-0000-0000-000077510000}"/>
    <cellStyle name="Remarque 2 3 2 2 4 4" xfId="972" xr:uid="{00000000-0005-0000-0000-000078510000}"/>
    <cellStyle name="Remarque 2 3 2 2 4 4 10" xfId="25004" xr:uid="{00000000-0005-0000-0000-000079510000}"/>
    <cellStyle name="Remarque 2 3 2 2 4 4 10 2" xfId="48964" xr:uid="{00000000-0005-0000-0000-00007A510000}"/>
    <cellStyle name="Remarque 2 3 2 2 4 4 11" xfId="36728" xr:uid="{00000000-0005-0000-0000-00007B510000}"/>
    <cellStyle name="Remarque 2 3 2 2 4 4 11 2" xfId="60688" xr:uid="{00000000-0005-0000-0000-00007C510000}"/>
    <cellStyle name="Remarque 2 3 2 2 4 4 12" xfId="13669" xr:uid="{00000000-0005-0000-0000-00007D510000}"/>
    <cellStyle name="Remarque 2 3 2 2 4 4 13" xfId="37629" xr:uid="{00000000-0005-0000-0000-00007E510000}"/>
    <cellStyle name="Remarque 2 3 2 2 4 4 2" xfId="3878" xr:uid="{00000000-0005-0000-0000-00007F510000}"/>
    <cellStyle name="Remarque 2 3 2 2 4 4 2 2" xfId="27892" xr:uid="{00000000-0005-0000-0000-000080510000}"/>
    <cellStyle name="Remarque 2 3 2 2 4 4 2 2 2" xfId="51852" xr:uid="{00000000-0005-0000-0000-000081510000}"/>
    <cellStyle name="Remarque 2 3 2 2 4 4 2 3" xfId="15139" xr:uid="{00000000-0005-0000-0000-000082510000}"/>
    <cellStyle name="Remarque 2 3 2 2 4 4 2 4" xfId="39099" xr:uid="{00000000-0005-0000-0000-000083510000}"/>
    <cellStyle name="Remarque 2 3 2 2 4 4 3" xfId="5312" xr:uid="{00000000-0005-0000-0000-000084510000}"/>
    <cellStyle name="Remarque 2 3 2 2 4 4 3 2" xfId="29326" xr:uid="{00000000-0005-0000-0000-000085510000}"/>
    <cellStyle name="Remarque 2 3 2 2 4 4 3 2 2" xfId="53286" xr:uid="{00000000-0005-0000-0000-000086510000}"/>
    <cellStyle name="Remarque 2 3 2 2 4 4 3 3" xfId="16573" xr:uid="{00000000-0005-0000-0000-000087510000}"/>
    <cellStyle name="Remarque 2 3 2 2 4 4 3 4" xfId="40533" xr:uid="{00000000-0005-0000-0000-000088510000}"/>
    <cellStyle name="Remarque 2 3 2 2 4 4 4" xfId="6706" xr:uid="{00000000-0005-0000-0000-000089510000}"/>
    <cellStyle name="Remarque 2 3 2 2 4 4 4 2" xfId="30720" xr:uid="{00000000-0005-0000-0000-00008A510000}"/>
    <cellStyle name="Remarque 2 3 2 2 4 4 4 2 2" xfId="54680" xr:uid="{00000000-0005-0000-0000-00008B510000}"/>
    <cellStyle name="Remarque 2 3 2 2 4 4 4 3" xfId="17967" xr:uid="{00000000-0005-0000-0000-00008C510000}"/>
    <cellStyle name="Remarque 2 3 2 2 4 4 4 4" xfId="41927" xr:uid="{00000000-0005-0000-0000-00008D510000}"/>
    <cellStyle name="Remarque 2 3 2 2 4 4 5" xfId="8094" xr:uid="{00000000-0005-0000-0000-00008E510000}"/>
    <cellStyle name="Remarque 2 3 2 2 4 4 5 2" xfId="32108" xr:uid="{00000000-0005-0000-0000-00008F510000}"/>
    <cellStyle name="Remarque 2 3 2 2 4 4 5 2 2" xfId="56068" xr:uid="{00000000-0005-0000-0000-000090510000}"/>
    <cellStyle name="Remarque 2 3 2 2 4 4 5 3" xfId="19355" xr:uid="{00000000-0005-0000-0000-000091510000}"/>
    <cellStyle name="Remarque 2 3 2 2 4 4 5 4" xfId="43315" xr:uid="{00000000-0005-0000-0000-000092510000}"/>
    <cellStyle name="Remarque 2 3 2 2 4 4 6" xfId="9479" xr:uid="{00000000-0005-0000-0000-000093510000}"/>
    <cellStyle name="Remarque 2 3 2 2 4 4 6 2" xfId="33493" xr:uid="{00000000-0005-0000-0000-000094510000}"/>
    <cellStyle name="Remarque 2 3 2 2 4 4 6 2 2" xfId="57453" xr:uid="{00000000-0005-0000-0000-000095510000}"/>
    <cellStyle name="Remarque 2 3 2 2 4 4 6 3" xfId="20740" xr:uid="{00000000-0005-0000-0000-000096510000}"/>
    <cellStyle name="Remarque 2 3 2 2 4 4 6 4" xfId="44700" xr:uid="{00000000-0005-0000-0000-000097510000}"/>
    <cellStyle name="Remarque 2 3 2 2 4 4 7" xfId="10936" xr:uid="{00000000-0005-0000-0000-000098510000}"/>
    <cellStyle name="Remarque 2 3 2 2 4 4 7 2" xfId="34946" xr:uid="{00000000-0005-0000-0000-000099510000}"/>
    <cellStyle name="Remarque 2 3 2 2 4 4 7 2 2" xfId="58906" xr:uid="{00000000-0005-0000-0000-00009A510000}"/>
    <cellStyle name="Remarque 2 3 2 2 4 4 7 3" xfId="22203" xr:uid="{00000000-0005-0000-0000-00009B510000}"/>
    <cellStyle name="Remarque 2 3 2 2 4 4 7 4" xfId="46163" xr:uid="{00000000-0005-0000-0000-00009C510000}"/>
    <cellStyle name="Remarque 2 3 2 2 4 4 8" xfId="12536" xr:uid="{00000000-0005-0000-0000-00009D510000}"/>
    <cellStyle name="Remarque 2 3 2 2 4 4 8 2" xfId="23834" xr:uid="{00000000-0005-0000-0000-00009E510000}"/>
    <cellStyle name="Remarque 2 3 2 2 4 4 8 3" xfId="47794" xr:uid="{00000000-0005-0000-0000-00009F510000}"/>
    <cellStyle name="Remarque 2 3 2 2 4 4 9" xfId="2408" xr:uid="{00000000-0005-0000-0000-0000A0510000}"/>
    <cellStyle name="Remarque 2 3 2 2 4 4 9 2" xfId="26422" xr:uid="{00000000-0005-0000-0000-0000A1510000}"/>
    <cellStyle name="Remarque 2 3 2 2 4 4 9 3" xfId="50382" xr:uid="{00000000-0005-0000-0000-0000A2510000}"/>
    <cellStyle name="Remarque 2 3 2 2 4 5" xfId="1165" xr:uid="{00000000-0005-0000-0000-0000A3510000}"/>
    <cellStyle name="Remarque 2 3 2 2 4 5 10" xfId="25197" xr:uid="{00000000-0005-0000-0000-0000A4510000}"/>
    <cellStyle name="Remarque 2 3 2 2 4 5 10 2" xfId="49157" xr:uid="{00000000-0005-0000-0000-0000A5510000}"/>
    <cellStyle name="Remarque 2 3 2 2 4 5 11" xfId="36588" xr:uid="{00000000-0005-0000-0000-0000A6510000}"/>
    <cellStyle name="Remarque 2 3 2 2 4 5 11 2" xfId="60548" xr:uid="{00000000-0005-0000-0000-0000A7510000}"/>
    <cellStyle name="Remarque 2 3 2 2 4 5 12" xfId="13862" xr:uid="{00000000-0005-0000-0000-0000A8510000}"/>
    <cellStyle name="Remarque 2 3 2 2 4 5 13" xfId="37822" xr:uid="{00000000-0005-0000-0000-0000A9510000}"/>
    <cellStyle name="Remarque 2 3 2 2 4 5 2" xfId="4071" xr:uid="{00000000-0005-0000-0000-0000AA510000}"/>
    <cellStyle name="Remarque 2 3 2 2 4 5 2 2" xfId="28085" xr:uid="{00000000-0005-0000-0000-0000AB510000}"/>
    <cellStyle name="Remarque 2 3 2 2 4 5 2 2 2" xfId="52045" xr:uid="{00000000-0005-0000-0000-0000AC510000}"/>
    <cellStyle name="Remarque 2 3 2 2 4 5 2 3" xfId="15332" xr:uid="{00000000-0005-0000-0000-0000AD510000}"/>
    <cellStyle name="Remarque 2 3 2 2 4 5 2 4" xfId="39292" xr:uid="{00000000-0005-0000-0000-0000AE510000}"/>
    <cellStyle name="Remarque 2 3 2 2 4 5 3" xfId="5505" xr:uid="{00000000-0005-0000-0000-0000AF510000}"/>
    <cellStyle name="Remarque 2 3 2 2 4 5 3 2" xfId="29519" xr:uid="{00000000-0005-0000-0000-0000B0510000}"/>
    <cellStyle name="Remarque 2 3 2 2 4 5 3 2 2" xfId="53479" xr:uid="{00000000-0005-0000-0000-0000B1510000}"/>
    <cellStyle name="Remarque 2 3 2 2 4 5 3 3" xfId="16766" xr:uid="{00000000-0005-0000-0000-0000B2510000}"/>
    <cellStyle name="Remarque 2 3 2 2 4 5 3 4" xfId="40726" xr:uid="{00000000-0005-0000-0000-0000B3510000}"/>
    <cellStyle name="Remarque 2 3 2 2 4 5 4" xfId="6899" xr:uid="{00000000-0005-0000-0000-0000B4510000}"/>
    <cellStyle name="Remarque 2 3 2 2 4 5 4 2" xfId="30913" xr:uid="{00000000-0005-0000-0000-0000B5510000}"/>
    <cellStyle name="Remarque 2 3 2 2 4 5 4 2 2" xfId="54873" xr:uid="{00000000-0005-0000-0000-0000B6510000}"/>
    <cellStyle name="Remarque 2 3 2 2 4 5 4 3" xfId="18160" xr:uid="{00000000-0005-0000-0000-0000B7510000}"/>
    <cellStyle name="Remarque 2 3 2 2 4 5 4 4" xfId="42120" xr:uid="{00000000-0005-0000-0000-0000B8510000}"/>
    <cellStyle name="Remarque 2 3 2 2 4 5 5" xfId="8287" xr:uid="{00000000-0005-0000-0000-0000B9510000}"/>
    <cellStyle name="Remarque 2 3 2 2 4 5 5 2" xfId="32301" xr:uid="{00000000-0005-0000-0000-0000BA510000}"/>
    <cellStyle name="Remarque 2 3 2 2 4 5 5 2 2" xfId="56261" xr:uid="{00000000-0005-0000-0000-0000BB510000}"/>
    <cellStyle name="Remarque 2 3 2 2 4 5 5 3" xfId="19548" xr:uid="{00000000-0005-0000-0000-0000BC510000}"/>
    <cellStyle name="Remarque 2 3 2 2 4 5 5 4" xfId="43508" xr:uid="{00000000-0005-0000-0000-0000BD510000}"/>
    <cellStyle name="Remarque 2 3 2 2 4 5 6" xfId="9672" xr:uid="{00000000-0005-0000-0000-0000BE510000}"/>
    <cellStyle name="Remarque 2 3 2 2 4 5 6 2" xfId="33686" xr:uid="{00000000-0005-0000-0000-0000BF510000}"/>
    <cellStyle name="Remarque 2 3 2 2 4 5 6 2 2" xfId="57646" xr:uid="{00000000-0005-0000-0000-0000C0510000}"/>
    <cellStyle name="Remarque 2 3 2 2 4 5 6 3" xfId="20933" xr:uid="{00000000-0005-0000-0000-0000C1510000}"/>
    <cellStyle name="Remarque 2 3 2 2 4 5 6 4" xfId="44893" xr:uid="{00000000-0005-0000-0000-0000C2510000}"/>
    <cellStyle name="Remarque 2 3 2 2 4 5 7" xfId="11129" xr:uid="{00000000-0005-0000-0000-0000C3510000}"/>
    <cellStyle name="Remarque 2 3 2 2 4 5 7 2" xfId="35139" xr:uid="{00000000-0005-0000-0000-0000C4510000}"/>
    <cellStyle name="Remarque 2 3 2 2 4 5 7 2 2" xfId="59099" xr:uid="{00000000-0005-0000-0000-0000C5510000}"/>
    <cellStyle name="Remarque 2 3 2 2 4 5 7 3" xfId="22396" xr:uid="{00000000-0005-0000-0000-0000C6510000}"/>
    <cellStyle name="Remarque 2 3 2 2 4 5 7 4" xfId="46356" xr:uid="{00000000-0005-0000-0000-0000C7510000}"/>
    <cellStyle name="Remarque 2 3 2 2 4 5 8" xfId="12207" xr:uid="{00000000-0005-0000-0000-0000C8510000}"/>
    <cellStyle name="Remarque 2 3 2 2 4 5 8 2" xfId="23491" xr:uid="{00000000-0005-0000-0000-0000C9510000}"/>
    <cellStyle name="Remarque 2 3 2 2 4 5 8 3" xfId="47451" xr:uid="{00000000-0005-0000-0000-0000CA510000}"/>
    <cellStyle name="Remarque 2 3 2 2 4 5 9" xfId="2601" xr:uid="{00000000-0005-0000-0000-0000CB510000}"/>
    <cellStyle name="Remarque 2 3 2 2 4 5 9 2" xfId="26615" xr:uid="{00000000-0005-0000-0000-0000CC510000}"/>
    <cellStyle name="Remarque 2 3 2 2 4 5 9 3" xfId="50575" xr:uid="{00000000-0005-0000-0000-0000CD510000}"/>
    <cellStyle name="Remarque 2 3 2 2 4 6" xfId="1332" xr:uid="{00000000-0005-0000-0000-0000CE510000}"/>
    <cellStyle name="Remarque 2 3 2 2 4 6 10" xfId="25364" xr:uid="{00000000-0005-0000-0000-0000CF510000}"/>
    <cellStyle name="Remarque 2 3 2 2 4 6 10 2" xfId="49324" xr:uid="{00000000-0005-0000-0000-0000D0510000}"/>
    <cellStyle name="Remarque 2 3 2 2 4 6 11" xfId="35806" xr:uid="{00000000-0005-0000-0000-0000D1510000}"/>
    <cellStyle name="Remarque 2 3 2 2 4 6 11 2" xfId="59766" xr:uid="{00000000-0005-0000-0000-0000D2510000}"/>
    <cellStyle name="Remarque 2 3 2 2 4 6 12" xfId="14029" xr:uid="{00000000-0005-0000-0000-0000D3510000}"/>
    <cellStyle name="Remarque 2 3 2 2 4 6 13" xfId="37989" xr:uid="{00000000-0005-0000-0000-0000D4510000}"/>
    <cellStyle name="Remarque 2 3 2 2 4 6 2" xfId="4238" xr:uid="{00000000-0005-0000-0000-0000D5510000}"/>
    <cellStyle name="Remarque 2 3 2 2 4 6 2 2" xfId="28252" xr:uid="{00000000-0005-0000-0000-0000D6510000}"/>
    <cellStyle name="Remarque 2 3 2 2 4 6 2 2 2" xfId="52212" xr:uid="{00000000-0005-0000-0000-0000D7510000}"/>
    <cellStyle name="Remarque 2 3 2 2 4 6 2 3" xfId="15499" xr:uid="{00000000-0005-0000-0000-0000D8510000}"/>
    <cellStyle name="Remarque 2 3 2 2 4 6 2 4" xfId="39459" xr:uid="{00000000-0005-0000-0000-0000D9510000}"/>
    <cellStyle name="Remarque 2 3 2 2 4 6 3" xfId="5672" xr:uid="{00000000-0005-0000-0000-0000DA510000}"/>
    <cellStyle name="Remarque 2 3 2 2 4 6 3 2" xfId="29686" xr:uid="{00000000-0005-0000-0000-0000DB510000}"/>
    <cellStyle name="Remarque 2 3 2 2 4 6 3 2 2" xfId="53646" xr:uid="{00000000-0005-0000-0000-0000DC510000}"/>
    <cellStyle name="Remarque 2 3 2 2 4 6 3 3" xfId="16933" xr:uid="{00000000-0005-0000-0000-0000DD510000}"/>
    <cellStyle name="Remarque 2 3 2 2 4 6 3 4" xfId="40893" xr:uid="{00000000-0005-0000-0000-0000DE510000}"/>
    <cellStyle name="Remarque 2 3 2 2 4 6 4" xfId="7066" xr:uid="{00000000-0005-0000-0000-0000DF510000}"/>
    <cellStyle name="Remarque 2 3 2 2 4 6 4 2" xfId="31080" xr:uid="{00000000-0005-0000-0000-0000E0510000}"/>
    <cellStyle name="Remarque 2 3 2 2 4 6 4 2 2" xfId="55040" xr:uid="{00000000-0005-0000-0000-0000E1510000}"/>
    <cellStyle name="Remarque 2 3 2 2 4 6 4 3" xfId="18327" xr:uid="{00000000-0005-0000-0000-0000E2510000}"/>
    <cellStyle name="Remarque 2 3 2 2 4 6 4 4" xfId="42287" xr:uid="{00000000-0005-0000-0000-0000E3510000}"/>
    <cellStyle name="Remarque 2 3 2 2 4 6 5" xfId="8454" xr:uid="{00000000-0005-0000-0000-0000E4510000}"/>
    <cellStyle name="Remarque 2 3 2 2 4 6 5 2" xfId="32468" xr:uid="{00000000-0005-0000-0000-0000E5510000}"/>
    <cellStyle name="Remarque 2 3 2 2 4 6 5 2 2" xfId="56428" xr:uid="{00000000-0005-0000-0000-0000E6510000}"/>
    <cellStyle name="Remarque 2 3 2 2 4 6 5 3" xfId="19715" xr:uid="{00000000-0005-0000-0000-0000E7510000}"/>
    <cellStyle name="Remarque 2 3 2 2 4 6 5 4" xfId="43675" xr:uid="{00000000-0005-0000-0000-0000E8510000}"/>
    <cellStyle name="Remarque 2 3 2 2 4 6 6" xfId="9839" xr:uid="{00000000-0005-0000-0000-0000E9510000}"/>
    <cellStyle name="Remarque 2 3 2 2 4 6 6 2" xfId="33853" xr:uid="{00000000-0005-0000-0000-0000EA510000}"/>
    <cellStyle name="Remarque 2 3 2 2 4 6 6 2 2" xfId="57813" xr:uid="{00000000-0005-0000-0000-0000EB510000}"/>
    <cellStyle name="Remarque 2 3 2 2 4 6 6 3" xfId="21100" xr:uid="{00000000-0005-0000-0000-0000EC510000}"/>
    <cellStyle name="Remarque 2 3 2 2 4 6 6 4" xfId="45060" xr:uid="{00000000-0005-0000-0000-0000ED510000}"/>
    <cellStyle name="Remarque 2 3 2 2 4 6 7" xfId="11296" xr:uid="{00000000-0005-0000-0000-0000EE510000}"/>
    <cellStyle name="Remarque 2 3 2 2 4 6 7 2" xfId="35306" xr:uid="{00000000-0005-0000-0000-0000EF510000}"/>
    <cellStyle name="Remarque 2 3 2 2 4 6 7 2 2" xfId="59266" xr:uid="{00000000-0005-0000-0000-0000F0510000}"/>
    <cellStyle name="Remarque 2 3 2 2 4 6 7 3" xfId="22563" xr:uid="{00000000-0005-0000-0000-0000F1510000}"/>
    <cellStyle name="Remarque 2 3 2 2 4 6 7 4" xfId="46523" xr:uid="{00000000-0005-0000-0000-0000F2510000}"/>
    <cellStyle name="Remarque 2 3 2 2 4 6 8" xfId="12524" xr:uid="{00000000-0005-0000-0000-0000F3510000}"/>
    <cellStyle name="Remarque 2 3 2 2 4 6 8 2" xfId="23821" xr:uid="{00000000-0005-0000-0000-0000F4510000}"/>
    <cellStyle name="Remarque 2 3 2 2 4 6 8 3" xfId="47781" xr:uid="{00000000-0005-0000-0000-0000F5510000}"/>
    <cellStyle name="Remarque 2 3 2 2 4 6 9" xfId="2768" xr:uid="{00000000-0005-0000-0000-0000F6510000}"/>
    <cellStyle name="Remarque 2 3 2 2 4 6 9 2" xfId="26782" xr:uid="{00000000-0005-0000-0000-0000F7510000}"/>
    <cellStyle name="Remarque 2 3 2 2 4 6 9 3" xfId="50742" xr:uid="{00000000-0005-0000-0000-0000F8510000}"/>
    <cellStyle name="Remarque 2 3 2 2 4 7" xfId="1501" xr:uid="{00000000-0005-0000-0000-0000F9510000}"/>
    <cellStyle name="Remarque 2 3 2 2 4 7 10" xfId="25533" xr:uid="{00000000-0005-0000-0000-0000FA510000}"/>
    <cellStyle name="Remarque 2 3 2 2 4 7 10 2" xfId="49493" xr:uid="{00000000-0005-0000-0000-0000FB510000}"/>
    <cellStyle name="Remarque 2 3 2 2 4 7 11" xfId="24273" xr:uid="{00000000-0005-0000-0000-0000FC510000}"/>
    <cellStyle name="Remarque 2 3 2 2 4 7 11 2" xfId="48233" xr:uid="{00000000-0005-0000-0000-0000FD510000}"/>
    <cellStyle name="Remarque 2 3 2 2 4 7 12" xfId="14198" xr:uid="{00000000-0005-0000-0000-0000FE510000}"/>
    <cellStyle name="Remarque 2 3 2 2 4 7 13" xfId="38158" xr:uid="{00000000-0005-0000-0000-0000FF510000}"/>
    <cellStyle name="Remarque 2 3 2 2 4 7 2" xfId="4407" xr:uid="{00000000-0005-0000-0000-000000520000}"/>
    <cellStyle name="Remarque 2 3 2 2 4 7 2 2" xfId="28421" xr:uid="{00000000-0005-0000-0000-000001520000}"/>
    <cellStyle name="Remarque 2 3 2 2 4 7 2 2 2" xfId="52381" xr:uid="{00000000-0005-0000-0000-000002520000}"/>
    <cellStyle name="Remarque 2 3 2 2 4 7 2 3" xfId="15668" xr:uid="{00000000-0005-0000-0000-000003520000}"/>
    <cellStyle name="Remarque 2 3 2 2 4 7 2 4" xfId="39628" xr:uid="{00000000-0005-0000-0000-000004520000}"/>
    <cellStyle name="Remarque 2 3 2 2 4 7 3" xfId="5841" xr:uid="{00000000-0005-0000-0000-000005520000}"/>
    <cellStyle name="Remarque 2 3 2 2 4 7 3 2" xfId="29855" xr:uid="{00000000-0005-0000-0000-000006520000}"/>
    <cellStyle name="Remarque 2 3 2 2 4 7 3 2 2" xfId="53815" xr:uid="{00000000-0005-0000-0000-000007520000}"/>
    <cellStyle name="Remarque 2 3 2 2 4 7 3 3" xfId="17102" xr:uid="{00000000-0005-0000-0000-000008520000}"/>
    <cellStyle name="Remarque 2 3 2 2 4 7 3 4" xfId="41062" xr:uid="{00000000-0005-0000-0000-000009520000}"/>
    <cellStyle name="Remarque 2 3 2 2 4 7 4" xfId="7235" xr:uid="{00000000-0005-0000-0000-00000A520000}"/>
    <cellStyle name="Remarque 2 3 2 2 4 7 4 2" xfId="31249" xr:uid="{00000000-0005-0000-0000-00000B520000}"/>
    <cellStyle name="Remarque 2 3 2 2 4 7 4 2 2" xfId="55209" xr:uid="{00000000-0005-0000-0000-00000C520000}"/>
    <cellStyle name="Remarque 2 3 2 2 4 7 4 3" xfId="18496" xr:uid="{00000000-0005-0000-0000-00000D520000}"/>
    <cellStyle name="Remarque 2 3 2 2 4 7 4 4" xfId="42456" xr:uid="{00000000-0005-0000-0000-00000E520000}"/>
    <cellStyle name="Remarque 2 3 2 2 4 7 5" xfId="8623" xr:uid="{00000000-0005-0000-0000-00000F520000}"/>
    <cellStyle name="Remarque 2 3 2 2 4 7 5 2" xfId="32637" xr:uid="{00000000-0005-0000-0000-000010520000}"/>
    <cellStyle name="Remarque 2 3 2 2 4 7 5 2 2" xfId="56597" xr:uid="{00000000-0005-0000-0000-000011520000}"/>
    <cellStyle name="Remarque 2 3 2 2 4 7 5 3" xfId="19884" xr:uid="{00000000-0005-0000-0000-000012520000}"/>
    <cellStyle name="Remarque 2 3 2 2 4 7 5 4" xfId="43844" xr:uid="{00000000-0005-0000-0000-000013520000}"/>
    <cellStyle name="Remarque 2 3 2 2 4 7 6" xfId="10008" xr:uid="{00000000-0005-0000-0000-000014520000}"/>
    <cellStyle name="Remarque 2 3 2 2 4 7 6 2" xfId="34022" xr:uid="{00000000-0005-0000-0000-000015520000}"/>
    <cellStyle name="Remarque 2 3 2 2 4 7 6 2 2" xfId="57982" xr:uid="{00000000-0005-0000-0000-000016520000}"/>
    <cellStyle name="Remarque 2 3 2 2 4 7 6 3" xfId="21269" xr:uid="{00000000-0005-0000-0000-000017520000}"/>
    <cellStyle name="Remarque 2 3 2 2 4 7 6 4" xfId="45229" xr:uid="{00000000-0005-0000-0000-000018520000}"/>
    <cellStyle name="Remarque 2 3 2 2 4 7 7" xfId="11465" xr:uid="{00000000-0005-0000-0000-000019520000}"/>
    <cellStyle name="Remarque 2 3 2 2 4 7 7 2" xfId="35475" xr:uid="{00000000-0005-0000-0000-00001A520000}"/>
    <cellStyle name="Remarque 2 3 2 2 4 7 7 2 2" xfId="59435" xr:uid="{00000000-0005-0000-0000-00001B520000}"/>
    <cellStyle name="Remarque 2 3 2 2 4 7 7 3" xfId="22732" xr:uid="{00000000-0005-0000-0000-00001C520000}"/>
    <cellStyle name="Remarque 2 3 2 2 4 7 7 4" xfId="46692" xr:uid="{00000000-0005-0000-0000-00001D520000}"/>
    <cellStyle name="Remarque 2 3 2 2 4 7 8" xfId="11864" xr:uid="{00000000-0005-0000-0000-00001E520000}"/>
    <cellStyle name="Remarque 2 3 2 2 4 7 8 2" xfId="23140" xr:uid="{00000000-0005-0000-0000-00001F520000}"/>
    <cellStyle name="Remarque 2 3 2 2 4 7 8 3" xfId="47100" xr:uid="{00000000-0005-0000-0000-000020520000}"/>
    <cellStyle name="Remarque 2 3 2 2 4 7 9" xfId="2937" xr:uid="{00000000-0005-0000-0000-000021520000}"/>
    <cellStyle name="Remarque 2 3 2 2 4 7 9 2" xfId="26951" xr:uid="{00000000-0005-0000-0000-000022520000}"/>
    <cellStyle name="Remarque 2 3 2 2 4 7 9 3" xfId="50911" xr:uid="{00000000-0005-0000-0000-000023520000}"/>
    <cellStyle name="Remarque 2 3 2 2 4 8" xfId="3356" xr:uid="{00000000-0005-0000-0000-000024520000}"/>
    <cellStyle name="Remarque 2 3 2 2 4 8 2" xfId="27370" xr:uid="{00000000-0005-0000-0000-000025520000}"/>
    <cellStyle name="Remarque 2 3 2 2 4 8 2 2" xfId="51330" xr:uid="{00000000-0005-0000-0000-000026520000}"/>
    <cellStyle name="Remarque 2 3 2 2 4 8 3" xfId="14617" xr:uid="{00000000-0005-0000-0000-000027520000}"/>
    <cellStyle name="Remarque 2 3 2 2 4 8 4" xfId="38577" xr:uid="{00000000-0005-0000-0000-000028520000}"/>
    <cellStyle name="Remarque 2 3 2 2 4 9" xfId="4790" xr:uid="{00000000-0005-0000-0000-000029520000}"/>
    <cellStyle name="Remarque 2 3 2 2 4 9 2" xfId="28804" xr:uid="{00000000-0005-0000-0000-00002A520000}"/>
    <cellStyle name="Remarque 2 3 2 2 4 9 2 2" xfId="52764" xr:uid="{00000000-0005-0000-0000-00002B520000}"/>
    <cellStyle name="Remarque 2 3 2 2 4 9 3" xfId="16051" xr:uid="{00000000-0005-0000-0000-00002C520000}"/>
    <cellStyle name="Remarque 2 3 2 2 4 9 4" xfId="40011" xr:uid="{00000000-0005-0000-0000-00002D520000}"/>
    <cellStyle name="Remarque 2 3 2 2 5" xfId="301" xr:uid="{00000000-0005-0000-0000-00002E520000}"/>
    <cellStyle name="Remarque 2 3 2 2 5 10" xfId="24333" xr:uid="{00000000-0005-0000-0000-00002F520000}"/>
    <cellStyle name="Remarque 2 3 2 2 5 10 2" xfId="48293" xr:uid="{00000000-0005-0000-0000-000030520000}"/>
    <cellStyle name="Remarque 2 3 2 2 5 11" xfId="36772" xr:uid="{00000000-0005-0000-0000-000031520000}"/>
    <cellStyle name="Remarque 2 3 2 2 5 11 2" xfId="60732" xr:uid="{00000000-0005-0000-0000-000032520000}"/>
    <cellStyle name="Remarque 2 3 2 2 5 12" xfId="12998" xr:uid="{00000000-0005-0000-0000-000033520000}"/>
    <cellStyle name="Remarque 2 3 2 2 5 13" xfId="36958" xr:uid="{00000000-0005-0000-0000-000034520000}"/>
    <cellStyle name="Remarque 2 3 2 2 5 2" xfId="3207" xr:uid="{00000000-0005-0000-0000-000035520000}"/>
    <cellStyle name="Remarque 2 3 2 2 5 2 2" xfId="27221" xr:uid="{00000000-0005-0000-0000-000036520000}"/>
    <cellStyle name="Remarque 2 3 2 2 5 2 2 2" xfId="51181" xr:uid="{00000000-0005-0000-0000-000037520000}"/>
    <cellStyle name="Remarque 2 3 2 2 5 2 3" xfId="14468" xr:uid="{00000000-0005-0000-0000-000038520000}"/>
    <cellStyle name="Remarque 2 3 2 2 5 2 4" xfId="38428" xr:uid="{00000000-0005-0000-0000-000039520000}"/>
    <cellStyle name="Remarque 2 3 2 2 5 3" xfId="4641" xr:uid="{00000000-0005-0000-0000-00003A520000}"/>
    <cellStyle name="Remarque 2 3 2 2 5 3 2" xfId="28655" xr:uid="{00000000-0005-0000-0000-00003B520000}"/>
    <cellStyle name="Remarque 2 3 2 2 5 3 2 2" xfId="52615" xr:uid="{00000000-0005-0000-0000-00003C520000}"/>
    <cellStyle name="Remarque 2 3 2 2 5 3 3" xfId="15902" xr:uid="{00000000-0005-0000-0000-00003D520000}"/>
    <cellStyle name="Remarque 2 3 2 2 5 3 4" xfId="39862" xr:uid="{00000000-0005-0000-0000-00003E520000}"/>
    <cellStyle name="Remarque 2 3 2 2 5 4" xfId="6035" xr:uid="{00000000-0005-0000-0000-00003F520000}"/>
    <cellStyle name="Remarque 2 3 2 2 5 4 2" xfId="30049" xr:uid="{00000000-0005-0000-0000-000040520000}"/>
    <cellStyle name="Remarque 2 3 2 2 5 4 2 2" xfId="54009" xr:uid="{00000000-0005-0000-0000-000041520000}"/>
    <cellStyle name="Remarque 2 3 2 2 5 4 3" xfId="17296" xr:uid="{00000000-0005-0000-0000-000042520000}"/>
    <cellStyle name="Remarque 2 3 2 2 5 4 4" xfId="41256" xr:uid="{00000000-0005-0000-0000-000043520000}"/>
    <cellStyle name="Remarque 2 3 2 2 5 5" xfId="7423" xr:uid="{00000000-0005-0000-0000-000044520000}"/>
    <cellStyle name="Remarque 2 3 2 2 5 5 2" xfId="31437" xr:uid="{00000000-0005-0000-0000-000045520000}"/>
    <cellStyle name="Remarque 2 3 2 2 5 5 2 2" xfId="55397" xr:uid="{00000000-0005-0000-0000-000046520000}"/>
    <cellStyle name="Remarque 2 3 2 2 5 5 3" xfId="18684" xr:uid="{00000000-0005-0000-0000-000047520000}"/>
    <cellStyle name="Remarque 2 3 2 2 5 5 4" xfId="42644" xr:uid="{00000000-0005-0000-0000-000048520000}"/>
    <cellStyle name="Remarque 2 3 2 2 5 6" xfId="8808" xr:uid="{00000000-0005-0000-0000-000049520000}"/>
    <cellStyle name="Remarque 2 3 2 2 5 6 2" xfId="32822" xr:uid="{00000000-0005-0000-0000-00004A520000}"/>
    <cellStyle name="Remarque 2 3 2 2 5 6 2 2" xfId="56782" xr:uid="{00000000-0005-0000-0000-00004B520000}"/>
    <cellStyle name="Remarque 2 3 2 2 5 6 3" xfId="20069" xr:uid="{00000000-0005-0000-0000-00004C520000}"/>
    <cellStyle name="Remarque 2 3 2 2 5 6 4" xfId="44029" xr:uid="{00000000-0005-0000-0000-00004D520000}"/>
    <cellStyle name="Remarque 2 3 2 2 5 7" xfId="10265" xr:uid="{00000000-0005-0000-0000-00004E520000}"/>
    <cellStyle name="Remarque 2 3 2 2 5 7 2" xfId="34275" xr:uid="{00000000-0005-0000-0000-00004F520000}"/>
    <cellStyle name="Remarque 2 3 2 2 5 7 2 2" xfId="58235" xr:uid="{00000000-0005-0000-0000-000050520000}"/>
    <cellStyle name="Remarque 2 3 2 2 5 7 3" xfId="21532" xr:uid="{00000000-0005-0000-0000-000051520000}"/>
    <cellStyle name="Remarque 2 3 2 2 5 7 4" xfId="45492" xr:uid="{00000000-0005-0000-0000-000052520000}"/>
    <cellStyle name="Remarque 2 3 2 2 5 8" xfId="11803" xr:uid="{00000000-0005-0000-0000-000053520000}"/>
    <cellStyle name="Remarque 2 3 2 2 5 8 2" xfId="23077" xr:uid="{00000000-0005-0000-0000-000054520000}"/>
    <cellStyle name="Remarque 2 3 2 2 5 8 3" xfId="47037" xr:uid="{00000000-0005-0000-0000-000055520000}"/>
    <cellStyle name="Remarque 2 3 2 2 5 9" xfId="1737" xr:uid="{00000000-0005-0000-0000-000056520000}"/>
    <cellStyle name="Remarque 2 3 2 2 5 9 2" xfId="25751" xr:uid="{00000000-0005-0000-0000-000057520000}"/>
    <cellStyle name="Remarque 2 3 2 2 5 9 3" xfId="49711" xr:uid="{00000000-0005-0000-0000-000058520000}"/>
    <cellStyle name="Remarque 2 3 2 2 6" xfId="643" xr:uid="{00000000-0005-0000-0000-000059520000}"/>
    <cellStyle name="Remarque 2 3 2 2 6 10" xfId="24675" xr:uid="{00000000-0005-0000-0000-00005A520000}"/>
    <cellStyle name="Remarque 2 3 2 2 6 10 2" xfId="48635" xr:uid="{00000000-0005-0000-0000-00005B520000}"/>
    <cellStyle name="Remarque 2 3 2 2 6 11" xfId="35773" xr:uid="{00000000-0005-0000-0000-00005C520000}"/>
    <cellStyle name="Remarque 2 3 2 2 6 11 2" xfId="59733" xr:uid="{00000000-0005-0000-0000-00005D520000}"/>
    <cellStyle name="Remarque 2 3 2 2 6 12" xfId="13340" xr:uid="{00000000-0005-0000-0000-00005E520000}"/>
    <cellStyle name="Remarque 2 3 2 2 6 13" xfId="37300" xr:uid="{00000000-0005-0000-0000-00005F520000}"/>
    <cellStyle name="Remarque 2 3 2 2 6 2" xfId="3549" xr:uid="{00000000-0005-0000-0000-000060520000}"/>
    <cellStyle name="Remarque 2 3 2 2 6 2 2" xfId="27563" xr:uid="{00000000-0005-0000-0000-000061520000}"/>
    <cellStyle name="Remarque 2 3 2 2 6 2 2 2" xfId="51523" xr:uid="{00000000-0005-0000-0000-000062520000}"/>
    <cellStyle name="Remarque 2 3 2 2 6 2 3" xfId="14810" xr:uid="{00000000-0005-0000-0000-000063520000}"/>
    <cellStyle name="Remarque 2 3 2 2 6 2 4" xfId="38770" xr:uid="{00000000-0005-0000-0000-000064520000}"/>
    <cellStyle name="Remarque 2 3 2 2 6 3" xfId="4983" xr:uid="{00000000-0005-0000-0000-000065520000}"/>
    <cellStyle name="Remarque 2 3 2 2 6 3 2" xfId="28997" xr:uid="{00000000-0005-0000-0000-000066520000}"/>
    <cellStyle name="Remarque 2 3 2 2 6 3 2 2" xfId="52957" xr:uid="{00000000-0005-0000-0000-000067520000}"/>
    <cellStyle name="Remarque 2 3 2 2 6 3 3" xfId="16244" xr:uid="{00000000-0005-0000-0000-000068520000}"/>
    <cellStyle name="Remarque 2 3 2 2 6 3 4" xfId="40204" xr:uid="{00000000-0005-0000-0000-000069520000}"/>
    <cellStyle name="Remarque 2 3 2 2 6 4" xfId="6377" xr:uid="{00000000-0005-0000-0000-00006A520000}"/>
    <cellStyle name="Remarque 2 3 2 2 6 4 2" xfId="30391" xr:uid="{00000000-0005-0000-0000-00006B520000}"/>
    <cellStyle name="Remarque 2 3 2 2 6 4 2 2" xfId="54351" xr:uid="{00000000-0005-0000-0000-00006C520000}"/>
    <cellStyle name="Remarque 2 3 2 2 6 4 3" xfId="17638" xr:uid="{00000000-0005-0000-0000-00006D520000}"/>
    <cellStyle name="Remarque 2 3 2 2 6 4 4" xfId="41598" xr:uid="{00000000-0005-0000-0000-00006E520000}"/>
    <cellStyle name="Remarque 2 3 2 2 6 5" xfId="7765" xr:uid="{00000000-0005-0000-0000-00006F520000}"/>
    <cellStyle name="Remarque 2 3 2 2 6 5 2" xfId="31779" xr:uid="{00000000-0005-0000-0000-000070520000}"/>
    <cellStyle name="Remarque 2 3 2 2 6 5 2 2" xfId="55739" xr:uid="{00000000-0005-0000-0000-000071520000}"/>
    <cellStyle name="Remarque 2 3 2 2 6 5 3" xfId="19026" xr:uid="{00000000-0005-0000-0000-000072520000}"/>
    <cellStyle name="Remarque 2 3 2 2 6 5 4" xfId="42986" xr:uid="{00000000-0005-0000-0000-000073520000}"/>
    <cellStyle name="Remarque 2 3 2 2 6 6" xfId="9150" xr:uid="{00000000-0005-0000-0000-000074520000}"/>
    <cellStyle name="Remarque 2 3 2 2 6 6 2" xfId="33164" xr:uid="{00000000-0005-0000-0000-000075520000}"/>
    <cellStyle name="Remarque 2 3 2 2 6 6 2 2" xfId="57124" xr:uid="{00000000-0005-0000-0000-000076520000}"/>
    <cellStyle name="Remarque 2 3 2 2 6 6 3" xfId="20411" xr:uid="{00000000-0005-0000-0000-000077520000}"/>
    <cellStyle name="Remarque 2 3 2 2 6 6 4" xfId="44371" xr:uid="{00000000-0005-0000-0000-000078520000}"/>
    <cellStyle name="Remarque 2 3 2 2 6 7" xfId="10607" xr:uid="{00000000-0005-0000-0000-000079520000}"/>
    <cellStyle name="Remarque 2 3 2 2 6 7 2" xfId="34617" xr:uid="{00000000-0005-0000-0000-00007A520000}"/>
    <cellStyle name="Remarque 2 3 2 2 6 7 2 2" xfId="58577" xr:uid="{00000000-0005-0000-0000-00007B520000}"/>
    <cellStyle name="Remarque 2 3 2 2 6 7 3" xfId="21874" xr:uid="{00000000-0005-0000-0000-00007C520000}"/>
    <cellStyle name="Remarque 2 3 2 2 6 7 4" xfId="45834" xr:uid="{00000000-0005-0000-0000-00007D520000}"/>
    <cellStyle name="Remarque 2 3 2 2 6 8" xfId="12146" xr:uid="{00000000-0005-0000-0000-00007E520000}"/>
    <cellStyle name="Remarque 2 3 2 2 6 8 2" xfId="23429" xr:uid="{00000000-0005-0000-0000-00007F520000}"/>
    <cellStyle name="Remarque 2 3 2 2 6 8 3" xfId="47389" xr:uid="{00000000-0005-0000-0000-000080520000}"/>
    <cellStyle name="Remarque 2 3 2 2 6 9" xfId="2079" xr:uid="{00000000-0005-0000-0000-000081520000}"/>
    <cellStyle name="Remarque 2 3 2 2 6 9 2" xfId="26093" xr:uid="{00000000-0005-0000-0000-000082520000}"/>
    <cellStyle name="Remarque 2 3 2 2 6 9 3" xfId="50053" xr:uid="{00000000-0005-0000-0000-000083520000}"/>
    <cellStyle name="Remarque 2 3 2 2 7" xfId="837" xr:uid="{00000000-0005-0000-0000-000084520000}"/>
    <cellStyle name="Remarque 2 3 2 2 7 10" xfId="24869" xr:uid="{00000000-0005-0000-0000-000085520000}"/>
    <cellStyle name="Remarque 2 3 2 2 7 10 2" xfId="48829" xr:uid="{00000000-0005-0000-0000-000086520000}"/>
    <cellStyle name="Remarque 2 3 2 2 7 11" xfId="35853" xr:uid="{00000000-0005-0000-0000-000087520000}"/>
    <cellStyle name="Remarque 2 3 2 2 7 11 2" xfId="59813" xr:uid="{00000000-0005-0000-0000-000088520000}"/>
    <cellStyle name="Remarque 2 3 2 2 7 12" xfId="13534" xr:uid="{00000000-0005-0000-0000-000089520000}"/>
    <cellStyle name="Remarque 2 3 2 2 7 13" xfId="37494" xr:uid="{00000000-0005-0000-0000-00008A520000}"/>
    <cellStyle name="Remarque 2 3 2 2 7 2" xfId="3743" xr:uid="{00000000-0005-0000-0000-00008B520000}"/>
    <cellStyle name="Remarque 2 3 2 2 7 2 2" xfId="27757" xr:uid="{00000000-0005-0000-0000-00008C520000}"/>
    <cellStyle name="Remarque 2 3 2 2 7 2 2 2" xfId="51717" xr:uid="{00000000-0005-0000-0000-00008D520000}"/>
    <cellStyle name="Remarque 2 3 2 2 7 2 3" xfId="15004" xr:uid="{00000000-0005-0000-0000-00008E520000}"/>
    <cellStyle name="Remarque 2 3 2 2 7 2 4" xfId="38964" xr:uid="{00000000-0005-0000-0000-00008F520000}"/>
    <cellStyle name="Remarque 2 3 2 2 7 3" xfId="5177" xr:uid="{00000000-0005-0000-0000-000090520000}"/>
    <cellStyle name="Remarque 2 3 2 2 7 3 2" xfId="29191" xr:uid="{00000000-0005-0000-0000-000091520000}"/>
    <cellStyle name="Remarque 2 3 2 2 7 3 2 2" xfId="53151" xr:uid="{00000000-0005-0000-0000-000092520000}"/>
    <cellStyle name="Remarque 2 3 2 2 7 3 3" xfId="16438" xr:uid="{00000000-0005-0000-0000-000093520000}"/>
    <cellStyle name="Remarque 2 3 2 2 7 3 4" xfId="40398" xr:uid="{00000000-0005-0000-0000-000094520000}"/>
    <cellStyle name="Remarque 2 3 2 2 7 4" xfId="6571" xr:uid="{00000000-0005-0000-0000-000095520000}"/>
    <cellStyle name="Remarque 2 3 2 2 7 4 2" xfId="30585" xr:uid="{00000000-0005-0000-0000-000096520000}"/>
    <cellStyle name="Remarque 2 3 2 2 7 4 2 2" xfId="54545" xr:uid="{00000000-0005-0000-0000-000097520000}"/>
    <cellStyle name="Remarque 2 3 2 2 7 4 3" xfId="17832" xr:uid="{00000000-0005-0000-0000-000098520000}"/>
    <cellStyle name="Remarque 2 3 2 2 7 4 4" xfId="41792" xr:uid="{00000000-0005-0000-0000-000099520000}"/>
    <cellStyle name="Remarque 2 3 2 2 7 5" xfId="7959" xr:uid="{00000000-0005-0000-0000-00009A520000}"/>
    <cellStyle name="Remarque 2 3 2 2 7 5 2" xfId="31973" xr:uid="{00000000-0005-0000-0000-00009B520000}"/>
    <cellStyle name="Remarque 2 3 2 2 7 5 2 2" xfId="55933" xr:uid="{00000000-0005-0000-0000-00009C520000}"/>
    <cellStyle name="Remarque 2 3 2 2 7 5 3" xfId="19220" xr:uid="{00000000-0005-0000-0000-00009D520000}"/>
    <cellStyle name="Remarque 2 3 2 2 7 5 4" xfId="43180" xr:uid="{00000000-0005-0000-0000-00009E520000}"/>
    <cellStyle name="Remarque 2 3 2 2 7 6" xfId="9344" xr:uid="{00000000-0005-0000-0000-00009F520000}"/>
    <cellStyle name="Remarque 2 3 2 2 7 6 2" xfId="33358" xr:uid="{00000000-0005-0000-0000-0000A0520000}"/>
    <cellStyle name="Remarque 2 3 2 2 7 6 2 2" xfId="57318" xr:uid="{00000000-0005-0000-0000-0000A1520000}"/>
    <cellStyle name="Remarque 2 3 2 2 7 6 3" xfId="20605" xr:uid="{00000000-0005-0000-0000-0000A2520000}"/>
    <cellStyle name="Remarque 2 3 2 2 7 6 4" xfId="44565" xr:uid="{00000000-0005-0000-0000-0000A3520000}"/>
    <cellStyle name="Remarque 2 3 2 2 7 7" xfId="10801" xr:uid="{00000000-0005-0000-0000-0000A4520000}"/>
    <cellStyle name="Remarque 2 3 2 2 7 7 2" xfId="34811" xr:uid="{00000000-0005-0000-0000-0000A5520000}"/>
    <cellStyle name="Remarque 2 3 2 2 7 7 2 2" xfId="58771" xr:uid="{00000000-0005-0000-0000-0000A6520000}"/>
    <cellStyle name="Remarque 2 3 2 2 7 7 3" xfId="22068" xr:uid="{00000000-0005-0000-0000-0000A7520000}"/>
    <cellStyle name="Remarque 2 3 2 2 7 7 4" xfId="46028" xr:uid="{00000000-0005-0000-0000-0000A8520000}"/>
    <cellStyle name="Remarque 2 3 2 2 7 8" xfId="11813" xr:uid="{00000000-0005-0000-0000-0000A9520000}"/>
    <cellStyle name="Remarque 2 3 2 2 7 8 2" xfId="23087" xr:uid="{00000000-0005-0000-0000-0000AA520000}"/>
    <cellStyle name="Remarque 2 3 2 2 7 8 3" xfId="47047" xr:uid="{00000000-0005-0000-0000-0000AB520000}"/>
    <cellStyle name="Remarque 2 3 2 2 7 9" xfId="2273" xr:uid="{00000000-0005-0000-0000-0000AC520000}"/>
    <cellStyle name="Remarque 2 3 2 2 7 9 2" xfId="26287" xr:uid="{00000000-0005-0000-0000-0000AD520000}"/>
    <cellStyle name="Remarque 2 3 2 2 7 9 3" xfId="50247" xr:uid="{00000000-0005-0000-0000-0000AE520000}"/>
    <cellStyle name="Remarque 2 3 2 2 8" xfId="1030" xr:uid="{00000000-0005-0000-0000-0000AF520000}"/>
    <cellStyle name="Remarque 2 3 2 2 8 10" xfId="25062" xr:uid="{00000000-0005-0000-0000-0000B0520000}"/>
    <cellStyle name="Remarque 2 3 2 2 8 10 2" xfId="49022" xr:uid="{00000000-0005-0000-0000-0000B1520000}"/>
    <cellStyle name="Remarque 2 3 2 2 8 11" xfId="36483" xr:uid="{00000000-0005-0000-0000-0000B2520000}"/>
    <cellStyle name="Remarque 2 3 2 2 8 11 2" xfId="60443" xr:uid="{00000000-0005-0000-0000-0000B3520000}"/>
    <cellStyle name="Remarque 2 3 2 2 8 12" xfId="13727" xr:uid="{00000000-0005-0000-0000-0000B4520000}"/>
    <cellStyle name="Remarque 2 3 2 2 8 13" xfId="37687" xr:uid="{00000000-0005-0000-0000-0000B5520000}"/>
    <cellStyle name="Remarque 2 3 2 2 8 2" xfId="3936" xr:uid="{00000000-0005-0000-0000-0000B6520000}"/>
    <cellStyle name="Remarque 2 3 2 2 8 2 2" xfId="27950" xr:uid="{00000000-0005-0000-0000-0000B7520000}"/>
    <cellStyle name="Remarque 2 3 2 2 8 2 2 2" xfId="51910" xr:uid="{00000000-0005-0000-0000-0000B8520000}"/>
    <cellStyle name="Remarque 2 3 2 2 8 2 3" xfId="15197" xr:uid="{00000000-0005-0000-0000-0000B9520000}"/>
    <cellStyle name="Remarque 2 3 2 2 8 2 4" xfId="39157" xr:uid="{00000000-0005-0000-0000-0000BA520000}"/>
    <cellStyle name="Remarque 2 3 2 2 8 3" xfId="5370" xr:uid="{00000000-0005-0000-0000-0000BB520000}"/>
    <cellStyle name="Remarque 2 3 2 2 8 3 2" xfId="29384" xr:uid="{00000000-0005-0000-0000-0000BC520000}"/>
    <cellStyle name="Remarque 2 3 2 2 8 3 2 2" xfId="53344" xr:uid="{00000000-0005-0000-0000-0000BD520000}"/>
    <cellStyle name="Remarque 2 3 2 2 8 3 3" xfId="16631" xr:uid="{00000000-0005-0000-0000-0000BE520000}"/>
    <cellStyle name="Remarque 2 3 2 2 8 3 4" xfId="40591" xr:uid="{00000000-0005-0000-0000-0000BF520000}"/>
    <cellStyle name="Remarque 2 3 2 2 8 4" xfId="6764" xr:uid="{00000000-0005-0000-0000-0000C0520000}"/>
    <cellStyle name="Remarque 2 3 2 2 8 4 2" xfId="30778" xr:uid="{00000000-0005-0000-0000-0000C1520000}"/>
    <cellStyle name="Remarque 2 3 2 2 8 4 2 2" xfId="54738" xr:uid="{00000000-0005-0000-0000-0000C2520000}"/>
    <cellStyle name="Remarque 2 3 2 2 8 4 3" xfId="18025" xr:uid="{00000000-0005-0000-0000-0000C3520000}"/>
    <cellStyle name="Remarque 2 3 2 2 8 4 4" xfId="41985" xr:uid="{00000000-0005-0000-0000-0000C4520000}"/>
    <cellStyle name="Remarque 2 3 2 2 8 5" xfId="8152" xr:uid="{00000000-0005-0000-0000-0000C5520000}"/>
    <cellStyle name="Remarque 2 3 2 2 8 5 2" xfId="32166" xr:uid="{00000000-0005-0000-0000-0000C6520000}"/>
    <cellStyle name="Remarque 2 3 2 2 8 5 2 2" xfId="56126" xr:uid="{00000000-0005-0000-0000-0000C7520000}"/>
    <cellStyle name="Remarque 2 3 2 2 8 5 3" xfId="19413" xr:uid="{00000000-0005-0000-0000-0000C8520000}"/>
    <cellStyle name="Remarque 2 3 2 2 8 5 4" xfId="43373" xr:uid="{00000000-0005-0000-0000-0000C9520000}"/>
    <cellStyle name="Remarque 2 3 2 2 8 6" xfId="9537" xr:uid="{00000000-0005-0000-0000-0000CA520000}"/>
    <cellStyle name="Remarque 2 3 2 2 8 6 2" xfId="33551" xr:uid="{00000000-0005-0000-0000-0000CB520000}"/>
    <cellStyle name="Remarque 2 3 2 2 8 6 2 2" xfId="57511" xr:uid="{00000000-0005-0000-0000-0000CC520000}"/>
    <cellStyle name="Remarque 2 3 2 2 8 6 3" xfId="20798" xr:uid="{00000000-0005-0000-0000-0000CD520000}"/>
    <cellStyle name="Remarque 2 3 2 2 8 6 4" xfId="44758" xr:uid="{00000000-0005-0000-0000-0000CE520000}"/>
    <cellStyle name="Remarque 2 3 2 2 8 7" xfId="10994" xr:uid="{00000000-0005-0000-0000-0000CF520000}"/>
    <cellStyle name="Remarque 2 3 2 2 8 7 2" xfId="35004" xr:uid="{00000000-0005-0000-0000-0000D0520000}"/>
    <cellStyle name="Remarque 2 3 2 2 8 7 2 2" xfId="58964" xr:uid="{00000000-0005-0000-0000-0000D1520000}"/>
    <cellStyle name="Remarque 2 3 2 2 8 7 3" xfId="22261" xr:uid="{00000000-0005-0000-0000-0000D2520000}"/>
    <cellStyle name="Remarque 2 3 2 2 8 7 4" xfId="46221" xr:uid="{00000000-0005-0000-0000-0000D3520000}"/>
    <cellStyle name="Remarque 2 3 2 2 8 8" xfId="12551" xr:uid="{00000000-0005-0000-0000-0000D4520000}"/>
    <cellStyle name="Remarque 2 3 2 2 8 8 2" xfId="23850" xr:uid="{00000000-0005-0000-0000-0000D5520000}"/>
    <cellStyle name="Remarque 2 3 2 2 8 8 3" xfId="47810" xr:uid="{00000000-0005-0000-0000-0000D6520000}"/>
    <cellStyle name="Remarque 2 3 2 2 8 9" xfId="2466" xr:uid="{00000000-0005-0000-0000-0000D7520000}"/>
    <cellStyle name="Remarque 2 3 2 2 8 9 2" xfId="26480" xr:uid="{00000000-0005-0000-0000-0000D8520000}"/>
    <cellStyle name="Remarque 2 3 2 2 8 9 3" xfId="50440" xr:uid="{00000000-0005-0000-0000-0000D9520000}"/>
    <cellStyle name="Remarque 2 3 2 2 9" xfId="1216" xr:uid="{00000000-0005-0000-0000-0000DA520000}"/>
    <cellStyle name="Remarque 2 3 2 2 9 10" xfId="25248" xr:uid="{00000000-0005-0000-0000-0000DB520000}"/>
    <cellStyle name="Remarque 2 3 2 2 9 10 2" xfId="49208" xr:uid="{00000000-0005-0000-0000-0000DC520000}"/>
    <cellStyle name="Remarque 2 3 2 2 9 11" xfId="36776" xr:uid="{00000000-0005-0000-0000-0000DD520000}"/>
    <cellStyle name="Remarque 2 3 2 2 9 11 2" xfId="60736" xr:uid="{00000000-0005-0000-0000-0000DE520000}"/>
    <cellStyle name="Remarque 2 3 2 2 9 12" xfId="13913" xr:uid="{00000000-0005-0000-0000-0000DF520000}"/>
    <cellStyle name="Remarque 2 3 2 2 9 13" xfId="37873" xr:uid="{00000000-0005-0000-0000-0000E0520000}"/>
    <cellStyle name="Remarque 2 3 2 2 9 2" xfId="4122" xr:uid="{00000000-0005-0000-0000-0000E1520000}"/>
    <cellStyle name="Remarque 2 3 2 2 9 2 2" xfId="28136" xr:uid="{00000000-0005-0000-0000-0000E2520000}"/>
    <cellStyle name="Remarque 2 3 2 2 9 2 2 2" xfId="52096" xr:uid="{00000000-0005-0000-0000-0000E3520000}"/>
    <cellStyle name="Remarque 2 3 2 2 9 2 3" xfId="15383" xr:uid="{00000000-0005-0000-0000-0000E4520000}"/>
    <cellStyle name="Remarque 2 3 2 2 9 2 4" xfId="39343" xr:uid="{00000000-0005-0000-0000-0000E5520000}"/>
    <cellStyle name="Remarque 2 3 2 2 9 3" xfId="5556" xr:uid="{00000000-0005-0000-0000-0000E6520000}"/>
    <cellStyle name="Remarque 2 3 2 2 9 3 2" xfId="29570" xr:uid="{00000000-0005-0000-0000-0000E7520000}"/>
    <cellStyle name="Remarque 2 3 2 2 9 3 2 2" xfId="53530" xr:uid="{00000000-0005-0000-0000-0000E8520000}"/>
    <cellStyle name="Remarque 2 3 2 2 9 3 3" xfId="16817" xr:uid="{00000000-0005-0000-0000-0000E9520000}"/>
    <cellStyle name="Remarque 2 3 2 2 9 3 4" xfId="40777" xr:uid="{00000000-0005-0000-0000-0000EA520000}"/>
    <cellStyle name="Remarque 2 3 2 2 9 4" xfId="6950" xr:uid="{00000000-0005-0000-0000-0000EB520000}"/>
    <cellStyle name="Remarque 2 3 2 2 9 4 2" xfId="30964" xr:uid="{00000000-0005-0000-0000-0000EC520000}"/>
    <cellStyle name="Remarque 2 3 2 2 9 4 2 2" xfId="54924" xr:uid="{00000000-0005-0000-0000-0000ED520000}"/>
    <cellStyle name="Remarque 2 3 2 2 9 4 3" xfId="18211" xr:uid="{00000000-0005-0000-0000-0000EE520000}"/>
    <cellStyle name="Remarque 2 3 2 2 9 4 4" xfId="42171" xr:uid="{00000000-0005-0000-0000-0000EF520000}"/>
    <cellStyle name="Remarque 2 3 2 2 9 5" xfId="8338" xr:uid="{00000000-0005-0000-0000-0000F0520000}"/>
    <cellStyle name="Remarque 2 3 2 2 9 5 2" xfId="32352" xr:uid="{00000000-0005-0000-0000-0000F1520000}"/>
    <cellStyle name="Remarque 2 3 2 2 9 5 2 2" xfId="56312" xr:uid="{00000000-0005-0000-0000-0000F2520000}"/>
    <cellStyle name="Remarque 2 3 2 2 9 5 3" xfId="19599" xr:uid="{00000000-0005-0000-0000-0000F3520000}"/>
    <cellStyle name="Remarque 2 3 2 2 9 5 4" xfId="43559" xr:uid="{00000000-0005-0000-0000-0000F4520000}"/>
    <cellStyle name="Remarque 2 3 2 2 9 6" xfId="9723" xr:uid="{00000000-0005-0000-0000-0000F5520000}"/>
    <cellStyle name="Remarque 2 3 2 2 9 6 2" xfId="33737" xr:uid="{00000000-0005-0000-0000-0000F6520000}"/>
    <cellStyle name="Remarque 2 3 2 2 9 6 2 2" xfId="57697" xr:uid="{00000000-0005-0000-0000-0000F7520000}"/>
    <cellStyle name="Remarque 2 3 2 2 9 6 3" xfId="20984" xr:uid="{00000000-0005-0000-0000-0000F8520000}"/>
    <cellStyle name="Remarque 2 3 2 2 9 6 4" xfId="44944" xr:uid="{00000000-0005-0000-0000-0000F9520000}"/>
    <cellStyle name="Remarque 2 3 2 2 9 7" xfId="11180" xr:uid="{00000000-0005-0000-0000-0000FA520000}"/>
    <cellStyle name="Remarque 2 3 2 2 9 7 2" xfId="35190" xr:uid="{00000000-0005-0000-0000-0000FB520000}"/>
    <cellStyle name="Remarque 2 3 2 2 9 7 2 2" xfId="59150" xr:uid="{00000000-0005-0000-0000-0000FC520000}"/>
    <cellStyle name="Remarque 2 3 2 2 9 7 3" xfId="22447" xr:uid="{00000000-0005-0000-0000-0000FD520000}"/>
    <cellStyle name="Remarque 2 3 2 2 9 7 4" xfId="46407" xr:uid="{00000000-0005-0000-0000-0000FE520000}"/>
    <cellStyle name="Remarque 2 3 2 2 9 8" xfId="11987" xr:uid="{00000000-0005-0000-0000-0000FF520000}"/>
    <cellStyle name="Remarque 2 3 2 2 9 8 2" xfId="23266" xr:uid="{00000000-0005-0000-0000-000000530000}"/>
    <cellStyle name="Remarque 2 3 2 2 9 8 3" xfId="47226" xr:uid="{00000000-0005-0000-0000-000001530000}"/>
    <cellStyle name="Remarque 2 3 2 2 9 9" xfId="2652" xr:uid="{00000000-0005-0000-0000-000002530000}"/>
    <cellStyle name="Remarque 2 3 2 2 9 9 2" xfId="26666" xr:uid="{00000000-0005-0000-0000-000003530000}"/>
    <cellStyle name="Remarque 2 3 2 2 9 9 3" xfId="50626" xr:uid="{00000000-0005-0000-0000-000004530000}"/>
    <cellStyle name="Remarque 2 3 2 3" xfId="94" xr:uid="{00000000-0005-0000-0000-000005530000}"/>
    <cellStyle name="Remarque 2 3 2 3 10" xfId="36895" xr:uid="{00000000-0005-0000-0000-000006530000}"/>
    <cellStyle name="Remarque 2 3 2 3 11" xfId="238" xr:uid="{00000000-0005-0000-0000-000007530000}"/>
    <cellStyle name="Remarque 2 3 2 3 2" xfId="472" xr:uid="{00000000-0005-0000-0000-000008530000}"/>
    <cellStyle name="Remarque 2 3 2 3 2 10" xfId="6206" xr:uid="{00000000-0005-0000-0000-000009530000}"/>
    <cellStyle name="Remarque 2 3 2 3 2 10 2" xfId="30220" xr:uid="{00000000-0005-0000-0000-00000A530000}"/>
    <cellStyle name="Remarque 2 3 2 3 2 10 2 2" xfId="54180" xr:uid="{00000000-0005-0000-0000-00000B530000}"/>
    <cellStyle name="Remarque 2 3 2 3 2 10 3" xfId="17467" xr:uid="{00000000-0005-0000-0000-00000C530000}"/>
    <cellStyle name="Remarque 2 3 2 3 2 10 4" xfId="41427" xr:uid="{00000000-0005-0000-0000-00000D530000}"/>
    <cellStyle name="Remarque 2 3 2 3 2 11" xfId="7594" xr:uid="{00000000-0005-0000-0000-00000E530000}"/>
    <cellStyle name="Remarque 2 3 2 3 2 11 2" xfId="31608" xr:uid="{00000000-0005-0000-0000-00000F530000}"/>
    <cellStyle name="Remarque 2 3 2 3 2 11 2 2" xfId="55568" xr:uid="{00000000-0005-0000-0000-000010530000}"/>
    <cellStyle name="Remarque 2 3 2 3 2 11 3" xfId="18855" xr:uid="{00000000-0005-0000-0000-000011530000}"/>
    <cellStyle name="Remarque 2 3 2 3 2 11 4" xfId="42815" xr:uid="{00000000-0005-0000-0000-000012530000}"/>
    <cellStyle name="Remarque 2 3 2 3 2 12" xfId="8979" xr:uid="{00000000-0005-0000-0000-000013530000}"/>
    <cellStyle name="Remarque 2 3 2 3 2 12 2" xfId="32993" xr:uid="{00000000-0005-0000-0000-000014530000}"/>
    <cellStyle name="Remarque 2 3 2 3 2 12 2 2" xfId="56953" xr:uid="{00000000-0005-0000-0000-000015530000}"/>
    <cellStyle name="Remarque 2 3 2 3 2 12 3" xfId="20240" xr:uid="{00000000-0005-0000-0000-000016530000}"/>
    <cellStyle name="Remarque 2 3 2 3 2 12 4" xfId="44200" xr:uid="{00000000-0005-0000-0000-000017530000}"/>
    <cellStyle name="Remarque 2 3 2 3 2 13" xfId="10436" xr:uid="{00000000-0005-0000-0000-000018530000}"/>
    <cellStyle name="Remarque 2 3 2 3 2 13 2" xfId="34446" xr:uid="{00000000-0005-0000-0000-000019530000}"/>
    <cellStyle name="Remarque 2 3 2 3 2 13 2 2" xfId="58406" xr:uid="{00000000-0005-0000-0000-00001A530000}"/>
    <cellStyle name="Remarque 2 3 2 3 2 13 3" xfId="21703" xr:uid="{00000000-0005-0000-0000-00001B530000}"/>
    <cellStyle name="Remarque 2 3 2 3 2 13 4" xfId="45663" xr:uid="{00000000-0005-0000-0000-00001C530000}"/>
    <cellStyle name="Remarque 2 3 2 3 2 14" xfId="11944" xr:uid="{00000000-0005-0000-0000-00001D530000}"/>
    <cellStyle name="Remarque 2 3 2 3 2 14 2" xfId="23222" xr:uid="{00000000-0005-0000-0000-00001E530000}"/>
    <cellStyle name="Remarque 2 3 2 3 2 14 3" xfId="47182" xr:uid="{00000000-0005-0000-0000-00001F530000}"/>
    <cellStyle name="Remarque 2 3 2 3 2 15" xfId="1908" xr:uid="{00000000-0005-0000-0000-000020530000}"/>
    <cellStyle name="Remarque 2 3 2 3 2 15 2" xfId="25922" xr:uid="{00000000-0005-0000-0000-000021530000}"/>
    <cellStyle name="Remarque 2 3 2 3 2 15 3" xfId="49882" xr:uid="{00000000-0005-0000-0000-000022530000}"/>
    <cellStyle name="Remarque 2 3 2 3 2 16" xfId="24504" xr:uid="{00000000-0005-0000-0000-000023530000}"/>
    <cellStyle name="Remarque 2 3 2 3 2 16 2" xfId="48464" xr:uid="{00000000-0005-0000-0000-000024530000}"/>
    <cellStyle name="Remarque 2 3 2 3 2 17" xfId="35762" xr:uid="{00000000-0005-0000-0000-000025530000}"/>
    <cellStyle name="Remarque 2 3 2 3 2 17 2" xfId="59722" xr:uid="{00000000-0005-0000-0000-000026530000}"/>
    <cellStyle name="Remarque 2 3 2 3 2 18" xfId="13169" xr:uid="{00000000-0005-0000-0000-000027530000}"/>
    <cellStyle name="Remarque 2 3 2 3 2 19" xfId="37129" xr:uid="{00000000-0005-0000-0000-000028530000}"/>
    <cellStyle name="Remarque 2 3 2 3 2 2" xfId="608" xr:uid="{00000000-0005-0000-0000-000029530000}"/>
    <cellStyle name="Remarque 2 3 2 3 2 2 10" xfId="24640" xr:uid="{00000000-0005-0000-0000-00002A530000}"/>
    <cellStyle name="Remarque 2 3 2 3 2 2 10 2" xfId="48600" xr:uid="{00000000-0005-0000-0000-00002B530000}"/>
    <cellStyle name="Remarque 2 3 2 3 2 2 11" xfId="35582" xr:uid="{00000000-0005-0000-0000-00002C530000}"/>
    <cellStyle name="Remarque 2 3 2 3 2 2 11 2" xfId="59542" xr:uid="{00000000-0005-0000-0000-00002D530000}"/>
    <cellStyle name="Remarque 2 3 2 3 2 2 12" xfId="13305" xr:uid="{00000000-0005-0000-0000-00002E530000}"/>
    <cellStyle name="Remarque 2 3 2 3 2 2 13" xfId="37265" xr:uid="{00000000-0005-0000-0000-00002F530000}"/>
    <cellStyle name="Remarque 2 3 2 3 2 2 2" xfId="3514" xr:uid="{00000000-0005-0000-0000-000030530000}"/>
    <cellStyle name="Remarque 2 3 2 3 2 2 2 2" xfId="27528" xr:uid="{00000000-0005-0000-0000-000031530000}"/>
    <cellStyle name="Remarque 2 3 2 3 2 2 2 2 2" xfId="51488" xr:uid="{00000000-0005-0000-0000-000032530000}"/>
    <cellStyle name="Remarque 2 3 2 3 2 2 2 3" xfId="14775" xr:uid="{00000000-0005-0000-0000-000033530000}"/>
    <cellStyle name="Remarque 2 3 2 3 2 2 2 4" xfId="38735" xr:uid="{00000000-0005-0000-0000-000034530000}"/>
    <cellStyle name="Remarque 2 3 2 3 2 2 3" xfId="4948" xr:uid="{00000000-0005-0000-0000-000035530000}"/>
    <cellStyle name="Remarque 2 3 2 3 2 2 3 2" xfId="28962" xr:uid="{00000000-0005-0000-0000-000036530000}"/>
    <cellStyle name="Remarque 2 3 2 3 2 2 3 2 2" xfId="52922" xr:uid="{00000000-0005-0000-0000-000037530000}"/>
    <cellStyle name="Remarque 2 3 2 3 2 2 3 3" xfId="16209" xr:uid="{00000000-0005-0000-0000-000038530000}"/>
    <cellStyle name="Remarque 2 3 2 3 2 2 3 4" xfId="40169" xr:uid="{00000000-0005-0000-0000-000039530000}"/>
    <cellStyle name="Remarque 2 3 2 3 2 2 4" xfId="6342" xr:uid="{00000000-0005-0000-0000-00003A530000}"/>
    <cellStyle name="Remarque 2 3 2 3 2 2 4 2" xfId="30356" xr:uid="{00000000-0005-0000-0000-00003B530000}"/>
    <cellStyle name="Remarque 2 3 2 3 2 2 4 2 2" xfId="54316" xr:uid="{00000000-0005-0000-0000-00003C530000}"/>
    <cellStyle name="Remarque 2 3 2 3 2 2 4 3" xfId="17603" xr:uid="{00000000-0005-0000-0000-00003D530000}"/>
    <cellStyle name="Remarque 2 3 2 3 2 2 4 4" xfId="41563" xr:uid="{00000000-0005-0000-0000-00003E530000}"/>
    <cellStyle name="Remarque 2 3 2 3 2 2 5" xfId="7730" xr:uid="{00000000-0005-0000-0000-00003F530000}"/>
    <cellStyle name="Remarque 2 3 2 3 2 2 5 2" xfId="31744" xr:uid="{00000000-0005-0000-0000-000040530000}"/>
    <cellStyle name="Remarque 2 3 2 3 2 2 5 2 2" xfId="55704" xr:uid="{00000000-0005-0000-0000-000041530000}"/>
    <cellStyle name="Remarque 2 3 2 3 2 2 5 3" xfId="18991" xr:uid="{00000000-0005-0000-0000-000042530000}"/>
    <cellStyle name="Remarque 2 3 2 3 2 2 5 4" xfId="42951" xr:uid="{00000000-0005-0000-0000-000043530000}"/>
    <cellStyle name="Remarque 2 3 2 3 2 2 6" xfId="9115" xr:uid="{00000000-0005-0000-0000-000044530000}"/>
    <cellStyle name="Remarque 2 3 2 3 2 2 6 2" xfId="33129" xr:uid="{00000000-0005-0000-0000-000045530000}"/>
    <cellStyle name="Remarque 2 3 2 3 2 2 6 2 2" xfId="57089" xr:uid="{00000000-0005-0000-0000-000046530000}"/>
    <cellStyle name="Remarque 2 3 2 3 2 2 6 3" xfId="20376" xr:uid="{00000000-0005-0000-0000-000047530000}"/>
    <cellStyle name="Remarque 2 3 2 3 2 2 6 4" xfId="44336" xr:uid="{00000000-0005-0000-0000-000048530000}"/>
    <cellStyle name="Remarque 2 3 2 3 2 2 7" xfId="10572" xr:uid="{00000000-0005-0000-0000-000049530000}"/>
    <cellStyle name="Remarque 2 3 2 3 2 2 7 2" xfId="34582" xr:uid="{00000000-0005-0000-0000-00004A530000}"/>
    <cellStyle name="Remarque 2 3 2 3 2 2 7 2 2" xfId="58542" xr:uid="{00000000-0005-0000-0000-00004B530000}"/>
    <cellStyle name="Remarque 2 3 2 3 2 2 7 3" xfId="21839" xr:uid="{00000000-0005-0000-0000-00004C530000}"/>
    <cellStyle name="Remarque 2 3 2 3 2 2 7 4" xfId="45799" xr:uid="{00000000-0005-0000-0000-00004D530000}"/>
    <cellStyle name="Remarque 2 3 2 3 2 2 8" xfId="12787" xr:uid="{00000000-0005-0000-0000-00004E530000}"/>
    <cellStyle name="Remarque 2 3 2 3 2 2 8 2" xfId="24096" xr:uid="{00000000-0005-0000-0000-00004F530000}"/>
    <cellStyle name="Remarque 2 3 2 3 2 2 8 3" xfId="48056" xr:uid="{00000000-0005-0000-0000-000050530000}"/>
    <cellStyle name="Remarque 2 3 2 3 2 2 9" xfId="2044" xr:uid="{00000000-0005-0000-0000-000051530000}"/>
    <cellStyle name="Remarque 2 3 2 3 2 2 9 2" xfId="26058" xr:uid="{00000000-0005-0000-0000-000052530000}"/>
    <cellStyle name="Remarque 2 3 2 3 2 2 9 3" xfId="50018" xr:uid="{00000000-0005-0000-0000-000053530000}"/>
    <cellStyle name="Remarque 2 3 2 3 2 3" xfId="800" xr:uid="{00000000-0005-0000-0000-000054530000}"/>
    <cellStyle name="Remarque 2 3 2 3 2 3 10" xfId="24832" xr:uid="{00000000-0005-0000-0000-000055530000}"/>
    <cellStyle name="Remarque 2 3 2 3 2 3 10 2" xfId="48792" xr:uid="{00000000-0005-0000-0000-000056530000}"/>
    <cellStyle name="Remarque 2 3 2 3 2 3 11" xfId="36028" xr:uid="{00000000-0005-0000-0000-000057530000}"/>
    <cellStyle name="Remarque 2 3 2 3 2 3 11 2" xfId="59988" xr:uid="{00000000-0005-0000-0000-000058530000}"/>
    <cellStyle name="Remarque 2 3 2 3 2 3 12" xfId="13497" xr:uid="{00000000-0005-0000-0000-000059530000}"/>
    <cellStyle name="Remarque 2 3 2 3 2 3 13" xfId="37457" xr:uid="{00000000-0005-0000-0000-00005A530000}"/>
    <cellStyle name="Remarque 2 3 2 3 2 3 2" xfId="3706" xr:uid="{00000000-0005-0000-0000-00005B530000}"/>
    <cellStyle name="Remarque 2 3 2 3 2 3 2 2" xfId="27720" xr:uid="{00000000-0005-0000-0000-00005C530000}"/>
    <cellStyle name="Remarque 2 3 2 3 2 3 2 2 2" xfId="51680" xr:uid="{00000000-0005-0000-0000-00005D530000}"/>
    <cellStyle name="Remarque 2 3 2 3 2 3 2 3" xfId="14967" xr:uid="{00000000-0005-0000-0000-00005E530000}"/>
    <cellStyle name="Remarque 2 3 2 3 2 3 2 4" xfId="38927" xr:uid="{00000000-0005-0000-0000-00005F530000}"/>
    <cellStyle name="Remarque 2 3 2 3 2 3 3" xfId="5140" xr:uid="{00000000-0005-0000-0000-000060530000}"/>
    <cellStyle name="Remarque 2 3 2 3 2 3 3 2" xfId="29154" xr:uid="{00000000-0005-0000-0000-000061530000}"/>
    <cellStyle name="Remarque 2 3 2 3 2 3 3 2 2" xfId="53114" xr:uid="{00000000-0005-0000-0000-000062530000}"/>
    <cellStyle name="Remarque 2 3 2 3 2 3 3 3" xfId="16401" xr:uid="{00000000-0005-0000-0000-000063530000}"/>
    <cellStyle name="Remarque 2 3 2 3 2 3 3 4" xfId="40361" xr:uid="{00000000-0005-0000-0000-000064530000}"/>
    <cellStyle name="Remarque 2 3 2 3 2 3 4" xfId="6534" xr:uid="{00000000-0005-0000-0000-000065530000}"/>
    <cellStyle name="Remarque 2 3 2 3 2 3 4 2" xfId="30548" xr:uid="{00000000-0005-0000-0000-000066530000}"/>
    <cellStyle name="Remarque 2 3 2 3 2 3 4 2 2" xfId="54508" xr:uid="{00000000-0005-0000-0000-000067530000}"/>
    <cellStyle name="Remarque 2 3 2 3 2 3 4 3" xfId="17795" xr:uid="{00000000-0005-0000-0000-000068530000}"/>
    <cellStyle name="Remarque 2 3 2 3 2 3 4 4" xfId="41755" xr:uid="{00000000-0005-0000-0000-000069530000}"/>
    <cellStyle name="Remarque 2 3 2 3 2 3 5" xfId="7922" xr:uid="{00000000-0005-0000-0000-00006A530000}"/>
    <cellStyle name="Remarque 2 3 2 3 2 3 5 2" xfId="31936" xr:uid="{00000000-0005-0000-0000-00006B530000}"/>
    <cellStyle name="Remarque 2 3 2 3 2 3 5 2 2" xfId="55896" xr:uid="{00000000-0005-0000-0000-00006C530000}"/>
    <cellStyle name="Remarque 2 3 2 3 2 3 5 3" xfId="19183" xr:uid="{00000000-0005-0000-0000-00006D530000}"/>
    <cellStyle name="Remarque 2 3 2 3 2 3 5 4" xfId="43143" xr:uid="{00000000-0005-0000-0000-00006E530000}"/>
    <cellStyle name="Remarque 2 3 2 3 2 3 6" xfId="9307" xr:uid="{00000000-0005-0000-0000-00006F530000}"/>
    <cellStyle name="Remarque 2 3 2 3 2 3 6 2" xfId="33321" xr:uid="{00000000-0005-0000-0000-000070530000}"/>
    <cellStyle name="Remarque 2 3 2 3 2 3 6 2 2" xfId="57281" xr:uid="{00000000-0005-0000-0000-000071530000}"/>
    <cellStyle name="Remarque 2 3 2 3 2 3 6 3" xfId="20568" xr:uid="{00000000-0005-0000-0000-000072530000}"/>
    <cellStyle name="Remarque 2 3 2 3 2 3 6 4" xfId="44528" xr:uid="{00000000-0005-0000-0000-000073530000}"/>
    <cellStyle name="Remarque 2 3 2 3 2 3 7" xfId="10764" xr:uid="{00000000-0005-0000-0000-000074530000}"/>
    <cellStyle name="Remarque 2 3 2 3 2 3 7 2" xfId="34774" xr:uid="{00000000-0005-0000-0000-000075530000}"/>
    <cellStyle name="Remarque 2 3 2 3 2 3 7 2 2" xfId="58734" xr:uid="{00000000-0005-0000-0000-000076530000}"/>
    <cellStyle name="Remarque 2 3 2 3 2 3 7 3" xfId="22031" xr:uid="{00000000-0005-0000-0000-000077530000}"/>
    <cellStyle name="Remarque 2 3 2 3 2 3 7 4" xfId="45991" xr:uid="{00000000-0005-0000-0000-000078530000}"/>
    <cellStyle name="Remarque 2 3 2 3 2 3 8" xfId="11589" xr:uid="{00000000-0005-0000-0000-000079530000}"/>
    <cellStyle name="Remarque 2 3 2 3 2 3 8 2" xfId="22856" xr:uid="{00000000-0005-0000-0000-00007A530000}"/>
    <cellStyle name="Remarque 2 3 2 3 2 3 8 3" xfId="46816" xr:uid="{00000000-0005-0000-0000-00007B530000}"/>
    <cellStyle name="Remarque 2 3 2 3 2 3 9" xfId="2236" xr:uid="{00000000-0005-0000-0000-00007C530000}"/>
    <cellStyle name="Remarque 2 3 2 3 2 3 9 2" xfId="26250" xr:uid="{00000000-0005-0000-0000-00007D530000}"/>
    <cellStyle name="Remarque 2 3 2 3 2 3 9 3" xfId="50210" xr:uid="{00000000-0005-0000-0000-00007E530000}"/>
    <cellStyle name="Remarque 2 3 2 3 2 4" xfId="994" xr:uid="{00000000-0005-0000-0000-00007F530000}"/>
    <cellStyle name="Remarque 2 3 2 3 2 4 10" xfId="25026" xr:uid="{00000000-0005-0000-0000-000080530000}"/>
    <cellStyle name="Remarque 2 3 2 3 2 4 10 2" xfId="48986" xr:uid="{00000000-0005-0000-0000-000081530000}"/>
    <cellStyle name="Remarque 2 3 2 3 2 4 11" xfId="35756" xr:uid="{00000000-0005-0000-0000-000082530000}"/>
    <cellStyle name="Remarque 2 3 2 3 2 4 11 2" xfId="59716" xr:uid="{00000000-0005-0000-0000-000083530000}"/>
    <cellStyle name="Remarque 2 3 2 3 2 4 12" xfId="13691" xr:uid="{00000000-0005-0000-0000-000084530000}"/>
    <cellStyle name="Remarque 2 3 2 3 2 4 13" xfId="37651" xr:uid="{00000000-0005-0000-0000-000085530000}"/>
    <cellStyle name="Remarque 2 3 2 3 2 4 2" xfId="3900" xr:uid="{00000000-0005-0000-0000-000086530000}"/>
    <cellStyle name="Remarque 2 3 2 3 2 4 2 2" xfId="27914" xr:uid="{00000000-0005-0000-0000-000087530000}"/>
    <cellStyle name="Remarque 2 3 2 3 2 4 2 2 2" xfId="51874" xr:uid="{00000000-0005-0000-0000-000088530000}"/>
    <cellStyle name="Remarque 2 3 2 3 2 4 2 3" xfId="15161" xr:uid="{00000000-0005-0000-0000-000089530000}"/>
    <cellStyle name="Remarque 2 3 2 3 2 4 2 4" xfId="39121" xr:uid="{00000000-0005-0000-0000-00008A530000}"/>
    <cellStyle name="Remarque 2 3 2 3 2 4 3" xfId="5334" xr:uid="{00000000-0005-0000-0000-00008B530000}"/>
    <cellStyle name="Remarque 2 3 2 3 2 4 3 2" xfId="29348" xr:uid="{00000000-0005-0000-0000-00008C530000}"/>
    <cellStyle name="Remarque 2 3 2 3 2 4 3 2 2" xfId="53308" xr:uid="{00000000-0005-0000-0000-00008D530000}"/>
    <cellStyle name="Remarque 2 3 2 3 2 4 3 3" xfId="16595" xr:uid="{00000000-0005-0000-0000-00008E530000}"/>
    <cellStyle name="Remarque 2 3 2 3 2 4 3 4" xfId="40555" xr:uid="{00000000-0005-0000-0000-00008F530000}"/>
    <cellStyle name="Remarque 2 3 2 3 2 4 4" xfId="6728" xr:uid="{00000000-0005-0000-0000-000090530000}"/>
    <cellStyle name="Remarque 2 3 2 3 2 4 4 2" xfId="30742" xr:uid="{00000000-0005-0000-0000-000091530000}"/>
    <cellStyle name="Remarque 2 3 2 3 2 4 4 2 2" xfId="54702" xr:uid="{00000000-0005-0000-0000-000092530000}"/>
    <cellStyle name="Remarque 2 3 2 3 2 4 4 3" xfId="17989" xr:uid="{00000000-0005-0000-0000-000093530000}"/>
    <cellStyle name="Remarque 2 3 2 3 2 4 4 4" xfId="41949" xr:uid="{00000000-0005-0000-0000-000094530000}"/>
    <cellStyle name="Remarque 2 3 2 3 2 4 5" xfId="8116" xr:uid="{00000000-0005-0000-0000-000095530000}"/>
    <cellStyle name="Remarque 2 3 2 3 2 4 5 2" xfId="32130" xr:uid="{00000000-0005-0000-0000-000096530000}"/>
    <cellStyle name="Remarque 2 3 2 3 2 4 5 2 2" xfId="56090" xr:uid="{00000000-0005-0000-0000-000097530000}"/>
    <cellStyle name="Remarque 2 3 2 3 2 4 5 3" xfId="19377" xr:uid="{00000000-0005-0000-0000-000098530000}"/>
    <cellStyle name="Remarque 2 3 2 3 2 4 5 4" xfId="43337" xr:uid="{00000000-0005-0000-0000-000099530000}"/>
    <cellStyle name="Remarque 2 3 2 3 2 4 6" xfId="9501" xr:uid="{00000000-0005-0000-0000-00009A530000}"/>
    <cellStyle name="Remarque 2 3 2 3 2 4 6 2" xfId="33515" xr:uid="{00000000-0005-0000-0000-00009B530000}"/>
    <cellStyle name="Remarque 2 3 2 3 2 4 6 2 2" xfId="57475" xr:uid="{00000000-0005-0000-0000-00009C530000}"/>
    <cellStyle name="Remarque 2 3 2 3 2 4 6 3" xfId="20762" xr:uid="{00000000-0005-0000-0000-00009D530000}"/>
    <cellStyle name="Remarque 2 3 2 3 2 4 6 4" xfId="44722" xr:uid="{00000000-0005-0000-0000-00009E530000}"/>
    <cellStyle name="Remarque 2 3 2 3 2 4 7" xfId="10958" xr:uid="{00000000-0005-0000-0000-00009F530000}"/>
    <cellStyle name="Remarque 2 3 2 3 2 4 7 2" xfId="34968" xr:uid="{00000000-0005-0000-0000-0000A0530000}"/>
    <cellStyle name="Remarque 2 3 2 3 2 4 7 2 2" xfId="58928" xr:uid="{00000000-0005-0000-0000-0000A1530000}"/>
    <cellStyle name="Remarque 2 3 2 3 2 4 7 3" xfId="22225" xr:uid="{00000000-0005-0000-0000-0000A2530000}"/>
    <cellStyle name="Remarque 2 3 2 3 2 4 7 4" xfId="46185" xr:uid="{00000000-0005-0000-0000-0000A3530000}"/>
    <cellStyle name="Remarque 2 3 2 3 2 4 8" xfId="12218" xr:uid="{00000000-0005-0000-0000-0000A4530000}"/>
    <cellStyle name="Remarque 2 3 2 3 2 4 8 2" xfId="23502" xr:uid="{00000000-0005-0000-0000-0000A5530000}"/>
    <cellStyle name="Remarque 2 3 2 3 2 4 8 3" xfId="47462" xr:uid="{00000000-0005-0000-0000-0000A6530000}"/>
    <cellStyle name="Remarque 2 3 2 3 2 4 9" xfId="2430" xr:uid="{00000000-0005-0000-0000-0000A7530000}"/>
    <cellStyle name="Remarque 2 3 2 3 2 4 9 2" xfId="26444" xr:uid="{00000000-0005-0000-0000-0000A8530000}"/>
    <cellStyle name="Remarque 2 3 2 3 2 4 9 3" xfId="50404" xr:uid="{00000000-0005-0000-0000-0000A9530000}"/>
    <cellStyle name="Remarque 2 3 2 3 2 5" xfId="1187" xr:uid="{00000000-0005-0000-0000-0000AA530000}"/>
    <cellStyle name="Remarque 2 3 2 3 2 5 10" xfId="25219" xr:uid="{00000000-0005-0000-0000-0000AB530000}"/>
    <cellStyle name="Remarque 2 3 2 3 2 5 10 2" xfId="49179" xr:uid="{00000000-0005-0000-0000-0000AC530000}"/>
    <cellStyle name="Remarque 2 3 2 3 2 5 11" xfId="35893" xr:uid="{00000000-0005-0000-0000-0000AD530000}"/>
    <cellStyle name="Remarque 2 3 2 3 2 5 11 2" xfId="59853" xr:uid="{00000000-0005-0000-0000-0000AE530000}"/>
    <cellStyle name="Remarque 2 3 2 3 2 5 12" xfId="13884" xr:uid="{00000000-0005-0000-0000-0000AF530000}"/>
    <cellStyle name="Remarque 2 3 2 3 2 5 13" xfId="37844" xr:uid="{00000000-0005-0000-0000-0000B0530000}"/>
    <cellStyle name="Remarque 2 3 2 3 2 5 2" xfId="4093" xr:uid="{00000000-0005-0000-0000-0000B1530000}"/>
    <cellStyle name="Remarque 2 3 2 3 2 5 2 2" xfId="28107" xr:uid="{00000000-0005-0000-0000-0000B2530000}"/>
    <cellStyle name="Remarque 2 3 2 3 2 5 2 2 2" xfId="52067" xr:uid="{00000000-0005-0000-0000-0000B3530000}"/>
    <cellStyle name="Remarque 2 3 2 3 2 5 2 3" xfId="15354" xr:uid="{00000000-0005-0000-0000-0000B4530000}"/>
    <cellStyle name="Remarque 2 3 2 3 2 5 2 4" xfId="39314" xr:uid="{00000000-0005-0000-0000-0000B5530000}"/>
    <cellStyle name="Remarque 2 3 2 3 2 5 3" xfId="5527" xr:uid="{00000000-0005-0000-0000-0000B6530000}"/>
    <cellStyle name="Remarque 2 3 2 3 2 5 3 2" xfId="29541" xr:uid="{00000000-0005-0000-0000-0000B7530000}"/>
    <cellStyle name="Remarque 2 3 2 3 2 5 3 2 2" xfId="53501" xr:uid="{00000000-0005-0000-0000-0000B8530000}"/>
    <cellStyle name="Remarque 2 3 2 3 2 5 3 3" xfId="16788" xr:uid="{00000000-0005-0000-0000-0000B9530000}"/>
    <cellStyle name="Remarque 2 3 2 3 2 5 3 4" xfId="40748" xr:uid="{00000000-0005-0000-0000-0000BA530000}"/>
    <cellStyle name="Remarque 2 3 2 3 2 5 4" xfId="6921" xr:uid="{00000000-0005-0000-0000-0000BB530000}"/>
    <cellStyle name="Remarque 2 3 2 3 2 5 4 2" xfId="30935" xr:uid="{00000000-0005-0000-0000-0000BC530000}"/>
    <cellStyle name="Remarque 2 3 2 3 2 5 4 2 2" xfId="54895" xr:uid="{00000000-0005-0000-0000-0000BD530000}"/>
    <cellStyle name="Remarque 2 3 2 3 2 5 4 3" xfId="18182" xr:uid="{00000000-0005-0000-0000-0000BE530000}"/>
    <cellStyle name="Remarque 2 3 2 3 2 5 4 4" xfId="42142" xr:uid="{00000000-0005-0000-0000-0000BF530000}"/>
    <cellStyle name="Remarque 2 3 2 3 2 5 5" xfId="8309" xr:uid="{00000000-0005-0000-0000-0000C0530000}"/>
    <cellStyle name="Remarque 2 3 2 3 2 5 5 2" xfId="32323" xr:uid="{00000000-0005-0000-0000-0000C1530000}"/>
    <cellStyle name="Remarque 2 3 2 3 2 5 5 2 2" xfId="56283" xr:uid="{00000000-0005-0000-0000-0000C2530000}"/>
    <cellStyle name="Remarque 2 3 2 3 2 5 5 3" xfId="19570" xr:uid="{00000000-0005-0000-0000-0000C3530000}"/>
    <cellStyle name="Remarque 2 3 2 3 2 5 5 4" xfId="43530" xr:uid="{00000000-0005-0000-0000-0000C4530000}"/>
    <cellStyle name="Remarque 2 3 2 3 2 5 6" xfId="9694" xr:uid="{00000000-0005-0000-0000-0000C5530000}"/>
    <cellStyle name="Remarque 2 3 2 3 2 5 6 2" xfId="33708" xr:uid="{00000000-0005-0000-0000-0000C6530000}"/>
    <cellStyle name="Remarque 2 3 2 3 2 5 6 2 2" xfId="57668" xr:uid="{00000000-0005-0000-0000-0000C7530000}"/>
    <cellStyle name="Remarque 2 3 2 3 2 5 6 3" xfId="20955" xr:uid="{00000000-0005-0000-0000-0000C8530000}"/>
    <cellStyle name="Remarque 2 3 2 3 2 5 6 4" xfId="44915" xr:uid="{00000000-0005-0000-0000-0000C9530000}"/>
    <cellStyle name="Remarque 2 3 2 3 2 5 7" xfId="11151" xr:uid="{00000000-0005-0000-0000-0000CA530000}"/>
    <cellStyle name="Remarque 2 3 2 3 2 5 7 2" xfId="35161" xr:uid="{00000000-0005-0000-0000-0000CB530000}"/>
    <cellStyle name="Remarque 2 3 2 3 2 5 7 2 2" xfId="59121" xr:uid="{00000000-0005-0000-0000-0000CC530000}"/>
    <cellStyle name="Remarque 2 3 2 3 2 5 7 3" xfId="22418" xr:uid="{00000000-0005-0000-0000-0000CD530000}"/>
    <cellStyle name="Remarque 2 3 2 3 2 5 7 4" xfId="46378" xr:uid="{00000000-0005-0000-0000-0000CE530000}"/>
    <cellStyle name="Remarque 2 3 2 3 2 5 8" xfId="12583" xr:uid="{00000000-0005-0000-0000-0000CF530000}"/>
    <cellStyle name="Remarque 2 3 2 3 2 5 8 2" xfId="23883" xr:uid="{00000000-0005-0000-0000-0000D0530000}"/>
    <cellStyle name="Remarque 2 3 2 3 2 5 8 3" xfId="47843" xr:uid="{00000000-0005-0000-0000-0000D1530000}"/>
    <cellStyle name="Remarque 2 3 2 3 2 5 9" xfId="2623" xr:uid="{00000000-0005-0000-0000-0000D2530000}"/>
    <cellStyle name="Remarque 2 3 2 3 2 5 9 2" xfId="26637" xr:uid="{00000000-0005-0000-0000-0000D3530000}"/>
    <cellStyle name="Remarque 2 3 2 3 2 5 9 3" xfId="50597" xr:uid="{00000000-0005-0000-0000-0000D4530000}"/>
    <cellStyle name="Remarque 2 3 2 3 2 6" xfId="1354" xr:uid="{00000000-0005-0000-0000-0000D5530000}"/>
    <cellStyle name="Remarque 2 3 2 3 2 6 10" xfId="25386" xr:uid="{00000000-0005-0000-0000-0000D6530000}"/>
    <cellStyle name="Remarque 2 3 2 3 2 6 10 2" xfId="49346" xr:uid="{00000000-0005-0000-0000-0000D7530000}"/>
    <cellStyle name="Remarque 2 3 2 3 2 6 11" xfId="36652" xr:uid="{00000000-0005-0000-0000-0000D8530000}"/>
    <cellStyle name="Remarque 2 3 2 3 2 6 11 2" xfId="60612" xr:uid="{00000000-0005-0000-0000-0000D9530000}"/>
    <cellStyle name="Remarque 2 3 2 3 2 6 12" xfId="14051" xr:uid="{00000000-0005-0000-0000-0000DA530000}"/>
    <cellStyle name="Remarque 2 3 2 3 2 6 13" xfId="38011" xr:uid="{00000000-0005-0000-0000-0000DB530000}"/>
    <cellStyle name="Remarque 2 3 2 3 2 6 2" xfId="4260" xr:uid="{00000000-0005-0000-0000-0000DC530000}"/>
    <cellStyle name="Remarque 2 3 2 3 2 6 2 2" xfId="28274" xr:uid="{00000000-0005-0000-0000-0000DD530000}"/>
    <cellStyle name="Remarque 2 3 2 3 2 6 2 2 2" xfId="52234" xr:uid="{00000000-0005-0000-0000-0000DE530000}"/>
    <cellStyle name="Remarque 2 3 2 3 2 6 2 3" xfId="15521" xr:uid="{00000000-0005-0000-0000-0000DF530000}"/>
    <cellStyle name="Remarque 2 3 2 3 2 6 2 4" xfId="39481" xr:uid="{00000000-0005-0000-0000-0000E0530000}"/>
    <cellStyle name="Remarque 2 3 2 3 2 6 3" xfId="5694" xr:uid="{00000000-0005-0000-0000-0000E1530000}"/>
    <cellStyle name="Remarque 2 3 2 3 2 6 3 2" xfId="29708" xr:uid="{00000000-0005-0000-0000-0000E2530000}"/>
    <cellStyle name="Remarque 2 3 2 3 2 6 3 2 2" xfId="53668" xr:uid="{00000000-0005-0000-0000-0000E3530000}"/>
    <cellStyle name="Remarque 2 3 2 3 2 6 3 3" xfId="16955" xr:uid="{00000000-0005-0000-0000-0000E4530000}"/>
    <cellStyle name="Remarque 2 3 2 3 2 6 3 4" xfId="40915" xr:uid="{00000000-0005-0000-0000-0000E5530000}"/>
    <cellStyle name="Remarque 2 3 2 3 2 6 4" xfId="7088" xr:uid="{00000000-0005-0000-0000-0000E6530000}"/>
    <cellStyle name="Remarque 2 3 2 3 2 6 4 2" xfId="31102" xr:uid="{00000000-0005-0000-0000-0000E7530000}"/>
    <cellStyle name="Remarque 2 3 2 3 2 6 4 2 2" xfId="55062" xr:uid="{00000000-0005-0000-0000-0000E8530000}"/>
    <cellStyle name="Remarque 2 3 2 3 2 6 4 3" xfId="18349" xr:uid="{00000000-0005-0000-0000-0000E9530000}"/>
    <cellStyle name="Remarque 2 3 2 3 2 6 4 4" xfId="42309" xr:uid="{00000000-0005-0000-0000-0000EA530000}"/>
    <cellStyle name="Remarque 2 3 2 3 2 6 5" xfId="8476" xr:uid="{00000000-0005-0000-0000-0000EB530000}"/>
    <cellStyle name="Remarque 2 3 2 3 2 6 5 2" xfId="32490" xr:uid="{00000000-0005-0000-0000-0000EC530000}"/>
    <cellStyle name="Remarque 2 3 2 3 2 6 5 2 2" xfId="56450" xr:uid="{00000000-0005-0000-0000-0000ED530000}"/>
    <cellStyle name="Remarque 2 3 2 3 2 6 5 3" xfId="19737" xr:uid="{00000000-0005-0000-0000-0000EE530000}"/>
    <cellStyle name="Remarque 2 3 2 3 2 6 5 4" xfId="43697" xr:uid="{00000000-0005-0000-0000-0000EF530000}"/>
    <cellStyle name="Remarque 2 3 2 3 2 6 6" xfId="9861" xr:uid="{00000000-0005-0000-0000-0000F0530000}"/>
    <cellStyle name="Remarque 2 3 2 3 2 6 6 2" xfId="33875" xr:uid="{00000000-0005-0000-0000-0000F1530000}"/>
    <cellStyle name="Remarque 2 3 2 3 2 6 6 2 2" xfId="57835" xr:uid="{00000000-0005-0000-0000-0000F2530000}"/>
    <cellStyle name="Remarque 2 3 2 3 2 6 6 3" xfId="21122" xr:uid="{00000000-0005-0000-0000-0000F3530000}"/>
    <cellStyle name="Remarque 2 3 2 3 2 6 6 4" xfId="45082" xr:uid="{00000000-0005-0000-0000-0000F4530000}"/>
    <cellStyle name="Remarque 2 3 2 3 2 6 7" xfId="11318" xr:uid="{00000000-0005-0000-0000-0000F5530000}"/>
    <cellStyle name="Remarque 2 3 2 3 2 6 7 2" xfId="35328" xr:uid="{00000000-0005-0000-0000-0000F6530000}"/>
    <cellStyle name="Remarque 2 3 2 3 2 6 7 2 2" xfId="59288" xr:uid="{00000000-0005-0000-0000-0000F7530000}"/>
    <cellStyle name="Remarque 2 3 2 3 2 6 7 3" xfId="22585" xr:uid="{00000000-0005-0000-0000-0000F8530000}"/>
    <cellStyle name="Remarque 2 3 2 3 2 6 7 4" xfId="46545" xr:uid="{00000000-0005-0000-0000-0000F9530000}"/>
    <cellStyle name="Remarque 2 3 2 3 2 6 8" xfId="12131" xr:uid="{00000000-0005-0000-0000-0000FA530000}"/>
    <cellStyle name="Remarque 2 3 2 3 2 6 8 2" xfId="23414" xr:uid="{00000000-0005-0000-0000-0000FB530000}"/>
    <cellStyle name="Remarque 2 3 2 3 2 6 8 3" xfId="47374" xr:uid="{00000000-0005-0000-0000-0000FC530000}"/>
    <cellStyle name="Remarque 2 3 2 3 2 6 9" xfId="2790" xr:uid="{00000000-0005-0000-0000-0000FD530000}"/>
    <cellStyle name="Remarque 2 3 2 3 2 6 9 2" xfId="26804" xr:uid="{00000000-0005-0000-0000-0000FE530000}"/>
    <cellStyle name="Remarque 2 3 2 3 2 6 9 3" xfId="50764" xr:uid="{00000000-0005-0000-0000-0000FF530000}"/>
    <cellStyle name="Remarque 2 3 2 3 2 7" xfId="1523" xr:uid="{00000000-0005-0000-0000-000000540000}"/>
    <cellStyle name="Remarque 2 3 2 3 2 7 10" xfId="25555" xr:uid="{00000000-0005-0000-0000-000001540000}"/>
    <cellStyle name="Remarque 2 3 2 3 2 7 10 2" xfId="49515" xr:uid="{00000000-0005-0000-0000-000002540000}"/>
    <cellStyle name="Remarque 2 3 2 3 2 7 11" xfId="35792" xr:uid="{00000000-0005-0000-0000-000003540000}"/>
    <cellStyle name="Remarque 2 3 2 3 2 7 11 2" xfId="59752" xr:uid="{00000000-0005-0000-0000-000004540000}"/>
    <cellStyle name="Remarque 2 3 2 3 2 7 12" xfId="14220" xr:uid="{00000000-0005-0000-0000-000005540000}"/>
    <cellStyle name="Remarque 2 3 2 3 2 7 13" xfId="38180" xr:uid="{00000000-0005-0000-0000-000006540000}"/>
    <cellStyle name="Remarque 2 3 2 3 2 7 2" xfId="4429" xr:uid="{00000000-0005-0000-0000-000007540000}"/>
    <cellStyle name="Remarque 2 3 2 3 2 7 2 2" xfId="28443" xr:uid="{00000000-0005-0000-0000-000008540000}"/>
    <cellStyle name="Remarque 2 3 2 3 2 7 2 2 2" xfId="52403" xr:uid="{00000000-0005-0000-0000-000009540000}"/>
    <cellStyle name="Remarque 2 3 2 3 2 7 2 3" xfId="15690" xr:uid="{00000000-0005-0000-0000-00000A540000}"/>
    <cellStyle name="Remarque 2 3 2 3 2 7 2 4" xfId="39650" xr:uid="{00000000-0005-0000-0000-00000B540000}"/>
    <cellStyle name="Remarque 2 3 2 3 2 7 3" xfId="5863" xr:uid="{00000000-0005-0000-0000-00000C540000}"/>
    <cellStyle name="Remarque 2 3 2 3 2 7 3 2" xfId="29877" xr:uid="{00000000-0005-0000-0000-00000D540000}"/>
    <cellStyle name="Remarque 2 3 2 3 2 7 3 2 2" xfId="53837" xr:uid="{00000000-0005-0000-0000-00000E540000}"/>
    <cellStyle name="Remarque 2 3 2 3 2 7 3 3" xfId="17124" xr:uid="{00000000-0005-0000-0000-00000F540000}"/>
    <cellStyle name="Remarque 2 3 2 3 2 7 3 4" xfId="41084" xr:uid="{00000000-0005-0000-0000-000010540000}"/>
    <cellStyle name="Remarque 2 3 2 3 2 7 4" xfId="7257" xr:uid="{00000000-0005-0000-0000-000011540000}"/>
    <cellStyle name="Remarque 2 3 2 3 2 7 4 2" xfId="31271" xr:uid="{00000000-0005-0000-0000-000012540000}"/>
    <cellStyle name="Remarque 2 3 2 3 2 7 4 2 2" xfId="55231" xr:uid="{00000000-0005-0000-0000-000013540000}"/>
    <cellStyle name="Remarque 2 3 2 3 2 7 4 3" xfId="18518" xr:uid="{00000000-0005-0000-0000-000014540000}"/>
    <cellStyle name="Remarque 2 3 2 3 2 7 4 4" xfId="42478" xr:uid="{00000000-0005-0000-0000-000015540000}"/>
    <cellStyle name="Remarque 2 3 2 3 2 7 5" xfId="8645" xr:uid="{00000000-0005-0000-0000-000016540000}"/>
    <cellStyle name="Remarque 2 3 2 3 2 7 5 2" xfId="32659" xr:uid="{00000000-0005-0000-0000-000017540000}"/>
    <cellStyle name="Remarque 2 3 2 3 2 7 5 2 2" xfId="56619" xr:uid="{00000000-0005-0000-0000-000018540000}"/>
    <cellStyle name="Remarque 2 3 2 3 2 7 5 3" xfId="19906" xr:uid="{00000000-0005-0000-0000-000019540000}"/>
    <cellStyle name="Remarque 2 3 2 3 2 7 5 4" xfId="43866" xr:uid="{00000000-0005-0000-0000-00001A540000}"/>
    <cellStyle name="Remarque 2 3 2 3 2 7 6" xfId="10030" xr:uid="{00000000-0005-0000-0000-00001B540000}"/>
    <cellStyle name="Remarque 2 3 2 3 2 7 6 2" xfId="34044" xr:uid="{00000000-0005-0000-0000-00001C540000}"/>
    <cellStyle name="Remarque 2 3 2 3 2 7 6 2 2" xfId="58004" xr:uid="{00000000-0005-0000-0000-00001D540000}"/>
    <cellStyle name="Remarque 2 3 2 3 2 7 6 3" xfId="21291" xr:uid="{00000000-0005-0000-0000-00001E540000}"/>
    <cellStyle name="Remarque 2 3 2 3 2 7 6 4" xfId="45251" xr:uid="{00000000-0005-0000-0000-00001F540000}"/>
    <cellStyle name="Remarque 2 3 2 3 2 7 7" xfId="11487" xr:uid="{00000000-0005-0000-0000-000020540000}"/>
    <cellStyle name="Remarque 2 3 2 3 2 7 7 2" xfId="35497" xr:uid="{00000000-0005-0000-0000-000021540000}"/>
    <cellStyle name="Remarque 2 3 2 3 2 7 7 2 2" xfId="59457" xr:uid="{00000000-0005-0000-0000-000022540000}"/>
    <cellStyle name="Remarque 2 3 2 3 2 7 7 3" xfId="22754" xr:uid="{00000000-0005-0000-0000-000023540000}"/>
    <cellStyle name="Remarque 2 3 2 3 2 7 7 4" xfId="46714" xr:uid="{00000000-0005-0000-0000-000024540000}"/>
    <cellStyle name="Remarque 2 3 2 3 2 7 8" xfId="12542" xr:uid="{00000000-0005-0000-0000-000025540000}"/>
    <cellStyle name="Remarque 2 3 2 3 2 7 8 2" xfId="23840" xr:uid="{00000000-0005-0000-0000-000026540000}"/>
    <cellStyle name="Remarque 2 3 2 3 2 7 8 3" xfId="47800" xr:uid="{00000000-0005-0000-0000-000027540000}"/>
    <cellStyle name="Remarque 2 3 2 3 2 7 9" xfId="2959" xr:uid="{00000000-0005-0000-0000-000028540000}"/>
    <cellStyle name="Remarque 2 3 2 3 2 7 9 2" xfId="26973" xr:uid="{00000000-0005-0000-0000-000029540000}"/>
    <cellStyle name="Remarque 2 3 2 3 2 7 9 3" xfId="50933" xr:uid="{00000000-0005-0000-0000-00002A540000}"/>
    <cellStyle name="Remarque 2 3 2 3 2 8" xfId="3378" xr:uid="{00000000-0005-0000-0000-00002B540000}"/>
    <cellStyle name="Remarque 2 3 2 3 2 8 2" xfId="27392" xr:uid="{00000000-0005-0000-0000-00002C540000}"/>
    <cellStyle name="Remarque 2 3 2 3 2 8 2 2" xfId="51352" xr:uid="{00000000-0005-0000-0000-00002D540000}"/>
    <cellStyle name="Remarque 2 3 2 3 2 8 3" xfId="14639" xr:uid="{00000000-0005-0000-0000-00002E540000}"/>
    <cellStyle name="Remarque 2 3 2 3 2 8 4" xfId="38599" xr:uid="{00000000-0005-0000-0000-00002F540000}"/>
    <cellStyle name="Remarque 2 3 2 3 2 9" xfId="4812" xr:uid="{00000000-0005-0000-0000-000030540000}"/>
    <cellStyle name="Remarque 2 3 2 3 2 9 2" xfId="28826" xr:uid="{00000000-0005-0000-0000-000031540000}"/>
    <cellStyle name="Remarque 2 3 2 3 2 9 2 2" xfId="52786" xr:uid="{00000000-0005-0000-0000-000032540000}"/>
    <cellStyle name="Remarque 2 3 2 3 2 9 3" xfId="16073" xr:uid="{00000000-0005-0000-0000-000033540000}"/>
    <cellStyle name="Remarque 2 3 2 3 2 9 4" xfId="40033" xr:uid="{00000000-0005-0000-0000-000034540000}"/>
    <cellStyle name="Remarque 2 3 2 3 3" xfId="270" xr:uid="{00000000-0005-0000-0000-000035540000}"/>
    <cellStyle name="Remarque 2 3 2 3 3 10" xfId="24302" xr:uid="{00000000-0005-0000-0000-000036540000}"/>
    <cellStyle name="Remarque 2 3 2 3 3 10 2" xfId="48262" xr:uid="{00000000-0005-0000-0000-000037540000}"/>
    <cellStyle name="Remarque 2 3 2 3 3 11" xfId="36041" xr:uid="{00000000-0005-0000-0000-000038540000}"/>
    <cellStyle name="Remarque 2 3 2 3 3 11 2" xfId="60001" xr:uid="{00000000-0005-0000-0000-000039540000}"/>
    <cellStyle name="Remarque 2 3 2 3 3 12" xfId="12967" xr:uid="{00000000-0005-0000-0000-00003A540000}"/>
    <cellStyle name="Remarque 2 3 2 3 3 13" xfId="36927" xr:uid="{00000000-0005-0000-0000-00003B540000}"/>
    <cellStyle name="Remarque 2 3 2 3 3 2" xfId="3176" xr:uid="{00000000-0005-0000-0000-00003C540000}"/>
    <cellStyle name="Remarque 2 3 2 3 3 2 2" xfId="27190" xr:uid="{00000000-0005-0000-0000-00003D540000}"/>
    <cellStyle name="Remarque 2 3 2 3 3 2 2 2" xfId="51150" xr:uid="{00000000-0005-0000-0000-00003E540000}"/>
    <cellStyle name="Remarque 2 3 2 3 3 2 3" xfId="14437" xr:uid="{00000000-0005-0000-0000-00003F540000}"/>
    <cellStyle name="Remarque 2 3 2 3 3 2 4" xfId="38397" xr:uid="{00000000-0005-0000-0000-000040540000}"/>
    <cellStyle name="Remarque 2 3 2 3 3 3" xfId="4610" xr:uid="{00000000-0005-0000-0000-000041540000}"/>
    <cellStyle name="Remarque 2 3 2 3 3 3 2" xfId="28624" xr:uid="{00000000-0005-0000-0000-000042540000}"/>
    <cellStyle name="Remarque 2 3 2 3 3 3 2 2" xfId="52584" xr:uid="{00000000-0005-0000-0000-000043540000}"/>
    <cellStyle name="Remarque 2 3 2 3 3 3 3" xfId="15871" xr:uid="{00000000-0005-0000-0000-000044540000}"/>
    <cellStyle name="Remarque 2 3 2 3 3 3 4" xfId="39831" xr:uid="{00000000-0005-0000-0000-000045540000}"/>
    <cellStyle name="Remarque 2 3 2 3 3 4" xfId="6004" xr:uid="{00000000-0005-0000-0000-000046540000}"/>
    <cellStyle name="Remarque 2 3 2 3 3 4 2" xfId="30018" xr:uid="{00000000-0005-0000-0000-000047540000}"/>
    <cellStyle name="Remarque 2 3 2 3 3 4 2 2" xfId="53978" xr:uid="{00000000-0005-0000-0000-000048540000}"/>
    <cellStyle name="Remarque 2 3 2 3 3 4 3" xfId="17265" xr:uid="{00000000-0005-0000-0000-000049540000}"/>
    <cellStyle name="Remarque 2 3 2 3 3 4 4" xfId="41225" xr:uid="{00000000-0005-0000-0000-00004A540000}"/>
    <cellStyle name="Remarque 2 3 2 3 3 5" xfId="7392" xr:uid="{00000000-0005-0000-0000-00004B540000}"/>
    <cellStyle name="Remarque 2 3 2 3 3 5 2" xfId="31406" xr:uid="{00000000-0005-0000-0000-00004C540000}"/>
    <cellStyle name="Remarque 2 3 2 3 3 5 2 2" xfId="55366" xr:uid="{00000000-0005-0000-0000-00004D540000}"/>
    <cellStyle name="Remarque 2 3 2 3 3 5 3" xfId="18653" xr:uid="{00000000-0005-0000-0000-00004E540000}"/>
    <cellStyle name="Remarque 2 3 2 3 3 5 4" xfId="42613" xr:uid="{00000000-0005-0000-0000-00004F540000}"/>
    <cellStyle name="Remarque 2 3 2 3 3 6" xfId="8777" xr:uid="{00000000-0005-0000-0000-000050540000}"/>
    <cellStyle name="Remarque 2 3 2 3 3 6 2" xfId="32791" xr:uid="{00000000-0005-0000-0000-000051540000}"/>
    <cellStyle name="Remarque 2 3 2 3 3 6 2 2" xfId="56751" xr:uid="{00000000-0005-0000-0000-000052540000}"/>
    <cellStyle name="Remarque 2 3 2 3 3 6 3" xfId="20038" xr:uid="{00000000-0005-0000-0000-000053540000}"/>
    <cellStyle name="Remarque 2 3 2 3 3 6 4" xfId="43998" xr:uid="{00000000-0005-0000-0000-000054540000}"/>
    <cellStyle name="Remarque 2 3 2 3 3 7" xfId="10234" xr:uid="{00000000-0005-0000-0000-000055540000}"/>
    <cellStyle name="Remarque 2 3 2 3 3 7 2" xfId="34244" xr:uid="{00000000-0005-0000-0000-000056540000}"/>
    <cellStyle name="Remarque 2 3 2 3 3 7 2 2" xfId="58204" xr:uid="{00000000-0005-0000-0000-000057540000}"/>
    <cellStyle name="Remarque 2 3 2 3 3 7 3" xfId="21501" xr:uid="{00000000-0005-0000-0000-000058540000}"/>
    <cellStyle name="Remarque 2 3 2 3 3 7 4" xfId="45461" xr:uid="{00000000-0005-0000-0000-000059540000}"/>
    <cellStyle name="Remarque 2 3 2 3 3 8" xfId="12755" xr:uid="{00000000-0005-0000-0000-00005A540000}"/>
    <cellStyle name="Remarque 2 3 2 3 3 8 2" xfId="24062" xr:uid="{00000000-0005-0000-0000-00005B540000}"/>
    <cellStyle name="Remarque 2 3 2 3 3 8 3" xfId="48022" xr:uid="{00000000-0005-0000-0000-00005C540000}"/>
    <cellStyle name="Remarque 2 3 2 3 3 9" xfId="1706" xr:uid="{00000000-0005-0000-0000-00005D540000}"/>
    <cellStyle name="Remarque 2 3 2 3 3 9 2" xfId="25720" xr:uid="{00000000-0005-0000-0000-00005E540000}"/>
    <cellStyle name="Remarque 2 3 2 3 3 9 3" xfId="49680" xr:uid="{00000000-0005-0000-0000-00005F540000}"/>
    <cellStyle name="Remarque 2 3 2 3 4" xfId="665" xr:uid="{00000000-0005-0000-0000-000060540000}"/>
    <cellStyle name="Remarque 2 3 2 3 4 10" xfId="24697" xr:uid="{00000000-0005-0000-0000-000061540000}"/>
    <cellStyle name="Remarque 2 3 2 3 4 10 2" xfId="48657" xr:uid="{00000000-0005-0000-0000-000062540000}"/>
    <cellStyle name="Remarque 2 3 2 3 4 11" xfId="35912" xr:uid="{00000000-0005-0000-0000-000063540000}"/>
    <cellStyle name="Remarque 2 3 2 3 4 11 2" xfId="59872" xr:uid="{00000000-0005-0000-0000-000064540000}"/>
    <cellStyle name="Remarque 2 3 2 3 4 12" xfId="13362" xr:uid="{00000000-0005-0000-0000-000065540000}"/>
    <cellStyle name="Remarque 2 3 2 3 4 13" xfId="37322" xr:uid="{00000000-0005-0000-0000-000066540000}"/>
    <cellStyle name="Remarque 2 3 2 3 4 2" xfId="3571" xr:uid="{00000000-0005-0000-0000-000067540000}"/>
    <cellStyle name="Remarque 2 3 2 3 4 2 2" xfId="27585" xr:uid="{00000000-0005-0000-0000-000068540000}"/>
    <cellStyle name="Remarque 2 3 2 3 4 2 2 2" xfId="51545" xr:uid="{00000000-0005-0000-0000-000069540000}"/>
    <cellStyle name="Remarque 2 3 2 3 4 2 3" xfId="14832" xr:uid="{00000000-0005-0000-0000-00006A540000}"/>
    <cellStyle name="Remarque 2 3 2 3 4 2 4" xfId="38792" xr:uid="{00000000-0005-0000-0000-00006B540000}"/>
    <cellStyle name="Remarque 2 3 2 3 4 3" xfId="5005" xr:uid="{00000000-0005-0000-0000-00006C540000}"/>
    <cellStyle name="Remarque 2 3 2 3 4 3 2" xfId="29019" xr:uid="{00000000-0005-0000-0000-00006D540000}"/>
    <cellStyle name="Remarque 2 3 2 3 4 3 2 2" xfId="52979" xr:uid="{00000000-0005-0000-0000-00006E540000}"/>
    <cellStyle name="Remarque 2 3 2 3 4 3 3" xfId="16266" xr:uid="{00000000-0005-0000-0000-00006F540000}"/>
    <cellStyle name="Remarque 2 3 2 3 4 3 4" xfId="40226" xr:uid="{00000000-0005-0000-0000-000070540000}"/>
    <cellStyle name="Remarque 2 3 2 3 4 4" xfId="6399" xr:uid="{00000000-0005-0000-0000-000071540000}"/>
    <cellStyle name="Remarque 2 3 2 3 4 4 2" xfId="30413" xr:uid="{00000000-0005-0000-0000-000072540000}"/>
    <cellStyle name="Remarque 2 3 2 3 4 4 2 2" xfId="54373" xr:uid="{00000000-0005-0000-0000-000073540000}"/>
    <cellStyle name="Remarque 2 3 2 3 4 4 3" xfId="17660" xr:uid="{00000000-0005-0000-0000-000074540000}"/>
    <cellStyle name="Remarque 2 3 2 3 4 4 4" xfId="41620" xr:uid="{00000000-0005-0000-0000-000075540000}"/>
    <cellStyle name="Remarque 2 3 2 3 4 5" xfId="7787" xr:uid="{00000000-0005-0000-0000-000076540000}"/>
    <cellStyle name="Remarque 2 3 2 3 4 5 2" xfId="31801" xr:uid="{00000000-0005-0000-0000-000077540000}"/>
    <cellStyle name="Remarque 2 3 2 3 4 5 2 2" xfId="55761" xr:uid="{00000000-0005-0000-0000-000078540000}"/>
    <cellStyle name="Remarque 2 3 2 3 4 5 3" xfId="19048" xr:uid="{00000000-0005-0000-0000-000079540000}"/>
    <cellStyle name="Remarque 2 3 2 3 4 5 4" xfId="43008" xr:uid="{00000000-0005-0000-0000-00007A540000}"/>
    <cellStyle name="Remarque 2 3 2 3 4 6" xfId="9172" xr:uid="{00000000-0005-0000-0000-00007B540000}"/>
    <cellStyle name="Remarque 2 3 2 3 4 6 2" xfId="33186" xr:uid="{00000000-0005-0000-0000-00007C540000}"/>
    <cellStyle name="Remarque 2 3 2 3 4 6 2 2" xfId="57146" xr:uid="{00000000-0005-0000-0000-00007D540000}"/>
    <cellStyle name="Remarque 2 3 2 3 4 6 3" xfId="20433" xr:uid="{00000000-0005-0000-0000-00007E540000}"/>
    <cellStyle name="Remarque 2 3 2 3 4 6 4" xfId="44393" xr:uid="{00000000-0005-0000-0000-00007F540000}"/>
    <cellStyle name="Remarque 2 3 2 3 4 7" xfId="10629" xr:uid="{00000000-0005-0000-0000-000080540000}"/>
    <cellStyle name="Remarque 2 3 2 3 4 7 2" xfId="34639" xr:uid="{00000000-0005-0000-0000-000081540000}"/>
    <cellStyle name="Remarque 2 3 2 3 4 7 2 2" xfId="58599" xr:uid="{00000000-0005-0000-0000-000082540000}"/>
    <cellStyle name="Remarque 2 3 2 3 4 7 3" xfId="21896" xr:uid="{00000000-0005-0000-0000-000083540000}"/>
    <cellStyle name="Remarque 2 3 2 3 4 7 4" xfId="45856" xr:uid="{00000000-0005-0000-0000-000084540000}"/>
    <cellStyle name="Remarque 2 3 2 3 4 8" xfId="11774" xr:uid="{00000000-0005-0000-0000-000085540000}"/>
    <cellStyle name="Remarque 2 3 2 3 4 8 2" xfId="23047" xr:uid="{00000000-0005-0000-0000-000086540000}"/>
    <cellStyle name="Remarque 2 3 2 3 4 8 3" xfId="47007" xr:uid="{00000000-0005-0000-0000-000087540000}"/>
    <cellStyle name="Remarque 2 3 2 3 4 9" xfId="2101" xr:uid="{00000000-0005-0000-0000-000088540000}"/>
    <cellStyle name="Remarque 2 3 2 3 4 9 2" xfId="26115" xr:uid="{00000000-0005-0000-0000-000089540000}"/>
    <cellStyle name="Remarque 2 3 2 3 4 9 3" xfId="50075" xr:uid="{00000000-0005-0000-0000-00008A540000}"/>
    <cellStyle name="Remarque 2 3 2 3 5" xfId="859" xr:uid="{00000000-0005-0000-0000-00008B540000}"/>
    <cellStyle name="Remarque 2 3 2 3 5 10" xfId="24891" xr:uid="{00000000-0005-0000-0000-00008C540000}"/>
    <cellStyle name="Remarque 2 3 2 3 5 10 2" xfId="48851" xr:uid="{00000000-0005-0000-0000-00008D540000}"/>
    <cellStyle name="Remarque 2 3 2 3 5 11" xfId="35822" xr:uid="{00000000-0005-0000-0000-00008E540000}"/>
    <cellStyle name="Remarque 2 3 2 3 5 11 2" xfId="59782" xr:uid="{00000000-0005-0000-0000-00008F540000}"/>
    <cellStyle name="Remarque 2 3 2 3 5 12" xfId="13556" xr:uid="{00000000-0005-0000-0000-000090540000}"/>
    <cellStyle name="Remarque 2 3 2 3 5 13" xfId="37516" xr:uid="{00000000-0005-0000-0000-000091540000}"/>
    <cellStyle name="Remarque 2 3 2 3 5 2" xfId="3765" xr:uid="{00000000-0005-0000-0000-000092540000}"/>
    <cellStyle name="Remarque 2 3 2 3 5 2 2" xfId="27779" xr:uid="{00000000-0005-0000-0000-000093540000}"/>
    <cellStyle name="Remarque 2 3 2 3 5 2 2 2" xfId="51739" xr:uid="{00000000-0005-0000-0000-000094540000}"/>
    <cellStyle name="Remarque 2 3 2 3 5 2 3" xfId="15026" xr:uid="{00000000-0005-0000-0000-000095540000}"/>
    <cellStyle name="Remarque 2 3 2 3 5 2 4" xfId="38986" xr:uid="{00000000-0005-0000-0000-000096540000}"/>
    <cellStyle name="Remarque 2 3 2 3 5 3" xfId="5199" xr:uid="{00000000-0005-0000-0000-000097540000}"/>
    <cellStyle name="Remarque 2 3 2 3 5 3 2" xfId="29213" xr:uid="{00000000-0005-0000-0000-000098540000}"/>
    <cellStyle name="Remarque 2 3 2 3 5 3 2 2" xfId="53173" xr:uid="{00000000-0005-0000-0000-000099540000}"/>
    <cellStyle name="Remarque 2 3 2 3 5 3 3" xfId="16460" xr:uid="{00000000-0005-0000-0000-00009A540000}"/>
    <cellStyle name="Remarque 2 3 2 3 5 3 4" xfId="40420" xr:uid="{00000000-0005-0000-0000-00009B540000}"/>
    <cellStyle name="Remarque 2 3 2 3 5 4" xfId="6593" xr:uid="{00000000-0005-0000-0000-00009C540000}"/>
    <cellStyle name="Remarque 2 3 2 3 5 4 2" xfId="30607" xr:uid="{00000000-0005-0000-0000-00009D540000}"/>
    <cellStyle name="Remarque 2 3 2 3 5 4 2 2" xfId="54567" xr:uid="{00000000-0005-0000-0000-00009E540000}"/>
    <cellStyle name="Remarque 2 3 2 3 5 4 3" xfId="17854" xr:uid="{00000000-0005-0000-0000-00009F540000}"/>
    <cellStyle name="Remarque 2 3 2 3 5 4 4" xfId="41814" xr:uid="{00000000-0005-0000-0000-0000A0540000}"/>
    <cellStyle name="Remarque 2 3 2 3 5 5" xfId="7981" xr:uid="{00000000-0005-0000-0000-0000A1540000}"/>
    <cellStyle name="Remarque 2 3 2 3 5 5 2" xfId="31995" xr:uid="{00000000-0005-0000-0000-0000A2540000}"/>
    <cellStyle name="Remarque 2 3 2 3 5 5 2 2" xfId="55955" xr:uid="{00000000-0005-0000-0000-0000A3540000}"/>
    <cellStyle name="Remarque 2 3 2 3 5 5 3" xfId="19242" xr:uid="{00000000-0005-0000-0000-0000A4540000}"/>
    <cellStyle name="Remarque 2 3 2 3 5 5 4" xfId="43202" xr:uid="{00000000-0005-0000-0000-0000A5540000}"/>
    <cellStyle name="Remarque 2 3 2 3 5 6" xfId="9366" xr:uid="{00000000-0005-0000-0000-0000A6540000}"/>
    <cellStyle name="Remarque 2 3 2 3 5 6 2" xfId="33380" xr:uid="{00000000-0005-0000-0000-0000A7540000}"/>
    <cellStyle name="Remarque 2 3 2 3 5 6 2 2" xfId="57340" xr:uid="{00000000-0005-0000-0000-0000A8540000}"/>
    <cellStyle name="Remarque 2 3 2 3 5 6 3" xfId="20627" xr:uid="{00000000-0005-0000-0000-0000A9540000}"/>
    <cellStyle name="Remarque 2 3 2 3 5 6 4" xfId="44587" xr:uid="{00000000-0005-0000-0000-0000AA540000}"/>
    <cellStyle name="Remarque 2 3 2 3 5 7" xfId="10823" xr:uid="{00000000-0005-0000-0000-0000AB540000}"/>
    <cellStyle name="Remarque 2 3 2 3 5 7 2" xfId="34833" xr:uid="{00000000-0005-0000-0000-0000AC540000}"/>
    <cellStyle name="Remarque 2 3 2 3 5 7 2 2" xfId="58793" xr:uid="{00000000-0005-0000-0000-0000AD540000}"/>
    <cellStyle name="Remarque 2 3 2 3 5 7 3" xfId="22090" xr:uid="{00000000-0005-0000-0000-0000AE540000}"/>
    <cellStyle name="Remarque 2 3 2 3 5 7 4" xfId="46050" xr:uid="{00000000-0005-0000-0000-0000AF540000}"/>
    <cellStyle name="Remarque 2 3 2 3 5 8" xfId="11612" xr:uid="{00000000-0005-0000-0000-0000B0540000}"/>
    <cellStyle name="Remarque 2 3 2 3 5 8 2" xfId="22880" xr:uid="{00000000-0005-0000-0000-0000B1540000}"/>
    <cellStyle name="Remarque 2 3 2 3 5 8 3" xfId="46840" xr:uid="{00000000-0005-0000-0000-0000B2540000}"/>
    <cellStyle name="Remarque 2 3 2 3 5 9" xfId="2295" xr:uid="{00000000-0005-0000-0000-0000B3540000}"/>
    <cellStyle name="Remarque 2 3 2 3 5 9 2" xfId="26309" xr:uid="{00000000-0005-0000-0000-0000B4540000}"/>
    <cellStyle name="Remarque 2 3 2 3 5 9 3" xfId="50269" xr:uid="{00000000-0005-0000-0000-0000B5540000}"/>
    <cellStyle name="Remarque 2 3 2 3 6" xfId="1052" xr:uid="{00000000-0005-0000-0000-0000B6540000}"/>
    <cellStyle name="Remarque 2 3 2 3 6 10" xfId="25084" xr:uid="{00000000-0005-0000-0000-0000B7540000}"/>
    <cellStyle name="Remarque 2 3 2 3 6 10 2" xfId="49044" xr:uid="{00000000-0005-0000-0000-0000B8540000}"/>
    <cellStyle name="Remarque 2 3 2 3 6 11" xfId="35941" xr:uid="{00000000-0005-0000-0000-0000B9540000}"/>
    <cellStyle name="Remarque 2 3 2 3 6 11 2" xfId="59901" xr:uid="{00000000-0005-0000-0000-0000BA540000}"/>
    <cellStyle name="Remarque 2 3 2 3 6 12" xfId="13749" xr:uid="{00000000-0005-0000-0000-0000BB540000}"/>
    <cellStyle name="Remarque 2 3 2 3 6 13" xfId="37709" xr:uid="{00000000-0005-0000-0000-0000BC540000}"/>
    <cellStyle name="Remarque 2 3 2 3 6 2" xfId="3958" xr:uid="{00000000-0005-0000-0000-0000BD540000}"/>
    <cellStyle name="Remarque 2 3 2 3 6 2 2" xfId="27972" xr:uid="{00000000-0005-0000-0000-0000BE540000}"/>
    <cellStyle name="Remarque 2 3 2 3 6 2 2 2" xfId="51932" xr:uid="{00000000-0005-0000-0000-0000BF540000}"/>
    <cellStyle name="Remarque 2 3 2 3 6 2 3" xfId="15219" xr:uid="{00000000-0005-0000-0000-0000C0540000}"/>
    <cellStyle name="Remarque 2 3 2 3 6 2 4" xfId="39179" xr:uid="{00000000-0005-0000-0000-0000C1540000}"/>
    <cellStyle name="Remarque 2 3 2 3 6 3" xfId="5392" xr:uid="{00000000-0005-0000-0000-0000C2540000}"/>
    <cellStyle name="Remarque 2 3 2 3 6 3 2" xfId="29406" xr:uid="{00000000-0005-0000-0000-0000C3540000}"/>
    <cellStyle name="Remarque 2 3 2 3 6 3 2 2" xfId="53366" xr:uid="{00000000-0005-0000-0000-0000C4540000}"/>
    <cellStyle name="Remarque 2 3 2 3 6 3 3" xfId="16653" xr:uid="{00000000-0005-0000-0000-0000C5540000}"/>
    <cellStyle name="Remarque 2 3 2 3 6 3 4" xfId="40613" xr:uid="{00000000-0005-0000-0000-0000C6540000}"/>
    <cellStyle name="Remarque 2 3 2 3 6 4" xfId="6786" xr:uid="{00000000-0005-0000-0000-0000C7540000}"/>
    <cellStyle name="Remarque 2 3 2 3 6 4 2" xfId="30800" xr:uid="{00000000-0005-0000-0000-0000C8540000}"/>
    <cellStyle name="Remarque 2 3 2 3 6 4 2 2" xfId="54760" xr:uid="{00000000-0005-0000-0000-0000C9540000}"/>
    <cellStyle name="Remarque 2 3 2 3 6 4 3" xfId="18047" xr:uid="{00000000-0005-0000-0000-0000CA540000}"/>
    <cellStyle name="Remarque 2 3 2 3 6 4 4" xfId="42007" xr:uid="{00000000-0005-0000-0000-0000CB540000}"/>
    <cellStyle name="Remarque 2 3 2 3 6 5" xfId="8174" xr:uid="{00000000-0005-0000-0000-0000CC540000}"/>
    <cellStyle name="Remarque 2 3 2 3 6 5 2" xfId="32188" xr:uid="{00000000-0005-0000-0000-0000CD540000}"/>
    <cellStyle name="Remarque 2 3 2 3 6 5 2 2" xfId="56148" xr:uid="{00000000-0005-0000-0000-0000CE540000}"/>
    <cellStyle name="Remarque 2 3 2 3 6 5 3" xfId="19435" xr:uid="{00000000-0005-0000-0000-0000CF540000}"/>
    <cellStyle name="Remarque 2 3 2 3 6 5 4" xfId="43395" xr:uid="{00000000-0005-0000-0000-0000D0540000}"/>
    <cellStyle name="Remarque 2 3 2 3 6 6" xfId="9559" xr:uid="{00000000-0005-0000-0000-0000D1540000}"/>
    <cellStyle name="Remarque 2 3 2 3 6 6 2" xfId="33573" xr:uid="{00000000-0005-0000-0000-0000D2540000}"/>
    <cellStyle name="Remarque 2 3 2 3 6 6 2 2" xfId="57533" xr:uid="{00000000-0005-0000-0000-0000D3540000}"/>
    <cellStyle name="Remarque 2 3 2 3 6 6 3" xfId="20820" xr:uid="{00000000-0005-0000-0000-0000D4540000}"/>
    <cellStyle name="Remarque 2 3 2 3 6 6 4" xfId="44780" xr:uid="{00000000-0005-0000-0000-0000D5540000}"/>
    <cellStyle name="Remarque 2 3 2 3 6 7" xfId="11016" xr:uid="{00000000-0005-0000-0000-0000D6540000}"/>
    <cellStyle name="Remarque 2 3 2 3 6 7 2" xfId="35026" xr:uid="{00000000-0005-0000-0000-0000D7540000}"/>
    <cellStyle name="Remarque 2 3 2 3 6 7 2 2" xfId="58986" xr:uid="{00000000-0005-0000-0000-0000D8540000}"/>
    <cellStyle name="Remarque 2 3 2 3 6 7 3" xfId="22283" xr:uid="{00000000-0005-0000-0000-0000D9540000}"/>
    <cellStyle name="Remarque 2 3 2 3 6 7 4" xfId="46243" xr:uid="{00000000-0005-0000-0000-0000DA540000}"/>
    <cellStyle name="Remarque 2 3 2 3 6 8" xfId="12049" xr:uid="{00000000-0005-0000-0000-0000DB540000}"/>
    <cellStyle name="Remarque 2 3 2 3 6 8 2" xfId="23329" xr:uid="{00000000-0005-0000-0000-0000DC540000}"/>
    <cellStyle name="Remarque 2 3 2 3 6 8 3" xfId="47289" xr:uid="{00000000-0005-0000-0000-0000DD540000}"/>
    <cellStyle name="Remarque 2 3 2 3 6 9" xfId="2488" xr:uid="{00000000-0005-0000-0000-0000DE540000}"/>
    <cellStyle name="Remarque 2 3 2 3 6 9 2" xfId="26502" xr:uid="{00000000-0005-0000-0000-0000DF540000}"/>
    <cellStyle name="Remarque 2 3 2 3 6 9 3" xfId="50462" xr:uid="{00000000-0005-0000-0000-0000E0540000}"/>
    <cellStyle name="Remarque 2 3 2 3 7" xfId="1388" xr:uid="{00000000-0005-0000-0000-0000E1540000}"/>
    <cellStyle name="Remarque 2 3 2 3 7 10" xfId="25420" xr:uid="{00000000-0005-0000-0000-0000E2540000}"/>
    <cellStyle name="Remarque 2 3 2 3 7 10 2" xfId="49380" xr:uid="{00000000-0005-0000-0000-0000E3540000}"/>
    <cellStyle name="Remarque 2 3 2 3 7 11" xfId="36234" xr:uid="{00000000-0005-0000-0000-0000E4540000}"/>
    <cellStyle name="Remarque 2 3 2 3 7 11 2" xfId="60194" xr:uid="{00000000-0005-0000-0000-0000E5540000}"/>
    <cellStyle name="Remarque 2 3 2 3 7 12" xfId="14085" xr:uid="{00000000-0005-0000-0000-0000E6540000}"/>
    <cellStyle name="Remarque 2 3 2 3 7 13" xfId="38045" xr:uid="{00000000-0005-0000-0000-0000E7540000}"/>
    <cellStyle name="Remarque 2 3 2 3 7 2" xfId="4294" xr:uid="{00000000-0005-0000-0000-0000E8540000}"/>
    <cellStyle name="Remarque 2 3 2 3 7 2 2" xfId="28308" xr:uid="{00000000-0005-0000-0000-0000E9540000}"/>
    <cellStyle name="Remarque 2 3 2 3 7 2 2 2" xfId="52268" xr:uid="{00000000-0005-0000-0000-0000EA540000}"/>
    <cellStyle name="Remarque 2 3 2 3 7 2 3" xfId="15555" xr:uid="{00000000-0005-0000-0000-0000EB540000}"/>
    <cellStyle name="Remarque 2 3 2 3 7 2 4" xfId="39515" xr:uid="{00000000-0005-0000-0000-0000EC540000}"/>
    <cellStyle name="Remarque 2 3 2 3 7 3" xfId="5728" xr:uid="{00000000-0005-0000-0000-0000ED540000}"/>
    <cellStyle name="Remarque 2 3 2 3 7 3 2" xfId="29742" xr:uid="{00000000-0005-0000-0000-0000EE540000}"/>
    <cellStyle name="Remarque 2 3 2 3 7 3 2 2" xfId="53702" xr:uid="{00000000-0005-0000-0000-0000EF540000}"/>
    <cellStyle name="Remarque 2 3 2 3 7 3 3" xfId="16989" xr:uid="{00000000-0005-0000-0000-0000F0540000}"/>
    <cellStyle name="Remarque 2 3 2 3 7 3 4" xfId="40949" xr:uid="{00000000-0005-0000-0000-0000F1540000}"/>
    <cellStyle name="Remarque 2 3 2 3 7 4" xfId="7122" xr:uid="{00000000-0005-0000-0000-0000F2540000}"/>
    <cellStyle name="Remarque 2 3 2 3 7 4 2" xfId="31136" xr:uid="{00000000-0005-0000-0000-0000F3540000}"/>
    <cellStyle name="Remarque 2 3 2 3 7 4 2 2" xfId="55096" xr:uid="{00000000-0005-0000-0000-0000F4540000}"/>
    <cellStyle name="Remarque 2 3 2 3 7 4 3" xfId="18383" xr:uid="{00000000-0005-0000-0000-0000F5540000}"/>
    <cellStyle name="Remarque 2 3 2 3 7 4 4" xfId="42343" xr:uid="{00000000-0005-0000-0000-0000F6540000}"/>
    <cellStyle name="Remarque 2 3 2 3 7 5" xfId="8510" xr:uid="{00000000-0005-0000-0000-0000F7540000}"/>
    <cellStyle name="Remarque 2 3 2 3 7 5 2" xfId="32524" xr:uid="{00000000-0005-0000-0000-0000F8540000}"/>
    <cellStyle name="Remarque 2 3 2 3 7 5 2 2" xfId="56484" xr:uid="{00000000-0005-0000-0000-0000F9540000}"/>
    <cellStyle name="Remarque 2 3 2 3 7 5 3" xfId="19771" xr:uid="{00000000-0005-0000-0000-0000FA540000}"/>
    <cellStyle name="Remarque 2 3 2 3 7 5 4" xfId="43731" xr:uid="{00000000-0005-0000-0000-0000FB540000}"/>
    <cellStyle name="Remarque 2 3 2 3 7 6" xfId="9895" xr:uid="{00000000-0005-0000-0000-0000FC540000}"/>
    <cellStyle name="Remarque 2 3 2 3 7 6 2" xfId="33909" xr:uid="{00000000-0005-0000-0000-0000FD540000}"/>
    <cellStyle name="Remarque 2 3 2 3 7 6 2 2" xfId="57869" xr:uid="{00000000-0005-0000-0000-0000FE540000}"/>
    <cellStyle name="Remarque 2 3 2 3 7 6 3" xfId="21156" xr:uid="{00000000-0005-0000-0000-0000FF540000}"/>
    <cellStyle name="Remarque 2 3 2 3 7 6 4" xfId="45116" xr:uid="{00000000-0005-0000-0000-000000550000}"/>
    <cellStyle name="Remarque 2 3 2 3 7 7" xfId="11352" xr:uid="{00000000-0005-0000-0000-000001550000}"/>
    <cellStyle name="Remarque 2 3 2 3 7 7 2" xfId="35362" xr:uid="{00000000-0005-0000-0000-000002550000}"/>
    <cellStyle name="Remarque 2 3 2 3 7 7 2 2" xfId="59322" xr:uid="{00000000-0005-0000-0000-000003550000}"/>
    <cellStyle name="Remarque 2 3 2 3 7 7 3" xfId="22619" xr:uid="{00000000-0005-0000-0000-000004550000}"/>
    <cellStyle name="Remarque 2 3 2 3 7 7 4" xfId="46579" xr:uid="{00000000-0005-0000-0000-000005550000}"/>
    <cellStyle name="Remarque 2 3 2 3 7 8" xfId="12075" xr:uid="{00000000-0005-0000-0000-000006550000}"/>
    <cellStyle name="Remarque 2 3 2 3 7 8 2" xfId="23356" xr:uid="{00000000-0005-0000-0000-000007550000}"/>
    <cellStyle name="Remarque 2 3 2 3 7 8 3" xfId="47316" xr:uid="{00000000-0005-0000-0000-000008550000}"/>
    <cellStyle name="Remarque 2 3 2 3 7 9" xfId="2824" xr:uid="{00000000-0005-0000-0000-000009550000}"/>
    <cellStyle name="Remarque 2 3 2 3 7 9 2" xfId="26838" xr:uid="{00000000-0005-0000-0000-00000A550000}"/>
    <cellStyle name="Remarque 2 3 2 3 7 9 3" xfId="50798" xr:uid="{00000000-0005-0000-0000-00000B550000}"/>
    <cellStyle name="Remarque 2 3 2 3 8" xfId="3144" xr:uid="{00000000-0005-0000-0000-00000C550000}"/>
    <cellStyle name="Remarque 2 3 2 3 8 2" xfId="27158" xr:uid="{00000000-0005-0000-0000-00000D550000}"/>
    <cellStyle name="Remarque 2 3 2 3 8 2 2" xfId="51118" xr:uid="{00000000-0005-0000-0000-00000E550000}"/>
    <cellStyle name="Remarque 2 3 2 3 8 3" xfId="14405" xr:uid="{00000000-0005-0000-0000-00000F550000}"/>
    <cellStyle name="Remarque 2 3 2 3 8 4" xfId="38365" xr:uid="{00000000-0005-0000-0000-000010550000}"/>
    <cellStyle name="Remarque 2 3 2 3 9" xfId="1674" xr:uid="{00000000-0005-0000-0000-000011550000}"/>
    <cellStyle name="Remarque 2 3 2 3 9 2" xfId="25688" xr:uid="{00000000-0005-0000-0000-000012550000}"/>
    <cellStyle name="Remarque 2 3 2 3 9 3" xfId="49648" xr:uid="{00000000-0005-0000-0000-000013550000}"/>
    <cellStyle name="Remarque 2 3 2 4" xfId="134" xr:uid="{00000000-0005-0000-0000-000014550000}"/>
    <cellStyle name="Remarque 2 3 2 4 10" xfId="6130" xr:uid="{00000000-0005-0000-0000-000015550000}"/>
    <cellStyle name="Remarque 2 3 2 4 10 2" xfId="30144" xr:uid="{00000000-0005-0000-0000-000016550000}"/>
    <cellStyle name="Remarque 2 3 2 4 10 2 2" xfId="54104" xr:uid="{00000000-0005-0000-0000-000017550000}"/>
    <cellStyle name="Remarque 2 3 2 4 10 3" xfId="17391" xr:uid="{00000000-0005-0000-0000-000018550000}"/>
    <cellStyle name="Remarque 2 3 2 4 10 4" xfId="41351" xr:uid="{00000000-0005-0000-0000-000019550000}"/>
    <cellStyle name="Remarque 2 3 2 4 11" xfId="7518" xr:uid="{00000000-0005-0000-0000-00001A550000}"/>
    <cellStyle name="Remarque 2 3 2 4 11 2" xfId="31532" xr:uid="{00000000-0005-0000-0000-00001B550000}"/>
    <cellStyle name="Remarque 2 3 2 4 11 2 2" xfId="55492" xr:uid="{00000000-0005-0000-0000-00001C550000}"/>
    <cellStyle name="Remarque 2 3 2 4 11 3" xfId="18779" xr:uid="{00000000-0005-0000-0000-00001D550000}"/>
    <cellStyle name="Remarque 2 3 2 4 11 4" xfId="42739" xr:uid="{00000000-0005-0000-0000-00001E550000}"/>
    <cellStyle name="Remarque 2 3 2 4 12" xfId="8903" xr:uid="{00000000-0005-0000-0000-00001F550000}"/>
    <cellStyle name="Remarque 2 3 2 4 12 2" xfId="32917" xr:uid="{00000000-0005-0000-0000-000020550000}"/>
    <cellStyle name="Remarque 2 3 2 4 12 2 2" xfId="56877" xr:uid="{00000000-0005-0000-0000-000021550000}"/>
    <cellStyle name="Remarque 2 3 2 4 12 3" xfId="20164" xr:uid="{00000000-0005-0000-0000-000022550000}"/>
    <cellStyle name="Remarque 2 3 2 4 12 4" xfId="44124" xr:uid="{00000000-0005-0000-0000-000023550000}"/>
    <cellStyle name="Remarque 2 3 2 4 13" xfId="10360" xr:uid="{00000000-0005-0000-0000-000024550000}"/>
    <cellStyle name="Remarque 2 3 2 4 13 2" xfId="34370" xr:uid="{00000000-0005-0000-0000-000025550000}"/>
    <cellStyle name="Remarque 2 3 2 4 13 2 2" xfId="58330" xr:uid="{00000000-0005-0000-0000-000026550000}"/>
    <cellStyle name="Remarque 2 3 2 4 13 3" xfId="21627" xr:uid="{00000000-0005-0000-0000-000027550000}"/>
    <cellStyle name="Remarque 2 3 2 4 13 4" xfId="45587" xr:uid="{00000000-0005-0000-0000-000028550000}"/>
    <cellStyle name="Remarque 2 3 2 4 14" xfId="11991" xr:uid="{00000000-0005-0000-0000-000029550000}"/>
    <cellStyle name="Remarque 2 3 2 4 14 2" xfId="23270" xr:uid="{00000000-0005-0000-0000-00002A550000}"/>
    <cellStyle name="Remarque 2 3 2 4 14 3" xfId="47230" xr:uid="{00000000-0005-0000-0000-00002B550000}"/>
    <cellStyle name="Remarque 2 3 2 4 15" xfId="1832" xr:uid="{00000000-0005-0000-0000-00002C550000}"/>
    <cellStyle name="Remarque 2 3 2 4 15 2" xfId="25846" xr:uid="{00000000-0005-0000-0000-00002D550000}"/>
    <cellStyle name="Remarque 2 3 2 4 15 3" xfId="49806" xr:uid="{00000000-0005-0000-0000-00002E550000}"/>
    <cellStyle name="Remarque 2 3 2 4 16" xfId="24428" xr:uid="{00000000-0005-0000-0000-00002F550000}"/>
    <cellStyle name="Remarque 2 3 2 4 16 2" xfId="48388" xr:uid="{00000000-0005-0000-0000-000030550000}"/>
    <cellStyle name="Remarque 2 3 2 4 17" xfId="35586" xr:uid="{00000000-0005-0000-0000-000031550000}"/>
    <cellStyle name="Remarque 2 3 2 4 17 2" xfId="59546" xr:uid="{00000000-0005-0000-0000-000032550000}"/>
    <cellStyle name="Remarque 2 3 2 4 18" xfId="13093" xr:uid="{00000000-0005-0000-0000-000033550000}"/>
    <cellStyle name="Remarque 2 3 2 4 19" xfId="37053" xr:uid="{00000000-0005-0000-0000-000034550000}"/>
    <cellStyle name="Remarque 2 3 2 4 2" xfId="532" xr:uid="{00000000-0005-0000-0000-000035550000}"/>
    <cellStyle name="Remarque 2 3 2 4 2 10" xfId="24564" xr:uid="{00000000-0005-0000-0000-000036550000}"/>
    <cellStyle name="Remarque 2 3 2 4 2 10 2" xfId="48524" xr:uid="{00000000-0005-0000-0000-000037550000}"/>
    <cellStyle name="Remarque 2 3 2 4 2 11" xfId="36091" xr:uid="{00000000-0005-0000-0000-000038550000}"/>
    <cellStyle name="Remarque 2 3 2 4 2 11 2" xfId="60051" xr:uid="{00000000-0005-0000-0000-000039550000}"/>
    <cellStyle name="Remarque 2 3 2 4 2 12" xfId="13229" xr:uid="{00000000-0005-0000-0000-00003A550000}"/>
    <cellStyle name="Remarque 2 3 2 4 2 13" xfId="37189" xr:uid="{00000000-0005-0000-0000-00003B550000}"/>
    <cellStyle name="Remarque 2 3 2 4 2 2" xfId="3438" xr:uid="{00000000-0005-0000-0000-00003C550000}"/>
    <cellStyle name="Remarque 2 3 2 4 2 2 2" xfId="27452" xr:uid="{00000000-0005-0000-0000-00003D550000}"/>
    <cellStyle name="Remarque 2 3 2 4 2 2 2 2" xfId="51412" xr:uid="{00000000-0005-0000-0000-00003E550000}"/>
    <cellStyle name="Remarque 2 3 2 4 2 2 3" xfId="14699" xr:uid="{00000000-0005-0000-0000-00003F550000}"/>
    <cellStyle name="Remarque 2 3 2 4 2 2 4" xfId="38659" xr:uid="{00000000-0005-0000-0000-000040550000}"/>
    <cellStyle name="Remarque 2 3 2 4 2 3" xfId="4872" xr:uid="{00000000-0005-0000-0000-000041550000}"/>
    <cellStyle name="Remarque 2 3 2 4 2 3 2" xfId="28886" xr:uid="{00000000-0005-0000-0000-000042550000}"/>
    <cellStyle name="Remarque 2 3 2 4 2 3 2 2" xfId="52846" xr:uid="{00000000-0005-0000-0000-000043550000}"/>
    <cellStyle name="Remarque 2 3 2 4 2 3 3" xfId="16133" xr:uid="{00000000-0005-0000-0000-000044550000}"/>
    <cellStyle name="Remarque 2 3 2 4 2 3 4" xfId="40093" xr:uid="{00000000-0005-0000-0000-000045550000}"/>
    <cellStyle name="Remarque 2 3 2 4 2 4" xfId="6266" xr:uid="{00000000-0005-0000-0000-000046550000}"/>
    <cellStyle name="Remarque 2 3 2 4 2 4 2" xfId="30280" xr:uid="{00000000-0005-0000-0000-000047550000}"/>
    <cellStyle name="Remarque 2 3 2 4 2 4 2 2" xfId="54240" xr:uid="{00000000-0005-0000-0000-000048550000}"/>
    <cellStyle name="Remarque 2 3 2 4 2 4 3" xfId="17527" xr:uid="{00000000-0005-0000-0000-000049550000}"/>
    <cellStyle name="Remarque 2 3 2 4 2 4 4" xfId="41487" xr:uid="{00000000-0005-0000-0000-00004A550000}"/>
    <cellStyle name="Remarque 2 3 2 4 2 5" xfId="7654" xr:uid="{00000000-0005-0000-0000-00004B550000}"/>
    <cellStyle name="Remarque 2 3 2 4 2 5 2" xfId="31668" xr:uid="{00000000-0005-0000-0000-00004C550000}"/>
    <cellStyle name="Remarque 2 3 2 4 2 5 2 2" xfId="55628" xr:uid="{00000000-0005-0000-0000-00004D550000}"/>
    <cellStyle name="Remarque 2 3 2 4 2 5 3" xfId="18915" xr:uid="{00000000-0005-0000-0000-00004E550000}"/>
    <cellStyle name="Remarque 2 3 2 4 2 5 4" xfId="42875" xr:uid="{00000000-0005-0000-0000-00004F550000}"/>
    <cellStyle name="Remarque 2 3 2 4 2 6" xfId="9039" xr:uid="{00000000-0005-0000-0000-000050550000}"/>
    <cellStyle name="Remarque 2 3 2 4 2 6 2" xfId="33053" xr:uid="{00000000-0005-0000-0000-000051550000}"/>
    <cellStyle name="Remarque 2 3 2 4 2 6 2 2" xfId="57013" xr:uid="{00000000-0005-0000-0000-000052550000}"/>
    <cellStyle name="Remarque 2 3 2 4 2 6 3" xfId="20300" xr:uid="{00000000-0005-0000-0000-000053550000}"/>
    <cellStyle name="Remarque 2 3 2 4 2 6 4" xfId="44260" xr:uid="{00000000-0005-0000-0000-000054550000}"/>
    <cellStyle name="Remarque 2 3 2 4 2 7" xfId="10496" xr:uid="{00000000-0005-0000-0000-000055550000}"/>
    <cellStyle name="Remarque 2 3 2 4 2 7 2" xfId="34506" xr:uid="{00000000-0005-0000-0000-000056550000}"/>
    <cellStyle name="Remarque 2 3 2 4 2 7 2 2" xfId="58466" xr:uid="{00000000-0005-0000-0000-000057550000}"/>
    <cellStyle name="Remarque 2 3 2 4 2 7 3" xfId="21763" xr:uid="{00000000-0005-0000-0000-000058550000}"/>
    <cellStyle name="Remarque 2 3 2 4 2 7 4" xfId="45723" xr:uid="{00000000-0005-0000-0000-000059550000}"/>
    <cellStyle name="Remarque 2 3 2 4 2 8" xfId="12540" xr:uid="{00000000-0005-0000-0000-00005A550000}"/>
    <cellStyle name="Remarque 2 3 2 4 2 8 2" xfId="23838" xr:uid="{00000000-0005-0000-0000-00005B550000}"/>
    <cellStyle name="Remarque 2 3 2 4 2 8 3" xfId="47798" xr:uid="{00000000-0005-0000-0000-00005C550000}"/>
    <cellStyle name="Remarque 2 3 2 4 2 9" xfId="1968" xr:uid="{00000000-0005-0000-0000-00005D550000}"/>
    <cellStyle name="Remarque 2 3 2 4 2 9 2" xfId="25982" xr:uid="{00000000-0005-0000-0000-00005E550000}"/>
    <cellStyle name="Remarque 2 3 2 4 2 9 3" xfId="49942" xr:uid="{00000000-0005-0000-0000-00005F550000}"/>
    <cellStyle name="Remarque 2 3 2 4 20" xfId="396" xr:uid="{00000000-0005-0000-0000-000060550000}"/>
    <cellStyle name="Remarque 2 3 2 4 3" xfId="724" xr:uid="{00000000-0005-0000-0000-000061550000}"/>
    <cellStyle name="Remarque 2 3 2 4 3 10" xfId="24756" xr:uid="{00000000-0005-0000-0000-000062550000}"/>
    <cellStyle name="Remarque 2 3 2 4 3 10 2" xfId="48716" xr:uid="{00000000-0005-0000-0000-000063550000}"/>
    <cellStyle name="Remarque 2 3 2 4 3 11" xfId="35760" xr:uid="{00000000-0005-0000-0000-000064550000}"/>
    <cellStyle name="Remarque 2 3 2 4 3 11 2" xfId="59720" xr:uid="{00000000-0005-0000-0000-000065550000}"/>
    <cellStyle name="Remarque 2 3 2 4 3 12" xfId="13421" xr:uid="{00000000-0005-0000-0000-000066550000}"/>
    <cellStyle name="Remarque 2 3 2 4 3 13" xfId="37381" xr:uid="{00000000-0005-0000-0000-000067550000}"/>
    <cellStyle name="Remarque 2 3 2 4 3 2" xfId="3630" xr:uid="{00000000-0005-0000-0000-000068550000}"/>
    <cellStyle name="Remarque 2 3 2 4 3 2 2" xfId="27644" xr:uid="{00000000-0005-0000-0000-000069550000}"/>
    <cellStyle name="Remarque 2 3 2 4 3 2 2 2" xfId="51604" xr:uid="{00000000-0005-0000-0000-00006A550000}"/>
    <cellStyle name="Remarque 2 3 2 4 3 2 3" xfId="14891" xr:uid="{00000000-0005-0000-0000-00006B550000}"/>
    <cellStyle name="Remarque 2 3 2 4 3 2 4" xfId="38851" xr:uid="{00000000-0005-0000-0000-00006C550000}"/>
    <cellStyle name="Remarque 2 3 2 4 3 3" xfId="5064" xr:uid="{00000000-0005-0000-0000-00006D550000}"/>
    <cellStyle name="Remarque 2 3 2 4 3 3 2" xfId="29078" xr:uid="{00000000-0005-0000-0000-00006E550000}"/>
    <cellStyle name="Remarque 2 3 2 4 3 3 2 2" xfId="53038" xr:uid="{00000000-0005-0000-0000-00006F550000}"/>
    <cellStyle name="Remarque 2 3 2 4 3 3 3" xfId="16325" xr:uid="{00000000-0005-0000-0000-000070550000}"/>
    <cellStyle name="Remarque 2 3 2 4 3 3 4" xfId="40285" xr:uid="{00000000-0005-0000-0000-000071550000}"/>
    <cellStyle name="Remarque 2 3 2 4 3 4" xfId="6458" xr:uid="{00000000-0005-0000-0000-000072550000}"/>
    <cellStyle name="Remarque 2 3 2 4 3 4 2" xfId="30472" xr:uid="{00000000-0005-0000-0000-000073550000}"/>
    <cellStyle name="Remarque 2 3 2 4 3 4 2 2" xfId="54432" xr:uid="{00000000-0005-0000-0000-000074550000}"/>
    <cellStyle name="Remarque 2 3 2 4 3 4 3" xfId="17719" xr:uid="{00000000-0005-0000-0000-000075550000}"/>
    <cellStyle name="Remarque 2 3 2 4 3 4 4" xfId="41679" xr:uid="{00000000-0005-0000-0000-000076550000}"/>
    <cellStyle name="Remarque 2 3 2 4 3 5" xfId="7846" xr:uid="{00000000-0005-0000-0000-000077550000}"/>
    <cellStyle name="Remarque 2 3 2 4 3 5 2" xfId="31860" xr:uid="{00000000-0005-0000-0000-000078550000}"/>
    <cellStyle name="Remarque 2 3 2 4 3 5 2 2" xfId="55820" xr:uid="{00000000-0005-0000-0000-000079550000}"/>
    <cellStyle name="Remarque 2 3 2 4 3 5 3" xfId="19107" xr:uid="{00000000-0005-0000-0000-00007A550000}"/>
    <cellStyle name="Remarque 2 3 2 4 3 5 4" xfId="43067" xr:uid="{00000000-0005-0000-0000-00007B550000}"/>
    <cellStyle name="Remarque 2 3 2 4 3 6" xfId="9231" xr:uid="{00000000-0005-0000-0000-00007C550000}"/>
    <cellStyle name="Remarque 2 3 2 4 3 6 2" xfId="33245" xr:uid="{00000000-0005-0000-0000-00007D550000}"/>
    <cellStyle name="Remarque 2 3 2 4 3 6 2 2" xfId="57205" xr:uid="{00000000-0005-0000-0000-00007E550000}"/>
    <cellStyle name="Remarque 2 3 2 4 3 6 3" xfId="20492" xr:uid="{00000000-0005-0000-0000-00007F550000}"/>
    <cellStyle name="Remarque 2 3 2 4 3 6 4" xfId="44452" xr:uid="{00000000-0005-0000-0000-000080550000}"/>
    <cellStyle name="Remarque 2 3 2 4 3 7" xfId="10688" xr:uid="{00000000-0005-0000-0000-000081550000}"/>
    <cellStyle name="Remarque 2 3 2 4 3 7 2" xfId="34698" xr:uid="{00000000-0005-0000-0000-000082550000}"/>
    <cellStyle name="Remarque 2 3 2 4 3 7 2 2" xfId="58658" xr:uid="{00000000-0005-0000-0000-000083550000}"/>
    <cellStyle name="Remarque 2 3 2 4 3 7 3" xfId="21955" xr:uid="{00000000-0005-0000-0000-000084550000}"/>
    <cellStyle name="Remarque 2 3 2 4 3 7 4" xfId="45915" xr:uid="{00000000-0005-0000-0000-000085550000}"/>
    <cellStyle name="Remarque 2 3 2 4 3 8" xfId="12025" xr:uid="{00000000-0005-0000-0000-000086550000}"/>
    <cellStyle name="Remarque 2 3 2 4 3 8 2" xfId="23304" xr:uid="{00000000-0005-0000-0000-000087550000}"/>
    <cellStyle name="Remarque 2 3 2 4 3 8 3" xfId="47264" xr:uid="{00000000-0005-0000-0000-000088550000}"/>
    <cellStyle name="Remarque 2 3 2 4 3 9" xfId="2160" xr:uid="{00000000-0005-0000-0000-000089550000}"/>
    <cellStyle name="Remarque 2 3 2 4 3 9 2" xfId="26174" xr:uid="{00000000-0005-0000-0000-00008A550000}"/>
    <cellStyle name="Remarque 2 3 2 4 3 9 3" xfId="50134" xr:uid="{00000000-0005-0000-0000-00008B550000}"/>
    <cellStyle name="Remarque 2 3 2 4 4" xfId="918" xr:uid="{00000000-0005-0000-0000-00008C550000}"/>
    <cellStyle name="Remarque 2 3 2 4 4 10" xfId="24950" xr:uid="{00000000-0005-0000-0000-00008D550000}"/>
    <cellStyle name="Remarque 2 3 2 4 4 10 2" xfId="48910" xr:uid="{00000000-0005-0000-0000-00008E550000}"/>
    <cellStyle name="Remarque 2 3 2 4 4 11" xfId="36227" xr:uid="{00000000-0005-0000-0000-00008F550000}"/>
    <cellStyle name="Remarque 2 3 2 4 4 11 2" xfId="60187" xr:uid="{00000000-0005-0000-0000-000090550000}"/>
    <cellStyle name="Remarque 2 3 2 4 4 12" xfId="13615" xr:uid="{00000000-0005-0000-0000-000091550000}"/>
    <cellStyle name="Remarque 2 3 2 4 4 13" xfId="37575" xr:uid="{00000000-0005-0000-0000-000092550000}"/>
    <cellStyle name="Remarque 2 3 2 4 4 2" xfId="3824" xr:uid="{00000000-0005-0000-0000-000093550000}"/>
    <cellStyle name="Remarque 2 3 2 4 4 2 2" xfId="27838" xr:uid="{00000000-0005-0000-0000-000094550000}"/>
    <cellStyle name="Remarque 2 3 2 4 4 2 2 2" xfId="51798" xr:uid="{00000000-0005-0000-0000-000095550000}"/>
    <cellStyle name="Remarque 2 3 2 4 4 2 3" xfId="15085" xr:uid="{00000000-0005-0000-0000-000096550000}"/>
    <cellStyle name="Remarque 2 3 2 4 4 2 4" xfId="39045" xr:uid="{00000000-0005-0000-0000-000097550000}"/>
    <cellStyle name="Remarque 2 3 2 4 4 3" xfId="5258" xr:uid="{00000000-0005-0000-0000-000098550000}"/>
    <cellStyle name="Remarque 2 3 2 4 4 3 2" xfId="29272" xr:uid="{00000000-0005-0000-0000-000099550000}"/>
    <cellStyle name="Remarque 2 3 2 4 4 3 2 2" xfId="53232" xr:uid="{00000000-0005-0000-0000-00009A550000}"/>
    <cellStyle name="Remarque 2 3 2 4 4 3 3" xfId="16519" xr:uid="{00000000-0005-0000-0000-00009B550000}"/>
    <cellStyle name="Remarque 2 3 2 4 4 3 4" xfId="40479" xr:uid="{00000000-0005-0000-0000-00009C550000}"/>
    <cellStyle name="Remarque 2 3 2 4 4 4" xfId="6652" xr:uid="{00000000-0005-0000-0000-00009D550000}"/>
    <cellStyle name="Remarque 2 3 2 4 4 4 2" xfId="30666" xr:uid="{00000000-0005-0000-0000-00009E550000}"/>
    <cellStyle name="Remarque 2 3 2 4 4 4 2 2" xfId="54626" xr:uid="{00000000-0005-0000-0000-00009F550000}"/>
    <cellStyle name="Remarque 2 3 2 4 4 4 3" xfId="17913" xr:uid="{00000000-0005-0000-0000-0000A0550000}"/>
    <cellStyle name="Remarque 2 3 2 4 4 4 4" xfId="41873" xr:uid="{00000000-0005-0000-0000-0000A1550000}"/>
    <cellStyle name="Remarque 2 3 2 4 4 5" xfId="8040" xr:uid="{00000000-0005-0000-0000-0000A2550000}"/>
    <cellStyle name="Remarque 2 3 2 4 4 5 2" xfId="32054" xr:uid="{00000000-0005-0000-0000-0000A3550000}"/>
    <cellStyle name="Remarque 2 3 2 4 4 5 2 2" xfId="56014" xr:uid="{00000000-0005-0000-0000-0000A4550000}"/>
    <cellStyle name="Remarque 2 3 2 4 4 5 3" xfId="19301" xr:uid="{00000000-0005-0000-0000-0000A5550000}"/>
    <cellStyle name="Remarque 2 3 2 4 4 5 4" xfId="43261" xr:uid="{00000000-0005-0000-0000-0000A6550000}"/>
    <cellStyle name="Remarque 2 3 2 4 4 6" xfId="9425" xr:uid="{00000000-0005-0000-0000-0000A7550000}"/>
    <cellStyle name="Remarque 2 3 2 4 4 6 2" xfId="33439" xr:uid="{00000000-0005-0000-0000-0000A8550000}"/>
    <cellStyle name="Remarque 2 3 2 4 4 6 2 2" xfId="57399" xr:uid="{00000000-0005-0000-0000-0000A9550000}"/>
    <cellStyle name="Remarque 2 3 2 4 4 6 3" xfId="20686" xr:uid="{00000000-0005-0000-0000-0000AA550000}"/>
    <cellStyle name="Remarque 2 3 2 4 4 6 4" xfId="44646" xr:uid="{00000000-0005-0000-0000-0000AB550000}"/>
    <cellStyle name="Remarque 2 3 2 4 4 7" xfId="10882" xr:uid="{00000000-0005-0000-0000-0000AC550000}"/>
    <cellStyle name="Remarque 2 3 2 4 4 7 2" xfId="34892" xr:uid="{00000000-0005-0000-0000-0000AD550000}"/>
    <cellStyle name="Remarque 2 3 2 4 4 7 2 2" xfId="58852" xr:uid="{00000000-0005-0000-0000-0000AE550000}"/>
    <cellStyle name="Remarque 2 3 2 4 4 7 3" xfId="22149" xr:uid="{00000000-0005-0000-0000-0000AF550000}"/>
    <cellStyle name="Remarque 2 3 2 4 4 7 4" xfId="46109" xr:uid="{00000000-0005-0000-0000-0000B0550000}"/>
    <cellStyle name="Remarque 2 3 2 4 4 8" xfId="12215" xr:uid="{00000000-0005-0000-0000-0000B1550000}"/>
    <cellStyle name="Remarque 2 3 2 4 4 8 2" xfId="23499" xr:uid="{00000000-0005-0000-0000-0000B2550000}"/>
    <cellStyle name="Remarque 2 3 2 4 4 8 3" xfId="47459" xr:uid="{00000000-0005-0000-0000-0000B3550000}"/>
    <cellStyle name="Remarque 2 3 2 4 4 9" xfId="2354" xr:uid="{00000000-0005-0000-0000-0000B4550000}"/>
    <cellStyle name="Remarque 2 3 2 4 4 9 2" xfId="26368" xr:uid="{00000000-0005-0000-0000-0000B5550000}"/>
    <cellStyle name="Remarque 2 3 2 4 4 9 3" xfId="50328" xr:uid="{00000000-0005-0000-0000-0000B6550000}"/>
    <cellStyle name="Remarque 2 3 2 4 5" xfId="1111" xr:uid="{00000000-0005-0000-0000-0000B7550000}"/>
    <cellStyle name="Remarque 2 3 2 4 5 10" xfId="25143" xr:uid="{00000000-0005-0000-0000-0000B8550000}"/>
    <cellStyle name="Remarque 2 3 2 4 5 10 2" xfId="49103" xr:uid="{00000000-0005-0000-0000-0000B9550000}"/>
    <cellStyle name="Remarque 2 3 2 4 5 11" xfId="36498" xr:uid="{00000000-0005-0000-0000-0000BA550000}"/>
    <cellStyle name="Remarque 2 3 2 4 5 11 2" xfId="60458" xr:uid="{00000000-0005-0000-0000-0000BB550000}"/>
    <cellStyle name="Remarque 2 3 2 4 5 12" xfId="13808" xr:uid="{00000000-0005-0000-0000-0000BC550000}"/>
    <cellStyle name="Remarque 2 3 2 4 5 13" xfId="37768" xr:uid="{00000000-0005-0000-0000-0000BD550000}"/>
    <cellStyle name="Remarque 2 3 2 4 5 2" xfId="4017" xr:uid="{00000000-0005-0000-0000-0000BE550000}"/>
    <cellStyle name="Remarque 2 3 2 4 5 2 2" xfId="28031" xr:uid="{00000000-0005-0000-0000-0000BF550000}"/>
    <cellStyle name="Remarque 2 3 2 4 5 2 2 2" xfId="51991" xr:uid="{00000000-0005-0000-0000-0000C0550000}"/>
    <cellStyle name="Remarque 2 3 2 4 5 2 3" xfId="15278" xr:uid="{00000000-0005-0000-0000-0000C1550000}"/>
    <cellStyle name="Remarque 2 3 2 4 5 2 4" xfId="39238" xr:uid="{00000000-0005-0000-0000-0000C2550000}"/>
    <cellStyle name="Remarque 2 3 2 4 5 3" xfId="5451" xr:uid="{00000000-0005-0000-0000-0000C3550000}"/>
    <cellStyle name="Remarque 2 3 2 4 5 3 2" xfId="29465" xr:uid="{00000000-0005-0000-0000-0000C4550000}"/>
    <cellStyle name="Remarque 2 3 2 4 5 3 2 2" xfId="53425" xr:uid="{00000000-0005-0000-0000-0000C5550000}"/>
    <cellStyle name="Remarque 2 3 2 4 5 3 3" xfId="16712" xr:uid="{00000000-0005-0000-0000-0000C6550000}"/>
    <cellStyle name="Remarque 2 3 2 4 5 3 4" xfId="40672" xr:uid="{00000000-0005-0000-0000-0000C7550000}"/>
    <cellStyle name="Remarque 2 3 2 4 5 4" xfId="6845" xr:uid="{00000000-0005-0000-0000-0000C8550000}"/>
    <cellStyle name="Remarque 2 3 2 4 5 4 2" xfId="30859" xr:uid="{00000000-0005-0000-0000-0000C9550000}"/>
    <cellStyle name="Remarque 2 3 2 4 5 4 2 2" xfId="54819" xr:uid="{00000000-0005-0000-0000-0000CA550000}"/>
    <cellStyle name="Remarque 2 3 2 4 5 4 3" xfId="18106" xr:uid="{00000000-0005-0000-0000-0000CB550000}"/>
    <cellStyle name="Remarque 2 3 2 4 5 4 4" xfId="42066" xr:uid="{00000000-0005-0000-0000-0000CC550000}"/>
    <cellStyle name="Remarque 2 3 2 4 5 5" xfId="8233" xr:uid="{00000000-0005-0000-0000-0000CD550000}"/>
    <cellStyle name="Remarque 2 3 2 4 5 5 2" xfId="32247" xr:uid="{00000000-0005-0000-0000-0000CE550000}"/>
    <cellStyle name="Remarque 2 3 2 4 5 5 2 2" xfId="56207" xr:uid="{00000000-0005-0000-0000-0000CF550000}"/>
    <cellStyle name="Remarque 2 3 2 4 5 5 3" xfId="19494" xr:uid="{00000000-0005-0000-0000-0000D0550000}"/>
    <cellStyle name="Remarque 2 3 2 4 5 5 4" xfId="43454" xr:uid="{00000000-0005-0000-0000-0000D1550000}"/>
    <cellStyle name="Remarque 2 3 2 4 5 6" xfId="9618" xr:uid="{00000000-0005-0000-0000-0000D2550000}"/>
    <cellStyle name="Remarque 2 3 2 4 5 6 2" xfId="33632" xr:uid="{00000000-0005-0000-0000-0000D3550000}"/>
    <cellStyle name="Remarque 2 3 2 4 5 6 2 2" xfId="57592" xr:uid="{00000000-0005-0000-0000-0000D4550000}"/>
    <cellStyle name="Remarque 2 3 2 4 5 6 3" xfId="20879" xr:uid="{00000000-0005-0000-0000-0000D5550000}"/>
    <cellStyle name="Remarque 2 3 2 4 5 6 4" xfId="44839" xr:uid="{00000000-0005-0000-0000-0000D6550000}"/>
    <cellStyle name="Remarque 2 3 2 4 5 7" xfId="11075" xr:uid="{00000000-0005-0000-0000-0000D7550000}"/>
    <cellStyle name="Remarque 2 3 2 4 5 7 2" xfId="35085" xr:uid="{00000000-0005-0000-0000-0000D8550000}"/>
    <cellStyle name="Remarque 2 3 2 4 5 7 2 2" xfId="59045" xr:uid="{00000000-0005-0000-0000-0000D9550000}"/>
    <cellStyle name="Remarque 2 3 2 4 5 7 3" xfId="22342" xr:uid="{00000000-0005-0000-0000-0000DA550000}"/>
    <cellStyle name="Remarque 2 3 2 4 5 7 4" xfId="46302" xr:uid="{00000000-0005-0000-0000-0000DB550000}"/>
    <cellStyle name="Remarque 2 3 2 4 5 8" xfId="12841" xr:uid="{00000000-0005-0000-0000-0000DC550000}"/>
    <cellStyle name="Remarque 2 3 2 4 5 8 2" xfId="24152" xr:uid="{00000000-0005-0000-0000-0000DD550000}"/>
    <cellStyle name="Remarque 2 3 2 4 5 8 3" xfId="48112" xr:uid="{00000000-0005-0000-0000-0000DE550000}"/>
    <cellStyle name="Remarque 2 3 2 4 5 9" xfId="2547" xr:uid="{00000000-0005-0000-0000-0000DF550000}"/>
    <cellStyle name="Remarque 2 3 2 4 5 9 2" xfId="26561" xr:uid="{00000000-0005-0000-0000-0000E0550000}"/>
    <cellStyle name="Remarque 2 3 2 4 5 9 3" xfId="50521" xr:uid="{00000000-0005-0000-0000-0000E1550000}"/>
    <cellStyle name="Remarque 2 3 2 4 6" xfId="1278" xr:uid="{00000000-0005-0000-0000-0000E2550000}"/>
    <cellStyle name="Remarque 2 3 2 4 6 10" xfId="25310" xr:uid="{00000000-0005-0000-0000-0000E3550000}"/>
    <cellStyle name="Remarque 2 3 2 4 6 10 2" xfId="49270" xr:uid="{00000000-0005-0000-0000-0000E4550000}"/>
    <cellStyle name="Remarque 2 3 2 4 6 11" xfId="36223" xr:uid="{00000000-0005-0000-0000-0000E5550000}"/>
    <cellStyle name="Remarque 2 3 2 4 6 11 2" xfId="60183" xr:uid="{00000000-0005-0000-0000-0000E6550000}"/>
    <cellStyle name="Remarque 2 3 2 4 6 12" xfId="13975" xr:uid="{00000000-0005-0000-0000-0000E7550000}"/>
    <cellStyle name="Remarque 2 3 2 4 6 13" xfId="37935" xr:uid="{00000000-0005-0000-0000-0000E8550000}"/>
    <cellStyle name="Remarque 2 3 2 4 6 2" xfId="4184" xr:uid="{00000000-0005-0000-0000-0000E9550000}"/>
    <cellStyle name="Remarque 2 3 2 4 6 2 2" xfId="28198" xr:uid="{00000000-0005-0000-0000-0000EA550000}"/>
    <cellStyle name="Remarque 2 3 2 4 6 2 2 2" xfId="52158" xr:uid="{00000000-0005-0000-0000-0000EB550000}"/>
    <cellStyle name="Remarque 2 3 2 4 6 2 3" xfId="15445" xr:uid="{00000000-0005-0000-0000-0000EC550000}"/>
    <cellStyle name="Remarque 2 3 2 4 6 2 4" xfId="39405" xr:uid="{00000000-0005-0000-0000-0000ED550000}"/>
    <cellStyle name="Remarque 2 3 2 4 6 3" xfId="5618" xr:uid="{00000000-0005-0000-0000-0000EE550000}"/>
    <cellStyle name="Remarque 2 3 2 4 6 3 2" xfId="29632" xr:uid="{00000000-0005-0000-0000-0000EF550000}"/>
    <cellStyle name="Remarque 2 3 2 4 6 3 2 2" xfId="53592" xr:uid="{00000000-0005-0000-0000-0000F0550000}"/>
    <cellStyle name="Remarque 2 3 2 4 6 3 3" xfId="16879" xr:uid="{00000000-0005-0000-0000-0000F1550000}"/>
    <cellStyle name="Remarque 2 3 2 4 6 3 4" xfId="40839" xr:uid="{00000000-0005-0000-0000-0000F2550000}"/>
    <cellStyle name="Remarque 2 3 2 4 6 4" xfId="7012" xr:uid="{00000000-0005-0000-0000-0000F3550000}"/>
    <cellStyle name="Remarque 2 3 2 4 6 4 2" xfId="31026" xr:uid="{00000000-0005-0000-0000-0000F4550000}"/>
    <cellStyle name="Remarque 2 3 2 4 6 4 2 2" xfId="54986" xr:uid="{00000000-0005-0000-0000-0000F5550000}"/>
    <cellStyle name="Remarque 2 3 2 4 6 4 3" xfId="18273" xr:uid="{00000000-0005-0000-0000-0000F6550000}"/>
    <cellStyle name="Remarque 2 3 2 4 6 4 4" xfId="42233" xr:uid="{00000000-0005-0000-0000-0000F7550000}"/>
    <cellStyle name="Remarque 2 3 2 4 6 5" xfId="8400" xr:uid="{00000000-0005-0000-0000-0000F8550000}"/>
    <cellStyle name="Remarque 2 3 2 4 6 5 2" xfId="32414" xr:uid="{00000000-0005-0000-0000-0000F9550000}"/>
    <cellStyle name="Remarque 2 3 2 4 6 5 2 2" xfId="56374" xr:uid="{00000000-0005-0000-0000-0000FA550000}"/>
    <cellStyle name="Remarque 2 3 2 4 6 5 3" xfId="19661" xr:uid="{00000000-0005-0000-0000-0000FB550000}"/>
    <cellStyle name="Remarque 2 3 2 4 6 5 4" xfId="43621" xr:uid="{00000000-0005-0000-0000-0000FC550000}"/>
    <cellStyle name="Remarque 2 3 2 4 6 6" xfId="9785" xr:uid="{00000000-0005-0000-0000-0000FD550000}"/>
    <cellStyle name="Remarque 2 3 2 4 6 6 2" xfId="33799" xr:uid="{00000000-0005-0000-0000-0000FE550000}"/>
    <cellStyle name="Remarque 2 3 2 4 6 6 2 2" xfId="57759" xr:uid="{00000000-0005-0000-0000-0000FF550000}"/>
    <cellStyle name="Remarque 2 3 2 4 6 6 3" xfId="21046" xr:uid="{00000000-0005-0000-0000-000000560000}"/>
    <cellStyle name="Remarque 2 3 2 4 6 6 4" xfId="45006" xr:uid="{00000000-0005-0000-0000-000001560000}"/>
    <cellStyle name="Remarque 2 3 2 4 6 7" xfId="11242" xr:uid="{00000000-0005-0000-0000-000002560000}"/>
    <cellStyle name="Remarque 2 3 2 4 6 7 2" xfId="35252" xr:uid="{00000000-0005-0000-0000-000003560000}"/>
    <cellStyle name="Remarque 2 3 2 4 6 7 2 2" xfId="59212" xr:uid="{00000000-0005-0000-0000-000004560000}"/>
    <cellStyle name="Remarque 2 3 2 4 6 7 3" xfId="22509" xr:uid="{00000000-0005-0000-0000-000005560000}"/>
    <cellStyle name="Remarque 2 3 2 4 6 7 4" xfId="46469" xr:uid="{00000000-0005-0000-0000-000006560000}"/>
    <cellStyle name="Remarque 2 3 2 4 6 8" xfId="12198" xr:uid="{00000000-0005-0000-0000-000007560000}"/>
    <cellStyle name="Remarque 2 3 2 4 6 8 2" xfId="23481" xr:uid="{00000000-0005-0000-0000-000008560000}"/>
    <cellStyle name="Remarque 2 3 2 4 6 8 3" xfId="47441" xr:uid="{00000000-0005-0000-0000-000009560000}"/>
    <cellStyle name="Remarque 2 3 2 4 6 9" xfId="2714" xr:uid="{00000000-0005-0000-0000-00000A560000}"/>
    <cellStyle name="Remarque 2 3 2 4 6 9 2" xfId="26728" xr:uid="{00000000-0005-0000-0000-00000B560000}"/>
    <cellStyle name="Remarque 2 3 2 4 6 9 3" xfId="50688" xr:uid="{00000000-0005-0000-0000-00000C560000}"/>
    <cellStyle name="Remarque 2 3 2 4 7" xfId="1447" xr:uid="{00000000-0005-0000-0000-00000D560000}"/>
    <cellStyle name="Remarque 2 3 2 4 7 10" xfId="25479" xr:uid="{00000000-0005-0000-0000-00000E560000}"/>
    <cellStyle name="Remarque 2 3 2 4 7 10 2" xfId="49439" xr:uid="{00000000-0005-0000-0000-00000F560000}"/>
    <cellStyle name="Remarque 2 3 2 4 7 11" xfId="36544" xr:uid="{00000000-0005-0000-0000-000010560000}"/>
    <cellStyle name="Remarque 2 3 2 4 7 11 2" xfId="60504" xr:uid="{00000000-0005-0000-0000-000011560000}"/>
    <cellStyle name="Remarque 2 3 2 4 7 12" xfId="14144" xr:uid="{00000000-0005-0000-0000-000012560000}"/>
    <cellStyle name="Remarque 2 3 2 4 7 13" xfId="38104" xr:uid="{00000000-0005-0000-0000-000013560000}"/>
    <cellStyle name="Remarque 2 3 2 4 7 2" xfId="4353" xr:uid="{00000000-0005-0000-0000-000014560000}"/>
    <cellStyle name="Remarque 2 3 2 4 7 2 2" xfId="28367" xr:uid="{00000000-0005-0000-0000-000015560000}"/>
    <cellStyle name="Remarque 2 3 2 4 7 2 2 2" xfId="52327" xr:uid="{00000000-0005-0000-0000-000016560000}"/>
    <cellStyle name="Remarque 2 3 2 4 7 2 3" xfId="15614" xr:uid="{00000000-0005-0000-0000-000017560000}"/>
    <cellStyle name="Remarque 2 3 2 4 7 2 4" xfId="39574" xr:uid="{00000000-0005-0000-0000-000018560000}"/>
    <cellStyle name="Remarque 2 3 2 4 7 3" xfId="5787" xr:uid="{00000000-0005-0000-0000-000019560000}"/>
    <cellStyle name="Remarque 2 3 2 4 7 3 2" xfId="29801" xr:uid="{00000000-0005-0000-0000-00001A560000}"/>
    <cellStyle name="Remarque 2 3 2 4 7 3 2 2" xfId="53761" xr:uid="{00000000-0005-0000-0000-00001B560000}"/>
    <cellStyle name="Remarque 2 3 2 4 7 3 3" xfId="17048" xr:uid="{00000000-0005-0000-0000-00001C560000}"/>
    <cellStyle name="Remarque 2 3 2 4 7 3 4" xfId="41008" xr:uid="{00000000-0005-0000-0000-00001D560000}"/>
    <cellStyle name="Remarque 2 3 2 4 7 4" xfId="7181" xr:uid="{00000000-0005-0000-0000-00001E560000}"/>
    <cellStyle name="Remarque 2 3 2 4 7 4 2" xfId="31195" xr:uid="{00000000-0005-0000-0000-00001F560000}"/>
    <cellStyle name="Remarque 2 3 2 4 7 4 2 2" xfId="55155" xr:uid="{00000000-0005-0000-0000-000020560000}"/>
    <cellStyle name="Remarque 2 3 2 4 7 4 3" xfId="18442" xr:uid="{00000000-0005-0000-0000-000021560000}"/>
    <cellStyle name="Remarque 2 3 2 4 7 4 4" xfId="42402" xr:uid="{00000000-0005-0000-0000-000022560000}"/>
    <cellStyle name="Remarque 2 3 2 4 7 5" xfId="8569" xr:uid="{00000000-0005-0000-0000-000023560000}"/>
    <cellStyle name="Remarque 2 3 2 4 7 5 2" xfId="32583" xr:uid="{00000000-0005-0000-0000-000024560000}"/>
    <cellStyle name="Remarque 2 3 2 4 7 5 2 2" xfId="56543" xr:uid="{00000000-0005-0000-0000-000025560000}"/>
    <cellStyle name="Remarque 2 3 2 4 7 5 3" xfId="19830" xr:uid="{00000000-0005-0000-0000-000026560000}"/>
    <cellStyle name="Remarque 2 3 2 4 7 5 4" xfId="43790" xr:uid="{00000000-0005-0000-0000-000027560000}"/>
    <cellStyle name="Remarque 2 3 2 4 7 6" xfId="9954" xr:uid="{00000000-0005-0000-0000-000028560000}"/>
    <cellStyle name="Remarque 2 3 2 4 7 6 2" xfId="33968" xr:uid="{00000000-0005-0000-0000-000029560000}"/>
    <cellStyle name="Remarque 2 3 2 4 7 6 2 2" xfId="57928" xr:uid="{00000000-0005-0000-0000-00002A560000}"/>
    <cellStyle name="Remarque 2 3 2 4 7 6 3" xfId="21215" xr:uid="{00000000-0005-0000-0000-00002B560000}"/>
    <cellStyle name="Remarque 2 3 2 4 7 6 4" xfId="45175" xr:uid="{00000000-0005-0000-0000-00002C560000}"/>
    <cellStyle name="Remarque 2 3 2 4 7 7" xfId="11411" xr:uid="{00000000-0005-0000-0000-00002D560000}"/>
    <cellStyle name="Remarque 2 3 2 4 7 7 2" xfId="35421" xr:uid="{00000000-0005-0000-0000-00002E560000}"/>
    <cellStyle name="Remarque 2 3 2 4 7 7 2 2" xfId="59381" xr:uid="{00000000-0005-0000-0000-00002F560000}"/>
    <cellStyle name="Remarque 2 3 2 4 7 7 3" xfId="22678" xr:uid="{00000000-0005-0000-0000-000030560000}"/>
    <cellStyle name="Remarque 2 3 2 4 7 7 4" xfId="46638" xr:uid="{00000000-0005-0000-0000-000031560000}"/>
    <cellStyle name="Remarque 2 3 2 4 7 8" xfId="12531" xr:uid="{00000000-0005-0000-0000-000032560000}"/>
    <cellStyle name="Remarque 2 3 2 4 7 8 2" xfId="23828" xr:uid="{00000000-0005-0000-0000-000033560000}"/>
    <cellStyle name="Remarque 2 3 2 4 7 8 3" xfId="47788" xr:uid="{00000000-0005-0000-0000-000034560000}"/>
    <cellStyle name="Remarque 2 3 2 4 7 9" xfId="2883" xr:uid="{00000000-0005-0000-0000-000035560000}"/>
    <cellStyle name="Remarque 2 3 2 4 7 9 2" xfId="26897" xr:uid="{00000000-0005-0000-0000-000036560000}"/>
    <cellStyle name="Remarque 2 3 2 4 7 9 3" xfId="50857" xr:uid="{00000000-0005-0000-0000-000037560000}"/>
    <cellStyle name="Remarque 2 3 2 4 8" xfId="3302" xr:uid="{00000000-0005-0000-0000-000038560000}"/>
    <cellStyle name="Remarque 2 3 2 4 8 2" xfId="27316" xr:uid="{00000000-0005-0000-0000-000039560000}"/>
    <cellStyle name="Remarque 2 3 2 4 8 2 2" xfId="51276" xr:uid="{00000000-0005-0000-0000-00003A560000}"/>
    <cellStyle name="Remarque 2 3 2 4 8 3" xfId="14563" xr:uid="{00000000-0005-0000-0000-00003B560000}"/>
    <cellStyle name="Remarque 2 3 2 4 8 4" xfId="38523" xr:uid="{00000000-0005-0000-0000-00003C560000}"/>
    <cellStyle name="Remarque 2 3 2 4 9" xfId="4736" xr:uid="{00000000-0005-0000-0000-00003D560000}"/>
    <cellStyle name="Remarque 2 3 2 4 9 2" xfId="28750" xr:uid="{00000000-0005-0000-0000-00003E560000}"/>
    <cellStyle name="Remarque 2 3 2 4 9 2 2" xfId="52710" xr:uid="{00000000-0005-0000-0000-00003F560000}"/>
    <cellStyle name="Remarque 2 3 2 4 9 3" xfId="15997" xr:uid="{00000000-0005-0000-0000-000040560000}"/>
    <cellStyle name="Remarque 2 3 2 4 9 4" xfId="39957" xr:uid="{00000000-0005-0000-0000-000041560000}"/>
    <cellStyle name="Remarque 2 3 2 5" xfId="374" xr:uid="{00000000-0005-0000-0000-000042560000}"/>
    <cellStyle name="Remarque 2 3 2 5 10" xfId="6108" xr:uid="{00000000-0005-0000-0000-000043560000}"/>
    <cellStyle name="Remarque 2 3 2 5 10 2" xfId="30122" xr:uid="{00000000-0005-0000-0000-000044560000}"/>
    <cellStyle name="Remarque 2 3 2 5 10 2 2" xfId="54082" xr:uid="{00000000-0005-0000-0000-000045560000}"/>
    <cellStyle name="Remarque 2 3 2 5 10 3" xfId="17369" xr:uid="{00000000-0005-0000-0000-000046560000}"/>
    <cellStyle name="Remarque 2 3 2 5 10 4" xfId="41329" xr:uid="{00000000-0005-0000-0000-000047560000}"/>
    <cellStyle name="Remarque 2 3 2 5 11" xfId="7496" xr:uid="{00000000-0005-0000-0000-000048560000}"/>
    <cellStyle name="Remarque 2 3 2 5 11 2" xfId="31510" xr:uid="{00000000-0005-0000-0000-000049560000}"/>
    <cellStyle name="Remarque 2 3 2 5 11 2 2" xfId="55470" xr:uid="{00000000-0005-0000-0000-00004A560000}"/>
    <cellStyle name="Remarque 2 3 2 5 11 3" xfId="18757" xr:uid="{00000000-0005-0000-0000-00004B560000}"/>
    <cellStyle name="Remarque 2 3 2 5 11 4" xfId="42717" xr:uid="{00000000-0005-0000-0000-00004C560000}"/>
    <cellStyle name="Remarque 2 3 2 5 12" xfId="8881" xr:uid="{00000000-0005-0000-0000-00004D560000}"/>
    <cellStyle name="Remarque 2 3 2 5 12 2" xfId="32895" xr:uid="{00000000-0005-0000-0000-00004E560000}"/>
    <cellStyle name="Remarque 2 3 2 5 12 2 2" xfId="56855" xr:uid="{00000000-0005-0000-0000-00004F560000}"/>
    <cellStyle name="Remarque 2 3 2 5 12 3" xfId="20142" xr:uid="{00000000-0005-0000-0000-000050560000}"/>
    <cellStyle name="Remarque 2 3 2 5 12 4" xfId="44102" xr:uid="{00000000-0005-0000-0000-000051560000}"/>
    <cellStyle name="Remarque 2 3 2 5 13" xfId="10338" xr:uid="{00000000-0005-0000-0000-000052560000}"/>
    <cellStyle name="Remarque 2 3 2 5 13 2" xfId="34348" xr:uid="{00000000-0005-0000-0000-000053560000}"/>
    <cellStyle name="Remarque 2 3 2 5 13 2 2" xfId="58308" xr:uid="{00000000-0005-0000-0000-000054560000}"/>
    <cellStyle name="Remarque 2 3 2 5 13 3" xfId="21605" xr:uid="{00000000-0005-0000-0000-000055560000}"/>
    <cellStyle name="Remarque 2 3 2 5 13 4" xfId="45565" xr:uid="{00000000-0005-0000-0000-000056560000}"/>
    <cellStyle name="Remarque 2 3 2 5 14" xfId="12597" xr:uid="{00000000-0005-0000-0000-000057560000}"/>
    <cellStyle name="Remarque 2 3 2 5 14 2" xfId="23898" xr:uid="{00000000-0005-0000-0000-000058560000}"/>
    <cellStyle name="Remarque 2 3 2 5 14 3" xfId="47858" xr:uid="{00000000-0005-0000-0000-000059560000}"/>
    <cellStyle name="Remarque 2 3 2 5 15" xfId="1810" xr:uid="{00000000-0005-0000-0000-00005A560000}"/>
    <cellStyle name="Remarque 2 3 2 5 15 2" xfId="25824" xr:uid="{00000000-0005-0000-0000-00005B560000}"/>
    <cellStyle name="Remarque 2 3 2 5 15 3" xfId="49784" xr:uid="{00000000-0005-0000-0000-00005C560000}"/>
    <cellStyle name="Remarque 2 3 2 5 16" xfId="24406" xr:uid="{00000000-0005-0000-0000-00005D560000}"/>
    <cellStyle name="Remarque 2 3 2 5 16 2" xfId="48366" xr:uid="{00000000-0005-0000-0000-00005E560000}"/>
    <cellStyle name="Remarque 2 3 2 5 17" xfId="35939" xr:uid="{00000000-0005-0000-0000-00005F560000}"/>
    <cellStyle name="Remarque 2 3 2 5 17 2" xfId="59899" xr:uid="{00000000-0005-0000-0000-000060560000}"/>
    <cellStyle name="Remarque 2 3 2 5 18" xfId="13071" xr:uid="{00000000-0005-0000-0000-000061560000}"/>
    <cellStyle name="Remarque 2 3 2 5 19" xfId="37031" xr:uid="{00000000-0005-0000-0000-000062560000}"/>
    <cellStyle name="Remarque 2 3 2 5 2" xfId="510" xr:uid="{00000000-0005-0000-0000-000063560000}"/>
    <cellStyle name="Remarque 2 3 2 5 2 10" xfId="24542" xr:uid="{00000000-0005-0000-0000-000064560000}"/>
    <cellStyle name="Remarque 2 3 2 5 2 10 2" xfId="48502" xr:uid="{00000000-0005-0000-0000-000065560000}"/>
    <cellStyle name="Remarque 2 3 2 5 2 11" xfId="24271" xr:uid="{00000000-0005-0000-0000-000066560000}"/>
    <cellStyle name="Remarque 2 3 2 5 2 11 2" xfId="48231" xr:uid="{00000000-0005-0000-0000-000067560000}"/>
    <cellStyle name="Remarque 2 3 2 5 2 12" xfId="13207" xr:uid="{00000000-0005-0000-0000-000068560000}"/>
    <cellStyle name="Remarque 2 3 2 5 2 13" xfId="37167" xr:uid="{00000000-0005-0000-0000-000069560000}"/>
    <cellStyle name="Remarque 2 3 2 5 2 2" xfId="3416" xr:uid="{00000000-0005-0000-0000-00006A560000}"/>
    <cellStyle name="Remarque 2 3 2 5 2 2 2" xfId="27430" xr:uid="{00000000-0005-0000-0000-00006B560000}"/>
    <cellStyle name="Remarque 2 3 2 5 2 2 2 2" xfId="51390" xr:uid="{00000000-0005-0000-0000-00006C560000}"/>
    <cellStyle name="Remarque 2 3 2 5 2 2 3" xfId="14677" xr:uid="{00000000-0005-0000-0000-00006D560000}"/>
    <cellStyle name="Remarque 2 3 2 5 2 2 4" xfId="38637" xr:uid="{00000000-0005-0000-0000-00006E560000}"/>
    <cellStyle name="Remarque 2 3 2 5 2 3" xfId="4850" xr:uid="{00000000-0005-0000-0000-00006F560000}"/>
    <cellStyle name="Remarque 2 3 2 5 2 3 2" xfId="28864" xr:uid="{00000000-0005-0000-0000-000070560000}"/>
    <cellStyle name="Remarque 2 3 2 5 2 3 2 2" xfId="52824" xr:uid="{00000000-0005-0000-0000-000071560000}"/>
    <cellStyle name="Remarque 2 3 2 5 2 3 3" xfId="16111" xr:uid="{00000000-0005-0000-0000-000072560000}"/>
    <cellStyle name="Remarque 2 3 2 5 2 3 4" xfId="40071" xr:uid="{00000000-0005-0000-0000-000073560000}"/>
    <cellStyle name="Remarque 2 3 2 5 2 4" xfId="6244" xr:uid="{00000000-0005-0000-0000-000074560000}"/>
    <cellStyle name="Remarque 2 3 2 5 2 4 2" xfId="30258" xr:uid="{00000000-0005-0000-0000-000075560000}"/>
    <cellStyle name="Remarque 2 3 2 5 2 4 2 2" xfId="54218" xr:uid="{00000000-0005-0000-0000-000076560000}"/>
    <cellStyle name="Remarque 2 3 2 5 2 4 3" xfId="17505" xr:uid="{00000000-0005-0000-0000-000077560000}"/>
    <cellStyle name="Remarque 2 3 2 5 2 4 4" xfId="41465" xr:uid="{00000000-0005-0000-0000-000078560000}"/>
    <cellStyle name="Remarque 2 3 2 5 2 5" xfId="7632" xr:uid="{00000000-0005-0000-0000-000079560000}"/>
    <cellStyle name="Remarque 2 3 2 5 2 5 2" xfId="31646" xr:uid="{00000000-0005-0000-0000-00007A560000}"/>
    <cellStyle name="Remarque 2 3 2 5 2 5 2 2" xfId="55606" xr:uid="{00000000-0005-0000-0000-00007B560000}"/>
    <cellStyle name="Remarque 2 3 2 5 2 5 3" xfId="18893" xr:uid="{00000000-0005-0000-0000-00007C560000}"/>
    <cellStyle name="Remarque 2 3 2 5 2 5 4" xfId="42853" xr:uid="{00000000-0005-0000-0000-00007D560000}"/>
    <cellStyle name="Remarque 2 3 2 5 2 6" xfId="9017" xr:uid="{00000000-0005-0000-0000-00007E560000}"/>
    <cellStyle name="Remarque 2 3 2 5 2 6 2" xfId="33031" xr:uid="{00000000-0005-0000-0000-00007F560000}"/>
    <cellStyle name="Remarque 2 3 2 5 2 6 2 2" xfId="56991" xr:uid="{00000000-0005-0000-0000-000080560000}"/>
    <cellStyle name="Remarque 2 3 2 5 2 6 3" xfId="20278" xr:uid="{00000000-0005-0000-0000-000081560000}"/>
    <cellStyle name="Remarque 2 3 2 5 2 6 4" xfId="44238" xr:uid="{00000000-0005-0000-0000-000082560000}"/>
    <cellStyle name="Remarque 2 3 2 5 2 7" xfId="10474" xr:uid="{00000000-0005-0000-0000-000083560000}"/>
    <cellStyle name="Remarque 2 3 2 5 2 7 2" xfId="34484" xr:uid="{00000000-0005-0000-0000-000084560000}"/>
    <cellStyle name="Remarque 2 3 2 5 2 7 2 2" xfId="58444" xr:uid="{00000000-0005-0000-0000-000085560000}"/>
    <cellStyle name="Remarque 2 3 2 5 2 7 3" xfId="21741" xr:uid="{00000000-0005-0000-0000-000086560000}"/>
    <cellStyle name="Remarque 2 3 2 5 2 7 4" xfId="45701" xr:uid="{00000000-0005-0000-0000-000087560000}"/>
    <cellStyle name="Remarque 2 3 2 5 2 8" xfId="11858" xr:uid="{00000000-0005-0000-0000-000088560000}"/>
    <cellStyle name="Remarque 2 3 2 5 2 8 2" xfId="23134" xr:uid="{00000000-0005-0000-0000-000089560000}"/>
    <cellStyle name="Remarque 2 3 2 5 2 8 3" xfId="47094" xr:uid="{00000000-0005-0000-0000-00008A560000}"/>
    <cellStyle name="Remarque 2 3 2 5 2 9" xfId="1946" xr:uid="{00000000-0005-0000-0000-00008B560000}"/>
    <cellStyle name="Remarque 2 3 2 5 2 9 2" xfId="25960" xr:uid="{00000000-0005-0000-0000-00008C560000}"/>
    <cellStyle name="Remarque 2 3 2 5 2 9 3" xfId="49920" xr:uid="{00000000-0005-0000-0000-00008D560000}"/>
    <cellStyle name="Remarque 2 3 2 5 3" xfId="702" xr:uid="{00000000-0005-0000-0000-00008E560000}"/>
    <cellStyle name="Remarque 2 3 2 5 3 10" xfId="24734" xr:uid="{00000000-0005-0000-0000-00008F560000}"/>
    <cellStyle name="Remarque 2 3 2 5 3 10 2" xfId="48694" xr:uid="{00000000-0005-0000-0000-000090560000}"/>
    <cellStyle name="Remarque 2 3 2 5 3 11" xfId="36371" xr:uid="{00000000-0005-0000-0000-000091560000}"/>
    <cellStyle name="Remarque 2 3 2 5 3 11 2" xfId="60331" xr:uid="{00000000-0005-0000-0000-000092560000}"/>
    <cellStyle name="Remarque 2 3 2 5 3 12" xfId="13399" xr:uid="{00000000-0005-0000-0000-000093560000}"/>
    <cellStyle name="Remarque 2 3 2 5 3 13" xfId="37359" xr:uid="{00000000-0005-0000-0000-000094560000}"/>
    <cellStyle name="Remarque 2 3 2 5 3 2" xfId="3608" xr:uid="{00000000-0005-0000-0000-000095560000}"/>
    <cellStyle name="Remarque 2 3 2 5 3 2 2" xfId="27622" xr:uid="{00000000-0005-0000-0000-000096560000}"/>
    <cellStyle name="Remarque 2 3 2 5 3 2 2 2" xfId="51582" xr:uid="{00000000-0005-0000-0000-000097560000}"/>
    <cellStyle name="Remarque 2 3 2 5 3 2 3" xfId="14869" xr:uid="{00000000-0005-0000-0000-000098560000}"/>
    <cellStyle name="Remarque 2 3 2 5 3 2 4" xfId="38829" xr:uid="{00000000-0005-0000-0000-000099560000}"/>
    <cellStyle name="Remarque 2 3 2 5 3 3" xfId="5042" xr:uid="{00000000-0005-0000-0000-00009A560000}"/>
    <cellStyle name="Remarque 2 3 2 5 3 3 2" xfId="29056" xr:uid="{00000000-0005-0000-0000-00009B560000}"/>
    <cellStyle name="Remarque 2 3 2 5 3 3 2 2" xfId="53016" xr:uid="{00000000-0005-0000-0000-00009C560000}"/>
    <cellStyle name="Remarque 2 3 2 5 3 3 3" xfId="16303" xr:uid="{00000000-0005-0000-0000-00009D560000}"/>
    <cellStyle name="Remarque 2 3 2 5 3 3 4" xfId="40263" xr:uid="{00000000-0005-0000-0000-00009E560000}"/>
    <cellStyle name="Remarque 2 3 2 5 3 4" xfId="6436" xr:uid="{00000000-0005-0000-0000-00009F560000}"/>
    <cellStyle name="Remarque 2 3 2 5 3 4 2" xfId="30450" xr:uid="{00000000-0005-0000-0000-0000A0560000}"/>
    <cellStyle name="Remarque 2 3 2 5 3 4 2 2" xfId="54410" xr:uid="{00000000-0005-0000-0000-0000A1560000}"/>
    <cellStyle name="Remarque 2 3 2 5 3 4 3" xfId="17697" xr:uid="{00000000-0005-0000-0000-0000A2560000}"/>
    <cellStyle name="Remarque 2 3 2 5 3 4 4" xfId="41657" xr:uid="{00000000-0005-0000-0000-0000A3560000}"/>
    <cellStyle name="Remarque 2 3 2 5 3 5" xfId="7824" xr:uid="{00000000-0005-0000-0000-0000A4560000}"/>
    <cellStyle name="Remarque 2 3 2 5 3 5 2" xfId="31838" xr:uid="{00000000-0005-0000-0000-0000A5560000}"/>
    <cellStyle name="Remarque 2 3 2 5 3 5 2 2" xfId="55798" xr:uid="{00000000-0005-0000-0000-0000A6560000}"/>
    <cellStyle name="Remarque 2 3 2 5 3 5 3" xfId="19085" xr:uid="{00000000-0005-0000-0000-0000A7560000}"/>
    <cellStyle name="Remarque 2 3 2 5 3 5 4" xfId="43045" xr:uid="{00000000-0005-0000-0000-0000A8560000}"/>
    <cellStyle name="Remarque 2 3 2 5 3 6" xfId="9209" xr:uid="{00000000-0005-0000-0000-0000A9560000}"/>
    <cellStyle name="Remarque 2 3 2 5 3 6 2" xfId="33223" xr:uid="{00000000-0005-0000-0000-0000AA560000}"/>
    <cellStyle name="Remarque 2 3 2 5 3 6 2 2" xfId="57183" xr:uid="{00000000-0005-0000-0000-0000AB560000}"/>
    <cellStyle name="Remarque 2 3 2 5 3 6 3" xfId="20470" xr:uid="{00000000-0005-0000-0000-0000AC560000}"/>
    <cellStyle name="Remarque 2 3 2 5 3 6 4" xfId="44430" xr:uid="{00000000-0005-0000-0000-0000AD560000}"/>
    <cellStyle name="Remarque 2 3 2 5 3 7" xfId="10666" xr:uid="{00000000-0005-0000-0000-0000AE560000}"/>
    <cellStyle name="Remarque 2 3 2 5 3 7 2" xfId="34676" xr:uid="{00000000-0005-0000-0000-0000AF560000}"/>
    <cellStyle name="Remarque 2 3 2 5 3 7 2 2" xfId="58636" xr:uid="{00000000-0005-0000-0000-0000B0560000}"/>
    <cellStyle name="Remarque 2 3 2 5 3 7 3" xfId="21933" xr:uid="{00000000-0005-0000-0000-0000B1560000}"/>
    <cellStyle name="Remarque 2 3 2 5 3 7 4" xfId="45893" xr:uid="{00000000-0005-0000-0000-0000B2560000}"/>
    <cellStyle name="Remarque 2 3 2 5 3 8" xfId="12416" xr:uid="{00000000-0005-0000-0000-0000B3560000}"/>
    <cellStyle name="Remarque 2 3 2 5 3 8 2" xfId="23707" xr:uid="{00000000-0005-0000-0000-0000B4560000}"/>
    <cellStyle name="Remarque 2 3 2 5 3 8 3" xfId="47667" xr:uid="{00000000-0005-0000-0000-0000B5560000}"/>
    <cellStyle name="Remarque 2 3 2 5 3 9" xfId="2138" xr:uid="{00000000-0005-0000-0000-0000B6560000}"/>
    <cellStyle name="Remarque 2 3 2 5 3 9 2" xfId="26152" xr:uid="{00000000-0005-0000-0000-0000B7560000}"/>
    <cellStyle name="Remarque 2 3 2 5 3 9 3" xfId="50112" xr:uid="{00000000-0005-0000-0000-0000B8560000}"/>
    <cellStyle name="Remarque 2 3 2 5 4" xfId="896" xr:uid="{00000000-0005-0000-0000-0000B9560000}"/>
    <cellStyle name="Remarque 2 3 2 5 4 10" xfId="24928" xr:uid="{00000000-0005-0000-0000-0000BA560000}"/>
    <cellStyle name="Remarque 2 3 2 5 4 10 2" xfId="48888" xr:uid="{00000000-0005-0000-0000-0000BB560000}"/>
    <cellStyle name="Remarque 2 3 2 5 4 11" xfId="36023" xr:uid="{00000000-0005-0000-0000-0000BC560000}"/>
    <cellStyle name="Remarque 2 3 2 5 4 11 2" xfId="59983" xr:uid="{00000000-0005-0000-0000-0000BD560000}"/>
    <cellStyle name="Remarque 2 3 2 5 4 12" xfId="13593" xr:uid="{00000000-0005-0000-0000-0000BE560000}"/>
    <cellStyle name="Remarque 2 3 2 5 4 13" xfId="37553" xr:uid="{00000000-0005-0000-0000-0000BF560000}"/>
    <cellStyle name="Remarque 2 3 2 5 4 2" xfId="3802" xr:uid="{00000000-0005-0000-0000-0000C0560000}"/>
    <cellStyle name="Remarque 2 3 2 5 4 2 2" xfId="27816" xr:uid="{00000000-0005-0000-0000-0000C1560000}"/>
    <cellStyle name="Remarque 2 3 2 5 4 2 2 2" xfId="51776" xr:uid="{00000000-0005-0000-0000-0000C2560000}"/>
    <cellStyle name="Remarque 2 3 2 5 4 2 3" xfId="15063" xr:uid="{00000000-0005-0000-0000-0000C3560000}"/>
    <cellStyle name="Remarque 2 3 2 5 4 2 4" xfId="39023" xr:uid="{00000000-0005-0000-0000-0000C4560000}"/>
    <cellStyle name="Remarque 2 3 2 5 4 3" xfId="5236" xr:uid="{00000000-0005-0000-0000-0000C5560000}"/>
    <cellStyle name="Remarque 2 3 2 5 4 3 2" xfId="29250" xr:uid="{00000000-0005-0000-0000-0000C6560000}"/>
    <cellStyle name="Remarque 2 3 2 5 4 3 2 2" xfId="53210" xr:uid="{00000000-0005-0000-0000-0000C7560000}"/>
    <cellStyle name="Remarque 2 3 2 5 4 3 3" xfId="16497" xr:uid="{00000000-0005-0000-0000-0000C8560000}"/>
    <cellStyle name="Remarque 2 3 2 5 4 3 4" xfId="40457" xr:uid="{00000000-0005-0000-0000-0000C9560000}"/>
    <cellStyle name="Remarque 2 3 2 5 4 4" xfId="6630" xr:uid="{00000000-0005-0000-0000-0000CA560000}"/>
    <cellStyle name="Remarque 2 3 2 5 4 4 2" xfId="30644" xr:uid="{00000000-0005-0000-0000-0000CB560000}"/>
    <cellStyle name="Remarque 2 3 2 5 4 4 2 2" xfId="54604" xr:uid="{00000000-0005-0000-0000-0000CC560000}"/>
    <cellStyle name="Remarque 2 3 2 5 4 4 3" xfId="17891" xr:uid="{00000000-0005-0000-0000-0000CD560000}"/>
    <cellStyle name="Remarque 2 3 2 5 4 4 4" xfId="41851" xr:uid="{00000000-0005-0000-0000-0000CE560000}"/>
    <cellStyle name="Remarque 2 3 2 5 4 5" xfId="8018" xr:uid="{00000000-0005-0000-0000-0000CF560000}"/>
    <cellStyle name="Remarque 2 3 2 5 4 5 2" xfId="32032" xr:uid="{00000000-0005-0000-0000-0000D0560000}"/>
    <cellStyle name="Remarque 2 3 2 5 4 5 2 2" xfId="55992" xr:uid="{00000000-0005-0000-0000-0000D1560000}"/>
    <cellStyle name="Remarque 2 3 2 5 4 5 3" xfId="19279" xr:uid="{00000000-0005-0000-0000-0000D2560000}"/>
    <cellStyle name="Remarque 2 3 2 5 4 5 4" xfId="43239" xr:uid="{00000000-0005-0000-0000-0000D3560000}"/>
    <cellStyle name="Remarque 2 3 2 5 4 6" xfId="9403" xr:uid="{00000000-0005-0000-0000-0000D4560000}"/>
    <cellStyle name="Remarque 2 3 2 5 4 6 2" xfId="33417" xr:uid="{00000000-0005-0000-0000-0000D5560000}"/>
    <cellStyle name="Remarque 2 3 2 5 4 6 2 2" xfId="57377" xr:uid="{00000000-0005-0000-0000-0000D6560000}"/>
    <cellStyle name="Remarque 2 3 2 5 4 6 3" xfId="20664" xr:uid="{00000000-0005-0000-0000-0000D7560000}"/>
    <cellStyle name="Remarque 2 3 2 5 4 6 4" xfId="44624" xr:uid="{00000000-0005-0000-0000-0000D8560000}"/>
    <cellStyle name="Remarque 2 3 2 5 4 7" xfId="10860" xr:uid="{00000000-0005-0000-0000-0000D9560000}"/>
    <cellStyle name="Remarque 2 3 2 5 4 7 2" xfId="34870" xr:uid="{00000000-0005-0000-0000-0000DA560000}"/>
    <cellStyle name="Remarque 2 3 2 5 4 7 2 2" xfId="58830" xr:uid="{00000000-0005-0000-0000-0000DB560000}"/>
    <cellStyle name="Remarque 2 3 2 5 4 7 3" xfId="22127" xr:uid="{00000000-0005-0000-0000-0000DC560000}"/>
    <cellStyle name="Remarque 2 3 2 5 4 7 4" xfId="46087" xr:uid="{00000000-0005-0000-0000-0000DD560000}"/>
    <cellStyle name="Remarque 2 3 2 5 4 8" xfId="12533" xr:uid="{00000000-0005-0000-0000-0000DE560000}"/>
    <cellStyle name="Remarque 2 3 2 5 4 8 2" xfId="23831" xr:uid="{00000000-0005-0000-0000-0000DF560000}"/>
    <cellStyle name="Remarque 2 3 2 5 4 8 3" xfId="47791" xr:uid="{00000000-0005-0000-0000-0000E0560000}"/>
    <cellStyle name="Remarque 2 3 2 5 4 9" xfId="2332" xr:uid="{00000000-0005-0000-0000-0000E1560000}"/>
    <cellStyle name="Remarque 2 3 2 5 4 9 2" xfId="26346" xr:uid="{00000000-0005-0000-0000-0000E2560000}"/>
    <cellStyle name="Remarque 2 3 2 5 4 9 3" xfId="50306" xr:uid="{00000000-0005-0000-0000-0000E3560000}"/>
    <cellStyle name="Remarque 2 3 2 5 5" xfId="1089" xr:uid="{00000000-0005-0000-0000-0000E4560000}"/>
    <cellStyle name="Remarque 2 3 2 5 5 10" xfId="25121" xr:uid="{00000000-0005-0000-0000-0000E5560000}"/>
    <cellStyle name="Remarque 2 3 2 5 5 10 2" xfId="49081" xr:uid="{00000000-0005-0000-0000-0000E6560000}"/>
    <cellStyle name="Remarque 2 3 2 5 5 11" xfId="36738" xr:uid="{00000000-0005-0000-0000-0000E7560000}"/>
    <cellStyle name="Remarque 2 3 2 5 5 11 2" xfId="60698" xr:uid="{00000000-0005-0000-0000-0000E8560000}"/>
    <cellStyle name="Remarque 2 3 2 5 5 12" xfId="13786" xr:uid="{00000000-0005-0000-0000-0000E9560000}"/>
    <cellStyle name="Remarque 2 3 2 5 5 13" xfId="37746" xr:uid="{00000000-0005-0000-0000-0000EA560000}"/>
    <cellStyle name="Remarque 2 3 2 5 5 2" xfId="3995" xr:uid="{00000000-0005-0000-0000-0000EB560000}"/>
    <cellStyle name="Remarque 2 3 2 5 5 2 2" xfId="28009" xr:uid="{00000000-0005-0000-0000-0000EC560000}"/>
    <cellStyle name="Remarque 2 3 2 5 5 2 2 2" xfId="51969" xr:uid="{00000000-0005-0000-0000-0000ED560000}"/>
    <cellStyle name="Remarque 2 3 2 5 5 2 3" xfId="15256" xr:uid="{00000000-0005-0000-0000-0000EE560000}"/>
    <cellStyle name="Remarque 2 3 2 5 5 2 4" xfId="39216" xr:uid="{00000000-0005-0000-0000-0000EF560000}"/>
    <cellStyle name="Remarque 2 3 2 5 5 3" xfId="5429" xr:uid="{00000000-0005-0000-0000-0000F0560000}"/>
    <cellStyle name="Remarque 2 3 2 5 5 3 2" xfId="29443" xr:uid="{00000000-0005-0000-0000-0000F1560000}"/>
    <cellStyle name="Remarque 2 3 2 5 5 3 2 2" xfId="53403" xr:uid="{00000000-0005-0000-0000-0000F2560000}"/>
    <cellStyle name="Remarque 2 3 2 5 5 3 3" xfId="16690" xr:uid="{00000000-0005-0000-0000-0000F3560000}"/>
    <cellStyle name="Remarque 2 3 2 5 5 3 4" xfId="40650" xr:uid="{00000000-0005-0000-0000-0000F4560000}"/>
    <cellStyle name="Remarque 2 3 2 5 5 4" xfId="6823" xr:uid="{00000000-0005-0000-0000-0000F5560000}"/>
    <cellStyle name="Remarque 2 3 2 5 5 4 2" xfId="30837" xr:uid="{00000000-0005-0000-0000-0000F6560000}"/>
    <cellStyle name="Remarque 2 3 2 5 5 4 2 2" xfId="54797" xr:uid="{00000000-0005-0000-0000-0000F7560000}"/>
    <cellStyle name="Remarque 2 3 2 5 5 4 3" xfId="18084" xr:uid="{00000000-0005-0000-0000-0000F8560000}"/>
    <cellStyle name="Remarque 2 3 2 5 5 4 4" xfId="42044" xr:uid="{00000000-0005-0000-0000-0000F9560000}"/>
    <cellStyle name="Remarque 2 3 2 5 5 5" xfId="8211" xr:uid="{00000000-0005-0000-0000-0000FA560000}"/>
    <cellStyle name="Remarque 2 3 2 5 5 5 2" xfId="32225" xr:uid="{00000000-0005-0000-0000-0000FB560000}"/>
    <cellStyle name="Remarque 2 3 2 5 5 5 2 2" xfId="56185" xr:uid="{00000000-0005-0000-0000-0000FC560000}"/>
    <cellStyle name="Remarque 2 3 2 5 5 5 3" xfId="19472" xr:uid="{00000000-0005-0000-0000-0000FD560000}"/>
    <cellStyle name="Remarque 2 3 2 5 5 5 4" xfId="43432" xr:uid="{00000000-0005-0000-0000-0000FE560000}"/>
    <cellStyle name="Remarque 2 3 2 5 5 6" xfId="9596" xr:uid="{00000000-0005-0000-0000-0000FF560000}"/>
    <cellStyle name="Remarque 2 3 2 5 5 6 2" xfId="33610" xr:uid="{00000000-0005-0000-0000-000000570000}"/>
    <cellStyle name="Remarque 2 3 2 5 5 6 2 2" xfId="57570" xr:uid="{00000000-0005-0000-0000-000001570000}"/>
    <cellStyle name="Remarque 2 3 2 5 5 6 3" xfId="20857" xr:uid="{00000000-0005-0000-0000-000002570000}"/>
    <cellStyle name="Remarque 2 3 2 5 5 6 4" xfId="44817" xr:uid="{00000000-0005-0000-0000-000003570000}"/>
    <cellStyle name="Remarque 2 3 2 5 5 7" xfId="11053" xr:uid="{00000000-0005-0000-0000-000004570000}"/>
    <cellStyle name="Remarque 2 3 2 5 5 7 2" xfId="35063" xr:uid="{00000000-0005-0000-0000-000005570000}"/>
    <cellStyle name="Remarque 2 3 2 5 5 7 2 2" xfId="59023" xr:uid="{00000000-0005-0000-0000-000006570000}"/>
    <cellStyle name="Remarque 2 3 2 5 5 7 3" xfId="22320" xr:uid="{00000000-0005-0000-0000-000007570000}"/>
    <cellStyle name="Remarque 2 3 2 5 5 7 4" xfId="46280" xr:uid="{00000000-0005-0000-0000-000008570000}"/>
    <cellStyle name="Remarque 2 3 2 5 5 8" xfId="12452" xr:uid="{00000000-0005-0000-0000-000009570000}"/>
    <cellStyle name="Remarque 2 3 2 5 5 8 2" xfId="23746" xr:uid="{00000000-0005-0000-0000-00000A570000}"/>
    <cellStyle name="Remarque 2 3 2 5 5 8 3" xfId="47706" xr:uid="{00000000-0005-0000-0000-00000B570000}"/>
    <cellStyle name="Remarque 2 3 2 5 5 9" xfId="2525" xr:uid="{00000000-0005-0000-0000-00000C570000}"/>
    <cellStyle name="Remarque 2 3 2 5 5 9 2" xfId="26539" xr:uid="{00000000-0005-0000-0000-00000D570000}"/>
    <cellStyle name="Remarque 2 3 2 5 5 9 3" xfId="50499" xr:uid="{00000000-0005-0000-0000-00000E570000}"/>
    <cellStyle name="Remarque 2 3 2 5 6" xfId="1256" xr:uid="{00000000-0005-0000-0000-00000F570000}"/>
    <cellStyle name="Remarque 2 3 2 5 6 10" xfId="25288" xr:uid="{00000000-0005-0000-0000-000010570000}"/>
    <cellStyle name="Remarque 2 3 2 5 6 10 2" xfId="49248" xr:uid="{00000000-0005-0000-0000-000011570000}"/>
    <cellStyle name="Remarque 2 3 2 5 6 11" xfId="36378" xr:uid="{00000000-0005-0000-0000-000012570000}"/>
    <cellStyle name="Remarque 2 3 2 5 6 11 2" xfId="60338" xr:uid="{00000000-0005-0000-0000-000013570000}"/>
    <cellStyle name="Remarque 2 3 2 5 6 12" xfId="13953" xr:uid="{00000000-0005-0000-0000-000014570000}"/>
    <cellStyle name="Remarque 2 3 2 5 6 13" xfId="37913" xr:uid="{00000000-0005-0000-0000-000015570000}"/>
    <cellStyle name="Remarque 2 3 2 5 6 2" xfId="4162" xr:uid="{00000000-0005-0000-0000-000016570000}"/>
    <cellStyle name="Remarque 2 3 2 5 6 2 2" xfId="28176" xr:uid="{00000000-0005-0000-0000-000017570000}"/>
    <cellStyle name="Remarque 2 3 2 5 6 2 2 2" xfId="52136" xr:uid="{00000000-0005-0000-0000-000018570000}"/>
    <cellStyle name="Remarque 2 3 2 5 6 2 3" xfId="15423" xr:uid="{00000000-0005-0000-0000-000019570000}"/>
    <cellStyle name="Remarque 2 3 2 5 6 2 4" xfId="39383" xr:uid="{00000000-0005-0000-0000-00001A570000}"/>
    <cellStyle name="Remarque 2 3 2 5 6 3" xfId="5596" xr:uid="{00000000-0005-0000-0000-00001B570000}"/>
    <cellStyle name="Remarque 2 3 2 5 6 3 2" xfId="29610" xr:uid="{00000000-0005-0000-0000-00001C570000}"/>
    <cellStyle name="Remarque 2 3 2 5 6 3 2 2" xfId="53570" xr:uid="{00000000-0005-0000-0000-00001D570000}"/>
    <cellStyle name="Remarque 2 3 2 5 6 3 3" xfId="16857" xr:uid="{00000000-0005-0000-0000-00001E570000}"/>
    <cellStyle name="Remarque 2 3 2 5 6 3 4" xfId="40817" xr:uid="{00000000-0005-0000-0000-00001F570000}"/>
    <cellStyle name="Remarque 2 3 2 5 6 4" xfId="6990" xr:uid="{00000000-0005-0000-0000-000020570000}"/>
    <cellStyle name="Remarque 2 3 2 5 6 4 2" xfId="31004" xr:uid="{00000000-0005-0000-0000-000021570000}"/>
    <cellStyle name="Remarque 2 3 2 5 6 4 2 2" xfId="54964" xr:uid="{00000000-0005-0000-0000-000022570000}"/>
    <cellStyle name="Remarque 2 3 2 5 6 4 3" xfId="18251" xr:uid="{00000000-0005-0000-0000-000023570000}"/>
    <cellStyle name="Remarque 2 3 2 5 6 4 4" xfId="42211" xr:uid="{00000000-0005-0000-0000-000024570000}"/>
    <cellStyle name="Remarque 2 3 2 5 6 5" xfId="8378" xr:uid="{00000000-0005-0000-0000-000025570000}"/>
    <cellStyle name="Remarque 2 3 2 5 6 5 2" xfId="32392" xr:uid="{00000000-0005-0000-0000-000026570000}"/>
    <cellStyle name="Remarque 2 3 2 5 6 5 2 2" xfId="56352" xr:uid="{00000000-0005-0000-0000-000027570000}"/>
    <cellStyle name="Remarque 2 3 2 5 6 5 3" xfId="19639" xr:uid="{00000000-0005-0000-0000-000028570000}"/>
    <cellStyle name="Remarque 2 3 2 5 6 5 4" xfId="43599" xr:uid="{00000000-0005-0000-0000-000029570000}"/>
    <cellStyle name="Remarque 2 3 2 5 6 6" xfId="9763" xr:uid="{00000000-0005-0000-0000-00002A570000}"/>
    <cellStyle name="Remarque 2 3 2 5 6 6 2" xfId="33777" xr:uid="{00000000-0005-0000-0000-00002B570000}"/>
    <cellStyle name="Remarque 2 3 2 5 6 6 2 2" xfId="57737" xr:uid="{00000000-0005-0000-0000-00002C570000}"/>
    <cellStyle name="Remarque 2 3 2 5 6 6 3" xfId="21024" xr:uid="{00000000-0005-0000-0000-00002D570000}"/>
    <cellStyle name="Remarque 2 3 2 5 6 6 4" xfId="44984" xr:uid="{00000000-0005-0000-0000-00002E570000}"/>
    <cellStyle name="Remarque 2 3 2 5 6 7" xfId="11220" xr:uid="{00000000-0005-0000-0000-00002F570000}"/>
    <cellStyle name="Remarque 2 3 2 5 6 7 2" xfId="35230" xr:uid="{00000000-0005-0000-0000-000030570000}"/>
    <cellStyle name="Remarque 2 3 2 5 6 7 2 2" xfId="59190" xr:uid="{00000000-0005-0000-0000-000031570000}"/>
    <cellStyle name="Remarque 2 3 2 5 6 7 3" xfId="22487" xr:uid="{00000000-0005-0000-0000-000032570000}"/>
    <cellStyle name="Remarque 2 3 2 5 6 7 4" xfId="46447" xr:uid="{00000000-0005-0000-0000-000033570000}"/>
    <cellStyle name="Remarque 2 3 2 5 6 8" xfId="12521" xr:uid="{00000000-0005-0000-0000-000034570000}"/>
    <cellStyle name="Remarque 2 3 2 5 6 8 2" xfId="23818" xr:uid="{00000000-0005-0000-0000-000035570000}"/>
    <cellStyle name="Remarque 2 3 2 5 6 8 3" xfId="47778" xr:uid="{00000000-0005-0000-0000-000036570000}"/>
    <cellStyle name="Remarque 2 3 2 5 6 9" xfId="2692" xr:uid="{00000000-0005-0000-0000-000037570000}"/>
    <cellStyle name="Remarque 2 3 2 5 6 9 2" xfId="26706" xr:uid="{00000000-0005-0000-0000-000038570000}"/>
    <cellStyle name="Remarque 2 3 2 5 6 9 3" xfId="50666" xr:uid="{00000000-0005-0000-0000-000039570000}"/>
    <cellStyle name="Remarque 2 3 2 5 7" xfId="1425" xr:uid="{00000000-0005-0000-0000-00003A570000}"/>
    <cellStyle name="Remarque 2 3 2 5 7 10" xfId="25457" xr:uid="{00000000-0005-0000-0000-00003B570000}"/>
    <cellStyle name="Remarque 2 3 2 5 7 10 2" xfId="49417" xr:uid="{00000000-0005-0000-0000-00003C570000}"/>
    <cellStyle name="Remarque 2 3 2 5 7 11" xfId="36301" xr:uid="{00000000-0005-0000-0000-00003D570000}"/>
    <cellStyle name="Remarque 2 3 2 5 7 11 2" xfId="60261" xr:uid="{00000000-0005-0000-0000-00003E570000}"/>
    <cellStyle name="Remarque 2 3 2 5 7 12" xfId="14122" xr:uid="{00000000-0005-0000-0000-00003F570000}"/>
    <cellStyle name="Remarque 2 3 2 5 7 13" xfId="38082" xr:uid="{00000000-0005-0000-0000-000040570000}"/>
    <cellStyle name="Remarque 2 3 2 5 7 2" xfId="4331" xr:uid="{00000000-0005-0000-0000-000041570000}"/>
    <cellStyle name="Remarque 2 3 2 5 7 2 2" xfId="28345" xr:uid="{00000000-0005-0000-0000-000042570000}"/>
    <cellStyle name="Remarque 2 3 2 5 7 2 2 2" xfId="52305" xr:uid="{00000000-0005-0000-0000-000043570000}"/>
    <cellStyle name="Remarque 2 3 2 5 7 2 3" xfId="15592" xr:uid="{00000000-0005-0000-0000-000044570000}"/>
    <cellStyle name="Remarque 2 3 2 5 7 2 4" xfId="39552" xr:uid="{00000000-0005-0000-0000-000045570000}"/>
    <cellStyle name="Remarque 2 3 2 5 7 3" xfId="5765" xr:uid="{00000000-0005-0000-0000-000046570000}"/>
    <cellStyle name="Remarque 2 3 2 5 7 3 2" xfId="29779" xr:uid="{00000000-0005-0000-0000-000047570000}"/>
    <cellStyle name="Remarque 2 3 2 5 7 3 2 2" xfId="53739" xr:uid="{00000000-0005-0000-0000-000048570000}"/>
    <cellStyle name="Remarque 2 3 2 5 7 3 3" xfId="17026" xr:uid="{00000000-0005-0000-0000-000049570000}"/>
    <cellStyle name="Remarque 2 3 2 5 7 3 4" xfId="40986" xr:uid="{00000000-0005-0000-0000-00004A570000}"/>
    <cellStyle name="Remarque 2 3 2 5 7 4" xfId="7159" xr:uid="{00000000-0005-0000-0000-00004B570000}"/>
    <cellStyle name="Remarque 2 3 2 5 7 4 2" xfId="31173" xr:uid="{00000000-0005-0000-0000-00004C570000}"/>
    <cellStyle name="Remarque 2 3 2 5 7 4 2 2" xfId="55133" xr:uid="{00000000-0005-0000-0000-00004D570000}"/>
    <cellStyle name="Remarque 2 3 2 5 7 4 3" xfId="18420" xr:uid="{00000000-0005-0000-0000-00004E570000}"/>
    <cellStyle name="Remarque 2 3 2 5 7 4 4" xfId="42380" xr:uid="{00000000-0005-0000-0000-00004F570000}"/>
    <cellStyle name="Remarque 2 3 2 5 7 5" xfId="8547" xr:uid="{00000000-0005-0000-0000-000050570000}"/>
    <cellStyle name="Remarque 2 3 2 5 7 5 2" xfId="32561" xr:uid="{00000000-0005-0000-0000-000051570000}"/>
    <cellStyle name="Remarque 2 3 2 5 7 5 2 2" xfId="56521" xr:uid="{00000000-0005-0000-0000-000052570000}"/>
    <cellStyle name="Remarque 2 3 2 5 7 5 3" xfId="19808" xr:uid="{00000000-0005-0000-0000-000053570000}"/>
    <cellStyle name="Remarque 2 3 2 5 7 5 4" xfId="43768" xr:uid="{00000000-0005-0000-0000-000054570000}"/>
    <cellStyle name="Remarque 2 3 2 5 7 6" xfId="9932" xr:uid="{00000000-0005-0000-0000-000055570000}"/>
    <cellStyle name="Remarque 2 3 2 5 7 6 2" xfId="33946" xr:uid="{00000000-0005-0000-0000-000056570000}"/>
    <cellStyle name="Remarque 2 3 2 5 7 6 2 2" xfId="57906" xr:uid="{00000000-0005-0000-0000-000057570000}"/>
    <cellStyle name="Remarque 2 3 2 5 7 6 3" xfId="21193" xr:uid="{00000000-0005-0000-0000-000058570000}"/>
    <cellStyle name="Remarque 2 3 2 5 7 6 4" xfId="45153" xr:uid="{00000000-0005-0000-0000-000059570000}"/>
    <cellStyle name="Remarque 2 3 2 5 7 7" xfId="11389" xr:uid="{00000000-0005-0000-0000-00005A570000}"/>
    <cellStyle name="Remarque 2 3 2 5 7 7 2" xfId="35399" xr:uid="{00000000-0005-0000-0000-00005B570000}"/>
    <cellStyle name="Remarque 2 3 2 5 7 7 2 2" xfId="59359" xr:uid="{00000000-0005-0000-0000-00005C570000}"/>
    <cellStyle name="Remarque 2 3 2 5 7 7 3" xfId="22656" xr:uid="{00000000-0005-0000-0000-00005D570000}"/>
    <cellStyle name="Remarque 2 3 2 5 7 7 4" xfId="46616" xr:uid="{00000000-0005-0000-0000-00005E570000}"/>
    <cellStyle name="Remarque 2 3 2 5 7 8" xfId="12410" xr:uid="{00000000-0005-0000-0000-00005F570000}"/>
    <cellStyle name="Remarque 2 3 2 5 7 8 2" xfId="23701" xr:uid="{00000000-0005-0000-0000-000060570000}"/>
    <cellStyle name="Remarque 2 3 2 5 7 8 3" xfId="47661" xr:uid="{00000000-0005-0000-0000-000061570000}"/>
    <cellStyle name="Remarque 2 3 2 5 7 9" xfId="2861" xr:uid="{00000000-0005-0000-0000-000062570000}"/>
    <cellStyle name="Remarque 2 3 2 5 7 9 2" xfId="26875" xr:uid="{00000000-0005-0000-0000-000063570000}"/>
    <cellStyle name="Remarque 2 3 2 5 7 9 3" xfId="50835" xr:uid="{00000000-0005-0000-0000-000064570000}"/>
    <cellStyle name="Remarque 2 3 2 5 8" xfId="3280" xr:uid="{00000000-0005-0000-0000-000065570000}"/>
    <cellStyle name="Remarque 2 3 2 5 8 2" xfId="27294" xr:uid="{00000000-0005-0000-0000-000066570000}"/>
    <cellStyle name="Remarque 2 3 2 5 8 2 2" xfId="51254" xr:uid="{00000000-0005-0000-0000-000067570000}"/>
    <cellStyle name="Remarque 2 3 2 5 8 3" xfId="14541" xr:uid="{00000000-0005-0000-0000-000068570000}"/>
    <cellStyle name="Remarque 2 3 2 5 8 4" xfId="38501" xr:uid="{00000000-0005-0000-0000-000069570000}"/>
    <cellStyle name="Remarque 2 3 2 5 9" xfId="4714" xr:uid="{00000000-0005-0000-0000-00006A570000}"/>
    <cellStyle name="Remarque 2 3 2 5 9 2" xfId="28728" xr:uid="{00000000-0005-0000-0000-00006B570000}"/>
    <cellStyle name="Remarque 2 3 2 5 9 2 2" xfId="52688" xr:uid="{00000000-0005-0000-0000-00006C570000}"/>
    <cellStyle name="Remarque 2 3 2 5 9 3" xfId="15975" xr:uid="{00000000-0005-0000-0000-00006D570000}"/>
    <cellStyle name="Remarque 2 3 2 5 9 4" xfId="39935" xr:uid="{00000000-0005-0000-0000-00006E570000}"/>
    <cellStyle name="Remarque 2 3 2 6" xfId="317" xr:uid="{00000000-0005-0000-0000-00006F570000}"/>
    <cellStyle name="Remarque 2 3 2 6 10" xfId="24349" xr:uid="{00000000-0005-0000-0000-000070570000}"/>
    <cellStyle name="Remarque 2 3 2 6 10 2" xfId="48309" xr:uid="{00000000-0005-0000-0000-000071570000}"/>
    <cellStyle name="Remarque 2 3 2 6 11" xfId="35788" xr:uid="{00000000-0005-0000-0000-000072570000}"/>
    <cellStyle name="Remarque 2 3 2 6 11 2" xfId="59748" xr:uid="{00000000-0005-0000-0000-000073570000}"/>
    <cellStyle name="Remarque 2 3 2 6 12" xfId="13014" xr:uid="{00000000-0005-0000-0000-000074570000}"/>
    <cellStyle name="Remarque 2 3 2 6 13" xfId="36974" xr:uid="{00000000-0005-0000-0000-000075570000}"/>
    <cellStyle name="Remarque 2 3 2 6 2" xfId="3223" xr:uid="{00000000-0005-0000-0000-000076570000}"/>
    <cellStyle name="Remarque 2 3 2 6 2 2" xfId="27237" xr:uid="{00000000-0005-0000-0000-000077570000}"/>
    <cellStyle name="Remarque 2 3 2 6 2 2 2" xfId="51197" xr:uid="{00000000-0005-0000-0000-000078570000}"/>
    <cellStyle name="Remarque 2 3 2 6 2 3" xfId="14484" xr:uid="{00000000-0005-0000-0000-000079570000}"/>
    <cellStyle name="Remarque 2 3 2 6 2 4" xfId="38444" xr:uid="{00000000-0005-0000-0000-00007A570000}"/>
    <cellStyle name="Remarque 2 3 2 6 3" xfId="4657" xr:uid="{00000000-0005-0000-0000-00007B570000}"/>
    <cellStyle name="Remarque 2 3 2 6 3 2" xfId="28671" xr:uid="{00000000-0005-0000-0000-00007C570000}"/>
    <cellStyle name="Remarque 2 3 2 6 3 2 2" xfId="52631" xr:uid="{00000000-0005-0000-0000-00007D570000}"/>
    <cellStyle name="Remarque 2 3 2 6 3 3" xfId="15918" xr:uid="{00000000-0005-0000-0000-00007E570000}"/>
    <cellStyle name="Remarque 2 3 2 6 3 4" xfId="39878" xr:uid="{00000000-0005-0000-0000-00007F570000}"/>
    <cellStyle name="Remarque 2 3 2 6 4" xfId="6051" xr:uid="{00000000-0005-0000-0000-000080570000}"/>
    <cellStyle name="Remarque 2 3 2 6 4 2" xfId="30065" xr:uid="{00000000-0005-0000-0000-000081570000}"/>
    <cellStyle name="Remarque 2 3 2 6 4 2 2" xfId="54025" xr:uid="{00000000-0005-0000-0000-000082570000}"/>
    <cellStyle name="Remarque 2 3 2 6 4 3" xfId="17312" xr:uid="{00000000-0005-0000-0000-000083570000}"/>
    <cellStyle name="Remarque 2 3 2 6 4 4" xfId="41272" xr:uid="{00000000-0005-0000-0000-000084570000}"/>
    <cellStyle name="Remarque 2 3 2 6 5" xfId="7439" xr:uid="{00000000-0005-0000-0000-000085570000}"/>
    <cellStyle name="Remarque 2 3 2 6 5 2" xfId="31453" xr:uid="{00000000-0005-0000-0000-000086570000}"/>
    <cellStyle name="Remarque 2 3 2 6 5 2 2" xfId="55413" xr:uid="{00000000-0005-0000-0000-000087570000}"/>
    <cellStyle name="Remarque 2 3 2 6 5 3" xfId="18700" xr:uid="{00000000-0005-0000-0000-000088570000}"/>
    <cellStyle name="Remarque 2 3 2 6 5 4" xfId="42660" xr:uid="{00000000-0005-0000-0000-000089570000}"/>
    <cellStyle name="Remarque 2 3 2 6 6" xfId="8824" xr:uid="{00000000-0005-0000-0000-00008A570000}"/>
    <cellStyle name="Remarque 2 3 2 6 6 2" xfId="32838" xr:uid="{00000000-0005-0000-0000-00008B570000}"/>
    <cellStyle name="Remarque 2 3 2 6 6 2 2" xfId="56798" xr:uid="{00000000-0005-0000-0000-00008C570000}"/>
    <cellStyle name="Remarque 2 3 2 6 6 3" xfId="20085" xr:uid="{00000000-0005-0000-0000-00008D570000}"/>
    <cellStyle name="Remarque 2 3 2 6 6 4" xfId="44045" xr:uid="{00000000-0005-0000-0000-00008E570000}"/>
    <cellStyle name="Remarque 2 3 2 6 7" xfId="10281" xr:uid="{00000000-0005-0000-0000-00008F570000}"/>
    <cellStyle name="Remarque 2 3 2 6 7 2" xfId="34291" xr:uid="{00000000-0005-0000-0000-000090570000}"/>
    <cellStyle name="Remarque 2 3 2 6 7 2 2" xfId="58251" xr:uid="{00000000-0005-0000-0000-000091570000}"/>
    <cellStyle name="Remarque 2 3 2 6 7 3" xfId="21548" xr:uid="{00000000-0005-0000-0000-000092570000}"/>
    <cellStyle name="Remarque 2 3 2 6 7 4" xfId="45508" xr:uid="{00000000-0005-0000-0000-000093570000}"/>
    <cellStyle name="Remarque 2 3 2 6 8" xfId="12630" xr:uid="{00000000-0005-0000-0000-000094570000}"/>
    <cellStyle name="Remarque 2 3 2 6 8 2" xfId="23934" xr:uid="{00000000-0005-0000-0000-000095570000}"/>
    <cellStyle name="Remarque 2 3 2 6 8 3" xfId="47894" xr:uid="{00000000-0005-0000-0000-000096570000}"/>
    <cellStyle name="Remarque 2 3 2 6 9" xfId="1753" xr:uid="{00000000-0005-0000-0000-000097570000}"/>
    <cellStyle name="Remarque 2 3 2 6 9 2" xfId="25767" xr:uid="{00000000-0005-0000-0000-000098570000}"/>
    <cellStyle name="Remarque 2 3 2 6 9 3" xfId="49727" xr:uid="{00000000-0005-0000-0000-000099570000}"/>
    <cellStyle name="Remarque 2 3 2 7" xfId="629" xr:uid="{00000000-0005-0000-0000-00009A570000}"/>
    <cellStyle name="Remarque 2 3 2 7 10" xfId="24661" xr:uid="{00000000-0005-0000-0000-00009B570000}"/>
    <cellStyle name="Remarque 2 3 2 7 10 2" xfId="48621" xr:uid="{00000000-0005-0000-0000-00009C570000}"/>
    <cellStyle name="Remarque 2 3 2 7 11" xfId="36493" xr:uid="{00000000-0005-0000-0000-00009D570000}"/>
    <cellStyle name="Remarque 2 3 2 7 11 2" xfId="60453" xr:uid="{00000000-0005-0000-0000-00009E570000}"/>
    <cellStyle name="Remarque 2 3 2 7 12" xfId="13326" xr:uid="{00000000-0005-0000-0000-00009F570000}"/>
    <cellStyle name="Remarque 2 3 2 7 13" xfId="37286" xr:uid="{00000000-0005-0000-0000-0000A0570000}"/>
    <cellStyle name="Remarque 2 3 2 7 2" xfId="3535" xr:uid="{00000000-0005-0000-0000-0000A1570000}"/>
    <cellStyle name="Remarque 2 3 2 7 2 2" xfId="27549" xr:uid="{00000000-0005-0000-0000-0000A2570000}"/>
    <cellStyle name="Remarque 2 3 2 7 2 2 2" xfId="51509" xr:uid="{00000000-0005-0000-0000-0000A3570000}"/>
    <cellStyle name="Remarque 2 3 2 7 2 3" xfId="14796" xr:uid="{00000000-0005-0000-0000-0000A4570000}"/>
    <cellStyle name="Remarque 2 3 2 7 2 4" xfId="38756" xr:uid="{00000000-0005-0000-0000-0000A5570000}"/>
    <cellStyle name="Remarque 2 3 2 7 3" xfId="4969" xr:uid="{00000000-0005-0000-0000-0000A6570000}"/>
    <cellStyle name="Remarque 2 3 2 7 3 2" xfId="28983" xr:uid="{00000000-0005-0000-0000-0000A7570000}"/>
    <cellStyle name="Remarque 2 3 2 7 3 2 2" xfId="52943" xr:uid="{00000000-0005-0000-0000-0000A8570000}"/>
    <cellStyle name="Remarque 2 3 2 7 3 3" xfId="16230" xr:uid="{00000000-0005-0000-0000-0000A9570000}"/>
    <cellStyle name="Remarque 2 3 2 7 3 4" xfId="40190" xr:uid="{00000000-0005-0000-0000-0000AA570000}"/>
    <cellStyle name="Remarque 2 3 2 7 4" xfId="6363" xr:uid="{00000000-0005-0000-0000-0000AB570000}"/>
    <cellStyle name="Remarque 2 3 2 7 4 2" xfId="30377" xr:uid="{00000000-0005-0000-0000-0000AC570000}"/>
    <cellStyle name="Remarque 2 3 2 7 4 2 2" xfId="54337" xr:uid="{00000000-0005-0000-0000-0000AD570000}"/>
    <cellStyle name="Remarque 2 3 2 7 4 3" xfId="17624" xr:uid="{00000000-0005-0000-0000-0000AE570000}"/>
    <cellStyle name="Remarque 2 3 2 7 4 4" xfId="41584" xr:uid="{00000000-0005-0000-0000-0000AF570000}"/>
    <cellStyle name="Remarque 2 3 2 7 5" xfId="7751" xr:uid="{00000000-0005-0000-0000-0000B0570000}"/>
    <cellStyle name="Remarque 2 3 2 7 5 2" xfId="31765" xr:uid="{00000000-0005-0000-0000-0000B1570000}"/>
    <cellStyle name="Remarque 2 3 2 7 5 2 2" xfId="55725" xr:uid="{00000000-0005-0000-0000-0000B2570000}"/>
    <cellStyle name="Remarque 2 3 2 7 5 3" xfId="19012" xr:uid="{00000000-0005-0000-0000-0000B3570000}"/>
    <cellStyle name="Remarque 2 3 2 7 5 4" xfId="42972" xr:uid="{00000000-0005-0000-0000-0000B4570000}"/>
    <cellStyle name="Remarque 2 3 2 7 6" xfId="9136" xr:uid="{00000000-0005-0000-0000-0000B5570000}"/>
    <cellStyle name="Remarque 2 3 2 7 6 2" xfId="33150" xr:uid="{00000000-0005-0000-0000-0000B6570000}"/>
    <cellStyle name="Remarque 2 3 2 7 6 2 2" xfId="57110" xr:uid="{00000000-0005-0000-0000-0000B7570000}"/>
    <cellStyle name="Remarque 2 3 2 7 6 3" xfId="20397" xr:uid="{00000000-0005-0000-0000-0000B8570000}"/>
    <cellStyle name="Remarque 2 3 2 7 6 4" xfId="44357" xr:uid="{00000000-0005-0000-0000-0000B9570000}"/>
    <cellStyle name="Remarque 2 3 2 7 7" xfId="10593" xr:uid="{00000000-0005-0000-0000-0000BA570000}"/>
    <cellStyle name="Remarque 2 3 2 7 7 2" xfId="34603" xr:uid="{00000000-0005-0000-0000-0000BB570000}"/>
    <cellStyle name="Remarque 2 3 2 7 7 2 2" xfId="58563" xr:uid="{00000000-0005-0000-0000-0000BC570000}"/>
    <cellStyle name="Remarque 2 3 2 7 7 3" xfId="21860" xr:uid="{00000000-0005-0000-0000-0000BD570000}"/>
    <cellStyle name="Remarque 2 3 2 7 7 4" xfId="45820" xr:uid="{00000000-0005-0000-0000-0000BE570000}"/>
    <cellStyle name="Remarque 2 3 2 7 8" xfId="12444" xr:uid="{00000000-0005-0000-0000-0000BF570000}"/>
    <cellStyle name="Remarque 2 3 2 7 8 2" xfId="23736" xr:uid="{00000000-0005-0000-0000-0000C0570000}"/>
    <cellStyle name="Remarque 2 3 2 7 8 3" xfId="47696" xr:uid="{00000000-0005-0000-0000-0000C1570000}"/>
    <cellStyle name="Remarque 2 3 2 7 9" xfId="2065" xr:uid="{00000000-0005-0000-0000-0000C2570000}"/>
    <cellStyle name="Remarque 2 3 2 7 9 2" xfId="26079" xr:uid="{00000000-0005-0000-0000-0000C3570000}"/>
    <cellStyle name="Remarque 2 3 2 7 9 3" xfId="50039" xr:uid="{00000000-0005-0000-0000-0000C4570000}"/>
    <cellStyle name="Remarque 2 3 2 8" xfId="823" xr:uid="{00000000-0005-0000-0000-0000C5570000}"/>
    <cellStyle name="Remarque 2 3 2 8 10" xfId="24855" xr:uid="{00000000-0005-0000-0000-0000C6570000}"/>
    <cellStyle name="Remarque 2 3 2 8 10 2" xfId="48815" xr:uid="{00000000-0005-0000-0000-0000C7570000}"/>
    <cellStyle name="Remarque 2 3 2 8 11" xfId="36027" xr:uid="{00000000-0005-0000-0000-0000C8570000}"/>
    <cellStyle name="Remarque 2 3 2 8 11 2" xfId="59987" xr:uid="{00000000-0005-0000-0000-0000C9570000}"/>
    <cellStyle name="Remarque 2 3 2 8 12" xfId="13520" xr:uid="{00000000-0005-0000-0000-0000CA570000}"/>
    <cellStyle name="Remarque 2 3 2 8 13" xfId="37480" xr:uid="{00000000-0005-0000-0000-0000CB570000}"/>
    <cellStyle name="Remarque 2 3 2 8 2" xfId="3729" xr:uid="{00000000-0005-0000-0000-0000CC570000}"/>
    <cellStyle name="Remarque 2 3 2 8 2 2" xfId="27743" xr:uid="{00000000-0005-0000-0000-0000CD570000}"/>
    <cellStyle name="Remarque 2 3 2 8 2 2 2" xfId="51703" xr:uid="{00000000-0005-0000-0000-0000CE570000}"/>
    <cellStyle name="Remarque 2 3 2 8 2 3" xfId="14990" xr:uid="{00000000-0005-0000-0000-0000CF570000}"/>
    <cellStyle name="Remarque 2 3 2 8 2 4" xfId="38950" xr:uid="{00000000-0005-0000-0000-0000D0570000}"/>
    <cellStyle name="Remarque 2 3 2 8 3" xfId="5163" xr:uid="{00000000-0005-0000-0000-0000D1570000}"/>
    <cellStyle name="Remarque 2 3 2 8 3 2" xfId="29177" xr:uid="{00000000-0005-0000-0000-0000D2570000}"/>
    <cellStyle name="Remarque 2 3 2 8 3 2 2" xfId="53137" xr:uid="{00000000-0005-0000-0000-0000D3570000}"/>
    <cellStyle name="Remarque 2 3 2 8 3 3" xfId="16424" xr:uid="{00000000-0005-0000-0000-0000D4570000}"/>
    <cellStyle name="Remarque 2 3 2 8 3 4" xfId="40384" xr:uid="{00000000-0005-0000-0000-0000D5570000}"/>
    <cellStyle name="Remarque 2 3 2 8 4" xfId="6557" xr:uid="{00000000-0005-0000-0000-0000D6570000}"/>
    <cellStyle name="Remarque 2 3 2 8 4 2" xfId="30571" xr:uid="{00000000-0005-0000-0000-0000D7570000}"/>
    <cellStyle name="Remarque 2 3 2 8 4 2 2" xfId="54531" xr:uid="{00000000-0005-0000-0000-0000D8570000}"/>
    <cellStyle name="Remarque 2 3 2 8 4 3" xfId="17818" xr:uid="{00000000-0005-0000-0000-0000D9570000}"/>
    <cellStyle name="Remarque 2 3 2 8 4 4" xfId="41778" xr:uid="{00000000-0005-0000-0000-0000DA570000}"/>
    <cellStyle name="Remarque 2 3 2 8 5" xfId="7945" xr:uid="{00000000-0005-0000-0000-0000DB570000}"/>
    <cellStyle name="Remarque 2 3 2 8 5 2" xfId="31959" xr:uid="{00000000-0005-0000-0000-0000DC570000}"/>
    <cellStyle name="Remarque 2 3 2 8 5 2 2" xfId="55919" xr:uid="{00000000-0005-0000-0000-0000DD570000}"/>
    <cellStyle name="Remarque 2 3 2 8 5 3" xfId="19206" xr:uid="{00000000-0005-0000-0000-0000DE570000}"/>
    <cellStyle name="Remarque 2 3 2 8 5 4" xfId="43166" xr:uid="{00000000-0005-0000-0000-0000DF570000}"/>
    <cellStyle name="Remarque 2 3 2 8 6" xfId="9330" xr:uid="{00000000-0005-0000-0000-0000E0570000}"/>
    <cellStyle name="Remarque 2 3 2 8 6 2" xfId="33344" xr:uid="{00000000-0005-0000-0000-0000E1570000}"/>
    <cellStyle name="Remarque 2 3 2 8 6 2 2" xfId="57304" xr:uid="{00000000-0005-0000-0000-0000E2570000}"/>
    <cellStyle name="Remarque 2 3 2 8 6 3" xfId="20591" xr:uid="{00000000-0005-0000-0000-0000E3570000}"/>
    <cellStyle name="Remarque 2 3 2 8 6 4" xfId="44551" xr:uid="{00000000-0005-0000-0000-0000E4570000}"/>
    <cellStyle name="Remarque 2 3 2 8 7" xfId="10787" xr:uid="{00000000-0005-0000-0000-0000E5570000}"/>
    <cellStyle name="Remarque 2 3 2 8 7 2" xfId="34797" xr:uid="{00000000-0005-0000-0000-0000E6570000}"/>
    <cellStyle name="Remarque 2 3 2 8 7 2 2" xfId="58757" xr:uid="{00000000-0005-0000-0000-0000E7570000}"/>
    <cellStyle name="Remarque 2 3 2 8 7 3" xfId="22054" xr:uid="{00000000-0005-0000-0000-0000E8570000}"/>
    <cellStyle name="Remarque 2 3 2 8 7 4" xfId="46014" xr:uid="{00000000-0005-0000-0000-0000E9570000}"/>
    <cellStyle name="Remarque 2 3 2 8 8" xfId="12057" xr:uid="{00000000-0005-0000-0000-0000EA570000}"/>
    <cellStyle name="Remarque 2 3 2 8 8 2" xfId="23338" xr:uid="{00000000-0005-0000-0000-0000EB570000}"/>
    <cellStyle name="Remarque 2 3 2 8 8 3" xfId="47298" xr:uid="{00000000-0005-0000-0000-0000EC570000}"/>
    <cellStyle name="Remarque 2 3 2 8 9" xfId="2259" xr:uid="{00000000-0005-0000-0000-0000ED570000}"/>
    <cellStyle name="Remarque 2 3 2 8 9 2" xfId="26273" xr:uid="{00000000-0005-0000-0000-0000EE570000}"/>
    <cellStyle name="Remarque 2 3 2 8 9 3" xfId="50233" xr:uid="{00000000-0005-0000-0000-0000EF570000}"/>
    <cellStyle name="Remarque 2 3 2 9" xfId="1016" xr:uid="{00000000-0005-0000-0000-0000F0570000}"/>
    <cellStyle name="Remarque 2 3 2 9 10" xfId="25048" xr:uid="{00000000-0005-0000-0000-0000F1570000}"/>
    <cellStyle name="Remarque 2 3 2 9 10 2" xfId="49008" xr:uid="{00000000-0005-0000-0000-0000F2570000}"/>
    <cellStyle name="Remarque 2 3 2 9 11" xfId="36071" xr:uid="{00000000-0005-0000-0000-0000F3570000}"/>
    <cellStyle name="Remarque 2 3 2 9 11 2" xfId="60031" xr:uid="{00000000-0005-0000-0000-0000F4570000}"/>
    <cellStyle name="Remarque 2 3 2 9 12" xfId="13713" xr:uid="{00000000-0005-0000-0000-0000F5570000}"/>
    <cellStyle name="Remarque 2 3 2 9 13" xfId="37673" xr:uid="{00000000-0005-0000-0000-0000F6570000}"/>
    <cellStyle name="Remarque 2 3 2 9 2" xfId="3922" xr:uid="{00000000-0005-0000-0000-0000F7570000}"/>
    <cellStyle name="Remarque 2 3 2 9 2 2" xfId="27936" xr:uid="{00000000-0005-0000-0000-0000F8570000}"/>
    <cellStyle name="Remarque 2 3 2 9 2 2 2" xfId="51896" xr:uid="{00000000-0005-0000-0000-0000F9570000}"/>
    <cellStyle name="Remarque 2 3 2 9 2 3" xfId="15183" xr:uid="{00000000-0005-0000-0000-0000FA570000}"/>
    <cellStyle name="Remarque 2 3 2 9 2 4" xfId="39143" xr:uid="{00000000-0005-0000-0000-0000FB570000}"/>
    <cellStyle name="Remarque 2 3 2 9 3" xfId="5356" xr:uid="{00000000-0005-0000-0000-0000FC570000}"/>
    <cellStyle name="Remarque 2 3 2 9 3 2" xfId="29370" xr:uid="{00000000-0005-0000-0000-0000FD570000}"/>
    <cellStyle name="Remarque 2 3 2 9 3 2 2" xfId="53330" xr:uid="{00000000-0005-0000-0000-0000FE570000}"/>
    <cellStyle name="Remarque 2 3 2 9 3 3" xfId="16617" xr:uid="{00000000-0005-0000-0000-0000FF570000}"/>
    <cellStyle name="Remarque 2 3 2 9 3 4" xfId="40577" xr:uid="{00000000-0005-0000-0000-000000580000}"/>
    <cellStyle name="Remarque 2 3 2 9 4" xfId="6750" xr:uid="{00000000-0005-0000-0000-000001580000}"/>
    <cellStyle name="Remarque 2 3 2 9 4 2" xfId="30764" xr:uid="{00000000-0005-0000-0000-000002580000}"/>
    <cellStyle name="Remarque 2 3 2 9 4 2 2" xfId="54724" xr:uid="{00000000-0005-0000-0000-000003580000}"/>
    <cellStyle name="Remarque 2 3 2 9 4 3" xfId="18011" xr:uid="{00000000-0005-0000-0000-000004580000}"/>
    <cellStyle name="Remarque 2 3 2 9 4 4" xfId="41971" xr:uid="{00000000-0005-0000-0000-000005580000}"/>
    <cellStyle name="Remarque 2 3 2 9 5" xfId="8138" xr:uid="{00000000-0005-0000-0000-000006580000}"/>
    <cellStyle name="Remarque 2 3 2 9 5 2" xfId="32152" xr:uid="{00000000-0005-0000-0000-000007580000}"/>
    <cellStyle name="Remarque 2 3 2 9 5 2 2" xfId="56112" xr:uid="{00000000-0005-0000-0000-000008580000}"/>
    <cellStyle name="Remarque 2 3 2 9 5 3" xfId="19399" xr:uid="{00000000-0005-0000-0000-000009580000}"/>
    <cellStyle name="Remarque 2 3 2 9 5 4" xfId="43359" xr:uid="{00000000-0005-0000-0000-00000A580000}"/>
    <cellStyle name="Remarque 2 3 2 9 6" xfId="9523" xr:uid="{00000000-0005-0000-0000-00000B580000}"/>
    <cellStyle name="Remarque 2 3 2 9 6 2" xfId="33537" xr:uid="{00000000-0005-0000-0000-00000C580000}"/>
    <cellStyle name="Remarque 2 3 2 9 6 2 2" xfId="57497" xr:uid="{00000000-0005-0000-0000-00000D580000}"/>
    <cellStyle name="Remarque 2 3 2 9 6 3" xfId="20784" xr:uid="{00000000-0005-0000-0000-00000E580000}"/>
    <cellStyle name="Remarque 2 3 2 9 6 4" xfId="44744" xr:uid="{00000000-0005-0000-0000-00000F580000}"/>
    <cellStyle name="Remarque 2 3 2 9 7" xfId="10980" xr:uid="{00000000-0005-0000-0000-000010580000}"/>
    <cellStyle name="Remarque 2 3 2 9 7 2" xfId="34990" xr:uid="{00000000-0005-0000-0000-000011580000}"/>
    <cellStyle name="Remarque 2 3 2 9 7 2 2" xfId="58950" xr:uid="{00000000-0005-0000-0000-000012580000}"/>
    <cellStyle name="Remarque 2 3 2 9 7 3" xfId="22247" xr:uid="{00000000-0005-0000-0000-000013580000}"/>
    <cellStyle name="Remarque 2 3 2 9 7 4" xfId="46207" xr:uid="{00000000-0005-0000-0000-000014580000}"/>
    <cellStyle name="Remarque 2 3 2 9 8" xfId="10135" xr:uid="{00000000-0005-0000-0000-000015580000}"/>
    <cellStyle name="Remarque 2 3 2 9 8 2" xfId="21398" xr:uid="{00000000-0005-0000-0000-000016580000}"/>
    <cellStyle name="Remarque 2 3 2 9 8 3" xfId="45358" xr:uid="{00000000-0005-0000-0000-000017580000}"/>
    <cellStyle name="Remarque 2 3 2 9 9" xfId="2452" xr:uid="{00000000-0005-0000-0000-000018580000}"/>
    <cellStyle name="Remarque 2 3 2 9 9 2" xfId="26466" xr:uid="{00000000-0005-0000-0000-000019580000}"/>
    <cellStyle name="Remarque 2 3 2 9 9 3" xfId="50426" xr:uid="{00000000-0005-0000-0000-00001A580000}"/>
    <cellStyle name="Remarque 2 3 3" xfId="45" xr:uid="{00000000-0005-0000-0000-00001B580000}"/>
    <cellStyle name="Remarque 2 3 3 10" xfId="3154" xr:uid="{00000000-0005-0000-0000-00001C580000}"/>
    <cellStyle name="Remarque 2 3 3 10 2" xfId="27168" xr:uid="{00000000-0005-0000-0000-00001D580000}"/>
    <cellStyle name="Remarque 2 3 3 10 2 2" xfId="51128" xr:uid="{00000000-0005-0000-0000-00001E580000}"/>
    <cellStyle name="Remarque 2 3 3 10 3" xfId="14415" xr:uid="{00000000-0005-0000-0000-00001F580000}"/>
    <cellStyle name="Remarque 2 3 3 10 4" xfId="38375" xr:uid="{00000000-0005-0000-0000-000020580000}"/>
    <cellStyle name="Remarque 2 3 3 11" xfId="4588" xr:uid="{00000000-0005-0000-0000-000021580000}"/>
    <cellStyle name="Remarque 2 3 3 11 2" xfId="28602" xr:uid="{00000000-0005-0000-0000-000022580000}"/>
    <cellStyle name="Remarque 2 3 3 11 2 2" xfId="52562" xr:uid="{00000000-0005-0000-0000-000023580000}"/>
    <cellStyle name="Remarque 2 3 3 11 3" xfId="15849" xr:uid="{00000000-0005-0000-0000-000024580000}"/>
    <cellStyle name="Remarque 2 3 3 11 4" xfId="39809" xr:uid="{00000000-0005-0000-0000-000025580000}"/>
    <cellStyle name="Remarque 2 3 3 12" xfId="5982" xr:uid="{00000000-0005-0000-0000-000026580000}"/>
    <cellStyle name="Remarque 2 3 3 12 2" xfId="29996" xr:uid="{00000000-0005-0000-0000-000027580000}"/>
    <cellStyle name="Remarque 2 3 3 12 2 2" xfId="53956" xr:uid="{00000000-0005-0000-0000-000028580000}"/>
    <cellStyle name="Remarque 2 3 3 12 3" xfId="17243" xr:uid="{00000000-0005-0000-0000-000029580000}"/>
    <cellStyle name="Remarque 2 3 3 12 4" xfId="41203" xr:uid="{00000000-0005-0000-0000-00002A580000}"/>
    <cellStyle name="Remarque 2 3 3 13" xfId="7370" xr:uid="{00000000-0005-0000-0000-00002B580000}"/>
    <cellStyle name="Remarque 2 3 3 13 2" xfId="31384" xr:uid="{00000000-0005-0000-0000-00002C580000}"/>
    <cellStyle name="Remarque 2 3 3 13 2 2" xfId="55344" xr:uid="{00000000-0005-0000-0000-00002D580000}"/>
    <cellStyle name="Remarque 2 3 3 13 3" xfId="18631" xr:uid="{00000000-0005-0000-0000-00002E580000}"/>
    <cellStyle name="Remarque 2 3 3 13 4" xfId="42591" xr:uid="{00000000-0005-0000-0000-00002F580000}"/>
    <cellStyle name="Remarque 2 3 3 14" xfId="8755" xr:uid="{00000000-0005-0000-0000-000030580000}"/>
    <cellStyle name="Remarque 2 3 3 14 2" xfId="32769" xr:uid="{00000000-0005-0000-0000-000031580000}"/>
    <cellStyle name="Remarque 2 3 3 14 2 2" xfId="56729" xr:uid="{00000000-0005-0000-0000-000032580000}"/>
    <cellStyle name="Remarque 2 3 3 14 3" xfId="20016" xr:uid="{00000000-0005-0000-0000-000033580000}"/>
    <cellStyle name="Remarque 2 3 3 14 4" xfId="43976" xr:uid="{00000000-0005-0000-0000-000034580000}"/>
    <cellStyle name="Remarque 2 3 3 15" xfId="10212" xr:uid="{00000000-0005-0000-0000-000035580000}"/>
    <cellStyle name="Remarque 2 3 3 15 2" xfId="34222" xr:uid="{00000000-0005-0000-0000-000036580000}"/>
    <cellStyle name="Remarque 2 3 3 15 2 2" xfId="58182" xr:uid="{00000000-0005-0000-0000-000037580000}"/>
    <cellStyle name="Remarque 2 3 3 15 3" xfId="21479" xr:uid="{00000000-0005-0000-0000-000038580000}"/>
    <cellStyle name="Remarque 2 3 3 15 4" xfId="45439" xr:uid="{00000000-0005-0000-0000-000039580000}"/>
    <cellStyle name="Remarque 2 3 3 16" xfId="11580" xr:uid="{00000000-0005-0000-0000-00003A580000}"/>
    <cellStyle name="Remarque 2 3 3 16 2" xfId="22847" xr:uid="{00000000-0005-0000-0000-00003B580000}"/>
    <cellStyle name="Remarque 2 3 3 16 3" xfId="46807" xr:uid="{00000000-0005-0000-0000-00003C580000}"/>
    <cellStyle name="Remarque 2 3 3 17" xfId="1684" xr:uid="{00000000-0005-0000-0000-00003D580000}"/>
    <cellStyle name="Remarque 2 3 3 17 2" xfId="25698" xr:uid="{00000000-0005-0000-0000-00003E580000}"/>
    <cellStyle name="Remarque 2 3 3 17 3" xfId="49658" xr:uid="{00000000-0005-0000-0000-00003F580000}"/>
    <cellStyle name="Remarque 2 3 3 18" xfId="24280" xr:uid="{00000000-0005-0000-0000-000040580000}"/>
    <cellStyle name="Remarque 2 3 3 18 2" xfId="48240" xr:uid="{00000000-0005-0000-0000-000041580000}"/>
    <cellStyle name="Remarque 2 3 3 19" xfId="36231" xr:uid="{00000000-0005-0000-0000-000042580000}"/>
    <cellStyle name="Remarque 2 3 3 19 2" xfId="60191" xr:uid="{00000000-0005-0000-0000-000043580000}"/>
    <cellStyle name="Remarque 2 3 3 2" xfId="423" xr:uid="{00000000-0005-0000-0000-000044580000}"/>
    <cellStyle name="Remarque 2 3 3 2 10" xfId="6157" xr:uid="{00000000-0005-0000-0000-000045580000}"/>
    <cellStyle name="Remarque 2 3 3 2 10 2" xfId="30171" xr:uid="{00000000-0005-0000-0000-000046580000}"/>
    <cellStyle name="Remarque 2 3 3 2 10 2 2" xfId="54131" xr:uid="{00000000-0005-0000-0000-000047580000}"/>
    <cellStyle name="Remarque 2 3 3 2 10 3" xfId="17418" xr:uid="{00000000-0005-0000-0000-000048580000}"/>
    <cellStyle name="Remarque 2 3 3 2 10 4" xfId="41378" xr:uid="{00000000-0005-0000-0000-000049580000}"/>
    <cellStyle name="Remarque 2 3 3 2 11" xfId="7545" xr:uid="{00000000-0005-0000-0000-00004A580000}"/>
    <cellStyle name="Remarque 2 3 3 2 11 2" xfId="31559" xr:uid="{00000000-0005-0000-0000-00004B580000}"/>
    <cellStyle name="Remarque 2 3 3 2 11 2 2" xfId="55519" xr:uid="{00000000-0005-0000-0000-00004C580000}"/>
    <cellStyle name="Remarque 2 3 3 2 11 3" xfId="18806" xr:uid="{00000000-0005-0000-0000-00004D580000}"/>
    <cellStyle name="Remarque 2 3 3 2 11 4" xfId="42766" xr:uid="{00000000-0005-0000-0000-00004E580000}"/>
    <cellStyle name="Remarque 2 3 3 2 12" xfId="8930" xr:uid="{00000000-0005-0000-0000-00004F580000}"/>
    <cellStyle name="Remarque 2 3 3 2 12 2" xfId="32944" xr:uid="{00000000-0005-0000-0000-000050580000}"/>
    <cellStyle name="Remarque 2 3 3 2 12 2 2" xfId="56904" xr:uid="{00000000-0005-0000-0000-000051580000}"/>
    <cellStyle name="Remarque 2 3 3 2 12 3" xfId="20191" xr:uid="{00000000-0005-0000-0000-000052580000}"/>
    <cellStyle name="Remarque 2 3 3 2 12 4" xfId="44151" xr:uid="{00000000-0005-0000-0000-000053580000}"/>
    <cellStyle name="Remarque 2 3 3 2 13" xfId="10387" xr:uid="{00000000-0005-0000-0000-000054580000}"/>
    <cellStyle name="Remarque 2 3 3 2 13 2" xfId="34397" xr:uid="{00000000-0005-0000-0000-000055580000}"/>
    <cellStyle name="Remarque 2 3 3 2 13 2 2" xfId="58357" xr:uid="{00000000-0005-0000-0000-000056580000}"/>
    <cellStyle name="Remarque 2 3 3 2 13 3" xfId="21654" xr:uid="{00000000-0005-0000-0000-000057580000}"/>
    <cellStyle name="Remarque 2 3 3 2 13 4" xfId="45614" xr:uid="{00000000-0005-0000-0000-000058580000}"/>
    <cellStyle name="Remarque 2 3 3 2 14" xfId="12106" xr:uid="{00000000-0005-0000-0000-000059580000}"/>
    <cellStyle name="Remarque 2 3 3 2 14 2" xfId="23389" xr:uid="{00000000-0005-0000-0000-00005A580000}"/>
    <cellStyle name="Remarque 2 3 3 2 14 3" xfId="47349" xr:uid="{00000000-0005-0000-0000-00005B580000}"/>
    <cellStyle name="Remarque 2 3 3 2 15" xfId="1859" xr:uid="{00000000-0005-0000-0000-00005C580000}"/>
    <cellStyle name="Remarque 2 3 3 2 15 2" xfId="25873" xr:uid="{00000000-0005-0000-0000-00005D580000}"/>
    <cellStyle name="Remarque 2 3 3 2 15 3" xfId="49833" xr:uid="{00000000-0005-0000-0000-00005E580000}"/>
    <cellStyle name="Remarque 2 3 3 2 16" xfId="24455" xr:uid="{00000000-0005-0000-0000-00005F580000}"/>
    <cellStyle name="Remarque 2 3 3 2 16 2" xfId="48415" xr:uid="{00000000-0005-0000-0000-000060580000}"/>
    <cellStyle name="Remarque 2 3 3 2 17" xfId="35726" xr:uid="{00000000-0005-0000-0000-000061580000}"/>
    <cellStyle name="Remarque 2 3 3 2 17 2" xfId="59686" xr:uid="{00000000-0005-0000-0000-000062580000}"/>
    <cellStyle name="Remarque 2 3 3 2 18" xfId="13120" xr:uid="{00000000-0005-0000-0000-000063580000}"/>
    <cellStyle name="Remarque 2 3 3 2 19" xfId="37080" xr:uid="{00000000-0005-0000-0000-000064580000}"/>
    <cellStyle name="Remarque 2 3 3 2 2" xfId="559" xr:uid="{00000000-0005-0000-0000-000065580000}"/>
    <cellStyle name="Remarque 2 3 3 2 2 10" xfId="24591" xr:uid="{00000000-0005-0000-0000-000066580000}"/>
    <cellStyle name="Remarque 2 3 3 2 2 10 2" xfId="48551" xr:uid="{00000000-0005-0000-0000-000067580000}"/>
    <cellStyle name="Remarque 2 3 3 2 2 11" xfId="34157" xr:uid="{00000000-0005-0000-0000-000068580000}"/>
    <cellStyle name="Remarque 2 3 3 2 2 11 2" xfId="58117" xr:uid="{00000000-0005-0000-0000-000069580000}"/>
    <cellStyle name="Remarque 2 3 3 2 2 12" xfId="13256" xr:uid="{00000000-0005-0000-0000-00006A580000}"/>
    <cellStyle name="Remarque 2 3 3 2 2 13" xfId="37216" xr:uid="{00000000-0005-0000-0000-00006B580000}"/>
    <cellStyle name="Remarque 2 3 3 2 2 2" xfId="3465" xr:uid="{00000000-0005-0000-0000-00006C580000}"/>
    <cellStyle name="Remarque 2 3 3 2 2 2 2" xfId="27479" xr:uid="{00000000-0005-0000-0000-00006D580000}"/>
    <cellStyle name="Remarque 2 3 3 2 2 2 2 2" xfId="51439" xr:uid="{00000000-0005-0000-0000-00006E580000}"/>
    <cellStyle name="Remarque 2 3 3 2 2 2 3" xfId="14726" xr:uid="{00000000-0005-0000-0000-00006F580000}"/>
    <cellStyle name="Remarque 2 3 3 2 2 2 4" xfId="38686" xr:uid="{00000000-0005-0000-0000-000070580000}"/>
    <cellStyle name="Remarque 2 3 3 2 2 3" xfId="4899" xr:uid="{00000000-0005-0000-0000-000071580000}"/>
    <cellStyle name="Remarque 2 3 3 2 2 3 2" xfId="28913" xr:uid="{00000000-0005-0000-0000-000072580000}"/>
    <cellStyle name="Remarque 2 3 3 2 2 3 2 2" xfId="52873" xr:uid="{00000000-0005-0000-0000-000073580000}"/>
    <cellStyle name="Remarque 2 3 3 2 2 3 3" xfId="16160" xr:uid="{00000000-0005-0000-0000-000074580000}"/>
    <cellStyle name="Remarque 2 3 3 2 2 3 4" xfId="40120" xr:uid="{00000000-0005-0000-0000-000075580000}"/>
    <cellStyle name="Remarque 2 3 3 2 2 4" xfId="6293" xr:uid="{00000000-0005-0000-0000-000076580000}"/>
    <cellStyle name="Remarque 2 3 3 2 2 4 2" xfId="30307" xr:uid="{00000000-0005-0000-0000-000077580000}"/>
    <cellStyle name="Remarque 2 3 3 2 2 4 2 2" xfId="54267" xr:uid="{00000000-0005-0000-0000-000078580000}"/>
    <cellStyle name="Remarque 2 3 3 2 2 4 3" xfId="17554" xr:uid="{00000000-0005-0000-0000-000079580000}"/>
    <cellStyle name="Remarque 2 3 3 2 2 4 4" xfId="41514" xr:uid="{00000000-0005-0000-0000-00007A580000}"/>
    <cellStyle name="Remarque 2 3 3 2 2 5" xfId="7681" xr:uid="{00000000-0005-0000-0000-00007B580000}"/>
    <cellStyle name="Remarque 2 3 3 2 2 5 2" xfId="31695" xr:uid="{00000000-0005-0000-0000-00007C580000}"/>
    <cellStyle name="Remarque 2 3 3 2 2 5 2 2" xfId="55655" xr:uid="{00000000-0005-0000-0000-00007D580000}"/>
    <cellStyle name="Remarque 2 3 3 2 2 5 3" xfId="18942" xr:uid="{00000000-0005-0000-0000-00007E580000}"/>
    <cellStyle name="Remarque 2 3 3 2 2 5 4" xfId="42902" xr:uid="{00000000-0005-0000-0000-00007F580000}"/>
    <cellStyle name="Remarque 2 3 3 2 2 6" xfId="9066" xr:uid="{00000000-0005-0000-0000-000080580000}"/>
    <cellStyle name="Remarque 2 3 3 2 2 6 2" xfId="33080" xr:uid="{00000000-0005-0000-0000-000081580000}"/>
    <cellStyle name="Remarque 2 3 3 2 2 6 2 2" xfId="57040" xr:uid="{00000000-0005-0000-0000-000082580000}"/>
    <cellStyle name="Remarque 2 3 3 2 2 6 3" xfId="20327" xr:uid="{00000000-0005-0000-0000-000083580000}"/>
    <cellStyle name="Remarque 2 3 3 2 2 6 4" xfId="44287" xr:uid="{00000000-0005-0000-0000-000084580000}"/>
    <cellStyle name="Remarque 2 3 3 2 2 7" xfId="10523" xr:uid="{00000000-0005-0000-0000-000085580000}"/>
    <cellStyle name="Remarque 2 3 3 2 2 7 2" xfId="34533" xr:uid="{00000000-0005-0000-0000-000086580000}"/>
    <cellStyle name="Remarque 2 3 3 2 2 7 2 2" xfId="58493" xr:uid="{00000000-0005-0000-0000-000087580000}"/>
    <cellStyle name="Remarque 2 3 3 2 2 7 3" xfId="21790" xr:uid="{00000000-0005-0000-0000-000088580000}"/>
    <cellStyle name="Remarque 2 3 3 2 2 7 4" xfId="45750" xr:uid="{00000000-0005-0000-0000-000089580000}"/>
    <cellStyle name="Remarque 2 3 3 2 2 8" xfId="12635" xr:uid="{00000000-0005-0000-0000-00008A580000}"/>
    <cellStyle name="Remarque 2 3 3 2 2 8 2" xfId="23939" xr:uid="{00000000-0005-0000-0000-00008B580000}"/>
    <cellStyle name="Remarque 2 3 3 2 2 8 3" xfId="47899" xr:uid="{00000000-0005-0000-0000-00008C580000}"/>
    <cellStyle name="Remarque 2 3 3 2 2 9" xfId="1995" xr:uid="{00000000-0005-0000-0000-00008D580000}"/>
    <cellStyle name="Remarque 2 3 3 2 2 9 2" xfId="26009" xr:uid="{00000000-0005-0000-0000-00008E580000}"/>
    <cellStyle name="Remarque 2 3 3 2 2 9 3" xfId="49969" xr:uid="{00000000-0005-0000-0000-00008F580000}"/>
    <cellStyle name="Remarque 2 3 3 2 3" xfId="751" xr:uid="{00000000-0005-0000-0000-000090580000}"/>
    <cellStyle name="Remarque 2 3 3 2 3 10" xfId="24783" xr:uid="{00000000-0005-0000-0000-000091580000}"/>
    <cellStyle name="Remarque 2 3 3 2 3 10 2" xfId="48743" xr:uid="{00000000-0005-0000-0000-000092580000}"/>
    <cellStyle name="Remarque 2 3 3 2 3 11" xfId="36305" xr:uid="{00000000-0005-0000-0000-000093580000}"/>
    <cellStyle name="Remarque 2 3 3 2 3 11 2" xfId="60265" xr:uid="{00000000-0005-0000-0000-000094580000}"/>
    <cellStyle name="Remarque 2 3 3 2 3 12" xfId="13448" xr:uid="{00000000-0005-0000-0000-000095580000}"/>
    <cellStyle name="Remarque 2 3 3 2 3 13" xfId="37408" xr:uid="{00000000-0005-0000-0000-000096580000}"/>
    <cellStyle name="Remarque 2 3 3 2 3 2" xfId="3657" xr:uid="{00000000-0005-0000-0000-000097580000}"/>
    <cellStyle name="Remarque 2 3 3 2 3 2 2" xfId="27671" xr:uid="{00000000-0005-0000-0000-000098580000}"/>
    <cellStyle name="Remarque 2 3 3 2 3 2 2 2" xfId="51631" xr:uid="{00000000-0005-0000-0000-000099580000}"/>
    <cellStyle name="Remarque 2 3 3 2 3 2 3" xfId="14918" xr:uid="{00000000-0005-0000-0000-00009A580000}"/>
    <cellStyle name="Remarque 2 3 3 2 3 2 4" xfId="38878" xr:uid="{00000000-0005-0000-0000-00009B580000}"/>
    <cellStyle name="Remarque 2 3 3 2 3 3" xfId="5091" xr:uid="{00000000-0005-0000-0000-00009C580000}"/>
    <cellStyle name="Remarque 2 3 3 2 3 3 2" xfId="29105" xr:uid="{00000000-0005-0000-0000-00009D580000}"/>
    <cellStyle name="Remarque 2 3 3 2 3 3 2 2" xfId="53065" xr:uid="{00000000-0005-0000-0000-00009E580000}"/>
    <cellStyle name="Remarque 2 3 3 2 3 3 3" xfId="16352" xr:uid="{00000000-0005-0000-0000-00009F580000}"/>
    <cellStyle name="Remarque 2 3 3 2 3 3 4" xfId="40312" xr:uid="{00000000-0005-0000-0000-0000A0580000}"/>
    <cellStyle name="Remarque 2 3 3 2 3 4" xfId="6485" xr:uid="{00000000-0005-0000-0000-0000A1580000}"/>
    <cellStyle name="Remarque 2 3 3 2 3 4 2" xfId="30499" xr:uid="{00000000-0005-0000-0000-0000A2580000}"/>
    <cellStyle name="Remarque 2 3 3 2 3 4 2 2" xfId="54459" xr:uid="{00000000-0005-0000-0000-0000A3580000}"/>
    <cellStyle name="Remarque 2 3 3 2 3 4 3" xfId="17746" xr:uid="{00000000-0005-0000-0000-0000A4580000}"/>
    <cellStyle name="Remarque 2 3 3 2 3 4 4" xfId="41706" xr:uid="{00000000-0005-0000-0000-0000A5580000}"/>
    <cellStyle name="Remarque 2 3 3 2 3 5" xfId="7873" xr:uid="{00000000-0005-0000-0000-0000A6580000}"/>
    <cellStyle name="Remarque 2 3 3 2 3 5 2" xfId="31887" xr:uid="{00000000-0005-0000-0000-0000A7580000}"/>
    <cellStyle name="Remarque 2 3 3 2 3 5 2 2" xfId="55847" xr:uid="{00000000-0005-0000-0000-0000A8580000}"/>
    <cellStyle name="Remarque 2 3 3 2 3 5 3" xfId="19134" xr:uid="{00000000-0005-0000-0000-0000A9580000}"/>
    <cellStyle name="Remarque 2 3 3 2 3 5 4" xfId="43094" xr:uid="{00000000-0005-0000-0000-0000AA580000}"/>
    <cellStyle name="Remarque 2 3 3 2 3 6" xfId="9258" xr:uid="{00000000-0005-0000-0000-0000AB580000}"/>
    <cellStyle name="Remarque 2 3 3 2 3 6 2" xfId="33272" xr:uid="{00000000-0005-0000-0000-0000AC580000}"/>
    <cellStyle name="Remarque 2 3 3 2 3 6 2 2" xfId="57232" xr:uid="{00000000-0005-0000-0000-0000AD580000}"/>
    <cellStyle name="Remarque 2 3 3 2 3 6 3" xfId="20519" xr:uid="{00000000-0005-0000-0000-0000AE580000}"/>
    <cellStyle name="Remarque 2 3 3 2 3 6 4" xfId="44479" xr:uid="{00000000-0005-0000-0000-0000AF580000}"/>
    <cellStyle name="Remarque 2 3 3 2 3 7" xfId="10715" xr:uid="{00000000-0005-0000-0000-0000B0580000}"/>
    <cellStyle name="Remarque 2 3 3 2 3 7 2" xfId="34725" xr:uid="{00000000-0005-0000-0000-0000B1580000}"/>
    <cellStyle name="Remarque 2 3 3 2 3 7 2 2" xfId="58685" xr:uid="{00000000-0005-0000-0000-0000B2580000}"/>
    <cellStyle name="Remarque 2 3 3 2 3 7 3" xfId="21982" xr:uid="{00000000-0005-0000-0000-0000B3580000}"/>
    <cellStyle name="Remarque 2 3 3 2 3 7 4" xfId="45942" xr:uid="{00000000-0005-0000-0000-0000B4580000}"/>
    <cellStyle name="Remarque 2 3 3 2 3 8" xfId="11888" xr:uid="{00000000-0005-0000-0000-0000B5580000}"/>
    <cellStyle name="Remarque 2 3 3 2 3 8 2" xfId="23165" xr:uid="{00000000-0005-0000-0000-0000B6580000}"/>
    <cellStyle name="Remarque 2 3 3 2 3 8 3" xfId="47125" xr:uid="{00000000-0005-0000-0000-0000B7580000}"/>
    <cellStyle name="Remarque 2 3 3 2 3 9" xfId="2187" xr:uid="{00000000-0005-0000-0000-0000B8580000}"/>
    <cellStyle name="Remarque 2 3 3 2 3 9 2" xfId="26201" xr:uid="{00000000-0005-0000-0000-0000B9580000}"/>
    <cellStyle name="Remarque 2 3 3 2 3 9 3" xfId="50161" xr:uid="{00000000-0005-0000-0000-0000BA580000}"/>
    <cellStyle name="Remarque 2 3 3 2 4" xfId="945" xr:uid="{00000000-0005-0000-0000-0000BB580000}"/>
    <cellStyle name="Remarque 2 3 3 2 4 10" xfId="24977" xr:uid="{00000000-0005-0000-0000-0000BC580000}"/>
    <cellStyle name="Remarque 2 3 3 2 4 10 2" xfId="48937" xr:uid="{00000000-0005-0000-0000-0000BD580000}"/>
    <cellStyle name="Remarque 2 3 3 2 4 11" xfId="35970" xr:uid="{00000000-0005-0000-0000-0000BE580000}"/>
    <cellStyle name="Remarque 2 3 3 2 4 11 2" xfId="59930" xr:uid="{00000000-0005-0000-0000-0000BF580000}"/>
    <cellStyle name="Remarque 2 3 3 2 4 12" xfId="13642" xr:uid="{00000000-0005-0000-0000-0000C0580000}"/>
    <cellStyle name="Remarque 2 3 3 2 4 13" xfId="37602" xr:uid="{00000000-0005-0000-0000-0000C1580000}"/>
    <cellStyle name="Remarque 2 3 3 2 4 2" xfId="3851" xr:uid="{00000000-0005-0000-0000-0000C2580000}"/>
    <cellStyle name="Remarque 2 3 3 2 4 2 2" xfId="27865" xr:uid="{00000000-0005-0000-0000-0000C3580000}"/>
    <cellStyle name="Remarque 2 3 3 2 4 2 2 2" xfId="51825" xr:uid="{00000000-0005-0000-0000-0000C4580000}"/>
    <cellStyle name="Remarque 2 3 3 2 4 2 3" xfId="15112" xr:uid="{00000000-0005-0000-0000-0000C5580000}"/>
    <cellStyle name="Remarque 2 3 3 2 4 2 4" xfId="39072" xr:uid="{00000000-0005-0000-0000-0000C6580000}"/>
    <cellStyle name="Remarque 2 3 3 2 4 3" xfId="5285" xr:uid="{00000000-0005-0000-0000-0000C7580000}"/>
    <cellStyle name="Remarque 2 3 3 2 4 3 2" xfId="29299" xr:uid="{00000000-0005-0000-0000-0000C8580000}"/>
    <cellStyle name="Remarque 2 3 3 2 4 3 2 2" xfId="53259" xr:uid="{00000000-0005-0000-0000-0000C9580000}"/>
    <cellStyle name="Remarque 2 3 3 2 4 3 3" xfId="16546" xr:uid="{00000000-0005-0000-0000-0000CA580000}"/>
    <cellStyle name="Remarque 2 3 3 2 4 3 4" xfId="40506" xr:uid="{00000000-0005-0000-0000-0000CB580000}"/>
    <cellStyle name="Remarque 2 3 3 2 4 4" xfId="6679" xr:uid="{00000000-0005-0000-0000-0000CC580000}"/>
    <cellStyle name="Remarque 2 3 3 2 4 4 2" xfId="30693" xr:uid="{00000000-0005-0000-0000-0000CD580000}"/>
    <cellStyle name="Remarque 2 3 3 2 4 4 2 2" xfId="54653" xr:uid="{00000000-0005-0000-0000-0000CE580000}"/>
    <cellStyle name="Remarque 2 3 3 2 4 4 3" xfId="17940" xr:uid="{00000000-0005-0000-0000-0000CF580000}"/>
    <cellStyle name="Remarque 2 3 3 2 4 4 4" xfId="41900" xr:uid="{00000000-0005-0000-0000-0000D0580000}"/>
    <cellStyle name="Remarque 2 3 3 2 4 5" xfId="8067" xr:uid="{00000000-0005-0000-0000-0000D1580000}"/>
    <cellStyle name="Remarque 2 3 3 2 4 5 2" xfId="32081" xr:uid="{00000000-0005-0000-0000-0000D2580000}"/>
    <cellStyle name="Remarque 2 3 3 2 4 5 2 2" xfId="56041" xr:uid="{00000000-0005-0000-0000-0000D3580000}"/>
    <cellStyle name="Remarque 2 3 3 2 4 5 3" xfId="19328" xr:uid="{00000000-0005-0000-0000-0000D4580000}"/>
    <cellStyle name="Remarque 2 3 3 2 4 5 4" xfId="43288" xr:uid="{00000000-0005-0000-0000-0000D5580000}"/>
    <cellStyle name="Remarque 2 3 3 2 4 6" xfId="9452" xr:uid="{00000000-0005-0000-0000-0000D6580000}"/>
    <cellStyle name="Remarque 2 3 3 2 4 6 2" xfId="33466" xr:uid="{00000000-0005-0000-0000-0000D7580000}"/>
    <cellStyle name="Remarque 2 3 3 2 4 6 2 2" xfId="57426" xr:uid="{00000000-0005-0000-0000-0000D8580000}"/>
    <cellStyle name="Remarque 2 3 3 2 4 6 3" xfId="20713" xr:uid="{00000000-0005-0000-0000-0000D9580000}"/>
    <cellStyle name="Remarque 2 3 3 2 4 6 4" xfId="44673" xr:uid="{00000000-0005-0000-0000-0000DA580000}"/>
    <cellStyle name="Remarque 2 3 3 2 4 7" xfId="10909" xr:uid="{00000000-0005-0000-0000-0000DB580000}"/>
    <cellStyle name="Remarque 2 3 3 2 4 7 2" xfId="34919" xr:uid="{00000000-0005-0000-0000-0000DC580000}"/>
    <cellStyle name="Remarque 2 3 3 2 4 7 2 2" xfId="58879" xr:uid="{00000000-0005-0000-0000-0000DD580000}"/>
    <cellStyle name="Remarque 2 3 3 2 4 7 3" xfId="22176" xr:uid="{00000000-0005-0000-0000-0000DE580000}"/>
    <cellStyle name="Remarque 2 3 3 2 4 7 4" xfId="46136" xr:uid="{00000000-0005-0000-0000-0000DF580000}"/>
    <cellStyle name="Remarque 2 3 3 2 4 8" xfId="12736" xr:uid="{00000000-0005-0000-0000-0000E0580000}"/>
    <cellStyle name="Remarque 2 3 3 2 4 8 2" xfId="24042" xr:uid="{00000000-0005-0000-0000-0000E1580000}"/>
    <cellStyle name="Remarque 2 3 3 2 4 8 3" xfId="48002" xr:uid="{00000000-0005-0000-0000-0000E2580000}"/>
    <cellStyle name="Remarque 2 3 3 2 4 9" xfId="2381" xr:uid="{00000000-0005-0000-0000-0000E3580000}"/>
    <cellStyle name="Remarque 2 3 3 2 4 9 2" xfId="26395" xr:uid="{00000000-0005-0000-0000-0000E4580000}"/>
    <cellStyle name="Remarque 2 3 3 2 4 9 3" xfId="50355" xr:uid="{00000000-0005-0000-0000-0000E5580000}"/>
    <cellStyle name="Remarque 2 3 3 2 5" xfId="1138" xr:uid="{00000000-0005-0000-0000-0000E6580000}"/>
    <cellStyle name="Remarque 2 3 3 2 5 10" xfId="25170" xr:uid="{00000000-0005-0000-0000-0000E7580000}"/>
    <cellStyle name="Remarque 2 3 3 2 5 10 2" xfId="49130" xr:uid="{00000000-0005-0000-0000-0000E8580000}"/>
    <cellStyle name="Remarque 2 3 3 2 5 11" xfId="35745" xr:uid="{00000000-0005-0000-0000-0000E9580000}"/>
    <cellStyle name="Remarque 2 3 3 2 5 11 2" xfId="59705" xr:uid="{00000000-0005-0000-0000-0000EA580000}"/>
    <cellStyle name="Remarque 2 3 3 2 5 12" xfId="13835" xr:uid="{00000000-0005-0000-0000-0000EB580000}"/>
    <cellStyle name="Remarque 2 3 3 2 5 13" xfId="37795" xr:uid="{00000000-0005-0000-0000-0000EC580000}"/>
    <cellStyle name="Remarque 2 3 3 2 5 2" xfId="4044" xr:uid="{00000000-0005-0000-0000-0000ED580000}"/>
    <cellStyle name="Remarque 2 3 3 2 5 2 2" xfId="28058" xr:uid="{00000000-0005-0000-0000-0000EE580000}"/>
    <cellStyle name="Remarque 2 3 3 2 5 2 2 2" xfId="52018" xr:uid="{00000000-0005-0000-0000-0000EF580000}"/>
    <cellStyle name="Remarque 2 3 3 2 5 2 3" xfId="15305" xr:uid="{00000000-0005-0000-0000-0000F0580000}"/>
    <cellStyle name="Remarque 2 3 3 2 5 2 4" xfId="39265" xr:uid="{00000000-0005-0000-0000-0000F1580000}"/>
    <cellStyle name="Remarque 2 3 3 2 5 3" xfId="5478" xr:uid="{00000000-0005-0000-0000-0000F2580000}"/>
    <cellStyle name="Remarque 2 3 3 2 5 3 2" xfId="29492" xr:uid="{00000000-0005-0000-0000-0000F3580000}"/>
    <cellStyle name="Remarque 2 3 3 2 5 3 2 2" xfId="53452" xr:uid="{00000000-0005-0000-0000-0000F4580000}"/>
    <cellStyle name="Remarque 2 3 3 2 5 3 3" xfId="16739" xr:uid="{00000000-0005-0000-0000-0000F5580000}"/>
    <cellStyle name="Remarque 2 3 3 2 5 3 4" xfId="40699" xr:uid="{00000000-0005-0000-0000-0000F6580000}"/>
    <cellStyle name="Remarque 2 3 3 2 5 4" xfId="6872" xr:uid="{00000000-0005-0000-0000-0000F7580000}"/>
    <cellStyle name="Remarque 2 3 3 2 5 4 2" xfId="30886" xr:uid="{00000000-0005-0000-0000-0000F8580000}"/>
    <cellStyle name="Remarque 2 3 3 2 5 4 2 2" xfId="54846" xr:uid="{00000000-0005-0000-0000-0000F9580000}"/>
    <cellStyle name="Remarque 2 3 3 2 5 4 3" xfId="18133" xr:uid="{00000000-0005-0000-0000-0000FA580000}"/>
    <cellStyle name="Remarque 2 3 3 2 5 4 4" xfId="42093" xr:uid="{00000000-0005-0000-0000-0000FB580000}"/>
    <cellStyle name="Remarque 2 3 3 2 5 5" xfId="8260" xr:uid="{00000000-0005-0000-0000-0000FC580000}"/>
    <cellStyle name="Remarque 2 3 3 2 5 5 2" xfId="32274" xr:uid="{00000000-0005-0000-0000-0000FD580000}"/>
    <cellStyle name="Remarque 2 3 3 2 5 5 2 2" xfId="56234" xr:uid="{00000000-0005-0000-0000-0000FE580000}"/>
    <cellStyle name="Remarque 2 3 3 2 5 5 3" xfId="19521" xr:uid="{00000000-0005-0000-0000-0000FF580000}"/>
    <cellStyle name="Remarque 2 3 3 2 5 5 4" xfId="43481" xr:uid="{00000000-0005-0000-0000-000000590000}"/>
    <cellStyle name="Remarque 2 3 3 2 5 6" xfId="9645" xr:uid="{00000000-0005-0000-0000-000001590000}"/>
    <cellStyle name="Remarque 2 3 3 2 5 6 2" xfId="33659" xr:uid="{00000000-0005-0000-0000-000002590000}"/>
    <cellStyle name="Remarque 2 3 3 2 5 6 2 2" xfId="57619" xr:uid="{00000000-0005-0000-0000-000003590000}"/>
    <cellStyle name="Remarque 2 3 3 2 5 6 3" xfId="20906" xr:uid="{00000000-0005-0000-0000-000004590000}"/>
    <cellStyle name="Remarque 2 3 3 2 5 6 4" xfId="44866" xr:uid="{00000000-0005-0000-0000-000005590000}"/>
    <cellStyle name="Remarque 2 3 3 2 5 7" xfId="11102" xr:uid="{00000000-0005-0000-0000-000006590000}"/>
    <cellStyle name="Remarque 2 3 3 2 5 7 2" xfId="35112" xr:uid="{00000000-0005-0000-0000-000007590000}"/>
    <cellStyle name="Remarque 2 3 3 2 5 7 2 2" xfId="59072" xr:uid="{00000000-0005-0000-0000-000008590000}"/>
    <cellStyle name="Remarque 2 3 3 2 5 7 3" xfId="22369" xr:uid="{00000000-0005-0000-0000-000009590000}"/>
    <cellStyle name="Remarque 2 3 3 2 5 7 4" xfId="46329" xr:uid="{00000000-0005-0000-0000-00000A590000}"/>
    <cellStyle name="Remarque 2 3 3 2 5 8" xfId="12314" xr:uid="{00000000-0005-0000-0000-00000B590000}"/>
    <cellStyle name="Remarque 2 3 3 2 5 8 2" xfId="23602" xr:uid="{00000000-0005-0000-0000-00000C590000}"/>
    <cellStyle name="Remarque 2 3 3 2 5 8 3" xfId="47562" xr:uid="{00000000-0005-0000-0000-00000D590000}"/>
    <cellStyle name="Remarque 2 3 3 2 5 9" xfId="2574" xr:uid="{00000000-0005-0000-0000-00000E590000}"/>
    <cellStyle name="Remarque 2 3 3 2 5 9 2" xfId="26588" xr:uid="{00000000-0005-0000-0000-00000F590000}"/>
    <cellStyle name="Remarque 2 3 3 2 5 9 3" xfId="50548" xr:uid="{00000000-0005-0000-0000-000010590000}"/>
    <cellStyle name="Remarque 2 3 3 2 6" xfId="1305" xr:uid="{00000000-0005-0000-0000-000011590000}"/>
    <cellStyle name="Remarque 2 3 3 2 6 10" xfId="25337" xr:uid="{00000000-0005-0000-0000-000012590000}"/>
    <cellStyle name="Remarque 2 3 3 2 6 10 2" xfId="49297" xr:uid="{00000000-0005-0000-0000-000013590000}"/>
    <cellStyle name="Remarque 2 3 3 2 6 11" xfId="36368" xr:uid="{00000000-0005-0000-0000-000014590000}"/>
    <cellStyle name="Remarque 2 3 3 2 6 11 2" xfId="60328" xr:uid="{00000000-0005-0000-0000-000015590000}"/>
    <cellStyle name="Remarque 2 3 3 2 6 12" xfId="14002" xr:uid="{00000000-0005-0000-0000-000016590000}"/>
    <cellStyle name="Remarque 2 3 3 2 6 13" xfId="37962" xr:uid="{00000000-0005-0000-0000-000017590000}"/>
    <cellStyle name="Remarque 2 3 3 2 6 2" xfId="4211" xr:uid="{00000000-0005-0000-0000-000018590000}"/>
    <cellStyle name="Remarque 2 3 3 2 6 2 2" xfId="28225" xr:uid="{00000000-0005-0000-0000-000019590000}"/>
    <cellStyle name="Remarque 2 3 3 2 6 2 2 2" xfId="52185" xr:uid="{00000000-0005-0000-0000-00001A590000}"/>
    <cellStyle name="Remarque 2 3 3 2 6 2 3" xfId="15472" xr:uid="{00000000-0005-0000-0000-00001B590000}"/>
    <cellStyle name="Remarque 2 3 3 2 6 2 4" xfId="39432" xr:uid="{00000000-0005-0000-0000-00001C590000}"/>
    <cellStyle name="Remarque 2 3 3 2 6 3" xfId="5645" xr:uid="{00000000-0005-0000-0000-00001D590000}"/>
    <cellStyle name="Remarque 2 3 3 2 6 3 2" xfId="29659" xr:uid="{00000000-0005-0000-0000-00001E590000}"/>
    <cellStyle name="Remarque 2 3 3 2 6 3 2 2" xfId="53619" xr:uid="{00000000-0005-0000-0000-00001F590000}"/>
    <cellStyle name="Remarque 2 3 3 2 6 3 3" xfId="16906" xr:uid="{00000000-0005-0000-0000-000020590000}"/>
    <cellStyle name="Remarque 2 3 3 2 6 3 4" xfId="40866" xr:uid="{00000000-0005-0000-0000-000021590000}"/>
    <cellStyle name="Remarque 2 3 3 2 6 4" xfId="7039" xr:uid="{00000000-0005-0000-0000-000022590000}"/>
    <cellStyle name="Remarque 2 3 3 2 6 4 2" xfId="31053" xr:uid="{00000000-0005-0000-0000-000023590000}"/>
    <cellStyle name="Remarque 2 3 3 2 6 4 2 2" xfId="55013" xr:uid="{00000000-0005-0000-0000-000024590000}"/>
    <cellStyle name="Remarque 2 3 3 2 6 4 3" xfId="18300" xr:uid="{00000000-0005-0000-0000-000025590000}"/>
    <cellStyle name="Remarque 2 3 3 2 6 4 4" xfId="42260" xr:uid="{00000000-0005-0000-0000-000026590000}"/>
    <cellStyle name="Remarque 2 3 3 2 6 5" xfId="8427" xr:uid="{00000000-0005-0000-0000-000027590000}"/>
    <cellStyle name="Remarque 2 3 3 2 6 5 2" xfId="32441" xr:uid="{00000000-0005-0000-0000-000028590000}"/>
    <cellStyle name="Remarque 2 3 3 2 6 5 2 2" xfId="56401" xr:uid="{00000000-0005-0000-0000-000029590000}"/>
    <cellStyle name="Remarque 2 3 3 2 6 5 3" xfId="19688" xr:uid="{00000000-0005-0000-0000-00002A590000}"/>
    <cellStyle name="Remarque 2 3 3 2 6 5 4" xfId="43648" xr:uid="{00000000-0005-0000-0000-00002B590000}"/>
    <cellStyle name="Remarque 2 3 3 2 6 6" xfId="9812" xr:uid="{00000000-0005-0000-0000-00002C590000}"/>
    <cellStyle name="Remarque 2 3 3 2 6 6 2" xfId="33826" xr:uid="{00000000-0005-0000-0000-00002D590000}"/>
    <cellStyle name="Remarque 2 3 3 2 6 6 2 2" xfId="57786" xr:uid="{00000000-0005-0000-0000-00002E590000}"/>
    <cellStyle name="Remarque 2 3 3 2 6 6 3" xfId="21073" xr:uid="{00000000-0005-0000-0000-00002F590000}"/>
    <cellStyle name="Remarque 2 3 3 2 6 6 4" xfId="45033" xr:uid="{00000000-0005-0000-0000-000030590000}"/>
    <cellStyle name="Remarque 2 3 3 2 6 7" xfId="11269" xr:uid="{00000000-0005-0000-0000-000031590000}"/>
    <cellStyle name="Remarque 2 3 3 2 6 7 2" xfId="35279" xr:uid="{00000000-0005-0000-0000-000032590000}"/>
    <cellStyle name="Remarque 2 3 3 2 6 7 2 2" xfId="59239" xr:uid="{00000000-0005-0000-0000-000033590000}"/>
    <cellStyle name="Remarque 2 3 3 2 6 7 3" xfId="22536" xr:uid="{00000000-0005-0000-0000-000034590000}"/>
    <cellStyle name="Remarque 2 3 3 2 6 7 4" xfId="46496" xr:uid="{00000000-0005-0000-0000-000035590000}"/>
    <cellStyle name="Remarque 2 3 3 2 6 8" xfId="12080" xr:uid="{00000000-0005-0000-0000-000036590000}"/>
    <cellStyle name="Remarque 2 3 3 2 6 8 2" xfId="23363" xr:uid="{00000000-0005-0000-0000-000037590000}"/>
    <cellStyle name="Remarque 2 3 3 2 6 8 3" xfId="47323" xr:uid="{00000000-0005-0000-0000-000038590000}"/>
    <cellStyle name="Remarque 2 3 3 2 6 9" xfId="2741" xr:uid="{00000000-0005-0000-0000-000039590000}"/>
    <cellStyle name="Remarque 2 3 3 2 6 9 2" xfId="26755" xr:uid="{00000000-0005-0000-0000-00003A590000}"/>
    <cellStyle name="Remarque 2 3 3 2 6 9 3" xfId="50715" xr:uid="{00000000-0005-0000-0000-00003B590000}"/>
    <cellStyle name="Remarque 2 3 3 2 7" xfId="1474" xr:uid="{00000000-0005-0000-0000-00003C590000}"/>
    <cellStyle name="Remarque 2 3 3 2 7 10" xfId="25506" xr:uid="{00000000-0005-0000-0000-00003D590000}"/>
    <cellStyle name="Remarque 2 3 3 2 7 10 2" xfId="49466" xr:uid="{00000000-0005-0000-0000-00003E590000}"/>
    <cellStyle name="Remarque 2 3 3 2 7 11" xfId="36261" xr:uid="{00000000-0005-0000-0000-00003F590000}"/>
    <cellStyle name="Remarque 2 3 3 2 7 11 2" xfId="60221" xr:uid="{00000000-0005-0000-0000-000040590000}"/>
    <cellStyle name="Remarque 2 3 3 2 7 12" xfId="14171" xr:uid="{00000000-0005-0000-0000-000041590000}"/>
    <cellStyle name="Remarque 2 3 3 2 7 13" xfId="38131" xr:uid="{00000000-0005-0000-0000-000042590000}"/>
    <cellStyle name="Remarque 2 3 3 2 7 2" xfId="4380" xr:uid="{00000000-0005-0000-0000-000043590000}"/>
    <cellStyle name="Remarque 2 3 3 2 7 2 2" xfId="28394" xr:uid="{00000000-0005-0000-0000-000044590000}"/>
    <cellStyle name="Remarque 2 3 3 2 7 2 2 2" xfId="52354" xr:uid="{00000000-0005-0000-0000-000045590000}"/>
    <cellStyle name="Remarque 2 3 3 2 7 2 3" xfId="15641" xr:uid="{00000000-0005-0000-0000-000046590000}"/>
    <cellStyle name="Remarque 2 3 3 2 7 2 4" xfId="39601" xr:uid="{00000000-0005-0000-0000-000047590000}"/>
    <cellStyle name="Remarque 2 3 3 2 7 3" xfId="5814" xr:uid="{00000000-0005-0000-0000-000048590000}"/>
    <cellStyle name="Remarque 2 3 3 2 7 3 2" xfId="29828" xr:uid="{00000000-0005-0000-0000-000049590000}"/>
    <cellStyle name="Remarque 2 3 3 2 7 3 2 2" xfId="53788" xr:uid="{00000000-0005-0000-0000-00004A590000}"/>
    <cellStyle name="Remarque 2 3 3 2 7 3 3" xfId="17075" xr:uid="{00000000-0005-0000-0000-00004B590000}"/>
    <cellStyle name="Remarque 2 3 3 2 7 3 4" xfId="41035" xr:uid="{00000000-0005-0000-0000-00004C590000}"/>
    <cellStyle name="Remarque 2 3 3 2 7 4" xfId="7208" xr:uid="{00000000-0005-0000-0000-00004D590000}"/>
    <cellStyle name="Remarque 2 3 3 2 7 4 2" xfId="31222" xr:uid="{00000000-0005-0000-0000-00004E590000}"/>
    <cellStyle name="Remarque 2 3 3 2 7 4 2 2" xfId="55182" xr:uid="{00000000-0005-0000-0000-00004F590000}"/>
    <cellStyle name="Remarque 2 3 3 2 7 4 3" xfId="18469" xr:uid="{00000000-0005-0000-0000-000050590000}"/>
    <cellStyle name="Remarque 2 3 3 2 7 4 4" xfId="42429" xr:uid="{00000000-0005-0000-0000-000051590000}"/>
    <cellStyle name="Remarque 2 3 3 2 7 5" xfId="8596" xr:uid="{00000000-0005-0000-0000-000052590000}"/>
    <cellStyle name="Remarque 2 3 3 2 7 5 2" xfId="32610" xr:uid="{00000000-0005-0000-0000-000053590000}"/>
    <cellStyle name="Remarque 2 3 3 2 7 5 2 2" xfId="56570" xr:uid="{00000000-0005-0000-0000-000054590000}"/>
    <cellStyle name="Remarque 2 3 3 2 7 5 3" xfId="19857" xr:uid="{00000000-0005-0000-0000-000055590000}"/>
    <cellStyle name="Remarque 2 3 3 2 7 5 4" xfId="43817" xr:uid="{00000000-0005-0000-0000-000056590000}"/>
    <cellStyle name="Remarque 2 3 3 2 7 6" xfId="9981" xr:uid="{00000000-0005-0000-0000-000057590000}"/>
    <cellStyle name="Remarque 2 3 3 2 7 6 2" xfId="33995" xr:uid="{00000000-0005-0000-0000-000058590000}"/>
    <cellStyle name="Remarque 2 3 3 2 7 6 2 2" xfId="57955" xr:uid="{00000000-0005-0000-0000-000059590000}"/>
    <cellStyle name="Remarque 2 3 3 2 7 6 3" xfId="21242" xr:uid="{00000000-0005-0000-0000-00005A590000}"/>
    <cellStyle name="Remarque 2 3 3 2 7 6 4" xfId="45202" xr:uid="{00000000-0005-0000-0000-00005B590000}"/>
    <cellStyle name="Remarque 2 3 3 2 7 7" xfId="11438" xr:uid="{00000000-0005-0000-0000-00005C590000}"/>
    <cellStyle name="Remarque 2 3 3 2 7 7 2" xfId="35448" xr:uid="{00000000-0005-0000-0000-00005D590000}"/>
    <cellStyle name="Remarque 2 3 3 2 7 7 2 2" xfId="59408" xr:uid="{00000000-0005-0000-0000-00005E590000}"/>
    <cellStyle name="Remarque 2 3 3 2 7 7 3" xfId="22705" xr:uid="{00000000-0005-0000-0000-00005F590000}"/>
    <cellStyle name="Remarque 2 3 3 2 7 7 4" xfId="46665" xr:uid="{00000000-0005-0000-0000-000060590000}"/>
    <cellStyle name="Remarque 2 3 3 2 7 8" xfId="11946" xr:uid="{00000000-0005-0000-0000-000061590000}"/>
    <cellStyle name="Remarque 2 3 3 2 7 8 2" xfId="23224" xr:uid="{00000000-0005-0000-0000-000062590000}"/>
    <cellStyle name="Remarque 2 3 3 2 7 8 3" xfId="47184" xr:uid="{00000000-0005-0000-0000-000063590000}"/>
    <cellStyle name="Remarque 2 3 3 2 7 9" xfId="2910" xr:uid="{00000000-0005-0000-0000-000064590000}"/>
    <cellStyle name="Remarque 2 3 3 2 7 9 2" xfId="26924" xr:uid="{00000000-0005-0000-0000-000065590000}"/>
    <cellStyle name="Remarque 2 3 3 2 7 9 3" xfId="50884" xr:uid="{00000000-0005-0000-0000-000066590000}"/>
    <cellStyle name="Remarque 2 3 3 2 8" xfId="3329" xr:uid="{00000000-0005-0000-0000-000067590000}"/>
    <cellStyle name="Remarque 2 3 3 2 8 2" xfId="27343" xr:uid="{00000000-0005-0000-0000-000068590000}"/>
    <cellStyle name="Remarque 2 3 3 2 8 2 2" xfId="51303" xr:uid="{00000000-0005-0000-0000-000069590000}"/>
    <cellStyle name="Remarque 2 3 3 2 8 3" xfId="14590" xr:uid="{00000000-0005-0000-0000-00006A590000}"/>
    <cellStyle name="Remarque 2 3 3 2 8 4" xfId="38550" xr:uid="{00000000-0005-0000-0000-00006B590000}"/>
    <cellStyle name="Remarque 2 3 3 2 9" xfId="4763" xr:uid="{00000000-0005-0000-0000-00006C590000}"/>
    <cellStyle name="Remarque 2 3 3 2 9 2" xfId="28777" xr:uid="{00000000-0005-0000-0000-00006D590000}"/>
    <cellStyle name="Remarque 2 3 3 2 9 2 2" xfId="52737" xr:uid="{00000000-0005-0000-0000-00006E590000}"/>
    <cellStyle name="Remarque 2 3 3 2 9 3" xfId="16024" xr:uid="{00000000-0005-0000-0000-00006F590000}"/>
    <cellStyle name="Remarque 2 3 3 2 9 4" xfId="39984" xr:uid="{00000000-0005-0000-0000-000070590000}"/>
    <cellStyle name="Remarque 2 3 3 20" xfId="12945" xr:uid="{00000000-0005-0000-0000-000071590000}"/>
    <cellStyle name="Remarque 2 3 3 21" xfId="36905" xr:uid="{00000000-0005-0000-0000-000072590000}"/>
    <cellStyle name="Remarque 2 3 3 22" xfId="248" xr:uid="{00000000-0005-0000-0000-000073590000}"/>
    <cellStyle name="Remarque 2 3 3 3" xfId="347" xr:uid="{00000000-0005-0000-0000-000074590000}"/>
    <cellStyle name="Remarque 2 3 3 3 10" xfId="24379" xr:uid="{00000000-0005-0000-0000-000075590000}"/>
    <cellStyle name="Remarque 2 3 3 3 10 2" xfId="48339" xr:uid="{00000000-0005-0000-0000-000076590000}"/>
    <cellStyle name="Remarque 2 3 3 3 11" xfId="36428" xr:uid="{00000000-0005-0000-0000-000077590000}"/>
    <cellStyle name="Remarque 2 3 3 3 11 2" xfId="60388" xr:uid="{00000000-0005-0000-0000-000078590000}"/>
    <cellStyle name="Remarque 2 3 3 3 12" xfId="13044" xr:uid="{00000000-0005-0000-0000-000079590000}"/>
    <cellStyle name="Remarque 2 3 3 3 13" xfId="37004" xr:uid="{00000000-0005-0000-0000-00007A590000}"/>
    <cellStyle name="Remarque 2 3 3 3 2" xfId="3253" xr:uid="{00000000-0005-0000-0000-00007B590000}"/>
    <cellStyle name="Remarque 2 3 3 3 2 2" xfId="27267" xr:uid="{00000000-0005-0000-0000-00007C590000}"/>
    <cellStyle name="Remarque 2 3 3 3 2 2 2" xfId="51227" xr:uid="{00000000-0005-0000-0000-00007D590000}"/>
    <cellStyle name="Remarque 2 3 3 3 2 3" xfId="14514" xr:uid="{00000000-0005-0000-0000-00007E590000}"/>
    <cellStyle name="Remarque 2 3 3 3 2 4" xfId="38474" xr:uid="{00000000-0005-0000-0000-00007F590000}"/>
    <cellStyle name="Remarque 2 3 3 3 3" xfId="4687" xr:uid="{00000000-0005-0000-0000-000080590000}"/>
    <cellStyle name="Remarque 2 3 3 3 3 2" xfId="28701" xr:uid="{00000000-0005-0000-0000-000081590000}"/>
    <cellStyle name="Remarque 2 3 3 3 3 2 2" xfId="52661" xr:uid="{00000000-0005-0000-0000-000082590000}"/>
    <cellStyle name="Remarque 2 3 3 3 3 3" xfId="15948" xr:uid="{00000000-0005-0000-0000-000083590000}"/>
    <cellStyle name="Remarque 2 3 3 3 3 4" xfId="39908" xr:uid="{00000000-0005-0000-0000-000084590000}"/>
    <cellStyle name="Remarque 2 3 3 3 4" xfId="6081" xr:uid="{00000000-0005-0000-0000-000085590000}"/>
    <cellStyle name="Remarque 2 3 3 3 4 2" xfId="30095" xr:uid="{00000000-0005-0000-0000-000086590000}"/>
    <cellStyle name="Remarque 2 3 3 3 4 2 2" xfId="54055" xr:uid="{00000000-0005-0000-0000-000087590000}"/>
    <cellStyle name="Remarque 2 3 3 3 4 3" xfId="17342" xr:uid="{00000000-0005-0000-0000-000088590000}"/>
    <cellStyle name="Remarque 2 3 3 3 4 4" xfId="41302" xr:uid="{00000000-0005-0000-0000-000089590000}"/>
    <cellStyle name="Remarque 2 3 3 3 5" xfId="7469" xr:uid="{00000000-0005-0000-0000-00008A590000}"/>
    <cellStyle name="Remarque 2 3 3 3 5 2" xfId="31483" xr:uid="{00000000-0005-0000-0000-00008B590000}"/>
    <cellStyle name="Remarque 2 3 3 3 5 2 2" xfId="55443" xr:uid="{00000000-0005-0000-0000-00008C590000}"/>
    <cellStyle name="Remarque 2 3 3 3 5 3" xfId="18730" xr:uid="{00000000-0005-0000-0000-00008D590000}"/>
    <cellStyle name="Remarque 2 3 3 3 5 4" xfId="42690" xr:uid="{00000000-0005-0000-0000-00008E590000}"/>
    <cellStyle name="Remarque 2 3 3 3 6" xfId="8854" xr:uid="{00000000-0005-0000-0000-00008F590000}"/>
    <cellStyle name="Remarque 2 3 3 3 6 2" xfId="32868" xr:uid="{00000000-0005-0000-0000-000090590000}"/>
    <cellStyle name="Remarque 2 3 3 3 6 2 2" xfId="56828" xr:uid="{00000000-0005-0000-0000-000091590000}"/>
    <cellStyle name="Remarque 2 3 3 3 6 3" xfId="20115" xr:uid="{00000000-0005-0000-0000-000092590000}"/>
    <cellStyle name="Remarque 2 3 3 3 6 4" xfId="44075" xr:uid="{00000000-0005-0000-0000-000093590000}"/>
    <cellStyle name="Remarque 2 3 3 3 7" xfId="10311" xr:uid="{00000000-0005-0000-0000-000094590000}"/>
    <cellStyle name="Remarque 2 3 3 3 7 2" xfId="34321" xr:uid="{00000000-0005-0000-0000-000095590000}"/>
    <cellStyle name="Remarque 2 3 3 3 7 2 2" xfId="58281" xr:uid="{00000000-0005-0000-0000-000096590000}"/>
    <cellStyle name="Remarque 2 3 3 3 7 3" xfId="21578" xr:uid="{00000000-0005-0000-0000-000097590000}"/>
    <cellStyle name="Remarque 2 3 3 3 7 4" xfId="45538" xr:uid="{00000000-0005-0000-0000-000098590000}"/>
    <cellStyle name="Remarque 2 3 3 3 8" xfId="12711" xr:uid="{00000000-0005-0000-0000-000099590000}"/>
    <cellStyle name="Remarque 2 3 3 3 8 2" xfId="24017" xr:uid="{00000000-0005-0000-0000-00009A590000}"/>
    <cellStyle name="Remarque 2 3 3 3 8 3" xfId="47977" xr:uid="{00000000-0005-0000-0000-00009B590000}"/>
    <cellStyle name="Remarque 2 3 3 3 9" xfId="1783" xr:uid="{00000000-0005-0000-0000-00009C590000}"/>
    <cellStyle name="Remarque 2 3 3 3 9 2" xfId="25797" xr:uid="{00000000-0005-0000-0000-00009D590000}"/>
    <cellStyle name="Remarque 2 3 3 3 9 3" xfId="49757" xr:uid="{00000000-0005-0000-0000-00009E590000}"/>
    <cellStyle name="Remarque 2 3 3 4" xfId="483" xr:uid="{00000000-0005-0000-0000-00009F590000}"/>
    <cellStyle name="Remarque 2 3 3 4 10" xfId="24515" xr:uid="{00000000-0005-0000-0000-0000A0590000}"/>
    <cellStyle name="Remarque 2 3 3 4 10 2" xfId="48475" xr:uid="{00000000-0005-0000-0000-0000A1590000}"/>
    <cellStyle name="Remarque 2 3 3 4 11" xfId="36069" xr:uid="{00000000-0005-0000-0000-0000A2590000}"/>
    <cellStyle name="Remarque 2 3 3 4 11 2" xfId="60029" xr:uid="{00000000-0005-0000-0000-0000A3590000}"/>
    <cellStyle name="Remarque 2 3 3 4 12" xfId="13180" xr:uid="{00000000-0005-0000-0000-0000A4590000}"/>
    <cellStyle name="Remarque 2 3 3 4 13" xfId="37140" xr:uid="{00000000-0005-0000-0000-0000A5590000}"/>
    <cellStyle name="Remarque 2 3 3 4 2" xfId="3389" xr:uid="{00000000-0005-0000-0000-0000A6590000}"/>
    <cellStyle name="Remarque 2 3 3 4 2 2" xfId="27403" xr:uid="{00000000-0005-0000-0000-0000A7590000}"/>
    <cellStyle name="Remarque 2 3 3 4 2 2 2" xfId="51363" xr:uid="{00000000-0005-0000-0000-0000A8590000}"/>
    <cellStyle name="Remarque 2 3 3 4 2 3" xfId="14650" xr:uid="{00000000-0005-0000-0000-0000A9590000}"/>
    <cellStyle name="Remarque 2 3 3 4 2 4" xfId="38610" xr:uid="{00000000-0005-0000-0000-0000AA590000}"/>
    <cellStyle name="Remarque 2 3 3 4 3" xfId="4823" xr:uid="{00000000-0005-0000-0000-0000AB590000}"/>
    <cellStyle name="Remarque 2 3 3 4 3 2" xfId="28837" xr:uid="{00000000-0005-0000-0000-0000AC590000}"/>
    <cellStyle name="Remarque 2 3 3 4 3 2 2" xfId="52797" xr:uid="{00000000-0005-0000-0000-0000AD590000}"/>
    <cellStyle name="Remarque 2 3 3 4 3 3" xfId="16084" xr:uid="{00000000-0005-0000-0000-0000AE590000}"/>
    <cellStyle name="Remarque 2 3 3 4 3 4" xfId="40044" xr:uid="{00000000-0005-0000-0000-0000AF590000}"/>
    <cellStyle name="Remarque 2 3 3 4 4" xfId="6217" xr:uid="{00000000-0005-0000-0000-0000B0590000}"/>
    <cellStyle name="Remarque 2 3 3 4 4 2" xfId="30231" xr:uid="{00000000-0005-0000-0000-0000B1590000}"/>
    <cellStyle name="Remarque 2 3 3 4 4 2 2" xfId="54191" xr:uid="{00000000-0005-0000-0000-0000B2590000}"/>
    <cellStyle name="Remarque 2 3 3 4 4 3" xfId="17478" xr:uid="{00000000-0005-0000-0000-0000B3590000}"/>
    <cellStyle name="Remarque 2 3 3 4 4 4" xfId="41438" xr:uid="{00000000-0005-0000-0000-0000B4590000}"/>
    <cellStyle name="Remarque 2 3 3 4 5" xfId="7605" xr:uid="{00000000-0005-0000-0000-0000B5590000}"/>
    <cellStyle name="Remarque 2 3 3 4 5 2" xfId="31619" xr:uid="{00000000-0005-0000-0000-0000B6590000}"/>
    <cellStyle name="Remarque 2 3 3 4 5 2 2" xfId="55579" xr:uid="{00000000-0005-0000-0000-0000B7590000}"/>
    <cellStyle name="Remarque 2 3 3 4 5 3" xfId="18866" xr:uid="{00000000-0005-0000-0000-0000B8590000}"/>
    <cellStyle name="Remarque 2 3 3 4 5 4" xfId="42826" xr:uid="{00000000-0005-0000-0000-0000B9590000}"/>
    <cellStyle name="Remarque 2 3 3 4 6" xfId="8990" xr:uid="{00000000-0005-0000-0000-0000BA590000}"/>
    <cellStyle name="Remarque 2 3 3 4 6 2" xfId="33004" xr:uid="{00000000-0005-0000-0000-0000BB590000}"/>
    <cellStyle name="Remarque 2 3 3 4 6 2 2" xfId="56964" xr:uid="{00000000-0005-0000-0000-0000BC590000}"/>
    <cellStyle name="Remarque 2 3 3 4 6 3" xfId="20251" xr:uid="{00000000-0005-0000-0000-0000BD590000}"/>
    <cellStyle name="Remarque 2 3 3 4 6 4" xfId="44211" xr:uid="{00000000-0005-0000-0000-0000BE590000}"/>
    <cellStyle name="Remarque 2 3 3 4 7" xfId="10447" xr:uid="{00000000-0005-0000-0000-0000BF590000}"/>
    <cellStyle name="Remarque 2 3 3 4 7 2" xfId="34457" xr:uid="{00000000-0005-0000-0000-0000C0590000}"/>
    <cellStyle name="Remarque 2 3 3 4 7 2 2" xfId="58417" xr:uid="{00000000-0005-0000-0000-0000C1590000}"/>
    <cellStyle name="Remarque 2 3 3 4 7 3" xfId="21714" xr:uid="{00000000-0005-0000-0000-0000C2590000}"/>
    <cellStyle name="Remarque 2 3 3 4 7 4" xfId="45674" xr:uid="{00000000-0005-0000-0000-0000C3590000}"/>
    <cellStyle name="Remarque 2 3 3 4 8" xfId="12394" xr:uid="{00000000-0005-0000-0000-0000C4590000}"/>
    <cellStyle name="Remarque 2 3 3 4 8 2" xfId="23684" xr:uid="{00000000-0005-0000-0000-0000C5590000}"/>
    <cellStyle name="Remarque 2 3 3 4 8 3" xfId="47644" xr:uid="{00000000-0005-0000-0000-0000C6590000}"/>
    <cellStyle name="Remarque 2 3 3 4 9" xfId="1919" xr:uid="{00000000-0005-0000-0000-0000C7590000}"/>
    <cellStyle name="Remarque 2 3 3 4 9 2" xfId="25933" xr:uid="{00000000-0005-0000-0000-0000C8590000}"/>
    <cellStyle name="Remarque 2 3 3 4 9 3" xfId="49893" xr:uid="{00000000-0005-0000-0000-0000C9590000}"/>
    <cellStyle name="Remarque 2 3 3 5" xfId="675" xr:uid="{00000000-0005-0000-0000-0000CA590000}"/>
    <cellStyle name="Remarque 2 3 3 5 10" xfId="24707" xr:uid="{00000000-0005-0000-0000-0000CB590000}"/>
    <cellStyle name="Remarque 2 3 3 5 10 2" xfId="48667" xr:uid="{00000000-0005-0000-0000-0000CC590000}"/>
    <cellStyle name="Remarque 2 3 3 5 11" xfId="35633" xr:uid="{00000000-0005-0000-0000-0000CD590000}"/>
    <cellStyle name="Remarque 2 3 3 5 11 2" xfId="59593" xr:uid="{00000000-0005-0000-0000-0000CE590000}"/>
    <cellStyle name="Remarque 2 3 3 5 12" xfId="13372" xr:uid="{00000000-0005-0000-0000-0000CF590000}"/>
    <cellStyle name="Remarque 2 3 3 5 13" xfId="37332" xr:uid="{00000000-0005-0000-0000-0000D0590000}"/>
    <cellStyle name="Remarque 2 3 3 5 2" xfId="3581" xr:uid="{00000000-0005-0000-0000-0000D1590000}"/>
    <cellStyle name="Remarque 2 3 3 5 2 2" xfId="27595" xr:uid="{00000000-0005-0000-0000-0000D2590000}"/>
    <cellStyle name="Remarque 2 3 3 5 2 2 2" xfId="51555" xr:uid="{00000000-0005-0000-0000-0000D3590000}"/>
    <cellStyle name="Remarque 2 3 3 5 2 3" xfId="14842" xr:uid="{00000000-0005-0000-0000-0000D4590000}"/>
    <cellStyle name="Remarque 2 3 3 5 2 4" xfId="38802" xr:uid="{00000000-0005-0000-0000-0000D5590000}"/>
    <cellStyle name="Remarque 2 3 3 5 3" xfId="5015" xr:uid="{00000000-0005-0000-0000-0000D6590000}"/>
    <cellStyle name="Remarque 2 3 3 5 3 2" xfId="29029" xr:uid="{00000000-0005-0000-0000-0000D7590000}"/>
    <cellStyle name="Remarque 2 3 3 5 3 2 2" xfId="52989" xr:uid="{00000000-0005-0000-0000-0000D8590000}"/>
    <cellStyle name="Remarque 2 3 3 5 3 3" xfId="16276" xr:uid="{00000000-0005-0000-0000-0000D9590000}"/>
    <cellStyle name="Remarque 2 3 3 5 3 4" xfId="40236" xr:uid="{00000000-0005-0000-0000-0000DA590000}"/>
    <cellStyle name="Remarque 2 3 3 5 4" xfId="6409" xr:uid="{00000000-0005-0000-0000-0000DB590000}"/>
    <cellStyle name="Remarque 2 3 3 5 4 2" xfId="30423" xr:uid="{00000000-0005-0000-0000-0000DC590000}"/>
    <cellStyle name="Remarque 2 3 3 5 4 2 2" xfId="54383" xr:uid="{00000000-0005-0000-0000-0000DD590000}"/>
    <cellStyle name="Remarque 2 3 3 5 4 3" xfId="17670" xr:uid="{00000000-0005-0000-0000-0000DE590000}"/>
    <cellStyle name="Remarque 2 3 3 5 4 4" xfId="41630" xr:uid="{00000000-0005-0000-0000-0000DF590000}"/>
    <cellStyle name="Remarque 2 3 3 5 5" xfId="7797" xr:uid="{00000000-0005-0000-0000-0000E0590000}"/>
    <cellStyle name="Remarque 2 3 3 5 5 2" xfId="31811" xr:uid="{00000000-0005-0000-0000-0000E1590000}"/>
    <cellStyle name="Remarque 2 3 3 5 5 2 2" xfId="55771" xr:uid="{00000000-0005-0000-0000-0000E2590000}"/>
    <cellStyle name="Remarque 2 3 3 5 5 3" xfId="19058" xr:uid="{00000000-0005-0000-0000-0000E3590000}"/>
    <cellStyle name="Remarque 2 3 3 5 5 4" xfId="43018" xr:uid="{00000000-0005-0000-0000-0000E4590000}"/>
    <cellStyle name="Remarque 2 3 3 5 6" xfId="9182" xr:uid="{00000000-0005-0000-0000-0000E5590000}"/>
    <cellStyle name="Remarque 2 3 3 5 6 2" xfId="33196" xr:uid="{00000000-0005-0000-0000-0000E6590000}"/>
    <cellStyle name="Remarque 2 3 3 5 6 2 2" xfId="57156" xr:uid="{00000000-0005-0000-0000-0000E7590000}"/>
    <cellStyle name="Remarque 2 3 3 5 6 3" xfId="20443" xr:uid="{00000000-0005-0000-0000-0000E8590000}"/>
    <cellStyle name="Remarque 2 3 3 5 6 4" xfId="44403" xr:uid="{00000000-0005-0000-0000-0000E9590000}"/>
    <cellStyle name="Remarque 2 3 3 5 7" xfId="10639" xr:uid="{00000000-0005-0000-0000-0000EA590000}"/>
    <cellStyle name="Remarque 2 3 3 5 7 2" xfId="34649" xr:uid="{00000000-0005-0000-0000-0000EB590000}"/>
    <cellStyle name="Remarque 2 3 3 5 7 2 2" xfId="58609" xr:uid="{00000000-0005-0000-0000-0000EC590000}"/>
    <cellStyle name="Remarque 2 3 3 5 7 3" xfId="21906" xr:uid="{00000000-0005-0000-0000-0000ED590000}"/>
    <cellStyle name="Remarque 2 3 3 5 7 4" xfId="45866" xr:uid="{00000000-0005-0000-0000-0000EE590000}"/>
    <cellStyle name="Remarque 2 3 3 5 8" xfId="12480" xr:uid="{00000000-0005-0000-0000-0000EF590000}"/>
    <cellStyle name="Remarque 2 3 3 5 8 2" xfId="23776" xr:uid="{00000000-0005-0000-0000-0000F0590000}"/>
    <cellStyle name="Remarque 2 3 3 5 8 3" xfId="47736" xr:uid="{00000000-0005-0000-0000-0000F1590000}"/>
    <cellStyle name="Remarque 2 3 3 5 9" xfId="2111" xr:uid="{00000000-0005-0000-0000-0000F2590000}"/>
    <cellStyle name="Remarque 2 3 3 5 9 2" xfId="26125" xr:uid="{00000000-0005-0000-0000-0000F3590000}"/>
    <cellStyle name="Remarque 2 3 3 5 9 3" xfId="50085" xr:uid="{00000000-0005-0000-0000-0000F4590000}"/>
    <cellStyle name="Remarque 2 3 3 6" xfId="869" xr:uid="{00000000-0005-0000-0000-0000F5590000}"/>
    <cellStyle name="Remarque 2 3 3 6 10" xfId="24901" xr:uid="{00000000-0005-0000-0000-0000F6590000}"/>
    <cellStyle name="Remarque 2 3 3 6 10 2" xfId="48861" xr:uid="{00000000-0005-0000-0000-0000F7590000}"/>
    <cellStyle name="Remarque 2 3 3 6 11" xfId="34134" xr:uid="{00000000-0005-0000-0000-0000F8590000}"/>
    <cellStyle name="Remarque 2 3 3 6 11 2" xfId="58094" xr:uid="{00000000-0005-0000-0000-0000F9590000}"/>
    <cellStyle name="Remarque 2 3 3 6 12" xfId="13566" xr:uid="{00000000-0005-0000-0000-0000FA590000}"/>
    <cellStyle name="Remarque 2 3 3 6 13" xfId="37526" xr:uid="{00000000-0005-0000-0000-0000FB590000}"/>
    <cellStyle name="Remarque 2 3 3 6 2" xfId="3775" xr:uid="{00000000-0005-0000-0000-0000FC590000}"/>
    <cellStyle name="Remarque 2 3 3 6 2 2" xfId="27789" xr:uid="{00000000-0005-0000-0000-0000FD590000}"/>
    <cellStyle name="Remarque 2 3 3 6 2 2 2" xfId="51749" xr:uid="{00000000-0005-0000-0000-0000FE590000}"/>
    <cellStyle name="Remarque 2 3 3 6 2 3" xfId="15036" xr:uid="{00000000-0005-0000-0000-0000FF590000}"/>
    <cellStyle name="Remarque 2 3 3 6 2 4" xfId="38996" xr:uid="{00000000-0005-0000-0000-0000005A0000}"/>
    <cellStyle name="Remarque 2 3 3 6 3" xfId="5209" xr:uid="{00000000-0005-0000-0000-0000015A0000}"/>
    <cellStyle name="Remarque 2 3 3 6 3 2" xfId="29223" xr:uid="{00000000-0005-0000-0000-0000025A0000}"/>
    <cellStyle name="Remarque 2 3 3 6 3 2 2" xfId="53183" xr:uid="{00000000-0005-0000-0000-0000035A0000}"/>
    <cellStyle name="Remarque 2 3 3 6 3 3" xfId="16470" xr:uid="{00000000-0005-0000-0000-0000045A0000}"/>
    <cellStyle name="Remarque 2 3 3 6 3 4" xfId="40430" xr:uid="{00000000-0005-0000-0000-0000055A0000}"/>
    <cellStyle name="Remarque 2 3 3 6 4" xfId="6603" xr:uid="{00000000-0005-0000-0000-0000065A0000}"/>
    <cellStyle name="Remarque 2 3 3 6 4 2" xfId="30617" xr:uid="{00000000-0005-0000-0000-0000075A0000}"/>
    <cellStyle name="Remarque 2 3 3 6 4 2 2" xfId="54577" xr:uid="{00000000-0005-0000-0000-0000085A0000}"/>
    <cellStyle name="Remarque 2 3 3 6 4 3" xfId="17864" xr:uid="{00000000-0005-0000-0000-0000095A0000}"/>
    <cellStyle name="Remarque 2 3 3 6 4 4" xfId="41824" xr:uid="{00000000-0005-0000-0000-00000A5A0000}"/>
    <cellStyle name="Remarque 2 3 3 6 5" xfId="7991" xr:uid="{00000000-0005-0000-0000-00000B5A0000}"/>
    <cellStyle name="Remarque 2 3 3 6 5 2" xfId="32005" xr:uid="{00000000-0005-0000-0000-00000C5A0000}"/>
    <cellStyle name="Remarque 2 3 3 6 5 2 2" xfId="55965" xr:uid="{00000000-0005-0000-0000-00000D5A0000}"/>
    <cellStyle name="Remarque 2 3 3 6 5 3" xfId="19252" xr:uid="{00000000-0005-0000-0000-00000E5A0000}"/>
    <cellStyle name="Remarque 2 3 3 6 5 4" xfId="43212" xr:uid="{00000000-0005-0000-0000-00000F5A0000}"/>
    <cellStyle name="Remarque 2 3 3 6 6" xfId="9376" xr:uid="{00000000-0005-0000-0000-0000105A0000}"/>
    <cellStyle name="Remarque 2 3 3 6 6 2" xfId="33390" xr:uid="{00000000-0005-0000-0000-0000115A0000}"/>
    <cellStyle name="Remarque 2 3 3 6 6 2 2" xfId="57350" xr:uid="{00000000-0005-0000-0000-0000125A0000}"/>
    <cellStyle name="Remarque 2 3 3 6 6 3" xfId="20637" xr:uid="{00000000-0005-0000-0000-0000135A0000}"/>
    <cellStyle name="Remarque 2 3 3 6 6 4" xfId="44597" xr:uid="{00000000-0005-0000-0000-0000145A0000}"/>
    <cellStyle name="Remarque 2 3 3 6 7" xfId="10833" xr:uid="{00000000-0005-0000-0000-0000155A0000}"/>
    <cellStyle name="Remarque 2 3 3 6 7 2" xfId="34843" xr:uid="{00000000-0005-0000-0000-0000165A0000}"/>
    <cellStyle name="Remarque 2 3 3 6 7 2 2" xfId="58803" xr:uid="{00000000-0005-0000-0000-0000175A0000}"/>
    <cellStyle name="Remarque 2 3 3 6 7 3" xfId="22100" xr:uid="{00000000-0005-0000-0000-0000185A0000}"/>
    <cellStyle name="Remarque 2 3 3 6 7 4" xfId="46060" xr:uid="{00000000-0005-0000-0000-0000195A0000}"/>
    <cellStyle name="Remarque 2 3 3 6 8" xfId="12730" xr:uid="{00000000-0005-0000-0000-00001A5A0000}"/>
    <cellStyle name="Remarque 2 3 3 6 8 2" xfId="24036" xr:uid="{00000000-0005-0000-0000-00001B5A0000}"/>
    <cellStyle name="Remarque 2 3 3 6 8 3" xfId="47996" xr:uid="{00000000-0005-0000-0000-00001C5A0000}"/>
    <cellStyle name="Remarque 2 3 3 6 9" xfId="2305" xr:uid="{00000000-0005-0000-0000-00001D5A0000}"/>
    <cellStyle name="Remarque 2 3 3 6 9 2" xfId="26319" xr:uid="{00000000-0005-0000-0000-00001E5A0000}"/>
    <cellStyle name="Remarque 2 3 3 6 9 3" xfId="50279" xr:uid="{00000000-0005-0000-0000-00001F5A0000}"/>
    <cellStyle name="Remarque 2 3 3 7" xfId="1062" xr:uid="{00000000-0005-0000-0000-0000205A0000}"/>
    <cellStyle name="Remarque 2 3 3 7 10" xfId="25094" xr:uid="{00000000-0005-0000-0000-0000215A0000}"/>
    <cellStyle name="Remarque 2 3 3 7 10 2" xfId="49054" xr:uid="{00000000-0005-0000-0000-0000225A0000}"/>
    <cellStyle name="Remarque 2 3 3 7 11" xfId="36486" xr:uid="{00000000-0005-0000-0000-0000235A0000}"/>
    <cellStyle name="Remarque 2 3 3 7 11 2" xfId="60446" xr:uid="{00000000-0005-0000-0000-0000245A0000}"/>
    <cellStyle name="Remarque 2 3 3 7 12" xfId="13759" xr:uid="{00000000-0005-0000-0000-0000255A0000}"/>
    <cellStyle name="Remarque 2 3 3 7 13" xfId="37719" xr:uid="{00000000-0005-0000-0000-0000265A0000}"/>
    <cellStyle name="Remarque 2 3 3 7 2" xfId="3968" xr:uid="{00000000-0005-0000-0000-0000275A0000}"/>
    <cellStyle name="Remarque 2 3 3 7 2 2" xfId="27982" xr:uid="{00000000-0005-0000-0000-0000285A0000}"/>
    <cellStyle name="Remarque 2 3 3 7 2 2 2" xfId="51942" xr:uid="{00000000-0005-0000-0000-0000295A0000}"/>
    <cellStyle name="Remarque 2 3 3 7 2 3" xfId="15229" xr:uid="{00000000-0005-0000-0000-00002A5A0000}"/>
    <cellStyle name="Remarque 2 3 3 7 2 4" xfId="39189" xr:uid="{00000000-0005-0000-0000-00002B5A0000}"/>
    <cellStyle name="Remarque 2 3 3 7 3" xfId="5402" xr:uid="{00000000-0005-0000-0000-00002C5A0000}"/>
    <cellStyle name="Remarque 2 3 3 7 3 2" xfId="29416" xr:uid="{00000000-0005-0000-0000-00002D5A0000}"/>
    <cellStyle name="Remarque 2 3 3 7 3 2 2" xfId="53376" xr:uid="{00000000-0005-0000-0000-00002E5A0000}"/>
    <cellStyle name="Remarque 2 3 3 7 3 3" xfId="16663" xr:uid="{00000000-0005-0000-0000-00002F5A0000}"/>
    <cellStyle name="Remarque 2 3 3 7 3 4" xfId="40623" xr:uid="{00000000-0005-0000-0000-0000305A0000}"/>
    <cellStyle name="Remarque 2 3 3 7 4" xfId="6796" xr:uid="{00000000-0005-0000-0000-0000315A0000}"/>
    <cellStyle name="Remarque 2 3 3 7 4 2" xfId="30810" xr:uid="{00000000-0005-0000-0000-0000325A0000}"/>
    <cellStyle name="Remarque 2 3 3 7 4 2 2" xfId="54770" xr:uid="{00000000-0005-0000-0000-0000335A0000}"/>
    <cellStyle name="Remarque 2 3 3 7 4 3" xfId="18057" xr:uid="{00000000-0005-0000-0000-0000345A0000}"/>
    <cellStyle name="Remarque 2 3 3 7 4 4" xfId="42017" xr:uid="{00000000-0005-0000-0000-0000355A0000}"/>
    <cellStyle name="Remarque 2 3 3 7 5" xfId="8184" xr:uid="{00000000-0005-0000-0000-0000365A0000}"/>
    <cellStyle name="Remarque 2 3 3 7 5 2" xfId="32198" xr:uid="{00000000-0005-0000-0000-0000375A0000}"/>
    <cellStyle name="Remarque 2 3 3 7 5 2 2" xfId="56158" xr:uid="{00000000-0005-0000-0000-0000385A0000}"/>
    <cellStyle name="Remarque 2 3 3 7 5 3" xfId="19445" xr:uid="{00000000-0005-0000-0000-0000395A0000}"/>
    <cellStyle name="Remarque 2 3 3 7 5 4" xfId="43405" xr:uid="{00000000-0005-0000-0000-00003A5A0000}"/>
    <cellStyle name="Remarque 2 3 3 7 6" xfId="9569" xr:uid="{00000000-0005-0000-0000-00003B5A0000}"/>
    <cellStyle name="Remarque 2 3 3 7 6 2" xfId="33583" xr:uid="{00000000-0005-0000-0000-00003C5A0000}"/>
    <cellStyle name="Remarque 2 3 3 7 6 2 2" xfId="57543" xr:uid="{00000000-0005-0000-0000-00003D5A0000}"/>
    <cellStyle name="Remarque 2 3 3 7 6 3" xfId="20830" xr:uid="{00000000-0005-0000-0000-00003E5A0000}"/>
    <cellStyle name="Remarque 2 3 3 7 6 4" xfId="44790" xr:uid="{00000000-0005-0000-0000-00003F5A0000}"/>
    <cellStyle name="Remarque 2 3 3 7 7" xfId="11026" xr:uid="{00000000-0005-0000-0000-0000405A0000}"/>
    <cellStyle name="Remarque 2 3 3 7 7 2" xfId="35036" xr:uid="{00000000-0005-0000-0000-0000415A0000}"/>
    <cellStyle name="Remarque 2 3 3 7 7 2 2" xfId="58996" xr:uid="{00000000-0005-0000-0000-0000425A0000}"/>
    <cellStyle name="Remarque 2 3 3 7 7 3" xfId="22293" xr:uid="{00000000-0005-0000-0000-0000435A0000}"/>
    <cellStyle name="Remarque 2 3 3 7 7 4" xfId="46253" xr:uid="{00000000-0005-0000-0000-0000445A0000}"/>
    <cellStyle name="Remarque 2 3 3 7 8" xfId="12703" xr:uid="{00000000-0005-0000-0000-0000455A0000}"/>
    <cellStyle name="Remarque 2 3 3 7 8 2" xfId="24008" xr:uid="{00000000-0005-0000-0000-0000465A0000}"/>
    <cellStyle name="Remarque 2 3 3 7 8 3" xfId="47968" xr:uid="{00000000-0005-0000-0000-0000475A0000}"/>
    <cellStyle name="Remarque 2 3 3 7 9" xfId="2498" xr:uid="{00000000-0005-0000-0000-0000485A0000}"/>
    <cellStyle name="Remarque 2 3 3 7 9 2" xfId="26512" xr:uid="{00000000-0005-0000-0000-0000495A0000}"/>
    <cellStyle name="Remarque 2 3 3 7 9 3" xfId="50472" xr:uid="{00000000-0005-0000-0000-00004A5A0000}"/>
    <cellStyle name="Remarque 2 3 3 8" xfId="1229" xr:uid="{00000000-0005-0000-0000-00004B5A0000}"/>
    <cellStyle name="Remarque 2 3 3 8 10" xfId="25261" xr:uid="{00000000-0005-0000-0000-00004C5A0000}"/>
    <cellStyle name="Remarque 2 3 3 8 10 2" xfId="49221" xr:uid="{00000000-0005-0000-0000-00004D5A0000}"/>
    <cellStyle name="Remarque 2 3 3 8 11" xfId="36030" xr:uid="{00000000-0005-0000-0000-00004E5A0000}"/>
    <cellStyle name="Remarque 2 3 3 8 11 2" xfId="59990" xr:uid="{00000000-0005-0000-0000-00004F5A0000}"/>
    <cellStyle name="Remarque 2 3 3 8 12" xfId="13926" xr:uid="{00000000-0005-0000-0000-0000505A0000}"/>
    <cellStyle name="Remarque 2 3 3 8 13" xfId="37886" xr:uid="{00000000-0005-0000-0000-0000515A0000}"/>
    <cellStyle name="Remarque 2 3 3 8 2" xfId="4135" xr:uid="{00000000-0005-0000-0000-0000525A0000}"/>
    <cellStyle name="Remarque 2 3 3 8 2 2" xfId="28149" xr:uid="{00000000-0005-0000-0000-0000535A0000}"/>
    <cellStyle name="Remarque 2 3 3 8 2 2 2" xfId="52109" xr:uid="{00000000-0005-0000-0000-0000545A0000}"/>
    <cellStyle name="Remarque 2 3 3 8 2 3" xfId="15396" xr:uid="{00000000-0005-0000-0000-0000555A0000}"/>
    <cellStyle name="Remarque 2 3 3 8 2 4" xfId="39356" xr:uid="{00000000-0005-0000-0000-0000565A0000}"/>
    <cellStyle name="Remarque 2 3 3 8 3" xfId="5569" xr:uid="{00000000-0005-0000-0000-0000575A0000}"/>
    <cellStyle name="Remarque 2 3 3 8 3 2" xfId="29583" xr:uid="{00000000-0005-0000-0000-0000585A0000}"/>
    <cellStyle name="Remarque 2 3 3 8 3 2 2" xfId="53543" xr:uid="{00000000-0005-0000-0000-0000595A0000}"/>
    <cellStyle name="Remarque 2 3 3 8 3 3" xfId="16830" xr:uid="{00000000-0005-0000-0000-00005A5A0000}"/>
    <cellStyle name="Remarque 2 3 3 8 3 4" xfId="40790" xr:uid="{00000000-0005-0000-0000-00005B5A0000}"/>
    <cellStyle name="Remarque 2 3 3 8 4" xfId="6963" xr:uid="{00000000-0005-0000-0000-00005C5A0000}"/>
    <cellStyle name="Remarque 2 3 3 8 4 2" xfId="30977" xr:uid="{00000000-0005-0000-0000-00005D5A0000}"/>
    <cellStyle name="Remarque 2 3 3 8 4 2 2" xfId="54937" xr:uid="{00000000-0005-0000-0000-00005E5A0000}"/>
    <cellStyle name="Remarque 2 3 3 8 4 3" xfId="18224" xr:uid="{00000000-0005-0000-0000-00005F5A0000}"/>
    <cellStyle name="Remarque 2 3 3 8 4 4" xfId="42184" xr:uid="{00000000-0005-0000-0000-0000605A0000}"/>
    <cellStyle name="Remarque 2 3 3 8 5" xfId="8351" xr:uid="{00000000-0005-0000-0000-0000615A0000}"/>
    <cellStyle name="Remarque 2 3 3 8 5 2" xfId="32365" xr:uid="{00000000-0005-0000-0000-0000625A0000}"/>
    <cellStyle name="Remarque 2 3 3 8 5 2 2" xfId="56325" xr:uid="{00000000-0005-0000-0000-0000635A0000}"/>
    <cellStyle name="Remarque 2 3 3 8 5 3" xfId="19612" xr:uid="{00000000-0005-0000-0000-0000645A0000}"/>
    <cellStyle name="Remarque 2 3 3 8 5 4" xfId="43572" xr:uid="{00000000-0005-0000-0000-0000655A0000}"/>
    <cellStyle name="Remarque 2 3 3 8 6" xfId="9736" xr:uid="{00000000-0005-0000-0000-0000665A0000}"/>
    <cellStyle name="Remarque 2 3 3 8 6 2" xfId="33750" xr:uid="{00000000-0005-0000-0000-0000675A0000}"/>
    <cellStyle name="Remarque 2 3 3 8 6 2 2" xfId="57710" xr:uid="{00000000-0005-0000-0000-0000685A0000}"/>
    <cellStyle name="Remarque 2 3 3 8 6 3" xfId="20997" xr:uid="{00000000-0005-0000-0000-0000695A0000}"/>
    <cellStyle name="Remarque 2 3 3 8 6 4" xfId="44957" xr:uid="{00000000-0005-0000-0000-00006A5A0000}"/>
    <cellStyle name="Remarque 2 3 3 8 7" xfId="11193" xr:uid="{00000000-0005-0000-0000-00006B5A0000}"/>
    <cellStyle name="Remarque 2 3 3 8 7 2" xfId="35203" xr:uid="{00000000-0005-0000-0000-00006C5A0000}"/>
    <cellStyle name="Remarque 2 3 3 8 7 2 2" xfId="59163" xr:uid="{00000000-0005-0000-0000-00006D5A0000}"/>
    <cellStyle name="Remarque 2 3 3 8 7 3" xfId="22460" xr:uid="{00000000-0005-0000-0000-00006E5A0000}"/>
    <cellStyle name="Remarque 2 3 3 8 7 4" xfId="46420" xr:uid="{00000000-0005-0000-0000-00006F5A0000}"/>
    <cellStyle name="Remarque 2 3 3 8 8" xfId="12077" xr:uid="{00000000-0005-0000-0000-0000705A0000}"/>
    <cellStyle name="Remarque 2 3 3 8 8 2" xfId="23360" xr:uid="{00000000-0005-0000-0000-0000715A0000}"/>
    <cellStyle name="Remarque 2 3 3 8 8 3" xfId="47320" xr:uid="{00000000-0005-0000-0000-0000725A0000}"/>
    <cellStyle name="Remarque 2 3 3 8 9" xfId="2665" xr:uid="{00000000-0005-0000-0000-0000735A0000}"/>
    <cellStyle name="Remarque 2 3 3 8 9 2" xfId="26679" xr:uid="{00000000-0005-0000-0000-0000745A0000}"/>
    <cellStyle name="Remarque 2 3 3 8 9 3" xfId="50639" xr:uid="{00000000-0005-0000-0000-0000755A0000}"/>
    <cellStyle name="Remarque 2 3 3 9" xfId="1398" xr:uid="{00000000-0005-0000-0000-0000765A0000}"/>
    <cellStyle name="Remarque 2 3 3 9 10" xfId="25430" xr:uid="{00000000-0005-0000-0000-0000775A0000}"/>
    <cellStyle name="Remarque 2 3 3 9 10 2" xfId="49390" xr:uid="{00000000-0005-0000-0000-0000785A0000}"/>
    <cellStyle name="Remarque 2 3 3 9 11" xfId="36797" xr:uid="{00000000-0005-0000-0000-0000795A0000}"/>
    <cellStyle name="Remarque 2 3 3 9 11 2" xfId="60757" xr:uid="{00000000-0005-0000-0000-00007A5A0000}"/>
    <cellStyle name="Remarque 2 3 3 9 12" xfId="14095" xr:uid="{00000000-0005-0000-0000-00007B5A0000}"/>
    <cellStyle name="Remarque 2 3 3 9 13" xfId="38055" xr:uid="{00000000-0005-0000-0000-00007C5A0000}"/>
    <cellStyle name="Remarque 2 3 3 9 2" xfId="4304" xr:uid="{00000000-0005-0000-0000-00007D5A0000}"/>
    <cellStyle name="Remarque 2 3 3 9 2 2" xfId="28318" xr:uid="{00000000-0005-0000-0000-00007E5A0000}"/>
    <cellStyle name="Remarque 2 3 3 9 2 2 2" xfId="52278" xr:uid="{00000000-0005-0000-0000-00007F5A0000}"/>
    <cellStyle name="Remarque 2 3 3 9 2 3" xfId="15565" xr:uid="{00000000-0005-0000-0000-0000805A0000}"/>
    <cellStyle name="Remarque 2 3 3 9 2 4" xfId="39525" xr:uid="{00000000-0005-0000-0000-0000815A0000}"/>
    <cellStyle name="Remarque 2 3 3 9 3" xfId="5738" xr:uid="{00000000-0005-0000-0000-0000825A0000}"/>
    <cellStyle name="Remarque 2 3 3 9 3 2" xfId="29752" xr:uid="{00000000-0005-0000-0000-0000835A0000}"/>
    <cellStyle name="Remarque 2 3 3 9 3 2 2" xfId="53712" xr:uid="{00000000-0005-0000-0000-0000845A0000}"/>
    <cellStyle name="Remarque 2 3 3 9 3 3" xfId="16999" xr:uid="{00000000-0005-0000-0000-0000855A0000}"/>
    <cellStyle name="Remarque 2 3 3 9 3 4" xfId="40959" xr:uid="{00000000-0005-0000-0000-0000865A0000}"/>
    <cellStyle name="Remarque 2 3 3 9 4" xfId="7132" xr:uid="{00000000-0005-0000-0000-0000875A0000}"/>
    <cellStyle name="Remarque 2 3 3 9 4 2" xfId="31146" xr:uid="{00000000-0005-0000-0000-0000885A0000}"/>
    <cellStyle name="Remarque 2 3 3 9 4 2 2" xfId="55106" xr:uid="{00000000-0005-0000-0000-0000895A0000}"/>
    <cellStyle name="Remarque 2 3 3 9 4 3" xfId="18393" xr:uid="{00000000-0005-0000-0000-00008A5A0000}"/>
    <cellStyle name="Remarque 2 3 3 9 4 4" xfId="42353" xr:uid="{00000000-0005-0000-0000-00008B5A0000}"/>
    <cellStyle name="Remarque 2 3 3 9 5" xfId="8520" xr:uid="{00000000-0005-0000-0000-00008C5A0000}"/>
    <cellStyle name="Remarque 2 3 3 9 5 2" xfId="32534" xr:uid="{00000000-0005-0000-0000-00008D5A0000}"/>
    <cellStyle name="Remarque 2 3 3 9 5 2 2" xfId="56494" xr:uid="{00000000-0005-0000-0000-00008E5A0000}"/>
    <cellStyle name="Remarque 2 3 3 9 5 3" xfId="19781" xr:uid="{00000000-0005-0000-0000-00008F5A0000}"/>
    <cellStyle name="Remarque 2 3 3 9 5 4" xfId="43741" xr:uid="{00000000-0005-0000-0000-0000905A0000}"/>
    <cellStyle name="Remarque 2 3 3 9 6" xfId="9905" xr:uid="{00000000-0005-0000-0000-0000915A0000}"/>
    <cellStyle name="Remarque 2 3 3 9 6 2" xfId="33919" xr:uid="{00000000-0005-0000-0000-0000925A0000}"/>
    <cellStyle name="Remarque 2 3 3 9 6 2 2" xfId="57879" xr:uid="{00000000-0005-0000-0000-0000935A0000}"/>
    <cellStyle name="Remarque 2 3 3 9 6 3" xfId="21166" xr:uid="{00000000-0005-0000-0000-0000945A0000}"/>
    <cellStyle name="Remarque 2 3 3 9 6 4" xfId="45126" xr:uid="{00000000-0005-0000-0000-0000955A0000}"/>
    <cellStyle name="Remarque 2 3 3 9 7" xfId="11362" xr:uid="{00000000-0005-0000-0000-0000965A0000}"/>
    <cellStyle name="Remarque 2 3 3 9 7 2" xfId="35372" xr:uid="{00000000-0005-0000-0000-0000975A0000}"/>
    <cellStyle name="Remarque 2 3 3 9 7 2 2" xfId="59332" xr:uid="{00000000-0005-0000-0000-0000985A0000}"/>
    <cellStyle name="Remarque 2 3 3 9 7 3" xfId="22629" xr:uid="{00000000-0005-0000-0000-0000995A0000}"/>
    <cellStyle name="Remarque 2 3 3 9 7 4" xfId="46589" xr:uid="{00000000-0005-0000-0000-00009A5A0000}"/>
    <cellStyle name="Remarque 2 3 3 9 8" xfId="12516" xr:uid="{00000000-0005-0000-0000-00009B5A0000}"/>
    <cellStyle name="Remarque 2 3 3 9 8 2" xfId="23813" xr:uid="{00000000-0005-0000-0000-00009C5A0000}"/>
    <cellStyle name="Remarque 2 3 3 9 8 3" xfId="47773" xr:uid="{00000000-0005-0000-0000-00009D5A0000}"/>
    <cellStyle name="Remarque 2 3 3 9 9" xfId="2834" xr:uid="{00000000-0005-0000-0000-00009E5A0000}"/>
    <cellStyle name="Remarque 2 3 3 9 9 2" xfId="26848" xr:uid="{00000000-0005-0000-0000-00009F5A0000}"/>
    <cellStyle name="Remarque 2 3 3 9 9 3" xfId="50808" xr:uid="{00000000-0005-0000-0000-0000A05A0000}"/>
    <cellStyle name="Remarque 2 3 4" xfId="82" xr:uid="{00000000-0005-0000-0000-0000A15A0000}"/>
    <cellStyle name="Remarque 2 3 4 10" xfId="6109" xr:uid="{00000000-0005-0000-0000-0000A25A0000}"/>
    <cellStyle name="Remarque 2 3 4 10 2" xfId="30123" xr:uid="{00000000-0005-0000-0000-0000A35A0000}"/>
    <cellStyle name="Remarque 2 3 4 10 2 2" xfId="54083" xr:uid="{00000000-0005-0000-0000-0000A45A0000}"/>
    <cellStyle name="Remarque 2 3 4 10 3" xfId="17370" xr:uid="{00000000-0005-0000-0000-0000A55A0000}"/>
    <cellStyle name="Remarque 2 3 4 10 4" xfId="41330" xr:uid="{00000000-0005-0000-0000-0000A65A0000}"/>
    <cellStyle name="Remarque 2 3 4 11" xfId="7497" xr:uid="{00000000-0005-0000-0000-0000A75A0000}"/>
    <cellStyle name="Remarque 2 3 4 11 2" xfId="31511" xr:uid="{00000000-0005-0000-0000-0000A85A0000}"/>
    <cellStyle name="Remarque 2 3 4 11 2 2" xfId="55471" xr:uid="{00000000-0005-0000-0000-0000A95A0000}"/>
    <cellStyle name="Remarque 2 3 4 11 3" xfId="18758" xr:uid="{00000000-0005-0000-0000-0000AA5A0000}"/>
    <cellStyle name="Remarque 2 3 4 11 4" xfId="42718" xr:uid="{00000000-0005-0000-0000-0000AB5A0000}"/>
    <cellStyle name="Remarque 2 3 4 12" xfId="8882" xr:uid="{00000000-0005-0000-0000-0000AC5A0000}"/>
    <cellStyle name="Remarque 2 3 4 12 2" xfId="32896" xr:uid="{00000000-0005-0000-0000-0000AD5A0000}"/>
    <cellStyle name="Remarque 2 3 4 12 2 2" xfId="56856" xr:uid="{00000000-0005-0000-0000-0000AE5A0000}"/>
    <cellStyle name="Remarque 2 3 4 12 3" xfId="20143" xr:uid="{00000000-0005-0000-0000-0000AF5A0000}"/>
    <cellStyle name="Remarque 2 3 4 12 4" xfId="44103" xr:uid="{00000000-0005-0000-0000-0000B05A0000}"/>
    <cellStyle name="Remarque 2 3 4 13" xfId="10339" xr:uid="{00000000-0005-0000-0000-0000B15A0000}"/>
    <cellStyle name="Remarque 2 3 4 13 2" xfId="34349" xr:uid="{00000000-0005-0000-0000-0000B25A0000}"/>
    <cellStyle name="Remarque 2 3 4 13 2 2" xfId="58309" xr:uid="{00000000-0005-0000-0000-0000B35A0000}"/>
    <cellStyle name="Remarque 2 3 4 13 3" xfId="21606" xr:uid="{00000000-0005-0000-0000-0000B45A0000}"/>
    <cellStyle name="Remarque 2 3 4 13 4" xfId="45566" xr:uid="{00000000-0005-0000-0000-0000B55A0000}"/>
    <cellStyle name="Remarque 2 3 4 14" xfId="12439" xr:uid="{00000000-0005-0000-0000-0000B65A0000}"/>
    <cellStyle name="Remarque 2 3 4 14 2" xfId="23731" xr:uid="{00000000-0005-0000-0000-0000B75A0000}"/>
    <cellStyle name="Remarque 2 3 4 14 3" xfId="47691" xr:uid="{00000000-0005-0000-0000-0000B85A0000}"/>
    <cellStyle name="Remarque 2 3 4 15" xfId="1811" xr:uid="{00000000-0005-0000-0000-0000B95A0000}"/>
    <cellStyle name="Remarque 2 3 4 15 2" xfId="25825" xr:uid="{00000000-0005-0000-0000-0000BA5A0000}"/>
    <cellStyle name="Remarque 2 3 4 15 3" xfId="49785" xr:uid="{00000000-0005-0000-0000-0000BB5A0000}"/>
    <cellStyle name="Remarque 2 3 4 16" xfId="24407" xr:uid="{00000000-0005-0000-0000-0000BC5A0000}"/>
    <cellStyle name="Remarque 2 3 4 16 2" xfId="48367" xr:uid="{00000000-0005-0000-0000-0000BD5A0000}"/>
    <cellStyle name="Remarque 2 3 4 17" xfId="36297" xr:uid="{00000000-0005-0000-0000-0000BE5A0000}"/>
    <cellStyle name="Remarque 2 3 4 17 2" xfId="60257" xr:uid="{00000000-0005-0000-0000-0000BF5A0000}"/>
    <cellStyle name="Remarque 2 3 4 18" xfId="13072" xr:uid="{00000000-0005-0000-0000-0000C05A0000}"/>
    <cellStyle name="Remarque 2 3 4 19" xfId="37032" xr:uid="{00000000-0005-0000-0000-0000C15A0000}"/>
    <cellStyle name="Remarque 2 3 4 2" xfId="511" xr:uid="{00000000-0005-0000-0000-0000C25A0000}"/>
    <cellStyle name="Remarque 2 3 4 2 10" xfId="24543" xr:uid="{00000000-0005-0000-0000-0000C35A0000}"/>
    <cellStyle name="Remarque 2 3 4 2 10 2" xfId="48503" xr:uid="{00000000-0005-0000-0000-0000C45A0000}"/>
    <cellStyle name="Remarque 2 3 4 2 11" xfId="35673" xr:uid="{00000000-0005-0000-0000-0000C55A0000}"/>
    <cellStyle name="Remarque 2 3 4 2 11 2" xfId="59633" xr:uid="{00000000-0005-0000-0000-0000C65A0000}"/>
    <cellStyle name="Remarque 2 3 4 2 12" xfId="13208" xr:uid="{00000000-0005-0000-0000-0000C75A0000}"/>
    <cellStyle name="Remarque 2 3 4 2 13" xfId="37168" xr:uid="{00000000-0005-0000-0000-0000C85A0000}"/>
    <cellStyle name="Remarque 2 3 4 2 2" xfId="3417" xr:uid="{00000000-0005-0000-0000-0000C95A0000}"/>
    <cellStyle name="Remarque 2 3 4 2 2 2" xfId="27431" xr:uid="{00000000-0005-0000-0000-0000CA5A0000}"/>
    <cellStyle name="Remarque 2 3 4 2 2 2 2" xfId="51391" xr:uid="{00000000-0005-0000-0000-0000CB5A0000}"/>
    <cellStyle name="Remarque 2 3 4 2 2 3" xfId="14678" xr:uid="{00000000-0005-0000-0000-0000CC5A0000}"/>
    <cellStyle name="Remarque 2 3 4 2 2 4" xfId="38638" xr:uid="{00000000-0005-0000-0000-0000CD5A0000}"/>
    <cellStyle name="Remarque 2 3 4 2 3" xfId="4851" xr:uid="{00000000-0005-0000-0000-0000CE5A0000}"/>
    <cellStyle name="Remarque 2 3 4 2 3 2" xfId="28865" xr:uid="{00000000-0005-0000-0000-0000CF5A0000}"/>
    <cellStyle name="Remarque 2 3 4 2 3 2 2" xfId="52825" xr:uid="{00000000-0005-0000-0000-0000D05A0000}"/>
    <cellStyle name="Remarque 2 3 4 2 3 3" xfId="16112" xr:uid="{00000000-0005-0000-0000-0000D15A0000}"/>
    <cellStyle name="Remarque 2 3 4 2 3 4" xfId="40072" xr:uid="{00000000-0005-0000-0000-0000D25A0000}"/>
    <cellStyle name="Remarque 2 3 4 2 4" xfId="6245" xr:uid="{00000000-0005-0000-0000-0000D35A0000}"/>
    <cellStyle name="Remarque 2 3 4 2 4 2" xfId="30259" xr:uid="{00000000-0005-0000-0000-0000D45A0000}"/>
    <cellStyle name="Remarque 2 3 4 2 4 2 2" xfId="54219" xr:uid="{00000000-0005-0000-0000-0000D55A0000}"/>
    <cellStyle name="Remarque 2 3 4 2 4 3" xfId="17506" xr:uid="{00000000-0005-0000-0000-0000D65A0000}"/>
    <cellStyle name="Remarque 2 3 4 2 4 4" xfId="41466" xr:uid="{00000000-0005-0000-0000-0000D75A0000}"/>
    <cellStyle name="Remarque 2 3 4 2 5" xfId="7633" xr:uid="{00000000-0005-0000-0000-0000D85A0000}"/>
    <cellStyle name="Remarque 2 3 4 2 5 2" xfId="31647" xr:uid="{00000000-0005-0000-0000-0000D95A0000}"/>
    <cellStyle name="Remarque 2 3 4 2 5 2 2" xfId="55607" xr:uid="{00000000-0005-0000-0000-0000DA5A0000}"/>
    <cellStyle name="Remarque 2 3 4 2 5 3" xfId="18894" xr:uid="{00000000-0005-0000-0000-0000DB5A0000}"/>
    <cellStyle name="Remarque 2 3 4 2 5 4" xfId="42854" xr:uid="{00000000-0005-0000-0000-0000DC5A0000}"/>
    <cellStyle name="Remarque 2 3 4 2 6" xfId="9018" xr:uid="{00000000-0005-0000-0000-0000DD5A0000}"/>
    <cellStyle name="Remarque 2 3 4 2 6 2" xfId="33032" xr:uid="{00000000-0005-0000-0000-0000DE5A0000}"/>
    <cellStyle name="Remarque 2 3 4 2 6 2 2" xfId="56992" xr:uid="{00000000-0005-0000-0000-0000DF5A0000}"/>
    <cellStyle name="Remarque 2 3 4 2 6 3" xfId="20279" xr:uid="{00000000-0005-0000-0000-0000E05A0000}"/>
    <cellStyle name="Remarque 2 3 4 2 6 4" xfId="44239" xr:uid="{00000000-0005-0000-0000-0000E15A0000}"/>
    <cellStyle name="Remarque 2 3 4 2 7" xfId="10475" xr:uid="{00000000-0005-0000-0000-0000E25A0000}"/>
    <cellStyle name="Remarque 2 3 4 2 7 2" xfId="34485" xr:uid="{00000000-0005-0000-0000-0000E35A0000}"/>
    <cellStyle name="Remarque 2 3 4 2 7 2 2" xfId="58445" xr:uid="{00000000-0005-0000-0000-0000E45A0000}"/>
    <cellStyle name="Remarque 2 3 4 2 7 3" xfId="21742" xr:uid="{00000000-0005-0000-0000-0000E55A0000}"/>
    <cellStyle name="Remarque 2 3 4 2 7 4" xfId="45702" xr:uid="{00000000-0005-0000-0000-0000E65A0000}"/>
    <cellStyle name="Remarque 2 3 4 2 8" xfId="11730" xr:uid="{00000000-0005-0000-0000-0000E75A0000}"/>
    <cellStyle name="Remarque 2 3 4 2 8 2" xfId="23001" xr:uid="{00000000-0005-0000-0000-0000E85A0000}"/>
    <cellStyle name="Remarque 2 3 4 2 8 3" xfId="46961" xr:uid="{00000000-0005-0000-0000-0000E95A0000}"/>
    <cellStyle name="Remarque 2 3 4 2 9" xfId="1947" xr:uid="{00000000-0005-0000-0000-0000EA5A0000}"/>
    <cellStyle name="Remarque 2 3 4 2 9 2" xfId="25961" xr:uid="{00000000-0005-0000-0000-0000EB5A0000}"/>
    <cellStyle name="Remarque 2 3 4 2 9 3" xfId="49921" xr:uid="{00000000-0005-0000-0000-0000EC5A0000}"/>
    <cellStyle name="Remarque 2 3 4 20" xfId="375" xr:uid="{00000000-0005-0000-0000-0000ED5A0000}"/>
    <cellStyle name="Remarque 2 3 4 3" xfId="703" xr:uid="{00000000-0005-0000-0000-0000EE5A0000}"/>
    <cellStyle name="Remarque 2 3 4 3 10" xfId="24735" xr:uid="{00000000-0005-0000-0000-0000EF5A0000}"/>
    <cellStyle name="Remarque 2 3 4 3 10 2" xfId="48695" xr:uid="{00000000-0005-0000-0000-0000F05A0000}"/>
    <cellStyle name="Remarque 2 3 4 3 11" xfId="36100" xr:uid="{00000000-0005-0000-0000-0000F15A0000}"/>
    <cellStyle name="Remarque 2 3 4 3 11 2" xfId="60060" xr:uid="{00000000-0005-0000-0000-0000F25A0000}"/>
    <cellStyle name="Remarque 2 3 4 3 12" xfId="13400" xr:uid="{00000000-0005-0000-0000-0000F35A0000}"/>
    <cellStyle name="Remarque 2 3 4 3 13" xfId="37360" xr:uid="{00000000-0005-0000-0000-0000F45A0000}"/>
    <cellStyle name="Remarque 2 3 4 3 2" xfId="3609" xr:uid="{00000000-0005-0000-0000-0000F55A0000}"/>
    <cellStyle name="Remarque 2 3 4 3 2 2" xfId="27623" xr:uid="{00000000-0005-0000-0000-0000F65A0000}"/>
    <cellStyle name="Remarque 2 3 4 3 2 2 2" xfId="51583" xr:uid="{00000000-0005-0000-0000-0000F75A0000}"/>
    <cellStyle name="Remarque 2 3 4 3 2 3" xfId="14870" xr:uid="{00000000-0005-0000-0000-0000F85A0000}"/>
    <cellStyle name="Remarque 2 3 4 3 2 4" xfId="38830" xr:uid="{00000000-0005-0000-0000-0000F95A0000}"/>
    <cellStyle name="Remarque 2 3 4 3 3" xfId="5043" xr:uid="{00000000-0005-0000-0000-0000FA5A0000}"/>
    <cellStyle name="Remarque 2 3 4 3 3 2" xfId="29057" xr:uid="{00000000-0005-0000-0000-0000FB5A0000}"/>
    <cellStyle name="Remarque 2 3 4 3 3 2 2" xfId="53017" xr:uid="{00000000-0005-0000-0000-0000FC5A0000}"/>
    <cellStyle name="Remarque 2 3 4 3 3 3" xfId="16304" xr:uid="{00000000-0005-0000-0000-0000FD5A0000}"/>
    <cellStyle name="Remarque 2 3 4 3 3 4" xfId="40264" xr:uid="{00000000-0005-0000-0000-0000FE5A0000}"/>
    <cellStyle name="Remarque 2 3 4 3 4" xfId="6437" xr:uid="{00000000-0005-0000-0000-0000FF5A0000}"/>
    <cellStyle name="Remarque 2 3 4 3 4 2" xfId="30451" xr:uid="{00000000-0005-0000-0000-0000005B0000}"/>
    <cellStyle name="Remarque 2 3 4 3 4 2 2" xfId="54411" xr:uid="{00000000-0005-0000-0000-0000015B0000}"/>
    <cellStyle name="Remarque 2 3 4 3 4 3" xfId="17698" xr:uid="{00000000-0005-0000-0000-0000025B0000}"/>
    <cellStyle name="Remarque 2 3 4 3 4 4" xfId="41658" xr:uid="{00000000-0005-0000-0000-0000035B0000}"/>
    <cellStyle name="Remarque 2 3 4 3 5" xfId="7825" xr:uid="{00000000-0005-0000-0000-0000045B0000}"/>
    <cellStyle name="Remarque 2 3 4 3 5 2" xfId="31839" xr:uid="{00000000-0005-0000-0000-0000055B0000}"/>
    <cellStyle name="Remarque 2 3 4 3 5 2 2" xfId="55799" xr:uid="{00000000-0005-0000-0000-0000065B0000}"/>
    <cellStyle name="Remarque 2 3 4 3 5 3" xfId="19086" xr:uid="{00000000-0005-0000-0000-0000075B0000}"/>
    <cellStyle name="Remarque 2 3 4 3 5 4" xfId="43046" xr:uid="{00000000-0005-0000-0000-0000085B0000}"/>
    <cellStyle name="Remarque 2 3 4 3 6" xfId="9210" xr:uid="{00000000-0005-0000-0000-0000095B0000}"/>
    <cellStyle name="Remarque 2 3 4 3 6 2" xfId="33224" xr:uid="{00000000-0005-0000-0000-00000A5B0000}"/>
    <cellStyle name="Remarque 2 3 4 3 6 2 2" xfId="57184" xr:uid="{00000000-0005-0000-0000-00000B5B0000}"/>
    <cellStyle name="Remarque 2 3 4 3 6 3" xfId="20471" xr:uid="{00000000-0005-0000-0000-00000C5B0000}"/>
    <cellStyle name="Remarque 2 3 4 3 6 4" xfId="44431" xr:uid="{00000000-0005-0000-0000-00000D5B0000}"/>
    <cellStyle name="Remarque 2 3 4 3 7" xfId="10667" xr:uid="{00000000-0005-0000-0000-00000E5B0000}"/>
    <cellStyle name="Remarque 2 3 4 3 7 2" xfId="34677" xr:uid="{00000000-0005-0000-0000-00000F5B0000}"/>
    <cellStyle name="Remarque 2 3 4 3 7 2 2" xfId="58637" xr:uid="{00000000-0005-0000-0000-0000105B0000}"/>
    <cellStyle name="Remarque 2 3 4 3 7 3" xfId="21934" xr:uid="{00000000-0005-0000-0000-0000115B0000}"/>
    <cellStyle name="Remarque 2 3 4 3 7 4" xfId="45894" xr:uid="{00000000-0005-0000-0000-0000125B0000}"/>
    <cellStyle name="Remarque 2 3 4 3 8" xfId="12232" xr:uid="{00000000-0005-0000-0000-0000135B0000}"/>
    <cellStyle name="Remarque 2 3 4 3 8 2" xfId="23516" xr:uid="{00000000-0005-0000-0000-0000145B0000}"/>
    <cellStyle name="Remarque 2 3 4 3 8 3" xfId="47476" xr:uid="{00000000-0005-0000-0000-0000155B0000}"/>
    <cellStyle name="Remarque 2 3 4 3 9" xfId="2139" xr:uid="{00000000-0005-0000-0000-0000165B0000}"/>
    <cellStyle name="Remarque 2 3 4 3 9 2" xfId="26153" xr:uid="{00000000-0005-0000-0000-0000175B0000}"/>
    <cellStyle name="Remarque 2 3 4 3 9 3" xfId="50113" xr:uid="{00000000-0005-0000-0000-0000185B0000}"/>
    <cellStyle name="Remarque 2 3 4 4" xfId="897" xr:uid="{00000000-0005-0000-0000-0000195B0000}"/>
    <cellStyle name="Remarque 2 3 4 4 10" xfId="24929" xr:uid="{00000000-0005-0000-0000-00001A5B0000}"/>
    <cellStyle name="Remarque 2 3 4 4 10 2" xfId="48889" xr:uid="{00000000-0005-0000-0000-00001B5B0000}"/>
    <cellStyle name="Remarque 2 3 4 4 11" xfId="36462" xr:uid="{00000000-0005-0000-0000-00001C5B0000}"/>
    <cellStyle name="Remarque 2 3 4 4 11 2" xfId="60422" xr:uid="{00000000-0005-0000-0000-00001D5B0000}"/>
    <cellStyle name="Remarque 2 3 4 4 12" xfId="13594" xr:uid="{00000000-0005-0000-0000-00001E5B0000}"/>
    <cellStyle name="Remarque 2 3 4 4 13" xfId="37554" xr:uid="{00000000-0005-0000-0000-00001F5B0000}"/>
    <cellStyle name="Remarque 2 3 4 4 2" xfId="3803" xr:uid="{00000000-0005-0000-0000-0000205B0000}"/>
    <cellStyle name="Remarque 2 3 4 4 2 2" xfId="27817" xr:uid="{00000000-0005-0000-0000-0000215B0000}"/>
    <cellStyle name="Remarque 2 3 4 4 2 2 2" xfId="51777" xr:uid="{00000000-0005-0000-0000-0000225B0000}"/>
    <cellStyle name="Remarque 2 3 4 4 2 3" xfId="15064" xr:uid="{00000000-0005-0000-0000-0000235B0000}"/>
    <cellStyle name="Remarque 2 3 4 4 2 4" xfId="39024" xr:uid="{00000000-0005-0000-0000-0000245B0000}"/>
    <cellStyle name="Remarque 2 3 4 4 3" xfId="5237" xr:uid="{00000000-0005-0000-0000-0000255B0000}"/>
    <cellStyle name="Remarque 2 3 4 4 3 2" xfId="29251" xr:uid="{00000000-0005-0000-0000-0000265B0000}"/>
    <cellStyle name="Remarque 2 3 4 4 3 2 2" xfId="53211" xr:uid="{00000000-0005-0000-0000-0000275B0000}"/>
    <cellStyle name="Remarque 2 3 4 4 3 3" xfId="16498" xr:uid="{00000000-0005-0000-0000-0000285B0000}"/>
    <cellStyle name="Remarque 2 3 4 4 3 4" xfId="40458" xr:uid="{00000000-0005-0000-0000-0000295B0000}"/>
    <cellStyle name="Remarque 2 3 4 4 4" xfId="6631" xr:uid="{00000000-0005-0000-0000-00002A5B0000}"/>
    <cellStyle name="Remarque 2 3 4 4 4 2" xfId="30645" xr:uid="{00000000-0005-0000-0000-00002B5B0000}"/>
    <cellStyle name="Remarque 2 3 4 4 4 2 2" xfId="54605" xr:uid="{00000000-0005-0000-0000-00002C5B0000}"/>
    <cellStyle name="Remarque 2 3 4 4 4 3" xfId="17892" xr:uid="{00000000-0005-0000-0000-00002D5B0000}"/>
    <cellStyle name="Remarque 2 3 4 4 4 4" xfId="41852" xr:uid="{00000000-0005-0000-0000-00002E5B0000}"/>
    <cellStyle name="Remarque 2 3 4 4 5" xfId="8019" xr:uid="{00000000-0005-0000-0000-00002F5B0000}"/>
    <cellStyle name="Remarque 2 3 4 4 5 2" xfId="32033" xr:uid="{00000000-0005-0000-0000-0000305B0000}"/>
    <cellStyle name="Remarque 2 3 4 4 5 2 2" xfId="55993" xr:uid="{00000000-0005-0000-0000-0000315B0000}"/>
    <cellStyle name="Remarque 2 3 4 4 5 3" xfId="19280" xr:uid="{00000000-0005-0000-0000-0000325B0000}"/>
    <cellStyle name="Remarque 2 3 4 4 5 4" xfId="43240" xr:uid="{00000000-0005-0000-0000-0000335B0000}"/>
    <cellStyle name="Remarque 2 3 4 4 6" xfId="9404" xr:uid="{00000000-0005-0000-0000-0000345B0000}"/>
    <cellStyle name="Remarque 2 3 4 4 6 2" xfId="33418" xr:uid="{00000000-0005-0000-0000-0000355B0000}"/>
    <cellStyle name="Remarque 2 3 4 4 6 2 2" xfId="57378" xr:uid="{00000000-0005-0000-0000-0000365B0000}"/>
    <cellStyle name="Remarque 2 3 4 4 6 3" xfId="20665" xr:uid="{00000000-0005-0000-0000-0000375B0000}"/>
    <cellStyle name="Remarque 2 3 4 4 6 4" xfId="44625" xr:uid="{00000000-0005-0000-0000-0000385B0000}"/>
    <cellStyle name="Remarque 2 3 4 4 7" xfId="10861" xr:uid="{00000000-0005-0000-0000-0000395B0000}"/>
    <cellStyle name="Remarque 2 3 4 4 7 2" xfId="34871" xr:uid="{00000000-0005-0000-0000-00003A5B0000}"/>
    <cellStyle name="Remarque 2 3 4 4 7 2 2" xfId="58831" xr:uid="{00000000-0005-0000-0000-00003B5B0000}"/>
    <cellStyle name="Remarque 2 3 4 4 7 3" xfId="22128" xr:uid="{00000000-0005-0000-0000-00003C5B0000}"/>
    <cellStyle name="Remarque 2 3 4 4 7 4" xfId="46088" xr:uid="{00000000-0005-0000-0000-00003D5B0000}"/>
    <cellStyle name="Remarque 2 3 4 4 8" xfId="12356" xr:uid="{00000000-0005-0000-0000-00003E5B0000}"/>
    <cellStyle name="Remarque 2 3 4 4 8 2" xfId="23645" xr:uid="{00000000-0005-0000-0000-00003F5B0000}"/>
    <cellStyle name="Remarque 2 3 4 4 8 3" xfId="47605" xr:uid="{00000000-0005-0000-0000-0000405B0000}"/>
    <cellStyle name="Remarque 2 3 4 4 9" xfId="2333" xr:uid="{00000000-0005-0000-0000-0000415B0000}"/>
    <cellStyle name="Remarque 2 3 4 4 9 2" xfId="26347" xr:uid="{00000000-0005-0000-0000-0000425B0000}"/>
    <cellStyle name="Remarque 2 3 4 4 9 3" xfId="50307" xr:uid="{00000000-0005-0000-0000-0000435B0000}"/>
    <cellStyle name="Remarque 2 3 4 5" xfId="1090" xr:uid="{00000000-0005-0000-0000-0000445B0000}"/>
    <cellStyle name="Remarque 2 3 4 5 10" xfId="25122" xr:uid="{00000000-0005-0000-0000-0000455B0000}"/>
    <cellStyle name="Remarque 2 3 4 5 10 2" xfId="49082" xr:uid="{00000000-0005-0000-0000-0000465B0000}"/>
    <cellStyle name="Remarque 2 3 4 5 11" xfId="34144" xr:uid="{00000000-0005-0000-0000-0000475B0000}"/>
    <cellStyle name="Remarque 2 3 4 5 11 2" xfId="58104" xr:uid="{00000000-0005-0000-0000-0000485B0000}"/>
    <cellStyle name="Remarque 2 3 4 5 12" xfId="13787" xr:uid="{00000000-0005-0000-0000-0000495B0000}"/>
    <cellStyle name="Remarque 2 3 4 5 13" xfId="37747" xr:uid="{00000000-0005-0000-0000-00004A5B0000}"/>
    <cellStyle name="Remarque 2 3 4 5 2" xfId="3996" xr:uid="{00000000-0005-0000-0000-00004B5B0000}"/>
    <cellStyle name="Remarque 2 3 4 5 2 2" xfId="28010" xr:uid="{00000000-0005-0000-0000-00004C5B0000}"/>
    <cellStyle name="Remarque 2 3 4 5 2 2 2" xfId="51970" xr:uid="{00000000-0005-0000-0000-00004D5B0000}"/>
    <cellStyle name="Remarque 2 3 4 5 2 3" xfId="15257" xr:uid="{00000000-0005-0000-0000-00004E5B0000}"/>
    <cellStyle name="Remarque 2 3 4 5 2 4" xfId="39217" xr:uid="{00000000-0005-0000-0000-00004F5B0000}"/>
    <cellStyle name="Remarque 2 3 4 5 3" xfId="5430" xr:uid="{00000000-0005-0000-0000-0000505B0000}"/>
    <cellStyle name="Remarque 2 3 4 5 3 2" xfId="29444" xr:uid="{00000000-0005-0000-0000-0000515B0000}"/>
    <cellStyle name="Remarque 2 3 4 5 3 2 2" xfId="53404" xr:uid="{00000000-0005-0000-0000-0000525B0000}"/>
    <cellStyle name="Remarque 2 3 4 5 3 3" xfId="16691" xr:uid="{00000000-0005-0000-0000-0000535B0000}"/>
    <cellStyle name="Remarque 2 3 4 5 3 4" xfId="40651" xr:uid="{00000000-0005-0000-0000-0000545B0000}"/>
    <cellStyle name="Remarque 2 3 4 5 4" xfId="6824" xr:uid="{00000000-0005-0000-0000-0000555B0000}"/>
    <cellStyle name="Remarque 2 3 4 5 4 2" xfId="30838" xr:uid="{00000000-0005-0000-0000-0000565B0000}"/>
    <cellStyle name="Remarque 2 3 4 5 4 2 2" xfId="54798" xr:uid="{00000000-0005-0000-0000-0000575B0000}"/>
    <cellStyle name="Remarque 2 3 4 5 4 3" xfId="18085" xr:uid="{00000000-0005-0000-0000-0000585B0000}"/>
    <cellStyle name="Remarque 2 3 4 5 4 4" xfId="42045" xr:uid="{00000000-0005-0000-0000-0000595B0000}"/>
    <cellStyle name="Remarque 2 3 4 5 5" xfId="8212" xr:uid="{00000000-0005-0000-0000-00005A5B0000}"/>
    <cellStyle name="Remarque 2 3 4 5 5 2" xfId="32226" xr:uid="{00000000-0005-0000-0000-00005B5B0000}"/>
    <cellStyle name="Remarque 2 3 4 5 5 2 2" xfId="56186" xr:uid="{00000000-0005-0000-0000-00005C5B0000}"/>
    <cellStyle name="Remarque 2 3 4 5 5 3" xfId="19473" xr:uid="{00000000-0005-0000-0000-00005D5B0000}"/>
    <cellStyle name="Remarque 2 3 4 5 5 4" xfId="43433" xr:uid="{00000000-0005-0000-0000-00005E5B0000}"/>
    <cellStyle name="Remarque 2 3 4 5 6" xfId="9597" xr:uid="{00000000-0005-0000-0000-00005F5B0000}"/>
    <cellStyle name="Remarque 2 3 4 5 6 2" xfId="33611" xr:uid="{00000000-0005-0000-0000-0000605B0000}"/>
    <cellStyle name="Remarque 2 3 4 5 6 2 2" xfId="57571" xr:uid="{00000000-0005-0000-0000-0000615B0000}"/>
    <cellStyle name="Remarque 2 3 4 5 6 3" xfId="20858" xr:uid="{00000000-0005-0000-0000-0000625B0000}"/>
    <cellStyle name="Remarque 2 3 4 5 6 4" xfId="44818" xr:uid="{00000000-0005-0000-0000-0000635B0000}"/>
    <cellStyle name="Remarque 2 3 4 5 7" xfId="11054" xr:uid="{00000000-0005-0000-0000-0000645B0000}"/>
    <cellStyle name="Remarque 2 3 4 5 7 2" xfId="35064" xr:uid="{00000000-0005-0000-0000-0000655B0000}"/>
    <cellStyle name="Remarque 2 3 4 5 7 2 2" xfId="59024" xr:uid="{00000000-0005-0000-0000-0000665B0000}"/>
    <cellStyle name="Remarque 2 3 4 5 7 3" xfId="22321" xr:uid="{00000000-0005-0000-0000-0000675B0000}"/>
    <cellStyle name="Remarque 2 3 4 5 7 4" xfId="46281" xr:uid="{00000000-0005-0000-0000-0000685B0000}"/>
    <cellStyle name="Remarque 2 3 4 5 8" xfId="12268" xr:uid="{00000000-0005-0000-0000-0000695B0000}"/>
    <cellStyle name="Remarque 2 3 4 5 8 2" xfId="23554" xr:uid="{00000000-0005-0000-0000-00006A5B0000}"/>
    <cellStyle name="Remarque 2 3 4 5 8 3" xfId="47514" xr:uid="{00000000-0005-0000-0000-00006B5B0000}"/>
    <cellStyle name="Remarque 2 3 4 5 9" xfId="2526" xr:uid="{00000000-0005-0000-0000-00006C5B0000}"/>
    <cellStyle name="Remarque 2 3 4 5 9 2" xfId="26540" xr:uid="{00000000-0005-0000-0000-00006D5B0000}"/>
    <cellStyle name="Remarque 2 3 4 5 9 3" xfId="50500" xr:uid="{00000000-0005-0000-0000-00006E5B0000}"/>
    <cellStyle name="Remarque 2 3 4 6" xfId="1257" xr:uid="{00000000-0005-0000-0000-00006F5B0000}"/>
    <cellStyle name="Remarque 2 3 4 6 10" xfId="25289" xr:uid="{00000000-0005-0000-0000-0000705B0000}"/>
    <cellStyle name="Remarque 2 3 4 6 10 2" xfId="49249" xr:uid="{00000000-0005-0000-0000-0000715B0000}"/>
    <cellStyle name="Remarque 2 3 4 6 11" xfId="35904" xr:uid="{00000000-0005-0000-0000-0000725B0000}"/>
    <cellStyle name="Remarque 2 3 4 6 11 2" xfId="59864" xr:uid="{00000000-0005-0000-0000-0000735B0000}"/>
    <cellStyle name="Remarque 2 3 4 6 12" xfId="13954" xr:uid="{00000000-0005-0000-0000-0000745B0000}"/>
    <cellStyle name="Remarque 2 3 4 6 13" xfId="37914" xr:uid="{00000000-0005-0000-0000-0000755B0000}"/>
    <cellStyle name="Remarque 2 3 4 6 2" xfId="4163" xr:uid="{00000000-0005-0000-0000-0000765B0000}"/>
    <cellStyle name="Remarque 2 3 4 6 2 2" xfId="28177" xr:uid="{00000000-0005-0000-0000-0000775B0000}"/>
    <cellStyle name="Remarque 2 3 4 6 2 2 2" xfId="52137" xr:uid="{00000000-0005-0000-0000-0000785B0000}"/>
    <cellStyle name="Remarque 2 3 4 6 2 3" xfId="15424" xr:uid="{00000000-0005-0000-0000-0000795B0000}"/>
    <cellStyle name="Remarque 2 3 4 6 2 4" xfId="39384" xr:uid="{00000000-0005-0000-0000-00007A5B0000}"/>
    <cellStyle name="Remarque 2 3 4 6 3" xfId="5597" xr:uid="{00000000-0005-0000-0000-00007B5B0000}"/>
    <cellStyle name="Remarque 2 3 4 6 3 2" xfId="29611" xr:uid="{00000000-0005-0000-0000-00007C5B0000}"/>
    <cellStyle name="Remarque 2 3 4 6 3 2 2" xfId="53571" xr:uid="{00000000-0005-0000-0000-00007D5B0000}"/>
    <cellStyle name="Remarque 2 3 4 6 3 3" xfId="16858" xr:uid="{00000000-0005-0000-0000-00007E5B0000}"/>
    <cellStyle name="Remarque 2 3 4 6 3 4" xfId="40818" xr:uid="{00000000-0005-0000-0000-00007F5B0000}"/>
    <cellStyle name="Remarque 2 3 4 6 4" xfId="6991" xr:uid="{00000000-0005-0000-0000-0000805B0000}"/>
    <cellStyle name="Remarque 2 3 4 6 4 2" xfId="31005" xr:uid="{00000000-0005-0000-0000-0000815B0000}"/>
    <cellStyle name="Remarque 2 3 4 6 4 2 2" xfId="54965" xr:uid="{00000000-0005-0000-0000-0000825B0000}"/>
    <cellStyle name="Remarque 2 3 4 6 4 3" xfId="18252" xr:uid="{00000000-0005-0000-0000-0000835B0000}"/>
    <cellStyle name="Remarque 2 3 4 6 4 4" xfId="42212" xr:uid="{00000000-0005-0000-0000-0000845B0000}"/>
    <cellStyle name="Remarque 2 3 4 6 5" xfId="8379" xr:uid="{00000000-0005-0000-0000-0000855B0000}"/>
    <cellStyle name="Remarque 2 3 4 6 5 2" xfId="32393" xr:uid="{00000000-0005-0000-0000-0000865B0000}"/>
    <cellStyle name="Remarque 2 3 4 6 5 2 2" xfId="56353" xr:uid="{00000000-0005-0000-0000-0000875B0000}"/>
    <cellStyle name="Remarque 2 3 4 6 5 3" xfId="19640" xr:uid="{00000000-0005-0000-0000-0000885B0000}"/>
    <cellStyle name="Remarque 2 3 4 6 5 4" xfId="43600" xr:uid="{00000000-0005-0000-0000-0000895B0000}"/>
    <cellStyle name="Remarque 2 3 4 6 6" xfId="9764" xr:uid="{00000000-0005-0000-0000-00008A5B0000}"/>
    <cellStyle name="Remarque 2 3 4 6 6 2" xfId="33778" xr:uid="{00000000-0005-0000-0000-00008B5B0000}"/>
    <cellStyle name="Remarque 2 3 4 6 6 2 2" xfId="57738" xr:uid="{00000000-0005-0000-0000-00008C5B0000}"/>
    <cellStyle name="Remarque 2 3 4 6 6 3" xfId="21025" xr:uid="{00000000-0005-0000-0000-00008D5B0000}"/>
    <cellStyle name="Remarque 2 3 4 6 6 4" xfId="44985" xr:uid="{00000000-0005-0000-0000-00008E5B0000}"/>
    <cellStyle name="Remarque 2 3 4 6 7" xfId="11221" xr:uid="{00000000-0005-0000-0000-00008F5B0000}"/>
    <cellStyle name="Remarque 2 3 4 6 7 2" xfId="35231" xr:uid="{00000000-0005-0000-0000-0000905B0000}"/>
    <cellStyle name="Remarque 2 3 4 6 7 2 2" xfId="59191" xr:uid="{00000000-0005-0000-0000-0000915B0000}"/>
    <cellStyle name="Remarque 2 3 4 6 7 3" xfId="22488" xr:uid="{00000000-0005-0000-0000-0000925B0000}"/>
    <cellStyle name="Remarque 2 3 4 6 7 4" xfId="46448" xr:uid="{00000000-0005-0000-0000-0000935B0000}"/>
    <cellStyle name="Remarque 2 3 4 6 8" xfId="10207" xr:uid="{00000000-0005-0000-0000-0000945B0000}"/>
    <cellStyle name="Remarque 2 3 4 6 8 2" xfId="21474" xr:uid="{00000000-0005-0000-0000-0000955B0000}"/>
    <cellStyle name="Remarque 2 3 4 6 8 3" xfId="45434" xr:uid="{00000000-0005-0000-0000-0000965B0000}"/>
    <cellStyle name="Remarque 2 3 4 6 9" xfId="2693" xr:uid="{00000000-0005-0000-0000-0000975B0000}"/>
    <cellStyle name="Remarque 2 3 4 6 9 2" xfId="26707" xr:uid="{00000000-0005-0000-0000-0000985B0000}"/>
    <cellStyle name="Remarque 2 3 4 6 9 3" xfId="50667" xr:uid="{00000000-0005-0000-0000-0000995B0000}"/>
    <cellStyle name="Remarque 2 3 4 7" xfId="1426" xr:uid="{00000000-0005-0000-0000-00009A5B0000}"/>
    <cellStyle name="Remarque 2 3 4 7 10" xfId="25458" xr:uid="{00000000-0005-0000-0000-00009B5B0000}"/>
    <cellStyle name="Remarque 2 3 4 7 10 2" xfId="49418" xr:uid="{00000000-0005-0000-0000-00009C5B0000}"/>
    <cellStyle name="Remarque 2 3 4 7 11" xfId="36457" xr:uid="{00000000-0005-0000-0000-00009D5B0000}"/>
    <cellStyle name="Remarque 2 3 4 7 11 2" xfId="60417" xr:uid="{00000000-0005-0000-0000-00009E5B0000}"/>
    <cellStyle name="Remarque 2 3 4 7 12" xfId="14123" xr:uid="{00000000-0005-0000-0000-00009F5B0000}"/>
    <cellStyle name="Remarque 2 3 4 7 13" xfId="38083" xr:uid="{00000000-0005-0000-0000-0000A05B0000}"/>
    <cellStyle name="Remarque 2 3 4 7 2" xfId="4332" xr:uid="{00000000-0005-0000-0000-0000A15B0000}"/>
    <cellStyle name="Remarque 2 3 4 7 2 2" xfId="28346" xr:uid="{00000000-0005-0000-0000-0000A25B0000}"/>
    <cellStyle name="Remarque 2 3 4 7 2 2 2" xfId="52306" xr:uid="{00000000-0005-0000-0000-0000A35B0000}"/>
    <cellStyle name="Remarque 2 3 4 7 2 3" xfId="15593" xr:uid="{00000000-0005-0000-0000-0000A45B0000}"/>
    <cellStyle name="Remarque 2 3 4 7 2 4" xfId="39553" xr:uid="{00000000-0005-0000-0000-0000A55B0000}"/>
    <cellStyle name="Remarque 2 3 4 7 3" xfId="5766" xr:uid="{00000000-0005-0000-0000-0000A65B0000}"/>
    <cellStyle name="Remarque 2 3 4 7 3 2" xfId="29780" xr:uid="{00000000-0005-0000-0000-0000A75B0000}"/>
    <cellStyle name="Remarque 2 3 4 7 3 2 2" xfId="53740" xr:uid="{00000000-0005-0000-0000-0000A85B0000}"/>
    <cellStyle name="Remarque 2 3 4 7 3 3" xfId="17027" xr:uid="{00000000-0005-0000-0000-0000A95B0000}"/>
    <cellStyle name="Remarque 2 3 4 7 3 4" xfId="40987" xr:uid="{00000000-0005-0000-0000-0000AA5B0000}"/>
    <cellStyle name="Remarque 2 3 4 7 4" xfId="7160" xr:uid="{00000000-0005-0000-0000-0000AB5B0000}"/>
    <cellStyle name="Remarque 2 3 4 7 4 2" xfId="31174" xr:uid="{00000000-0005-0000-0000-0000AC5B0000}"/>
    <cellStyle name="Remarque 2 3 4 7 4 2 2" xfId="55134" xr:uid="{00000000-0005-0000-0000-0000AD5B0000}"/>
    <cellStyle name="Remarque 2 3 4 7 4 3" xfId="18421" xr:uid="{00000000-0005-0000-0000-0000AE5B0000}"/>
    <cellStyle name="Remarque 2 3 4 7 4 4" xfId="42381" xr:uid="{00000000-0005-0000-0000-0000AF5B0000}"/>
    <cellStyle name="Remarque 2 3 4 7 5" xfId="8548" xr:uid="{00000000-0005-0000-0000-0000B05B0000}"/>
    <cellStyle name="Remarque 2 3 4 7 5 2" xfId="32562" xr:uid="{00000000-0005-0000-0000-0000B15B0000}"/>
    <cellStyle name="Remarque 2 3 4 7 5 2 2" xfId="56522" xr:uid="{00000000-0005-0000-0000-0000B25B0000}"/>
    <cellStyle name="Remarque 2 3 4 7 5 3" xfId="19809" xr:uid="{00000000-0005-0000-0000-0000B35B0000}"/>
    <cellStyle name="Remarque 2 3 4 7 5 4" xfId="43769" xr:uid="{00000000-0005-0000-0000-0000B45B0000}"/>
    <cellStyle name="Remarque 2 3 4 7 6" xfId="9933" xr:uid="{00000000-0005-0000-0000-0000B55B0000}"/>
    <cellStyle name="Remarque 2 3 4 7 6 2" xfId="33947" xr:uid="{00000000-0005-0000-0000-0000B65B0000}"/>
    <cellStyle name="Remarque 2 3 4 7 6 2 2" xfId="57907" xr:uid="{00000000-0005-0000-0000-0000B75B0000}"/>
    <cellStyle name="Remarque 2 3 4 7 6 3" xfId="21194" xr:uid="{00000000-0005-0000-0000-0000B85B0000}"/>
    <cellStyle name="Remarque 2 3 4 7 6 4" xfId="45154" xr:uid="{00000000-0005-0000-0000-0000B95B0000}"/>
    <cellStyle name="Remarque 2 3 4 7 7" xfId="11390" xr:uid="{00000000-0005-0000-0000-0000BA5B0000}"/>
    <cellStyle name="Remarque 2 3 4 7 7 2" xfId="35400" xr:uid="{00000000-0005-0000-0000-0000BB5B0000}"/>
    <cellStyle name="Remarque 2 3 4 7 7 2 2" xfId="59360" xr:uid="{00000000-0005-0000-0000-0000BC5B0000}"/>
    <cellStyle name="Remarque 2 3 4 7 7 3" xfId="22657" xr:uid="{00000000-0005-0000-0000-0000BD5B0000}"/>
    <cellStyle name="Remarque 2 3 4 7 7 4" xfId="46617" xr:uid="{00000000-0005-0000-0000-0000BE5B0000}"/>
    <cellStyle name="Remarque 2 3 4 7 8" xfId="12226" xr:uid="{00000000-0005-0000-0000-0000BF5B0000}"/>
    <cellStyle name="Remarque 2 3 4 7 8 2" xfId="23510" xr:uid="{00000000-0005-0000-0000-0000C05B0000}"/>
    <cellStyle name="Remarque 2 3 4 7 8 3" xfId="47470" xr:uid="{00000000-0005-0000-0000-0000C15B0000}"/>
    <cellStyle name="Remarque 2 3 4 7 9" xfId="2862" xr:uid="{00000000-0005-0000-0000-0000C25B0000}"/>
    <cellStyle name="Remarque 2 3 4 7 9 2" xfId="26876" xr:uid="{00000000-0005-0000-0000-0000C35B0000}"/>
    <cellStyle name="Remarque 2 3 4 7 9 3" xfId="50836" xr:uid="{00000000-0005-0000-0000-0000C45B0000}"/>
    <cellStyle name="Remarque 2 3 4 8" xfId="3281" xr:uid="{00000000-0005-0000-0000-0000C55B0000}"/>
    <cellStyle name="Remarque 2 3 4 8 2" xfId="27295" xr:uid="{00000000-0005-0000-0000-0000C65B0000}"/>
    <cellStyle name="Remarque 2 3 4 8 2 2" xfId="51255" xr:uid="{00000000-0005-0000-0000-0000C75B0000}"/>
    <cellStyle name="Remarque 2 3 4 8 3" xfId="14542" xr:uid="{00000000-0005-0000-0000-0000C85B0000}"/>
    <cellStyle name="Remarque 2 3 4 8 4" xfId="38502" xr:uid="{00000000-0005-0000-0000-0000C95B0000}"/>
    <cellStyle name="Remarque 2 3 4 9" xfId="4715" xr:uid="{00000000-0005-0000-0000-0000CA5B0000}"/>
    <cellStyle name="Remarque 2 3 4 9 2" xfId="28729" xr:uid="{00000000-0005-0000-0000-0000CB5B0000}"/>
    <cellStyle name="Remarque 2 3 4 9 2 2" xfId="52689" xr:uid="{00000000-0005-0000-0000-0000CC5B0000}"/>
    <cellStyle name="Remarque 2 3 4 9 3" xfId="15976" xr:uid="{00000000-0005-0000-0000-0000CD5B0000}"/>
    <cellStyle name="Remarque 2 3 4 9 4" xfId="39936" xr:uid="{00000000-0005-0000-0000-0000CE5B0000}"/>
    <cellStyle name="Remarque 2 3 5" xfId="121" xr:uid="{00000000-0005-0000-0000-0000CF5B0000}"/>
    <cellStyle name="Remarque 2 3 5 10" xfId="24358" xr:uid="{00000000-0005-0000-0000-0000D05B0000}"/>
    <cellStyle name="Remarque 2 3 5 10 2" xfId="48318" xr:uid="{00000000-0005-0000-0000-0000D15B0000}"/>
    <cellStyle name="Remarque 2 3 5 11" xfId="36620" xr:uid="{00000000-0005-0000-0000-0000D25B0000}"/>
    <cellStyle name="Remarque 2 3 5 11 2" xfId="60580" xr:uid="{00000000-0005-0000-0000-0000D35B0000}"/>
    <cellStyle name="Remarque 2 3 5 12" xfId="13023" xr:uid="{00000000-0005-0000-0000-0000D45B0000}"/>
    <cellStyle name="Remarque 2 3 5 13" xfId="36983" xr:uid="{00000000-0005-0000-0000-0000D55B0000}"/>
    <cellStyle name="Remarque 2 3 5 14" xfId="326" xr:uid="{00000000-0005-0000-0000-0000D65B0000}"/>
    <cellStyle name="Remarque 2 3 5 2" xfId="3232" xr:uid="{00000000-0005-0000-0000-0000D75B0000}"/>
    <cellStyle name="Remarque 2 3 5 2 2" xfId="27246" xr:uid="{00000000-0005-0000-0000-0000D85B0000}"/>
    <cellStyle name="Remarque 2 3 5 2 2 2" xfId="51206" xr:uid="{00000000-0005-0000-0000-0000D95B0000}"/>
    <cellStyle name="Remarque 2 3 5 2 3" xfId="14493" xr:uid="{00000000-0005-0000-0000-0000DA5B0000}"/>
    <cellStyle name="Remarque 2 3 5 2 4" xfId="38453" xr:uid="{00000000-0005-0000-0000-0000DB5B0000}"/>
    <cellStyle name="Remarque 2 3 5 3" xfId="4666" xr:uid="{00000000-0005-0000-0000-0000DC5B0000}"/>
    <cellStyle name="Remarque 2 3 5 3 2" xfId="28680" xr:uid="{00000000-0005-0000-0000-0000DD5B0000}"/>
    <cellStyle name="Remarque 2 3 5 3 2 2" xfId="52640" xr:uid="{00000000-0005-0000-0000-0000DE5B0000}"/>
    <cellStyle name="Remarque 2 3 5 3 3" xfId="15927" xr:uid="{00000000-0005-0000-0000-0000DF5B0000}"/>
    <cellStyle name="Remarque 2 3 5 3 4" xfId="39887" xr:uid="{00000000-0005-0000-0000-0000E05B0000}"/>
    <cellStyle name="Remarque 2 3 5 4" xfId="6060" xr:uid="{00000000-0005-0000-0000-0000E15B0000}"/>
    <cellStyle name="Remarque 2 3 5 4 2" xfId="30074" xr:uid="{00000000-0005-0000-0000-0000E25B0000}"/>
    <cellStyle name="Remarque 2 3 5 4 2 2" xfId="54034" xr:uid="{00000000-0005-0000-0000-0000E35B0000}"/>
    <cellStyle name="Remarque 2 3 5 4 3" xfId="17321" xr:uid="{00000000-0005-0000-0000-0000E45B0000}"/>
    <cellStyle name="Remarque 2 3 5 4 4" xfId="41281" xr:uid="{00000000-0005-0000-0000-0000E55B0000}"/>
    <cellStyle name="Remarque 2 3 5 5" xfId="7448" xr:uid="{00000000-0005-0000-0000-0000E65B0000}"/>
    <cellStyle name="Remarque 2 3 5 5 2" xfId="31462" xr:uid="{00000000-0005-0000-0000-0000E75B0000}"/>
    <cellStyle name="Remarque 2 3 5 5 2 2" xfId="55422" xr:uid="{00000000-0005-0000-0000-0000E85B0000}"/>
    <cellStyle name="Remarque 2 3 5 5 3" xfId="18709" xr:uid="{00000000-0005-0000-0000-0000E95B0000}"/>
    <cellStyle name="Remarque 2 3 5 5 4" xfId="42669" xr:uid="{00000000-0005-0000-0000-0000EA5B0000}"/>
    <cellStyle name="Remarque 2 3 5 6" xfId="8833" xr:uid="{00000000-0005-0000-0000-0000EB5B0000}"/>
    <cellStyle name="Remarque 2 3 5 6 2" xfId="32847" xr:uid="{00000000-0005-0000-0000-0000EC5B0000}"/>
    <cellStyle name="Remarque 2 3 5 6 2 2" xfId="56807" xr:uid="{00000000-0005-0000-0000-0000ED5B0000}"/>
    <cellStyle name="Remarque 2 3 5 6 3" xfId="20094" xr:uid="{00000000-0005-0000-0000-0000EE5B0000}"/>
    <cellStyle name="Remarque 2 3 5 6 4" xfId="44054" xr:uid="{00000000-0005-0000-0000-0000EF5B0000}"/>
    <cellStyle name="Remarque 2 3 5 7" xfId="10290" xr:uid="{00000000-0005-0000-0000-0000F05B0000}"/>
    <cellStyle name="Remarque 2 3 5 7 2" xfId="34300" xr:uid="{00000000-0005-0000-0000-0000F15B0000}"/>
    <cellStyle name="Remarque 2 3 5 7 2 2" xfId="58260" xr:uid="{00000000-0005-0000-0000-0000F25B0000}"/>
    <cellStyle name="Remarque 2 3 5 7 3" xfId="21557" xr:uid="{00000000-0005-0000-0000-0000F35B0000}"/>
    <cellStyle name="Remarque 2 3 5 7 4" xfId="45517" xr:uid="{00000000-0005-0000-0000-0000F45B0000}"/>
    <cellStyle name="Remarque 2 3 5 8" xfId="12844" xr:uid="{00000000-0005-0000-0000-0000F55B0000}"/>
    <cellStyle name="Remarque 2 3 5 8 2" xfId="24156" xr:uid="{00000000-0005-0000-0000-0000F65B0000}"/>
    <cellStyle name="Remarque 2 3 5 8 3" xfId="48116" xr:uid="{00000000-0005-0000-0000-0000F75B0000}"/>
    <cellStyle name="Remarque 2 3 5 9" xfId="1762" xr:uid="{00000000-0005-0000-0000-0000F85B0000}"/>
    <cellStyle name="Remarque 2 3 5 9 2" xfId="25776" xr:uid="{00000000-0005-0000-0000-0000F95B0000}"/>
    <cellStyle name="Remarque 2 3 5 9 3" xfId="49736" xr:uid="{00000000-0005-0000-0000-0000FA5B0000}"/>
    <cellStyle name="Remarque 2 3 6" xfId="615" xr:uid="{00000000-0005-0000-0000-0000FB5B0000}"/>
    <cellStyle name="Remarque 2 3 6 10" xfId="24647" xr:uid="{00000000-0005-0000-0000-0000FC5B0000}"/>
    <cellStyle name="Remarque 2 3 6 10 2" xfId="48607" xr:uid="{00000000-0005-0000-0000-0000FD5B0000}"/>
    <cellStyle name="Remarque 2 3 6 11" xfId="36632" xr:uid="{00000000-0005-0000-0000-0000FE5B0000}"/>
    <cellStyle name="Remarque 2 3 6 11 2" xfId="60592" xr:uid="{00000000-0005-0000-0000-0000FF5B0000}"/>
    <cellStyle name="Remarque 2 3 6 12" xfId="13312" xr:uid="{00000000-0005-0000-0000-0000005C0000}"/>
    <cellStyle name="Remarque 2 3 6 13" xfId="37272" xr:uid="{00000000-0005-0000-0000-0000015C0000}"/>
    <cellStyle name="Remarque 2 3 6 2" xfId="3521" xr:uid="{00000000-0005-0000-0000-0000025C0000}"/>
    <cellStyle name="Remarque 2 3 6 2 2" xfId="27535" xr:uid="{00000000-0005-0000-0000-0000035C0000}"/>
    <cellStyle name="Remarque 2 3 6 2 2 2" xfId="51495" xr:uid="{00000000-0005-0000-0000-0000045C0000}"/>
    <cellStyle name="Remarque 2 3 6 2 3" xfId="14782" xr:uid="{00000000-0005-0000-0000-0000055C0000}"/>
    <cellStyle name="Remarque 2 3 6 2 4" xfId="38742" xr:uid="{00000000-0005-0000-0000-0000065C0000}"/>
    <cellStyle name="Remarque 2 3 6 3" xfId="4955" xr:uid="{00000000-0005-0000-0000-0000075C0000}"/>
    <cellStyle name="Remarque 2 3 6 3 2" xfId="28969" xr:uid="{00000000-0005-0000-0000-0000085C0000}"/>
    <cellStyle name="Remarque 2 3 6 3 2 2" xfId="52929" xr:uid="{00000000-0005-0000-0000-0000095C0000}"/>
    <cellStyle name="Remarque 2 3 6 3 3" xfId="16216" xr:uid="{00000000-0005-0000-0000-00000A5C0000}"/>
    <cellStyle name="Remarque 2 3 6 3 4" xfId="40176" xr:uid="{00000000-0005-0000-0000-00000B5C0000}"/>
    <cellStyle name="Remarque 2 3 6 4" xfId="6349" xr:uid="{00000000-0005-0000-0000-00000C5C0000}"/>
    <cellStyle name="Remarque 2 3 6 4 2" xfId="30363" xr:uid="{00000000-0005-0000-0000-00000D5C0000}"/>
    <cellStyle name="Remarque 2 3 6 4 2 2" xfId="54323" xr:uid="{00000000-0005-0000-0000-00000E5C0000}"/>
    <cellStyle name="Remarque 2 3 6 4 3" xfId="17610" xr:uid="{00000000-0005-0000-0000-00000F5C0000}"/>
    <cellStyle name="Remarque 2 3 6 4 4" xfId="41570" xr:uid="{00000000-0005-0000-0000-0000105C0000}"/>
    <cellStyle name="Remarque 2 3 6 5" xfId="7737" xr:uid="{00000000-0005-0000-0000-0000115C0000}"/>
    <cellStyle name="Remarque 2 3 6 5 2" xfId="31751" xr:uid="{00000000-0005-0000-0000-0000125C0000}"/>
    <cellStyle name="Remarque 2 3 6 5 2 2" xfId="55711" xr:uid="{00000000-0005-0000-0000-0000135C0000}"/>
    <cellStyle name="Remarque 2 3 6 5 3" xfId="18998" xr:uid="{00000000-0005-0000-0000-0000145C0000}"/>
    <cellStyle name="Remarque 2 3 6 5 4" xfId="42958" xr:uid="{00000000-0005-0000-0000-0000155C0000}"/>
    <cellStyle name="Remarque 2 3 6 6" xfId="9122" xr:uid="{00000000-0005-0000-0000-0000165C0000}"/>
    <cellStyle name="Remarque 2 3 6 6 2" xfId="33136" xr:uid="{00000000-0005-0000-0000-0000175C0000}"/>
    <cellStyle name="Remarque 2 3 6 6 2 2" xfId="57096" xr:uid="{00000000-0005-0000-0000-0000185C0000}"/>
    <cellStyle name="Remarque 2 3 6 6 3" xfId="20383" xr:uid="{00000000-0005-0000-0000-0000195C0000}"/>
    <cellStyle name="Remarque 2 3 6 6 4" xfId="44343" xr:uid="{00000000-0005-0000-0000-00001A5C0000}"/>
    <cellStyle name="Remarque 2 3 6 7" xfId="10579" xr:uid="{00000000-0005-0000-0000-00001B5C0000}"/>
    <cellStyle name="Remarque 2 3 6 7 2" xfId="34589" xr:uid="{00000000-0005-0000-0000-00001C5C0000}"/>
    <cellStyle name="Remarque 2 3 6 7 2 2" xfId="58549" xr:uid="{00000000-0005-0000-0000-00001D5C0000}"/>
    <cellStyle name="Remarque 2 3 6 7 3" xfId="21846" xr:uid="{00000000-0005-0000-0000-00001E5C0000}"/>
    <cellStyle name="Remarque 2 3 6 7 4" xfId="45806" xr:uid="{00000000-0005-0000-0000-00001F5C0000}"/>
    <cellStyle name="Remarque 2 3 6 8" xfId="11619" xr:uid="{00000000-0005-0000-0000-0000205C0000}"/>
    <cellStyle name="Remarque 2 3 6 8 2" xfId="22887" xr:uid="{00000000-0005-0000-0000-0000215C0000}"/>
    <cellStyle name="Remarque 2 3 6 8 3" xfId="46847" xr:uid="{00000000-0005-0000-0000-0000225C0000}"/>
    <cellStyle name="Remarque 2 3 6 9" xfId="2051" xr:uid="{00000000-0005-0000-0000-0000235C0000}"/>
    <cellStyle name="Remarque 2 3 6 9 2" xfId="26065" xr:uid="{00000000-0005-0000-0000-0000245C0000}"/>
    <cellStyle name="Remarque 2 3 6 9 3" xfId="50025" xr:uid="{00000000-0005-0000-0000-0000255C0000}"/>
    <cellStyle name="Remarque 2 3 7" xfId="809" xr:uid="{00000000-0005-0000-0000-0000265C0000}"/>
    <cellStyle name="Remarque 2 3 7 10" xfId="24841" xr:uid="{00000000-0005-0000-0000-0000275C0000}"/>
    <cellStyle name="Remarque 2 3 7 10 2" xfId="48801" xr:uid="{00000000-0005-0000-0000-0000285C0000}"/>
    <cellStyle name="Remarque 2 3 7 11" xfId="35610" xr:uid="{00000000-0005-0000-0000-0000295C0000}"/>
    <cellStyle name="Remarque 2 3 7 11 2" xfId="59570" xr:uid="{00000000-0005-0000-0000-00002A5C0000}"/>
    <cellStyle name="Remarque 2 3 7 12" xfId="13506" xr:uid="{00000000-0005-0000-0000-00002B5C0000}"/>
    <cellStyle name="Remarque 2 3 7 13" xfId="37466" xr:uid="{00000000-0005-0000-0000-00002C5C0000}"/>
    <cellStyle name="Remarque 2 3 7 2" xfId="3715" xr:uid="{00000000-0005-0000-0000-00002D5C0000}"/>
    <cellStyle name="Remarque 2 3 7 2 2" xfId="27729" xr:uid="{00000000-0005-0000-0000-00002E5C0000}"/>
    <cellStyle name="Remarque 2 3 7 2 2 2" xfId="51689" xr:uid="{00000000-0005-0000-0000-00002F5C0000}"/>
    <cellStyle name="Remarque 2 3 7 2 3" xfId="14976" xr:uid="{00000000-0005-0000-0000-0000305C0000}"/>
    <cellStyle name="Remarque 2 3 7 2 4" xfId="38936" xr:uid="{00000000-0005-0000-0000-0000315C0000}"/>
    <cellStyle name="Remarque 2 3 7 3" xfId="5149" xr:uid="{00000000-0005-0000-0000-0000325C0000}"/>
    <cellStyle name="Remarque 2 3 7 3 2" xfId="29163" xr:uid="{00000000-0005-0000-0000-0000335C0000}"/>
    <cellStyle name="Remarque 2 3 7 3 2 2" xfId="53123" xr:uid="{00000000-0005-0000-0000-0000345C0000}"/>
    <cellStyle name="Remarque 2 3 7 3 3" xfId="16410" xr:uid="{00000000-0005-0000-0000-0000355C0000}"/>
    <cellStyle name="Remarque 2 3 7 3 4" xfId="40370" xr:uid="{00000000-0005-0000-0000-0000365C0000}"/>
    <cellStyle name="Remarque 2 3 7 4" xfId="6543" xr:uid="{00000000-0005-0000-0000-0000375C0000}"/>
    <cellStyle name="Remarque 2 3 7 4 2" xfId="30557" xr:uid="{00000000-0005-0000-0000-0000385C0000}"/>
    <cellStyle name="Remarque 2 3 7 4 2 2" xfId="54517" xr:uid="{00000000-0005-0000-0000-0000395C0000}"/>
    <cellStyle name="Remarque 2 3 7 4 3" xfId="17804" xr:uid="{00000000-0005-0000-0000-00003A5C0000}"/>
    <cellStyle name="Remarque 2 3 7 4 4" xfId="41764" xr:uid="{00000000-0005-0000-0000-00003B5C0000}"/>
    <cellStyle name="Remarque 2 3 7 5" xfId="7931" xr:uid="{00000000-0005-0000-0000-00003C5C0000}"/>
    <cellStyle name="Remarque 2 3 7 5 2" xfId="31945" xr:uid="{00000000-0005-0000-0000-00003D5C0000}"/>
    <cellStyle name="Remarque 2 3 7 5 2 2" xfId="55905" xr:uid="{00000000-0005-0000-0000-00003E5C0000}"/>
    <cellStyle name="Remarque 2 3 7 5 3" xfId="19192" xr:uid="{00000000-0005-0000-0000-00003F5C0000}"/>
    <cellStyle name="Remarque 2 3 7 5 4" xfId="43152" xr:uid="{00000000-0005-0000-0000-0000405C0000}"/>
    <cellStyle name="Remarque 2 3 7 6" xfId="9316" xr:uid="{00000000-0005-0000-0000-0000415C0000}"/>
    <cellStyle name="Remarque 2 3 7 6 2" xfId="33330" xr:uid="{00000000-0005-0000-0000-0000425C0000}"/>
    <cellStyle name="Remarque 2 3 7 6 2 2" xfId="57290" xr:uid="{00000000-0005-0000-0000-0000435C0000}"/>
    <cellStyle name="Remarque 2 3 7 6 3" xfId="20577" xr:uid="{00000000-0005-0000-0000-0000445C0000}"/>
    <cellStyle name="Remarque 2 3 7 6 4" xfId="44537" xr:uid="{00000000-0005-0000-0000-0000455C0000}"/>
    <cellStyle name="Remarque 2 3 7 7" xfId="10773" xr:uid="{00000000-0005-0000-0000-0000465C0000}"/>
    <cellStyle name="Remarque 2 3 7 7 2" xfId="34783" xr:uid="{00000000-0005-0000-0000-0000475C0000}"/>
    <cellStyle name="Remarque 2 3 7 7 2 2" xfId="58743" xr:uid="{00000000-0005-0000-0000-0000485C0000}"/>
    <cellStyle name="Remarque 2 3 7 7 3" xfId="22040" xr:uid="{00000000-0005-0000-0000-0000495C0000}"/>
    <cellStyle name="Remarque 2 3 7 7 4" xfId="46000" xr:uid="{00000000-0005-0000-0000-00004A5C0000}"/>
    <cellStyle name="Remarque 2 3 7 8" xfId="12528" xr:uid="{00000000-0005-0000-0000-00004B5C0000}"/>
    <cellStyle name="Remarque 2 3 7 8 2" xfId="23825" xr:uid="{00000000-0005-0000-0000-00004C5C0000}"/>
    <cellStyle name="Remarque 2 3 7 8 3" xfId="47785" xr:uid="{00000000-0005-0000-0000-00004D5C0000}"/>
    <cellStyle name="Remarque 2 3 7 9" xfId="2245" xr:uid="{00000000-0005-0000-0000-00004E5C0000}"/>
    <cellStyle name="Remarque 2 3 7 9 2" xfId="26259" xr:uid="{00000000-0005-0000-0000-00004F5C0000}"/>
    <cellStyle name="Remarque 2 3 7 9 3" xfId="50219" xr:uid="{00000000-0005-0000-0000-0000505C0000}"/>
    <cellStyle name="Remarque 2 3 8" xfId="1003" xr:uid="{00000000-0005-0000-0000-0000515C0000}"/>
    <cellStyle name="Remarque 2 3 8 10" xfId="25035" xr:uid="{00000000-0005-0000-0000-0000525C0000}"/>
    <cellStyle name="Remarque 2 3 8 10 2" xfId="48995" xr:uid="{00000000-0005-0000-0000-0000535C0000}"/>
    <cellStyle name="Remarque 2 3 8 11" xfId="36242" xr:uid="{00000000-0005-0000-0000-0000545C0000}"/>
    <cellStyle name="Remarque 2 3 8 11 2" xfId="60202" xr:uid="{00000000-0005-0000-0000-0000555C0000}"/>
    <cellStyle name="Remarque 2 3 8 12" xfId="13700" xr:uid="{00000000-0005-0000-0000-0000565C0000}"/>
    <cellStyle name="Remarque 2 3 8 13" xfId="37660" xr:uid="{00000000-0005-0000-0000-0000575C0000}"/>
    <cellStyle name="Remarque 2 3 8 2" xfId="3909" xr:uid="{00000000-0005-0000-0000-0000585C0000}"/>
    <cellStyle name="Remarque 2 3 8 2 2" xfId="27923" xr:uid="{00000000-0005-0000-0000-0000595C0000}"/>
    <cellStyle name="Remarque 2 3 8 2 2 2" xfId="51883" xr:uid="{00000000-0005-0000-0000-00005A5C0000}"/>
    <cellStyle name="Remarque 2 3 8 2 3" xfId="15170" xr:uid="{00000000-0005-0000-0000-00005B5C0000}"/>
    <cellStyle name="Remarque 2 3 8 2 4" xfId="39130" xr:uid="{00000000-0005-0000-0000-00005C5C0000}"/>
    <cellStyle name="Remarque 2 3 8 3" xfId="5343" xr:uid="{00000000-0005-0000-0000-00005D5C0000}"/>
    <cellStyle name="Remarque 2 3 8 3 2" xfId="29357" xr:uid="{00000000-0005-0000-0000-00005E5C0000}"/>
    <cellStyle name="Remarque 2 3 8 3 2 2" xfId="53317" xr:uid="{00000000-0005-0000-0000-00005F5C0000}"/>
    <cellStyle name="Remarque 2 3 8 3 3" xfId="16604" xr:uid="{00000000-0005-0000-0000-0000605C0000}"/>
    <cellStyle name="Remarque 2 3 8 3 4" xfId="40564" xr:uid="{00000000-0005-0000-0000-0000615C0000}"/>
    <cellStyle name="Remarque 2 3 8 4" xfId="6737" xr:uid="{00000000-0005-0000-0000-0000625C0000}"/>
    <cellStyle name="Remarque 2 3 8 4 2" xfId="30751" xr:uid="{00000000-0005-0000-0000-0000635C0000}"/>
    <cellStyle name="Remarque 2 3 8 4 2 2" xfId="54711" xr:uid="{00000000-0005-0000-0000-0000645C0000}"/>
    <cellStyle name="Remarque 2 3 8 4 3" xfId="17998" xr:uid="{00000000-0005-0000-0000-0000655C0000}"/>
    <cellStyle name="Remarque 2 3 8 4 4" xfId="41958" xr:uid="{00000000-0005-0000-0000-0000665C0000}"/>
    <cellStyle name="Remarque 2 3 8 5" xfId="8125" xr:uid="{00000000-0005-0000-0000-0000675C0000}"/>
    <cellStyle name="Remarque 2 3 8 5 2" xfId="32139" xr:uid="{00000000-0005-0000-0000-0000685C0000}"/>
    <cellStyle name="Remarque 2 3 8 5 2 2" xfId="56099" xr:uid="{00000000-0005-0000-0000-0000695C0000}"/>
    <cellStyle name="Remarque 2 3 8 5 3" xfId="19386" xr:uid="{00000000-0005-0000-0000-00006A5C0000}"/>
    <cellStyle name="Remarque 2 3 8 5 4" xfId="43346" xr:uid="{00000000-0005-0000-0000-00006B5C0000}"/>
    <cellStyle name="Remarque 2 3 8 6" xfId="9510" xr:uid="{00000000-0005-0000-0000-00006C5C0000}"/>
    <cellStyle name="Remarque 2 3 8 6 2" xfId="33524" xr:uid="{00000000-0005-0000-0000-00006D5C0000}"/>
    <cellStyle name="Remarque 2 3 8 6 2 2" xfId="57484" xr:uid="{00000000-0005-0000-0000-00006E5C0000}"/>
    <cellStyle name="Remarque 2 3 8 6 3" xfId="20771" xr:uid="{00000000-0005-0000-0000-00006F5C0000}"/>
    <cellStyle name="Remarque 2 3 8 6 4" xfId="44731" xr:uid="{00000000-0005-0000-0000-0000705C0000}"/>
    <cellStyle name="Remarque 2 3 8 7" xfId="10967" xr:uid="{00000000-0005-0000-0000-0000715C0000}"/>
    <cellStyle name="Remarque 2 3 8 7 2" xfId="34977" xr:uid="{00000000-0005-0000-0000-0000725C0000}"/>
    <cellStyle name="Remarque 2 3 8 7 2 2" xfId="58937" xr:uid="{00000000-0005-0000-0000-0000735C0000}"/>
    <cellStyle name="Remarque 2 3 8 7 3" xfId="22234" xr:uid="{00000000-0005-0000-0000-0000745C0000}"/>
    <cellStyle name="Remarque 2 3 8 7 4" xfId="46194" xr:uid="{00000000-0005-0000-0000-0000755C0000}"/>
    <cellStyle name="Remarque 2 3 8 8" xfId="11920" xr:uid="{00000000-0005-0000-0000-0000765C0000}"/>
    <cellStyle name="Remarque 2 3 8 8 2" xfId="23198" xr:uid="{00000000-0005-0000-0000-0000775C0000}"/>
    <cellStyle name="Remarque 2 3 8 8 3" xfId="47158" xr:uid="{00000000-0005-0000-0000-0000785C0000}"/>
    <cellStyle name="Remarque 2 3 8 9" xfId="2439" xr:uid="{00000000-0005-0000-0000-0000795C0000}"/>
    <cellStyle name="Remarque 2 3 8 9 2" xfId="26453" xr:uid="{00000000-0005-0000-0000-00007A5C0000}"/>
    <cellStyle name="Remarque 2 3 8 9 3" xfId="50413" xr:uid="{00000000-0005-0000-0000-00007B5C0000}"/>
    <cellStyle name="Remarque 2 3 9" xfId="311" xr:uid="{00000000-0005-0000-0000-00007C5C0000}"/>
    <cellStyle name="Remarque 2 3 9 10" xfId="24343" xr:uid="{00000000-0005-0000-0000-00007D5C0000}"/>
    <cellStyle name="Remarque 2 3 9 10 2" xfId="48303" xr:uid="{00000000-0005-0000-0000-00007E5C0000}"/>
    <cellStyle name="Remarque 2 3 9 11" xfId="35768" xr:uid="{00000000-0005-0000-0000-00007F5C0000}"/>
    <cellStyle name="Remarque 2 3 9 11 2" xfId="59728" xr:uid="{00000000-0005-0000-0000-0000805C0000}"/>
    <cellStyle name="Remarque 2 3 9 12" xfId="13008" xr:uid="{00000000-0005-0000-0000-0000815C0000}"/>
    <cellStyle name="Remarque 2 3 9 13" xfId="36968" xr:uid="{00000000-0005-0000-0000-0000825C0000}"/>
    <cellStyle name="Remarque 2 3 9 2" xfId="3217" xr:uid="{00000000-0005-0000-0000-0000835C0000}"/>
    <cellStyle name="Remarque 2 3 9 2 2" xfId="27231" xr:uid="{00000000-0005-0000-0000-0000845C0000}"/>
    <cellStyle name="Remarque 2 3 9 2 2 2" xfId="51191" xr:uid="{00000000-0005-0000-0000-0000855C0000}"/>
    <cellStyle name="Remarque 2 3 9 2 3" xfId="14478" xr:uid="{00000000-0005-0000-0000-0000865C0000}"/>
    <cellStyle name="Remarque 2 3 9 2 4" xfId="38438" xr:uid="{00000000-0005-0000-0000-0000875C0000}"/>
    <cellStyle name="Remarque 2 3 9 3" xfId="4651" xr:uid="{00000000-0005-0000-0000-0000885C0000}"/>
    <cellStyle name="Remarque 2 3 9 3 2" xfId="28665" xr:uid="{00000000-0005-0000-0000-0000895C0000}"/>
    <cellStyle name="Remarque 2 3 9 3 2 2" xfId="52625" xr:uid="{00000000-0005-0000-0000-00008A5C0000}"/>
    <cellStyle name="Remarque 2 3 9 3 3" xfId="15912" xr:uid="{00000000-0005-0000-0000-00008B5C0000}"/>
    <cellStyle name="Remarque 2 3 9 3 4" xfId="39872" xr:uid="{00000000-0005-0000-0000-00008C5C0000}"/>
    <cellStyle name="Remarque 2 3 9 4" xfId="6045" xr:uid="{00000000-0005-0000-0000-00008D5C0000}"/>
    <cellStyle name="Remarque 2 3 9 4 2" xfId="30059" xr:uid="{00000000-0005-0000-0000-00008E5C0000}"/>
    <cellStyle name="Remarque 2 3 9 4 2 2" xfId="54019" xr:uid="{00000000-0005-0000-0000-00008F5C0000}"/>
    <cellStyle name="Remarque 2 3 9 4 3" xfId="17306" xr:uid="{00000000-0005-0000-0000-0000905C0000}"/>
    <cellStyle name="Remarque 2 3 9 4 4" xfId="41266" xr:uid="{00000000-0005-0000-0000-0000915C0000}"/>
    <cellStyle name="Remarque 2 3 9 5" xfId="7433" xr:uid="{00000000-0005-0000-0000-0000925C0000}"/>
    <cellStyle name="Remarque 2 3 9 5 2" xfId="31447" xr:uid="{00000000-0005-0000-0000-0000935C0000}"/>
    <cellStyle name="Remarque 2 3 9 5 2 2" xfId="55407" xr:uid="{00000000-0005-0000-0000-0000945C0000}"/>
    <cellStyle name="Remarque 2 3 9 5 3" xfId="18694" xr:uid="{00000000-0005-0000-0000-0000955C0000}"/>
    <cellStyle name="Remarque 2 3 9 5 4" xfId="42654" xr:uid="{00000000-0005-0000-0000-0000965C0000}"/>
    <cellStyle name="Remarque 2 3 9 6" xfId="8818" xr:uid="{00000000-0005-0000-0000-0000975C0000}"/>
    <cellStyle name="Remarque 2 3 9 6 2" xfId="32832" xr:uid="{00000000-0005-0000-0000-0000985C0000}"/>
    <cellStyle name="Remarque 2 3 9 6 2 2" xfId="56792" xr:uid="{00000000-0005-0000-0000-0000995C0000}"/>
    <cellStyle name="Remarque 2 3 9 6 3" xfId="20079" xr:uid="{00000000-0005-0000-0000-00009A5C0000}"/>
    <cellStyle name="Remarque 2 3 9 6 4" xfId="44039" xr:uid="{00000000-0005-0000-0000-00009B5C0000}"/>
    <cellStyle name="Remarque 2 3 9 7" xfId="10275" xr:uid="{00000000-0005-0000-0000-00009C5C0000}"/>
    <cellStyle name="Remarque 2 3 9 7 2" xfId="34285" xr:uid="{00000000-0005-0000-0000-00009D5C0000}"/>
    <cellStyle name="Remarque 2 3 9 7 2 2" xfId="58245" xr:uid="{00000000-0005-0000-0000-00009E5C0000}"/>
    <cellStyle name="Remarque 2 3 9 7 3" xfId="21542" xr:uid="{00000000-0005-0000-0000-00009F5C0000}"/>
    <cellStyle name="Remarque 2 3 9 7 4" xfId="45502" xr:uid="{00000000-0005-0000-0000-0000A05C0000}"/>
    <cellStyle name="Remarque 2 3 9 8" xfId="12401" xr:uid="{00000000-0005-0000-0000-0000A15C0000}"/>
    <cellStyle name="Remarque 2 3 9 8 2" xfId="23692" xr:uid="{00000000-0005-0000-0000-0000A25C0000}"/>
    <cellStyle name="Remarque 2 3 9 8 3" xfId="47652" xr:uid="{00000000-0005-0000-0000-0000A35C0000}"/>
    <cellStyle name="Remarque 2 3 9 9" xfId="1747" xr:uid="{00000000-0005-0000-0000-0000A45C0000}"/>
    <cellStyle name="Remarque 2 3 9 9 2" xfId="25761" xr:uid="{00000000-0005-0000-0000-0000A55C0000}"/>
    <cellStyle name="Remarque 2 3 9 9 3" xfId="49721" xr:uid="{00000000-0005-0000-0000-0000A65C0000}"/>
    <cellStyle name="Remarque 2 4" xfId="32" xr:uid="{00000000-0005-0000-0000-0000A75C0000}"/>
    <cellStyle name="Remarque 2 4 10" xfId="1199" xr:uid="{00000000-0005-0000-0000-0000A85C0000}"/>
    <cellStyle name="Remarque 2 4 10 10" xfId="25231" xr:uid="{00000000-0005-0000-0000-0000A95C0000}"/>
    <cellStyle name="Remarque 2 4 10 10 2" xfId="49191" xr:uid="{00000000-0005-0000-0000-0000AA5C0000}"/>
    <cellStyle name="Remarque 2 4 10 11" xfId="35903" xr:uid="{00000000-0005-0000-0000-0000AB5C0000}"/>
    <cellStyle name="Remarque 2 4 10 11 2" xfId="59863" xr:uid="{00000000-0005-0000-0000-0000AC5C0000}"/>
    <cellStyle name="Remarque 2 4 10 12" xfId="13896" xr:uid="{00000000-0005-0000-0000-0000AD5C0000}"/>
    <cellStyle name="Remarque 2 4 10 13" xfId="37856" xr:uid="{00000000-0005-0000-0000-0000AE5C0000}"/>
    <cellStyle name="Remarque 2 4 10 2" xfId="4105" xr:uid="{00000000-0005-0000-0000-0000AF5C0000}"/>
    <cellStyle name="Remarque 2 4 10 2 2" xfId="28119" xr:uid="{00000000-0005-0000-0000-0000B05C0000}"/>
    <cellStyle name="Remarque 2 4 10 2 2 2" xfId="52079" xr:uid="{00000000-0005-0000-0000-0000B15C0000}"/>
    <cellStyle name="Remarque 2 4 10 2 3" xfId="15366" xr:uid="{00000000-0005-0000-0000-0000B25C0000}"/>
    <cellStyle name="Remarque 2 4 10 2 4" xfId="39326" xr:uid="{00000000-0005-0000-0000-0000B35C0000}"/>
    <cellStyle name="Remarque 2 4 10 3" xfId="5539" xr:uid="{00000000-0005-0000-0000-0000B45C0000}"/>
    <cellStyle name="Remarque 2 4 10 3 2" xfId="29553" xr:uid="{00000000-0005-0000-0000-0000B55C0000}"/>
    <cellStyle name="Remarque 2 4 10 3 2 2" xfId="53513" xr:uid="{00000000-0005-0000-0000-0000B65C0000}"/>
    <cellStyle name="Remarque 2 4 10 3 3" xfId="16800" xr:uid="{00000000-0005-0000-0000-0000B75C0000}"/>
    <cellStyle name="Remarque 2 4 10 3 4" xfId="40760" xr:uid="{00000000-0005-0000-0000-0000B85C0000}"/>
    <cellStyle name="Remarque 2 4 10 4" xfId="6933" xr:uid="{00000000-0005-0000-0000-0000B95C0000}"/>
    <cellStyle name="Remarque 2 4 10 4 2" xfId="30947" xr:uid="{00000000-0005-0000-0000-0000BA5C0000}"/>
    <cellStyle name="Remarque 2 4 10 4 2 2" xfId="54907" xr:uid="{00000000-0005-0000-0000-0000BB5C0000}"/>
    <cellStyle name="Remarque 2 4 10 4 3" xfId="18194" xr:uid="{00000000-0005-0000-0000-0000BC5C0000}"/>
    <cellStyle name="Remarque 2 4 10 4 4" xfId="42154" xr:uid="{00000000-0005-0000-0000-0000BD5C0000}"/>
    <cellStyle name="Remarque 2 4 10 5" xfId="8321" xr:uid="{00000000-0005-0000-0000-0000BE5C0000}"/>
    <cellStyle name="Remarque 2 4 10 5 2" xfId="32335" xr:uid="{00000000-0005-0000-0000-0000BF5C0000}"/>
    <cellStyle name="Remarque 2 4 10 5 2 2" xfId="56295" xr:uid="{00000000-0005-0000-0000-0000C05C0000}"/>
    <cellStyle name="Remarque 2 4 10 5 3" xfId="19582" xr:uid="{00000000-0005-0000-0000-0000C15C0000}"/>
    <cellStyle name="Remarque 2 4 10 5 4" xfId="43542" xr:uid="{00000000-0005-0000-0000-0000C25C0000}"/>
    <cellStyle name="Remarque 2 4 10 6" xfId="9706" xr:uid="{00000000-0005-0000-0000-0000C35C0000}"/>
    <cellStyle name="Remarque 2 4 10 6 2" xfId="33720" xr:uid="{00000000-0005-0000-0000-0000C45C0000}"/>
    <cellStyle name="Remarque 2 4 10 6 2 2" xfId="57680" xr:uid="{00000000-0005-0000-0000-0000C55C0000}"/>
    <cellStyle name="Remarque 2 4 10 6 3" xfId="20967" xr:uid="{00000000-0005-0000-0000-0000C65C0000}"/>
    <cellStyle name="Remarque 2 4 10 6 4" xfId="44927" xr:uid="{00000000-0005-0000-0000-0000C75C0000}"/>
    <cellStyle name="Remarque 2 4 10 7" xfId="11163" xr:uid="{00000000-0005-0000-0000-0000C85C0000}"/>
    <cellStyle name="Remarque 2 4 10 7 2" xfId="35173" xr:uid="{00000000-0005-0000-0000-0000C95C0000}"/>
    <cellStyle name="Remarque 2 4 10 7 2 2" xfId="59133" xr:uid="{00000000-0005-0000-0000-0000CA5C0000}"/>
    <cellStyle name="Remarque 2 4 10 7 3" xfId="22430" xr:uid="{00000000-0005-0000-0000-0000CB5C0000}"/>
    <cellStyle name="Remarque 2 4 10 7 4" xfId="46390" xr:uid="{00000000-0005-0000-0000-0000CC5C0000}"/>
    <cellStyle name="Remarque 2 4 10 8" xfId="11753" xr:uid="{00000000-0005-0000-0000-0000CD5C0000}"/>
    <cellStyle name="Remarque 2 4 10 8 2" xfId="23025" xr:uid="{00000000-0005-0000-0000-0000CE5C0000}"/>
    <cellStyle name="Remarque 2 4 10 8 3" xfId="46985" xr:uid="{00000000-0005-0000-0000-0000CF5C0000}"/>
    <cellStyle name="Remarque 2 4 10 9" xfId="2635" xr:uid="{00000000-0005-0000-0000-0000D05C0000}"/>
    <cellStyle name="Remarque 2 4 10 9 2" xfId="26649" xr:uid="{00000000-0005-0000-0000-0000D15C0000}"/>
    <cellStyle name="Remarque 2 4 10 9 3" xfId="50609" xr:uid="{00000000-0005-0000-0000-0000D25C0000}"/>
    <cellStyle name="Remarque 2 4 11" xfId="313" xr:uid="{00000000-0005-0000-0000-0000D35C0000}"/>
    <cellStyle name="Remarque 2 4 11 10" xfId="24345" xr:uid="{00000000-0005-0000-0000-0000D45C0000}"/>
    <cellStyle name="Remarque 2 4 11 10 2" xfId="48305" xr:uid="{00000000-0005-0000-0000-0000D55C0000}"/>
    <cellStyle name="Remarque 2 4 11 11" xfId="21471" xr:uid="{00000000-0005-0000-0000-0000D65C0000}"/>
    <cellStyle name="Remarque 2 4 11 11 2" xfId="45431" xr:uid="{00000000-0005-0000-0000-0000D75C0000}"/>
    <cellStyle name="Remarque 2 4 11 12" xfId="13010" xr:uid="{00000000-0005-0000-0000-0000D85C0000}"/>
    <cellStyle name="Remarque 2 4 11 13" xfId="36970" xr:uid="{00000000-0005-0000-0000-0000D95C0000}"/>
    <cellStyle name="Remarque 2 4 11 2" xfId="3219" xr:uid="{00000000-0005-0000-0000-0000DA5C0000}"/>
    <cellStyle name="Remarque 2 4 11 2 2" xfId="27233" xr:uid="{00000000-0005-0000-0000-0000DB5C0000}"/>
    <cellStyle name="Remarque 2 4 11 2 2 2" xfId="51193" xr:uid="{00000000-0005-0000-0000-0000DC5C0000}"/>
    <cellStyle name="Remarque 2 4 11 2 3" xfId="14480" xr:uid="{00000000-0005-0000-0000-0000DD5C0000}"/>
    <cellStyle name="Remarque 2 4 11 2 4" xfId="38440" xr:uid="{00000000-0005-0000-0000-0000DE5C0000}"/>
    <cellStyle name="Remarque 2 4 11 3" xfId="4653" xr:uid="{00000000-0005-0000-0000-0000DF5C0000}"/>
    <cellStyle name="Remarque 2 4 11 3 2" xfId="28667" xr:uid="{00000000-0005-0000-0000-0000E05C0000}"/>
    <cellStyle name="Remarque 2 4 11 3 2 2" xfId="52627" xr:uid="{00000000-0005-0000-0000-0000E15C0000}"/>
    <cellStyle name="Remarque 2 4 11 3 3" xfId="15914" xr:uid="{00000000-0005-0000-0000-0000E25C0000}"/>
    <cellStyle name="Remarque 2 4 11 3 4" xfId="39874" xr:uid="{00000000-0005-0000-0000-0000E35C0000}"/>
    <cellStyle name="Remarque 2 4 11 4" xfId="6047" xr:uid="{00000000-0005-0000-0000-0000E45C0000}"/>
    <cellStyle name="Remarque 2 4 11 4 2" xfId="30061" xr:uid="{00000000-0005-0000-0000-0000E55C0000}"/>
    <cellStyle name="Remarque 2 4 11 4 2 2" xfId="54021" xr:uid="{00000000-0005-0000-0000-0000E65C0000}"/>
    <cellStyle name="Remarque 2 4 11 4 3" xfId="17308" xr:uid="{00000000-0005-0000-0000-0000E75C0000}"/>
    <cellStyle name="Remarque 2 4 11 4 4" xfId="41268" xr:uid="{00000000-0005-0000-0000-0000E85C0000}"/>
    <cellStyle name="Remarque 2 4 11 5" xfId="7435" xr:uid="{00000000-0005-0000-0000-0000E95C0000}"/>
    <cellStyle name="Remarque 2 4 11 5 2" xfId="31449" xr:uid="{00000000-0005-0000-0000-0000EA5C0000}"/>
    <cellStyle name="Remarque 2 4 11 5 2 2" xfId="55409" xr:uid="{00000000-0005-0000-0000-0000EB5C0000}"/>
    <cellStyle name="Remarque 2 4 11 5 3" xfId="18696" xr:uid="{00000000-0005-0000-0000-0000EC5C0000}"/>
    <cellStyle name="Remarque 2 4 11 5 4" xfId="42656" xr:uid="{00000000-0005-0000-0000-0000ED5C0000}"/>
    <cellStyle name="Remarque 2 4 11 6" xfId="8820" xr:uid="{00000000-0005-0000-0000-0000EE5C0000}"/>
    <cellStyle name="Remarque 2 4 11 6 2" xfId="32834" xr:uid="{00000000-0005-0000-0000-0000EF5C0000}"/>
    <cellStyle name="Remarque 2 4 11 6 2 2" xfId="56794" xr:uid="{00000000-0005-0000-0000-0000F05C0000}"/>
    <cellStyle name="Remarque 2 4 11 6 3" xfId="20081" xr:uid="{00000000-0005-0000-0000-0000F15C0000}"/>
    <cellStyle name="Remarque 2 4 11 6 4" xfId="44041" xr:uid="{00000000-0005-0000-0000-0000F25C0000}"/>
    <cellStyle name="Remarque 2 4 11 7" xfId="10277" xr:uid="{00000000-0005-0000-0000-0000F35C0000}"/>
    <cellStyle name="Remarque 2 4 11 7 2" xfId="34287" xr:uid="{00000000-0005-0000-0000-0000F45C0000}"/>
    <cellStyle name="Remarque 2 4 11 7 2 2" xfId="58247" xr:uid="{00000000-0005-0000-0000-0000F55C0000}"/>
    <cellStyle name="Remarque 2 4 11 7 3" xfId="21544" xr:uid="{00000000-0005-0000-0000-0000F65C0000}"/>
    <cellStyle name="Remarque 2 4 11 7 4" xfId="45504" xr:uid="{00000000-0005-0000-0000-0000F75C0000}"/>
    <cellStyle name="Remarque 2 4 11 8" xfId="12031" xr:uid="{00000000-0005-0000-0000-0000F85C0000}"/>
    <cellStyle name="Remarque 2 4 11 8 2" xfId="23311" xr:uid="{00000000-0005-0000-0000-0000F95C0000}"/>
    <cellStyle name="Remarque 2 4 11 8 3" xfId="47271" xr:uid="{00000000-0005-0000-0000-0000FA5C0000}"/>
    <cellStyle name="Remarque 2 4 11 9" xfId="1749" xr:uid="{00000000-0005-0000-0000-0000FB5C0000}"/>
    <cellStyle name="Remarque 2 4 11 9 2" xfId="25763" xr:uid="{00000000-0005-0000-0000-0000FC5C0000}"/>
    <cellStyle name="Remarque 2 4 11 9 3" xfId="49723" xr:uid="{00000000-0005-0000-0000-0000FD5C0000}"/>
    <cellStyle name="Remarque 2 4 12" xfId="1560" xr:uid="{00000000-0005-0000-0000-0000FE5C0000}"/>
    <cellStyle name="Remarque 2 4 12 10" xfId="25592" xr:uid="{00000000-0005-0000-0000-0000FF5C0000}"/>
    <cellStyle name="Remarque 2 4 12 10 2" xfId="49552" xr:uid="{00000000-0005-0000-0000-0000005D0000}"/>
    <cellStyle name="Remarque 2 4 12 11" xfId="23120" xr:uid="{00000000-0005-0000-0000-0000015D0000}"/>
    <cellStyle name="Remarque 2 4 12 11 2" xfId="47080" xr:uid="{00000000-0005-0000-0000-0000025D0000}"/>
    <cellStyle name="Remarque 2 4 12 12" xfId="14257" xr:uid="{00000000-0005-0000-0000-0000035D0000}"/>
    <cellStyle name="Remarque 2 4 12 13" xfId="38217" xr:uid="{00000000-0005-0000-0000-0000045D0000}"/>
    <cellStyle name="Remarque 2 4 12 2" xfId="4466" xr:uid="{00000000-0005-0000-0000-0000055D0000}"/>
    <cellStyle name="Remarque 2 4 12 2 2" xfId="28480" xr:uid="{00000000-0005-0000-0000-0000065D0000}"/>
    <cellStyle name="Remarque 2 4 12 2 2 2" xfId="52440" xr:uid="{00000000-0005-0000-0000-0000075D0000}"/>
    <cellStyle name="Remarque 2 4 12 2 3" xfId="15727" xr:uid="{00000000-0005-0000-0000-0000085D0000}"/>
    <cellStyle name="Remarque 2 4 12 2 4" xfId="39687" xr:uid="{00000000-0005-0000-0000-0000095D0000}"/>
    <cellStyle name="Remarque 2 4 12 3" xfId="5900" xr:uid="{00000000-0005-0000-0000-00000A5D0000}"/>
    <cellStyle name="Remarque 2 4 12 3 2" xfId="29914" xr:uid="{00000000-0005-0000-0000-00000B5D0000}"/>
    <cellStyle name="Remarque 2 4 12 3 2 2" xfId="53874" xr:uid="{00000000-0005-0000-0000-00000C5D0000}"/>
    <cellStyle name="Remarque 2 4 12 3 3" xfId="17161" xr:uid="{00000000-0005-0000-0000-00000D5D0000}"/>
    <cellStyle name="Remarque 2 4 12 3 4" xfId="41121" xr:uid="{00000000-0005-0000-0000-00000E5D0000}"/>
    <cellStyle name="Remarque 2 4 12 4" xfId="7294" xr:uid="{00000000-0005-0000-0000-00000F5D0000}"/>
    <cellStyle name="Remarque 2 4 12 4 2" xfId="31308" xr:uid="{00000000-0005-0000-0000-0000105D0000}"/>
    <cellStyle name="Remarque 2 4 12 4 2 2" xfId="55268" xr:uid="{00000000-0005-0000-0000-0000115D0000}"/>
    <cellStyle name="Remarque 2 4 12 4 3" xfId="18555" xr:uid="{00000000-0005-0000-0000-0000125D0000}"/>
    <cellStyle name="Remarque 2 4 12 4 4" xfId="42515" xr:uid="{00000000-0005-0000-0000-0000135D0000}"/>
    <cellStyle name="Remarque 2 4 12 5" xfId="8682" xr:uid="{00000000-0005-0000-0000-0000145D0000}"/>
    <cellStyle name="Remarque 2 4 12 5 2" xfId="32696" xr:uid="{00000000-0005-0000-0000-0000155D0000}"/>
    <cellStyle name="Remarque 2 4 12 5 2 2" xfId="56656" xr:uid="{00000000-0005-0000-0000-0000165D0000}"/>
    <cellStyle name="Remarque 2 4 12 5 3" xfId="19943" xr:uid="{00000000-0005-0000-0000-0000175D0000}"/>
    <cellStyle name="Remarque 2 4 12 5 4" xfId="43903" xr:uid="{00000000-0005-0000-0000-0000185D0000}"/>
    <cellStyle name="Remarque 2 4 12 6" xfId="10067" xr:uid="{00000000-0005-0000-0000-0000195D0000}"/>
    <cellStyle name="Remarque 2 4 12 6 2" xfId="34081" xr:uid="{00000000-0005-0000-0000-00001A5D0000}"/>
    <cellStyle name="Remarque 2 4 12 6 2 2" xfId="58041" xr:uid="{00000000-0005-0000-0000-00001B5D0000}"/>
    <cellStyle name="Remarque 2 4 12 6 3" xfId="21328" xr:uid="{00000000-0005-0000-0000-00001C5D0000}"/>
    <cellStyle name="Remarque 2 4 12 6 4" xfId="45288" xr:uid="{00000000-0005-0000-0000-00001D5D0000}"/>
    <cellStyle name="Remarque 2 4 12 7" xfId="11524" xr:uid="{00000000-0005-0000-0000-00001E5D0000}"/>
    <cellStyle name="Remarque 2 4 12 7 2" xfId="35534" xr:uid="{00000000-0005-0000-0000-00001F5D0000}"/>
    <cellStyle name="Remarque 2 4 12 7 2 2" xfId="59494" xr:uid="{00000000-0005-0000-0000-0000205D0000}"/>
    <cellStyle name="Remarque 2 4 12 7 3" xfId="22791" xr:uid="{00000000-0005-0000-0000-0000215D0000}"/>
    <cellStyle name="Remarque 2 4 12 7 4" xfId="46751" xr:uid="{00000000-0005-0000-0000-0000225D0000}"/>
    <cellStyle name="Remarque 2 4 12 8" xfId="12886" xr:uid="{00000000-0005-0000-0000-0000235D0000}"/>
    <cellStyle name="Remarque 2 4 12 8 2" xfId="24198" xr:uid="{00000000-0005-0000-0000-0000245D0000}"/>
    <cellStyle name="Remarque 2 4 12 8 3" xfId="48158" xr:uid="{00000000-0005-0000-0000-0000255D0000}"/>
    <cellStyle name="Remarque 2 4 12 9" xfId="2996" xr:uid="{00000000-0005-0000-0000-0000265D0000}"/>
    <cellStyle name="Remarque 2 4 12 9 2" xfId="27010" xr:uid="{00000000-0005-0000-0000-0000275D0000}"/>
    <cellStyle name="Remarque 2 4 12 9 3" xfId="50970" xr:uid="{00000000-0005-0000-0000-0000285D0000}"/>
    <cellStyle name="Remarque 2 4 13" xfId="203" xr:uid="{00000000-0005-0000-0000-0000295D0000}"/>
    <cellStyle name="Remarque 2 4 13 10" xfId="35965" xr:uid="{00000000-0005-0000-0000-00002A5D0000}"/>
    <cellStyle name="Remarque 2 4 13 10 2" xfId="59925" xr:uid="{00000000-0005-0000-0000-00002B5D0000}"/>
    <cellStyle name="Remarque 2 4 13 11" xfId="14370" xr:uid="{00000000-0005-0000-0000-00002C5D0000}"/>
    <cellStyle name="Remarque 2 4 13 12" xfId="38330" xr:uid="{00000000-0005-0000-0000-00002D5D0000}"/>
    <cellStyle name="Remarque 2 4 13 2" xfId="4548" xr:uid="{00000000-0005-0000-0000-00002E5D0000}"/>
    <cellStyle name="Remarque 2 4 13 2 2" xfId="28562" xr:uid="{00000000-0005-0000-0000-00002F5D0000}"/>
    <cellStyle name="Remarque 2 4 13 2 2 2" xfId="52522" xr:uid="{00000000-0005-0000-0000-0000305D0000}"/>
    <cellStyle name="Remarque 2 4 13 2 3" xfId="15809" xr:uid="{00000000-0005-0000-0000-0000315D0000}"/>
    <cellStyle name="Remarque 2 4 13 2 4" xfId="39769" xr:uid="{00000000-0005-0000-0000-0000325D0000}"/>
    <cellStyle name="Remarque 2 4 13 3" xfId="5947" xr:uid="{00000000-0005-0000-0000-0000335D0000}"/>
    <cellStyle name="Remarque 2 4 13 3 2" xfId="29961" xr:uid="{00000000-0005-0000-0000-0000345D0000}"/>
    <cellStyle name="Remarque 2 4 13 3 2 2" xfId="53921" xr:uid="{00000000-0005-0000-0000-0000355D0000}"/>
    <cellStyle name="Remarque 2 4 13 3 3" xfId="17208" xr:uid="{00000000-0005-0000-0000-0000365D0000}"/>
    <cellStyle name="Remarque 2 4 13 3 4" xfId="41168" xr:uid="{00000000-0005-0000-0000-0000375D0000}"/>
    <cellStyle name="Remarque 2 4 13 4" xfId="7341" xr:uid="{00000000-0005-0000-0000-0000385D0000}"/>
    <cellStyle name="Remarque 2 4 13 4 2" xfId="31355" xr:uid="{00000000-0005-0000-0000-0000395D0000}"/>
    <cellStyle name="Remarque 2 4 13 4 2 2" xfId="55315" xr:uid="{00000000-0005-0000-0000-00003A5D0000}"/>
    <cellStyle name="Remarque 2 4 13 4 3" xfId="18602" xr:uid="{00000000-0005-0000-0000-00003B5D0000}"/>
    <cellStyle name="Remarque 2 4 13 4 4" xfId="42562" xr:uid="{00000000-0005-0000-0000-00003C5D0000}"/>
    <cellStyle name="Remarque 2 4 13 5" xfId="8729" xr:uid="{00000000-0005-0000-0000-00003D5D0000}"/>
    <cellStyle name="Remarque 2 4 13 5 2" xfId="32743" xr:uid="{00000000-0005-0000-0000-00003E5D0000}"/>
    <cellStyle name="Remarque 2 4 13 5 2 2" xfId="56703" xr:uid="{00000000-0005-0000-0000-00003F5D0000}"/>
    <cellStyle name="Remarque 2 4 13 5 3" xfId="19990" xr:uid="{00000000-0005-0000-0000-0000405D0000}"/>
    <cellStyle name="Remarque 2 4 13 5 4" xfId="43950" xr:uid="{00000000-0005-0000-0000-0000415D0000}"/>
    <cellStyle name="Remarque 2 4 13 6" xfId="10169" xr:uid="{00000000-0005-0000-0000-0000425D0000}"/>
    <cellStyle name="Remarque 2 4 13 6 2" xfId="34181" xr:uid="{00000000-0005-0000-0000-0000435D0000}"/>
    <cellStyle name="Remarque 2 4 13 6 2 2" xfId="58141" xr:uid="{00000000-0005-0000-0000-0000445D0000}"/>
    <cellStyle name="Remarque 2 4 13 6 3" xfId="21434" xr:uid="{00000000-0005-0000-0000-0000455D0000}"/>
    <cellStyle name="Remarque 2 4 13 6 4" xfId="45394" xr:uid="{00000000-0005-0000-0000-0000465D0000}"/>
    <cellStyle name="Remarque 2 4 13 7" xfId="12193" xr:uid="{00000000-0005-0000-0000-0000475D0000}"/>
    <cellStyle name="Remarque 2 4 13 7 2" xfId="23476" xr:uid="{00000000-0005-0000-0000-0000485D0000}"/>
    <cellStyle name="Remarque 2 4 13 7 3" xfId="47436" xr:uid="{00000000-0005-0000-0000-0000495D0000}"/>
    <cellStyle name="Remarque 2 4 13 8" xfId="3109" xr:uid="{00000000-0005-0000-0000-00004A5D0000}"/>
    <cellStyle name="Remarque 2 4 13 8 2" xfId="27123" xr:uid="{00000000-0005-0000-0000-00004B5D0000}"/>
    <cellStyle name="Remarque 2 4 13 8 3" xfId="51083" xr:uid="{00000000-0005-0000-0000-00004C5D0000}"/>
    <cellStyle name="Remarque 2 4 13 9" xfId="24235" xr:uid="{00000000-0005-0000-0000-00004D5D0000}"/>
    <cellStyle name="Remarque 2 4 13 9 2" xfId="48195" xr:uid="{00000000-0005-0000-0000-00004E5D0000}"/>
    <cellStyle name="Remarque 2 4 14" xfId="3077" xr:uid="{00000000-0005-0000-0000-00004F5D0000}"/>
    <cellStyle name="Remarque 2 4 14 2" xfId="27091" xr:uid="{00000000-0005-0000-0000-0000505D0000}"/>
    <cellStyle name="Remarque 2 4 14 2 2" xfId="51051" xr:uid="{00000000-0005-0000-0000-0000515D0000}"/>
    <cellStyle name="Remarque 2 4 14 3" xfId="14338" xr:uid="{00000000-0005-0000-0000-0000525D0000}"/>
    <cellStyle name="Remarque 2 4 14 4" xfId="38298" xr:uid="{00000000-0005-0000-0000-0000535D0000}"/>
    <cellStyle name="Remarque 2 4 15" xfId="1635" xr:uid="{00000000-0005-0000-0000-0000545D0000}"/>
    <cellStyle name="Remarque 2 4 15 2" xfId="25649" xr:uid="{00000000-0005-0000-0000-0000555D0000}"/>
    <cellStyle name="Remarque 2 4 15 3" xfId="49609" xr:uid="{00000000-0005-0000-0000-0000565D0000}"/>
    <cellStyle name="Remarque 2 4 16" xfId="12915" xr:uid="{00000000-0005-0000-0000-0000575D0000}"/>
    <cellStyle name="Remarque 2 4 17" xfId="1611" xr:uid="{00000000-0005-0000-0000-0000585D0000}"/>
    <cellStyle name="Remarque 2 4 18" xfId="171" xr:uid="{00000000-0005-0000-0000-0000595D0000}"/>
    <cellStyle name="Remarque 2 4 2" xfId="69" xr:uid="{00000000-0005-0000-0000-00005A5D0000}"/>
    <cellStyle name="Remarque 2 4 2 10" xfId="1363" xr:uid="{00000000-0005-0000-0000-00005B5D0000}"/>
    <cellStyle name="Remarque 2 4 2 10 10" xfId="25395" xr:uid="{00000000-0005-0000-0000-00005C5D0000}"/>
    <cellStyle name="Remarque 2 4 2 10 10 2" xfId="49355" xr:uid="{00000000-0005-0000-0000-00005D5D0000}"/>
    <cellStyle name="Remarque 2 4 2 10 11" xfId="34211" xr:uid="{00000000-0005-0000-0000-00005E5D0000}"/>
    <cellStyle name="Remarque 2 4 2 10 11 2" xfId="58171" xr:uid="{00000000-0005-0000-0000-00005F5D0000}"/>
    <cellStyle name="Remarque 2 4 2 10 12" xfId="14060" xr:uid="{00000000-0005-0000-0000-0000605D0000}"/>
    <cellStyle name="Remarque 2 4 2 10 13" xfId="38020" xr:uid="{00000000-0005-0000-0000-0000615D0000}"/>
    <cellStyle name="Remarque 2 4 2 10 2" xfId="4269" xr:uid="{00000000-0005-0000-0000-0000625D0000}"/>
    <cellStyle name="Remarque 2 4 2 10 2 2" xfId="28283" xr:uid="{00000000-0005-0000-0000-0000635D0000}"/>
    <cellStyle name="Remarque 2 4 2 10 2 2 2" xfId="52243" xr:uid="{00000000-0005-0000-0000-0000645D0000}"/>
    <cellStyle name="Remarque 2 4 2 10 2 3" xfId="15530" xr:uid="{00000000-0005-0000-0000-0000655D0000}"/>
    <cellStyle name="Remarque 2 4 2 10 2 4" xfId="39490" xr:uid="{00000000-0005-0000-0000-0000665D0000}"/>
    <cellStyle name="Remarque 2 4 2 10 3" xfId="5703" xr:uid="{00000000-0005-0000-0000-0000675D0000}"/>
    <cellStyle name="Remarque 2 4 2 10 3 2" xfId="29717" xr:uid="{00000000-0005-0000-0000-0000685D0000}"/>
    <cellStyle name="Remarque 2 4 2 10 3 2 2" xfId="53677" xr:uid="{00000000-0005-0000-0000-0000695D0000}"/>
    <cellStyle name="Remarque 2 4 2 10 3 3" xfId="16964" xr:uid="{00000000-0005-0000-0000-00006A5D0000}"/>
    <cellStyle name="Remarque 2 4 2 10 3 4" xfId="40924" xr:uid="{00000000-0005-0000-0000-00006B5D0000}"/>
    <cellStyle name="Remarque 2 4 2 10 4" xfId="7097" xr:uid="{00000000-0005-0000-0000-00006C5D0000}"/>
    <cellStyle name="Remarque 2 4 2 10 4 2" xfId="31111" xr:uid="{00000000-0005-0000-0000-00006D5D0000}"/>
    <cellStyle name="Remarque 2 4 2 10 4 2 2" xfId="55071" xr:uid="{00000000-0005-0000-0000-00006E5D0000}"/>
    <cellStyle name="Remarque 2 4 2 10 4 3" xfId="18358" xr:uid="{00000000-0005-0000-0000-00006F5D0000}"/>
    <cellStyle name="Remarque 2 4 2 10 4 4" xfId="42318" xr:uid="{00000000-0005-0000-0000-0000705D0000}"/>
    <cellStyle name="Remarque 2 4 2 10 5" xfId="8485" xr:uid="{00000000-0005-0000-0000-0000715D0000}"/>
    <cellStyle name="Remarque 2 4 2 10 5 2" xfId="32499" xr:uid="{00000000-0005-0000-0000-0000725D0000}"/>
    <cellStyle name="Remarque 2 4 2 10 5 2 2" xfId="56459" xr:uid="{00000000-0005-0000-0000-0000735D0000}"/>
    <cellStyle name="Remarque 2 4 2 10 5 3" xfId="19746" xr:uid="{00000000-0005-0000-0000-0000745D0000}"/>
    <cellStyle name="Remarque 2 4 2 10 5 4" xfId="43706" xr:uid="{00000000-0005-0000-0000-0000755D0000}"/>
    <cellStyle name="Remarque 2 4 2 10 6" xfId="9870" xr:uid="{00000000-0005-0000-0000-0000765D0000}"/>
    <cellStyle name="Remarque 2 4 2 10 6 2" xfId="33884" xr:uid="{00000000-0005-0000-0000-0000775D0000}"/>
    <cellStyle name="Remarque 2 4 2 10 6 2 2" xfId="57844" xr:uid="{00000000-0005-0000-0000-0000785D0000}"/>
    <cellStyle name="Remarque 2 4 2 10 6 3" xfId="21131" xr:uid="{00000000-0005-0000-0000-0000795D0000}"/>
    <cellStyle name="Remarque 2 4 2 10 6 4" xfId="45091" xr:uid="{00000000-0005-0000-0000-00007A5D0000}"/>
    <cellStyle name="Remarque 2 4 2 10 7" xfId="11327" xr:uid="{00000000-0005-0000-0000-00007B5D0000}"/>
    <cellStyle name="Remarque 2 4 2 10 7 2" xfId="35337" xr:uid="{00000000-0005-0000-0000-00007C5D0000}"/>
    <cellStyle name="Remarque 2 4 2 10 7 2 2" xfId="59297" xr:uid="{00000000-0005-0000-0000-00007D5D0000}"/>
    <cellStyle name="Remarque 2 4 2 10 7 3" xfId="22594" xr:uid="{00000000-0005-0000-0000-00007E5D0000}"/>
    <cellStyle name="Remarque 2 4 2 10 7 4" xfId="46554" xr:uid="{00000000-0005-0000-0000-00007F5D0000}"/>
    <cellStyle name="Remarque 2 4 2 10 8" xfId="11844" xr:uid="{00000000-0005-0000-0000-0000805D0000}"/>
    <cellStyle name="Remarque 2 4 2 10 8 2" xfId="23119" xr:uid="{00000000-0005-0000-0000-0000815D0000}"/>
    <cellStyle name="Remarque 2 4 2 10 8 3" xfId="47079" xr:uid="{00000000-0005-0000-0000-0000825D0000}"/>
    <cellStyle name="Remarque 2 4 2 10 9" xfId="2799" xr:uid="{00000000-0005-0000-0000-0000835D0000}"/>
    <cellStyle name="Remarque 2 4 2 10 9 2" xfId="26813" xr:uid="{00000000-0005-0000-0000-0000845D0000}"/>
    <cellStyle name="Remarque 2 4 2 10 9 3" xfId="50773" xr:uid="{00000000-0005-0000-0000-0000855D0000}"/>
    <cellStyle name="Remarque 2 4 2 11" xfId="1574" xr:uid="{00000000-0005-0000-0000-0000865D0000}"/>
    <cellStyle name="Remarque 2 4 2 11 10" xfId="25606" xr:uid="{00000000-0005-0000-0000-0000875D0000}"/>
    <cellStyle name="Remarque 2 4 2 11 10 2" xfId="49566" xr:uid="{00000000-0005-0000-0000-0000885D0000}"/>
    <cellStyle name="Remarque 2 4 2 11 11" xfId="23358" xr:uid="{00000000-0005-0000-0000-0000895D0000}"/>
    <cellStyle name="Remarque 2 4 2 11 11 2" xfId="47318" xr:uid="{00000000-0005-0000-0000-00008A5D0000}"/>
    <cellStyle name="Remarque 2 4 2 11 12" xfId="14271" xr:uid="{00000000-0005-0000-0000-00008B5D0000}"/>
    <cellStyle name="Remarque 2 4 2 11 13" xfId="38231" xr:uid="{00000000-0005-0000-0000-00008C5D0000}"/>
    <cellStyle name="Remarque 2 4 2 11 2" xfId="4480" xr:uid="{00000000-0005-0000-0000-00008D5D0000}"/>
    <cellStyle name="Remarque 2 4 2 11 2 2" xfId="28494" xr:uid="{00000000-0005-0000-0000-00008E5D0000}"/>
    <cellStyle name="Remarque 2 4 2 11 2 2 2" xfId="52454" xr:uid="{00000000-0005-0000-0000-00008F5D0000}"/>
    <cellStyle name="Remarque 2 4 2 11 2 3" xfId="15741" xr:uid="{00000000-0005-0000-0000-0000905D0000}"/>
    <cellStyle name="Remarque 2 4 2 11 2 4" xfId="39701" xr:uid="{00000000-0005-0000-0000-0000915D0000}"/>
    <cellStyle name="Remarque 2 4 2 11 3" xfId="5914" xr:uid="{00000000-0005-0000-0000-0000925D0000}"/>
    <cellStyle name="Remarque 2 4 2 11 3 2" xfId="29928" xr:uid="{00000000-0005-0000-0000-0000935D0000}"/>
    <cellStyle name="Remarque 2 4 2 11 3 2 2" xfId="53888" xr:uid="{00000000-0005-0000-0000-0000945D0000}"/>
    <cellStyle name="Remarque 2 4 2 11 3 3" xfId="17175" xr:uid="{00000000-0005-0000-0000-0000955D0000}"/>
    <cellStyle name="Remarque 2 4 2 11 3 4" xfId="41135" xr:uid="{00000000-0005-0000-0000-0000965D0000}"/>
    <cellStyle name="Remarque 2 4 2 11 4" xfId="7308" xr:uid="{00000000-0005-0000-0000-0000975D0000}"/>
    <cellStyle name="Remarque 2 4 2 11 4 2" xfId="31322" xr:uid="{00000000-0005-0000-0000-0000985D0000}"/>
    <cellStyle name="Remarque 2 4 2 11 4 2 2" xfId="55282" xr:uid="{00000000-0005-0000-0000-0000995D0000}"/>
    <cellStyle name="Remarque 2 4 2 11 4 3" xfId="18569" xr:uid="{00000000-0005-0000-0000-00009A5D0000}"/>
    <cellStyle name="Remarque 2 4 2 11 4 4" xfId="42529" xr:uid="{00000000-0005-0000-0000-00009B5D0000}"/>
    <cellStyle name="Remarque 2 4 2 11 5" xfId="8696" xr:uid="{00000000-0005-0000-0000-00009C5D0000}"/>
    <cellStyle name="Remarque 2 4 2 11 5 2" xfId="32710" xr:uid="{00000000-0005-0000-0000-00009D5D0000}"/>
    <cellStyle name="Remarque 2 4 2 11 5 2 2" xfId="56670" xr:uid="{00000000-0005-0000-0000-00009E5D0000}"/>
    <cellStyle name="Remarque 2 4 2 11 5 3" xfId="19957" xr:uid="{00000000-0005-0000-0000-00009F5D0000}"/>
    <cellStyle name="Remarque 2 4 2 11 5 4" xfId="43917" xr:uid="{00000000-0005-0000-0000-0000A05D0000}"/>
    <cellStyle name="Remarque 2 4 2 11 6" xfId="10081" xr:uid="{00000000-0005-0000-0000-0000A15D0000}"/>
    <cellStyle name="Remarque 2 4 2 11 6 2" xfId="34095" xr:uid="{00000000-0005-0000-0000-0000A25D0000}"/>
    <cellStyle name="Remarque 2 4 2 11 6 2 2" xfId="58055" xr:uid="{00000000-0005-0000-0000-0000A35D0000}"/>
    <cellStyle name="Remarque 2 4 2 11 6 3" xfId="21342" xr:uid="{00000000-0005-0000-0000-0000A45D0000}"/>
    <cellStyle name="Remarque 2 4 2 11 6 4" xfId="45302" xr:uid="{00000000-0005-0000-0000-0000A55D0000}"/>
    <cellStyle name="Remarque 2 4 2 11 7" xfId="11538" xr:uid="{00000000-0005-0000-0000-0000A65D0000}"/>
    <cellStyle name="Remarque 2 4 2 11 7 2" xfId="35548" xr:uid="{00000000-0005-0000-0000-0000A75D0000}"/>
    <cellStyle name="Remarque 2 4 2 11 7 2 2" xfId="59508" xr:uid="{00000000-0005-0000-0000-0000A85D0000}"/>
    <cellStyle name="Remarque 2 4 2 11 7 3" xfId="22805" xr:uid="{00000000-0005-0000-0000-0000A95D0000}"/>
    <cellStyle name="Remarque 2 4 2 11 7 4" xfId="46765" xr:uid="{00000000-0005-0000-0000-0000AA5D0000}"/>
    <cellStyle name="Remarque 2 4 2 11 8" xfId="10139" xr:uid="{00000000-0005-0000-0000-0000AB5D0000}"/>
    <cellStyle name="Remarque 2 4 2 11 8 2" xfId="21402" xr:uid="{00000000-0005-0000-0000-0000AC5D0000}"/>
    <cellStyle name="Remarque 2 4 2 11 8 3" xfId="45362" xr:uid="{00000000-0005-0000-0000-0000AD5D0000}"/>
    <cellStyle name="Remarque 2 4 2 11 9" xfId="3010" xr:uid="{00000000-0005-0000-0000-0000AE5D0000}"/>
    <cellStyle name="Remarque 2 4 2 11 9 2" xfId="27024" xr:uid="{00000000-0005-0000-0000-0000AF5D0000}"/>
    <cellStyle name="Remarque 2 4 2 11 9 3" xfId="50984" xr:uid="{00000000-0005-0000-0000-0000B05D0000}"/>
    <cellStyle name="Remarque 2 4 2 12" xfId="1536" xr:uid="{00000000-0005-0000-0000-0000B15D0000}"/>
    <cellStyle name="Remarque 2 4 2 12 10" xfId="25568" xr:uid="{00000000-0005-0000-0000-0000B25D0000}"/>
    <cellStyle name="Remarque 2 4 2 12 10 2" xfId="49528" xr:uid="{00000000-0005-0000-0000-0000B35D0000}"/>
    <cellStyle name="Remarque 2 4 2 12 11" xfId="36529" xr:uid="{00000000-0005-0000-0000-0000B45D0000}"/>
    <cellStyle name="Remarque 2 4 2 12 11 2" xfId="60489" xr:uid="{00000000-0005-0000-0000-0000B55D0000}"/>
    <cellStyle name="Remarque 2 4 2 12 12" xfId="14233" xr:uid="{00000000-0005-0000-0000-0000B65D0000}"/>
    <cellStyle name="Remarque 2 4 2 12 13" xfId="38193" xr:uid="{00000000-0005-0000-0000-0000B75D0000}"/>
    <cellStyle name="Remarque 2 4 2 12 2" xfId="4442" xr:uid="{00000000-0005-0000-0000-0000B85D0000}"/>
    <cellStyle name="Remarque 2 4 2 12 2 2" xfId="28456" xr:uid="{00000000-0005-0000-0000-0000B95D0000}"/>
    <cellStyle name="Remarque 2 4 2 12 2 2 2" xfId="52416" xr:uid="{00000000-0005-0000-0000-0000BA5D0000}"/>
    <cellStyle name="Remarque 2 4 2 12 2 3" xfId="15703" xr:uid="{00000000-0005-0000-0000-0000BB5D0000}"/>
    <cellStyle name="Remarque 2 4 2 12 2 4" xfId="39663" xr:uid="{00000000-0005-0000-0000-0000BC5D0000}"/>
    <cellStyle name="Remarque 2 4 2 12 3" xfId="5876" xr:uid="{00000000-0005-0000-0000-0000BD5D0000}"/>
    <cellStyle name="Remarque 2 4 2 12 3 2" xfId="29890" xr:uid="{00000000-0005-0000-0000-0000BE5D0000}"/>
    <cellStyle name="Remarque 2 4 2 12 3 2 2" xfId="53850" xr:uid="{00000000-0005-0000-0000-0000BF5D0000}"/>
    <cellStyle name="Remarque 2 4 2 12 3 3" xfId="17137" xr:uid="{00000000-0005-0000-0000-0000C05D0000}"/>
    <cellStyle name="Remarque 2 4 2 12 3 4" xfId="41097" xr:uid="{00000000-0005-0000-0000-0000C15D0000}"/>
    <cellStyle name="Remarque 2 4 2 12 4" xfId="7270" xr:uid="{00000000-0005-0000-0000-0000C25D0000}"/>
    <cellStyle name="Remarque 2 4 2 12 4 2" xfId="31284" xr:uid="{00000000-0005-0000-0000-0000C35D0000}"/>
    <cellStyle name="Remarque 2 4 2 12 4 2 2" xfId="55244" xr:uid="{00000000-0005-0000-0000-0000C45D0000}"/>
    <cellStyle name="Remarque 2 4 2 12 4 3" xfId="18531" xr:uid="{00000000-0005-0000-0000-0000C55D0000}"/>
    <cellStyle name="Remarque 2 4 2 12 4 4" xfId="42491" xr:uid="{00000000-0005-0000-0000-0000C65D0000}"/>
    <cellStyle name="Remarque 2 4 2 12 5" xfId="8658" xr:uid="{00000000-0005-0000-0000-0000C75D0000}"/>
    <cellStyle name="Remarque 2 4 2 12 5 2" xfId="32672" xr:uid="{00000000-0005-0000-0000-0000C85D0000}"/>
    <cellStyle name="Remarque 2 4 2 12 5 2 2" xfId="56632" xr:uid="{00000000-0005-0000-0000-0000C95D0000}"/>
    <cellStyle name="Remarque 2 4 2 12 5 3" xfId="19919" xr:uid="{00000000-0005-0000-0000-0000CA5D0000}"/>
    <cellStyle name="Remarque 2 4 2 12 5 4" xfId="43879" xr:uid="{00000000-0005-0000-0000-0000CB5D0000}"/>
    <cellStyle name="Remarque 2 4 2 12 6" xfId="10043" xr:uid="{00000000-0005-0000-0000-0000CC5D0000}"/>
    <cellStyle name="Remarque 2 4 2 12 6 2" xfId="34057" xr:uid="{00000000-0005-0000-0000-0000CD5D0000}"/>
    <cellStyle name="Remarque 2 4 2 12 6 2 2" xfId="58017" xr:uid="{00000000-0005-0000-0000-0000CE5D0000}"/>
    <cellStyle name="Remarque 2 4 2 12 6 3" xfId="21304" xr:uid="{00000000-0005-0000-0000-0000CF5D0000}"/>
    <cellStyle name="Remarque 2 4 2 12 6 4" xfId="45264" xr:uid="{00000000-0005-0000-0000-0000D05D0000}"/>
    <cellStyle name="Remarque 2 4 2 12 7" xfId="11500" xr:uid="{00000000-0005-0000-0000-0000D15D0000}"/>
    <cellStyle name="Remarque 2 4 2 12 7 2" xfId="35510" xr:uid="{00000000-0005-0000-0000-0000D25D0000}"/>
    <cellStyle name="Remarque 2 4 2 12 7 2 2" xfId="59470" xr:uid="{00000000-0005-0000-0000-0000D35D0000}"/>
    <cellStyle name="Remarque 2 4 2 12 7 3" xfId="22767" xr:uid="{00000000-0005-0000-0000-0000D45D0000}"/>
    <cellStyle name="Remarque 2 4 2 12 7 4" xfId="46727" xr:uid="{00000000-0005-0000-0000-0000D55D0000}"/>
    <cellStyle name="Remarque 2 4 2 12 8" xfId="12613" xr:uid="{00000000-0005-0000-0000-0000D65D0000}"/>
    <cellStyle name="Remarque 2 4 2 12 8 2" xfId="23915" xr:uid="{00000000-0005-0000-0000-0000D75D0000}"/>
    <cellStyle name="Remarque 2 4 2 12 8 3" xfId="47875" xr:uid="{00000000-0005-0000-0000-0000D85D0000}"/>
    <cellStyle name="Remarque 2 4 2 12 9" xfId="2972" xr:uid="{00000000-0005-0000-0000-0000D95D0000}"/>
    <cellStyle name="Remarque 2 4 2 12 9 2" xfId="26986" xr:uid="{00000000-0005-0000-0000-0000DA5D0000}"/>
    <cellStyle name="Remarque 2 4 2 12 9 3" xfId="50946" xr:uid="{00000000-0005-0000-0000-0000DB5D0000}"/>
    <cellStyle name="Remarque 2 4 2 13" xfId="1591" xr:uid="{00000000-0005-0000-0000-0000DC5D0000}"/>
    <cellStyle name="Remarque 2 4 2 13 10" xfId="25623" xr:uid="{00000000-0005-0000-0000-0000DD5D0000}"/>
    <cellStyle name="Remarque 2 4 2 13 10 2" xfId="49583" xr:uid="{00000000-0005-0000-0000-0000DE5D0000}"/>
    <cellStyle name="Remarque 2 4 2 13 11" xfId="36850" xr:uid="{00000000-0005-0000-0000-0000DF5D0000}"/>
    <cellStyle name="Remarque 2 4 2 13 11 2" xfId="60810" xr:uid="{00000000-0005-0000-0000-0000E05D0000}"/>
    <cellStyle name="Remarque 2 4 2 13 12" xfId="14288" xr:uid="{00000000-0005-0000-0000-0000E15D0000}"/>
    <cellStyle name="Remarque 2 4 2 13 13" xfId="38248" xr:uid="{00000000-0005-0000-0000-0000E25D0000}"/>
    <cellStyle name="Remarque 2 4 2 13 2" xfId="4497" xr:uid="{00000000-0005-0000-0000-0000E35D0000}"/>
    <cellStyle name="Remarque 2 4 2 13 2 2" xfId="28511" xr:uid="{00000000-0005-0000-0000-0000E45D0000}"/>
    <cellStyle name="Remarque 2 4 2 13 2 2 2" xfId="52471" xr:uid="{00000000-0005-0000-0000-0000E55D0000}"/>
    <cellStyle name="Remarque 2 4 2 13 2 3" xfId="15758" xr:uid="{00000000-0005-0000-0000-0000E65D0000}"/>
    <cellStyle name="Remarque 2 4 2 13 2 4" xfId="39718" xr:uid="{00000000-0005-0000-0000-0000E75D0000}"/>
    <cellStyle name="Remarque 2 4 2 13 3" xfId="5931" xr:uid="{00000000-0005-0000-0000-0000E85D0000}"/>
    <cellStyle name="Remarque 2 4 2 13 3 2" xfId="29945" xr:uid="{00000000-0005-0000-0000-0000E95D0000}"/>
    <cellStyle name="Remarque 2 4 2 13 3 2 2" xfId="53905" xr:uid="{00000000-0005-0000-0000-0000EA5D0000}"/>
    <cellStyle name="Remarque 2 4 2 13 3 3" xfId="17192" xr:uid="{00000000-0005-0000-0000-0000EB5D0000}"/>
    <cellStyle name="Remarque 2 4 2 13 3 4" xfId="41152" xr:uid="{00000000-0005-0000-0000-0000EC5D0000}"/>
    <cellStyle name="Remarque 2 4 2 13 4" xfId="7325" xr:uid="{00000000-0005-0000-0000-0000ED5D0000}"/>
    <cellStyle name="Remarque 2 4 2 13 4 2" xfId="31339" xr:uid="{00000000-0005-0000-0000-0000EE5D0000}"/>
    <cellStyle name="Remarque 2 4 2 13 4 2 2" xfId="55299" xr:uid="{00000000-0005-0000-0000-0000EF5D0000}"/>
    <cellStyle name="Remarque 2 4 2 13 4 3" xfId="18586" xr:uid="{00000000-0005-0000-0000-0000F05D0000}"/>
    <cellStyle name="Remarque 2 4 2 13 4 4" xfId="42546" xr:uid="{00000000-0005-0000-0000-0000F15D0000}"/>
    <cellStyle name="Remarque 2 4 2 13 5" xfId="8713" xr:uid="{00000000-0005-0000-0000-0000F25D0000}"/>
    <cellStyle name="Remarque 2 4 2 13 5 2" xfId="32727" xr:uid="{00000000-0005-0000-0000-0000F35D0000}"/>
    <cellStyle name="Remarque 2 4 2 13 5 2 2" xfId="56687" xr:uid="{00000000-0005-0000-0000-0000F45D0000}"/>
    <cellStyle name="Remarque 2 4 2 13 5 3" xfId="19974" xr:uid="{00000000-0005-0000-0000-0000F55D0000}"/>
    <cellStyle name="Remarque 2 4 2 13 5 4" xfId="43934" xr:uid="{00000000-0005-0000-0000-0000F65D0000}"/>
    <cellStyle name="Remarque 2 4 2 13 6" xfId="10098" xr:uid="{00000000-0005-0000-0000-0000F75D0000}"/>
    <cellStyle name="Remarque 2 4 2 13 6 2" xfId="34112" xr:uid="{00000000-0005-0000-0000-0000F85D0000}"/>
    <cellStyle name="Remarque 2 4 2 13 6 2 2" xfId="58072" xr:uid="{00000000-0005-0000-0000-0000F95D0000}"/>
    <cellStyle name="Remarque 2 4 2 13 6 3" xfId="21359" xr:uid="{00000000-0005-0000-0000-0000FA5D0000}"/>
    <cellStyle name="Remarque 2 4 2 13 6 4" xfId="45319" xr:uid="{00000000-0005-0000-0000-0000FB5D0000}"/>
    <cellStyle name="Remarque 2 4 2 13 7" xfId="11555" xr:uid="{00000000-0005-0000-0000-0000FC5D0000}"/>
    <cellStyle name="Remarque 2 4 2 13 7 2" xfId="35565" xr:uid="{00000000-0005-0000-0000-0000FD5D0000}"/>
    <cellStyle name="Remarque 2 4 2 13 7 2 2" xfId="59525" xr:uid="{00000000-0005-0000-0000-0000FE5D0000}"/>
    <cellStyle name="Remarque 2 4 2 13 7 3" xfId="22822" xr:uid="{00000000-0005-0000-0000-0000FF5D0000}"/>
    <cellStyle name="Remarque 2 4 2 13 7 4" xfId="46782" xr:uid="{00000000-0005-0000-0000-0000005E0000}"/>
    <cellStyle name="Remarque 2 4 2 13 8" xfId="10125" xr:uid="{00000000-0005-0000-0000-0000015E0000}"/>
    <cellStyle name="Remarque 2 4 2 13 8 2" xfId="21386" xr:uid="{00000000-0005-0000-0000-0000025E0000}"/>
    <cellStyle name="Remarque 2 4 2 13 8 3" xfId="45346" xr:uid="{00000000-0005-0000-0000-0000035E0000}"/>
    <cellStyle name="Remarque 2 4 2 13 9" xfId="3027" xr:uid="{00000000-0005-0000-0000-0000045E0000}"/>
    <cellStyle name="Remarque 2 4 2 13 9 2" xfId="27041" xr:uid="{00000000-0005-0000-0000-0000055E0000}"/>
    <cellStyle name="Remarque 2 4 2 13 9 3" xfId="51001" xr:uid="{00000000-0005-0000-0000-0000065E0000}"/>
    <cellStyle name="Remarque 2 4 2 14" xfId="216" xr:uid="{00000000-0005-0000-0000-0000075E0000}"/>
    <cellStyle name="Remarque 2 4 2 14 10" xfId="35732" xr:uid="{00000000-0005-0000-0000-0000085E0000}"/>
    <cellStyle name="Remarque 2 4 2 14 10 2" xfId="59692" xr:uid="{00000000-0005-0000-0000-0000095E0000}"/>
    <cellStyle name="Remarque 2 4 2 14 11" xfId="14383" xr:uid="{00000000-0005-0000-0000-00000A5E0000}"/>
    <cellStyle name="Remarque 2 4 2 14 12" xfId="38343" xr:uid="{00000000-0005-0000-0000-00000B5E0000}"/>
    <cellStyle name="Remarque 2 4 2 14 2" xfId="4561" xr:uid="{00000000-0005-0000-0000-00000C5E0000}"/>
    <cellStyle name="Remarque 2 4 2 14 2 2" xfId="28575" xr:uid="{00000000-0005-0000-0000-00000D5E0000}"/>
    <cellStyle name="Remarque 2 4 2 14 2 2 2" xfId="52535" xr:uid="{00000000-0005-0000-0000-00000E5E0000}"/>
    <cellStyle name="Remarque 2 4 2 14 2 3" xfId="15822" xr:uid="{00000000-0005-0000-0000-00000F5E0000}"/>
    <cellStyle name="Remarque 2 4 2 14 2 4" xfId="39782" xr:uid="{00000000-0005-0000-0000-0000105E0000}"/>
    <cellStyle name="Remarque 2 4 2 14 3" xfId="5960" xr:uid="{00000000-0005-0000-0000-0000115E0000}"/>
    <cellStyle name="Remarque 2 4 2 14 3 2" xfId="29974" xr:uid="{00000000-0005-0000-0000-0000125E0000}"/>
    <cellStyle name="Remarque 2 4 2 14 3 2 2" xfId="53934" xr:uid="{00000000-0005-0000-0000-0000135E0000}"/>
    <cellStyle name="Remarque 2 4 2 14 3 3" xfId="17221" xr:uid="{00000000-0005-0000-0000-0000145E0000}"/>
    <cellStyle name="Remarque 2 4 2 14 3 4" xfId="41181" xr:uid="{00000000-0005-0000-0000-0000155E0000}"/>
    <cellStyle name="Remarque 2 4 2 14 4" xfId="7354" xr:uid="{00000000-0005-0000-0000-0000165E0000}"/>
    <cellStyle name="Remarque 2 4 2 14 4 2" xfId="31368" xr:uid="{00000000-0005-0000-0000-0000175E0000}"/>
    <cellStyle name="Remarque 2 4 2 14 4 2 2" xfId="55328" xr:uid="{00000000-0005-0000-0000-0000185E0000}"/>
    <cellStyle name="Remarque 2 4 2 14 4 3" xfId="18615" xr:uid="{00000000-0005-0000-0000-0000195E0000}"/>
    <cellStyle name="Remarque 2 4 2 14 4 4" xfId="42575" xr:uid="{00000000-0005-0000-0000-00001A5E0000}"/>
    <cellStyle name="Remarque 2 4 2 14 5" xfId="8742" xr:uid="{00000000-0005-0000-0000-00001B5E0000}"/>
    <cellStyle name="Remarque 2 4 2 14 5 2" xfId="32756" xr:uid="{00000000-0005-0000-0000-00001C5E0000}"/>
    <cellStyle name="Remarque 2 4 2 14 5 2 2" xfId="56716" xr:uid="{00000000-0005-0000-0000-00001D5E0000}"/>
    <cellStyle name="Remarque 2 4 2 14 5 3" xfId="20003" xr:uid="{00000000-0005-0000-0000-00001E5E0000}"/>
    <cellStyle name="Remarque 2 4 2 14 5 4" xfId="43963" xr:uid="{00000000-0005-0000-0000-00001F5E0000}"/>
    <cellStyle name="Remarque 2 4 2 14 6" xfId="10182" xr:uid="{00000000-0005-0000-0000-0000205E0000}"/>
    <cellStyle name="Remarque 2 4 2 14 6 2" xfId="34194" xr:uid="{00000000-0005-0000-0000-0000215E0000}"/>
    <cellStyle name="Remarque 2 4 2 14 6 2 2" xfId="58154" xr:uid="{00000000-0005-0000-0000-0000225E0000}"/>
    <cellStyle name="Remarque 2 4 2 14 6 3" xfId="21447" xr:uid="{00000000-0005-0000-0000-0000235E0000}"/>
    <cellStyle name="Remarque 2 4 2 14 6 4" xfId="45407" xr:uid="{00000000-0005-0000-0000-0000245E0000}"/>
    <cellStyle name="Remarque 2 4 2 14 7" xfId="12171" xr:uid="{00000000-0005-0000-0000-0000255E0000}"/>
    <cellStyle name="Remarque 2 4 2 14 7 2" xfId="23454" xr:uid="{00000000-0005-0000-0000-0000265E0000}"/>
    <cellStyle name="Remarque 2 4 2 14 7 3" xfId="47414" xr:uid="{00000000-0005-0000-0000-0000275E0000}"/>
    <cellStyle name="Remarque 2 4 2 14 8" xfId="3122" xr:uid="{00000000-0005-0000-0000-0000285E0000}"/>
    <cellStyle name="Remarque 2 4 2 14 8 2" xfId="27136" xr:uid="{00000000-0005-0000-0000-0000295E0000}"/>
    <cellStyle name="Remarque 2 4 2 14 8 3" xfId="51096" xr:uid="{00000000-0005-0000-0000-00002A5E0000}"/>
    <cellStyle name="Remarque 2 4 2 14 9" xfId="24248" xr:uid="{00000000-0005-0000-0000-00002B5E0000}"/>
    <cellStyle name="Remarque 2 4 2 14 9 2" xfId="48208" xr:uid="{00000000-0005-0000-0000-00002C5E0000}"/>
    <cellStyle name="Remarque 2 4 2 15" xfId="3091" xr:uid="{00000000-0005-0000-0000-00002D5E0000}"/>
    <cellStyle name="Remarque 2 4 2 15 2" xfId="27105" xr:uid="{00000000-0005-0000-0000-00002E5E0000}"/>
    <cellStyle name="Remarque 2 4 2 15 2 2" xfId="51065" xr:uid="{00000000-0005-0000-0000-00002F5E0000}"/>
    <cellStyle name="Remarque 2 4 2 15 3" xfId="14352" xr:uid="{00000000-0005-0000-0000-0000305E0000}"/>
    <cellStyle name="Remarque 2 4 2 15 4" xfId="38312" xr:uid="{00000000-0005-0000-0000-0000315E0000}"/>
    <cellStyle name="Remarque 2 4 2 16" xfId="4530" xr:uid="{00000000-0005-0000-0000-0000325E0000}"/>
    <cellStyle name="Remarque 2 4 2 16 2" xfId="28544" xr:uid="{00000000-0005-0000-0000-0000335E0000}"/>
    <cellStyle name="Remarque 2 4 2 16 2 2" xfId="52504" xr:uid="{00000000-0005-0000-0000-0000345E0000}"/>
    <cellStyle name="Remarque 2 4 2 16 3" xfId="15791" xr:uid="{00000000-0005-0000-0000-0000355E0000}"/>
    <cellStyle name="Remarque 2 4 2 16 4" xfId="39751" xr:uid="{00000000-0005-0000-0000-0000365E0000}"/>
    <cellStyle name="Remarque 2 4 2 17" xfId="3063" xr:uid="{00000000-0005-0000-0000-0000375E0000}"/>
    <cellStyle name="Remarque 2 4 2 17 2" xfId="27077" xr:uid="{00000000-0005-0000-0000-0000385E0000}"/>
    <cellStyle name="Remarque 2 4 2 17 2 2" xfId="51037" xr:uid="{00000000-0005-0000-0000-0000395E0000}"/>
    <cellStyle name="Remarque 2 4 2 17 3" xfId="14324" xr:uid="{00000000-0005-0000-0000-00003A5E0000}"/>
    <cellStyle name="Remarque 2 4 2 17 4" xfId="38284" xr:uid="{00000000-0005-0000-0000-00003B5E0000}"/>
    <cellStyle name="Remarque 2 4 2 18" xfId="4511" xr:uid="{00000000-0005-0000-0000-00003C5E0000}"/>
    <cellStyle name="Remarque 2 4 2 18 2" xfId="28525" xr:uid="{00000000-0005-0000-0000-00003D5E0000}"/>
    <cellStyle name="Remarque 2 4 2 18 2 2" xfId="52485" xr:uid="{00000000-0005-0000-0000-00003E5E0000}"/>
    <cellStyle name="Remarque 2 4 2 18 3" xfId="15772" xr:uid="{00000000-0005-0000-0000-00003F5E0000}"/>
    <cellStyle name="Remarque 2 4 2 18 4" xfId="39732" xr:uid="{00000000-0005-0000-0000-0000405E0000}"/>
    <cellStyle name="Remarque 2 4 2 19" xfId="4517" xr:uid="{00000000-0005-0000-0000-0000415E0000}"/>
    <cellStyle name="Remarque 2 4 2 19 2" xfId="28531" xr:uid="{00000000-0005-0000-0000-0000425E0000}"/>
    <cellStyle name="Remarque 2 4 2 19 2 2" xfId="52491" xr:uid="{00000000-0005-0000-0000-0000435E0000}"/>
    <cellStyle name="Remarque 2 4 2 19 3" xfId="15778" xr:uid="{00000000-0005-0000-0000-0000445E0000}"/>
    <cellStyle name="Remarque 2 4 2 19 4" xfId="39738" xr:uid="{00000000-0005-0000-0000-0000455E0000}"/>
    <cellStyle name="Remarque 2 4 2 2" xfId="105" xr:uid="{00000000-0005-0000-0000-0000465E0000}"/>
    <cellStyle name="Remarque 2 4 2 2 10" xfId="3164" xr:uid="{00000000-0005-0000-0000-0000475E0000}"/>
    <cellStyle name="Remarque 2 4 2 2 10 2" xfId="27178" xr:uid="{00000000-0005-0000-0000-0000485E0000}"/>
    <cellStyle name="Remarque 2 4 2 2 10 2 2" xfId="51138" xr:uid="{00000000-0005-0000-0000-0000495E0000}"/>
    <cellStyle name="Remarque 2 4 2 2 10 3" xfId="14425" xr:uid="{00000000-0005-0000-0000-00004A5E0000}"/>
    <cellStyle name="Remarque 2 4 2 2 10 4" xfId="38385" xr:uid="{00000000-0005-0000-0000-00004B5E0000}"/>
    <cellStyle name="Remarque 2 4 2 2 11" xfId="4598" xr:uid="{00000000-0005-0000-0000-00004C5E0000}"/>
    <cellStyle name="Remarque 2 4 2 2 11 2" xfId="28612" xr:uid="{00000000-0005-0000-0000-00004D5E0000}"/>
    <cellStyle name="Remarque 2 4 2 2 11 2 2" xfId="52572" xr:uid="{00000000-0005-0000-0000-00004E5E0000}"/>
    <cellStyle name="Remarque 2 4 2 2 11 3" xfId="15859" xr:uid="{00000000-0005-0000-0000-00004F5E0000}"/>
    <cellStyle name="Remarque 2 4 2 2 11 4" xfId="39819" xr:uid="{00000000-0005-0000-0000-0000505E0000}"/>
    <cellStyle name="Remarque 2 4 2 2 12" xfId="5992" xr:uid="{00000000-0005-0000-0000-0000515E0000}"/>
    <cellStyle name="Remarque 2 4 2 2 12 2" xfId="30006" xr:uid="{00000000-0005-0000-0000-0000525E0000}"/>
    <cellStyle name="Remarque 2 4 2 2 12 2 2" xfId="53966" xr:uid="{00000000-0005-0000-0000-0000535E0000}"/>
    <cellStyle name="Remarque 2 4 2 2 12 3" xfId="17253" xr:uid="{00000000-0005-0000-0000-0000545E0000}"/>
    <cellStyle name="Remarque 2 4 2 2 12 4" xfId="41213" xr:uid="{00000000-0005-0000-0000-0000555E0000}"/>
    <cellStyle name="Remarque 2 4 2 2 13" xfId="7380" xr:uid="{00000000-0005-0000-0000-0000565E0000}"/>
    <cellStyle name="Remarque 2 4 2 2 13 2" xfId="31394" xr:uid="{00000000-0005-0000-0000-0000575E0000}"/>
    <cellStyle name="Remarque 2 4 2 2 13 2 2" xfId="55354" xr:uid="{00000000-0005-0000-0000-0000585E0000}"/>
    <cellStyle name="Remarque 2 4 2 2 13 3" xfId="18641" xr:uid="{00000000-0005-0000-0000-0000595E0000}"/>
    <cellStyle name="Remarque 2 4 2 2 13 4" xfId="42601" xr:uid="{00000000-0005-0000-0000-00005A5E0000}"/>
    <cellStyle name="Remarque 2 4 2 2 14" xfId="8765" xr:uid="{00000000-0005-0000-0000-00005B5E0000}"/>
    <cellStyle name="Remarque 2 4 2 2 14 2" xfId="32779" xr:uid="{00000000-0005-0000-0000-00005C5E0000}"/>
    <cellStyle name="Remarque 2 4 2 2 14 2 2" xfId="56739" xr:uid="{00000000-0005-0000-0000-00005D5E0000}"/>
    <cellStyle name="Remarque 2 4 2 2 14 3" xfId="20026" xr:uid="{00000000-0005-0000-0000-00005E5E0000}"/>
    <cellStyle name="Remarque 2 4 2 2 14 4" xfId="43986" xr:uid="{00000000-0005-0000-0000-00005F5E0000}"/>
    <cellStyle name="Remarque 2 4 2 2 15" xfId="10222" xr:uid="{00000000-0005-0000-0000-0000605E0000}"/>
    <cellStyle name="Remarque 2 4 2 2 15 2" xfId="34232" xr:uid="{00000000-0005-0000-0000-0000615E0000}"/>
    <cellStyle name="Remarque 2 4 2 2 15 2 2" xfId="58192" xr:uid="{00000000-0005-0000-0000-0000625E0000}"/>
    <cellStyle name="Remarque 2 4 2 2 15 3" xfId="21489" xr:uid="{00000000-0005-0000-0000-0000635E0000}"/>
    <cellStyle name="Remarque 2 4 2 2 15 4" xfId="45449" xr:uid="{00000000-0005-0000-0000-0000645E0000}"/>
    <cellStyle name="Remarque 2 4 2 2 16" xfId="10140" xr:uid="{00000000-0005-0000-0000-0000655E0000}"/>
    <cellStyle name="Remarque 2 4 2 2 16 2" xfId="21403" xr:uid="{00000000-0005-0000-0000-0000665E0000}"/>
    <cellStyle name="Remarque 2 4 2 2 16 3" xfId="45363" xr:uid="{00000000-0005-0000-0000-0000675E0000}"/>
    <cellStyle name="Remarque 2 4 2 2 17" xfId="1694" xr:uid="{00000000-0005-0000-0000-0000685E0000}"/>
    <cellStyle name="Remarque 2 4 2 2 17 2" xfId="25708" xr:uid="{00000000-0005-0000-0000-0000695E0000}"/>
    <cellStyle name="Remarque 2 4 2 2 17 3" xfId="49668" xr:uid="{00000000-0005-0000-0000-00006A5E0000}"/>
    <cellStyle name="Remarque 2 4 2 2 18" xfId="24290" xr:uid="{00000000-0005-0000-0000-00006B5E0000}"/>
    <cellStyle name="Remarque 2 4 2 2 18 2" xfId="48250" xr:uid="{00000000-0005-0000-0000-00006C5E0000}"/>
    <cellStyle name="Remarque 2 4 2 2 19" xfId="36251" xr:uid="{00000000-0005-0000-0000-00006D5E0000}"/>
    <cellStyle name="Remarque 2 4 2 2 19 2" xfId="60211" xr:uid="{00000000-0005-0000-0000-00006E5E0000}"/>
    <cellStyle name="Remarque 2 4 2 2 2" xfId="433" xr:uid="{00000000-0005-0000-0000-00006F5E0000}"/>
    <cellStyle name="Remarque 2 4 2 2 2 10" xfId="6167" xr:uid="{00000000-0005-0000-0000-0000705E0000}"/>
    <cellStyle name="Remarque 2 4 2 2 2 10 2" xfId="30181" xr:uid="{00000000-0005-0000-0000-0000715E0000}"/>
    <cellStyle name="Remarque 2 4 2 2 2 10 2 2" xfId="54141" xr:uid="{00000000-0005-0000-0000-0000725E0000}"/>
    <cellStyle name="Remarque 2 4 2 2 2 10 3" xfId="17428" xr:uid="{00000000-0005-0000-0000-0000735E0000}"/>
    <cellStyle name="Remarque 2 4 2 2 2 10 4" xfId="41388" xr:uid="{00000000-0005-0000-0000-0000745E0000}"/>
    <cellStyle name="Remarque 2 4 2 2 2 11" xfId="7555" xr:uid="{00000000-0005-0000-0000-0000755E0000}"/>
    <cellStyle name="Remarque 2 4 2 2 2 11 2" xfId="31569" xr:uid="{00000000-0005-0000-0000-0000765E0000}"/>
    <cellStyle name="Remarque 2 4 2 2 2 11 2 2" xfId="55529" xr:uid="{00000000-0005-0000-0000-0000775E0000}"/>
    <cellStyle name="Remarque 2 4 2 2 2 11 3" xfId="18816" xr:uid="{00000000-0005-0000-0000-0000785E0000}"/>
    <cellStyle name="Remarque 2 4 2 2 2 11 4" xfId="42776" xr:uid="{00000000-0005-0000-0000-0000795E0000}"/>
    <cellStyle name="Remarque 2 4 2 2 2 12" xfId="8940" xr:uid="{00000000-0005-0000-0000-00007A5E0000}"/>
    <cellStyle name="Remarque 2 4 2 2 2 12 2" xfId="32954" xr:uid="{00000000-0005-0000-0000-00007B5E0000}"/>
    <cellStyle name="Remarque 2 4 2 2 2 12 2 2" xfId="56914" xr:uid="{00000000-0005-0000-0000-00007C5E0000}"/>
    <cellStyle name="Remarque 2 4 2 2 2 12 3" xfId="20201" xr:uid="{00000000-0005-0000-0000-00007D5E0000}"/>
    <cellStyle name="Remarque 2 4 2 2 2 12 4" xfId="44161" xr:uid="{00000000-0005-0000-0000-00007E5E0000}"/>
    <cellStyle name="Remarque 2 4 2 2 2 13" xfId="10397" xr:uid="{00000000-0005-0000-0000-00007F5E0000}"/>
    <cellStyle name="Remarque 2 4 2 2 2 13 2" xfId="34407" xr:uid="{00000000-0005-0000-0000-0000805E0000}"/>
    <cellStyle name="Remarque 2 4 2 2 2 13 2 2" xfId="58367" xr:uid="{00000000-0005-0000-0000-0000815E0000}"/>
    <cellStyle name="Remarque 2 4 2 2 2 13 3" xfId="21664" xr:uid="{00000000-0005-0000-0000-0000825E0000}"/>
    <cellStyle name="Remarque 2 4 2 2 2 13 4" xfId="45624" xr:uid="{00000000-0005-0000-0000-0000835E0000}"/>
    <cellStyle name="Remarque 2 4 2 2 2 14" xfId="11573" xr:uid="{00000000-0005-0000-0000-0000845E0000}"/>
    <cellStyle name="Remarque 2 4 2 2 2 14 2" xfId="22840" xr:uid="{00000000-0005-0000-0000-0000855E0000}"/>
    <cellStyle name="Remarque 2 4 2 2 2 14 3" xfId="46800" xr:uid="{00000000-0005-0000-0000-0000865E0000}"/>
    <cellStyle name="Remarque 2 4 2 2 2 15" xfId="1869" xr:uid="{00000000-0005-0000-0000-0000875E0000}"/>
    <cellStyle name="Remarque 2 4 2 2 2 15 2" xfId="25883" xr:uid="{00000000-0005-0000-0000-0000885E0000}"/>
    <cellStyle name="Remarque 2 4 2 2 2 15 3" xfId="49843" xr:uid="{00000000-0005-0000-0000-0000895E0000}"/>
    <cellStyle name="Remarque 2 4 2 2 2 16" xfId="24465" xr:uid="{00000000-0005-0000-0000-00008A5E0000}"/>
    <cellStyle name="Remarque 2 4 2 2 2 16 2" xfId="48425" xr:uid="{00000000-0005-0000-0000-00008B5E0000}"/>
    <cellStyle name="Remarque 2 4 2 2 2 17" xfId="36011" xr:uid="{00000000-0005-0000-0000-00008C5E0000}"/>
    <cellStyle name="Remarque 2 4 2 2 2 17 2" xfId="59971" xr:uid="{00000000-0005-0000-0000-00008D5E0000}"/>
    <cellStyle name="Remarque 2 4 2 2 2 18" xfId="13130" xr:uid="{00000000-0005-0000-0000-00008E5E0000}"/>
    <cellStyle name="Remarque 2 4 2 2 2 19" xfId="37090" xr:uid="{00000000-0005-0000-0000-00008F5E0000}"/>
    <cellStyle name="Remarque 2 4 2 2 2 2" xfId="569" xr:uid="{00000000-0005-0000-0000-0000905E0000}"/>
    <cellStyle name="Remarque 2 4 2 2 2 2 10" xfId="24601" xr:uid="{00000000-0005-0000-0000-0000915E0000}"/>
    <cellStyle name="Remarque 2 4 2 2 2 2 10 2" xfId="48561" xr:uid="{00000000-0005-0000-0000-0000925E0000}"/>
    <cellStyle name="Remarque 2 4 2 2 2 2 11" xfId="35711" xr:uid="{00000000-0005-0000-0000-0000935E0000}"/>
    <cellStyle name="Remarque 2 4 2 2 2 2 11 2" xfId="59671" xr:uid="{00000000-0005-0000-0000-0000945E0000}"/>
    <cellStyle name="Remarque 2 4 2 2 2 2 12" xfId="13266" xr:uid="{00000000-0005-0000-0000-0000955E0000}"/>
    <cellStyle name="Remarque 2 4 2 2 2 2 13" xfId="37226" xr:uid="{00000000-0005-0000-0000-0000965E0000}"/>
    <cellStyle name="Remarque 2 4 2 2 2 2 2" xfId="3475" xr:uid="{00000000-0005-0000-0000-0000975E0000}"/>
    <cellStyle name="Remarque 2 4 2 2 2 2 2 2" xfId="27489" xr:uid="{00000000-0005-0000-0000-0000985E0000}"/>
    <cellStyle name="Remarque 2 4 2 2 2 2 2 2 2" xfId="51449" xr:uid="{00000000-0005-0000-0000-0000995E0000}"/>
    <cellStyle name="Remarque 2 4 2 2 2 2 2 3" xfId="14736" xr:uid="{00000000-0005-0000-0000-00009A5E0000}"/>
    <cellStyle name="Remarque 2 4 2 2 2 2 2 4" xfId="38696" xr:uid="{00000000-0005-0000-0000-00009B5E0000}"/>
    <cellStyle name="Remarque 2 4 2 2 2 2 3" xfId="4909" xr:uid="{00000000-0005-0000-0000-00009C5E0000}"/>
    <cellStyle name="Remarque 2 4 2 2 2 2 3 2" xfId="28923" xr:uid="{00000000-0005-0000-0000-00009D5E0000}"/>
    <cellStyle name="Remarque 2 4 2 2 2 2 3 2 2" xfId="52883" xr:uid="{00000000-0005-0000-0000-00009E5E0000}"/>
    <cellStyle name="Remarque 2 4 2 2 2 2 3 3" xfId="16170" xr:uid="{00000000-0005-0000-0000-00009F5E0000}"/>
    <cellStyle name="Remarque 2 4 2 2 2 2 3 4" xfId="40130" xr:uid="{00000000-0005-0000-0000-0000A05E0000}"/>
    <cellStyle name="Remarque 2 4 2 2 2 2 4" xfId="6303" xr:uid="{00000000-0005-0000-0000-0000A15E0000}"/>
    <cellStyle name="Remarque 2 4 2 2 2 2 4 2" xfId="30317" xr:uid="{00000000-0005-0000-0000-0000A25E0000}"/>
    <cellStyle name="Remarque 2 4 2 2 2 2 4 2 2" xfId="54277" xr:uid="{00000000-0005-0000-0000-0000A35E0000}"/>
    <cellStyle name="Remarque 2 4 2 2 2 2 4 3" xfId="17564" xr:uid="{00000000-0005-0000-0000-0000A45E0000}"/>
    <cellStyle name="Remarque 2 4 2 2 2 2 4 4" xfId="41524" xr:uid="{00000000-0005-0000-0000-0000A55E0000}"/>
    <cellStyle name="Remarque 2 4 2 2 2 2 5" xfId="7691" xr:uid="{00000000-0005-0000-0000-0000A65E0000}"/>
    <cellStyle name="Remarque 2 4 2 2 2 2 5 2" xfId="31705" xr:uid="{00000000-0005-0000-0000-0000A75E0000}"/>
    <cellStyle name="Remarque 2 4 2 2 2 2 5 2 2" xfId="55665" xr:uid="{00000000-0005-0000-0000-0000A85E0000}"/>
    <cellStyle name="Remarque 2 4 2 2 2 2 5 3" xfId="18952" xr:uid="{00000000-0005-0000-0000-0000A95E0000}"/>
    <cellStyle name="Remarque 2 4 2 2 2 2 5 4" xfId="42912" xr:uid="{00000000-0005-0000-0000-0000AA5E0000}"/>
    <cellStyle name="Remarque 2 4 2 2 2 2 6" xfId="9076" xr:uid="{00000000-0005-0000-0000-0000AB5E0000}"/>
    <cellStyle name="Remarque 2 4 2 2 2 2 6 2" xfId="33090" xr:uid="{00000000-0005-0000-0000-0000AC5E0000}"/>
    <cellStyle name="Remarque 2 4 2 2 2 2 6 2 2" xfId="57050" xr:uid="{00000000-0005-0000-0000-0000AD5E0000}"/>
    <cellStyle name="Remarque 2 4 2 2 2 2 6 3" xfId="20337" xr:uid="{00000000-0005-0000-0000-0000AE5E0000}"/>
    <cellStyle name="Remarque 2 4 2 2 2 2 6 4" xfId="44297" xr:uid="{00000000-0005-0000-0000-0000AF5E0000}"/>
    <cellStyle name="Remarque 2 4 2 2 2 2 7" xfId="10533" xr:uid="{00000000-0005-0000-0000-0000B05E0000}"/>
    <cellStyle name="Remarque 2 4 2 2 2 2 7 2" xfId="34543" xr:uid="{00000000-0005-0000-0000-0000B15E0000}"/>
    <cellStyle name="Remarque 2 4 2 2 2 2 7 2 2" xfId="58503" xr:uid="{00000000-0005-0000-0000-0000B25E0000}"/>
    <cellStyle name="Remarque 2 4 2 2 2 2 7 3" xfId="21800" xr:uid="{00000000-0005-0000-0000-0000B35E0000}"/>
    <cellStyle name="Remarque 2 4 2 2 2 2 7 4" xfId="45760" xr:uid="{00000000-0005-0000-0000-0000B45E0000}"/>
    <cellStyle name="Remarque 2 4 2 2 2 2 8" xfId="12884" xr:uid="{00000000-0005-0000-0000-0000B55E0000}"/>
    <cellStyle name="Remarque 2 4 2 2 2 2 8 2" xfId="24196" xr:uid="{00000000-0005-0000-0000-0000B65E0000}"/>
    <cellStyle name="Remarque 2 4 2 2 2 2 8 3" xfId="48156" xr:uid="{00000000-0005-0000-0000-0000B75E0000}"/>
    <cellStyle name="Remarque 2 4 2 2 2 2 9" xfId="2005" xr:uid="{00000000-0005-0000-0000-0000B85E0000}"/>
    <cellStyle name="Remarque 2 4 2 2 2 2 9 2" xfId="26019" xr:uid="{00000000-0005-0000-0000-0000B95E0000}"/>
    <cellStyle name="Remarque 2 4 2 2 2 2 9 3" xfId="49979" xr:uid="{00000000-0005-0000-0000-0000BA5E0000}"/>
    <cellStyle name="Remarque 2 4 2 2 2 3" xfId="761" xr:uid="{00000000-0005-0000-0000-0000BB5E0000}"/>
    <cellStyle name="Remarque 2 4 2 2 2 3 10" xfId="24793" xr:uid="{00000000-0005-0000-0000-0000BC5E0000}"/>
    <cellStyle name="Remarque 2 4 2 2 2 3 10 2" xfId="48753" xr:uid="{00000000-0005-0000-0000-0000BD5E0000}"/>
    <cellStyle name="Remarque 2 4 2 2 2 3 11" xfId="36532" xr:uid="{00000000-0005-0000-0000-0000BE5E0000}"/>
    <cellStyle name="Remarque 2 4 2 2 2 3 11 2" xfId="60492" xr:uid="{00000000-0005-0000-0000-0000BF5E0000}"/>
    <cellStyle name="Remarque 2 4 2 2 2 3 12" xfId="13458" xr:uid="{00000000-0005-0000-0000-0000C05E0000}"/>
    <cellStyle name="Remarque 2 4 2 2 2 3 13" xfId="37418" xr:uid="{00000000-0005-0000-0000-0000C15E0000}"/>
    <cellStyle name="Remarque 2 4 2 2 2 3 2" xfId="3667" xr:uid="{00000000-0005-0000-0000-0000C25E0000}"/>
    <cellStyle name="Remarque 2 4 2 2 2 3 2 2" xfId="27681" xr:uid="{00000000-0005-0000-0000-0000C35E0000}"/>
    <cellStyle name="Remarque 2 4 2 2 2 3 2 2 2" xfId="51641" xr:uid="{00000000-0005-0000-0000-0000C45E0000}"/>
    <cellStyle name="Remarque 2 4 2 2 2 3 2 3" xfId="14928" xr:uid="{00000000-0005-0000-0000-0000C55E0000}"/>
    <cellStyle name="Remarque 2 4 2 2 2 3 2 4" xfId="38888" xr:uid="{00000000-0005-0000-0000-0000C65E0000}"/>
    <cellStyle name="Remarque 2 4 2 2 2 3 3" xfId="5101" xr:uid="{00000000-0005-0000-0000-0000C75E0000}"/>
    <cellStyle name="Remarque 2 4 2 2 2 3 3 2" xfId="29115" xr:uid="{00000000-0005-0000-0000-0000C85E0000}"/>
    <cellStyle name="Remarque 2 4 2 2 2 3 3 2 2" xfId="53075" xr:uid="{00000000-0005-0000-0000-0000C95E0000}"/>
    <cellStyle name="Remarque 2 4 2 2 2 3 3 3" xfId="16362" xr:uid="{00000000-0005-0000-0000-0000CA5E0000}"/>
    <cellStyle name="Remarque 2 4 2 2 2 3 3 4" xfId="40322" xr:uid="{00000000-0005-0000-0000-0000CB5E0000}"/>
    <cellStyle name="Remarque 2 4 2 2 2 3 4" xfId="6495" xr:uid="{00000000-0005-0000-0000-0000CC5E0000}"/>
    <cellStyle name="Remarque 2 4 2 2 2 3 4 2" xfId="30509" xr:uid="{00000000-0005-0000-0000-0000CD5E0000}"/>
    <cellStyle name="Remarque 2 4 2 2 2 3 4 2 2" xfId="54469" xr:uid="{00000000-0005-0000-0000-0000CE5E0000}"/>
    <cellStyle name="Remarque 2 4 2 2 2 3 4 3" xfId="17756" xr:uid="{00000000-0005-0000-0000-0000CF5E0000}"/>
    <cellStyle name="Remarque 2 4 2 2 2 3 4 4" xfId="41716" xr:uid="{00000000-0005-0000-0000-0000D05E0000}"/>
    <cellStyle name="Remarque 2 4 2 2 2 3 5" xfId="7883" xr:uid="{00000000-0005-0000-0000-0000D15E0000}"/>
    <cellStyle name="Remarque 2 4 2 2 2 3 5 2" xfId="31897" xr:uid="{00000000-0005-0000-0000-0000D25E0000}"/>
    <cellStyle name="Remarque 2 4 2 2 2 3 5 2 2" xfId="55857" xr:uid="{00000000-0005-0000-0000-0000D35E0000}"/>
    <cellStyle name="Remarque 2 4 2 2 2 3 5 3" xfId="19144" xr:uid="{00000000-0005-0000-0000-0000D45E0000}"/>
    <cellStyle name="Remarque 2 4 2 2 2 3 5 4" xfId="43104" xr:uid="{00000000-0005-0000-0000-0000D55E0000}"/>
    <cellStyle name="Remarque 2 4 2 2 2 3 6" xfId="9268" xr:uid="{00000000-0005-0000-0000-0000D65E0000}"/>
    <cellStyle name="Remarque 2 4 2 2 2 3 6 2" xfId="33282" xr:uid="{00000000-0005-0000-0000-0000D75E0000}"/>
    <cellStyle name="Remarque 2 4 2 2 2 3 6 2 2" xfId="57242" xr:uid="{00000000-0005-0000-0000-0000D85E0000}"/>
    <cellStyle name="Remarque 2 4 2 2 2 3 6 3" xfId="20529" xr:uid="{00000000-0005-0000-0000-0000D95E0000}"/>
    <cellStyle name="Remarque 2 4 2 2 2 3 6 4" xfId="44489" xr:uid="{00000000-0005-0000-0000-0000DA5E0000}"/>
    <cellStyle name="Remarque 2 4 2 2 2 3 7" xfId="10725" xr:uid="{00000000-0005-0000-0000-0000DB5E0000}"/>
    <cellStyle name="Remarque 2 4 2 2 2 3 7 2" xfId="34735" xr:uid="{00000000-0005-0000-0000-0000DC5E0000}"/>
    <cellStyle name="Remarque 2 4 2 2 2 3 7 2 2" xfId="58695" xr:uid="{00000000-0005-0000-0000-0000DD5E0000}"/>
    <cellStyle name="Remarque 2 4 2 2 2 3 7 3" xfId="21992" xr:uid="{00000000-0005-0000-0000-0000DE5E0000}"/>
    <cellStyle name="Remarque 2 4 2 2 2 3 7 4" xfId="45952" xr:uid="{00000000-0005-0000-0000-0000DF5E0000}"/>
    <cellStyle name="Remarque 2 4 2 2 2 3 8" xfId="12329" xr:uid="{00000000-0005-0000-0000-0000E05E0000}"/>
    <cellStyle name="Remarque 2 4 2 2 2 3 8 2" xfId="23617" xr:uid="{00000000-0005-0000-0000-0000E15E0000}"/>
    <cellStyle name="Remarque 2 4 2 2 2 3 8 3" xfId="47577" xr:uid="{00000000-0005-0000-0000-0000E25E0000}"/>
    <cellStyle name="Remarque 2 4 2 2 2 3 9" xfId="2197" xr:uid="{00000000-0005-0000-0000-0000E35E0000}"/>
    <cellStyle name="Remarque 2 4 2 2 2 3 9 2" xfId="26211" xr:uid="{00000000-0005-0000-0000-0000E45E0000}"/>
    <cellStyle name="Remarque 2 4 2 2 2 3 9 3" xfId="50171" xr:uid="{00000000-0005-0000-0000-0000E55E0000}"/>
    <cellStyle name="Remarque 2 4 2 2 2 4" xfId="955" xr:uid="{00000000-0005-0000-0000-0000E65E0000}"/>
    <cellStyle name="Remarque 2 4 2 2 2 4 10" xfId="24987" xr:uid="{00000000-0005-0000-0000-0000E75E0000}"/>
    <cellStyle name="Remarque 2 4 2 2 2 4 10 2" xfId="48947" xr:uid="{00000000-0005-0000-0000-0000E85E0000}"/>
    <cellStyle name="Remarque 2 4 2 2 2 4 11" xfId="36688" xr:uid="{00000000-0005-0000-0000-0000E95E0000}"/>
    <cellStyle name="Remarque 2 4 2 2 2 4 11 2" xfId="60648" xr:uid="{00000000-0005-0000-0000-0000EA5E0000}"/>
    <cellStyle name="Remarque 2 4 2 2 2 4 12" xfId="13652" xr:uid="{00000000-0005-0000-0000-0000EB5E0000}"/>
    <cellStyle name="Remarque 2 4 2 2 2 4 13" xfId="37612" xr:uid="{00000000-0005-0000-0000-0000EC5E0000}"/>
    <cellStyle name="Remarque 2 4 2 2 2 4 2" xfId="3861" xr:uid="{00000000-0005-0000-0000-0000ED5E0000}"/>
    <cellStyle name="Remarque 2 4 2 2 2 4 2 2" xfId="27875" xr:uid="{00000000-0005-0000-0000-0000EE5E0000}"/>
    <cellStyle name="Remarque 2 4 2 2 2 4 2 2 2" xfId="51835" xr:uid="{00000000-0005-0000-0000-0000EF5E0000}"/>
    <cellStyle name="Remarque 2 4 2 2 2 4 2 3" xfId="15122" xr:uid="{00000000-0005-0000-0000-0000F05E0000}"/>
    <cellStyle name="Remarque 2 4 2 2 2 4 2 4" xfId="39082" xr:uid="{00000000-0005-0000-0000-0000F15E0000}"/>
    <cellStyle name="Remarque 2 4 2 2 2 4 3" xfId="5295" xr:uid="{00000000-0005-0000-0000-0000F25E0000}"/>
    <cellStyle name="Remarque 2 4 2 2 2 4 3 2" xfId="29309" xr:uid="{00000000-0005-0000-0000-0000F35E0000}"/>
    <cellStyle name="Remarque 2 4 2 2 2 4 3 2 2" xfId="53269" xr:uid="{00000000-0005-0000-0000-0000F45E0000}"/>
    <cellStyle name="Remarque 2 4 2 2 2 4 3 3" xfId="16556" xr:uid="{00000000-0005-0000-0000-0000F55E0000}"/>
    <cellStyle name="Remarque 2 4 2 2 2 4 3 4" xfId="40516" xr:uid="{00000000-0005-0000-0000-0000F65E0000}"/>
    <cellStyle name="Remarque 2 4 2 2 2 4 4" xfId="6689" xr:uid="{00000000-0005-0000-0000-0000F75E0000}"/>
    <cellStyle name="Remarque 2 4 2 2 2 4 4 2" xfId="30703" xr:uid="{00000000-0005-0000-0000-0000F85E0000}"/>
    <cellStyle name="Remarque 2 4 2 2 2 4 4 2 2" xfId="54663" xr:uid="{00000000-0005-0000-0000-0000F95E0000}"/>
    <cellStyle name="Remarque 2 4 2 2 2 4 4 3" xfId="17950" xr:uid="{00000000-0005-0000-0000-0000FA5E0000}"/>
    <cellStyle name="Remarque 2 4 2 2 2 4 4 4" xfId="41910" xr:uid="{00000000-0005-0000-0000-0000FB5E0000}"/>
    <cellStyle name="Remarque 2 4 2 2 2 4 5" xfId="8077" xr:uid="{00000000-0005-0000-0000-0000FC5E0000}"/>
    <cellStyle name="Remarque 2 4 2 2 2 4 5 2" xfId="32091" xr:uid="{00000000-0005-0000-0000-0000FD5E0000}"/>
    <cellStyle name="Remarque 2 4 2 2 2 4 5 2 2" xfId="56051" xr:uid="{00000000-0005-0000-0000-0000FE5E0000}"/>
    <cellStyle name="Remarque 2 4 2 2 2 4 5 3" xfId="19338" xr:uid="{00000000-0005-0000-0000-0000FF5E0000}"/>
    <cellStyle name="Remarque 2 4 2 2 2 4 5 4" xfId="43298" xr:uid="{00000000-0005-0000-0000-0000005F0000}"/>
    <cellStyle name="Remarque 2 4 2 2 2 4 6" xfId="9462" xr:uid="{00000000-0005-0000-0000-0000015F0000}"/>
    <cellStyle name="Remarque 2 4 2 2 2 4 6 2" xfId="33476" xr:uid="{00000000-0005-0000-0000-0000025F0000}"/>
    <cellStyle name="Remarque 2 4 2 2 2 4 6 2 2" xfId="57436" xr:uid="{00000000-0005-0000-0000-0000035F0000}"/>
    <cellStyle name="Remarque 2 4 2 2 2 4 6 3" xfId="20723" xr:uid="{00000000-0005-0000-0000-0000045F0000}"/>
    <cellStyle name="Remarque 2 4 2 2 2 4 6 4" xfId="44683" xr:uid="{00000000-0005-0000-0000-0000055F0000}"/>
    <cellStyle name="Remarque 2 4 2 2 2 4 7" xfId="10919" xr:uid="{00000000-0005-0000-0000-0000065F0000}"/>
    <cellStyle name="Remarque 2 4 2 2 2 4 7 2" xfId="34929" xr:uid="{00000000-0005-0000-0000-0000075F0000}"/>
    <cellStyle name="Remarque 2 4 2 2 2 4 7 2 2" xfId="58889" xr:uid="{00000000-0005-0000-0000-0000085F0000}"/>
    <cellStyle name="Remarque 2 4 2 2 2 4 7 3" xfId="22186" xr:uid="{00000000-0005-0000-0000-0000095F0000}"/>
    <cellStyle name="Remarque 2 4 2 2 2 4 7 4" xfId="46146" xr:uid="{00000000-0005-0000-0000-00000A5F0000}"/>
    <cellStyle name="Remarque 2 4 2 2 2 4 8" xfId="12253" xr:uid="{00000000-0005-0000-0000-00000B5F0000}"/>
    <cellStyle name="Remarque 2 4 2 2 2 4 8 2" xfId="23538" xr:uid="{00000000-0005-0000-0000-00000C5F0000}"/>
    <cellStyle name="Remarque 2 4 2 2 2 4 8 3" xfId="47498" xr:uid="{00000000-0005-0000-0000-00000D5F0000}"/>
    <cellStyle name="Remarque 2 4 2 2 2 4 9" xfId="2391" xr:uid="{00000000-0005-0000-0000-00000E5F0000}"/>
    <cellStyle name="Remarque 2 4 2 2 2 4 9 2" xfId="26405" xr:uid="{00000000-0005-0000-0000-00000F5F0000}"/>
    <cellStyle name="Remarque 2 4 2 2 2 4 9 3" xfId="50365" xr:uid="{00000000-0005-0000-0000-0000105F0000}"/>
    <cellStyle name="Remarque 2 4 2 2 2 5" xfId="1148" xr:uid="{00000000-0005-0000-0000-0000115F0000}"/>
    <cellStyle name="Remarque 2 4 2 2 2 5 10" xfId="25180" xr:uid="{00000000-0005-0000-0000-0000125F0000}"/>
    <cellStyle name="Remarque 2 4 2 2 2 5 10 2" xfId="49140" xr:uid="{00000000-0005-0000-0000-0000135F0000}"/>
    <cellStyle name="Remarque 2 4 2 2 2 5 11" xfId="35871" xr:uid="{00000000-0005-0000-0000-0000145F0000}"/>
    <cellStyle name="Remarque 2 4 2 2 2 5 11 2" xfId="59831" xr:uid="{00000000-0005-0000-0000-0000155F0000}"/>
    <cellStyle name="Remarque 2 4 2 2 2 5 12" xfId="13845" xr:uid="{00000000-0005-0000-0000-0000165F0000}"/>
    <cellStyle name="Remarque 2 4 2 2 2 5 13" xfId="37805" xr:uid="{00000000-0005-0000-0000-0000175F0000}"/>
    <cellStyle name="Remarque 2 4 2 2 2 5 2" xfId="4054" xr:uid="{00000000-0005-0000-0000-0000185F0000}"/>
    <cellStyle name="Remarque 2 4 2 2 2 5 2 2" xfId="28068" xr:uid="{00000000-0005-0000-0000-0000195F0000}"/>
    <cellStyle name="Remarque 2 4 2 2 2 5 2 2 2" xfId="52028" xr:uid="{00000000-0005-0000-0000-00001A5F0000}"/>
    <cellStyle name="Remarque 2 4 2 2 2 5 2 3" xfId="15315" xr:uid="{00000000-0005-0000-0000-00001B5F0000}"/>
    <cellStyle name="Remarque 2 4 2 2 2 5 2 4" xfId="39275" xr:uid="{00000000-0005-0000-0000-00001C5F0000}"/>
    <cellStyle name="Remarque 2 4 2 2 2 5 3" xfId="5488" xr:uid="{00000000-0005-0000-0000-00001D5F0000}"/>
    <cellStyle name="Remarque 2 4 2 2 2 5 3 2" xfId="29502" xr:uid="{00000000-0005-0000-0000-00001E5F0000}"/>
    <cellStyle name="Remarque 2 4 2 2 2 5 3 2 2" xfId="53462" xr:uid="{00000000-0005-0000-0000-00001F5F0000}"/>
    <cellStyle name="Remarque 2 4 2 2 2 5 3 3" xfId="16749" xr:uid="{00000000-0005-0000-0000-0000205F0000}"/>
    <cellStyle name="Remarque 2 4 2 2 2 5 3 4" xfId="40709" xr:uid="{00000000-0005-0000-0000-0000215F0000}"/>
    <cellStyle name="Remarque 2 4 2 2 2 5 4" xfId="6882" xr:uid="{00000000-0005-0000-0000-0000225F0000}"/>
    <cellStyle name="Remarque 2 4 2 2 2 5 4 2" xfId="30896" xr:uid="{00000000-0005-0000-0000-0000235F0000}"/>
    <cellStyle name="Remarque 2 4 2 2 2 5 4 2 2" xfId="54856" xr:uid="{00000000-0005-0000-0000-0000245F0000}"/>
    <cellStyle name="Remarque 2 4 2 2 2 5 4 3" xfId="18143" xr:uid="{00000000-0005-0000-0000-0000255F0000}"/>
    <cellStyle name="Remarque 2 4 2 2 2 5 4 4" xfId="42103" xr:uid="{00000000-0005-0000-0000-0000265F0000}"/>
    <cellStyle name="Remarque 2 4 2 2 2 5 5" xfId="8270" xr:uid="{00000000-0005-0000-0000-0000275F0000}"/>
    <cellStyle name="Remarque 2 4 2 2 2 5 5 2" xfId="32284" xr:uid="{00000000-0005-0000-0000-0000285F0000}"/>
    <cellStyle name="Remarque 2 4 2 2 2 5 5 2 2" xfId="56244" xr:uid="{00000000-0005-0000-0000-0000295F0000}"/>
    <cellStyle name="Remarque 2 4 2 2 2 5 5 3" xfId="19531" xr:uid="{00000000-0005-0000-0000-00002A5F0000}"/>
    <cellStyle name="Remarque 2 4 2 2 2 5 5 4" xfId="43491" xr:uid="{00000000-0005-0000-0000-00002B5F0000}"/>
    <cellStyle name="Remarque 2 4 2 2 2 5 6" xfId="9655" xr:uid="{00000000-0005-0000-0000-00002C5F0000}"/>
    <cellStyle name="Remarque 2 4 2 2 2 5 6 2" xfId="33669" xr:uid="{00000000-0005-0000-0000-00002D5F0000}"/>
    <cellStyle name="Remarque 2 4 2 2 2 5 6 2 2" xfId="57629" xr:uid="{00000000-0005-0000-0000-00002E5F0000}"/>
    <cellStyle name="Remarque 2 4 2 2 2 5 6 3" xfId="20916" xr:uid="{00000000-0005-0000-0000-00002F5F0000}"/>
    <cellStyle name="Remarque 2 4 2 2 2 5 6 4" xfId="44876" xr:uid="{00000000-0005-0000-0000-0000305F0000}"/>
    <cellStyle name="Remarque 2 4 2 2 2 5 7" xfId="11112" xr:uid="{00000000-0005-0000-0000-0000315F0000}"/>
    <cellStyle name="Remarque 2 4 2 2 2 5 7 2" xfId="35122" xr:uid="{00000000-0005-0000-0000-0000325F0000}"/>
    <cellStyle name="Remarque 2 4 2 2 2 5 7 2 2" xfId="59082" xr:uid="{00000000-0005-0000-0000-0000335F0000}"/>
    <cellStyle name="Remarque 2 4 2 2 2 5 7 3" xfId="22379" xr:uid="{00000000-0005-0000-0000-0000345F0000}"/>
    <cellStyle name="Remarque 2 4 2 2 2 5 7 4" xfId="46339" xr:uid="{00000000-0005-0000-0000-0000355F0000}"/>
    <cellStyle name="Remarque 2 4 2 2 2 5 8" xfId="12815" xr:uid="{00000000-0005-0000-0000-0000365F0000}"/>
    <cellStyle name="Remarque 2 4 2 2 2 5 8 2" xfId="24126" xr:uid="{00000000-0005-0000-0000-0000375F0000}"/>
    <cellStyle name="Remarque 2 4 2 2 2 5 8 3" xfId="48086" xr:uid="{00000000-0005-0000-0000-0000385F0000}"/>
    <cellStyle name="Remarque 2 4 2 2 2 5 9" xfId="2584" xr:uid="{00000000-0005-0000-0000-0000395F0000}"/>
    <cellStyle name="Remarque 2 4 2 2 2 5 9 2" xfId="26598" xr:uid="{00000000-0005-0000-0000-00003A5F0000}"/>
    <cellStyle name="Remarque 2 4 2 2 2 5 9 3" xfId="50558" xr:uid="{00000000-0005-0000-0000-00003B5F0000}"/>
    <cellStyle name="Remarque 2 4 2 2 2 6" xfId="1315" xr:uid="{00000000-0005-0000-0000-00003C5F0000}"/>
    <cellStyle name="Remarque 2 4 2 2 2 6 10" xfId="25347" xr:uid="{00000000-0005-0000-0000-00003D5F0000}"/>
    <cellStyle name="Remarque 2 4 2 2 2 6 10 2" xfId="49307" xr:uid="{00000000-0005-0000-0000-00003E5F0000}"/>
    <cellStyle name="Remarque 2 4 2 2 2 6 11" xfId="36685" xr:uid="{00000000-0005-0000-0000-00003F5F0000}"/>
    <cellStyle name="Remarque 2 4 2 2 2 6 11 2" xfId="60645" xr:uid="{00000000-0005-0000-0000-0000405F0000}"/>
    <cellStyle name="Remarque 2 4 2 2 2 6 12" xfId="14012" xr:uid="{00000000-0005-0000-0000-0000415F0000}"/>
    <cellStyle name="Remarque 2 4 2 2 2 6 13" xfId="37972" xr:uid="{00000000-0005-0000-0000-0000425F0000}"/>
    <cellStyle name="Remarque 2 4 2 2 2 6 2" xfId="4221" xr:uid="{00000000-0005-0000-0000-0000435F0000}"/>
    <cellStyle name="Remarque 2 4 2 2 2 6 2 2" xfId="28235" xr:uid="{00000000-0005-0000-0000-0000445F0000}"/>
    <cellStyle name="Remarque 2 4 2 2 2 6 2 2 2" xfId="52195" xr:uid="{00000000-0005-0000-0000-0000455F0000}"/>
    <cellStyle name="Remarque 2 4 2 2 2 6 2 3" xfId="15482" xr:uid="{00000000-0005-0000-0000-0000465F0000}"/>
    <cellStyle name="Remarque 2 4 2 2 2 6 2 4" xfId="39442" xr:uid="{00000000-0005-0000-0000-0000475F0000}"/>
    <cellStyle name="Remarque 2 4 2 2 2 6 3" xfId="5655" xr:uid="{00000000-0005-0000-0000-0000485F0000}"/>
    <cellStyle name="Remarque 2 4 2 2 2 6 3 2" xfId="29669" xr:uid="{00000000-0005-0000-0000-0000495F0000}"/>
    <cellStyle name="Remarque 2 4 2 2 2 6 3 2 2" xfId="53629" xr:uid="{00000000-0005-0000-0000-00004A5F0000}"/>
    <cellStyle name="Remarque 2 4 2 2 2 6 3 3" xfId="16916" xr:uid="{00000000-0005-0000-0000-00004B5F0000}"/>
    <cellStyle name="Remarque 2 4 2 2 2 6 3 4" xfId="40876" xr:uid="{00000000-0005-0000-0000-00004C5F0000}"/>
    <cellStyle name="Remarque 2 4 2 2 2 6 4" xfId="7049" xr:uid="{00000000-0005-0000-0000-00004D5F0000}"/>
    <cellStyle name="Remarque 2 4 2 2 2 6 4 2" xfId="31063" xr:uid="{00000000-0005-0000-0000-00004E5F0000}"/>
    <cellStyle name="Remarque 2 4 2 2 2 6 4 2 2" xfId="55023" xr:uid="{00000000-0005-0000-0000-00004F5F0000}"/>
    <cellStyle name="Remarque 2 4 2 2 2 6 4 3" xfId="18310" xr:uid="{00000000-0005-0000-0000-0000505F0000}"/>
    <cellStyle name="Remarque 2 4 2 2 2 6 4 4" xfId="42270" xr:uid="{00000000-0005-0000-0000-0000515F0000}"/>
    <cellStyle name="Remarque 2 4 2 2 2 6 5" xfId="8437" xr:uid="{00000000-0005-0000-0000-0000525F0000}"/>
    <cellStyle name="Remarque 2 4 2 2 2 6 5 2" xfId="32451" xr:uid="{00000000-0005-0000-0000-0000535F0000}"/>
    <cellStyle name="Remarque 2 4 2 2 2 6 5 2 2" xfId="56411" xr:uid="{00000000-0005-0000-0000-0000545F0000}"/>
    <cellStyle name="Remarque 2 4 2 2 2 6 5 3" xfId="19698" xr:uid="{00000000-0005-0000-0000-0000555F0000}"/>
    <cellStyle name="Remarque 2 4 2 2 2 6 5 4" xfId="43658" xr:uid="{00000000-0005-0000-0000-0000565F0000}"/>
    <cellStyle name="Remarque 2 4 2 2 2 6 6" xfId="9822" xr:uid="{00000000-0005-0000-0000-0000575F0000}"/>
    <cellStyle name="Remarque 2 4 2 2 2 6 6 2" xfId="33836" xr:uid="{00000000-0005-0000-0000-0000585F0000}"/>
    <cellStyle name="Remarque 2 4 2 2 2 6 6 2 2" xfId="57796" xr:uid="{00000000-0005-0000-0000-0000595F0000}"/>
    <cellStyle name="Remarque 2 4 2 2 2 6 6 3" xfId="21083" xr:uid="{00000000-0005-0000-0000-00005A5F0000}"/>
    <cellStyle name="Remarque 2 4 2 2 2 6 6 4" xfId="45043" xr:uid="{00000000-0005-0000-0000-00005B5F0000}"/>
    <cellStyle name="Remarque 2 4 2 2 2 6 7" xfId="11279" xr:uid="{00000000-0005-0000-0000-00005C5F0000}"/>
    <cellStyle name="Remarque 2 4 2 2 2 6 7 2" xfId="35289" xr:uid="{00000000-0005-0000-0000-00005D5F0000}"/>
    <cellStyle name="Remarque 2 4 2 2 2 6 7 2 2" xfId="59249" xr:uid="{00000000-0005-0000-0000-00005E5F0000}"/>
    <cellStyle name="Remarque 2 4 2 2 2 6 7 3" xfId="22546" xr:uid="{00000000-0005-0000-0000-00005F5F0000}"/>
    <cellStyle name="Remarque 2 4 2 2 2 6 7 4" xfId="46506" xr:uid="{00000000-0005-0000-0000-0000605F0000}"/>
    <cellStyle name="Remarque 2 4 2 2 2 6 8" xfId="12793" xr:uid="{00000000-0005-0000-0000-0000615F0000}"/>
    <cellStyle name="Remarque 2 4 2 2 2 6 8 2" xfId="24103" xr:uid="{00000000-0005-0000-0000-0000625F0000}"/>
    <cellStyle name="Remarque 2 4 2 2 2 6 8 3" xfId="48063" xr:uid="{00000000-0005-0000-0000-0000635F0000}"/>
    <cellStyle name="Remarque 2 4 2 2 2 6 9" xfId="2751" xr:uid="{00000000-0005-0000-0000-0000645F0000}"/>
    <cellStyle name="Remarque 2 4 2 2 2 6 9 2" xfId="26765" xr:uid="{00000000-0005-0000-0000-0000655F0000}"/>
    <cellStyle name="Remarque 2 4 2 2 2 6 9 3" xfId="50725" xr:uid="{00000000-0005-0000-0000-0000665F0000}"/>
    <cellStyle name="Remarque 2 4 2 2 2 7" xfId="1484" xr:uid="{00000000-0005-0000-0000-0000675F0000}"/>
    <cellStyle name="Remarque 2 4 2 2 2 7 10" xfId="25516" xr:uid="{00000000-0005-0000-0000-0000685F0000}"/>
    <cellStyle name="Remarque 2 4 2 2 2 7 10 2" xfId="49476" xr:uid="{00000000-0005-0000-0000-0000695F0000}"/>
    <cellStyle name="Remarque 2 4 2 2 2 7 11" xfId="31378" xr:uid="{00000000-0005-0000-0000-00006A5F0000}"/>
    <cellStyle name="Remarque 2 4 2 2 2 7 11 2" xfId="55338" xr:uid="{00000000-0005-0000-0000-00006B5F0000}"/>
    <cellStyle name="Remarque 2 4 2 2 2 7 12" xfId="14181" xr:uid="{00000000-0005-0000-0000-00006C5F0000}"/>
    <cellStyle name="Remarque 2 4 2 2 2 7 13" xfId="38141" xr:uid="{00000000-0005-0000-0000-00006D5F0000}"/>
    <cellStyle name="Remarque 2 4 2 2 2 7 2" xfId="4390" xr:uid="{00000000-0005-0000-0000-00006E5F0000}"/>
    <cellStyle name="Remarque 2 4 2 2 2 7 2 2" xfId="28404" xr:uid="{00000000-0005-0000-0000-00006F5F0000}"/>
    <cellStyle name="Remarque 2 4 2 2 2 7 2 2 2" xfId="52364" xr:uid="{00000000-0005-0000-0000-0000705F0000}"/>
    <cellStyle name="Remarque 2 4 2 2 2 7 2 3" xfId="15651" xr:uid="{00000000-0005-0000-0000-0000715F0000}"/>
    <cellStyle name="Remarque 2 4 2 2 2 7 2 4" xfId="39611" xr:uid="{00000000-0005-0000-0000-0000725F0000}"/>
    <cellStyle name="Remarque 2 4 2 2 2 7 3" xfId="5824" xr:uid="{00000000-0005-0000-0000-0000735F0000}"/>
    <cellStyle name="Remarque 2 4 2 2 2 7 3 2" xfId="29838" xr:uid="{00000000-0005-0000-0000-0000745F0000}"/>
    <cellStyle name="Remarque 2 4 2 2 2 7 3 2 2" xfId="53798" xr:uid="{00000000-0005-0000-0000-0000755F0000}"/>
    <cellStyle name="Remarque 2 4 2 2 2 7 3 3" xfId="17085" xr:uid="{00000000-0005-0000-0000-0000765F0000}"/>
    <cellStyle name="Remarque 2 4 2 2 2 7 3 4" xfId="41045" xr:uid="{00000000-0005-0000-0000-0000775F0000}"/>
    <cellStyle name="Remarque 2 4 2 2 2 7 4" xfId="7218" xr:uid="{00000000-0005-0000-0000-0000785F0000}"/>
    <cellStyle name="Remarque 2 4 2 2 2 7 4 2" xfId="31232" xr:uid="{00000000-0005-0000-0000-0000795F0000}"/>
    <cellStyle name="Remarque 2 4 2 2 2 7 4 2 2" xfId="55192" xr:uid="{00000000-0005-0000-0000-00007A5F0000}"/>
    <cellStyle name="Remarque 2 4 2 2 2 7 4 3" xfId="18479" xr:uid="{00000000-0005-0000-0000-00007B5F0000}"/>
    <cellStyle name="Remarque 2 4 2 2 2 7 4 4" xfId="42439" xr:uid="{00000000-0005-0000-0000-00007C5F0000}"/>
    <cellStyle name="Remarque 2 4 2 2 2 7 5" xfId="8606" xr:uid="{00000000-0005-0000-0000-00007D5F0000}"/>
    <cellStyle name="Remarque 2 4 2 2 2 7 5 2" xfId="32620" xr:uid="{00000000-0005-0000-0000-00007E5F0000}"/>
    <cellStyle name="Remarque 2 4 2 2 2 7 5 2 2" xfId="56580" xr:uid="{00000000-0005-0000-0000-00007F5F0000}"/>
    <cellStyle name="Remarque 2 4 2 2 2 7 5 3" xfId="19867" xr:uid="{00000000-0005-0000-0000-0000805F0000}"/>
    <cellStyle name="Remarque 2 4 2 2 2 7 5 4" xfId="43827" xr:uid="{00000000-0005-0000-0000-0000815F0000}"/>
    <cellStyle name="Remarque 2 4 2 2 2 7 6" xfId="9991" xr:uid="{00000000-0005-0000-0000-0000825F0000}"/>
    <cellStyle name="Remarque 2 4 2 2 2 7 6 2" xfId="34005" xr:uid="{00000000-0005-0000-0000-0000835F0000}"/>
    <cellStyle name="Remarque 2 4 2 2 2 7 6 2 2" xfId="57965" xr:uid="{00000000-0005-0000-0000-0000845F0000}"/>
    <cellStyle name="Remarque 2 4 2 2 2 7 6 3" xfId="21252" xr:uid="{00000000-0005-0000-0000-0000855F0000}"/>
    <cellStyle name="Remarque 2 4 2 2 2 7 6 4" xfId="45212" xr:uid="{00000000-0005-0000-0000-0000865F0000}"/>
    <cellStyle name="Remarque 2 4 2 2 2 7 7" xfId="11448" xr:uid="{00000000-0005-0000-0000-0000875F0000}"/>
    <cellStyle name="Remarque 2 4 2 2 2 7 7 2" xfId="35458" xr:uid="{00000000-0005-0000-0000-0000885F0000}"/>
    <cellStyle name="Remarque 2 4 2 2 2 7 7 2 2" xfId="59418" xr:uid="{00000000-0005-0000-0000-0000895F0000}"/>
    <cellStyle name="Remarque 2 4 2 2 2 7 7 3" xfId="22715" xr:uid="{00000000-0005-0000-0000-00008A5F0000}"/>
    <cellStyle name="Remarque 2 4 2 2 2 7 7 4" xfId="46675" xr:uid="{00000000-0005-0000-0000-00008B5F0000}"/>
    <cellStyle name="Remarque 2 4 2 2 2 7 8" xfId="12786" xr:uid="{00000000-0005-0000-0000-00008C5F0000}"/>
    <cellStyle name="Remarque 2 4 2 2 2 7 8 2" xfId="24095" xr:uid="{00000000-0005-0000-0000-00008D5F0000}"/>
    <cellStyle name="Remarque 2 4 2 2 2 7 8 3" xfId="48055" xr:uid="{00000000-0005-0000-0000-00008E5F0000}"/>
    <cellStyle name="Remarque 2 4 2 2 2 7 9" xfId="2920" xr:uid="{00000000-0005-0000-0000-00008F5F0000}"/>
    <cellStyle name="Remarque 2 4 2 2 2 7 9 2" xfId="26934" xr:uid="{00000000-0005-0000-0000-0000905F0000}"/>
    <cellStyle name="Remarque 2 4 2 2 2 7 9 3" xfId="50894" xr:uid="{00000000-0005-0000-0000-0000915F0000}"/>
    <cellStyle name="Remarque 2 4 2 2 2 8" xfId="3339" xr:uid="{00000000-0005-0000-0000-0000925F0000}"/>
    <cellStyle name="Remarque 2 4 2 2 2 8 2" xfId="27353" xr:uid="{00000000-0005-0000-0000-0000935F0000}"/>
    <cellStyle name="Remarque 2 4 2 2 2 8 2 2" xfId="51313" xr:uid="{00000000-0005-0000-0000-0000945F0000}"/>
    <cellStyle name="Remarque 2 4 2 2 2 8 3" xfId="14600" xr:uid="{00000000-0005-0000-0000-0000955F0000}"/>
    <cellStyle name="Remarque 2 4 2 2 2 8 4" xfId="38560" xr:uid="{00000000-0005-0000-0000-0000965F0000}"/>
    <cellStyle name="Remarque 2 4 2 2 2 9" xfId="4773" xr:uid="{00000000-0005-0000-0000-0000975F0000}"/>
    <cellStyle name="Remarque 2 4 2 2 2 9 2" xfId="28787" xr:uid="{00000000-0005-0000-0000-0000985F0000}"/>
    <cellStyle name="Remarque 2 4 2 2 2 9 2 2" xfId="52747" xr:uid="{00000000-0005-0000-0000-0000995F0000}"/>
    <cellStyle name="Remarque 2 4 2 2 2 9 3" xfId="16034" xr:uid="{00000000-0005-0000-0000-00009A5F0000}"/>
    <cellStyle name="Remarque 2 4 2 2 2 9 4" xfId="39994" xr:uid="{00000000-0005-0000-0000-00009B5F0000}"/>
    <cellStyle name="Remarque 2 4 2 2 20" xfId="12955" xr:uid="{00000000-0005-0000-0000-00009C5F0000}"/>
    <cellStyle name="Remarque 2 4 2 2 21" xfId="36915" xr:uid="{00000000-0005-0000-0000-00009D5F0000}"/>
    <cellStyle name="Remarque 2 4 2 2 22" xfId="258" xr:uid="{00000000-0005-0000-0000-00009E5F0000}"/>
    <cellStyle name="Remarque 2 4 2 2 3" xfId="357" xr:uid="{00000000-0005-0000-0000-00009F5F0000}"/>
    <cellStyle name="Remarque 2 4 2 2 3 10" xfId="24389" xr:uid="{00000000-0005-0000-0000-0000A05F0000}"/>
    <cellStyle name="Remarque 2 4 2 2 3 10 2" xfId="48349" xr:uid="{00000000-0005-0000-0000-0000A15F0000}"/>
    <cellStyle name="Remarque 2 4 2 2 3 11" xfId="35615" xr:uid="{00000000-0005-0000-0000-0000A25F0000}"/>
    <cellStyle name="Remarque 2 4 2 2 3 11 2" xfId="59575" xr:uid="{00000000-0005-0000-0000-0000A35F0000}"/>
    <cellStyle name="Remarque 2 4 2 2 3 12" xfId="13054" xr:uid="{00000000-0005-0000-0000-0000A45F0000}"/>
    <cellStyle name="Remarque 2 4 2 2 3 13" xfId="37014" xr:uid="{00000000-0005-0000-0000-0000A55F0000}"/>
    <cellStyle name="Remarque 2 4 2 2 3 2" xfId="3263" xr:uid="{00000000-0005-0000-0000-0000A65F0000}"/>
    <cellStyle name="Remarque 2 4 2 2 3 2 2" xfId="27277" xr:uid="{00000000-0005-0000-0000-0000A75F0000}"/>
    <cellStyle name="Remarque 2 4 2 2 3 2 2 2" xfId="51237" xr:uid="{00000000-0005-0000-0000-0000A85F0000}"/>
    <cellStyle name="Remarque 2 4 2 2 3 2 3" xfId="14524" xr:uid="{00000000-0005-0000-0000-0000A95F0000}"/>
    <cellStyle name="Remarque 2 4 2 2 3 2 4" xfId="38484" xr:uid="{00000000-0005-0000-0000-0000AA5F0000}"/>
    <cellStyle name="Remarque 2 4 2 2 3 3" xfId="4697" xr:uid="{00000000-0005-0000-0000-0000AB5F0000}"/>
    <cellStyle name="Remarque 2 4 2 2 3 3 2" xfId="28711" xr:uid="{00000000-0005-0000-0000-0000AC5F0000}"/>
    <cellStyle name="Remarque 2 4 2 2 3 3 2 2" xfId="52671" xr:uid="{00000000-0005-0000-0000-0000AD5F0000}"/>
    <cellStyle name="Remarque 2 4 2 2 3 3 3" xfId="15958" xr:uid="{00000000-0005-0000-0000-0000AE5F0000}"/>
    <cellStyle name="Remarque 2 4 2 2 3 3 4" xfId="39918" xr:uid="{00000000-0005-0000-0000-0000AF5F0000}"/>
    <cellStyle name="Remarque 2 4 2 2 3 4" xfId="6091" xr:uid="{00000000-0005-0000-0000-0000B05F0000}"/>
    <cellStyle name="Remarque 2 4 2 2 3 4 2" xfId="30105" xr:uid="{00000000-0005-0000-0000-0000B15F0000}"/>
    <cellStyle name="Remarque 2 4 2 2 3 4 2 2" xfId="54065" xr:uid="{00000000-0005-0000-0000-0000B25F0000}"/>
    <cellStyle name="Remarque 2 4 2 2 3 4 3" xfId="17352" xr:uid="{00000000-0005-0000-0000-0000B35F0000}"/>
    <cellStyle name="Remarque 2 4 2 2 3 4 4" xfId="41312" xr:uid="{00000000-0005-0000-0000-0000B45F0000}"/>
    <cellStyle name="Remarque 2 4 2 2 3 5" xfId="7479" xr:uid="{00000000-0005-0000-0000-0000B55F0000}"/>
    <cellStyle name="Remarque 2 4 2 2 3 5 2" xfId="31493" xr:uid="{00000000-0005-0000-0000-0000B65F0000}"/>
    <cellStyle name="Remarque 2 4 2 2 3 5 2 2" xfId="55453" xr:uid="{00000000-0005-0000-0000-0000B75F0000}"/>
    <cellStyle name="Remarque 2 4 2 2 3 5 3" xfId="18740" xr:uid="{00000000-0005-0000-0000-0000B85F0000}"/>
    <cellStyle name="Remarque 2 4 2 2 3 5 4" xfId="42700" xr:uid="{00000000-0005-0000-0000-0000B95F0000}"/>
    <cellStyle name="Remarque 2 4 2 2 3 6" xfId="8864" xr:uid="{00000000-0005-0000-0000-0000BA5F0000}"/>
    <cellStyle name="Remarque 2 4 2 2 3 6 2" xfId="32878" xr:uid="{00000000-0005-0000-0000-0000BB5F0000}"/>
    <cellStyle name="Remarque 2 4 2 2 3 6 2 2" xfId="56838" xr:uid="{00000000-0005-0000-0000-0000BC5F0000}"/>
    <cellStyle name="Remarque 2 4 2 2 3 6 3" xfId="20125" xr:uid="{00000000-0005-0000-0000-0000BD5F0000}"/>
    <cellStyle name="Remarque 2 4 2 2 3 6 4" xfId="44085" xr:uid="{00000000-0005-0000-0000-0000BE5F0000}"/>
    <cellStyle name="Remarque 2 4 2 2 3 7" xfId="10321" xr:uid="{00000000-0005-0000-0000-0000BF5F0000}"/>
    <cellStyle name="Remarque 2 4 2 2 3 7 2" xfId="34331" xr:uid="{00000000-0005-0000-0000-0000C05F0000}"/>
    <cellStyle name="Remarque 2 4 2 2 3 7 2 2" xfId="58291" xr:uid="{00000000-0005-0000-0000-0000C15F0000}"/>
    <cellStyle name="Remarque 2 4 2 2 3 7 3" xfId="21588" xr:uid="{00000000-0005-0000-0000-0000C25F0000}"/>
    <cellStyle name="Remarque 2 4 2 2 3 7 4" xfId="45548" xr:uid="{00000000-0005-0000-0000-0000C35F0000}"/>
    <cellStyle name="Remarque 2 4 2 2 3 8" xfId="12279" xr:uid="{00000000-0005-0000-0000-0000C45F0000}"/>
    <cellStyle name="Remarque 2 4 2 2 3 8 2" xfId="23566" xr:uid="{00000000-0005-0000-0000-0000C55F0000}"/>
    <cellStyle name="Remarque 2 4 2 2 3 8 3" xfId="47526" xr:uid="{00000000-0005-0000-0000-0000C65F0000}"/>
    <cellStyle name="Remarque 2 4 2 2 3 9" xfId="1793" xr:uid="{00000000-0005-0000-0000-0000C75F0000}"/>
    <cellStyle name="Remarque 2 4 2 2 3 9 2" xfId="25807" xr:uid="{00000000-0005-0000-0000-0000C85F0000}"/>
    <cellStyle name="Remarque 2 4 2 2 3 9 3" xfId="49767" xr:uid="{00000000-0005-0000-0000-0000C95F0000}"/>
    <cellStyle name="Remarque 2 4 2 2 4" xfId="493" xr:uid="{00000000-0005-0000-0000-0000CA5F0000}"/>
    <cellStyle name="Remarque 2 4 2 2 4 10" xfId="24525" xr:uid="{00000000-0005-0000-0000-0000CB5F0000}"/>
    <cellStyle name="Remarque 2 4 2 2 4 10 2" xfId="48485" xr:uid="{00000000-0005-0000-0000-0000CC5F0000}"/>
    <cellStyle name="Remarque 2 4 2 2 4 11" xfId="36815" xr:uid="{00000000-0005-0000-0000-0000CD5F0000}"/>
    <cellStyle name="Remarque 2 4 2 2 4 11 2" xfId="60775" xr:uid="{00000000-0005-0000-0000-0000CE5F0000}"/>
    <cellStyle name="Remarque 2 4 2 2 4 12" xfId="13190" xr:uid="{00000000-0005-0000-0000-0000CF5F0000}"/>
    <cellStyle name="Remarque 2 4 2 2 4 13" xfId="37150" xr:uid="{00000000-0005-0000-0000-0000D05F0000}"/>
    <cellStyle name="Remarque 2 4 2 2 4 2" xfId="3399" xr:uid="{00000000-0005-0000-0000-0000D15F0000}"/>
    <cellStyle name="Remarque 2 4 2 2 4 2 2" xfId="27413" xr:uid="{00000000-0005-0000-0000-0000D25F0000}"/>
    <cellStyle name="Remarque 2 4 2 2 4 2 2 2" xfId="51373" xr:uid="{00000000-0005-0000-0000-0000D35F0000}"/>
    <cellStyle name="Remarque 2 4 2 2 4 2 3" xfId="14660" xr:uid="{00000000-0005-0000-0000-0000D45F0000}"/>
    <cellStyle name="Remarque 2 4 2 2 4 2 4" xfId="38620" xr:uid="{00000000-0005-0000-0000-0000D55F0000}"/>
    <cellStyle name="Remarque 2 4 2 2 4 3" xfId="4833" xr:uid="{00000000-0005-0000-0000-0000D65F0000}"/>
    <cellStyle name="Remarque 2 4 2 2 4 3 2" xfId="28847" xr:uid="{00000000-0005-0000-0000-0000D75F0000}"/>
    <cellStyle name="Remarque 2 4 2 2 4 3 2 2" xfId="52807" xr:uid="{00000000-0005-0000-0000-0000D85F0000}"/>
    <cellStyle name="Remarque 2 4 2 2 4 3 3" xfId="16094" xr:uid="{00000000-0005-0000-0000-0000D95F0000}"/>
    <cellStyle name="Remarque 2 4 2 2 4 3 4" xfId="40054" xr:uid="{00000000-0005-0000-0000-0000DA5F0000}"/>
    <cellStyle name="Remarque 2 4 2 2 4 4" xfId="6227" xr:uid="{00000000-0005-0000-0000-0000DB5F0000}"/>
    <cellStyle name="Remarque 2 4 2 2 4 4 2" xfId="30241" xr:uid="{00000000-0005-0000-0000-0000DC5F0000}"/>
    <cellStyle name="Remarque 2 4 2 2 4 4 2 2" xfId="54201" xr:uid="{00000000-0005-0000-0000-0000DD5F0000}"/>
    <cellStyle name="Remarque 2 4 2 2 4 4 3" xfId="17488" xr:uid="{00000000-0005-0000-0000-0000DE5F0000}"/>
    <cellStyle name="Remarque 2 4 2 2 4 4 4" xfId="41448" xr:uid="{00000000-0005-0000-0000-0000DF5F0000}"/>
    <cellStyle name="Remarque 2 4 2 2 4 5" xfId="7615" xr:uid="{00000000-0005-0000-0000-0000E05F0000}"/>
    <cellStyle name="Remarque 2 4 2 2 4 5 2" xfId="31629" xr:uid="{00000000-0005-0000-0000-0000E15F0000}"/>
    <cellStyle name="Remarque 2 4 2 2 4 5 2 2" xfId="55589" xr:uid="{00000000-0005-0000-0000-0000E25F0000}"/>
    <cellStyle name="Remarque 2 4 2 2 4 5 3" xfId="18876" xr:uid="{00000000-0005-0000-0000-0000E35F0000}"/>
    <cellStyle name="Remarque 2 4 2 2 4 5 4" xfId="42836" xr:uid="{00000000-0005-0000-0000-0000E45F0000}"/>
    <cellStyle name="Remarque 2 4 2 2 4 6" xfId="9000" xr:uid="{00000000-0005-0000-0000-0000E55F0000}"/>
    <cellStyle name="Remarque 2 4 2 2 4 6 2" xfId="33014" xr:uid="{00000000-0005-0000-0000-0000E65F0000}"/>
    <cellStyle name="Remarque 2 4 2 2 4 6 2 2" xfId="56974" xr:uid="{00000000-0005-0000-0000-0000E75F0000}"/>
    <cellStyle name="Remarque 2 4 2 2 4 6 3" xfId="20261" xr:uid="{00000000-0005-0000-0000-0000E85F0000}"/>
    <cellStyle name="Remarque 2 4 2 2 4 6 4" xfId="44221" xr:uid="{00000000-0005-0000-0000-0000E95F0000}"/>
    <cellStyle name="Remarque 2 4 2 2 4 7" xfId="10457" xr:uid="{00000000-0005-0000-0000-0000EA5F0000}"/>
    <cellStyle name="Remarque 2 4 2 2 4 7 2" xfId="34467" xr:uid="{00000000-0005-0000-0000-0000EB5F0000}"/>
    <cellStyle name="Remarque 2 4 2 2 4 7 2 2" xfId="58427" xr:uid="{00000000-0005-0000-0000-0000EC5F0000}"/>
    <cellStyle name="Remarque 2 4 2 2 4 7 3" xfId="21724" xr:uid="{00000000-0005-0000-0000-0000ED5F0000}"/>
    <cellStyle name="Remarque 2 4 2 2 4 7 4" xfId="45684" xr:uid="{00000000-0005-0000-0000-0000EE5F0000}"/>
    <cellStyle name="Remarque 2 4 2 2 4 8" xfId="11911" xr:uid="{00000000-0005-0000-0000-0000EF5F0000}"/>
    <cellStyle name="Remarque 2 4 2 2 4 8 2" xfId="23189" xr:uid="{00000000-0005-0000-0000-0000F05F0000}"/>
    <cellStyle name="Remarque 2 4 2 2 4 8 3" xfId="47149" xr:uid="{00000000-0005-0000-0000-0000F15F0000}"/>
    <cellStyle name="Remarque 2 4 2 2 4 9" xfId="1929" xr:uid="{00000000-0005-0000-0000-0000F25F0000}"/>
    <cellStyle name="Remarque 2 4 2 2 4 9 2" xfId="25943" xr:uid="{00000000-0005-0000-0000-0000F35F0000}"/>
    <cellStyle name="Remarque 2 4 2 2 4 9 3" xfId="49903" xr:uid="{00000000-0005-0000-0000-0000F45F0000}"/>
    <cellStyle name="Remarque 2 4 2 2 5" xfId="685" xr:uid="{00000000-0005-0000-0000-0000F55F0000}"/>
    <cellStyle name="Remarque 2 4 2 2 5 10" xfId="24717" xr:uid="{00000000-0005-0000-0000-0000F65F0000}"/>
    <cellStyle name="Remarque 2 4 2 2 5 10 2" xfId="48677" xr:uid="{00000000-0005-0000-0000-0000F75F0000}"/>
    <cellStyle name="Remarque 2 4 2 2 5 11" xfId="35877" xr:uid="{00000000-0005-0000-0000-0000F85F0000}"/>
    <cellStyle name="Remarque 2 4 2 2 5 11 2" xfId="59837" xr:uid="{00000000-0005-0000-0000-0000F95F0000}"/>
    <cellStyle name="Remarque 2 4 2 2 5 12" xfId="13382" xr:uid="{00000000-0005-0000-0000-0000FA5F0000}"/>
    <cellStyle name="Remarque 2 4 2 2 5 13" xfId="37342" xr:uid="{00000000-0005-0000-0000-0000FB5F0000}"/>
    <cellStyle name="Remarque 2 4 2 2 5 2" xfId="3591" xr:uid="{00000000-0005-0000-0000-0000FC5F0000}"/>
    <cellStyle name="Remarque 2 4 2 2 5 2 2" xfId="27605" xr:uid="{00000000-0005-0000-0000-0000FD5F0000}"/>
    <cellStyle name="Remarque 2 4 2 2 5 2 2 2" xfId="51565" xr:uid="{00000000-0005-0000-0000-0000FE5F0000}"/>
    <cellStyle name="Remarque 2 4 2 2 5 2 3" xfId="14852" xr:uid="{00000000-0005-0000-0000-0000FF5F0000}"/>
    <cellStyle name="Remarque 2 4 2 2 5 2 4" xfId="38812" xr:uid="{00000000-0005-0000-0000-000000600000}"/>
    <cellStyle name="Remarque 2 4 2 2 5 3" xfId="5025" xr:uid="{00000000-0005-0000-0000-000001600000}"/>
    <cellStyle name="Remarque 2 4 2 2 5 3 2" xfId="29039" xr:uid="{00000000-0005-0000-0000-000002600000}"/>
    <cellStyle name="Remarque 2 4 2 2 5 3 2 2" xfId="52999" xr:uid="{00000000-0005-0000-0000-000003600000}"/>
    <cellStyle name="Remarque 2 4 2 2 5 3 3" xfId="16286" xr:uid="{00000000-0005-0000-0000-000004600000}"/>
    <cellStyle name="Remarque 2 4 2 2 5 3 4" xfId="40246" xr:uid="{00000000-0005-0000-0000-000005600000}"/>
    <cellStyle name="Remarque 2 4 2 2 5 4" xfId="6419" xr:uid="{00000000-0005-0000-0000-000006600000}"/>
    <cellStyle name="Remarque 2 4 2 2 5 4 2" xfId="30433" xr:uid="{00000000-0005-0000-0000-000007600000}"/>
    <cellStyle name="Remarque 2 4 2 2 5 4 2 2" xfId="54393" xr:uid="{00000000-0005-0000-0000-000008600000}"/>
    <cellStyle name="Remarque 2 4 2 2 5 4 3" xfId="17680" xr:uid="{00000000-0005-0000-0000-000009600000}"/>
    <cellStyle name="Remarque 2 4 2 2 5 4 4" xfId="41640" xr:uid="{00000000-0005-0000-0000-00000A600000}"/>
    <cellStyle name="Remarque 2 4 2 2 5 5" xfId="7807" xr:uid="{00000000-0005-0000-0000-00000B600000}"/>
    <cellStyle name="Remarque 2 4 2 2 5 5 2" xfId="31821" xr:uid="{00000000-0005-0000-0000-00000C600000}"/>
    <cellStyle name="Remarque 2 4 2 2 5 5 2 2" xfId="55781" xr:uid="{00000000-0005-0000-0000-00000D600000}"/>
    <cellStyle name="Remarque 2 4 2 2 5 5 3" xfId="19068" xr:uid="{00000000-0005-0000-0000-00000E600000}"/>
    <cellStyle name="Remarque 2 4 2 2 5 5 4" xfId="43028" xr:uid="{00000000-0005-0000-0000-00000F600000}"/>
    <cellStyle name="Remarque 2 4 2 2 5 6" xfId="9192" xr:uid="{00000000-0005-0000-0000-000010600000}"/>
    <cellStyle name="Remarque 2 4 2 2 5 6 2" xfId="33206" xr:uid="{00000000-0005-0000-0000-000011600000}"/>
    <cellStyle name="Remarque 2 4 2 2 5 6 2 2" xfId="57166" xr:uid="{00000000-0005-0000-0000-000012600000}"/>
    <cellStyle name="Remarque 2 4 2 2 5 6 3" xfId="20453" xr:uid="{00000000-0005-0000-0000-000013600000}"/>
    <cellStyle name="Remarque 2 4 2 2 5 6 4" xfId="44413" xr:uid="{00000000-0005-0000-0000-000014600000}"/>
    <cellStyle name="Remarque 2 4 2 2 5 7" xfId="10649" xr:uid="{00000000-0005-0000-0000-000015600000}"/>
    <cellStyle name="Remarque 2 4 2 2 5 7 2" xfId="34659" xr:uid="{00000000-0005-0000-0000-000016600000}"/>
    <cellStyle name="Remarque 2 4 2 2 5 7 2 2" xfId="58619" xr:uid="{00000000-0005-0000-0000-000017600000}"/>
    <cellStyle name="Remarque 2 4 2 2 5 7 3" xfId="21916" xr:uid="{00000000-0005-0000-0000-000018600000}"/>
    <cellStyle name="Remarque 2 4 2 2 5 7 4" xfId="45876" xr:uid="{00000000-0005-0000-0000-000019600000}"/>
    <cellStyle name="Remarque 2 4 2 2 5 8" xfId="12685" xr:uid="{00000000-0005-0000-0000-00001A600000}"/>
    <cellStyle name="Remarque 2 4 2 2 5 8 2" xfId="23990" xr:uid="{00000000-0005-0000-0000-00001B600000}"/>
    <cellStyle name="Remarque 2 4 2 2 5 8 3" xfId="47950" xr:uid="{00000000-0005-0000-0000-00001C600000}"/>
    <cellStyle name="Remarque 2 4 2 2 5 9" xfId="2121" xr:uid="{00000000-0005-0000-0000-00001D600000}"/>
    <cellStyle name="Remarque 2 4 2 2 5 9 2" xfId="26135" xr:uid="{00000000-0005-0000-0000-00001E600000}"/>
    <cellStyle name="Remarque 2 4 2 2 5 9 3" xfId="50095" xr:uid="{00000000-0005-0000-0000-00001F600000}"/>
    <cellStyle name="Remarque 2 4 2 2 6" xfId="879" xr:uid="{00000000-0005-0000-0000-000020600000}"/>
    <cellStyle name="Remarque 2 4 2 2 6 10" xfId="24911" xr:uid="{00000000-0005-0000-0000-000021600000}"/>
    <cellStyle name="Remarque 2 4 2 2 6 10 2" xfId="48871" xr:uid="{00000000-0005-0000-0000-000022600000}"/>
    <cellStyle name="Remarque 2 4 2 2 6 11" xfId="35848" xr:uid="{00000000-0005-0000-0000-000023600000}"/>
    <cellStyle name="Remarque 2 4 2 2 6 11 2" xfId="59808" xr:uid="{00000000-0005-0000-0000-000024600000}"/>
    <cellStyle name="Remarque 2 4 2 2 6 12" xfId="13576" xr:uid="{00000000-0005-0000-0000-000025600000}"/>
    <cellStyle name="Remarque 2 4 2 2 6 13" xfId="37536" xr:uid="{00000000-0005-0000-0000-000026600000}"/>
    <cellStyle name="Remarque 2 4 2 2 6 2" xfId="3785" xr:uid="{00000000-0005-0000-0000-000027600000}"/>
    <cellStyle name="Remarque 2 4 2 2 6 2 2" xfId="27799" xr:uid="{00000000-0005-0000-0000-000028600000}"/>
    <cellStyle name="Remarque 2 4 2 2 6 2 2 2" xfId="51759" xr:uid="{00000000-0005-0000-0000-000029600000}"/>
    <cellStyle name="Remarque 2 4 2 2 6 2 3" xfId="15046" xr:uid="{00000000-0005-0000-0000-00002A600000}"/>
    <cellStyle name="Remarque 2 4 2 2 6 2 4" xfId="39006" xr:uid="{00000000-0005-0000-0000-00002B600000}"/>
    <cellStyle name="Remarque 2 4 2 2 6 3" xfId="5219" xr:uid="{00000000-0005-0000-0000-00002C600000}"/>
    <cellStyle name="Remarque 2 4 2 2 6 3 2" xfId="29233" xr:uid="{00000000-0005-0000-0000-00002D600000}"/>
    <cellStyle name="Remarque 2 4 2 2 6 3 2 2" xfId="53193" xr:uid="{00000000-0005-0000-0000-00002E600000}"/>
    <cellStyle name="Remarque 2 4 2 2 6 3 3" xfId="16480" xr:uid="{00000000-0005-0000-0000-00002F600000}"/>
    <cellStyle name="Remarque 2 4 2 2 6 3 4" xfId="40440" xr:uid="{00000000-0005-0000-0000-000030600000}"/>
    <cellStyle name="Remarque 2 4 2 2 6 4" xfId="6613" xr:uid="{00000000-0005-0000-0000-000031600000}"/>
    <cellStyle name="Remarque 2 4 2 2 6 4 2" xfId="30627" xr:uid="{00000000-0005-0000-0000-000032600000}"/>
    <cellStyle name="Remarque 2 4 2 2 6 4 2 2" xfId="54587" xr:uid="{00000000-0005-0000-0000-000033600000}"/>
    <cellStyle name="Remarque 2 4 2 2 6 4 3" xfId="17874" xr:uid="{00000000-0005-0000-0000-000034600000}"/>
    <cellStyle name="Remarque 2 4 2 2 6 4 4" xfId="41834" xr:uid="{00000000-0005-0000-0000-000035600000}"/>
    <cellStyle name="Remarque 2 4 2 2 6 5" xfId="8001" xr:uid="{00000000-0005-0000-0000-000036600000}"/>
    <cellStyle name="Remarque 2 4 2 2 6 5 2" xfId="32015" xr:uid="{00000000-0005-0000-0000-000037600000}"/>
    <cellStyle name="Remarque 2 4 2 2 6 5 2 2" xfId="55975" xr:uid="{00000000-0005-0000-0000-000038600000}"/>
    <cellStyle name="Remarque 2 4 2 2 6 5 3" xfId="19262" xr:uid="{00000000-0005-0000-0000-000039600000}"/>
    <cellStyle name="Remarque 2 4 2 2 6 5 4" xfId="43222" xr:uid="{00000000-0005-0000-0000-00003A600000}"/>
    <cellStyle name="Remarque 2 4 2 2 6 6" xfId="9386" xr:uid="{00000000-0005-0000-0000-00003B600000}"/>
    <cellStyle name="Remarque 2 4 2 2 6 6 2" xfId="33400" xr:uid="{00000000-0005-0000-0000-00003C600000}"/>
    <cellStyle name="Remarque 2 4 2 2 6 6 2 2" xfId="57360" xr:uid="{00000000-0005-0000-0000-00003D600000}"/>
    <cellStyle name="Remarque 2 4 2 2 6 6 3" xfId="20647" xr:uid="{00000000-0005-0000-0000-00003E600000}"/>
    <cellStyle name="Remarque 2 4 2 2 6 6 4" xfId="44607" xr:uid="{00000000-0005-0000-0000-00003F600000}"/>
    <cellStyle name="Remarque 2 4 2 2 6 7" xfId="10843" xr:uid="{00000000-0005-0000-0000-000040600000}"/>
    <cellStyle name="Remarque 2 4 2 2 6 7 2" xfId="34853" xr:uid="{00000000-0005-0000-0000-000041600000}"/>
    <cellStyle name="Remarque 2 4 2 2 6 7 2 2" xfId="58813" xr:uid="{00000000-0005-0000-0000-000042600000}"/>
    <cellStyle name="Remarque 2 4 2 2 6 7 3" xfId="22110" xr:uid="{00000000-0005-0000-0000-000043600000}"/>
    <cellStyle name="Remarque 2 4 2 2 6 7 4" xfId="46070" xr:uid="{00000000-0005-0000-0000-000044600000}"/>
    <cellStyle name="Remarque 2 4 2 2 6 8" xfId="12250" xr:uid="{00000000-0005-0000-0000-000045600000}"/>
    <cellStyle name="Remarque 2 4 2 2 6 8 2" xfId="23535" xr:uid="{00000000-0005-0000-0000-000046600000}"/>
    <cellStyle name="Remarque 2 4 2 2 6 8 3" xfId="47495" xr:uid="{00000000-0005-0000-0000-000047600000}"/>
    <cellStyle name="Remarque 2 4 2 2 6 9" xfId="2315" xr:uid="{00000000-0005-0000-0000-000048600000}"/>
    <cellStyle name="Remarque 2 4 2 2 6 9 2" xfId="26329" xr:uid="{00000000-0005-0000-0000-000049600000}"/>
    <cellStyle name="Remarque 2 4 2 2 6 9 3" xfId="50289" xr:uid="{00000000-0005-0000-0000-00004A600000}"/>
    <cellStyle name="Remarque 2 4 2 2 7" xfId="1072" xr:uid="{00000000-0005-0000-0000-00004B600000}"/>
    <cellStyle name="Remarque 2 4 2 2 7 10" xfId="25104" xr:uid="{00000000-0005-0000-0000-00004C600000}"/>
    <cellStyle name="Remarque 2 4 2 2 7 10 2" xfId="49064" xr:uid="{00000000-0005-0000-0000-00004D600000}"/>
    <cellStyle name="Remarque 2 4 2 2 7 11" xfId="35895" xr:uid="{00000000-0005-0000-0000-00004E600000}"/>
    <cellStyle name="Remarque 2 4 2 2 7 11 2" xfId="59855" xr:uid="{00000000-0005-0000-0000-00004F600000}"/>
    <cellStyle name="Remarque 2 4 2 2 7 12" xfId="13769" xr:uid="{00000000-0005-0000-0000-000050600000}"/>
    <cellStyle name="Remarque 2 4 2 2 7 13" xfId="37729" xr:uid="{00000000-0005-0000-0000-000051600000}"/>
    <cellStyle name="Remarque 2 4 2 2 7 2" xfId="3978" xr:uid="{00000000-0005-0000-0000-000052600000}"/>
    <cellStyle name="Remarque 2 4 2 2 7 2 2" xfId="27992" xr:uid="{00000000-0005-0000-0000-000053600000}"/>
    <cellStyle name="Remarque 2 4 2 2 7 2 2 2" xfId="51952" xr:uid="{00000000-0005-0000-0000-000054600000}"/>
    <cellStyle name="Remarque 2 4 2 2 7 2 3" xfId="15239" xr:uid="{00000000-0005-0000-0000-000055600000}"/>
    <cellStyle name="Remarque 2 4 2 2 7 2 4" xfId="39199" xr:uid="{00000000-0005-0000-0000-000056600000}"/>
    <cellStyle name="Remarque 2 4 2 2 7 3" xfId="5412" xr:uid="{00000000-0005-0000-0000-000057600000}"/>
    <cellStyle name="Remarque 2 4 2 2 7 3 2" xfId="29426" xr:uid="{00000000-0005-0000-0000-000058600000}"/>
    <cellStyle name="Remarque 2 4 2 2 7 3 2 2" xfId="53386" xr:uid="{00000000-0005-0000-0000-000059600000}"/>
    <cellStyle name="Remarque 2 4 2 2 7 3 3" xfId="16673" xr:uid="{00000000-0005-0000-0000-00005A600000}"/>
    <cellStyle name="Remarque 2 4 2 2 7 3 4" xfId="40633" xr:uid="{00000000-0005-0000-0000-00005B600000}"/>
    <cellStyle name="Remarque 2 4 2 2 7 4" xfId="6806" xr:uid="{00000000-0005-0000-0000-00005C600000}"/>
    <cellStyle name="Remarque 2 4 2 2 7 4 2" xfId="30820" xr:uid="{00000000-0005-0000-0000-00005D600000}"/>
    <cellStyle name="Remarque 2 4 2 2 7 4 2 2" xfId="54780" xr:uid="{00000000-0005-0000-0000-00005E600000}"/>
    <cellStyle name="Remarque 2 4 2 2 7 4 3" xfId="18067" xr:uid="{00000000-0005-0000-0000-00005F600000}"/>
    <cellStyle name="Remarque 2 4 2 2 7 4 4" xfId="42027" xr:uid="{00000000-0005-0000-0000-000060600000}"/>
    <cellStyle name="Remarque 2 4 2 2 7 5" xfId="8194" xr:uid="{00000000-0005-0000-0000-000061600000}"/>
    <cellStyle name="Remarque 2 4 2 2 7 5 2" xfId="32208" xr:uid="{00000000-0005-0000-0000-000062600000}"/>
    <cellStyle name="Remarque 2 4 2 2 7 5 2 2" xfId="56168" xr:uid="{00000000-0005-0000-0000-000063600000}"/>
    <cellStyle name="Remarque 2 4 2 2 7 5 3" xfId="19455" xr:uid="{00000000-0005-0000-0000-000064600000}"/>
    <cellStyle name="Remarque 2 4 2 2 7 5 4" xfId="43415" xr:uid="{00000000-0005-0000-0000-000065600000}"/>
    <cellStyle name="Remarque 2 4 2 2 7 6" xfId="9579" xr:uid="{00000000-0005-0000-0000-000066600000}"/>
    <cellStyle name="Remarque 2 4 2 2 7 6 2" xfId="33593" xr:uid="{00000000-0005-0000-0000-000067600000}"/>
    <cellStyle name="Remarque 2 4 2 2 7 6 2 2" xfId="57553" xr:uid="{00000000-0005-0000-0000-000068600000}"/>
    <cellStyle name="Remarque 2 4 2 2 7 6 3" xfId="20840" xr:uid="{00000000-0005-0000-0000-000069600000}"/>
    <cellStyle name="Remarque 2 4 2 2 7 6 4" xfId="44800" xr:uid="{00000000-0005-0000-0000-00006A600000}"/>
    <cellStyle name="Remarque 2 4 2 2 7 7" xfId="11036" xr:uid="{00000000-0005-0000-0000-00006B600000}"/>
    <cellStyle name="Remarque 2 4 2 2 7 7 2" xfId="35046" xr:uid="{00000000-0005-0000-0000-00006C600000}"/>
    <cellStyle name="Remarque 2 4 2 2 7 7 2 2" xfId="59006" xr:uid="{00000000-0005-0000-0000-00006D600000}"/>
    <cellStyle name="Remarque 2 4 2 2 7 7 3" xfId="22303" xr:uid="{00000000-0005-0000-0000-00006E600000}"/>
    <cellStyle name="Remarque 2 4 2 2 7 7 4" xfId="46263" xr:uid="{00000000-0005-0000-0000-00006F600000}"/>
    <cellStyle name="Remarque 2 4 2 2 7 8" xfId="11958" xr:uid="{00000000-0005-0000-0000-000070600000}"/>
    <cellStyle name="Remarque 2 4 2 2 7 8 2" xfId="23236" xr:uid="{00000000-0005-0000-0000-000071600000}"/>
    <cellStyle name="Remarque 2 4 2 2 7 8 3" xfId="47196" xr:uid="{00000000-0005-0000-0000-000072600000}"/>
    <cellStyle name="Remarque 2 4 2 2 7 9" xfId="2508" xr:uid="{00000000-0005-0000-0000-000073600000}"/>
    <cellStyle name="Remarque 2 4 2 2 7 9 2" xfId="26522" xr:uid="{00000000-0005-0000-0000-000074600000}"/>
    <cellStyle name="Remarque 2 4 2 2 7 9 3" xfId="50482" xr:uid="{00000000-0005-0000-0000-000075600000}"/>
    <cellStyle name="Remarque 2 4 2 2 8" xfId="1239" xr:uid="{00000000-0005-0000-0000-000076600000}"/>
    <cellStyle name="Remarque 2 4 2 2 8 10" xfId="25271" xr:uid="{00000000-0005-0000-0000-000077600000}"/>
    <cellStyle name="Remarque 2 4 2 2 8 10 2" xfId="49231" xr:uid="{00000000-0005-0000-0000-000078600000}"/>
    <cellStyle name="Remarque 2 4 2 2 8 11" xfId="36704" xr:uid="{00000000-0005-0000-0000-000079600000}"/>
    <cellStyle name="Remarque 2 4 2 2 8 11 2" xfId="60664" xr:uid="{00000000-0005-0000-0000-00007A600000}"/>
    <cellStyle name="Remarque 2 4 2 2 8 12" xfId="13936" xr:uid="{00000000-0005-0000-0000-00007B600000}"/>
    <cellStyle name="Remarque 2 4 2 2 8 13" xfId="37896" xr:uid="{00000000-0005-0000-0000-00007C600000}"/>
    <cellStyle name="Remarque 2 4 2 2 8 2" xfId="4145" xr:uid="{00000000-0005-0000-0000-00007D600000}"/>
    <cellStyle name="Remarque 2 4 2 2 8 2 2" xfId="28159" xr:uid="{00000000-0005-0000-0000-00007E600000}"/>
    <cellStyle name="Remarque 2 4 2 2 8 2 2 2" xfId="52119" xr:uid="{00000000-0005-0000-0000-00007F600000}"/>
    <cellStyle name="Remarque 2 4 2 2 8 2 3" xfId="15406" xr:uid="{00000000-0005-0000-0000-000080600000}"/>
    <cellStyle name="Remarque 2 4 2 2 8 2 4" xfId="39366" xr:uid="{00000000-0005-0000-0000-000081600000}"/>
    <cellStyle name="Remarque 2 4 2 2 8 3" xfId="5579" xr:uid="{00000000-0005-0000-0000-000082600000}"/>
    <cellStyle name="Remarque 2 4 2 2 8 3 2" xfId="29593" xr:uid="{00000000-0005-0000-0000-000083600000}"/>
    <cellStyle name="Remarque 2 4 2 2 8 3 2 2" xfId="53553" xr:uid="{00000000-0005-0000-0000-000084600000}"/>
    <cellStyle name="Remarque 2 4 2 2 8 3 3" xfId="16840" xr:uid="{00000000-0005-0000-0000-000085600000}"/>
    <cellStyle name="Remarque 2 4 2 2 8 3 4" xfId="40800" xr:uid="{00000000-0005-0000-0000-000086600000}"/>
    <cellStyle name="Remarque 2 4 2 2 8 4" xfId="6973" xr:uid="{00000000-0005-0000-0000-000087600000}"/>
    <cellStyle name="Remarque 2 4 2 2 8 4 2" xfId="30987" xr:uid="{00000000-0005-0000-0000-000088600000}"/>
    <cellStyle name="Remarque 2 4 2 2 8 4 2 2" xfId="54947" xr:uid="{00000000-0005-0000-0000-000089600000}"/>
    <cellStyle name="Remarque 2 4 2 2 8 4 3" xfId="18234" xr:uid="{00000000-0005-0000-0000-00008A600000}"/>
    <cellStyle name="Remarque 2 4 2 2 8 4 4" xfId="42194" xr:uid="{00000000-0005-0000-0000-00008B600000}"/>
    <cellStyle name="Remarque 2 4 2 2 8 5" xfId="8361" xr:uid="{00000000-0005-0000-0000-00008C600000}"/>
    <cellStyle name="Remarque 2 4 2 2 8 5 2" xfId="32375" xr:uid="{00000000-0005-0000-0000-00008D600000}"/>
    <cellStyle name="Remarque 2 4 2 2 8 5 2 2" xfId="56335" xr:uid="{00000000-0005-0000-0000-00008E600000}"/>
    <cellStyle name="Remarque 2 4 2 2 8 5 3" xfId="19622" xr:uid="{00000000-0005-0000-0000-00008F600000}"/>
    <cellStyle name="Remarque 2 4 2 2 8 5 4" xfId="43582" xr:uid="{00000000-0005-0000-0000-000090600000}"/>
    <cellStyle name="Remarque 2 4 2 2 8 6" xfId="9746" xr:uid="{00000000-0005-0000-0000-000091600000}"/>
    <cellStyle name="Remarque 2 4 2 2 8 6 2" xfId="33760" xr:uid="{00000000-0005-0000-0000-000092600000}"/>
    <cellStyle name="Remarque 2 4 2 2 8 6 2 2" xfId="57720" xr:uid="{00000000-0005-0000-0000-000093600000}"/>
    <cellStyle name="Remarque 2 4 2 2 8 6 3" xfId="21007" xr:uid="{00000000-0005-0000-0000-000094600000}"/>
    <cellStyle name="Remarque 2 4 2 2 8 6 4" xfId="44967" xr:uid="{00000000-0005-0000-0000-000095600000}"/>
    <cellStyle name="Remarque 2 4 2 2 8 7" xfId="11203" xr:uid="{00000000-0005-0000-0000-000096600000}"/>
    <cellStyle name="Remarque 2 4 2 2 8 7 2" xfId="35213" xr:uid="{00000000-0005-0000-0000-000097600000}"/>
    <cellStyle name="Remarque 2 4 2 2 8 7 2 2" xfId="59173" xr:uid="{00000000-0005-0000-0000-000098600000}"/>
    <cellStyle name="Remarque 2 4 2 2 8 7 3" xfId="22470" xr:uid="{00000000-0005-0000-0000-000099600000}"/>
    <cellStyle name="Remarque 2 4 2 2 8 7 4" xfId="46430" xr:uid="{00000000-0005-0000-0000-00009A600000}"/>
    <cellStyle name="Remarque 2 4 2 2 8 8" xfId="12790" xr:uid="{00000000-0005-0000-0000-00009B600000}"/>
    <cellStyle name="Remarque 2 4 2 2 8 8 2" xfId="24100" xr:uid="{00000000-0005-0000-0000-00009C600000}"/>
    <cellStyle name="Remarque 2 4 2 2 8 8 3" xfId="48060" xr:uid="{00000000-0005-0000-0000-00009D600000}"/>
    <cellStyle name="Remarque 2 4 2 2 8 9" xfId="2675" xr:uid="{00000000-0005-0000-0000-00009E600000}"/>
    <cellStyle name="Remarque 2 4 2 2 8 9 2" xfId="26689" xr:uid="{00000000-0005-0000-0000-00009F600000}"/>
    <cellStyle name="Remarque 2 4 2 2 8 9 3" xfId="50649" xr:uid="{00000000-0005-0000-0000-0000A0600000}"/>
    <cellStyle name="Remarque 2 4 2 2 9" xfId="1408" xr:uid="{00000000-0005-0000-0000-0000A1600000}"/>
    <cellStyle name="Remarque 2 4 2 2 9 10" xfId="25440" xr:uid="{00000000-0005-0000-0000-0000A2600000}"/>
    <cellStyle name="Remarque 2 4 2 2 9 10 2" xfId="49400" xr:uid="{00000000-0005-0000-0000-0000A3600000}"/>
    <cellStyle name="Remarque 2 4 2 2 9 11" xfId="36311" xr:uid="{00000000-0005-0000-0000-0000A4600000}"/>
    <cellStyle name="Remarque 2 4 2 2 9 11 2" xfId="60271" xr:uid="{00000000-0005-0000-0000-0000A5600000}"/>
    <cellStyle name="Remarque 2 4 2 2 9 12" xfId="14105" xr:uid="{00000000-0005-0000-0000-0000A6600000}"/>
    <cellStyle name="Remarque 2 4 2 2 9 13" xfId="38065" xr:uid="{00000000-0005-0000-0000-0000A7600000}"/>
    <cellStyle name="Remarque 2 4 2 2 9 2" xfId="4314" xr:uid="{00000000-0005-0000-0000-0000A8600000}"/>
    <cellStyle name="Remarque 2 4 2 2 9 2 2" xfId="28328" xr:uid="{00000000-0005-0000-0000-0000A9600000}"/>
    <cellStyle name="Remarque 2 4 2 2 9 2 2 2" xfId="52288" xr:uid="{00000000-0005-0000-0000-0000AA600000}"/>
    <cellStyle name="Remarque 2 4 2 2 9 2 3" xfId="15575" xr:uid="{00000000-0005-0000-0000-0000AB600000}"/>
    <cellStyle name="Remarque 2 4 2 2 9 2 4" xfId="39535" xr:uid="{00000000-0005-0000-0000-0000AC600000}"/>
    <cellStyle name="Remarque 2 4 2 2 9 3" xfId="5748" xr:uid="{00000000-0005-0000-0000-0000AD600000}"/>
    <cellStyle name="Remarque 2 4 2 2 9 3 2" xfId="29762" xr:uid="{00000000-0005-0000-0000-0000AE600000}"/>
    <cellStyle name="Remarque 2 4 2 2 9 3 2 2" xfId="53722" xr:uid="{00000000-0005-0000-0000-0000AF600000}"/>
    <cellStyle name="Remarque 2 4 2 2 9 3 3" xfId="17009" xr:uid="{00000000-0005-0000-0000-0000B0600000}"/>
    <cellStyle name="Remarque 2 4 2 2 9 3 4" xfId="40969" xr:uid="{00000000-0005-0000-0000-0000B1600000}"/>
    <cellStyle name="Remarque 2 4 2 2 9 4" xfId="7142" xr:uid="{00000000-0005-0000-0000-0000B2600000}"/>
    <cellStyle name="Remarque 2 4 2 2 9 4 2" xfId="31156" xr:uid="{00000000-0005-0000-0000-0000B3600000}"/>
    <cellStyle name="Remarque 2 4 2 2 9 4 2 2" xfId="55116" xr:uid="{00000000-0005-0000-0000-0000B4600000}"/>
    <cellStyle name="Remarque 2 4 2 2 9 4 3" xfId="18403" xr:uid="{00000000-0005-0000-0000-0000B5600000}"/>
    <cellStyle name="Remarque 2 4 2 2 9 4 4" xfId="42363" xr:uid="{00000000-0005-0000-0000-0000B6600000}"/>
    <cellStyle name="Remarque 2 4 2 2 9 5" xfId="8530" xr:uid="{00000000-0005-0000-0000-0000B7600000}"/>
    <cellStyle name="Remarque 2 4 2 2 9 5 2" xfId="32544" xr:uid="{00000000-0005-0000-0000-0000B8600000}"/>
    <cellStyle name="Remarque 2 4 2 2 9 5 2 2" xfId="56504" xr:uid="{00000000-0005-0000-0000-0000B9600000}"/>
    <cellStyle name="Remarque 2 4 2 2 9 5 3" xfId="19791" xr:uid="{00000000-0005-0000-0000-0000BA600000}"/>
    <cellStyle name="Remarque 2 4 2 2 9 5 4" xfId="43751" xr:uid="{00000000-0005-0000-0000-0000BB600000}"/>
    <cellStyle name="Remarque 2 4 2 2 9 6" xfId="9915" xr:uid="{00000000-0005-0000-0000-0000BC600000}"/>
    <cellStyle name="Remarque 2 4 2 2 9 6 2" xfId="33929" xr:uid="{00000000-0005-0000-0000-0000BD600000}"/>
    <cellStyle name="Remarque 2 4 2 2 9 6 2 2" xfId="57889" xr:uid="{00000000-0005-0000-0000-0000BE600000}"/>
    <cellStyle name="Remarque 2 4 2 2 9 6 3" xfId="21176" xr:uid="{00000000-0005-0000-0000-0000BF600000}"/>
    <cellStyle name="Remarque 2 4 2 2 9 6 4" xfId="45136" xr:uid="{00000000-0005-0000-0000-0000C0600000}"/>
    <cellStyle name="Remarque 2 4 2 2 9 7" xfId="11372" xr:uid="{00000000-0005-0000-0000-0000C1600000}"/>
    <cellStyle name="Remarque 2 4 2 2 9 7 2" xfId="35382" xr:uid="{00000000-0005-0000-0000-0000C2600000}"/>
    <cellStyle name="Remarque 2 4 2 2 9 7 2 2" xfId="59342" xr:uid="{00000000-0005-0000-0000-0000C3600000}"/>
    <cellStyle name="Remarque 2 4 2 2 9 7 3" xfId="22639" xr:uid="{00000000-0005-0000-0000-0000C4600000}"/>
    <cellStyle name="Remarque 2 4 2 2 9 7 4" xfId="46599" xr:uid="{00000000-0005-0000-0000-0000C5600000}"/>
    <cellStyle name="Remarque 2 4 2 2 9 8" xfId="11636" xr:uid="{00000000-0005-0000-0000-0000C6600000}"/>
    <cellStyle name="Remarque 2 4 2 2 9 8 2" xfId="22904" xr:uid="{00000000-0005-0000-0000-0000C7600000}"/>
    <cellStyle name="Remarque 2 4 2 2 9 8 3" xfId="46864" xr:uid="{00000000-0005-0000-0000-0000C8600000}"/>
    <cellStyle name="Remarque 2 4 2 2 9 9" xfId="2844" xr:uid="{00000000-0005-0000-0000-0000C9600000}"/>
    <cellStyle name="Remarque 2 4 2 2 9 9 2" xfId="26858" xr:uid="{00000000-0005-0000-0000-0000CA600000}"/>
    <cellStyle name="Remarque 2 4 2 2 9 9 3" xfId="50818" xr:uid="{00000000-0005-0000-0000-0000CB600000}"/>
    <cellStyle name="Remarque 2 4 2 20" xfId="10151" xr:uid="{00000000-0005-0000-0000-0000CC600000}"/>
    <cellStyle name="Remarque 2 4 2 20 2" xfId="34163" xr:uid="{00000000-0005-0000-0000-0000CD600000}"/>
    <cellStyle name="Remarque 2 4 2 20 2 2" xfId="58123" xr:uid="{00000000-0005-0000-0000-0000CE600000}"/>
    <cellStyle name="Remarque 2 4 2 20 3" xfId="21416" xr:uid="{00000000-0005-0000-0000-0000CF600000}"/>
    <cellStyle name="Remarque 2 4 2 20 4" xfId="45376" xr:uid="{00000000-0005-0000-0000-0000D0600000}"/>
    <cellStyle name="Remarque 2 4 2 21" xfId="11972" xr:uid="{00000000-0005-0000-0000-0000D1600000}"/>
    <cellStyle name="Remarque 2 4 2 21 2" xfId="23250" xr:uid="{00000000-0005-0000-0000-0000D2600000}"/>
    <cellStyle name="Remarque 2 4 2 21 3" xfId="47210" xr:uid="{00000000-0005-0000-0000-0000D3600000}"/>
    <cellStyle name="Remarque 2 4 2 22" xfId="1649" xr:uid="{00000000-0005-0000-0000-0000D4600000}"/>
    <cellStyle name="Remarque 2 4 2 22 2" xfId="25663" xr:uid="{00000000-0005-0000-0000-0000D5600000}"/>
    <cellStyle name="Remarque 2 4 2 22 3" xfId="49623" xr:uid="{00000000-0005-0000-0000-0000D6600000}"/>
    <cellStyle name="Remarque 2 4 2 23" xfId="23337" xr:uid="{00000000-0005-0000-0000-0000D7600000}"/>
    <cellStyle name="Remarque 2 4 2 23 2" xfId="47297" xr:uid="{00000000-0005-0000-0000-0000D8600000}"/>
    <cellStyle name="Remarque 2 4 2 24" xfId="36618" xr:uid="{00000000-0005-0000-0000-0000D9600000}"/>
    <cellStyle name="Remarque 2 4 2 24 2" xfId="60578" xr:uid="{00000000-0005-0000-0000-0000DA600000}"/>
    <cellStyle name="Remarque 2 4 2 25" xfId="12929" xr:uid="{00000000-0005-0000-0000-0000DB600000}"/>
    <cellStyle name="Remarque 2 4 2 26" xfId="36870" xr:uid="{00000000-0005-0000-0000-0000DC600000}"/>
    <cellStyle name="Remarque 2 4 2 27" xfId="185" xr:uid="{00000000-0005-0000-0000-0000DD600000}"/>
    <cellStyle name="Remarque 2 4 2 3" xfId="145" xr:uid="{00000000-0005-0000-0000-0000DE600000}"/>
    <cellStyle name="Remarque 2 4 2 3 10" xfId="6141" xr:uid="{00000000-0005-0000-0000-0000DF600000}"/>
    <cellStyle name="Remarque 2 4 2 3 10 2" xfId="30155" xr:uid="{00000000-0005-0000-0000-0000E0600000}"/>
    <cellStyle name="Remarque 2 4 2 3 10 2 2" xfId="54115" xr:uid="{00000000-0005-0000-0000-0000E1600000}"/>
    <cellStyle name="Remarque 2 4 2 3 10 3" xfId="17402" xr:uid="{00000000-0005-0000-0000-0000E2600000}"/>
    <cellStyle name="Remarque 2 4 2 3 10 4" xfId="41362" xr:uid="{00000000-0005-0000-0000-0000E3600000}"/>
    <cellStyle name="Remarque 2 4 2 3 11" xfId="7529" xr:uid="{00000000-0005-0000-0000-0000E4600000}"/>
    <cellStyle name="Remarque 2 4 2 3 11 2" xfId="31543" xr:uid="{00000000-0005-0000-0000-0000E5600000}"/>
    <cellStyle name="Remarque 2 4 2 3 11 2 2" xfId="55503" xr:uid="{00000000-0005-0000-0000-0000E6600000}"/>
    <cellStyle name="Remarque 2 4 2 3 11 3" xfId="18790" xr:uid="{00000000-0005-0000-0000-0000E7600000}"/>
    <cellStyle name="Remarque 2 4 2 3 11 4" xfId="42750" xr:uid="{00000000-0005-0000-0000-0000E8600000}"/>
    <cellStyle name="Remarque 2 4 2 3 12" xfId="8914" xr:uid="{00000000-0005-0000-0000-0000E9600000}"/>
    <cellStyle name="Remarque 2 4 2 3 12 2" xfId="32928" xr:uid="{00000000-0005-0000-0000-0000EA600000}"/>
    <cellStyle name="Remarque 2 4 2 3 12 2 2" xfId="56888" xr:uid="{00000000-0005-0000-0000-0000EB600000}"/>
    <cellStyle name="Remarque 2 4 2 3 12 3" xfId="20175" xr:uid="{00000000-0005-0000-0000-0000EC600000}"/>
    <cellStyle name="Remarque 2 4 2 3 12 4" xfId="44135" xr:uid="{00000000-0005-0000-0000-0000ED600000}"/>
    <cellStyle name="Remarque 2 4 2 3 13" xfId="10371" xr:uid="{00000000-0005-0000-0000-0000EE600000}"/>
    <cellStyle name="Remarque 2 4 2 3 13 2" xfId="34381" xr:uid="{00000000-0005-0000-0000-0000EF600000}"/>
    <cellStyle name="Remarque 2 4 2 3 13 2 2" xfId="58341" xr:uid="{00000000-0005-0000-0000-0000F0600000}"/>
    <cellStyle name="Remarque 2 4 2 3 13 3" xfId="21638" xr:uid="{00000000-0005-0000-0000-0000F1600000}"/>
    <cellStyle name="Remarque 2 4 2 3 13 4" xfId="45598" xr:uid="{00000000-0005-0000-0000-0000F2600000}"/>
    <cellStyle name="Remarque 2 4 2 3 14" xfId="12451" xr:uid="{00000000-0005-0000-0000-0000F3600000}"/>
    <cellStyle name="Remarque 2 4 2 3 14 2" xfId="23745" xr:uid="{00000000-0005-0000-0000-0000F4600000}"/>
    <cellStyle name="Remarque 2 4 2 3 14 3" xfId="47705" xr:uid="{00000000-0005-0000-0000-0000F5600000}"/>
    <cellStyle name="Remarque 2 4 2 3 15" xfId="1843" xr:uid="{00000000-0005-0000-0000-0000F6600000}"/>
    <cellStyle name="Remarque 2 4 2 3 15 2" xfId="25857" xr:uid="{00000000-0005-0000-0000-0000F7600000}"/>
    <cellStyle name="Remarque 2 4 2 3 15 3" xfId="49817" xr:uid="{00000000-0005-0000-0000-0000F8600000}"/>
    <cellStyle name="Remarque 2 4 2 3 16" xfId="24439" xr:uid="{00000000-0005-0000-0000-0000F9600000}"/>
    <cellStyle name="Remarque 2 4 2 3 16 2" xfId="48399" xr:uid="{00000000-0005-0000-0000-0000FA600000}"/>
    <cellStyle name="Remarque 2 4 2 3 17" xfId="35694" xr:uid="{00000000-0005-0000-0000-0000FB600000}"/>
    <cellStyle name="Remarque 2 4 2 3 17 2" xfId="59654" xr:uid="{00000000-0005-0000-0000-0000FC600000}"/>
    <cellStyle name="Remarque 2 4 2 3 18" xfId="13104" xr:uid="{00000000-0005-0000-0000-0000FD600000}"/>
    <cellStyle name="Remarque 2 4 2 3 19" xfId="37064" xr:uid="{00000000-0005-0000-0000-0000FE600000}"/>
    <cellStyle name="Remarque 2 4 2 3 2" xfId="543" xr:uid="{00000000-0005-0000-0000-0000FF600000}"/>
    <cellStyle name="Remarque 2 4 2 3 2 10" xfId="24575" xr:uid="{00000000-0005-0000-0000-000000610000}"/>
    <cellStyle name="Remarque 2 4 2 3 2 10 2" xfId="48535" xr:uid="{00000000-0005-0000-0000-000001610000}"/>
    <cellStyle name="Remarque 2 4 2 3 2 11" xfId="36804" xr:uid="{00000000-0005-0000-0000-000002610000}"/>
    <cellStyle name="Remarque 2 4 2 3 2 11 2" xfId="60764" xr:uid="{00000000-0005-0000-0000-000003610000}"/>
    <cellStyle name="Remarque 2 4 2 3 2 12" xfId="13240" xr:uid="{00000000-0005-0000-0000-000004610000}"/>
    <cellStyle name="Remarque 2 4 2 3 2 13" xfId="37200" xr:uid="{00000000-0005-0000-0000-000005610000}"/>
    <cellStyle name="Remarque 2 4 2 3 2 2" xfId="3449" xr:uid="{00000000-0005-0000-0000-000006610000}"/>
    <cellStyle name="Remarque 2 4 2 3 2 2 2" xfId="27463" xr:uid="{00000000-0005-0000-0000-000007610000}"/>
    <cellStyle name="Remarque 2 4 2 3 2 2 2 2" xfId="51423" xr:uid="{00000000-0005-0000-0000-000008610000}"/>
    <cellStyle name="Remarque 2 4 2 3 2 2 3" xfId="14710" xr:uid="{00000000-0005-0000-0000-000009610000}"/>
    <cellStyle name="Remarque 2 4 2 3 2 2 4" xfId="38670" xr:uid="{00000000-0005-0000-0000-00000A610000}"/>
    <cellStyle name="Remarque 2 4 2 3 2 3" xfId="4883" xr:uid="{00000000-0005-0000-0000-00000B610000}"/>
    <cellStyle name="Remarque 2 4 2 3 2 3 2" xfId="28897" xr:uid="{00000000-0005-0000-0000-00000C610000}"/>
    <cellStyle name="Remarque 2 4 2 3 2 3 2 2" xfId="52857" xr:uid="{00000000-0005-0000-0000-00000D610000}"/>
    <cellStyle name="Remarque 2 4 2 3 2 3 3" xfId="16144" xr:uid="{00000000-0005-0000-0000-00000E610000}"/>
    <cellStyle name="Remarque 2 4 2 3 2 3 4" xfId="40104" xr:uid="{00000000-0005-0000-0000-00000F610000}"/>
    <cellStyle name="Remarque 2 4 2 3 2 4" xfId="6277" xr:uid="{00000000-0005-0000-0000-000010610000}"/>
    <cellStyle name="Remarque 2 4 2 3 2 4 2" xfId="30291" xr:uid="{00000000-0005-0000-0000-000011610000}"/>
    <cellStyle name="Remarque 2 4 2 3 2 4 2 2" xfId="54251" xr:uid="{00000000-0005-0000-0000-000012610000}"/>
    <cellStyle name="Remarque 2 4 2 3 2 4 3" xfId="17538" xr:uid="{00000000-0005-0000-0000-000013610000}"/>
    <cellStyle name="Remarque 2 4 2 3 2 4 4" xfId="41498" xr:uid="{00000000-0005-0000-0000-000014610000}"/>
    <cellStyle name="Remarque 2 4 2 3 2 5" xfId="7665" xr:uid="{00000000-0005-0000-0000-000015610000}"/>
    <cellStyle name="Remarque 2 4 2 3 2 5 2" xfId="31679" xr:uid="{00000000-0005-0000-0000-000016610000}"/>
    <cellStyle name="Remarque 2 4 2 3 2 5 2 2" xfId="55639" xr:uid="{00000000-0005-0000-0000-000017610000}"/>
    <cellStyle name="Remarque 2 4 2 3 2 5 3" xfId="18926" xr:uid="{00000000-0005-0000-0000-000018610000}"/>
    <cellStyle name="Remarque 2 4 2 3 2 5 4" xfId="42886" xr:uid="{00000000-0005-0000-0000-000019610000}"/>
    <cellStyle name="Remarque 2 4 2 3 2 6" xfId="9050" xr:uid="{00000000-0005-0000-0000-00001A610000}"/>
    <cellStyle name="Remarque 2 4 2 3 2 6 2" xfId="33064" xr:uid="{00000000-0005-0000-0000-00001B610000}"/>
    <cellStyle name="Remarque 2 4 2 3 2 6 2 2" xfId="57024" xr:uid="{00000000-0005-0000-0000-00001C610000}"/>
    <cellStyle name="Remarque 2 4 2 3 2 6 3" xfId="20311" xr:uid="{00000000-0005-0000-0000-00001D610000}"/>
    <cellStyle name="Remarque 2 4 2 3 2 6 4" xfId="44271" xr:uid="{00000000-0005-0000-0000-00001E610000}"/>
    <cellStyle name="Remarque 2 4 2 3 2 7" xfId="10507" xr:uid="{00000000-0005-0000-0000-00001F610000}"/>
    <cellStyle name="Remarque 2 4 2 3 2 7 2" xfId="34517" xr:uid="{00000000-0005-0000-0000-000020610000}"/>
    <cellStyle name="Remarque 2 4 2 3 2 7 2 2" xfId="58477" xr:uid="{00000000-0005-0000-0000-000021610000}"/>
    <cellStyle name="Remarque 2 4 2 3 2 7 3" xfId="21774" xr:uid="{00000000-0005-0000-0000-000022610000}"/>
    <cellStyle name="Remarque 2 4 2 3 2 7 4" xfId="45734" xr:uid="{00000000-0005-0000-0000-000023610000}"/>
    <cellStyle name="Remarque 2 4 2 3 2 8" xfId="11808" xr:uid="{00000000-0005-0000-0000-000024610000}"/>
    <cellStyle name="Remarque 2 4 2 3 2 8 2" xfId="23082" xr:uid="{00000000-0005-0000-0000-000025610000}"/>
    <cellStyle name="Remarque 2 4 2 3 2 8 3" xfId="47042" xr:uid="{00000000-0005-0000-0000-000026610000}"/>
    <cellStyle name="Remarque 2 4 2 3 2 9" xfId="1979" xr:uid="{00000000-0005-0000-0000-000027610000}"/>
    <cellStyle name="Remarque 2 4 2 3 2 9 2" xfId="25993" xr:uid="{00000000-0005-0000-0000-000028610000}"/>
    <cellStyle name="Remarque 2 4 2 3 2 9 3" xfId="49953" xr:uid="{00000000-0005-0000-0000-000029610000}"/>
    <cellStyle name="Remarque 2 4 2 3 20" xfId="407" xr:uid="{00000000-0005-0000-0000-00002A610000}"/>
    <cellStyle name="Remarque 2 4 2 3 3" xfId="735" xr:uid="{00000000-0005-0000-0000-00002B610000}"/>
    <cellStyle name="Remarque 2 4 2 3 3 10" xfId="24767" xr:uid="{00000000-0005-0000-0000-00002C610000}"/>
    <cellStyle name="Remarque 2 4 2 3 3 10 2" xfId="48727" xr:uid="{00000000-0005-0000-0000-00002D610000}"/>
    <cellStyle name="Remarque 2 4 2 3 3 11" xfId="36517" xr:uid="{00000000-0005-0000-0000-00002E610000}"/>
    <cellStyle name="Remarque 2 4 2 3 3 11 2" xfId="60477" xr:uid="{00000000-0005-0000-0000-00002F610000}"/>
    <cellStyle name="Remarque 2 4 2 3 3 12" xfId="13432" xr:uid="{00000000-0005-0000-0000-000030610000}"/>
    <cellStyle name="Remarque 2 4 2 3 3 13" xfId="37392" xr:uid="{00000000-0005-0000-0000-000031610000}"/>
    <cellStyle name="Remarque 2 4 2 3 3 2" xfId="3641" xr:uid="{00000000-0005-0000-0000-000032610000}"/>
    <cellStyle name="Remarque 2 4 2 3 3 2 2" xfId="27655" xr:uid="{00000000-0005-0000-0000-000033610000}"/>
    <cellStyle name="Remarque 2 4 2 3 3 2 2 2" xfId="51615" xr:uid="{00000000-0005-0000-0000-000034610000}"/>
    <cellStyle name="Remarque 2 4 2 3 3 2 3" xfId="14902" xr:uid="{00000000-0005-0000-0000-000035610000}"/>
    <cellStyle name="Remarque 2 4 2 3 3 2 4" xfId="38862" xr:uid="{00000000-0005-0000-0000-000036610000}"/>
    <cellStyle name="Remarque 2 4 2 3 3 3" xfId="5075" xr:uid="{00000000-0005-0000-0000-000037610000}"/>
    <cellStyle name="Remarque 2 4 2 3 3 3 2" xfId="29089" xr:uid="{00000000-0005-0000-0000-000038610000}"/>
    <cellStyle name="Remarque 2 4 2 3 3 3 2 2" xfId="53049" xr:uid="{00000000-0005-0000-0000-000039610000}"/>
    <cellStyle name="Remarque 2 4 2 3 3 3 3" xfId="16336" xr:uid="{00000000-0005-0000-0000-00003A610000}"/>
    <cellStyle name="Remarque 2 4 2 3 3 3 4" xfId="40296" xr:uid="{00000000-0005-0000-0000-00003B610000}"/>
    <cellStyle name="Remarque 2 4 2 3 3 4" xfId="6469" xr:uid="{00000000-0005-0000-0000-00003C610000}"/>
    <cellStyle name="Remarque 2 4 2 3 3 4 2" xfId="30483" xr:uid="{00000000-0005-0000-0000-00003D610000}"/>
    <cellStyle name="Remarque 2 4 2 3 3 4 2 2" xfId="54443" xr:uid="{00000000-0005-0000-0000-00003E610000}"/>
    <cellStyle name="Remarque 2 4 2 3 3 4 3" xfId="17730" xr:uid="{00000000-0005-0000-0000-00003F610000}"/>
    <cellStyle name="Remarque 2 4 2 3 3 4 4" xfId="41690" xr:uid="{00000000-0005-0000-0000-000040610000}"/>
    <cellStyle name="Remarque 2 4 2 3 3 5" xfId="7857" xr:uid="{00000000-0005-0000-0000-000041610000}"/>
    <cellStyle name="Remarque 2 4 2 3 3 5 2" xfId="31871" xr:uid="{00000000-0005-0000-0000-000042610000}"/>
    <cellStyle name="Remarque 2 4 2 3 3 5 2 2" xfId="55831" xr:uid="{00000000-0005-0000-0000-000043610000}"/>
    <cellStyle name="Remarque 2 4 2 3 3 5 3" xfId="19118" xr:uid="{00000000-0005-0000-0000-000044610000}"/>
    <cellStyle name="Remarque 2 4 2 3 3 5 4" xfId="43078" xr:uid="{00000000-0005-0000-0000-000045610000}"/>
    <cellStyle name="Remarque 2 4 2 3 3 6" xfId="9242" xr:uid="{00000000-0005-0000-0000-000046610000}"/>
    <cellStyle name="Remarque 2 4 2 3 3 6 2" xfId="33256" xr:uid="{00000000-0005-0000-0000-000047610000}"/>
    <cellStyle name="Remarque 2 4 2 3 3 6 2 2" xfId="57216" xr:uid="{00000000-0005-0000-0000-000048610000}"/>
    <cellStyle name="Remarque 2 4 2 3 3 6 3" xfId="20503" xr:uid="{00000000-0005-0000-0000-000049610000}"/>
    <cellStyle name="Remarque 2 4 2 3 3 6 4" xfId="44463" xr:uid="{00000000-0005-0000-0000-00004A610000}"/>
    <cellStyle name="Remarque 2 4 2 3 3 7" xfId="10699" xr:uid="{00000000-0005-0000-0000-00004B610000}"/>
    <cellStyle name="Remarque 2 4 2 3 3 7 2" xfId="34709" xr:uid="{00000000-0005-0000-0000-00004C610000}"/>
    <cellStyle name="Remarque 2 4 2 3 3 7 2 2" xfId="58669" xr:uid="{00000000-0005-0000-0000-00004D610000}"/>
    <cellStyle name="Remarque 2 4 2 3 3 7 3" xfId="21966" xr:uid="{00000000-0005-0000-0000-00004E610000}"/>
    <cellStyle name="Remarque 2 4 2 3 3 7 4" xfId="45926" xr:uid="{00000000-0005-0000-0000-00004F610000}"/>
    <cellStyle name="Remarque 2 4 2 3 3 8" xfId="12351" xr:uid="{00000000-0005-0000-0000-000050610000}"/>
    <cellStyle name="Remarque 2 4 2 3 3 8 2" xfId="23639" xr:uid="{00000000-0005-0000-0000-000051610000}"/>
    <cellStyle name="Remarque 2 4 2 3 3 8 3" xfId="47599" xr:uid="{00000000-0005-0000-0000-000052610000}"/>
    <cellStyle name="Remarque 2 4 2 3 3 9" xfId="2171" xr:uid="{00000000-0005-0000-0000-000053610000}"/>
    <cellStyle name="Remarque 2 4 2 3 3 9 2" xfId="26185" xr:uid="{00000000-0005-0000-0000-000054610000}"/>
    <cellStyle name="Remarque 2 4 2 3 3 9 3" xfId="50145" xr:uid="{00000000-0005-0000-0000-000055610000}"/>
    <cellStyle name="Remarque 2 4 2 3 4" xfId="929" xr:uid="{00000000-0005-0000-0000-000056610000}"/>
    <cellStyle name="Remarque 2 4 2 3 4 10" xfId="24961" xr:uid="{00000000-0005-0000-0000-000057610000}"/>
    <cellStyle name="Remarque 2 4 2 3 4 10 2" xfId="48921" xr:uid="{00000000-0005-0000-0000-000058610000}"/>
    <cellStyle name="Remarque 2 4 2 3 4 11" xfId="36206" xr:uid="{00000000-0005-0000-0000-000059610000}"/>
    <cellStyle name="Remarque 2 4 2 3 4 11 2" xfId="60166" xr:uid="{00000000-0005-0000-0000-00005A610000}"/>
    <cellStyle name="Remarque 2 4 2 3 4 12" xfId="13626" xr:uid="{00000000-0005-0000-0000-00005B610000}"/>
    <cellStyle name="Remarque 2 4 2 3 4 13" xfId="37586" xr:uid="{00000000-0005-0000-0000-00005C610000}"/>
    <cellStyle name="Remarque 2 4 2 3 4 2" xfId="3835" xr:uid="{00000000-0005-0000-0000-00005D610000}"/>
    <cellStyle name="Remarque 2 4 2 3 4 2 2" xfId="27849" xr:uid="{00000000-0005-0000-0000-00005E610000}"/>
    <cellStyle name="Remarque 2 4 2 3 4 2 2 2" xfId="51809" xr:uid="{00000000-0005-0000-0000-00005F610000}"/>
    <cellStyle name="Remarque 2 4 2 3 4 2 3" xfId="15096" xr:uid="{00000000-0005-0000-0000-000060610000}"/>
    <cellStyle name="Remarque 2 4 2 3 4 2 4" xfId="39056" xr:uid="{00000000-0005-0000-0000-000061610000}"/>
    <cellStyle name="Remarque 2 4 2 3 4 3" xfId="5269" xr:uid="{00000000-0005-0000-0000-000062610000}"/>
    <cellStyle name="Remarque 2 4 2 3 4 3 2" xfId="29283" xr:uid="{00000000-0005-0000-0000-000063610000}"/>
    <cellStyle name="Remarque 2 4 2 3 4 3 2 2" xfId="53243" xr:uid="{00000000-0005-0000-0000-000064610000}"/>
    <cellStyle name="Remarque 2 4 2 3 4 3 3" xfId="16530" xr:uid="{00000000-0005-0000-0000-000065610000}"/>
    <cellStyle name="Remarque 2 4 2 3 4 3 4" xfId="40490" xr:uid="{00000000-0005-0000-0000-000066610000}"/>
    <cellStyle name="Remarque 2 4 2 3 4 4" xfId="6663" xr:uid="{00000000-0005-0000-0000-000067610000}"/>
    <cellStyle name="Remarque 2 4 2 3 4 4 2" xfId="30677" xr:uid="{00000000-0005-0000-0000-000068610000}"/>
    <cellStyle name="Remarque 2 4 2 3 4 4 2 2" xfId="54637" xr:uid="{00000000-0005-0000-0000-000069610000}"/>
    <cellStyle name="Remarque 2 4 2 3 4 4 3" xfId="17924" xr:uid="{00000000-0005-0000-0000-00006A610000}"/>
    <cellStyle name="Remarque 2 4 2 3 4 4 4" xfId="41884" xr:uid="{00000000-0005-0000-0000-00006B610000}"/>
    <cellStyle name="Remarque 2 4 2 3 4 5" xfId="8051" xr:uid="{00000000-0005-0000-0000-00006C610000}"/>
    <cellStyle name="Remarque 2 4 2 3 4 5 2" xfId="32065" xr:uid="{00000000-0005-0000-0000-00006D610000}"/>
    <cellStyle name="Remarque 2 4 2 3 4 5 2 2" xfId="56025" xr:uid="{00000000-0005-0000-0000-00006E610000}"/>
    <cellStyle name="Remarque 2 4 2 3 4 5 3" xfId="19312" xr:uid="{00000000-0005-0000-0000-00006F610000}"/>
    <cellStyle name="Remarque 2 4 2 3 4 5 4" xfId="43272" xr:uid="{00000000-0005-0000-0000-000070610000}"/>
    <cellStyle name="Remarque 2 4 2 3 4 6" xfId="9436" xr:uid="{00000000-0005-0000-0000-000071610000}"/>
    <cellStyle name="Remarque 2 4 2 3 4 6 2" xfId="33450" xr:uid="{00000000-0005-0000-0000-000072610000}"/>
    <cellStyle name="Remarque 2 4 2 3 4 6 2 2" xfId="57410" xr:uid="{00000000-0005-0000-0000-000073610000}"/>
    <cellStyle name="Remarque 2 4 2 3 4 6 3" xfId="20697" xr:uid="{00000000-0005-0000-0000-000074610000}"/>
    <cellStyle name="Remarque 2 4 2 3 4 6 4" xfId="44657" xr:uid="{00000000-0005-0000-0000-000075610000}"/>
    <cellStyle name="Remarque 2 4 2 3 4 7" xfId="10893" xr:uid="{00000000-0005-0000-0000-000076610000}"/>
    <cellStyle name="Remarque 2 4 2 3 4 7 2" xfId="34903" xr:uid="{00000000-0005-0000-0000-000077610000}"/>
    <cellStyle name="Remarque 2 4 2 3 4 7 2 2" xfId="58863" xr:uid="{00000000-0005-0000-0000-000078610000}"/>
    <cellStyle name="Remarque 2 4 2 3 4 7 3" xfId="22160" xr:uid="{00000000-0005-0000-0000-000079610000}"/>
    <cellStyle name="Remarque 2 4 2 3 4 7 4" xfId="46120" xr:uid="{00000000-0005-0000-0000-00007A610000}"/>
    <cellStyle name="Remarque 2 4 2 3 4 8" xfId="11622" xr:uid="{00000000-0005-0000-0000-00007B610000}"/>
    <cellStyle name="Remarque 2 4 2 3 4 8 2" xfId="22890" xr:uid="{00000000-0005-0000-0000-00007C610000}"/>
    <cellStyle name="Remarque 2 4 2 3 4 8 3" xfId="46850" xr:uid="{00000000-0005-0000-0000-00007D610000}"/>
    <cellStyle name="Remarque 2 4 2 3 4 9" xfId="2365" xr:uid="{00000000-0005-0000-0000-00007E610000}"/>
    <cellStyle name="Remarque 2 4 2 3 4 9 2" xfId="26379" xr:uid="{00000000-0005-0000-0000-00007F610000}"/>
    <cellStyle name="Remarque 2 4 2 3 4 9 3" xfId="50339" xr:uid="{00000000-0005-0000-0000-000080610000}"/>
    <cellStyle name="Remarque 2 4 2 3 5" xfId="1122" xr:uid="{00000000-0005-0000-0000-000081610000}"/>
    <cellStyle name="Remarque 2 4 2 3 5 10" xfId="25154" xr:uid="{00000000-0005-0000-0000-000082610000}"/>
    <cellStyle name="Remarque 2 4 2 3 5 10 2" xfId="49114" xr:uid="{00000000-0005-0000-0000-000083610000}"/>
    <cellStyle name="Remarque 2 4 2 3 5 11" xfId="35928" xr:uid="{00000000-0005-0000-0000-000084610000}"/>
    <cellStyle name="Remarque 2 4 2 3 5 11 2" xfId="59888" xr:uid="{00000000-0005-0000-0000-000085610000}"/>
    <cellStyle name="Remarque 2 4 2 3 5 12" xfId="13819" xr:uid="{00000000-0005-0000-0000-000086610000}"/>
    <cellStyle name="Remarque 2 4 2 3 5 13" xfId="37779" xr:uid="{00000000-0005-0000-0000-000087610000}"/>
    <cellStyle name="Remarque 2 4 2 3 5 2" xfId="4028" xr:uid="{00000000-0005-0000-0000-000088610000}"/>
    <cellStyle name="Remarque 2 4 2 3 5 2 2" xfId="28042" xr:uid="{00000000-0005-0000-0000-000089610000}"/>
    <cellStyle name="Remarque 2 4 2 3 5 2 2 2" xfId="52002" xr:uid="{00000000-0005-0000-0000-00008A610000}"/>
    <cellStyle name="Remarque 2 4 2 3 5 2 3" xfId="15289" xr:uid="{00000000-0005-0000-0000-00008B610000}"/>
    <cellStyle name="Remarque 2 4 2 3 5 2 4" xfId="39249" xr:uid="{00000000-0005-0000-0000-00008C610000}"/>
    <cellStyle name="Remarque 2 4 2 3 5 3" xfId="5462" xr:uid="{00000000-0005-0000-0000-00008D610000}"/>
    <cellStyle name="Remarque 2 4 2 3 5 3 2" xfId="29476" xr:uid="{00000000-0005-0000-0000-00008E610000}"/>
    <cellStyle name="Remarque 2 4 2 3 5 3 2 2" xfId="53436" xr:uid="{00000000-0005-0000-0000-00008F610000}"/>
    <cellStyle name="Remarque 2 4 2 3 5 3 3" xfId="16723" xr:uid="{00000000-0005-0000-0000-000090610000}"/>
    <cellStyle name="Remarque 2 4 2 3 5 3 4" xfId="40683" xr:uid="{00000000-0005-0000-0000-000091610000}"/>
    <cellStyle name="Remarque 2 4 2 3 5 4" xfId="6856" xr:uid="{00000000-0005-0000-0000-000092610000}"/>
    <cellStyle name="Remarque 2 4 2 3 5 4 2" xfId="30870" xr:uid="{00000000-0005-0000-0000-000093610000}"/>
    <cellStyle name="Remarque 2 4 2 3 5 4 2 2" xfId="54830" xr:uid="{00000000-0005-0000-0000-000094610000}"/>
    <cellStyle name="Remarque 2 4 2 3 5 4 3" xfId="18117" xr:uid="{00000000-0005-0000-0000-000095610000}"/>
    <cellStyle name="Remarque 2 4 2 3 5 4 4" xfId="42077" xr:uid="{00000000-0005-0000-0000-000096610000}"/>
    <cellStyle name="Remarque 2 4 2 3 5 5" xfId="8244" xr:uid="{00000000-0005-0000-0000-000097610000}"/>
    <cellStyle name="Remarque 2 4 2 3 5 5 2" xfId="32258" xr:uid="{00000000-0005-0000-0000-000098610000}"/>
    <cellStyle name="Remarque 2 4 2 3 5 5 2 2" xfId="56218" xr:uid="{00000000-0005-0000-0000-000099610000}"/>
    <cellStyle name="Remarque 2 4 2 3 5 5 3" xfId="19505" xr:uid="{00000000-0005-0000-0000-00009A610000}"/>
    <cellStyle name="Remarque 2 4 2 3 5 5 4" xfId="43465" xr:uid="{00000000-0005-0000-0000-00009B610000}"/>
    <cellStyle name="Remarque 2 4 2 3 5 6" xfId="9629" xr:uid="{00000000-0005-0000-0000-00009C610000}"/>
    <cellStyle name="Remarque 2 4 2 3 5 6 2" xfId="33643" xr:uid="{00000000-0005-0000-0000-00009D610000}"/>
    <cellStyle name="Remarque 2 4 2 3 5 6 2 2" xfId="57603" xr:uid="{00000000-0005-0000-0000-00009E610000}"/>
    <cellStyle name="Remarque 2 4 2 3 5 6 3" xfId="20890" xr:uid="{00000000-0005-0000-0000-00009F610000}"/>
    <cellStyle name="Remarque 2 4 2 3 5 6 4" xfId="44850" xr:uid="{00000000-0005-0000-0000-0000A0610000}"/>
    <cellStyle name="Remarque 2 4 2 3 5 7" xfId="11086" xr:uid="{00000000-0005-0000-0000-0000A1610000}"/>
    <cellStyle name="Remarque 2 4 2 3 5 7 2" xfId="35096" xr:uid="{00000000-0005-0000-0000-0000A2610000}"/>
    <cellStyle name="Remarque 2 4 2 3 5 7 2 2" xfId="59056" xr:uid="{00000000-0005-0000-0000-0000A3610000}"/>
    <cellStyle name="Remarque 2 4 2 3 5 7 3" xfId="22353" xr:uid="{00000000-0005-0000-0000-0000A4610000}"/>
    <cellStyle name="Remarque 2 4 2 3 5 7 4" xfId="46313" xr:uid="{00000000-0005-0000-0000-0000A5610000}"/>
    <cellStyle name="Remarque 2 4 2 3 5 8" xfId="11694" xr:uid="{00000000-0005-0000-0000-0000A6610000}"/>
    <cellStyle name="Remarque 2 4 2 3 5 8 2" xfId="22963" xr:uid="{00000000-0005-0000-0000-0000A7610000}"/>
    <cellStyle name="Remarque 2 4 2 3 5 8 3" xfId="46923" xr:uid="{00000000-0005-0000-0000-0000A8610000}"/>
    <cellStyle name="Remarque 2 4 2 3 5 9" xfId="2558" xr:uid="{00000000-0005-0000-0000-0000A9610000}"/>
    <cellStyle name="Remarque 2 4 2 3 5 9 2" xfId="26572" xr:uid="{00000000-0005-0000-0000-0000AA610000}"/>
    <cellStyle name="Remarque 2 4 2 3 5 9 3" xfId="50532" xr:uid="{00000000-0005-0000-0000-0000AB610000}"/>
    <cellStyle name="Remarque 2 4 2 3 6" xfId="1289" xr:uid="{00000000-0005-0000-0000-0000AC610000}"/>
    <cellStyle name="Remarque 2 4 2 3 6 10" xfId="25321" xr:uid="{00000000-0005-0000-0000-0000AD610000}"/>
    <cellStyle name="Remarque 2 4 2 3 6 10 2" xfId="49281" xr:uid="{00000000-0005-0000-0000-0000AE610000}"/>
    <cellStyle name="Remarque 2 4 2 3 6 11" xfId="36578" xr:uid="{00000000-0005-0000-0000-0000AF610000}"/>
    <cellStyle name="Remarque 2 4 2 3 6 11 2" xfId="60538" xr:uid="{00000000-0005-0000-0000-0000B0610000}"/>
    <cellStyle name="Remarque 2 4 2 3 6 12" xfId="13986" xr:uid="{00000000-0005-0000-0000-0000B1610000}"/>
    <cellStyle name="Remarque 2 4 2 3 6 13" xfId="37946" xr:uid="{00000000-0005-0000-0000-0000B2610000}"/>
    <cellStyle name="Remarque 2 4 2 3 6 2" xfId="4195" xr:uid="{00000000-0005-0000-0000-0000B3610000}"/>
    <cellStyle name="Remarque 2 4 2 3 6 2 2" xfId="28209" xr:uid="{00000000-0005-0000-0000-0000B4610000}"/>
    <cellStyle name="Remarque 2 4 2 3 6 2 2 2" xfId="52169" xr:uid="{00000000-0005-0000-0000-0000B5610000}"/>
    <cellStyle name="Remarque 2 4 2 3 6 2 3" xfId="15456" xr:uid="{00000000-0005-0000-0000-0000B6610000}"/>
    <cellStyle name="Remarque 2 4 2 3 6 2 4" xfId="39416" xr:uid="{00000000-0005-0000-0000-0000B7610000}"/>
    <cellStyle name="Remarque 2 4 2 3 6 3" xfId="5629" xr:uid="{00000000-0005-0000-0000-0000B8610000}"/>
    <cellStyle name="Remarque 2 4 2 3 6 3 2" xfId="29643" xr:uid="{00000000-0005-0000-0000-0000B9610000}"/>
    <cellStyle name="Remarque 2 4 2 3 6 3 2 2" xfId="53603" xr:uid="{00000000-0005-0000-0000-0000BA610000}"/>
    <cellStyle name="Remarque 2 4 2 3 6 3 3" xfId="16890" xr:uid="{00000000-0005-0000-0000-0000BB610000}"/>
    <cellStyle name="Remarque 2 4 2 3 6 3 4" xfId="40850" xr:uid="{00000000-0005-0000-0000-0000BC610000}"/>
    <cellStyle name="Remarque 2 4 2 3 6 4" xfId="7023" xr:uid="{00000000-0005-0000-0000-0000BD610000}"/>
    <cellStyle name="Remarque 2 4 2 3 6 4 2" xfId="31037" xr:uid="{00000000-0005-0000-0000-0000BE610000}"/>
    <cellStyle name="Remarque 2 4 2 3 6 4 2 2" xfId="54997" xr:uid="{00000000-0005-0000-0000-0000BF610000}"/>
    <cellStyle name="Remarque 2 4 2 3 6 4 3" xfId="18284" xr:uid="{00000000-0005-0000-0000-0000C0610000}"/>
    <cellStyle name="Remarque 2 4 2 3 6 4 4" xfId="42244" xr:uid="{00000000-0005-0000-0000-0000C1610000}"/>
    <cellStyle name="Remarque 2 4 2 3 6 5" xfId="8411" xr:uid="{00000000-0005-0000-0000-0000C2610000}"/>
    <cellStyle name="Remarque 2 4 2 3 6 5 2" xfId="32425" xr:uid="{00000000-0005-0000-0000-0000C3610000}"/>
    <cellStyle name="Remarque 2 4 2 3 6 5 2 2" xfId="56385" xr:uid="{00000000-0005-0000-0000-0000C4610000}"/>
    <cellStyle name="Remarque 2 4 2 3 6 5 3" xfId="19672" xr:uid="{00000000-0005-0000-0000-0000C5610000}"/>
    <cellStyle name="Remarque 2 4 2 3 6 5 4" xfId="43632" xr:uid="{00000000-0005-0000-0000-0000C6610000}"/>
    <cellStyle name="Remarque 2 4 2 3 6 6" xfId="9796" xr:uid="{00000000-0005-0000-0000-0000C7610000}"/>
    <cellStyle name="Remarque 2 4 2 3 6 6 2" xfId="33810" xr:uid="{00000000-0005-0000-0000-0000C8610000}"/>
    <cellStyle name="Remarque 2 4 2 3 6 6 2 2" xfId="57770" xr:uid="{00000000-0005-0000-0000-0000C9610000}"/>
    <cellStyle name="Remarque 2 4 2 3 6 6 3" xfId="21057" xr:uid="{00000000-0005-0000-0000-0000CA610000}"/>
    <cellStyle name="Remarque 2 4 2 3 6 6 4" xfId="45017" xr:uid="{00000000-0005-0000-0000-0000CB610000}"/>
    <cellStyle name="Remarque 2 4 2 3 6 7" xfId="11253" xr:uid="{00000000-0005-0000-0000-0000CC610000}"/>
    <cellStyle name="Remarque 2 4 2 3 6 7 2" xfId="35263" xr:uid="{00000000-0005-0000-0000-0000CD610000}"/>
    <cellStyle name="Remarque 2 4 2 3 6 7 2 2" xfId="59223" xr:uid="{00000000-0005-0000-0000-0000CE610000}"/>
    <cellStyle name="Remarque 2 4 2 3 6 7 3" xfId="22520" xr:uid="{00000000-0005-0000-0000-0000CF610000}"/>
    <cellStyle name="Remarque 2 4 2 3 6 7 4" xfId="46480" xr:uid="{00000000-0005-0000-0000-0000D0610000}"/>
    <cellStyle name="Remarque 2 4 2 3 6 8" xfId="12537" xr:uid="{00000000-0005-0000-0000-0000D1610000}"/>
    <cellStyle name="Remarque 2 4 2 3 6 8 2" xfId="23835" xr:uid="{00000000-0005-0000-0000-0000D2610000}"/>
    <cellStyle name="Remarque 2 4 2 3 6 8 3" xfId="47795" xr:uid="{00000000-0005-0000-0000-0000D3610000}"/>
    <cellStyle name="Remarque 2 4 2 3 6 9" xfId="2725" xr:uid="{00000000-0005-0000-0000-0000D4610000}"/>
    <cellStyle name="Remarque 2 4 2 3 6 9 2" xfId="26739" xr:uid="{00000000-0005-0000-0000-0000D5610000}"/>
    <cellStyle name="Remarque 2 4 2 3 6 9 3" xfId="50699" xr:uid="{00000000-0005-0000-0000-0000D6610000}"/>
    <cellStyle name="Remarque 2 4 2 3 7" xfId="1458" xr:uid="{00000000-0005-0000-0000-0000D7610000}"/>
    <cellStyle name="Remarque 2 4 2 3 7 10" xfId="25490" xr:uid="{00000000-0005-0000-0000-0000D8610000}"/>
    <cellStyle name="Remarque 2 4 2 3 7 10 2" xfId="49450" xr:uid="{00000000-0005-0000-0000-0000D9610000}"/>
    <cellStyle name="Remarque 2 4 2 3 7 11" xfId="36008" xr:uid="{00000000-0005-0000-0000-0000DA610000}"/>
    <cellStyle name="Remarque 2 4 2 3 7 11 2" xfId="59968" xr:uid="{00000000-0005-0000-0000-0000DB610000}"/>
    <cellStyle name="Remarque 2 4 2 3 7 12" xfId="14155" xr:uid="{00000000-0005-0000-0000-0000DC610000}"/>
    <cellStyle name="Remarque 2 4 2 3 7 13" xfId="38115" xr:uid="{00000000-0005-0000-0000-0000DD610000}"/>
    <cellStyle name="Remarque 2 4 2 3 7 2" xfId="4364" xr:uid="{00000000-0005-0000-0000-0000DE610000}"/>
    <cellStyle name="Remarque 2 4 2 3 7 2 2" xfId="28378" xr:uid="{00000000-0005-0000-0000-0000DF610000}"/>
    <cellStyle name="Remarque 2 4 2 3 7 2 2 2" xfId="52338" xr:uid="{00000000-0005-0000-0000-0000E0610000}"/>
    <cellStyle name="Remarque 2 4 2 3 7 2 3" xfId="15625" xr:uid="{00000000-0005-0000-0000-0000E1610000}"/>
    <cellStyle name="Remarque 2 4 2 3 7 2 4" xfId="39585" xr:uid="{00000000-0005-0000-0000-0000E2610000}"/>
    <cellStyle name="Remarque 2 4 2 3 7 3" xfId="5798" xr:uid="{00000000-0005-0000-0000-0000E3610000}"/>
    <cellStyle name="Remarque 2 4 2 3 7 3 2" xfId="29812" xr:uid="{00000000-0005-0000-0000-0000E4610000}"/>
    <cellStyle name="Remarque 2 4 2 3 7 3 2 2" xfId="53772" xr:uid="{00000000-0005-0000-0000-0000E5610000}"/>
    <cellStyle name="Remarque 2 4 2 3 7 3 3" xfId="17059" xr:uid="{00000000-0005-0000-0000-0000E6610000}"/>
    <cellStyle name="Remarque 2 4 2 3 7 3 4" xfId="41019" xr:uid="{00000000-0005-0000-0000-0000E7610000}"/>
    <cellStyle name="Remarque 2 4 2 3 7 4" xfId="7192" xr:uid="{00000000-0005-0000-0000-0000E8610000}"/>
    <cellStyle name="Remarque 2 4 2 3 7 4 2" xfId="31206" xr:uid="{00000000-0005-0000-0000-0000E9610000}"/>
    <cellStyle name="Remarque 2 4 2 3 7 4 2 2" xfId="55166" xr:uid="{00000000-0005-0000-0000-0000EA610000}"/>
    <cellStyle name="Remarque 2 4 2 3 7 4 3" xfId="18453" xr:uid="{00000000-0005-0000-0000-0000EB610000}"/>
    <cellStyle name="Remarque 2 4 2 3 7 4 4" xfId="42413" xr:uid="{00000000-0005-0000-0000-0000EC610000}"/>
    <cellStyle name="Remarque 2 4 2 3 7 5" xfId="8580" xr:uid="{00000000-0005-0000-0000-0000ED610000}"/>
    <cellStyle name="Remarque 2 4 2 3 7 5 2" xfId="32594" xr:uid="{00000000-0005-0000-0000-0000EE610000}"/>
    <cellStyle name="Remarque 2 4 2 3 7 5 2 2" xfId="56554" xr:uid="{00000000-0005-0000-0000-0000EF610000}"/>
    <cellStyle name="Remarque 2 4 2 3 7 5 3" xfId="19841" xr:uid="{00000000-0005-0000-0000-0000F0610000}"/>
    <cellStyle name="Remarque 2 4 2 3 7 5 4" xfId="43801" xr:uid="{00000000-0005-0000-0000-0000F1610000}"/>
    <cellStyle name="Remarque 2 4 2 3 7 6" xfId="9965" xr:uid="{00000000-0005-0000-0000-0000F2610000}"/>
    <cellStyle name="Remarque 2 4 2 3 7 6 2" xfId="33979" xr:uid="{00000000-0005-0000-0000-0000F3610000}"/>
    <cellStyle name="Remarque 2 4 2 3 7 6 2 2" xfId="57939" xr:uid="{00000000-0005-0000-0000-0000F4610000}"/>
    <cellStyle name="Remarque 2 4 2 3 7 6 3" xfId="21226" xr:uid="{00000000-0005-0000-0000-0000F5610000}"/>
    <cellStyle name="Remarque 2 4 2 3 7 6 4" xfId="45186" xr:uid="{00000000-0005-0000-0000-0000F6610000}"/>
    <cellStyle name="Remarque 2 4 2 3 7 7" xfId="11422" xr:uid="{00000000-0005-0000-0000-0000F7610000}"/>
    <cellStyle name="Remarque 2 4 2 3 7 7 2" xfId="35432" xr:uid="{00000000-0005-0000-0000-0000F8610000}"/>
    <cellStyle name="Remarque 2 4 2 3 7 7 2 2" xfId="59392" xr:uid="{00000000-0005-0000-0000-0000F9610000}"/>
    <cellStyle name="Remarque 2 4 2 3 7 7 3" xfId="22689" xr:uid="{00000000-0005-0000-0000-0000FA610000}"/>
    <cellStyle name="Remarque 2 4 2 3 7 7 4" xfId="46649" xr:uid="{00000000-0005-0000-0000-0000FB610000}"/>
    <cellStyle name="Remarque 2 4 2 3 7 8" xfId="12571" xr:uid="{00000000-0005-0000-0000-0000FC610000}"/>
    <cellStyle name="Remarque 2 4 2 3 7 8 2" xfId="23871" xr:uid="{00000000-0005-0000-0000-0000FD610000}"/>
    <cellStyle name="Remarque 2 4 2 3 7 8 3" xfId="47831" xr:uid="{00000000-0005-0000-0000-0000FE610000}"/>
    <cellStyle name="Remarque 2 4 2 3 7 9" xfId="2894" xr:uid="{00000000-0005-0000-0000-0000FF610000}"/>
    <cellStyle name="Remarque 2 4 2 3 7 9 2" xfId="26908" xr:uid="{00000000-0005-0000-0000-000000620000}"/>
    <cellStyle name="Remarque 2 4 2 3 7 9 3" xfId="50868" xr:uid="{00000000-0005-0000-0000-000001620000}"/>
    <cellStyle name="Remarque 2 4 2 3 8" xfId="3313" xr:uid="{00000000-0005-0000-0000-000002620000}"/>
    <cellStyle name="Remarque 2 4 2 3 8 2" xfId="27327" xr:uid="{00000000-0005-0000-0000-000003620000}"/>
    <cellStyle name="Remarque 2 4 2 3 8 2 2" xfId="51287" xr:uid="{00000000-0005-0000-0000-000004620000}"/>
    <cellStyle name="Remarque 2 4 2 3 8 3" xfId="14574" xr:uid="{00000000-0005-0000-0000-000005620000}"/>
    <cellStyle name="Remarque 2 4 2 3 8 4" xfId="38534" xr:uid="{00000000-0005-0000-0000-000006620000}"/>
    <cellStyle name="Remarque 2 4 2 3 9" xfId="4747" xr:uid="{00000000-0005-0000-0000-000007620000}"/>
    <cellStyle name="Remarque 2 4 2 3 9 2" xfId="28761" xr:uid="{00000000-0005-0000-0000-000008620000}"/>
    <cellStyle name="Remarque 2 4 2 3 9 2 2" xfId="52721" xr:uid="{00000000-0005-0000-0000-000009620000}"/>
    <cellStyle name="Remarque 2 4 2 3 9 3" xfId="16008" xr:uid="{00000000-0005-0000-0000-00000A620000}"/>
    <cellStyle name="Remarque 2 4 2 3 9 4" xfId="39968" xr:uid="{00000000-0005-0000-0000-00000B620000}"/>
    <cellStyle name="Remarque 2 4 2 4" xfId="447" xr:uid="{00000000-0005-0000-0000-00000C620000}"/>
    <cellStyle name="Remarque 2 4 2 4 10" xfId="6181" xr:uid="{00000000-0005-0000-0000-00000D620000}"/>
    <cellStyle name="Remarque 2 4 2 4 10 2" xfId="30195" xr:uid="{00000000-0005-0000-0000-00000E620000}"/>
    <cellStyle name="Remarque 2 4 2 4 10 2 2" xfId="54155" xr:uid="{00000000-0005-0000-0000-00000F620000}"/>
    <cellStyle name="Remarque 2 4 2 4 10 3" xfId="17442" xr:uid="{00000000-0005-0000-0000-000010620000}"/>
    <cellStyle name="Remarque 2 4 2 4 10 4" xfId="41402" xr:uid="{00000000-0005-0000-0000-000011620000}"/>
    <cellStyle name="Remarque 2 4 2 4 11" xfId="7569" xr:uid="{00000000-0005-0000-0000-000012620000}"/>
    <cellStyle name="Remarque 2 4 2 4 11 2" xfId="31583" xr:uid="{00000000-0005-0000-0000-000013620000}"/>
    <cellStyle name="Remarque 2 4 2 4 11 2 2" xfId="55543" xr:uid="{00000000-0005-0000-0000-000014620000}"/>
    <cellStyle name="Remarque 2 4 2 4 11 3" xfId="18830" xr:uid="{00000000-0005-0000-0000-000015620000}"/>
    <cellStyle name="Remarque 2 4 2 4 11 4" xfId="42790" xr:uid="{00000000-0005-0000-0000-000016620000}"/>
    <cellStyle name="Remarque 2 4 2 4 12" xfId="8954" xr:uid="{00000000-0005-0000-0000-000017620000}"/>
    <cellStyle name="Remarque 2 4 2 4 12 2" xfId="32968" xr:uid="{00000000-0005-0000-0000-000018620000}"/>
    <cellStyle name="Remarque 2 4 2 4 12 2 2" xfId="56928" xr:uid="{00000000-0005-0000-0000-000019620000}"/>
    <cellStyle name="Remarque 2 4 2 4 12 3" xfId="20215" xr:uid="{00000000-0005-0000-0000-00001A620000}"/>
    <cellStyle name="Remarque 2 4 2 4 12 4" xfId="44175" xr:uid="{00000000-0005-0000-0000-00001B620000}"/>
    <cellStyle name="Remarque 2 4 2 4 13" xfId="10411" xr:uid="{00000000-0005-0000-0000-00001C620000}"/>
    <cellStyle name="Remarque 2 4 2 4 13 2" xfId="34421" xr:uid="{00000000-0005-0000-0000-00001D620000}"/>
    <cellStyle name="Remarque 2 4 2 4 13 2 2" xfId="58381" xr:uid="{00000000-0005-0000-0000-00001E620000}"/>
    <cellStyle name="Remarque 2 4 2 4 13 3" xfId="21678" xr:uid="{00000000-0005-0000-0000-00001F620000}"/>
    <cellStyle name="Remarque 2 4 2 4 13 4" xfId="45638" xr:uid="{00000000-0005-0000-0000-000020620000}"/>
    <cellStyle name="Remarque 2 4 2 4 14" xfId="11875" xr:uid="{00000000-0005-0000-0000-000021620000}"/>
    <cellStyle name="Remarque 2 4 2 4 14 2" xfId="23152" xr:uid="{00000000-0005-0000-0000-000022620000}"/>
    <cellStyle name="Remarque 2 4 2 4 14 3" xfId="47112" xr:uid="{00000000-0005-0000-0000-000023620000}"/>
    <cellStyle name="Remarque 2 4 2 4 15" xfId="1883" xr:uid="{00000000-0005-0000-0000-000024620000}"/>
    <cellStyle name="Remarque 2 4 2 4 15 2" xfId="25897" xr:uid="{00000000-0005-0000-0000-000025620000}"/>
    <cellStyle name="Remarque 2 4 2 4 15 3" xfId="49857" xr:uid="{00000000-0005-0000-0000-000026620000}"/>
    <cellStyle name="Remarque 2 4 2 4 16" xfId="24479" xr:uid="{00000000-0005-0000-0000-000027620000}"/>
    <cellStyle name="Remarque 2 4 2 4 16 2" xfId="48439" xr:uid="{00000000-0005-0000-0000-000028620000}"/>
    <cellStyle name="Remarque 2 4 2 4 17" xfId="36388" xr:uid="{00000000-0005-0000-0000-000029620000}"/>
    <cellStyle name="Remarque 2 4 2 4 17 2" xfId="60348" xr:uid="{00000000-0005-0000-0000-00002A620000}"/>
    <cellStyle name="Remarque 2 4 2 4 18" xfId="13144" xr:uid="{00000000-0005-0000-0000-00002B620000}"/>
    <cellStyle name="Remarque 2 4 2 4 19" xfId="37104" xr:uid="{00000000-0005-0000-0000-00002C620000}"/>
    <cellStyle name="Remarque 2 4 2 4 2" xfId="583" xr:uid="{00000000-0005-0000-0000-00002D620000}"/>
    <cellStyle name="Remarque 2 4 2 4 2 10" xfId="24615" xr:uid="{00000000-0005-0000-0000-00002E620000}"/>
    <cellStyle name="Remarque 2 4 2 4 2 10 2" xfId="48575" xr:uid="{00000000-0005-0000-0000-00002F620000}"/>
    <cellStyle name="Remarque 2 4 2 4 2 11" xfId="36032" xr:uid="{00000000-0005-0000-0000-000030620000}"/>
    <cellStyle name="Remarque 2 4 2 4 2 11 2" xfId="59992" xr:uid="{00000000-0005-0000-0000-000031620000}"/>
    <cellStyle name="Remarque 2 4 2 4 2 12" xfId="13280" xr:uid="{00000000-0005-0000-0000-000032620000}"/>
    <cellStyle name="Remarque 2 4 2 4 2 13" xfId="37240" xr:uid="{00000000-0005-0000-0000-000033620000}"/>
    <cellStyle name="Remarque 2 4 2 4 2 2" xfId="3489" xr:uid="{00000000-0005-0000-0000-000034620000}"/>
    <cellStyle name="Remarque 2 4 2 4 2 2 2" xfId="27503" xr:uid="{00000000-0005-0000-0000-000035620000}"/>
    <cellStyle name="Remarque 2 4 2 4 2 2 2 2" xfId="51463" xr:uid="{00000000-0005-0000-0000-000036620000}"/>
    <cellStyle name="Remarque 2 4 2 4 2 2 3" xfId="14750" xr:uid="{00000000-0005-0000-0000-000037620000}"/>
    <cellStyle name="Remarque 2 4 2 4 2 2 4" xfId="38710" xr:uid="{00000000-0005-0000-0000-000038620000}"/>
    <cellStyle name="Remarque 2 4 2 4 2 3" xfId="4923" xr:uid="{00000000-0005-0000-0000-000039620000}"/>
    <cellStyle name="Remarque 2 4 2 4 2 3 2" xfId="28937" xr:uid="{00000000-0005-0000-0000-00003A620000}"/>
    <cellStyle name="Remarque 2 4 2 4 2 3 2 2" xfId="52897" xr:uid="{00000000-0005-0000-0000-00003B620000}"/>
    <cellStyle name="Remarque 2 4 2 4 2 3 3" xfId="16184" xr:uid="{00000000-0005-0000-0000-00003C620000}"/>
    <cellStyle name="Remarque 2 4 2 4 2 3 4" xfId="40144" xr:uid="{00000000-0005-0000-0000-00003D620000}"/>
    <cellStyle name="Remarque 2 4 2 4 2 4" xfId="6317" xr:uid="{00000000-0005-0000-0000-00003E620000}"/>
    <cellStyle name="Remarque 2 4 2 4 2 4 2" xfId="30331" xr:uid="{00000000-0005-0000-0000-00003F620000}"/>
    <cellStyle name="Remarque 2 4 2 4 2 4 2 2" xfId="54291" xr:uid="{00000000-0005-0000-0000-000040620000}"/>
    <cellStyle name="Remarque 2 4 2 4 2 4 3" xfId="17578" xr:uid="{00000000-0005-0000-0000-000041620000}"/>
    <cellStyle name="Remarque 2 4 2 4 2 4 4" xfId="41538" xr:uid="{00000000-0005-0000-0000-000042620000}"/>
    <cellStyle name="Remarque 2 4 2 4 2 5" xfId="7705" xr:uid="{00000000-0005-0000-0000-000043620000}"/>
    <cellStyle name="Remarque 2 4 2 4 2 5 2" xfId="31719" xr:uid="{00000000-0005-0000-0000-000044620000}"/>
    <cellStyle name="Remarque 2 4 2 4 2 5 2 2" xfId="55679" xr:uid="{00000000-0005-0000-0000-000045620000}"/>
    <cellStyle name="Remarque 2 4 2 4 2 5 3" xfId="18966" xr:uid="{00000000-0005-0000-0000-000046620000}"/>
    <cellStyle name="Remarque 2 4 2 4 2 5 4" xfId="42926" xr:uid="{00000000-0005-0000-0000-000047620000}"/>
    <cellStyle name="Remarque 2 4 2 4 2 6" xfId="9090" xr:uid="{00000000-0005-0000-0000-000048620000}"/>
    <cellStyle name="Remarque 2 4 2 4 2 6 2" xfId="33104" xr:uid="{00000000-0005-0000-0000-000049620000}"/>
    <cellStyle name="Remarque 2 4 2 4 2 6 2 2" xfId="57064" xr:uid="{00000000-0005-0000-0000-00004A620000}"/>
    <cellStyle name="Remarque 2 4 2 4 2 6 3" xfId="20351" xr:uid="{00000000-0005-0000-0000-00004B620000}"/>
    <cellStyle name="Remarque 2 4 2 4 2 6 4" xfId="44311" xr:uid="{00000000-0005-0000-0000-00004C620000}"/>
    <cellStyle name="Remarque 2 4 2 4 2 7" xfId="10547" xr:uid="{00000000-0005-0000-0000-00004D620000}"/>
    <cellStyle name="Remarque 2 4 2 4 2 7 2" xfId="34557" xr:uid="{00000000-0005-0000-0000-00004E620000}"/>
    <cellStyle name="Remarque 2 4 2 4 2 7 2 2" xfId="58517" xr:uid="{00000000-0005-0000-0000-00004F620000}"/>
    <cellStyle name="Remarque 2 4 2 4 2 7 3" xfId="21814" xr:uid="{00000000-0005-0000-0000-000050620000}"/>
    <cellStyle name="Remarque 2 4 2 4 2 7 4" xfId="45774" xr:uid="{00000000-0005-0000-0000-000051620000}"/>
    <cellStyle name="Remarque 2 4 2 4 2 8" xfId="12430" xr:uid="{00000000-0005-0000-0000-000052620000}"/>
    <cellStyle name="Remarque 2 4 2 4 2 8 2" xfId="23722" xr:uid="{00000000-0005-0000-0000-000053620000}"/>
    <cellStyle name="Remarque 2 4 2 4 2 8 3" xfId="47682" xr:uid="{00000000-0005-0000-0000-000054620000}"/>
    <cellStyle name="Remarque 2 4 2 4 2 9" xfId="2019" xr:uid="{00000000-0005-0000-0000-000055620000}"/>
    <cellStyle name="Remarque 2 4 2 4 2 9 2" xfId="26033" xr:uid="{00000000-0005-0000-0000-000056620000}"/>
    <cellStyle name="Remarque 2 4 2 4 2 9 3" xfId="49993" xr:uid="{00000000-0005-0000-0000-000057620000}"/>
    <cellStyle name="Remarque 2 4 2 4 3" xfId="775" xr:uid="{00000000-0005-0000-0000-000058620000}"/>
    <cellStyle name="Remarque 2 4 2 4 3 10" xfId="24807" xr:uid="{00000000-0005-0000-0000-000059620000}"/>
    <cellStyle name="Remarque 2 4 2 4 3 10 2" xfId="48767" xr:uid="{00000000-0005-0000-0000-00005A620000}"/>
    <cellStyle name="Remarque 2 4 2 4 3 11" xfId="36342" xr:uid="{00000000-0005-0000-0000-00005B620000}"/>
    <cellStyle name="Remarque 2 4 2 4 3 11 2" xfId="60302" xr:uid="{00000000-0005-0000-0000-00005C620000}"/>
    <cellStyle name="Remarque 2 4 2 4 3 12" xfId="13472" xr:uid="{00000000-0005-0000-0000-00005D620000}"/>
    <cellStyle name="Remarque 2 4 2 4 3 13" xfId="37432" xr:uid="{00000000-0005-0000-0000-00005E620000}"/>
    <cellStyle name="Remarque 2 4 2 4 3 2" xfId="3681" xr:uid="{00000000-0005-0000-0000-00005F620000}"/>
    <cellStyle name="Remarque 2 4 2 4 3 2 2" xfId="27695" xr:uid="{00000000-0005-0000-0000-000060620000}"/>
    <cellStyle name="Remarque 2 4 2 4 3 2 2 2" xfId="51655" xr:uid="{00000000-0005-0000-0000-000061620000}"/>
    <cellStyle name="Remarque 2 4 2 4 3 2 3" xfId="14942" xr:uid="{00000000-0005-0000-0000-000062620000}"/>
    <cellStyle name="Remarque 2 4 2 4 3 2 4" xfId="38902" xr:uid="{00000000-0005-0000-0000-000063620000}"/>
    <cellStyle name="Remarque 2 4 2 4 3 3" xfId="5115" xr:uid="{00000000-0005-0000-0000-000064620000}"/>
    <cellStyle name="Remarque 2 4 2 4 3 3 2" xfId="29129" xr:uid="{00000000-0005-0000-0000-000065620000}"/>
    <cellStyle name="Remarque 2 4 2 4 3 3 2 2" xfId="53089" xr:uid="{00000000-0005-0000-0000-000066620000}"/>
    <cellStyle name="Remarque 2 4 2 4 3 3 3" xfId="16376" xr:uid="{00000000-0005-0000-0000-000067620000}"/>
    <cellStyle name="Remarque 2 4 2 4 3 3 4" xfId="40336" xr:uid="{00000000-0005-0000-0000-000068620000}"/>
    <cellStyle name="Remarque 2 4 2 4 3 4" xfId="6509" xr:uid="{00000000-0005-0000-0000-000069620000}"/>
    <cellStyle name="Remarque 2 4 2 4 3 4 2" xfId="30523" xr:uid="{00000000-0005-0000-0000-00006A620000}"/>
    <cellStyle name="Remarque 2 4 2 4 3 4 2 2" xfId="54483" xr:uid="{00000000-0005-0000-0000-00006B620000}"/>
    <cellStyle name="Remarque 2 4 2 4 3 4 3" xfId="17770" xr:uid="{00000000-0005-0000-0000-00006C620000}"/>
    <cellStyle name="Remarque 2 4 2 4 3 4 4" xfId="41730" xr:uid="{00000000-0005-0000-0000-00006D620000}"/>
    <cellStyle name="Remarque 2 4 2 4 3 5" xfId="7897" xr:uid="{00000000-0005-0000-0000-00006E620000}"/>
    <cellStyle name="Remarque 2 4 2 4 3 5 2" xfId="31911" xr:uid="{00000000-0005-0000-0000-00006F620000}"/>
    <cellStyle name="Remarque 2 4 2 4 3 5 2 2" xfId="55871" xr:uid="{00000000-0005-0000-0000-000070620000}"/>
    <cellStyle name="Remarque 2 4 2 4 3 5 3" xfId="19158" xr:uid="{00000000-0005-0000-0000-000071620000}"/>
    <cellStyle name="Remarque 2 4 2 4 3 5 4" xfId="43118" xr:uid="{00000000-0005-0000-0000-000072620000}"/>
    <cellStyle name="Remarque 2 4 2 4 3 6" xfId="9282" xr:uid="{00000000-0005-0000-0000-000073620000}"/>
    <cellStyle name="Remarque 2 4 2 4 3 6 2" xfId="33296" xr:uid="{00000000-0005-0000-0000-000074620000}"/>
    <cellStyle name="Remarque 2 4 2 4 3 6 2 2" xfId="57256" xr:uid="{00000000-0005-0000-0000-000075620000}"/>
    <cellStyle name="Remarque 2 4 2 4 3 6 3" xfId="20543" xr:uid="{00000000-0005-0000-0000-000076620000}"/>
    <cellStyle name="Remarque 2 4 2 4 3 6 4" xfId="44503" xr:uid="{00000000-0005-0000-0000-000077620000}"/>
    <cellStyle name="Remarque 2 4 2 4 3 7" xfId="10739" xr:uid="{00000000-0005-0000-0000-000078620000}"/>
    <cellStyle name="Remarque 2 4 2 4 3 7 2" xfId="34749" xr:uid="{00000000-0005-0000-0000-000079620000}"/>
    <cellStyle name="Remarque 2 4 2 4 3 7 2 2" xfId="58709" xr:uid="{00000000-0005-0000-0000-00007A620000}"/>
    <cellStyle name="Remarque 2 4 2 4 3 7 3" xfId="22006" xr:uid="{00000000-0005-0000-0000-00007B620000}"/>
    <cellStyle name="Remarque 2 4 2 4 3 7 4" xfId="45966" xr:uid="{00000000-0005-0000-0000-00007C620000}"/>
    <cellStyle name="Remarque 2 4 2 4 3 8" xfId="12122" xr:uid="{00000000-0005-0000-0000-00007D620000}"/>
    <cellStyle name="Remarque 2 4 2 4 3 8 2" xfId="23405" xr:uid="{00000000-0005-0000-0000-00007E620000}"/>
    <cellStyle name="Remarque 2 4 2 4 3 8 3" xfId="47365" xr:uid="{00000000-0005-0000-0000-00007F620000}"/>
    <cellStyle name="Remarque 2 4 2 4 3 9" xfId="2211" xr:uid="{00000000-0005-0000-0000-000080620000}"/>
    <cellStyle name="Remarque 2 4 2 4 3 9 2" xfId="26225" xr:uid="{00000000-0005-0000-0000-000081620000}"/>
    <cellStyle name="Remarque 2 4 2 4 3 9 3" xfId="50185" xr:uid="{00000000-0005-0000-0000-000082620000}"/>
    <cellStyle name="Remarque 2 4 2 4 4" xfId="969" xr:uid="{00000000-0005-0000-0000-000083620000}"/>
    <cellStyle name="Remarque 2 4 2 4 4 10" xfId="25001" xr:uid="{00000000-0005-0000-0000-000084620000}"/>
    <cellStyle name="Remarque 2 4 2 4 4 10 2" xfId="48961" xr:uid="{00000000-0005-0000-0000-000085620000}"/>
    <cellStyle name="Remarque 2 4 2 4 4 11" xfId="36405" xr:uid="{00000000-0005-0000-0000-000086620000}"/>
    <cellStyle name="Remarque 2 4 2 4 4 11 2" xfId="60365" xr:uid="{00000000-0005-0000-0000-000087620000}"/>
    <cellStyle name="Remarque 2 4 2 4 4 12" xfId="13666" xr:uid="{00000000-0005-0000-0000-000088620000}"/>
    <cellStyle name="Remarque 2 4 2 4 4 13" xfId="37626" xr:uid="{00000000-0005-0000-0000-000089620000}"/>
    <cellStyle name="Remarque 2 4 2 4 4 2" xfId="3875" xr:uid="{00000000-0005-0000-0000-00008A620000}"/>
    <cellStyle name="Remarque 2 4 2 4 4 2 2" xfId="27889" xr:uid="{00000000-0005-0000-0000-00008B620000}"/>
    <cellStyle name="Remarque 2 4 2 4 4 2 2 2" xfId="51849" xr:uid="{00000000-0005-0000-0000-00008C620000}"/>
    <cellStyle name="Remarque 2 4 2 4 4 2 3" xfId="15136" xr:uid="{00000000-0005-0000-0000-00008D620000}"/>
    <cellStyle name="Remarque 2 4 2 4 4 2 4" xfId="39096" xr:uid="{00000000-0005-0000-0000-00008E620000}"/>
    <cellStyle name="Remarque 2 4 2 4 4 3" xfId="5309" xr:uid="{00000000-0005-0000-0000-00008F620000}"/>
    <cellStyle name="Remarque 2 4 2 4 4 3 2" xfId="29323" xr:uid="{00000000-0005-0000-0000-000090620000}"/>
    <cellStyle name="Remarque 2 4 2 4 4 3 2 2" xfId="53283" xr:uid="{00000000-0005-0000-0000-000091620000}"/>
    <cellStyle name="Remarque 2 4 2 4 4 3 3" xfId="16570" xr:uid="{00000000-0005-0000-0000-000092620000}"/>
    <cellStyle name="Remarque 2 4 2 4 4 3 4" xfId="40530" xr:uid="{00000000-0005-0000-0000-000093620000}"/>
    <cellStyle name="Remarque 2 4 2 4 4 4" xfId="6703" xr:uid="{00000000-0005-0000-0000-000094620000}"/>
    <cellStyle name="Remarque 2 4 2 4 4 4 2" xfId="30717" xr:uid="{00000000-0005-0000-0000-000095620000}"/>
    <cellStyle name="Remarque 2 4 2 4 4 4 2 2" xfId="54677" xr:uid="{00000000-0005-0000-0000-000096620000}"/>
    <cellStyle name="Remarque 2 4 2 4 4 4 3" xfId="17964" xr:uid="{00000000-0005-0000-0000-000097620000}"/>
    <cellStyle name="Remarque 2 4 2 4 4 4 4" xfId="41924" xr:uid="{00000000-0005-0000-0000-000098620000}"/>
    <cellStyle name="Remarque 2 4 2 4 4 5" xfId="8091" xr:uid="{00000000-0005-0000-0000-000099620000}"/>
    <cellStyle name="Remarque 2 4 2 4 4 5 2" xfId="32105" xr:uid="{00000000-0005-0000-0000-00009A620000}"/>
    <cellStyle name="Remarque 2 4 2 4 4 5 2 2" xfId="56065" xr:uid="{00000000-0005-0000-0000-00009B620000}"/>
    <cellStyle name="Remarque 2 4 2 4 4 5 3" xfId="19352" xr:uid="{00000000-0005-0000-0000-00009C620000}"/>
    <cellStyle name="Remarque 2 4 2 4 4 5 4" xfId="43312" xr:uid="{00000000-0005-0000-0000-00009D620000}"/>
    <cellStyle name="Remarque 2 4 2 4 4 6" xfId="9476" xr:uid="{00000000-0005-0000-0000-00009E620000}"/>
    <cellStyle name="Remarque 2 4 2 4 4 6 2" xfId="33490" xr:uid="{00000000-0005-0000-0000-00009F620000}"/>
    <cellStyle name="Remarque 2 4 2 4 4 6 2 2" xfId="57450" xr:uid="{00000000-0005-0000-0000-0000A0620000}"/>
    <cellStyle name="Remarque 2 4 2 4 4 6 3" xfId="20737" xr:uid="{00000000-0005-0000-0000-0000A1620000}"/>
    <cellStyle name="Remarque 2 4 2 4 4 6 4" xfId="44697" xr:uid="{00000000-0005-0000-0000-0000A2620000}"/>
    <cellStyle name="Remarque 2 4 2 4 4 7" xfId="10933" xr:uid="{00000000-0005-0000-0000-0000A3620000}"/>
    <cellStyle name="Remarque 2 4 2 4 4 7 2" xfId="34943" xr:uid="{00000000-0005-0000-0000-0000A4620000}"/>
    <cellStyle name="Remarque 2 4 2 4 4 7 2 2" xfId="58903" xr:uid="{00000000-0005-0000-0000-0000A5620000}"/>
    <cellStyle name="Remarque 2 4 2 4 4 7 3" xfId="22200" xr:uid="{00000000-0005-0000-0000-0000A6620000}"/>
    <cellStyle name="Remarque 2 4 2 4 4 7 4" xfId="46160" xr:uid="{00000000-0005-0000-0000-0000A7620000}"/>
    <cellStyle name="Remarque 2 4 2 4 4 8" xfId="11955" xr:uid="{00000000-0005-0000-0000-0000A8620000}"/>
    <cellStyle name="Remarque 2 4 2 4 4 8 2" xfId="23233" xr:uid="{00000000-0005-0000-0000-0000A9620000}"/>
    <cellStyle name="Remarque 2 4 2 4 4 8 3" xfId="47193" xr:uid="{00000000-0005-0000-0000-0000AA620000}"/>
    <cellStyle name="Remarque 2 4 2 4 4 9" xfId="2405" xr:uid="{00000000-0005-0000-0000-0000AB620000}"/>
    <cellStyle name="Remarque 2 4 2 4 4 9 2" xfId="26419" xr:uid="{00000000-0005-0000-0000-0000AC620000}"/>
    <cellStyle name="Remarque 2 4 2 4 4 9 3" xfId="50379" xr:uid="{00000000-0005-0000-0000-0000AD620000}"/>
    <cellStyle name="Remarque 2 4 2 4 5" xfId="1162" xr:uid="{00000000-0005-0000-0000-0000AE620000}"/>
    <cellStyle name="Remarque 2 4 2 4 5 10" xfId="25194" xr:uid="{00000000-0005-0000-0000-0000AF620000}"/>
    <cellStyle name="Remarque 2 4 2 4 5 10 2" xfId="49154" xr:uid="{00000000-0005-0000-0000-0000B0620000}"/>
    <cellStyle name="Remarque 2 4 2 4 5 11" xfId="35707" xr:uid="{00000000-0005-0000-0000-0000B1620000}"/>
    <cellStyle name="Remarque 2 4 2 4 5 11 2" xfId="59667" xr:uid="{00000000-0005-0000-0000-0000B2620000}"/>
    <cellStyle name="Remarque 2 4 2 4 5 12" xfId="13859" xr:uid="{00000000-0005-0000-0000-0000B3620000}"/>
    <cellStyle name="Remarque 2 4 2 4 5 13" xfId="37819" xr:uid="{00000000-0005-0000-0000-0000B4620000}"/>
    <cellStyle name="Remarque 2 4 2 4 5 2" xfId="4068" xr:uid="{00000000-0005-0000-0000-0000B5620000}"/>
    <cellStyle name="Remarque 2 4 2 4 5 2 2" xfId="28082" xr:uid="{00000000-0005-0000-0000-0000B6620000}"/>
    <cellStyle name="Remarque 2 4 2 4 5 2 2 2" xfId="52042" xr:uid="{00000000-0005-0000-0000-0000B7620000}"/>
    <cellStyle name="Remarque 2 4 2 4 5 2 3" xfId="15329" xr:uid="{00000000-0005-0000-0000-0000B8620000}"/>
    <cellStyle name="Remarque 2 4 2 4 5 2 4" xfId="39289" xr:uid="{00000000-0005-0000-0000-0000B9620000}"/>
    <cellStyle name="Remarque 2 4 2 4 5 3" xfId="5502" xr:uid="{00000000-0005-0000-0000-0000BA620000}"/>
    <cellStyle name="Remarque 2 4 2 4 5 3 2" xfId="29516" xr:uid="{00000000-0005-0000-0000-0000BB620000}"/>
    <cellStyle name="Remarque 2 4 2 4 5 3 2 2" xfId="53476" xr:uid="{00000000-0005-0000-0000-0000BC620000}"/>
    <cellStyle name="Remarque 2 4 2 4 5 3 3" xfId="16763" xr:uid="{00000000-0005-0000-0000-0000BD620000}"/>
    <cellStyle name="Remarque 2 4 2 4 5 3 4" xfId="40723" xr:uid="{00000000-0005-0000-0000-0000BE620000}"/>
    <cellStyle name="Remarque 2 4 2 4 5 4" xfId="6896" xr:uid="{00000000-0005-0000-0000-0000BF620000}"/>
    <cellStyle name="Remarque 2 4 2 4 5 4 2" xfId="30910" xr:uid="{00000000-0005-0000-0000-0000C0620000}"/>
    <cellStyle name="Remarque 2 4 2 4 5 4 2 2" xfId="54870" xr:uid="{00000000-0005-0000-0000-0000C1620000}"/>
    <cellStyle name="Remarque 2 4 2 4 5 4 3" xfId="18157" xr:uid="{00000000-0005-0000-0000-0000C2620000}"/>
    <cellStyle name="Remarque 2 4 2 4 5 4 4" xfId="42117" xr:uid="{00000000-0005-0000-0000-0000C3620000}"/>
    <cellStyle name="Remarque 2 4 2 4 5 5" xfId="8284" xr:uid="{00000000-0005-0000-0000-0000C4620000}"/>
    <cellStyle name="Remarque 2 4 2 4 5 5 2" xfId="32298" xr:uid="{00000000-0005-0000-0000-0000C5620000}"/>
    <cellStyle name="Remarque 2 4 2 4 5 5 2 2" xfId="56258" xr:uid="{00000000-0005-0000-0000-0000C6620000}"/>
    <cellStyle name="Remarque 2 4 2 4 5 5 3" xfId="19545" xr:uid="{00000000-0005-0000-0000-0000C7620000}"/>
    <cellStyle name="Remarque 2 4 2 4 5 5 4" xfId="43505" xr:uid="{00000000-0005-0000-0000-0000C8620000}"/>
    <cellStyle name="Remarque 2 4 2 4 5 6" xfId="9669" xr:uid="{00000000-0005-0000-0000-0000C9620000}"/>
    <cellStyle name="Remarque 2 4 2 4 5 6 2" xfId="33683" xr:uid="{00000000-0005-0000-0000-0000CA620000}"/>
    <cellStyle name="Remarque 2 4 2 4 5 6 2 2" xfId="57643" xr:uid="{00000000-0005-0000-0000-0000CB620000}"/>
    <cellStyle name="Remarque 2 4 2 4 5 6 3" xfId="20930" xr:uid="{00000000-0005-0000-0000-0000CC620000}"/>
    <cellStyle name="Remarque 2 4 2 4 5 6 4" xfId="44890" xr:uid="{00000000-0005-0000-0000-0000CD620000}"/>
    <cellStyle name="Remarque 2 4 2 4 5 7" xfId="11126" xr:uid="{00000000-0005-0000-0000-0000CE620000}"/>
    <cellStyle name="Remarque 2 4 2 4 5 7 2" xfId="35136" xr:uid="{00000000-0005-0000-0000-0000CF620000}"/>
    <cellStyle name="Remarque 2 4 2 4 5 7 2 2" xfId="59096" xr:uid="{00000000-0005-0000-0000-0000D0620000}"/>
    <cellStyle name="Remarque 2 4 2 4 5 7 3" xfId="22393" xr:uid="{00000000-0005-0000-0000-0000D1620000}"/>
    <cellStyle name="Remarque 2 4 2 4 5 7 4" xfId="46353" xr:uid="{00000000-0005-0000-0000-0000D2620000}"/>
    <cellStyle name="Remarque 2 4 2 4 5 8" xfId="12710" xr:uid="{00000000-0005-0000-0000-0000D3620000}"/>
    <cellStyle name="Remarque 2 4 2 4 5 8 2" xfId="24016" xr:uid="{00000000-0005-0000-0000-0000D4620000}"/>
    <cellStyle name="Remarque 2 4 2 4 5 8 3" xfId="47976" xr:uid="{00000000-0005-0000-0000-0000D5620000}"/>
    <cellStyle name="Remarque 2 4 2 4 5 9" xfId="2598" xr:uid="{00000000-0005-0000-0000-0000D6620000}"/>
    <cellStyle name="Remarque 2 4 2 4 5 9 2" xfId="26612" xr:uid="{00000000-0005-0000-0000-0000D7620000}"/>
    <cellStyle name="Remarque 2 4 2 4 5 9 3" xfId="50572" xr:uid="{00000000-0005-0000-0000-0000D8620000}"/>
    <cellStyle name="Remarque 2 4 2 4 6" xfId="1329" xr:uid="{00000000-0005-0000-0000-0000D9620000}"/>
    <cellStyle name="Remarque 2 4 2 4 6 10" xfId="25361" xr:uid="{00000000-0005-0000-0000-0000DA620000}"/>
    <cellStyle name="Remarque 2 4 2 4 6 10 2" xfId="49321" xr:uid="{00000000-0005-0000-0000-0000DB620000}"/>
    <cellStyle name="Remarque 2 4 2 4 6 11" xfId="36182" xr:uid="{00000000-0005-0000-0000-0000DC620000}"/>
    <cellStyle name="Remarque 2 4 2 4 6 11 2" xfId="60142" xr:uid="{00000000-0005-0000-0000-0000DD620000}"/>
    <cellStyle name="Remarque 2 4 2 4 6 12" xfId="14026" xr:uid="{00000000-0005-0000-0000-0000DE620000}"/>
    <cellStyle name="Remarque 2 4 2 4 6 13" xfId="37986" xr:uid="{00000000-0005-0000-0000-0000DF620000}"/>
    <cellStyle name="Remarque 2 4 2 4 6 2" xfId="4235" xr:uid="{00000000-0005-0000-0000-0000E0620000}"/>
    <cellStyle name="Remarque 2 4 2 4 6 2 2" xfId="28249" xr:uid="{00000000-0005-0000-0000-0000E1620000}"/>
    <cellStyle name="Remarque 2 4 2 4 6 2 2 2" xfId="52209" xr:uid="{00000000-0005-0000-0000-0000E2620000}"/>
    <cellStyle name="Remarque 2 4 2 4 6 2 3" xfId="15496" xr:uid="{00000000-0005-0000-0000-0000E3620000}"/>
    <cellStyle name="Remarque 2 4 2 4 6 2 4" xfId="39456" xr:uid="{00000000-0005-0000-0000-0000E4620000}"/>
    <cellStyle name="Remarque 2 4 2 4 6 3" xfId="5669" xr:uid="{00000000-0005-0000-0000-0000E5620000}"/>
    <cellStyle name="Remarque 2 4 2 4 6 3 2" xfId="29683" xr:uid="{00000000-0005-0000-0000-0000E6620000}"/>
    <cellStyle name="Remarque 2 4 2 4 6 3 2 2" xfId="53643" xr:uid="{00000000-0005-0000-0000-0000E7620000}"/>
    <cellStyle name="Remarque 2 4 2 4 6 3 3" xfId="16930" xr:uid="{00000000-0005-0000-0000-0000E8620000}"/>
    <cellStyle name="Remarque 2 4 2 4 6 3 4" xfId="40890" xr:uid="{00000000-0005-0000-0000-0000E9620000}"/>
    <cellStyle name="Remarque 2 4 2 4 6 4" xfId="7063" xr:uid="{00000000-0005-0000-0000-0000EA620000}"/>
    <cellStyle name="Remarque 2 4 2 4 6 4 2" xfId="31077" xr:uid="{00000000-0005-0000-0000-0000EB620000}"/>
    <cellStyle name="Remarque 2 4 2 4 6 4 2 2" xfId="55037" xr:uid="{00000000-0005-0000-0000-0000EC620000}"/>
    <cellStyle name="Remarque 2 4 2 4 6 4 3" xfId="18324" xr:uid="{00000000-0005-0000-0000-0000ED620000}"/>
    <cellStyle name="Remarque 2 4 2 4 6 4 4" xfId="42284" xr:uid="{00000000-0005-0000-0000-0000EE620000}"/>
    <cellStyle name="Remarque 2 4 2 4 6 5" xfId="8451" xr:uid="{00000000-0005-0000-0000-0000EF620000}"/>
    <cellStyle name="Remarque 2 4 2 4 6 5 2" xfId="32465" xr:uid="{00000000-0005-0000-0000-0000F0620000}"/>
    <cellStyle name="Remarque 2 4 2 4 6 5 2 2" xfId="56425" xr:uid="{00000000-0005-0000-0000-0000F1620000}"/>
    <cellStyle name="Remarque 2 4 2 4 6 5 3" xfId="19712" xr:uid="{00000000-0005-0000-0000-0000F2620000}"/>
    <cellStyle name="Remarque 2 4 2 4 6 5 4" xfId="43672" xr:uid="{00000000-0005-0000-0000-0000F3620000}"/>
    <cellStyle name="Remarque 2 4 2 4 6 6" xfId="9836" xr:uid="{00000000-0005-0000-0000-0000F4620000}"/>
    <cellStyle name="Remarque 2 4 2 4 6 6 2" xfId="33850" xr:uid="{00000000-0005-0000-0000-0000F5620000}"/>
    <cellStyle name="Remarque 2 4 2 4 6 6 2 2" xfId="57810" xr:uid="{00000000-0005-0000-0000-0000F6620000}"/>
    <cellStyle name="Remarque 2 4 2 4 6 6 3" xfId="21097" xr:uid="{00000000-0005-0000-0000-0000F7620000}"/>
    <cellStyle name="Remarque 2 4 2 4 6 6 4" xfId="45057" xr:uid="{00000000-0005-0000-0000-0000F8620000}"/>
    <cellStyle name="Remarque 2 4 2 4 6 7" xfId="11293" xr:uid="{00000000-0005-0000-0000-0000F9620000}"/>
    <cellStyle name="Remarque 2 4 2 4 6 7 2" xfId="35303" xr:uid="{00000000-0005-0000-0000-0000FA620000}"/>
    <cellStyle name="Remarque 2 4 2 4 6 7 2 2" xfId="59263" xr:uid="{00000000-0005-0000-0000-0000FB620000}"/>
    <cellStyle name="Remarque 2 4 2 4 6 7 3" xfId="22560" xr:uid="{00000000-0005-0000-0000-0000FC620000}"/>
    <cellStyle name="Remarque 2 4 2 4 6 7 4" xfId="46520" xr:uid="{00000000-0005-0000-0000-0000FD620000}"/>
    <cellStyle name="Remarque 2 4 2 4 6 8" xfId="11572" xr:uid="{00000000-0005-0000-0000-0000FE620000}"/>
    <cellStyle name="Remarque 2 4 2 4 6 8 2" xfId="22839" xr:uid="{00000000-0005-0000-0000-0000FF620000}"/>
    <cellStyle name="Remarque 2 4 2 4 6 8 3" xfId="46799" xr:uid="{00000000-0005-0000-0000-000000630000}"/>
    <cellStyle name="Remarque 2 4 2 4 6 9" xfId="2765" xr:uid="{00000000-0005-0000-0000-000001630000}"/>
    <cellStyle name="Remarque 2 4 2 4 6 9 2" xfId="26779" xr:uid="{00000000-0005-0000-0000-000002630000}"/>
    <cellStyle name="Remarque 2 4 2 4 6 9 3" xfId="50739" xr:uid="{00000000-0005-0000-0000-000003630000}"/>
    <cellStyle name="Remarque 2 4 2 4 7" xfId="1498" xr:uid="{00000000-0005-0000-0000-000004630000}"/>
    <cellStyle name="Remarque 2 4 2 4 7 10" xfId="25530" xr:uid="{00000000-0005-0000-0000-000005630000}"/>
    <cellStyle name="Remarque 2 4 2 4 7 10 2" xfId="49490" xr:uid="{00000000-0005-0000-0000-000006630000}"/>
    <cellStyle name="Remarque 2 4 2 4 7 11" xfId="36817" xr:uid="{00000000-0005-0000-0000-000007630000}"/>
    <cellStyle name="Remarque 2 4 2 4 7 11 2" xfId="60777" xr:uid="{00000000-0005-0000-0000-000008630000}"/>
    <cellStyle name="Remarque 2 4 2 4 7 12" xfId="14195" xr:uid="{00000000-0005-0000-0000-000009630000}"/>
    <cellStyle name="Remarque 2 4 2 4 7 13" xfId="38155" xr:uid="{00000000-0005-0000-0000-00000A630000}"/>
    <cellStyle name="Remarque 2 4 2 4 7 2" xfId="4404" xr:uid="{00000000-0005-0000-0000-00000B630000}"/>
    <cellStyle name="Remarque 2 4 2 4 7 2 2" xfId="28418" xr:uid="{00000000-0005-0000-0000-00000C630000}"/>
    <cellStyle name="Remarque 2 4 2 4 7 2 2 2" xfId="52378" xr:uid="{00000000-0005-0000-0000-00000D630000}"/>
    <cellStyle name="Remarque 2 4 2 4 7 2 3" xfId="15665" xr:uid="{00000000-0005-0000-0000-00000E630000}"/>
    <cellStyle name="Remarque 2 4 2 4 7 2 4" xfId="39625" xr:uid="{00000000-0005-0000-0000-00000F630000}"/>
    <cellStyle name="Remarque 2 4 2 4 7 3" xfId="5838" xr:uid="{00000000-0005-0000-0000-000010630000}"/>
    <cellStyle name="Remarque 2 4 2 4 7 3 2" xfId="29852" xr:uid="{00000000-0005-0000-0000-000011630000}"/>
    <cellStyle name="Remarque 2 4 2 4 7 3 2 2" xfId="53812" xr:uid="{00000000-0005-0000-0000-000012630000}"/>
    <cellStyle name="Remarque 2 4 2 4 7 3 3" xfId="17099" xr:uid="{00000000-0005-0000-0000-000013630000}"/>
    <cellStyle name="Remarque 2 4 2 4 7 3 4" xfId="41059" xr:uid="{00000000-0005-0000-0000-000014630000}"/>
    <cellStyle name="Remarque 2 4 2 4 7 4" xfId="7232" xr:uid="{00000000-0005-0000-0000-000015630000}"/>
    <cellStyle name="Remarque 2 4 2 4 7 4 2" xfId="31246" xr:uid="{00000000-0005-0000-0000-000016630000}"/>
    <cellStyle name="Remarque 2 4 2 4 7 4 2 2" xfId="55206" xr:uid="{00000000-0005-0000-0000-000017630000}"/>
    <cellStyle name="Remarque 2 4 2 4 7 4 3" xfId="18493" xr:uid="{00000000-0005-0000-0000-000018630000}"/>
    <cellStyle name="Remarque 2 4 2 4 7 4 4" xfId="42453" xr:uid="{00000000-0005-0000-0000-000019630000}"/>
    <cellStyle name="Remarque 2 4 2 4 7 5" xfId="8620" xr:uid="{00000000-0005-0000-0000-00001A630000}"/>
    <cellStyle name="Remarque 2 4 2 4 7 5 2" xfId="32634" xr:uid="{00000000-0005-0000-0000-00001B630000}"/>
    <cellStyle name="Remarque 2 4 2 4 7 5 2 2" xfId="56594" xr:uid="{00000000-0005-0000-0000-00001C630000}"/>
    <cellStyle name="Remarque 2 4 2 4 7 5 3" xfId="19881" xr:uid="{00000000-0005-0000-0000-00001D630000}"/>
    <cellStyle name="Remarque 2 4 2 4 7 5 4" xfId="43841" xr:uid="{00000000-0005-0000-0000-00001E630000}"/>
    <cellStyle name="Remarque 2 4 2 4 7 6" xfId="10005" xr:uid="{00000000-0005-0000-0000-00001F630000}"/>
    <cellStyle name="Remarque 2 4 2 4 7 6 2" xfId="34019" xr:uid="{00000000-0005-0000-0000-000020630000}"/>
    <cellStyle name="Remarque 2 4 2 4 7 6 2 2" xfId="57979" xr:uid="{00000000-0005-0000-0000-000021630000}"/>
    <cellStyle name="Remarque 2 4 2 4 7 6 3" xfId="21266" xr:uid="{00000000-0005-0000-0000-000022630000}"/>
    <cellStyle name="Remarque 2 4 2 4 7 6 4" xfId="45226" xr:uid="{00000000-0005-0000-0000-000023630000}"/>
    <cellStyle name="Remarque 2 4 2 4 7 7" xfId="11462" xr:uid="{00000000-0005-0000-0000-000024630000}"/>
    <cellStyle name="Remarque 2 4 2 4 7 7 2" xfId="35472" xr:uid="{00000000-0005-0000-0000-000025630000}"/>
    <cellStyle name="Remarque 2 4 2 4 7 7 2 2" xfId="59432" xr:uid="{00000000-0005-0000-0000-000026630000}"/>
    <cellStyle name="Remarque 2 4 2 4 7 7 3" xfId="22729" xr:uid="{00000000-0005-0000-0000-000027630000}"/>
    <cellStyle name="Remarque 2 4 2 4 7 7 4" xfId="46689" xr:uid="{00000000-0005-0000-0000-000028630000}"/>
    <cellStyle name="Remarque 2 4 2 4 7 8" xfId="12418" xr:uid="{00000000-0005-0000-0000-000029630000}"/>
    <cellStyle name="Remarque 2 4 2 4 7 8 2" xfId="23709" xr:uid="{00000000-0005-0000-0000-00002A630000}"/>
    <cellStyle name="Remarque 2 4 2 4 7 8 3" xfId="47669" xr:uid="{00000000-0005-0000-0000-00002B630000}"/>
    <cellStyle name="Remarque 2 4 2 4 7 9" xfId="2934" xr:uid="{00000000-0005-0000-0000-00002C630000}"/>
    <cellStyle name="Remarque 2 4 2 4 7 9 2" xfId="26948" xr:uid="{00000000-0005-0000-0000-00002D630000}"/>
    <cellStyle name="Remarque 2 4 2 4 7 9 3" xfId="50908" xr:uid="{00000000-0005-0000-0000-00002E630000}"/>
    <cellStyle name="Remarque 2 4 2 4 8" xfId="3353" xr:uid="{00000000-0005-0000-0000-00002F630000}"/>
    <cellStyle name="Remarque 2 4 2 4 8 2" xfId="27367" xr:uid="{00000000-0005-0000-0000-000030630000}"/>
    <cellStyle name="Remarque 2 4 2 4 8 2 2" xfId="51327" xr:uid="{00000000-0005-0000-0000-000031630000}"/>
    <cellStyle name="Remarque 2 4 2 4 8 3" xfId="14614" xr:uid="{00000000-0005-0000-0000-000032630000}"/>
    <cellStyle name="Remarque 2 4 2 4 8 4" xfId="38574" xr:uid="{00000000-0005-0000-0000-000033630000}"/>
    <cellStyle name="Remarque 2 4 2 4 9" xfId="4787" xr:uid="{00000000-0005-0000-0000-000034630000}"/>
    <cellStyle name="Remarque 2 4 2 4 9 2" xfId="28801" xr:uid="{00000000-0005-0000-0000-000035630000}"/>
    <cellStyle name="Remarque 2 4 2 4 9 2 2" xfId="52761" xr:uid="{00000000-0005-0000-0000-000036630000}"/>
    <cellStyle name="Remarque 2 4 2 4 9 3" xfId="16048" xr:uid="{00000000-0005-0000-0000-000037630000}"/>
    <cellStyle name="Remarque 2 4 2 4 9 4" xfId="40008" xr:uid="{00000000-0005-0000-0000-000038630000}"/>
    <cellStyle name="Remarque 2 4 2 5" xfId="340" xr:uid="{00000000-0005-0000-0000-000039630000}"/>
    <cellStyle name="Remarque 2 4 2 5 10" xfId="24372" xr:uid="{00000000-0005-0000-0000-00003A630000}"/>
    <cellStyle name="Remarque 2 4 2 5 10 2" xfId="48332" xr:uid="{00000000-0005-0000-0000-00003B630000}"/>
    <cellStyle name="Remarque 2 4 2 5 11" xfId="35629" xr:uid="{00000000-0005-0000-0000-00003C630000}"/>
    <cellStyle name="Remarque 2 4 2 5 11 2" xfId="59589" xr:uid="{00000000-0005-0000-0000-00003D630000}"/>
    <cellStyle name="Remarque 2 4 2 5 12" xfId="13037" xr:uid="{00000000-0005-0000-0000-00003E630000}"/>
    <cellStyle name="Remarque 2 4 2 5 13" xfId="36997" xr:uid="{00000000-0005-0000-0000-00003F630000}"/>
    <cellStyle name="Remarque 2 4 2 5 2" xfId="3246" xr:uid="{00000000-0005-0000-0000-000040630000}"/>
    <cellStyle name="Remarque 2 4 2 5 2 2" xfId="27260" xr:uid="{00000000-0005-0000-0000-000041630000}"/>
    <cellStyle name="Remarque 2 4 2 5 2 2 2" xfId="51220" xr:uid="{00000000-0005-0000-0000-000042630000}"/>
    <cellStyle name="Remarque 2 4 2 5 2 3" xfId="14507" xr:uid="{00000000-0005-0000-0000-000043630000}"/>
    <cellStyle name="Remarque 2 4 2 5 2 4" xfId="38467" xr:uid="{00000000-0005-0000-0000-000044630000}"/>
    <cellStyle name="Remarque 2 4 2 5 3" xfId="4680" xr:uid="{00000000-0005-0000-0000-000045630000}"/>
    <cellStyle name="Remarque 2 4 2 5 3 2" xfId="28694" xr:uid="{00000000-0005-0000-0000-000046630000}"/>
    <cellStyle name="Remarque 2 4 2 5 3 2 2" xfId="52654" xr:uid="{00000000-0005-0000-0000-000047630000}"/>
    <cellStyle name="Remarque 2 4 2 5 3 3" xfId="15941" xr:uid="{00000000-0005-0000-0000-000048630000}"/>
    <cellStyle name="Remarque 2 4 2 5 3 4" xfId="39901" xr:uid="{00000000-0005-0000-0000-000049630000}"/>
    <cellStyle name="Remarque 2 4 2 5 4" xfId="6074" xr:uid="{00000000-0005-0000-0000-00004A630000}"/>
    <cellStyle name="Remarque 2 4 2 5 4 2" xfId="30088" xr:uid="{00000000-0005-0000-0000-00004B630000}"/>
    <cellStyle name="Remarque 2 4 2 5 4 2 2" xfId="54048" xr:uid="{00000000-0005-0000-0000-00004C630000}"/>
    <cellStyle name="Remarque 2 4 2 5 4 3" xfId="17335" xr:uid="{00000000-0005-0000-0000-00004D630000}"/>
    <cellStyle name="Remarque 2 4 2 5 4 4" xfId="41295" xr:uid="{00000000-0005-0000-0000-00004E630000}"/>
    <cellStyle name="Remarque 2 4 2 5 5" xfId="7462" xr:uid="{00000000-0005-0000-0000-00004F630000}"/>
    <cellStyle name="Remarque 2 4 2 5 5 2" xfId="31476" xr:uid="{00000000-0005-0000-0000-000050630000}"/>
    <cellStyle name="Remarque 2 4 2 5 5 2 2" xfId="55436" xr:uid="{00000000-0005-0000-0000-000051630000}"/>
    <cellStyle name="Remarque 2 4 2 5 5 3" xfId="18723" xr:uid="{00000000-0005-0000-0000-000052630000}"/>
    <cellStyle name="Remarque 2 4 2 5 5 4" xfId="42683" xr:uid="{00000000-0005-0000-0000-000053630000}"/>
    <cellStyle name="Remarque 2 4 2 5 6" xfId="8847" xr:uid="{00000000-0005-0000-0000-000054630000}"/>
    <cellStyle name="Remarque 2 4 2 5 6 2" xfId="32861" xr:uid="{00000000-0005-0000-0000-000055630000}"/>
    <cellStyle name="Remarque 2 4 2 5 6 2 2" xfId="56821" xr:uid="{00000000-0005-0000-0000-000056630000}"/>
    <cellStyle name="Remarque 2 4 2 5 6 3" xfId="20108" xr:uid="{00000000-0005-0000-0000-000057630000}"/>
    <cellStyle name="Remarque 2 4 2 5 6 4" xfId="44068" xr:uid="{00000000-0005-0000-0000-000058630000}"/>
    <cellStyle name="Remarque 2 4 2 5 7" xfId="10304" xr:uid="{00000000-0005-0000-0000-000059630000}"/>
    <cellStyle name="Remarque 2 4 2 5 7 2" xfId="34314" xr:uid="{00000000-0005-0000-0000-00005A630000}"/>
    <cellStyle name="Remarque 2 4 2 5 7 2 2" xfId="58274" xr:uid="{00000000-0005-0000-0000-00005B630000}"/>
    <cellStyle name="Remarque 2 4 2 5 7 3" xfId="21571" xr:uid="{00000000-0005-0000-0000-00005C630000}"/>
    <cellStyle name="Remarque 2 4 2 5 7 4" xfId="45531" xr:uid="{00000000-0005-0000-0000-00005D630000}"/>
    <cellStyle name="Remarque 2 4 2 5 8" xfId="12745" xr:uid="{00000000-0005-0000-0000-00005E630000}"/>
    <cellStyle name="Remarque 2 4 2 5 8 2" xfId="24051" xr:uid="{00000000-0005-0000-0000-00005F630000}"/>
    <cellStyle name="Remarque 2 4 2 5 8 3" xfId="48011" xr:uid="{00000000-0005-0000-0000-000060630000}"/>
    <cellStyle name="Remarque 2 4 2 5 9" xfId="1776" xr:uid="{00000000-0005-0000-0000-000061630000}"/>
    <cellStyle name="Remarque 2 4 2 5 9 2" xfId="25790" xr:uid="{00000000-0005-0000-0000-000062630000}"/>
    <cellStyle name="Remarque 2 4 2 5 9 3" xfId="49750" xr:uid="{00000000-0005-0000-0000-000063630000}"/>
    <cellStyle name="Remarque 2 4 2 6" xfId="640" xr:uid="{00000000-0005-0000-0000-000064630000}"/>
    <cellStyle name="Remarque 2 4 2 6 10" xfId="24672" xr:uid="{00000000-0005-0000-0000-000065630000}"/>
    <cellStyle name="Remarque 2 4 2 6 10 2" xfId="48632" xr:uid="{00000000-0005-0000-0000-000066630000}"/>
    <cellStyle name="Remarque 2 4 2 6 11" xfId="35749" xr:uid="{00000000-0005-0000-0000-000067630000}"/>
    <cellStyle name="Remarque 2 4 2 6 11 2" xfId="59709" xr:uid="{00000000-0005-0000-0000-000068630000}"/>
    <cellStyle name="Remarque 2 4 2 6 12" xfId="13337" xr:uid="{00000000-0005-0000-0000-000069630000}"/>
    <cellStyle name="Remarque 2 4 2 6 13" xfId="37297" xr:uid="{00000000-0005-0000-0000-00006A630000}"/>
    <cellStyle name="Remarque 2 4 2 6 2" xfId="3546" xr:uid="{00000000-0005-0000-0000-00006B630000}"/>
    <cellStyle name="Remarque 2 4 2 6 2 2" xfId="27560" xr:uid="{00000000-0005-0000-0000-00006C630000}"/>
    <cellStyle name="Remarque 2 4 2 6 2 2 2" xfId="51520" xr:uid="{00000000-0005-0000-0000-00006D630000}"/>
    <cellStyle name="Remarque 2 4 2 6 2 3" xfId="14807" xr:uid="{00000000-0005-0000-0000-00006E630000}"/>
    <cellStyle name="Remarque 2 4 2 6 2 4" xfId="38767" xr:uid="{00000000-0005-0000-0000-00006F630000}"/>
    <cellStyle name="Remarque 2 4 2 6 3" xfId="4980" xr:uid="{00000000-0005-0000-0000-000070630000}"/>
    <cellStyle name="Remarque 2 4 2 6 3 2" xfId="28994" xr:uid="{00000000-0005-0000-0000-000071630000}"/>
    <cellStyle name="Remarque 2 4 2 6 3 2 2" xfId="52954" xr:uid="{00000000-0005-0000-0000-000072630000}"/>
    <cellStyle name="Remarque 2 4 2 6 3 3" xfId="16241" xr:uid="{00000000-0005-0000-0000-000073630000}"/>
    <cellStyle name="Remarque 2 4 2 6 3 4" xfId="40201" xr:uid="{00000000-0005-0000-0000-000074630000}"/>
    <cellStyle name="Remarque 2 4 2 6 4" xfId="6374" xr:uid="{00000000-0005-0000-0000-000075630000}"/>
    <cellStyle name="Remarque 2 4 2 6 4 2" xfId="30388" xr:uid="{00000000-0005-0000-0000-000076630000}"/>
    <cellStyle name="Remarque 2 4 2 6 4 2 2" xfId="54348" xr:uid="{00000000-0005-0000-0000-000077630000}"/>
    <cellStyle name="Remarque 2 4 2 6 4 3" xfId="17635" xr:uid="{00000000-0005-0000-0000-000078630000}"/>
    <cellStyle name="Remarque 2 4 2 6 4 4" xfId="41595" xr:uid="{00000000-0005-0000-0000-000079630000}"/>
    <cellStyle name="Remarque 2 4 2 6 5" xfId="7762" xr:uid="{00000000-0005-0000-0000-00007A630000}"/>
    <cellStyle name="Remarque 2 4 2 6 5 2" xfId="31776" xr:uid="{00000000-0005-0000-0000-00007B630000}"/>
    <cellStyle name="Remarque 2 4 2 6 5 2 2" xfId="55736" xr:uid="{00000000-0005-0000-0000-00007C630000}"/>
    <cellStyle name="Remarque 2 4 2 6 5 3" xfId="19023" xr:uid="{00000000-0005-0000-0000-00007D630000}"/>
    <cellStyle name="Remarque 2 4 2 6 5 4" xfId="42983" xr:uid="{00000000-0005-0000-0000-00007E630000}"/>
    <cellStyle name="Remarque 2 4 2 6 6" xfId="9147" xr:uid="{00000000-0005-0000-0000-00007F630000}"/>
    <cellStyle name="Remarque 2 4 2 6 6 2" xfId="33161" xr:uid="{00000000-0005-0000-0000-000080630000}"/>
    <cellStyle name="Remarque 2 4 2 6 6 2 2" xfId="57121" xr:uid="{00000000-0005-0000-0000-000081630000}"/>
    <cellStyle name="Remarque 2 4 2 6 6 3" xfId="20408" xr:uid="{00000000-0005-0000-0000-000082630000}"/>
    <cellStyle name="Remarque 2 4 2 6 6 4" xfId="44368" xr:uid="{00000000-0005-0000-0000-000083630000}"/>
    <cellStyle name="Remarque 2 4 2 6 7" xfId="10604" xr:uid="{00000000-0005-0000-0000-000084630000}"/>
    <cellStyle name="Remarque 2 4 2 6 7 2" xfId="34614" xr:uid="{00000000-0005-0000-0000-000085630000}"/>
    <cellStyle name="Remarque 2 4 2 6 7 2 2" xfId="58574" xr:uid="{00000000-0005-0000-0000-000086630000}"/>
    <cellStyle name="Remarque 2 4 2 6 7 3" xfId="21871" xr:uid="{00000000-0005-0000-0000-000087630000}"/>
    <cellStyle name="Remarque 2 4 2 6 7 4" xfId="45831" xr:uid="{00000000-0005-0000-0000-000088630000}"/>
    <cellStyle name="Remarque 2 4 2 6 8" xfId="12673" xr:uid="{00000000-0005-0000-0000-000089630000}"/>
    <cellStyle name="Remarque 2 4 2 6 8 2" xfId="23978" xr:uid="{00000000-0005-0000-0000-00008A630000}"/>
    <cellStyle name="Remarque 2 4 2 6 8 3" xfId="47938" xr:uid="{00000000-0005-0000-0000-00008B630000}"/>
    <cellStyle name="Remarque 2 4 2 6 9" xfId="2076" xr:uid="{00000000-0005-0000-0000-00008C630000}"/>
    <cellStyle name="Remarque 2 4 2 6 9 2" xfId="26090" xr:uid="{00000000-0005-0000-0000-00008D630000}"/>
    <cellStyle name="Remarque 2 4 2 6 9 3" xfId="50050" xr:uid="{00000000-0005-0000-0000-00008E630000}"/>
    <cellStyle name="Remarque 2 4 2 7" xfId="834" xr:uid="{00000000-0005-0000-0000-00008F630000}"/>
    <cellStyle name="Remarque 2 4 2 7 10" xfId="24866" xr:uid="{00000000-0005-0000-0000-000090630000}"/>
    <cellStyle name="Remarque 2 4 2 7 10 2" xfId="48826" xr:uid="{00000000-0005-0000-0000-000091630000}"/>
    <cellStyle name="Remarque 2 4 2 7 11" xfId="36754" xr:uid="{00000000-0005-0000-0000-000092630000}"/>
    <cellStyle name="Remarque 2 4 2 7 11 2" xfId="60714" xr:uid="{00000000-0005-0000-0000-000093630000}"/>
    <cellStyle name="Remarque 2 4 2 7 12" xfId="13531" xr:uid="{00000000-0005-0000-0000-000094630000}"/>
    <cellStyle name="Remarque 2 4 2 7 13" xfId="37491" xr:uid="{00000000-0005-0000-0000-000095630000}"/>
    <cellStyle name="Remarque 2 4 2 7 2" xfId="3740" xr:uid="{00000000-0005-0000-0000-000096630000}"/>
    <cellStyle name="Remarque 2 4 2 7 2 2" xfId="27754" xr:uid="{00000000-0005-0000-0000-000097630000}"/>
    <cellStyle name="Remarque 2 4 2 7 2 2 2" xfId="51714" xr:uid="{00000000-0005-0000-0000-000098630000}"/>
    <cellStyle name="Remarque 2 4 2 7 2 3" xfId="15001" xr:uid="{00000000-0005-0000-0000-000099630000}"/>
    <cellStyle name="Remarque 2 4 2 7 2 4" xfId="38961" xr:uid="{00000000-0005-0000-0000-00009A630000}"/>
    <cellStyle name="Remarque 2 4 2 7 3" xfId="5174" xr:uid="{00000000-0005-0000-0000-00009B630000}"/>
    <cellStyle name="Remarque 2 4 2 7 3 2" xfId="29188" xr:uid="{00000000-0005-0000-0000-00009C630000}"/>
    <cellStyle name="Remarque 2 4 2 7 3 2 2" xfId="53148" xr:uid="{00000000-0005-0000-0000-00009D630000}"/>
    <cellStyle name="Remarque 2 4 2 7 3 3" xfId="16435" xr:uid="{00000000-0005-0000-0000-00009E630000}"/>
    <cellStyle name="Remarque 2 4 2 7 3 4" xfId="40395" xr:uid="{00000000-0005-0000-0000-00009F630000}"/>
    <cellStyle name="Remarque 2 4 2 7 4" xfId="6568" xr:uid="{00000000-0005-0000-0000-0000A0630000}"/>
    <cellStyle name="Remarque 2 4 2 7 4 2" xfId="30582" xr:uid="{00000000-0005-0000-0000-0000A1630000}"/>
    <cellStyle name="Remarque 2 4 2 7 4 2 2" xfId="54542" xr:uid="{00000000-0005-0000-0000-0000A2630000}"/>
    <cellStyle name="Remarque 2 4 2 7 4 3" xfId="17829" xr:uid="{00000000-0005-0000-0000-0000A3630000}"/>
    <cellStyle name="Remarque 2 4 2 7 4 4" xfId="41789" xr:uid="{00000000-0005-0000-0000-0000A4630000}"/>
    <cellStyle name="Remarque 2 4 2 7 5" xfId="7956" xr:uid="{00000000-0005-0000-0000-0000A5630000}"/>
    <cellStyle name="Remarque 2 4 2 7 5 2" xfId="31970" xr:uid="{00000000-0005-0000-0000-0000A6630000}"/>
    <cellStyle name="Remarque 2 4 2 7 5 2 2" xfId="55930" xr:uid="{00000000-0005-0000-0000-0000A7630000}"/>
    <cellStyle name="Remarque 2 4 2 7 5 3" xfId="19217" xr:uid="{00000000-0005-0000-0000-0000A8630000}"/>
    <cellStyle name="Remarque 2 4 2 7 5 4" xfId="43177" xr:uid="{00000000-0005-0000-0000-0000A9630000}"/>
    <cellStyle name="Remarque 2 4 2 7 6" xfId="9341" xr:uid="{00000000-0005-0000-0000-0000AA630000}"/>
    <cellStyle name="Remarque 2 4 2 7 6 2" xfId="33355" xr:uid="{00000000-0005-0000-0000-0000AB630000}"/>
    <cellStyle name="Remarque 2 4 2 7 6 2 2" xfId="57315" xr:uid="{00000000-0005-0000-0000-0000AC630000}"/>
    <cellStyle name="Remarque 2 4 2 7 6 3" xfId="20602" xr:uid="{00000000-0005-0000-0000-0000AD630000}"/>
    <cellStyle name="Remarque 2 4 2 7 6 4" xfId="44562" xr:uid="{00000000-0005-0000-0000-0000AE630000}"/>
    <cellStyle name="Remarque 2 4 2 7 7" xfId="10798" xr:uid="{00000000-0005-0000-0000-0000AF630000}"/>
    <cellStyle name="Remarque 2 4 2 7 7 2" xfId="34808" xr:uid="{00000000-0005-0000-0000-0000B0630000}"/>
    <cellStyle name="Remarque 2 4 2 7 7 2 2" xfId="58768" xr:uid="{00000000-0005-0000-0000-0000B1630000}"/>
    <cellStyle name="Remarque 2 4 2 7 7 3" xfId="22065" xr:uid="{00000000-0005-0000-0000-0000B2630000}"/>
    <cellStyle name="Remarque 2 4 2 7 7 4" xfId="46025" xr:uid="{00000000-0005-0000-0000-0000B3630000}"/>
    <cellStyle name="Remarque 2 4 2 7 8" xfId="12311" xr:uid="{00000000-0005-0000-0000-0000B4630000}"/>
    <cellStyle name="Remarque 2 4 2 7 8 2" xfId="23599" xr:uid="{00000000-0005-0000-0000-0000B5630000}"/>
    <cellStyle name="Remarque 2 4 2 7 8 3" xfId="47559" xr:uid="{00000000-0005-0000-0000-0000B6630000}"/>
    <cellStyle name="Remarque 2 4 2 7 9" xfId="2270" xr:uid="{00000000-0005-0000-0000-0000B7630000}"/>
    <cellStyle name="Remarque 2 4 2 7 9 2" xfId="26284" xr:uid="{00000000-0005-0000-0000-0000B8630000}"/>
    <cellStyle name="Remarque 2 4 2 7 9 3" xfId="50244" xr:uid="{00000000-0005-0000-0000-0000B9630000}"/>
    <cellStyle name="Remarque 2 4 2 8" xfId="1027" xr:uid="{00000000-0005-0000-0000-0000BA630000}"/>
    <cellStyle name="Remarque 2 4 2 8 10" xfId="25059" xr:uid="{00000000-0005-0000-0000-0000BB630000}"/>
    <cellStyle name="Remarque 2 4 2 8 10 2" xfId="49019" xr:uid="{00000000-0005-0000-0000-0000BC630000}"/>
    <cellStyle name="Remarque 2 4 2 8 11" xfId="36370" xr:uid="{00000000-0005-0000-0000-0000BD630000}"/>
    <cellStyle name="Remarque 2 4 2 8 11 2" xfId="60330" xr:uid="{00000000-0005-0000-0000-0000BE630000}"/>
    <cellStyle name="Remarque 2 4 2 8 12" xfId="13724" xr:uid="{00000000-0005-0000-0000-0000BF630000}"/>
    <cellStyle name="Remarque 2 4 2 8 13" xfId="37684" xr:uid="{00000000-0005-0000-0000-0000C0630000}"/>
    <cellStyle name="Remarque 2 4 2 8 2" xfId="3933" xr:uid="{00000000-0005-0000-0000-0000C1630000}"/>
    <cellStyle name="Remarque 2 4 2 8 2 2" xfId="27947" xr:uid="{00000000-0005-0000-0000-0000C2630000}"/>
    <cellStyle name="Remarque 2 4 2 8 2 2 2" xfId="51907" xr:uid="{00000000-0005-0000-0000-0000C3630000}"/>
    <cellStyle name="Remarque 2 4 2 8 2 3" xfId="15194" xr:uid="{00000000-0005-0000-0000-0000C4630000}"/>
    <cellStyle name="Remarque 2 4 2 8 2 4" xfId="39154" xr:uid="{00000000-0005-0000-0000-0000C5630000}"/>
    <cellStyle name="Remarque 2 4 2 8 3" xfId="5367" xr:uid="{00000000-0005-0000-0000-0000C6630000}"/>
    <cellStyle name="Remarque 2 4 2 8 3 2" xfId="29381" xr:uid="{00000000-0005-0000-0000-0000C7630000}"/>
    <cellStyle name="Remarque 2 4 2 8 3 2 2" xfId="53341" xr:uid="{00000000-0005-0000-0000-0000C8630000}"/>
    <cellStyle name="Remarque 2 4 2 8 3 3" xfId="16628" xr:uid="{00000000-0005-0000-0000-0000C9630000}"/>
    <cellStyle name="Remarque 2 4 2 8 3 4" xfId="40588" xr:uid="{00000000-0005-0000-0000-0000CA630000}"/>
    <cellStyle name="Remarque 2 4 2 8 4" xfId="6761" xr:uid="{00000000-0005-0000-0000-0000CB630000}"/>
    <cellStyle name="Remarque 2 4 2 8 4 2" xfId="30775" xr:uid="{00000000-0005-0000-0000-0000CC630000}"/>
    <cellStyle name="Remarque 2 4 2 8 4 2 2" xfId="54735" xr:uid="{00000000-0005-0000-0000-0000CD630000}"/>
    <cellStyle name="Remarque 2 4 2 8 4 3" xfId="18022" xr:uid="{00000000-0005-0000-0000-0000CE630000}"/>
    <cellStyle name="Remarque 2 4 2 8 4 4" xfId="41982" xr:uid="{00000000-0005-0000-0000-0000CF630000}"/>
    <cellStyle name="Remarque 2 4 2 8 5" xfId="8149" xr:uid="{00000000-0005-0000-0000-0000D0630000}"/>
    <cellStyle name="Remarque 2 4 2 8 5 2" xfId="32163" xr:uid="{00000000-0005-0000-0000-0000D1630000}"/>
    <cellStyle name="Remarque 2 4 2 8 5 2 2" xfId="56123" xr:uid="{00000000-0005-0000-0000-0000D2630000}"/>
    <cellStyle name="Remarque 2 4 2 8 5 3" xfId="19410" xr:uid="{00000000-0005-0000-0000-0000D3630000}"/>
    <cellStyle name="Remarque 2 4 2 8 5 4" xfId="43370" xr:uid="{00000000-0005-0000-0000-0000D4630000}"/>
    <cellStyle name="Remarque 2 4 2 8 6" xfId="9534" xr:uid="{00000000-0005-0000-0000-0000D5630000}"/>
    <cellStyle name="Remarque 2 4 2 8 6 2" xfId="33548" xr:uid="{00000000-0005-0000-0000-0000D6630000}"/>
    <cellStyle name="Remarque 2 4 2 8 6 2 2" xfId="57508" xr:uid="{00000000-0005-0000-0000-0000D7630000}"/>
    <cellStyle name="Remarque 2 4 2 8 6 3" xfId="20795" xr:uid="{00000000-0005-0000-0000-0000D8630000}"/>
    <cellStyle name="Remarque 2 4 2 8 6 4" xfId="44755" xr:uid="{00000000-0005-0000-0000-0000D9630000}"/>
    <cellStyle name="Remarque 2 4 2 8 7" xfId="10991" xr:uid="{00000000-0005-0000-0000-0000DA630000}"/>
    <cellStyle name="Remarque 2 4 2 8 7 2" xfId="35001" xr:uid="{00000000-0005-0000-0000-0000DB630000}"/>
    <cellStyle name="Remarque 2 4 2 8 7 2 2" xfId="58961" xr:uid="{00000000-0005-0000-0000-0000DC630000}"/>
    <cellStyle name="Remarque 2 4 2 8 7 3" xfId="22258" xr:uid="{00000000-0005-0000-0000-0000DD630000}"/>
    <cellStyle name="Remarque 2 4 2 8 7 4" xfId="46218" xr:uid="{00000000-0005-0000-0000-0000DE630000}"/>
    <cellStyle name="Remarque 2 4 2 8 8" xfId="11866" xr:uid="{00000000-0005-0000-0000-0000DF630000}"/>
    <cellStyle name="Remarque 2 4 2 8 8 2" xfId="23142" xr:uid="{00000000-0005-0000-0000-0000E0630000}"/>
    <cellStyle name="Remarque 2 4 2 8 8 3" xfId="47102" xr:uid="{00000000-0005-0000-0000-0000E1630000}"/>
    <cellStyle name="Remarque 2 4 2 8 9" xfId="2463" xr:uid="{00000000-0005-0000-0000-0000E2630000}"/>
    <cellStyle name="Remarque 2 4 2 8 9 2" xfId="26477" xr:uid="{00000000-0005-0000-0000-0000E3630000}"/>
    <cellStyle name="Remarque 2 4 2 8 9 3" xfId="50437" xr:uid="{00000000-0005-0000-0000-0000E4630000}"/>
    <cellStyle name="Remarque 2 4 2 9" xfId="1213" xr:uid="{00000000-0005-0000-0000-0000E5630000}"/>
    <cellStyle name="Remarque 2 4 2 9 10" xfId="25245" xr:uid="{00000000-0005-0000-0000-0000E6630000}"/>
    <cellStyle name="Remarque 2 4 2 9 10 2" xfId="49205" xr:uid="{00000000-0005-0000-0000-0000E7630000}"/>
    <cellStyle name="Remarque 2 4 2 9 11" xfId="35847" xr:uid="{00000000-0005-0000-0000-0000E8630000}"/>
    <cellStyle name="Remarque 2 4 2 9 11 2" xfId="59807" xr:uid="{00000000-0005-0000-0000-0000E9630000}"/>
    <cellStyle name="Remarque 2 4 2 9 12" xfId="13910" xr:uid="{00000000-0005-0000-0000-0000EA630000}"/>
    <cellStyle name="Remarque 2 4 2 9 13" xfId="37870" xr:uid="{00000000-0005-0000-0000-0000EB630000}"/>
    <cellStyle name="Remarque 2 4 2 9 2" xfId="4119" xr:uid="{00000000-0005-0000-0000-0000EC630000}"/>
    <cellStyle name="Remarque 2 4 2 9 2 2" xfId="28133" xr:uid="{00000000-0005-0000-0000-0000ED630000}"/>
    <cellStyle name="Remarque 2 4 2 9 2 2 2" xfId="52093" xr:uid="{00000000-0005-0000-0000-0000EE630000}"/>
    <cellStyle name="Remarque 2 4 2 9 2 3" xfId="15380" xr:uid="{00000000-0005-0000-0000-0000EF630000}"/>
    <cellStyle name="Remarque 2 4 2 9 2 4" xfId="39340" xr:uid="{00000000-0005-0000-0000-0000F0630000}"/>
    <cellStyle name="Remarque 2 4 2 9 3" xfId="5553" xr:uid="{00000000-0005-0000-0000-0000F1630000}"/>
    <cellStyle name="Remarque 2 4 2 9 3 2" xfId="29567" xr:uid="{00000000-0005-0000-0000-0000F2630000}"/>
    <cellStyle name="Remarque 2 4 2 9 3 2 2" xfId="53527" xr:uid="{00000000-0005-0000-0000-0000F3630000}"/>
    <cellStyle name="Remarque 2 4 2 9 3 3" xfId="16814" xr:uid="{00000000-0005-0000-0000-0000F4630000}"/>
    <cellStyle name="Remarque 2 4 2 9 3 4" xfId="40774" xr:uid="{00000000-0005-0000-0000-0000F5630000}"/>
    <cellStyle name="Remarque 2 4 2 9 4" xfId="6947" xr:uid="{00000000-0005-0000-0000-0000F6630000}"/>
    <cellStyle name="Remarque 2 4 2 9 4 2" xfId="30961" xr:uid="{00000000-0005-0000-0000-0000F7630000}"/>
    <cellStyle name="Remarque 2 4 2 9 4 2 2" xfId="54921" xr:uid="{00000000-0005-0000-0000-0000F8630000}"/>
    <cellStyle name="Remarque 2 4 2 9 4 3" xfId="18208" xr:uid="{00000000-0005-0000-0000-0000F9630000}"/>
    <cellStyle name="Remarque 2 4 2 9 4 4" xfId="42168" xr:uid="{00000000-0005-0000-0000-0000FA630000}"/>
    <cellStyle name="Remarque 2 4 2 9 5" xfId="8335" xr:uid="{00000000-0005-0000-0000-0000FB630000}"/>
    <cellStyle name="Remarque 2 4 2 9 5 2" xfId="32349" xr:uid="{00000000-0005-0000-0000-0000FC630000}"/>
    <cellStyle name="Remarque 2 4 2 9 5 2 2" xfId="56309" xr:uid="{00000000-0005-0000-0000-0000FD630000}"/>
    <cellStyle name="Remarque 2 4 2 9 5 3" xfId="19596" xr:uid="{00000000-0005-0000-0000-0000FE630000}"/>
    <cellStyle name="Remarque 2 4 2 9 5 4" xfId="43556" xr:uid="{00000000-0005-0000-0000-0000FF630000}"/>
    <cellStyle name="Remarque 2 4 2 9 6" xfId="9720" xr:uid="{00000000-0005-0000-0000-000000640000}"/>
    <cellStyle name="Remarque 2 4 2 9 6 2" xfId="33734" xr:uid="{00000000-0005-0000-0000-000001640000}"/>
    <cellStyle name="Remarque 2 4 2 9 6 2 2" xfId="57694" xr:uid="{00000000-0005-0000-0000-000002640000}"/>
    <cellStyle name="Remarque 2 4 2 9 6 3" xfId="20981" xr:uid="{00000000-0005-0000-0000-000003640000}"/>
    <cellStyle name="Remarque 2 4 2 9 6 4" xfId="44941" xr:uid="{00000000-0005-0000-0000-000004640000}"/>
    <cellStyle name="Remarque 2 4 2 9 7" xfId="11177" xr:uid="{00000000-0005-0000-0000-000005640000}"/>
    <cellStyle name="Remarque 2 4 2 9 7 2" xfId="35187" xr:uid="{00000000-0005-0000-0000-000006640000}"/>
    <cellStyle name="Remarque 2 4 2 9 7 2 2" xfId="59147" xr:uid="{00000000-0005-0000-0000-000007640000}"/>
    <cellStyle name="Remarque 2 4 2 9 7 3" xfId="22444" xr:uid="{00000000-0005-0000-0000-000008640000}"/>
    <cellStyle name="Remarque 2 4 2 9 7 4" xfId="46404" xr:uid="{00000000-0005-0000-0000-000009640000}"/>
    <cellStyle name="Remarque 2 4 2 9 8" xfId="12534" xr:uid="{00000000-0005-0000-0000-00000A640000}"/>
    <cellStyle name="Remarque 2 4 2 9 8 2" xfId="23832" xr:uid="{00000000-0005-0000-0000-00000B640000}"/>
    <cellStyle name="Remarque 2 4 2 9 8 3" xfId="47792" xr:uid="{00000000-0005-0000-0000-00000C640000}"/>
    <cellStyle name="Remarque 2 4 2 9 9" xfId="2649" xr:uid="{00000000-0005-0000-0000-00000D640000}"/>
    <cellStyle name="Remarque 2 4 2 9 9 2" xfId="26663" xr:uid="{00000000-0005-0000-0000-00000E640000}"/>
    <cellStyle name="Remarque 2 4 2 9 9 3" xfId="50623" xr:uid="{00000000-0005-0000-0000-00000F640000}"/>
    <cellStyle name="Remarque 2 4 3" xfId="55" xr:uid="{00000000-0005-0000-0000-000010640000}"/>
    <cellStyle name="Remarque 2 4 3 10" xfId="36892" xr:uid="{00000000-0005-0000-0000-000011640000}"/>
    <cellStyle name="Remarque 2 4 3 11" xfId="235" xr:uid="{00000000-0005-0000-0000-000012640000}"/>
    <cellStyle name="Remarque 2 4 3 2" xfId="469" xr:uid="{00000000-0005-0000-0000-000013640000}"/>
    <cellStyle name="Remarque 2 4 3 2 10" xfId="6203" xr:uid="{00000000-0005-0000-0000-000014640000}"/>
    <cellStyle name="Remarque 2 4 3 2 10 2" xfId="30217" xr:uid="{00000000-0005-0000-0000-000015640000}"/>
    <cellStyle name="Remarque 2 4 3 2 10 2 2" xfId="54177" xr:uid="{00000000-0005-0000-0000-000016640000}"/>
    <cellStyle name="Remarque 2 4 3 2 10 3" xfId="17464" xr:uid="{00000000-0005-0000-0000-000017640000}"/>
    <cellStyle name="Remarque 2 4 3 2 10 4" xfId="41424" xr:uid="{00000000-0005-0000-0000-000018640000}"/>
    <cellStyle name="Remarque 2 4 3 2 11" xfId="7591" xr:uid="{00000000-0005-0000-0000-000019640000}"/>
    <cellStyle name="Remarque 2 4 3 2 11 2" xfId="31605" xr:uid="{00000000-0005-0000-0000-00001A640000}"/>
    <cellStyle name="Remarque 2 4 3 2 11 2 2" xfId="55565" xr:uid="{00000000-0005-0000-0000-00001B640000}"/>
    <cellStyle name="Remarque 2 4 3 2 11 3" xfId="18852" xr:uid="{00000000-0005-0000-0000-00001C640000}"/>
    <cellStyle name="Remarque 2 4 3 2 11 4" xfId="42812" xr:uid="{00000000-0005-0000-0000-00001D640000}"/>
    <cellStyle name="Remarque 2 4 3 2 12" xfId="8976" xr:uid="{00000000-0005-0000-0000-00001E640000}"/>
    <cellStyle name="Remarque 2 4 3 2 12 2" xfId="32990" xr:uid="{00000000-0005-0000-0000-00001F640000}"/>
    <cellStyle name="Remarque 2 4 3 2 12 2 2" xfId="56950" xr:uid="{00000000-0005-0000-0000-000020640000}"/>
    <cellStyle name="Remarque 2 4 3 2 12 3" xfId="20237" xr:uid="{00000000-0005-0000-0000-000021640000}"/>
    <cellStyle name="Remarque 2 4 3 2 12 4" xfId="44197" xr:uid="{00000000-0005-0000-0000-000022640000}"/>
    <cellStyle name="Remarque 2 4 3 2 13" xfId="10433" xr:uid="{00000000-0005-0000-0000-000023640000}"/>
    <cellStyle name="Remarque 2 4 3 2 13 2" xfId="34443" xr:uid="{00000000-0005-0000-0000-000024640000}"/>
    <cellStyle name="Remarque 2 4 3 2 13 2 2" xfId="58403" xr:uid="{00000000-0005-0000-0000-000025640000}"/>
    <cellStyle name="Remarque 2 4 3 2 13 3" xfId="21700" xr:uid="{00000000-0005-0000-0000-000026640000}"/>
    <cellStyle name="Remarque 2 4 3 2 13 4" xfId="45660" xr:uid="{00000000-0005-0000-0000-000027640000}"/>
    <cellStyle name="Remarque 2 4 3 2 14" xfId="12497" xr:uid="{00000000-0005-0000-0000-000028640000}"/>
    <cellStyle name="Remarque 2 4 3 2 14 2" xfId="23794" xr:uid="{00000000-0005-0000-0000-000029640000}"/>
    <cellStyle name="Remarque 2 4 3 2 14 3" xfId="47754" xr:uid="{00000000-0005-0000-0000-00002A640000}"/>
    <cellStyle name="Remarque 2 4 3 2 15" xfId="1905" xr:uid="{00000000-0005-0000-0000-00002B640000}"/>
    <cellStyle name="Remarque 2 4 3 2 15 2" xfId="25919" xr:uid="{00000000-0005-0000-0000-00002C640000}"/>
    <cellStyle name="Remarque 2 4 3 2 15 3" xfId="49879" xr:uid="{00000000-0005-0000-0000-00002D640000}"/>
    <cellStyle name="Remarque 2 4 3 2 16" xfId="24501" xr:uid="{00000000-0005-0000-0000-00002E640000}"/>
    <cellStyle name="Remarque 2 4 3 2 16 2" xfId="48461" xr:uid="{00000000-0005-0000-0000-00002F640000}"/>
    <cellStyle name="Remarque 2 4 3 2 17" xfId="35894" xr:uid="{00000000-0005-0000-0000-000030640000}"/>
    <cellStyle name="Remarque 2 4 3 2 17 2" xfId="59854" xr:uid="{00000000-0005-0000-0000-000031640000}"/>
    <cellStyle name="Remarque 2 4 3 2 18" xfId="13166" xr:uid="{00000000-0005-0000-0000-000032640000}"/>
    <cellStyle name="Remarque 2 4 3 2 19" xfId="37126" xr:uid="{00000000-0005-0000-0000-000033640000}"/>
    <cellStyle name="Remarque 2 4 3 2 2" xfId="605" xr:uid="{00000000-0005-0000-0000-000034640000}"/>
    <cellStyle name="Remarque 2 4 3 2 2 10" xfId="24637" xr:uid="{00000000-0005-0000-0000-000035640000}"/>
    <cellStyle name="Remarque 2 4 3 2 2 10 2" xfId="48597" xr:uid="{00000000-0005-0000-0000-000036640000}"/>
    <cellStyle name="Remarque 2 4 3 2 2 11" xfId="35883" xr:uid="{00000000-0005-0000-0000-000037640000}"/>
    <cellStyle name="Remarque 2 4 3 2 2 11 2" xfId="59843" xr:uid="{00000000-0005-0000-0000-000038640000}"/>
    <cellStyle name="Remarque 2 4 3 2 2 12" xfId="13302" xr:uid="{00000000-0005-0000-0000-000039640000}"/>
    <cellStyle name="Remarque 2 4 3 2 2 13" xfId="37262" xr:uid="{00000000-0005-0000-0000-00003A640000}"/>
    <cellStyle name="Remarque 2 4 3 2 2 2" xfId="3511" xr:uid="{00000000-0005-0000-0000-00003B640000}"/>
    <cellStyle name="Remarque 2 4 3 2 2 2 2" xfId="27525" xr:uid="{00000000-0005-0000-0000-00003C640000}"/>
    <cellStyle name="Remarque 2 4 3 2 2 2 2 2" xfId="51485" xr:uid="{00000000-0005-0000-0000-00003D640000}"/>
    <cellStyle name="Remarque 2 4 3 2 2 2 3" xfId="14772" xr:uid="{00000000-0005-0000-0000-00003E640000}"/>
    <cellStyle name="Remarque 2 4 3 2 2 2 4" xfId="38732" xr:uid="{00000000-0005-0000-0000-00003F640000}"/>
    <cellStyle name="Remarque 2 4 3 2 2 3" xfId="4945" xr:uid="{00000000-0005-0000-0000-000040640000}"/>
    <cellStyle name="Remarque 2 4 3 2 2 3 2" xfId="28959" xr:uid="{00000000-0005-0000-0000-000041640000}"/>
    <cellStyle name="Remarque 2 4 3 2 2 3 2 2" xfId="52919" xr:uid="{00000000-0005-0000-0000-000042640000}"/>
    <cellStyle name="Remarque 2 4 3 2 2 3 3" xfId="16206" xr:uid="{00000000-0005-0000-0000-000043640000}"/>
    <cellStyle name="Remarque 2 4 3 2 2 3 4" xfId="40166" xr:uid="{00000000-0005-0000-0000-000044640000}"/>
    <cellStyle name="Remarque 2 4 3 2 2 4" xfId="6339" xr:uid="{00000000-0005-0000-0000-000045640000}"/>
    <cellStyle name="Remarque 2 4 3 2 2 4 2" xfId="30353" xr:uid="{00000000-0005-0000-0000-000046640000}"/>
    <cellStyle name="Remarque 2 4 3 2 2 4 2 2" xfId="54313" xr:uid="{00000000-0005-0000-0000-000047640000}"/>
    <cellStyle name="Remarque 2 4 3 2 2 4 3" xfId="17600" xr:uid="{00000000-0005-0000-0000-000048640000}"/>
    <cellStyle name="Remarque 2 4 3 2 2 4 4" xfId="41560" xr:uid="{00000000-0005-0000-0000-000049640000}"/>
    <cellStyle name="Remarque 2 4 3 2 2 5" xfId="7727" xr:uid="{00000000-0005-0000-0000-00004A640000}"/>
    <cellStyle name="Remarque 2 4 3 2 2 5 2" xfId="31741" xr:uid="{00000000-0005-0000-0000-00004B640000}"/>
    <cellStyle name="Remarque 2 4 3 2 2 5 2 2" xfId="55701" xr:uid="{00000000-0005-0000-0000-00004C640000}"/>
    <cellStyle name="Remarque 2 4 3 2 2 5 3" xfId="18988" xr:uid="{00000000-0005-0000-0000-00004D640000}"/>
    <cellStyle name="Remarque 2 4 3 2 2 5 4" xfId="42948" xr:uid="{00000000-0005-0000-0000-00004E640000}"/>
    <cellStyle name="Remarque 2 4 3 2 2 6" xfId="9112" xr:uid="{00000000-0005-0000-0000-00004F640000}"/>
    <cellStyle name="Remarque 2 4 3 2 2 6 2" xfId="33126" xr:uid="{00000000-0005-0000-0000-000050640000}"/>
    <cellStyle name="Remarque 2 4 3 2 2 6 2 2" xfId="57086" xr:uid="{00000000-0005-0000-0000-000051640000}"/>
    <cellStyle name="Remarque 2 4 3 2 2 6 3" xfId="20373" xr:uid="{00000000-0005-0000-0000-000052640000}"/>
    <cellStyle name="Remarque 2 4 3 2 2 6 4" xfId="44333" xr:uid="{00000000-0005-0000-0000-000053640000}"/>
    <cellStyle name="Remarque 2 4 3 2 2 7" xfId="10569" xr:uid="{00000000-0005-0000-0000-000054640000}"/>
    <cellStyle name="Remarque 2 4 3 2 2 7 2" xfId="34579" xr:uid="{00000000-0005-0000-0000-000055640000}"/>
    <cellStyle name="Remarque 2 4 3 2 2 7 2 2" xfId="58539" xr:uid="{00000000-0005-0000-0000-000056640000}"/>
    <cellStyle name="Remarque 2 4 3 2 2 7 3" xfId="21836" xr:uid="{00000000-0005-0000-0000-000057640000}"/>
    <cellStyle name="Remarque 2 4 3 2 2 7 4" xfId="45796" xr:uid="{00000000-0005-0000-0000-000058640000}"/>
    <cellStyle name="Remarque 2 4 3 2 2 8" xfId="12027" xr:uid="{00000000-0005-0000-0000-000059640000}"/>
    <cellStyle name="Remarque 2 4 3 2 2 8 2" xfId="23306" xr:uid="{00000000-0005-0000-0000-00005A640000}"/>
    <cellStyle name="Remarque 2 4 3 2 2 8 3" xfId="47266" xr:uid="{00000000-0005-0000-0000-00005B640000}"/>
    <cellStyle name="Remarque 2 4 3 2 2 9" xfId="2041" xr:uid="{00000000-0005-0000-0000-00005C640000}"/>
    <cellStyle name="Remarque 2 4 3 2 2 9 2" xfId="26055" xr:uid="{00000000-0005-0000-0000-00005D640000}"/>
    <cellStyle name="Remarque 2 4 3 2 2 9 3" xfId="50015" xr:uid="{00000000-0005-0000-0000-00005E640000}"/>
    <cellStyle name="Remarque 2 4 3 2 3" xfId="797" xr:uid="{00000000-0005-0000-0000-00005F640000}"/>
    <cellStyle name="Remarque 2 4 3 2 3 10" xfId="24829" xr:uid="{00000000-0005-0000-0000-000060640000}"/>
    <cellStyle name="Remarque 2 4 3 2 3 10 2" xfId="48789" xr:uid="{00000000-0005-0000-0000-000061640000}"/>
    <cellStyle name="Remarque 2 4 3 2 3 11" xfId="35960" xr:uid="{00000000-0005-0000-0000-000062640000}"/>
    <cellStyle name="Remarque 2 4 3 2 3 11 2" xfId="59920" xr:uid="{00000000-0005-0000-0000-000063640000}"/>
    <cellStyle name="Remarque 2 4 3 2 3 12" xfId="13494" xr:uid="{00000000-0005-0000-0000-000064640000}"/>
    <cellStyle name="Remarque 2 4 3 2 3 13" xfId="37454" xr:uid="{00000000-0005-0000-0000-000065640000}"/>
    <cellStyle name="Remarque 2 4 3 2 3 2" xfId="3703" xr:uid="{00000000-0005-0000-0000-000066640000}"/>
    <cellStyle name="Remarque 2 4 3 2 3 2 2" xfId="27717" xr:uid="{00000000-0005-0000-0000-000067640000}"/>
    <cellStyle name="Remarque 2 4 3 2 3 2 2 2" xfId="51677" xr:uid="{00000000-0005-0000-0000-000068640000}"/>
    <cellStyle name="Remarque 2 4 3 2 3 2 3" xfId="14964" xr:uid="{00000000-0005-0000-0000-000069640000}"/>
    <cellStyle name="Remarque 2 4 3 2 3 2 4" xfId="38924" xr:uid="{00000000-0005-0000-0000-00006A640000}"/>
    <cellStyle name="Remarque 2 4 3 2 3 3" xfId="5137" xr:uid="{00000000-0005-0000-0000-00006B640000}"/>
    <cellStyle name="Remarque 2 4 3 2 3 3 2" xfId="29151" xr:uid="{00000000-0005-0000-0000-00006C640000}"/>
    <cellStyle name="Remarque 2 4 3 2 3 3 2 2" xfId="53111" xr:uid="{00000000-0005-0000-0000-00006D640000}"/>
    <cellStyle name="Remarque 2 4 3 2 3 3 3" xfId="16398" xr:uid="{00000000-0005-0000-0000-00006E640000}"/>
    <cellStyle name="Remarque 2 4 3 2 3 3 4" xfId="40358" xr:uid="{00000000-0005-0000-0000-00006F640000}"/>
    <cellStyle name="Remarque 2 4 3 2 3 4" xfId="6531" xr:uid="{00000000-0005-0000-0000-000070640000}"/>
    <cellStyle name="Remarque 2 4 3 2 3 4 2" xfId="30545" xr:uid="{00000000-0005-0000-0000-000071640000}"/>
    <cellStyle name="Remarque 2 4 3 2 3 4 2 2" xfId="54505" xr:uid="{00000000-0005-0000-0000-000072640000}"/>
    <cellStyle name="Remarque 2 4 3 2 3 4 3" xfId="17792" xr:uid="{00000000-0005-0000-0000-000073640000}"/>
    <cellStyle name="Remarque 2 4 3 2 3 4 4" xfId="41752" xr:uid="{00000000-0005-0000-0000-000074640000}"/>
    <cellStyle name="Remarque 2 4 3 2 3 5" xfId="7919" xr:uid="{00000000-0005-0000-0000-000075640000}"/>
    <cellStyle name="Remarque 2 4 3 2 3 5 2" xfId="31933" xr:uid="{00000000-0005-0000-0000-000076640000}"/>
    <cellStyle name="Remarque 2 4 3 2 3 5 2 2" xfId="55893" xr:uid="{00000000-0005-0000-0000-000077640000}"/>
    <cellStyle name="Remarque 2 4 3 2 3 5 3" xfId="19180" xr:uid="{00000000-0005-0000-0000-000078640000}"/>
    <cellStyle name="Remarque 2 4 3 2 3 5 4" xfId="43140" xr:uid="{00000000-0005-0000-0000-000079640000}"/>
    <cellStyle name="Remarque 2 4 3 2 3 6" xfId="9304" xr:uid="{00000000-0005-0000-0000-00007A640000}"/>
    <cellStyle name="Remarque 2 4 3 2 3 6 2" xfId="33318" xr:uid="{00000000-0005-0000-0000-00007B640000}"/>
    <cellStyle name="Remarque 2 4 3 2 3 6 2 2" xfId="57278" xr:uid="{00000000-0005-0000-0000-00007C640000}"/>
    <cellStyle name="Remarque 2 4 3 2 3 6 3" xfId="20565" xr:uid="{00000000-0005-0000-0000-00007D640000}"/>
    <cellStyle name="Remarque 2 4 3 2 3 6 4" xfId="44525" xr:uid="{00000000-0005-0000-0000-00007E640000}"/>
    <cellStyle name="Remarque 2 4 3 2 3 7" xfId="10761" xr:uid="{00000000-0005-0000-0000-00007F640000}"/>
    <cellStyle name="Remarque 2 4 3 2 3 7 2" xfId="34771" xr:uid="{00000000-0005-0000-0000-000080640000}"/>
    <cellStyle name="Remarque 2 4 3 2 3 7 2 2" xfId="58731" xr:uid="{00000000-0005-0000-0000-000081640000}"/>
    <cellStyle name="Remarque 2 4 3 2 3 7 3" xfId="22028" xr:uid="{00000000-0005-0000-0000-000082640000}"/>
    <cellStyle name="Remarque 2 4 3 2 3 7 4" xfId="45988" xr:uid="{00000000-0005-0000-0000-000083640000}"/>
    <cellStyle name="Remarque 2 4 3 2 3 8" xfId="11925" xr:uid="{00000000-0005-0000-0000-000084640000}"/>
    <cellStyle name="Remarque 2 4 3 2 3 8 2" xfId="23203" xr:uid="{00000000-0005-0000-0000-000085640000}"/>
    <cellStyle name="Remarque 2 4 3 2 3 8 3" xfId="47163" xr:uid="{00000000-0005-0000-0000-000086640000}"/>
    <cellStyle name="Remarque 2 4 3 2 3 9" xfId="2233" xr:uid="{00000000-0005-0000-0000-000087640000}"/>
    <cellStyle name="Remarque 2 4 3 2 3 9 2" xfId="26247" xr:uid="{00000000-0005-0000-0000-000088640000}"/>
    <cellStyle name="Remarque 2 4 3 2 3 9 3" xfId="50207" xr:uid="{00000000-0005-0000-0000-000089640000}"/>
    <cellStyle name="Remarque 2 4 3 2 4" xfId="991" xr:uid="{00000000-0005-0000-0000-00008A640000}"/>
    <cellStyle name="Remarque 2 4 3 2 4 10" xfId="25023" xr:uid="{00000000-0005-0000-0000-00008B640000}"/>
    <cellStyle name="Remarque 2 4 3 2 4 10 2" xfId="48983" xr:uid="{00000000-0005-0000-0000-00008C640000}"/>
    <cellStyle name="Remarque 2 4 3 2 4 11" xfId="36173" xr:uid="{00000000-0005-0000-0000-00008D640000}"/>
    <cellStyle name="Remarque 2 4 3 2 4 11 2" xfId="60133" xr:uid="{00000000-0005-0000-0000-00008E640000}"/>
    <cellStyle name="Remarque 2 4 3 2 4 12" xfId="13688" xr:uid="{00000000-0005-0000-0000-00008F640000}"/>
    <cellStyle name="Remarque 2 4 3 2 4 13" xfId="37648" xr:uid="{00000000-0005-0000-0000-000090640000}"/>
    <cellStyle name="Remarque 2 4 3 2 4 2" xfId="3897" xr:uid="{00000000-0005-0000-0000-000091640000}"/>
    <cellStyle name="Remarque 2 4 3 2 4 2 2" xfId="27911" xr:uid="{00000000-0005-0000-0000-000092640000}"/>
    <cellStyle name="Remarque 2 4 3 2 4 2 2 2" xfId="51871" xr:uid="{00000000-0005-0000-0000-000093640000}"/>
    <cellStyle name="Remarque 2 4 3 2 4 2 3" xfId="15158" xr:uid="{00000000-0005-0000-0000-000094640000}"/>
    <cellStyle name="Remarque 2 4 3 2 4 2 4" xfId="39118" xr:uid="{00000000-0005-0000-0000-000095640000}"/>
    <cellStyle name="Remarque 2 4 3 2 4 3" xfId="5331" xr:uid="{00000000-0005-0000-0000-000096640000}"/>
    <cellStyle name="Remarque 2 4 3 2 4 3 2" xfId="29345" xr:uid="{00000000-0005-0000-0000-000097640000}"/>
    <cellStyle name="Remarque 2 4 3 2 4 3 2 2" xfId="53305" xr:uid="{00000000-0005-0000-0000-000098640000}"/>
    <cellStyle name="Remarque 2 4 3 2 4 3 3" xfId="16592" xr:uid="{00000000-0005-0000-0000-000099640000}"/>
    <cellStyle name="Remarque 2 4 3 2 4 3 4" xfId="40552" xr:uid="{00000000-0005-0000-0000-00009A640000}"/>
    <cellStyle name="Remarque 2 4 3 2 4 4" xfId="6725" xr:uid="{00000000-0005-0000-0000-00009B640000}"/>
    <cellStyle name="Remarque 2 4 3 2 4 4 2" xfId="30739" xr:uid="{00000000-0005-0000-0000-00009C640000}"/>
    <cellStyle name="Remarque 2 4 3 2 4 4 2 2" xfId="54699" xr:uid="{00000000-0005-0000-0000-00009D640000}"/>
    <cellStyle name="Remarque 2 4 3 2 4 4 3" xfId="17986" xr:uid="{00000000-0005-0000-0000-00009E640000}"/>
    <cellStyle name="Remarque 2 4 3 2 4 4 4" xfId="41946" xr:uid="{00000000-0005-0000-0000-00009F640000}"/>
    <cellStyle name="Remarque 2 4 3 2 4 5" xfId="8113" xr:uid="{00000000-0005-0000-0000-0000A0640000}"/>
    <cellStyle name="Remarque 2 4 3 2 4 5 2" xfId="32127" xr:uid="{00000000-0005-0000-0000-0000A1640000}"/>
    <cellStyle name="Remarque 2 4 3 2 4 5 2 2" xfId="56087" xr:uid="{00000000-0005-0000-0000-0000A2640000}"/>
    <cellStyle name="Remarque 2 4 3 2 4 5 3" xfId="19374" xr:uid="{00000000-0005-0000-0000-0000A3640000}"/>
    <cellStyle name="Remarque 2 4 3 2 4 5 4" xfId="43334" xr:uid="{00000000-0005-0000-0000-0000A4640000}"/>
    <cellStyle name="Remarque 2 4 3 2 4 6" xfId="9498" xr:uid="{00000000-0005-0000-0000-0000A5640000}"/>
    <cellStyle name="Remarque 2 4 3 2 4 6 2" xfId="33512" xr:uid="{00000000-0005-0000-0000-0000A6640000}"/>
    <cellStyle name="Remarque 2 4 3 2 4 6 2 2" xfId="57472" xr:uid="{00000000-0005-0000-0000-0000A7640000}"/>
    <cellStyle name="Remarque 2 4 3 2 4 6 3" xfId="20759" xr:uid="{00000000-0005-0000-0000-0000A8640000}"/>
    <cellStyle name="Remarque 2 4 3 2 4 6 4" xfId="44719" xr:uid="{00000000-0005-0000-0000-0000A9640000}"/>
    <cellStyle name="Remarque 2 4 3 2 4 7" xfId="10955" xr:uid="{00000000-0005-0000-0000-0000AA640000}"/>
    <cellStyle name="Remarque 2 4 3 2 4 7 2" xfId="34965" xr:uid="{00000000-0005-0000-0000-0000AB640000}"/>
    <cellStyle name="Remarque 2 4 3 2 4 7 2 2" xfId="58925" xr:uid="{00000000-0005-0000-0000-0000AC640000}"/>
    <cellStyle name="Remarque 2 4 3 2 4 7 3" xfId="22222" xr:uid="{00000000-0005-0000-0000-0000AD640000}"/>
    <cellStyle name="Remarque 2 4 3 2 4 7 4" xfId="46182" xr:uid="{00000000-0005-0000-0000-0000AE640000}"/>
    <cellStyle name="Remarque 2 4 3 2 4 8" xfId="12721" xr:uid="{00000000-0005-0000-0000-0000AF640000}"/>
    <cellStyle name="Remarque 2 4 3 2 4 8 2" xfId="24027" xr:uid="{00000000-0005-0000-0000-0000B0640000}"/>
    <cellStyle name="Remarque 2 4 3 2 4 8 3" xfId="47987" xr:uid="{00000000-0005-0000-0000-0000B1640000}"/>
    <cellStyle name="Remarque 2 4 3 2 4 9" xfId="2427" xr:uid="{00000000-0005-0000-0000-0000B2640000}"/>
    <cellStyle name="Remarque 2 4 3 2 4 9 2" xfId="26441" xr:uid="{00000000-0005-0000-0000-0000B3640000}"/>
    <cellStyle name="Remarque 2 4 3 2 4 9 3" xfId="50401" xr:uid="{00000000-0005-0000-0000-0000B4640000}"/>
    <cellStyle name="Remarque 2 4 3 2 5" xfId="1184" xr:uid="{00000000-0005-0000-0000-0000B5640000}"/>
    <cellStyle name="Remarque 2 4 3 2 5 10" xfId="25216" xr:uid="{00000000-0005-0000-0000-0000B6640000}"/>
    <cellStyle name="Remarque 2 4 3 2 5 10 2" xfId="49176" xr:uid="{00000000-0005-0000-0000-0000B7640000}"/>
    <cellStyle name="Remarque 2 4 3 2 5 11" xfId="36296" xr:uid="{00000000-0005-0000-0000-0000B8640000}"/>
    <cellStyle name="Remarque 2 4 3 2 5 11 2" xfId="60256" xr:uid="{00000000-0005-0000-0000-0000B9640000}"/>
    <cellStyle name="Remarque 2 4 3 2 5 12" xfId="13881" xr:uid="{00000000-0005-0000-0000-0000BA640000}"/>
    <cellStyle name="Remarque 2 4 3 2 5 13" xfId="37841" xr:uid="{00000000-0005-0000-0000-0000BB640000}"/>
    <cellStyle name="Remarque 2 4 3 2 5 2" xfId="4090" xr:uid="{00000000-0005-0000-0000-0000BC640000}"/>
    <cellStyle name="Remarque 2 4 3 2 5 2 2" xfId="28104" xr:uid="{00000000-0005-0000-0000-0000BD640000}"/>
    <cellStyle name="Remarque 2 4 3 2 5 2 2 2" xfId="52064" xr:uid="{00000000-0005-0000-0000-0000BE640000}"/>
    <cellStyle name="Remarque 2 4 3 2 5 2 3" xfId="15351" xr:uid="{00000000-0005-0000-0000-0000BF640000}"/>
    <cellStyle name="Remarque 2 4 3 2 5 2 4" xfId="39311" xr:uid="{00000000-0005-0000-0000-0000C0640000}"/>
    <cellStyle name="Remarque 2 4 3 2 5 3" xfId="5524" xr:uid="{00000000-0005-0000-0000-0000C1640000}"/>
    <cellStyle name="Remarque 2 4 3 2 5 3 2" xfId="29538" xr:uid="{00000000-0005-0000-0000-0000C2640000}"/>
    <cellStyle name="Remarque 2 4 3 2 5 3 2 2" xfId="53498" xr:uid="{00000000-0005-0000-0000-0000C3640000}"/>
    <cellStyle name="Remarque 2 4 3 2 5 3 3" xfId="16785" xr:uid="{00000000-0005-0000-0000-0000C4640000}"/>
    <cellStyle name="Remarque 2 4 3 2 5 3 4" xfId="40745" xr:uid="{00000000-0005-0000-0000-0000C5640000}"/>
    <cellStyle name="Remarque 2 4 3 2 5 4" xfId="6918" xr:uid="{00000000-0005-0000-0000-0000C6640000}"/>
    <cellStyle name="Remarque 2 4 3 2 5 4 2" xfId="30932" xr:uid="{00000000-0005-0000-0000-0000C7640000}"/>
    <cellStyle name="Remarque 2 4 3 2 5 4 2 2" xfId="54892" xr:uid="{00000000-0005-0000-0000-0000C8640000}"/>
    <cellStyle name="Remarque 2 4 3 2 5 4 3" xfId="18179" xr:uid="{00000000-0005-0000-0000-0000C9640000}"/>
    <cellStyle name="Remarque 2 4 3 2 5 4 4" xfId="42139" xr:uid="{00000000-0005-0000-0000-0000CA640000}"/>
    <cellStyle name="Remarque 2 4 3 2 5 5" xfId="8306" xr:uid="{00000000-0005-0000-0000-0000CB640000}"/>
    <cellStyle name="Remarque 2 4 3 2 5 5 2" xfId="32320" xr:uid="{00000000-0005-0000-0000-0000CC640000}"/>
    <cellStyle name="Remarque 2 4 3 2 5 5 2 2" xfId="56280" xr:uid="{00000000-0005-0000-0000-0000CD640000}"/>
    <cellStyle name="Remarque 2 4 3 2 5 5 3" xfId="19567" xr:uid="{00000000-0005-0000-0000-0000CE640000}"/>
    <cellStyle name="Remarque 2 4 3 2 5 5 4" xfId="43527" xr:uid="{00000000-0005-0000-0000-0000CF640000}"/>
    <cellStyle name="Remarque 2 4 3 2 5 6" xfId="9691" xr:uid="{00000000-0005-0000-0000-0000D0640000}"/>
    <cellStyle name="Remarque 2 4 3 2 5 6 2" xfId="33705" xr:uid="{00000000-0005-0000-0000-0000D1640000}"/>
    <cellStyle name="Remarque 2 4 3 2 5 6 2 2" xfId="57665" xr:uid="{00000000-0005-0000-0000-0000D2640000}"/>
    <cellStyle name="Remarque 2 4 3 2 5 6 3" xfId="20952" xr:uid="{00000000-0005-0000-0000-0000D3640000}"/>
    <cellStyle name="Remarque 2 4 3 2 5 6 4" xfId="44912" xr:uid="{00000000-0005-0000-0000-0000D4640000}"/>
    <cellStyle name="Remarque 2 4 3 2 5 7" xfId="11148" xr:uid="{00000000-0005-0000-0000-0000D5640000}"/>
    <cellStyle name="Remarque 2 4 3 2 5 7 2" xfId="35158" xr:uid="{00000000-0005-0000-0000-0000D6640000}"/>
    <cellStyle name="Remarque 2 4 3 2 5 7 2 2" xfId="59118" xr:uid="{00000000-0005-0000-0000-0000D7640000}"/>
    <cellStyle name="Remarque 2 4 3 2 5 7 3" xfId="22415" xr:uid="{00000000-0005-0000-0000-0000D8640000}"/>
    <cellStyle name="Remarque 2 4 3 2 5 7 4" xfId="46375" xr:uid="{00000000-0005-0000-0000-0000D9640000}"/>
    <cellStyle name="Remarque 2 4 3 2 5 8" xfId="11974" xr:uid="{00000000-0005-0000-0000-0000DA640000}"/>
    <cellStyle name="Remarque 2 4 3 2 5 8 2" xfId="23252" xr:uid="{00000000-0005-0000-0000-0000DB640000}"/>
    <cellStyle name="Remarque 2 4 3 2 5 8 3" xfId="47212" xr:uid="{00000000-0005-0000-0000-0000DC640000}"/>
    <cellStyle name="Remarque 2 4 3 2 5 9" xfId="2620" xr:uid="{00000000-0005-0000-0000-0000DD640000}"/>
    <cellStyle name="Remarque 2 4 3 2 5 9 2" xfId="26634" xr:uid="{00000000-0005-0000-0000-0000DE640000}"/>
    <cellStyle name="Remarque 2 4 3 2 5 9 3" xfId="50594" xr:uid="{00000000-0005-0000-0000-0000DF640000}"/>
    <cellStyle name="Remarque 2 4 3 2 6" xfId="1351" xr:uid="{00000000-0005-0000-0000-0000E0640000}"/>
    <cellStyle name="Remarque 2 4 3 2 6 10" xfId="25383" xr:uid="{00000000-0005-0000-0000-0000E1640000}"/>
    <cellStyle name="Remarque 2 4 3 2 6 10 2" xfId="49343" xr:uid="{00000000-0005-0000-0000-0000E2640000}"/>
    <cellStyle name="Remarque 2 4 3 2 6 11" xfId="34127" xr:uid="{00000000-0005-0000-0000-0000E3640000}"/>
    <cellStyle name="Remarque 2 4 3 2 6 11 2" xfId="58087" xr:uid="{00000000-0005-0000-0000-0000E4640000}"/>
    <cellStyle name="Remarque 2 4 3 2 6 12" xfId="14048" xr:uid="{00000000-0005-0000-0000-0000E5640000}"/>
    <cellStyle name="Remarque 2 4 3 2 6 13" xfId="38008" xr:uid="{00000000-0005-0000-0000-0000E6640000}"/>
    <cellStyle name="Remarque 2 4 3 2 6 2" xfId="4257" xr:uid="{00000000-0005-0000-0000-0000E7640000}"/>
    <cellStyle name="Remarque 2 4 3 2 6 2 2" xfId="28271" xr:uid="{00000000-0005-0000-0000-0000E8640000}"/>
    <cellStyle name="Remarque 2 4 3 2 6 2 2 2" xfId="52231" xr:uid="{00000000-0005-0000-0000-0000E9640000}"/>
    <cellStyle name="Remarque 2 4 3 2 6 2 3" xfId="15518" xr:uid="{00000000-0005-0000-0000-0000EA640000}"/>
    <cellStyle name="Remarque 2 4 3 2 6 2 4" xfId="39478" xr:uid="{00000000-0005-0000-0000-0000EB640000}"/>
    <cellStyle name="Remarque 2 4 3 2 6 3" xfId="5691" xr:uid="{00000000-0005-0000-0000-0000EC640000}"/>
    <cellStyle name="Remarque 2 4 3 2 6 3 2" xfId="29705" xr:uid="{00000000-0005-0000-0000-0000ED640000}"/>
    <cellStyle name="Remarque 2 4 3 2 6 3 2 2" xfId="53665" xr:uid="{00000000-0005-0000-0000-0000EE640000}"/>
    <cellStyle name="Remarque 2 4 3 2 6 3 3" xfId="16952" xr:uid="{00000000-0005-0000-0000-0000EF640000}"/>
    <cellStyle name="Remarque 2 4 3 2 6 3 4" xfId="40912" xr:uid="{00000000-0005-0000-0000-0000F0640000}"/>
    <cellStyle name="Remarque 2 4 3 2 6 4" xfId="7085" xr:uid="{00000000-0005-0000-0000-0000F1640000}"/>
    <cellStyle name="Remarque 2 4 3 2 6 4 2" xfId="31099" xr:uid="{00000000-0005-0000-0000-0000F2640000}"/>
    <cellStyle name="Remarque 2 4 3 2 6 4 2 2" xfId="55059" xr:uid="{00000000-0005-0000-0000-0000F3640000}"/>
    <cellStyle name="Remarque 2 4 3 2 6 4 3" xfId="18346" xr:uid="{00000000-0005-0000-0000-0000F4640000}"/>
    <cellStyle name="Remarque 2 4 3 2 6 4 4" xfId="42306" xr:uid="{00000000-0005-0000-0000-0000F5640000}"/>
    <cellStyle name="Remarque 2 4 3 2 6 5" xfId="8473" xr:uid="{00000000-0005-0000-0000-0000F6640000}"/>
    <cellStyle name="Remarque 2 4 3 2 6 5 2" xfId="32487" xr:uid="{00000000-0005-0000-0000-0000F7640000}"/>
    <cellStyle name="Remarque 2 4 3 2 6 5 2 2" xfId="56447" xr:uid="{00000000-0005-0000-0000-0000F8640000}"/>
    <cellStyle name="Remarque 2 4 3 2 6 5 3" xfId="19734" xr:uid="{00000000-0005-0000-0000-0000F9640000}"/>
    <cellStyle name="Remarque 2 4 3 2 6 5 4" xfId="43694" xr:uid="{00000000-0005-0000-0000-0000FA640000}"/>
    <cellStyle name="Remarque 2 4 3 2 6 6" xfId="9858" xr:uid="{00000000-0005-0000-0000-0000FB640000}"/>
    <cellStyle name="Remarque 2 4 3 2 6 6 2" xfId="33872" xr:uid="{00000000-0005-0000-0000-0000FC640000}"/>
    <cellStyle name="Remarque 2 4 3 2 6 6 2 2" xfId="57832" xr:uid="{00000000-0005-0000-0000-0000FD640000}"/>
    <cellStyle name="Remarque 2 4 3 2 6 6 3" xfId="21119" xr:uid="{00000000-0005-0000-0000-0000FE640000}"/>
    <cellStyle name="Remarque 2 4 3 2 6 6 4" xfId="45079" xr:uid="{00000000-0005-0000-0000-0000FF640000}"/>
    <cellStyle name="Remarque 2 4 3 2 6 7" xfId="11315" xr:uid="{00000000-0005-0000-0000-000000650000}"/>
    <cellStyle name="Remarque 2 4 3 2 6 7 2" xfId="35325" xr:uid="{00000000-0005-0000-0000-000001650000}"/>
    <cellStyle name="Remarque 2 4 3 2 6 7 2 2" xfId="59285" xr:uid="{00000000-0005-0000-0000-000002650000}"/>
    <cellStyle name="Remarque 2 4 3 2 6 7 3" xfId="22582" xr:uid="{00000000-0005-0000-0000-000003650000}"/>
    <cellStyle name="Remarque 2 4 3 2 6 7 4" xfId="46542" xr:uid="{00000000-0005-0000-0000-000004650000}"/>
    <cellStyle name="Remarque 2 4 3 2 6 8" xfId="12658" xr:uid="{00000000-0005-0000-0000-000005650000}"/>
    <cellStyle name="Remarque 2 4 3 2 6 8 2" xfId="23963" xr:uid="{00000000-0005-0000-0000-000006650000}"/>
    <cellStyle name="Remarque 2 4 3 2 6 8 3" xfId="47923" xr:uid="{00000000-0005-0000-0000-000007650000}"/>
    <cellStyle name="Remarque 2 4 3 2 6 9" xfId="2787" xr:uid="{00000000-0005-0000-0000-000008650000}"/>
    <cellStyle name="Remarque 2 4 3 2 6 9 2" xfId="26801" xr:uid="{00000000-0005-0000-0000-000009650000}"/>
    <cellStyle name="Remarque 2 4 3 2 6 9 3" xfId="50761" xr:uid="{00000000-0005-0000-0000-00000A650000}"/>
    <cellStyle name="Remarque 2 4 3 2 7" xfId="1520" xr:uid="{00000000-0005-0000-0000-00000B650000}"/>
    <cellStyle name="Remarque 2 4 3 2 7 10" xfId="25552" xr:uid="{00000000-0005-0000-0000-00000C650000}"/>
    <cellStyle name="Remarque 2 4 3 2 7 10 2" xfId="49512" xr:uid="{00000000-0005-0000-0000-00000D650000}"/>
    <cellStyle name="Remarque 2 4 3 2 7 11" xfId="36512" xr:uid="{00000000-0005-0000-0000-00000E650000}"/>
    <cellStyle name="Remarque 2 4 3 2 7 11 2" xfId="60472" xr:uid="{00000000-0005-0000-0000-00000F650000}"/>
    <cellStyle name="Remarque 2 4 3 2 7 12" xfId="14217" xr:uid="{00000000-0005-0000-0000-000010650000}"/>
    <cellStyle name="Remarque 2 4 3 2 7 13" xfId="38177" xr:uid="{00000000-0005-0000-0000-000011650000}"/>
    <cellStyle name="Remarque 2 4 3 2 7 2" xfId="4426" xr:uid="{00000000-0005-0000-0000-000012650000}"/>
    <cellStyle name="Remarque 2 4 3 2 7 2 2" xfId="28440" xr:uid="{00000000-0005-0000-0000-000013650000}"/>
    <cellStyle name="Remarque 2 4 3 2 7 2 2 2" xfId="52400" xr:uid="{00000000-0005-0000-0000-000014650000}"/>
    <cellStyle name="Remarque 2 4 3 2 7 2 3" xfId="15687" xr:uid="{00000000-0005-0000-0000-000015650000}"/>
    <cellStyle name="Remarque 2 4 3 2 7 2 4" xfId="39647" xr:uid="{00000000-0005-0000-0000-000016650000}"/>
    <cellStyle name="Remarque 2 4 3 2 7 3" xfId="5860" xr:uid="{00000000-0005-0000-0000-000017650000}"/>
    <cellStyle name="Remarque 2 4 3 2 7 3 2" xfId="29874" xr:uid="{00000000-0005-0000-0000-000018650000}"/>
    <cellStyle name="Remarque 2 4 3 2 7 3 2 2" xfId="53834" xr:uid="{00000000-0005-0000-0000-000019650000}"/>
    <cellStyle name="Remarque 2 4 3 2 7 3 3" xfId="17121" xr:uid="{00000000-0005-0000-0000-00001A650000}"/>
    <cellStyle name="Remarque 2 4 3 2 7 3 4" xfId="41081" xr:uid="{00000000-0005-0000-0000-00001B650000}"/>
    <cellStyle name="Remarque 2 4 3 2 7 4" xfId="7254" xr:uid="{00000000-0005-0000-0000-00001C650000}"/>
    <cellStyle name="Remarque 2 4 3 2 7 4 2" xfId="31268" xr:uid="{00000000-0005-0000-0000-00001D650000}"/>
    <cellStyle name="Remarque 2 4 3 2 7 4 2 2" xfId="55228" xr:uid="{00000000-0005-0000-0000-00001E650000}"/>
    <cellStyle name="Remarque 2 4 3 2 7 4 3" xfId="18515" xr:uid="{00000000-0005-0000-0000-00001F650000}"/>
    <cellStyle name="Remarque 2 4 3 2 7 4 4" xfId="42475" xr:uid="{00000000-0005-0000-0000-000020650000}"/>
    <cellStyle name="Remarque 2 4 3 2 7 5" xfId="8642" xr:uid="{00000000-0005-0000-0000-000021650000}"/>
    <cellStyle name="Remarque 2 4 3 2 7 5 2" xfId="32656" xr:uid="{00000000-0005-0000-0000-000022650000}"/>
    <cellStyle name="Remarque 2 4 3 2 7 5 2 2" xfId="56616" xr:uid="{00000000-0005-0000-0000-000023650000}"/>
    <cellStyle name="Remarque 2 4 3 2 7 5 3" xfId="19903" xr:uid="{00000000-0005-0000-0000-000024650000}"/>
    <cellStyle name="Remarque 2 4 3 2 7 5 4" xfId="43863" xr:uid="{00000000-0005-0000-0000-000025650000}"/>
    <cellStyle name="Remarque 2 4 3 2 7 6" xfId="10027" xr:uid="{00000000-0005-0000-0000-000026650000}"/>
    <cellStyle name="Remarque 2 4 3 2 7 6 2" xfId="34041" xr:uid="{00000000-0005-0000-0000-000027650000}"/>
    <cellStyle name="Remarque 2 4 3 2 7 6 2 2" xfId="58001" xr:uid="{00000000-0005-0000-0000-000028650000}"/>
    <cellStyle name="Remarque 2 4 3 2 7 6 3" xfId="21288" xr:uid="{00000000-0005-0000-0000-000029650000}"/>
    <cellStyle name="Remarque 2 4 3 2 7 6 4" xfId="45248" xr:uid="{00000000-0005-0000-0000-00002A650000}"/>
    <cellStyle name="Remarque 2 4 3 2 7 7" xfId="11484" xr:uid="{00000000-0005-0000-0000-00002B650000}"/>
    <cellStyle name="Remarque 2 4 3 2 7 7 2" xfId="35494" xr:uid="{00000000-0005-0000-0000-00002C650000}"/>
    <cellStyle name="Remarque 2 4 3 2 7 7 2 2" xfId="59454" xr:uid="{00000000-0005-0000-0000-00002D650000}"/>
    <cellStyle name="Remarque 2 4 3 2 7 7 3" xfId="22751" xr:uid="{00000000-0005-0000-0000-00002E650000}"/>
    <cellStyle name="Remarque 2 4 3 2 7 7 4" xfId="46711" xr:uid="{00000000-0005-0000-0000-00002F650000}"/>
    <cellStyle name="Remarque 2 4 3 2 7 8" xfId="11961" xr:uid="{00000000-0005-0000-0000-000030650000}"/>
    <cellStyle name="Remarque 2 4 3 2 7 8 2" xfId="23239" xr:uid="{00000000-0005-0000-0000-000031650000}"/>
    <cellStyle name="Remarque 2 4 3 2 7 8 3" xfId="47199" xr:uid="{00000000-0005-0000-0000-000032650000}"/>
    <cellStyle name="Remarque 2 4 3 2 7 9" xfId="2956" xr:uid="{00000000-0005-0000-0000-000033650000}"/>
    <cellStyle name="Remarque 2 4 3 2 7 9 2" xfId="26970" xr:uid="{00000000-0005-0000-0000-000034650000}"/>
    <cellStyle name="Remarque 2 4 3 2 7 9 3" xfId="50930" xr:uid="{00000000-0005-0000-0000-000035650000}"/>
    <cellStyle name="Remarque 2 4 3 2 8" xfId="3375" xr:uid="{00000000-0005-0000-0000-000036650000}"/>
    <cellStyle name="Remarque 2 4 3 2 8 2" xfId="27389" xr:uid="{00000000-0005-0000-0000-000037650000}"/>
    <cellStyle name="Remarque 2 4 3 2 8 2 2" xfId="51349" xr:uid="{00000000-0005-0000-0000-000038650000}"/>
    <cellStyle name="Remarque 2 4 3 2 8 3" xfId="14636" xr:uid="{00000000-0005-0000-0000-000039650000}"/>
    <cellStyle name="Remarque 2 4 3 2 8 4" xfId="38596" xr:uid="{00000000-0005-0000-0000-00003A650000}"/>
    <cellStyle name="Remarque 2 4 3 2 9" xfId="4809" xr:uid="{00000000-0005-0000-0000-00003B650000}"/>
    <cellStyle name="Remarque 2 4 3 2 9 2" xfId="28823" xr:uid="{00000000-0005-0000-0000-00003C650000}"/>
    <cellStyle name="Remarque 2 4 3 2 9 2 2" xfId="52783" xr:uid="{00000000-0005-0000-0000-00003D650000}"/>
    <cellStyle name="Remarque 2 4 3 2 9 3" xfId="16070" xr:uid="{00000000-0005-0000-0000-00003E650000}"/>
    <cellStyle name="Remarque 2 4 3 2 9 4" xfId="40030" xr:uid="{00000000-0005-0000-0000-00003F650000}"/>
    <cellStyle name="Remarque 2 4 3 3" xfId="274" xr:uid="{00000000-0005-0000-0000-000040650000}"/>
    <cellStyle name="Remarque 2 4 3 3 10" xfId="24306" xr:uid="{00000000-0005-0000-0000-000041650000}"/>
    <cellStyle name="Remarque 2 4 3 3 10 2" xfId="48266" xr:uid="{00000000-0005-0000-0000-000042650000}"/>
    <cellStyle name="Remarque 2 4 3 3 11" xfId="36526" xr:uid="{00000000-0005-0000-0000-000043650000}"/>
    <cellStyle name="Remarque 2 4 3 3 11 2" xfId="60486" xr:uid="{00000000-0005-0000-0000-000044650000}"/>
    <cellStyle name="Remarque 2 4 3 3 12" xfId="12971" xr:uid="{00000000-0005-0000-0000-000045650000}"/>
    <cellStyle name="Remarque 2 4 3 3 13" xfId="36931" xr:uid="{00000000-0005-0000-0000-000046650000}"/>
    <cellStyle name="Remarque 2 4 3 3 2" xfId="3180" xr:uid="{00000000-0005-0000-0000-000047650000}"/>
    <cellStyle name="Remarque 2 4 3 3 2 2" xfId="27194" xr:uid="{00000000-0005-0000-0000-000048650000}"/>
    <cellStyle name="Remarque 2 4 3 3 2 2 2" xfId="51154" xr:uid="{00000000-0005-0000-0000-000049650000}"/>
    <cellStyle name="Remarque 2 4 3 3 2 3" xfId="14441" xr:uid="{00000000-0005-0000-0000-00004A650000}"/>
    <cellStyle name="Remarque 2 4 3 3 2 4" xfId="38401" xr:uid="{00000000-0005-0000-0000-00004B650000}"/>
    <cellStyle name="Remarque 2 4 3 3 3" xfId="4614" xr:uid="{00000000-0005-0000-0000-00004C650000}"/>
    <cellStyle name="Remarque 2 4 3 3 3 2" xfId="28628" xr:uid="{00000000-0005-0000-0000-00004D650000}"/>
    <cellStyle name="Remarque 2 4 3 3 3 2 2" xfId="52588" xr:uid="{00000000-0005-0000-0000-00004E650000}"/>
    <cellStyle name="Remarque 2 4 3 3 3 3" xfId="15875" xr:uid="{00000000-0005-0000-0000-00004F650000}"/>
    <cellStyle name="Remarque 2 4 3 3 3 4" xfId="39835" xr:uid="{00000000-0005-0000-0000-000050650000}"/>
    <cellStyle name="Remarque 2 4 3 3 4" xfId="6008" xr:uid="{00000000-0005-0000-0000-000051650000}"/>
    <cellStyle name="Remarque 2 4 3 3 4 2" xfId="30022" xr:uid="{00000000-0005-0000-0000-000052650000}"/>
    <cellStyle name="Remarque 2 4 3 3 4 2 2" xfId="53982" xr:uid="{00000000-0005-0000-0000-000053650000}"/>
    <cellStyle name="Remarque 2 4 3 3 4 3" xfId="17269" xr:uid="{00000000-0005-0000-0000-000054650000}"/>
    <cellStyle name="Remarque 2 4 3 3 4 4" xfId="41229" xr:uid="{00000000-0005-0000-0000-000055650000}"/>
    <cellStyle name="Remarque 2 4 3 3 5" xfId="7396" xr:uid="{00000000-0005-0000-0000-000056650000}"/>
    <cellStyle name="Remarque 2 4 3 3 5 2" xfId="31410" xr:uid="{00000000-0005-0000-0000-000057650000}"/>
    <cellStyle name="Remarque 2 4 3 3 5 2 2" xfId="55370" xr:uid="{00000000-0005-0000-0000-000058650000}"/>
    <cellStyle name="Remarque 2 4 3 3 5 3" xfId="18657" xr:uid="{00000000-0005-0000-0000-000059650000}"/>
    <cellStyle name="Remarque 2 4 3 3 5 4" xfId="42617" xr:uid="{00000000-0005-0000-0000-00005A650000}"/>
    <cellStyle name="Remarque 2 4 3 3 6" xfId="8781" xr:uid="{00000000-0005-0000-0000-00005B650000}"/>
    <cellStyle name="Remarque 2 4 3 3 6 2" xfId="32795" xr:uid="{00000000-0005-0000-0000-00005C650000}"/>
    <cellStyle name="Remarque 2 4 3 3 6 2 2" xfId="56755" xr:uid="{00000000-0005-0000-0000-00005D650000}"/>
    <cellStyle name="Remarque 2 4 3 3 6 3" xfId="20042" xr:uid="{00000000-0005-0000-0000-00005E650000}"/>
    <cellStyle name="Remarque 2 4 3 3 6 4" xfId="44002" xr:uid="{00000000-0005-0000-0000-00005F650000}"/>
    <cellStyle name="Remarque 2 4 3 3 7" xfId="10238" xr:uid="{00000000-0005-0000-0000-000060650000}"/>
    <cellStyle name="Remarque 2 4 3 3 7 2" xfId="34248" xr:uid="{00000000-0005-0000-0000-000061650000}"/>
    <cellStyle name="Remarque 2 4 3 3 7 2 2" xfId="58208" xr:uid="{00000000-0005-0000-0000-000062650000}"/>
    <cellStyle name="Remarque 2 4 3 3 7 3" xfId="21505" xr:uid="{00000000-0005-0000-0000-000063650000}"/>
    <cellStyle name="Remarque 2 4 3 3 7 4" xfId="45465" xr:uid="{00000000-0005-0000-0000-000064650000}"/>
    <cellStyle name="Remarque 2 4 3 3 8" xfId="12066" xr:uid="{00000000-0005-0000-0000-000065650000}"/>
    <cellStyle name="Remarque 2 4 3 3 8 2" xfId="23347" xr:uid="{00000000-0005-0000-0000-000066650000}"/>
    <cellStyle name="Remarque 2 4 3 3 8 3" xfId="47307" xr:uid="{00000000-0005-0000-0000-000067650000}"/>
    <cellStyle name="Remarque 2 4 3 3 9" xfId="1710" xr:uid="{00000000-0005-0000-0000-000068650000}"/>
    <cellStyle name="Remarque 2 4 3 3 9 2" xfId="25724" xr:uid="{00000000-0005-0000-0000-000069650000}"/>
    <cellStyle name="Remarque 2 4 3 3 9 3" xfId="49684" xr:uid="{00000000-0005-0000-0000-00006A650000}"/>
    <cellStyle name="Remarque 2 4 3 4" xfId="662" xr:uid="{00000000-0005-0000-0000-00006B650000}"/>
    <cellStyle name="Remarque 2 4 3 4 10" xfId="24694" xr:uid="{00000000-0005-0000-0000-00006C650000}"/>
    <cellStyle name="Remarque 2 4 3 4 10 2" xfId="48654" xr:uid="{00000000-0005-0000-0000-00006D650000}"/>
    <cellStyle name="Remarque 2 4 3 4 11" xfId="34156" xr:uid="{00000000-0005-0000-0000-00006E650000}"/>
    <cellStyle name="Remarque 2 4 3 4 11 2" xfId="58116" xr:uid="{00000000-0005-0000-0000-00006F650000}"/>
    <cellStyle name="Remarque 2 4 3 4 12" xfId="13359" xr:uid="{00000000-0005-0000-0000-000070650000}"/>
    <cellStyle name="Remarque 2 4 3 4 13" xfId="37319" xr:uid="{00000000-0005-0000-0000-000071650000}"/>
    <cellStyle name="Remarque 2 4 3 4 2" xfId="3568" xr:uid="{00000000-0005-0000-0000-000072650000}"/>
    <cellStyle name="Remarque 2 4 3 4 2 2" xfId="27582" xr:uid="{00000000-0005-0000-0000-000073650000}"/>
    <cellStyle name="Remarque 2 4 3 4 2 2 2" xfId="51542" xr:uid="{00000000-0005-0000-0000-000074650000}"/>
    <cellStyle name="Remarque 2 4 3 4 2 3" xfId="14829" xr:uid="{00000000-0005-0000-0000-000075650000}"/>
    <cellStyle name="Remarque 2 4 3 4 2 4" xfId="38789" xr:uid="{00000000-0005-0000-0000-000076650000}"/>
    <cellStyle name="Remarque 2 4 3 4 3" xfId="5002" xr:uid="{00000000-0005-0000-0000-000077650000}"/>
    <cellStyle name="Remarque 2 4 3 4 3 2" xfId="29016" xr:uid="{00000000-0005-0000-0000-000078650000}"/>
    <cellStyle name="Remarque 2 4 3 4 3 2 2" xfId="52976" xr:uid="{00000000-0005-0000-0000-000079650000}"/>
    <cellStyle name="Remarque 2 4 3 4 3 3" xfId="16263" xr:uid="{00000000-0005-0000-0000-00007A650000}"/>
    <cellStyle name="Remarque 2 4 3 4 3 4" xfId="40223" xr:uid="{00000000-0005-0000-0000-00007B650000}"/>
    <cellStyle name="Remarque 2 4 3 4 4" xfId="6396" xr:uid="{00000000-0005-0000-0000-00007C650000}"/>
    <cellStyle name="Remarque 2 4 3 4 4 2" xfId="30410" xr:uid="{00000000-0005-0000-0000-00007D650000}"/>
    <cellStyle name="Remarque 2 4 3 4 4 2 2" xfId="54370" xr:uid="{00000000-0005-0000-0000-00007E650000}"/>
    <cellStyle name="Remarque 2 4 3 4 4 3" xfId="17657" xr:uid="{00000000-0005-0000-0000-00007F650000}"/>
    <cellStyle name="Remarque 2 4 3 4 4 4" xfId="41617" xr:uid="{00000000-0005-0000-0000-000080650000}"/>
    <cellStyle name="Remarque 2 4 3 4 5" xfId="7784" xr:uid="{00000000-0005-0000-0000-000081650000}"/>
    <cellStyle name="Remarque 2 4 3 4 5 2" xfId="31798" xr:uid="{00000000-0005-0000-0000-000082650000}"/>
    <cellStyle name="Remarque 2 4 3 4 5 2 2" xfId="55758" xr:uid="{00000000-0005-0000-0000-000083650000}"/>
    <cellStyle name="Remarque 2 4 3 4 5 3" xfId="19045" xr:uid="{00000000-0005-0000-0000-000084650000}"/>
    <cellStyle name="Remarque 2 4 3 4 5 4" xfId="43005" xr:uid="{00000000-0005-0000-0000-000085650000}"/>
    <cellStyle name="Remarque 2 4 3 4 6" xfId="9169" xr:uid="{00000000-0005-0000-0000-000086650000}"/>
    <cellStyle name="Remarque 2 4 3 4 6 2" xfId="33183" xr:uid="{00000000-0005-0000-0000-000087650000}"/>
    <cellStyle name="Remarque 2 4 3 4 6 2 2" xfId="57143" xr:uid="{00000000-0005-0000-0000-000088650000}"/>
    <cellStyle name="Remarque 2 4 3 4 6 3" xfId="20430" xr:uid="{00000000-0005-0000-0000-000089650000}"/>
    <cellStyle name="Remarque 2 4 3 4 6 4" xfId="44390" xr:uid="{00000000-0005-0000-0000-00008A650000}"/>
    <cellStyle name="Remarque 2 4 3 4 7" xfId="10626" xr:uid="{00000000-0005-0000-0000-00008B650000}"/>
    <cellStyle name="Remarque 2 4 3 4 7 2" xfId="34636" xr:uid="{00000000-0005-0000-0000-00008C650000}"/>
    <cellStyle name="Remarque 2 4 3 4 7 2 2" xfId="58596" xr:uid="{00000000-0005-0000-0000-00008D650000}"/>
    <cellStyle name="Remarque 2 4 3 4 7 3" xfId="21893" xr:uid="{00000000-0005-0000-0000-00008E650000}"/>
    <cellStyle name="Remarque 2 4 3 4 7 4" xfId="45853" xr:uid="{00000000-0005-0000-0000-00008F650000}"/>
    <cellStyle name="Remarque 2 4 3 4 8" xfId="12272" xr:uid="{00000000-0005-0000-0000-000090650000}"/>
    <cellStyle name="Remarque 2 4 3 4 8 2" xfId="23558" xr:uid="{00000000-0005-0000-0000-000091650000}"/>
    <cellStyle name="Remarque 2 4 3 4 8 3" xfId="47518" xr:uid="{00000000-0005-0000-0000-000092650000}"/>
    <cellStyle name="Remarque 2 4 3 4 9" xfId="2098" xr:uid="{00000000-0005-0000-0000-000093650000}"/>
    <cellStyle name="Remarque 2 4 3 4 9 2" xfId="26112" xr:uid="{00000000-0005-0000-0000-000094650000}"/>
    <cellStyle name="Remarque 2 4 3 4 9 3" xfId="50072" xr:uid="{00000000-0005-0000-0000-000095650000}"/>
    <cellStyle name="Remarque 2 4 3 5" xfId="856" xr:uid="{00000000-0005-0000-0000-000096650000}"/>
    <cellStyle name="Remarque 2 4 3 5 10" xfId="24888" xr:uid="{00000000-0005-0000-0000-000097650000}"/>
    <cellStyle name="Remarque 2 4 3 5 10 2" xfId="48848" xr:uid="{00000000-0005-0000-0000-000098650000}"/>
    <cellStyle name="Remarque 2 4 3 5 11" xfId="36230" xr:uid="{00000000-0005-0000-0000-000099650000}"/>
    <cellStyle name="Remarque 2 4 3 5 11 2" xfId="60190" xr:uid="{00000000-0005-0000-0000-00009A650000}"/>
    <cellStyle name="Remarque 2 4 3 5 12" xfId="13553" xr:uid="{00000000-0005-0000-0000-00009B650000}"/>
    <cellStyle name="Remarque 2 4 3 5 13" xfId="37513" xr:uid="{00000000-0005-0000-0000-00009C650000}"/>
    <cellStyle name="Remarque 2 4 3 5 2" xfId="3762" xr:uid="{00000000-0005-0000-0000-00009D650000}"/>
    <cellStyle name="Remarque 2 4 3 5 2 2" xfId="27776" xr:uid="{00000000-0005-0000-0000-00009E650000}"/>
    <cellStyle name="Remarque 2 4 3 5 2 2 2" xfId="51736" xr:uid="{00000000-0005-0000-0000-00009F650000}"/>
    <cellStyle name="Remarque 2 4 3 5 2 3" xfId="15023" xr:uid="{00000000-0005-0000-0000-0000A0650000}"/>
    <cellStyle name="Remarque 2 4 3 5 2 4" xfId="38983" xr:uid="{00000000-0005-0000-0000-0000A1650000}"/>
    <cellStyle name="Remarque 2 4 3 5 3" xfId="5196" xr:uid="{00000000-0005-0000-0000-0000A2650000}"/>
    <cellStyle name="Remarque 2 4 3 5 3 2" xfId="29210" xr:uid="{00000000-0005-0000-0000-0000A3650000}"/>
    <cellStyle name="Remarque 2 4 3 5 3 2 2" xfId="53170" xr:uid="{00000000-0005-0000-0000-0000A4650000}"/>
    <cellStyle name="Remarque 2 4 3 5 3 3" xfId="16457" xr:uid="{00000000-0005-0000-0000-0000A5650000}"/>
    <cellStyle name="Remarque 2 4 3 5 3 4" xfId="40417" xr:uid="{00000000-0005-0000-0000-0000A6650000}"/>
    <cellStyle name="Remarque 2 4 3 5 4" xfId="6590" xr:uid="{00000000-0005-0000-0000-0000A7650000}"/>
    <cellStyle name="Remarque 2 4 3 5 4 2" xfId="30604" xr:uid="{00000000-0005-0000-0000-0000A8650000}"/>
    <cellStyle name="Remarque 2 4 3 5 4 2 2" xfId="54564" xr:uid="{00000000-0005-0000-0000-0000A9650000}"/>
    <cellStyle name="Remarque 2 4 3 5 4 3" xfId="17851" xr:uid="{00000000-0005-0000-0000-0000AA650000}"/>
    <cellStyle name="Remarque 2 4 3 5 4 4" xfId="41811" xr:uid="{00000000-0005-0000-0000-0000AB650000}"/>
    <cellStyle name="Remarque 2 4 3 5 5" xfId="7978" xr:uid="{00000000-0005-0000-0000-0000AC650000}"/>
    <cellStyle name="Remarque 2 4 3 5 5 2" xfId="31992" xr:uid="{00000000-0005-0000-0000-0000AD650000}"/>
    <cellStyle name="Remarque 2 4 3 5 5 2 2" xfId="55952" xr:uid="{00000000-0005-0000-0000-0000AE650000}"/>
    <cellStyle name="Remarque 2 4 3 5 5 3" xfId="19239" xr:uid="{00000000-0005-0000-0000-0000AF650000}"/>
    <cellStyle name="Remarque 2 4 3 5 5 4" xfId="43199" xr:uid="{00000000-0005-0000-0000-0000B0650000}"/>
    <cellStyle name="Remarque 2 4 3 5 6" xfId="9363" xr:uid="{00000000-0005-0000-0000-0000B1650000}"/>
    <cellStyle name="Remarque 2 4 3 5 6 2" xfId="33377" xr:uid="{00000000-0005-0000-0000-0000B2650000}"/>
    <cellStyle name="Remarque 2 4 3 5 6 2 2" xfId="57337" xr:uid="{00000000-0005-0000-0000-0000B3650000}"/>
    <cellStyle name="Remarque 2 4 3 5 6 3" xfId="20624" xr:uid="{00000000-0005-0000-0000-0000B4650000}"/>
    <cellStyle name="Remarque 2 4 3 5 6 4" xfId="44584" xr:uid="{00000000-0005-0000-0000-0000B5650000}"/>
    <cellStyle name="Remarque 2 4 3 5 7" xfId="10820" xr:uid="{00000000-0005-0000-0000-0000B6650000}"/>
    <cellStyle name="Remarque 2 4 3 5 7 2" xfId="34830" xr:uid="{00000000-0005-0000-0000-0000B7650000}"/>
    <cellStyle name="Remarque 2 4 3 5 7 2 2" xfId="58790" xr:uid="{00000000-0005-0000-0000-0000B8650000}"/>
    <cellStyle name="Remarque 2 4 3 5 7 3" xfId="22087" xr:uid="{00000000-0005-0000-0000-0000B9650000}"/>
    <cellStyle name="Remarque 2 4 3 5 7 4" xfId="46047" xr:uid="{00000000-0005-0000-0000-0000BA650000}"/>
    <cellStyle name="Remarque 2 4 3 5 8" xfId="12091" xr:uid="{00000000-0005-0000-0000-0000BB650000}"/>
    <cellStyle name="Remarque 2 4 3 5 8 2" xfId="23374" xr:uid="{00000000-0005-0000-0000-0000BC650000}"/>
    <cellStyle name="Remarque 2 4 3 5 8 3" xfId="47334" xr:uid="{00000000-0005-0000-0000-0000BD650000}"/>
    <cellStyle name="Remarque 2 4 3 5 9" xfId="2292" xr:uid="{00000000-0005-0000-0000-0000BE650000}"/>
    <cellStyle name="Remarque 2 4 3 5 9 2" xfId="26306" xr:uid="{00000000-0005-0000-0000-0000BF650000}"/>
    <cellStyle name="Remarque 2 4 3 5 9 3" xfId="50266" xr:uid="{00000000-0005-0000-0000-0000C0650000}"/>
    <cellStyle name="Remarque 2 4 3 6" xfId="1049" xr:uid="{00000000-0005-0000-0000-0000C1650000}"/>
    <cellStyle name="Remarque 2 4 3 6 10" xfId="25081" xr:uid="{00000000-0005-0000-0000-0000C2650000}"/>
    <cellStyle name="Remarque 2 4 3 6 10 2" xfId="49041" xr:uid="{00000000-0005-0000-0000-0000C3650000}"/>
    <cellStyle name="Remarque 2 4 3 6 11" xfId="36197" xr:uid="{00000000-0005-0000-0000-0000C4650000}"/>
    <cellStyle name="Remarque 2 4 3 6 11 2" xfId="60157" xr:uid="{00000000-0005-0000-0000-0000C5650000}"/>
    <cellStyle name="Remarque 2 4 3 6 12" xfId="13746" xr:uid="{00000000-0005-0000-0000-0000C6650000}"/>
    <cellStyle name="Remarque 2 4 3 6 13" xfId="37706" xr:uid="{00000000-0005-0000-0000-0000C7650000}"/>
    <cellStyle name="Remarque 2 4 3 6 2" xfId="3955" xr:uid="{00000000-0005-0000-0000-0000C8650000}"/>
    <cellStyle name="Remarque 2 4 3 6 2 2" xfId="27969" xr:uid="{00000000-0005-0000-0000-0000C9650000}"/>
    <cellStyle name="Remarque 2 4 3 6 2 2 2" xfId="51929" xr:uid="{00000000-0005-0000-0000-0000CA650000}"/>
    <cellStyle name="Remarque 2 4 3 6 2 3" xfId="15216" xr:uid="{00000000-0005-0000-0000-0000CB650000}"/>
    <cellStyle name="Remarque 2 4 3 6 2 4" xfId="39176" xr:uid="{00000000-0005-0000-0000-0000CC650000}"/>
    <cellStyle name="Remarque 2 4 3 6 3" xfId="5389" xr:uid="{00000000-0005-0000-0000-0000CD650000}"/>
    <cellStyle name="Remarque 2 4 3 6 3 2" xfId="29403" xr:uid="{00000000-0005-0000-0000-0000CE650000}"/>
    <cellStyle name="Remarque 2 4 3 6 3 2 2" xfId="53363" xr:uid="{00000000-0005-0000-0000-0000CF650000}"/>
    <cellStyle name="Remarque 2 4 3 6 3 3" xfId="16650" xr:uid="{00000000-0005-0000-0000-0000D0650000}"/>
    <cellStyle name="Remarque 2 4 3 6 3 4" xfId="40610" xr:uid="{00000000-0005-0000-0000-0000D1650000}"/>
    <cellStyle name="Remarque 2 4 3 6 4" xfId="6783" xr:uid="{00000000-0005-0000-0000-0000D2650000}"/>
    <cellStyle name="Remarque 2 4 3 6 4 2" xfId="30797" xr:uid="{00000000-0005-0000-0000-0000D3650000}"/>
    <cellStyle name="Remarque 2 4 3 6 4 2 2" xfId="54757" xr:uid="{00000000-0005-0000-0000-0000D4650000}"/>
    <cellStyle name="Remarque 2 4 3 6 4 3" xfId="18044" xr:uid="{00000000-0005-0000-0000-0000D5650000}"/>
    <cellStyle name="Remarque 2 4 3 6 4 4" xfId="42004" xr:uid="{00000000-0005-0000-0000-0000D6650000}"/>
    <cellStyle name="Remarque 2 4 3 6 5" xfId="8171" xr:uid="{00000000-0005-0000-0000-0000D7650000}"/>
    <cellStyle name="Remarque 2 4 3 6 5 2" xfId="32185" xr:uid="{00000000-0005-0000-0000-0000D8650000}"/>
    <cellStyle name="Remarque 2 4 3 6 5 2 2" xfId="56145" xr:uid="{00000000-0005-0000-0000-0000D9650000}"/>
    <cellStyle name="Remarque 2 4 3 6 5 3" xfId="19432" xr:uid="{00000000-0005-0000-0000-0000DA650000}"/>
    <cellStyle name="Remarque 2 4 3 6 5 4" xfId="43392" xr:uid="{00000000-0005-0000-0000-0000DB650000}"/>
    <cellStyle name="Remarque 2 4 3 6 6" xfId="9556" xr:uid="{00000000-0005-0000-0000-0000DC650000}"/>
    <cellStyle name="Remarque 2 4 3 6 6 2" xfId="33570" xr:uid="{00000000-0005-0000-0000-0000DD650000}"/>
    <cellStyle name="Remarque 2 4 3 6 6 2 2" xfId="57530" xr:uid="{00000000-0005-0000-0000-0000DE650000}"/>
    <cellStyle name="Remarque 2 4 3 6 6 3" xfId="20817" xr:uid="{00000000-0005-0000-0000-0000DF650000}"/>
    <cellStyle name="Remarque 2 4 3 6 6 4" xfId="44777" xr:uid="{00000000-0005-0000-0000-0000E0650000}"/>
    <cellStyle name="Remarque 2 4 3 6 7" xfId="11013" xr:uid="{00000000-0005-0000-0000-0000E1650000}"/>
    <cellStyle name="Remarque 2 4 3 6 7 2" xfId="35023" xr:uid="{00000000-0005-0000-0000-0000E2650000}"/>
    <cellStyle name="Remarque 2 4 3 6 7 2 2" xfId="58983" xr:uid="{00000000-0005-0000-0000-0000E3650000}"/>
    <cellStyle name="Remarque 2 4 3 6 7 3" xfId="22280" xr:uid="{00000000-0005-0000-0000-0000E4650000}"/>
    <cellStyle name="Remarque 2 4 3 6 7 4" xfId="46240" xr:uid="{00000000-0005-0000-0000-0000E5650000}"/>
    <cellStyle name="Remarque 2 4 3 6 8" xfId="12577" xr:uid="{00000000-0005-0000-0000-0000E6650000}"/>
    <cellStyle name="Remarque 2 4 3 6 8 2" xfId="23877" xr:uid="{00000000-0005-0000-0000-0000E7650000}"/>
    <cellStyle name="Remarque 2 4 3 6 8 3" xfId="47837" xr:uid="{00000000-0005-0000-0000-0000E8650000}"/>
    <cellStyle name="Remarque 2 4 3 6 9" xfId="2485" xr:uid="{00000000-0005-0000-0000-0000E9650000}"/>
    <cellStyle name="Remarque 2 4 3 6 9 2" xfId="26499" xr:uid="{00000000-0005-0000-0000-0000EA650000}"/>
    <cellStyle name="Remarque 2 4 3 6 9 3" xfId="50459" xr:uid="{00000000-0005-0000-0000-0000EB650000}"/>
    <cellStyle name="Remarque 2 4 3 7" xfId="1385" xr:uid="{00000000-0005-0000-0000-0000EC650000}"/>
    <cellStyle name="Remarque 2 4 3 7 10" xfId="25417" xr:uid="{00000000-0005-0000-0000-0000ED650000}"/>
    <cellStyle name="Remarque 2 4 3 7 10 2" xfId="49377" xr:uid="{00000000-0005-0000-0000-0000EE650000}"/>
    <cellStyle name="Remarque 2 4 3 7 11" xfId="36078" xr:uid="{00000000-0005-0000-0000-0000EF650000}"/>
    <cellStyle name="Remarque 2 4 3 7 11 2" xfId="60038" xr:uid="{00000000-0005-0000-0000-0000F0650000}"/>
    <cellStyle name="Remarque 2 4 3 7 12" xfId="14082" xr:uid="{00000000-0005-0000-0000-0000F1650000}"/>
    <cellStyle name="Remarque 2 4 3 7 13" xfId="38042" xr:uid="{00000000-0005-0000-0000-0000F2650000}"/>
    <cellStyle name="Remarque 2 4 3 7 2" xfId="4291" xr:uid="{00000000-0005-0000-0000-0000F3650000}"/>
    <cellStyle name="Remarque 2 4 3 7 2 2" xfId="28305" xr:uid="{00000000-0005-0000-0000-0000F4650000}"/>
    <cellStyle name="Remarque 2 4 3 7 2 2 2" xfId="52265" xr:uid="{00000000-0005-0000-0000-0000F5650000}"/>
    <cellStyle name="Remarque 2 4 3 7 2 3" xfId="15552" xr:uid="{00000000-0005-0000-0000-0000F6650000}"/>
    <cellStyle name="Remarque 2 4 3 7 2 4" xfId="39512" xr:uid="{00000000-0005-0000-0000-0000F7650000}"/>
    <cellStyle name="Remarque 2 4 3 7 3" xfId="5725" xr:uid="{00000000-0005-0000-0000-0000F8650000}"/>
    <cellStyle name="Remarque 2 4 3 7 3 2" xfId="29739" xr:uid="{00000000-0005-0000-0000-0000F9650000}"/>
    <cellStyle name="Remarque 2 4 3 7 3 2 2" xfId="53699" xr:uid="{00000000-0005-0000-0000-0000FA650000}"/>
    <cellStyle name="Remarque 2 4 3 7 3 3" xfId="16986" xr:uid="{00000000-0005-0000-0000-0000FB650000}"/>
    <cellStyle name="Remarque 2 4 3 7 3 4" xfId="40946" xr:uid="{00000000-0005-0000-0000-0000FC650000}"/>
    <cellStyle name="Remarque 2 4 3 7 4" xfId="7119" xr:uid="{00000000-0005-0000-0000-0000FD650000}"/>
    <cellStyle name="Remarque 2 4 3 7 4 2" xfId="31133" xr:uid="{00000000-0005-0000-0000-0000FE650000}"/>
    <cellStyle name="Remarque 2 4 3 7 4 2 2" xfId="55093" xr:uid="{00000000-0005-0000-0000-0000FF650000}"/>
    <cellStyle name="Remarque 2 4 3 7 4 3" xfId="18380" xr:uid="{00000000-0005-0000-0000-000000660000}"/>
    <cellStyle name="Remarque 2 4 3 7 4 4" xfId="42340" xr:uid="{00000000-0005-0000-0000-000001660000}"/>
    <cellStyle name="Remarque 2 4 3 7 5" xfId="8507" xr:uid="{00000000-0005-0000-0000-000002660000}"/>
    <cellStyle name="Remarque 2 4 3 7 5 2" xfId="32521" xr:uid="{00000000-0005-0000-0000-000003660000}"/>
    <cellStyle name="Remarque 2 4 3 7 5 2 2" xfId="56481" xr:uid="{00000000-0005-0000-0000-000004660000}"/>
    <cellStyle name="Remarque 2 4 3 7 5 3" xfId="19768" xr:uid="{00000000-0005-0000-0000-000005660000}"/>
    <cellStyle name="Remarque 2 4 3 7 5 4" xfId="43728" xr:uid="{00000000-0005-0000-0000-000006660000}"/>
    <cellStyle name="Remarque 2 4 3 7 6" xfId="9892" xr:uid="{00000000-0005-0000-0000-000007660000}"/>
    <cellStyle name="Remarque 2 4 3 7 6 2" xfId="33906" xr:uid="{00000000-0005-0000-0000-000008660000}"/>
    <cellStyle name="Remarque 2 4 3 7 6 2 2" xfId="57866" xr:uid="{00000000-0005-0000-0000-000009660000}"/>
    <cellStyle name="Remarque 2 4 3 7 6 3" xfId="21153" xr:uid="{00000000-0005-0000-0000-00000A660000}"/>
    <cellStyle name="Remarque 2 4 3 7 6 4" xfId="45113" xr:uid="{00000000-0005-0000-0000-00000B660000}"/>
    <cellStyle name="Remarque 2 4 3 7 7" xfId="11349" xr:uid="{00000000-0005-0000-0000-00000C660000}"/>
    <cellStyle name="Remarque 2 4 3 7 7 2" xfId="35359" xr:uid="{00000000-0005-0000-0000-00000D660000}"/>
    <cellStyle name="Remarque 2 4 3 7 7 2 2" xfId="59319" xr:uid="{00000000-0005-0000-0000-00000E660000}"/>
    <cellStyle name="Remarque 2 4 3 7 7 3" xfId="22616" xr:uid="{00000000-0005-0000-0000-00000F660000}"/>
    <cellStyle name="Remarque 2 4 3 7 7 4" xfId="46576" xr:uid="{00000000-0005-0000-0000-000010660000}"/>
    <cellStyle name="Remarque 2 4 3 7 8" xfId="12603" xr:uid="{00000000-0005-0000-0000-000011660000}"/>
    <cellStyle name="Remarque 2 4 3 7 8 2" xfId="23904" xr:uid="{00000000-0005-0000-0000-000012660000}"/>
    <cellStyle name="Remarque 2 4 3 7 8 3" xfId="47864" xr:uid="{00000000-0005-0000-0000-000013660000}"/>
    <cellStyle name="Remarque 2 4 3 7 9" xfId="2821" xr:uid="{00000000-0005-0000-0000-000014660000}"/>
    <cellStyle name="Remarque 2 4 3 7 9 2" xfId="26835" xr:uid="{00000000-0005-0000-0000-000015660000}"/>
    <cellStyle name="Remarque 2 4 3 7 9 3" xfId="50795" xr:uid="{00000000-0005-0000-0000-000016660000}"/>
    <cellStyle name="Remarque 2 4 3 8" xfId="3141" xr:uid="{00000000-0005-0000-0000-000017660000}"/>
    <cellStyle name="Remarque 2 4 3 8 2" xfId="27155" xr:uid="{00000000-0005-0000-0000-000018660000}"/>
    <cellStyle name="Remarque 2 4 3 8 2 2" xfId="51115" xr:uid="{00000000-0005-0000-0000-000019660000}"/>
    <cellStyle name="Remarque 2 4 3 8 3" xfId="14402" xr:uid="{00000000-0005-0000-0000-00001A660000}"/>
    <cellStyle name="Remarque 2 4 3 8 4" xfId="38362" xr:uid="{00000000-0005-0000-0000-00001B660000}"/>
    <cellStyle name="Remarque 2 4 3 9" xfId="1671" xr:uid="{00000000-0005-0000-0000-00001C660000}"/>
    <cellStyle name="Remarque 2 4 3 9 2" xfId="25685" xr:uid="{00000000-0005-0000-0000-00001D660000}"/>
    <cellStyle name="Remarque 2 4 3 9 3" xfId="49645" xr:uid="{00000000-0005-0000-0000-00001E660000}"/>
    <cellStyle name="Remarque 2 4 4" xfId="91" xr:uid="{00000000-0005-0000-0000-00001F660000}"/>
    <cellStyle name="Remarque 2 4 4 10" xfId="6127" xr:uid="{00000000-0005-0000-0000-000020660000}"/>
    <cellStyle name="Remarque 2 4 4 10 2" xfId="30141" xr:uid="{00000000-0005-0000-0000-000021660000}"/>
    <cellStyle name="Remarque 2 4 4 10 2 2" xfId="54101" xr:uid="{00000000-0005-0000-0000-000022660000}"/>
    <cellStyle name="Remarque 2 4 4 10 3" xfId="17388" xr:uid="{00000000-0005-0000-0000-000023660000}"/>
    <cellStyle name="Remarque 2 4 4 10 4" xfId="41348" xr:uid="{00000000-0005-0000-0000-000024660000}"/>
    <cellStyle name="Remarque 2 4 4 11" xfId="7515" xr:uid="{00000000-0005-0000-0000-000025660000}"/>
    <cellStyle name="Remarque 2 4 4 11 2" xfId="31529" xr:uid="{00000000-0005-0000-0000-000026660000}"/>
    <cellStyle name="Remarque 2 4 4 11 2 2" xfId="55489" xr:uid="{00000000-0005-0000-0000-000027660000}"/>
    <cellStyle name="Remarque 2 4 4 11 3" xfId="18776" xr:uid="{00000000-0005-0000-0000-000028660000}"/>
    <cellStyle name="Remarque 2 4 4 11 4" xfId="42736" xr:uid="{00000000-0005-0000-0000-000029660000}"/>
    <cellStyle name="Remarque 2 4 4 12" xfId="8900" xr:uid="{00000000-0005-0000-0000-00002A660000}"/>
    <cellStyle name="Remarque 2 4 4 12 2" xfId="32914" xr:uid="{00000000-0005-0000-0000-00002B660000}"/>
    <cellStyle name="Remarque 2 4 4 12 2 2" xfId="56874" xr:uid="{00000000-0005-0000-0000-00002C660000}"/>
    <cellStyle name="Remarque 2 4 4 12 3" xfId="20161" xr:uid="{00000000-0005-0000-0000-00002D660000}"/>
    <cellStyle name="Remarque 2 4 4 12 4" xfId="44121" xr:uid="{00000000-0005-0000-0000-00002E660000}"/>
    <cellStyle name="Remarque 2 4 4 13" xfId="10357" xr:uid="{00000000-0005-0000-0000-00002F660000}"/>
    <cellStyle name="Remarque 2 4 4 13 2" xfId="34367" xr:uid="{00000000-0005-0000-0000-000030660000}"/>
    <cellStyle name="Remarque 2 4 4 13 2 2" xfId="58327" xr:uid="{00000000-0005-0000-0000-000031660000}"/>
    <cellStyle name="Remarque 2 4 4 13 3" xfId="21624" xr:uid="{00000000-0005-0000-0000-000032660000}"/>
    <cellStyle name="Remarque 2 4 4 13 4" xfId="45584" xr:uid="{00000000-0005-0000-0000-000033660000}"/>
    <cellStyle name="Remarque 2 4 4 14" xfId="12538" xr:uid="{00000000-0005-0000-0000-000034660000}"/>
    <cellStyle name="Remarque 2 4 4 14 2" xfId="23836" xr:uid="{00000000-0005-0000-0000-000035660000}"/>
    <cellStyle name="Remarque 2 4 4 14 3" xfId="47796" xr:uid="{00000000-0005-0000-0000-000036660000}"/>
    <cellStyle name="Remarque 2 4 4 15" xfId="1829" xr:uid="{00000000-0005-0000-0000-000037660000}"/>
    <cellStyle name="Remarque 2 4 4 15 2" xfId="25843" xr:uid="{00000000-0005-0000-0000-000038660000}"/>
    <cellStyle name="Remarque 2 4 4 15 3" xfId="49803" xr:uid="{00000000-0005-0000-0000-000039660000}"/>
    <cellStyle name="Remarque 2 4 4 16" xfId="24425" xr:uid="{00000000-0005-0000-0000-00003A660000}"/>
    <cellStyle name="Remarque 2 4 4 16 2" xfId="48385" xr:uid="{00000000-0005-0000-0000-00003B660000}"/>
    <cellStyle name="Remarque 2 4 4 17" xfId="36423" xr:uid="{00000000-0005-0000-0000-00003C660000}"/>
    <cellStyle name="Remarque 2 4 4 17 2" xfId="60383" xr:uid="{00000000-0005-0000-0000-00003D660000}"/>
    <cellStyle name="Remarque 2 4 4 18" xfId="13090" xr:uid="{00000000-0005-0000-0000-00003E660000}"/>
    <cellStyle name="Remarque 2 4 4 19" xfId="37050" xr:uid="{00000000-0005-0000-0000-00003F660000}"/>
    <cellStyle name="Remarque 2 4 4 2" xfId="529" xr:uid="{00000000-0005-0000-0000-000040660000}"/>
    <cellStyle name="Remarque 2 4 4 2 10" xfId="24561" xr:uid="{00000000-0005-0000-0000-000041660000}"/>
    <cellStyle name="Remarque 2 4 4 2 10 2" xfId="48521" xr:uid="{00000000-0005-0000-0000-000042660000}"/>
    <cellStyle name="Remarque 2 4 4 2 11" xfId="35771" xr:uid="{00000000-0005-0000-0000-000043660000}"/>
    <cellStyle name="Remarque 2 4 4 2 11 2" xfId="59731" xr:uid="{00000000-0005-0000-0000-000044660000}"/>
    <cellStyle name="Remarque 2 4 4 2 12" xfId="13226" xr:uid="{00000000-0005-0000-0000-000045660000}"/>
    <cellStyle name="Remarque 2 4 4 2 13" xfId="37186" xr:uid="{00000000-0005-0000-0000-000046660000}"/>
    <cellStyle name="Remarque 2 4 4 2 2" xfId="3435" xr:uid="{00000000-0005-0000-0000-000047660000}"/>
    <cellStyle name="Remarque 2 4 4 2 2 2" xfId="27449" xr:uid="{00000000-0005-0000-0000-000048660000}"/>
    <cellStyle name="Remarque 2 4 4 2 2 2 2" xfId="51409" xr:uid="{00000000-0005-0000-0000-000049660000}"/>
    <cellStyle name="Remarque 2 4 4 2 2 3" xfId="14696" xr:uid="{00000000-0005-0000-0000-00004A660000}"/>
    <cellStyle name="Remarque 2 4 4 2 2 4" xfId="38656" xr:uid="{00000000-0005-0000-0000-00004B660000}"/>
    <cellStyle name="Remarque 2 4 4 2 3" xfId="4869" xr:uid="{00000000-0005-0000-0000-00004C660000}"/>
    <cellStyle name="Remarque 2 4 4 2 3 2" xfId="28883" xr:uid="{00000000-0005-0000-0000-00004D660000}"/>
    <cellStyle name="Remarque 2 4 4 2 3 2 2" xfId="52843" xr:uid="{00000000-0005-0000-0000-00004E660000}"/>
    <cellStyle name="Remarque 2 4 4 2 3 3" xfId="16130" xr:uid="{00000000-0005-0000-0000-00004F660000}"/>
    <cellStyle name="Remarque 2 4 4 2 3 4" xfId="40090" xr:uid="{00000000-0005-0000-0000-000050660000}"/>
    <cellStyle name="Remarque 2 4 4 2 4" xfId="6263" xr:uid="{00000000-0005-0000-0000-000051660000}"/>
    <cellStyle name="Remarque 2 4 4 2 4 2" xfId="30277" xr:uid="{00000000-0005-0000-0000-000052660000}"/>
    <cellStyle name="Remarque 2 4 4 2 4 2 2" xfId="54237" xr:uid="{00000000-0005-0000-0000-000053660000}"/>
    <cellStyle name="Remarque 2 4 4 2 4 3" xfId="17524" xr:uid="{00000000-0005-0000-0000-000054660000}"/>
    <cellStyle name="Remarque 2 4 4 2 4 4" xfId="41484" xr:uid="{00000000-0005-0000-0000-000055660000}"/>
    <cellStyle name="Remarque 2 4 4 2 5" xfId="7651" xr:uid="{00000000-0005-0000-0000-000056660000}"/>
    <cellStyle name="Remarque 2 4 4 2 5 2" xfId="31665" xr:uid="{00000000-0005-0000-0000-000057660000}"/>
    <cellStyle name="Remarque 2 4 4 2 5 2 2" xfId="55625" xr:uid="{00000000-0005-0000-0000-000058660000}"/>
    <cellStyle name="Remarque 2 4 4 2 5 3" xfId="18912" xr:uid="{00000000-0005-0000-0000-000059660000}"/>
    <cellStyle name="Remarque 2 4 4 2 5 4" xfId="42872" xr:uid="{00000000-0005-0000-0000-00005A660000}"/>
    <cellStyle name="Remarque 2 4 4 2 6" xfId="9036" xr:uid="{00000000-0005-0000-0000-00005B660000}"/>
    <cellStyle name="Remarque 2 4 4 2 6 2" xfId="33050" xr:uid="{00000000-0005-0000-0000-00005C660000}"/>
    <cellStyle name="Remarque 2 4 4 2 6 2 2" xfId="57010" xr:uid="{00000000-0005-0000-0000-00005D660000}"/>
    <cellStyle name="Remarque 2 4 4 2 6 3" xfId="20297" xr:uid="{00000000-0005-0000-0000-00005E660000}"/>
    <cellStyle name="Remarque 2 4 4 2 6 4" xfId="44257" xr:uid="{00000000-0005-0000-0000-00005F660000}"/>
    <cellStyle name="Remarque 2 4 4 2 7" xfId="10493" xr:uid="{00000000-0005-0000-0000-000060660000}"/>
    <cellStyle name="Remarque 2 4 4 2 7 2" xfId="34503" xr:uid="{00000000-0005-0000-0000-000061660000}"/>
    <cellStyle name="Remarque 2 4 4 2 7 2 2" xfId="58463" xr:uid="{00000000-0005-0000-0000-000062660000}"/>
    <cellStyle name="Remarque 2 4 4 2 7 3" xfId="21760" xr:uid="{00000000-0005-0000-0000-000063660000}"/>
    <cellStyle name="Remarque 2 4 4 2 7 4" xfId="45720" xr:uid="{00000000-0005-0000-0000-000064660000}"/>
    <cellStyle name="Remarque 2 4 4 2 8" xfId="11959" xr:uid="{00000000-0005-0000-0000-000065660000}"/>
    <cellStyle name="Remarque 2 4 4 2 8 2" xfId="23237" xr:uid="{00000000-0005-0000-0000-000066660000}"/>
    <cellStyle name="Remarque 2 4 4 2 8 3" xfId="47197" xr:uid="{00000000-0005-0000-0000-000067660000}"/>
    <cellStyle name="Remarque 2 4 4 2 9" xfId="1965" xr:uid="{00000000-0005-0000-0000-000068660000}"/>
    <cellStyle name="Remarque 2 4 4 2 9 2" xfId="25979" xr:uid="{00000000-0005-0000-0000-000069660000}"/>
    <cellStyle name="Remarque 2 4 4 2 9 3" xfId="49939" xr:uid="{00000000-0005-0000-0000-00006A660000}"/>
    <cellStyle name="Remarque 2 4 4 20" xfId="393" xr:uid="{00000000-0005-0000-0000-00006B660000}"/>
    <cellStyle name="Remarque 2 4 4 3" xfId="721" xr:uid="{00000000-0005-0000-0000-00006C660000}"/>
    <cellStyle name="Remarque 2 4 4 3 10" xfId="24753" xr:uid="{00000000-0005-0000-0000-00006D660000}"/>
    <cellStyle name="Remarque 2 4 4 3 10 2" xfId="48713" xr:uid="{00000000-0005-0000-0000-00006E660000}"/>
    <cellStyle name="Remarque 2 4 4 3 11" xfId="36739" xr:uid="{00000000-0005-0000-0000-00006F660000}"/>
    <cellStyle name="Remarque 2 4 4 3 11 2" xfId="60699" xr:uid="{00000000-0005-0000-0000-000070660000}"/>
    <cellStyle name="Remarque 2 4 4 3 12" xfId="13418" xr:uid="{00000000-0005-0000-0000-000071660000}"/>
    <cellStyle name="Remarque 2 4 4 3 13" xfId="37378" xr:uid="{00000000-0005-0000-0000-000072660000}"/>
    <cellStyle name="Remarque 2 4 4 3 2" xfId="3627" xr:uid="{00000000-0005-0000-0000-000073660000}"/>
    <cellStyle name="Remarque 2 4 4 3 2 2" xfId="27641" xr:uid="{00000000-0005-0000-0000-000074660000}"/>
    <cellStyle name="Remarque 2 4 4 3 2 2 2" xfId="51601" xr:uid="{00000000-0005-0000-0000-000075660000}"/>
    <cellStyle name="Remarque 2 4 4 3 2 3" xfId="14888" xr:uid="{00000000-0005-0000-0000-000076660000}"/>
    <cellStyle name="Remarque 2 4 4 3 2 4" xfId="38848" xr:uid="{00000000-0005-0000-0000-000077660000}"/>
    <cellStyle name="Remarque 2 4 4 3 3" xfId="5061" xr:uid="{00000000-0005-0000-0000-000078660000}"/>
    <cellStyle name="Remarque 2 4 4 3 3 2" xfId="29075" xr:uid="{00000000-0005-0000-0000-000079660000}"/>
    <cellStyle name="Remarque 2 4 4 3 3 2 2" xfId="53035" xr:uid="{00000000-0005-0000-0000-00007A660000}"/>
    <cellStyle name="Remarque 2 4 4 3 3 3" xfId="16322" xr:uid="{00000000-0005-0000-0000-00007B660000}"/>
    <cellStyle name="Remarque 2 4 4 3 3 4" xfId="40282" xr:uid="{00000000-0005-0000-0000-00007C660000}"/>
    <cellStyle name="Remarque 2 4 4 3 4" xfId="6455" xr:uid="{00000000-0005-0000-0000-00007D660000}"/>
    <cellStyle name="Remarque 2 4 4 3 4 2" xfId="30469" xr:uid="{00000000-0005-0000-0000-00007E660000}"/>
    <cellStyle name="Remarque 2 4 4 3 4 2 2" xfId="54429" xr:uid="{00000000-0005-0000-0000-00007F660000}"/>
    <cellStyle name="Remarque 2 4 4 3 4 3" xfId="17716" xr:uid="{00000000-0005-0000-0000-000080660000}"/>
    <cellStyle name="Remarque 2 4 4 3 4 4" xfId="41676" xr:uid="{00000000-0005-0000-0000-000081660000}"/>
    <cellStyle name="Remarque 2 4 4 3 5" xfId="7843" xr:uid="{00000000-0005-0000-0000-000082660000}"/>
    <cellStyle name="Remarque 2 4 4 3 5 2" xfId="31857" xr:uid="{00000000-0005-0000-0000-000083660000}"/>
    <cellStyle name="Remarque 2 4 4 3 5 2 2" xfId="55817" xr:uid="{00000000-0005-0000-0000-000084660000}"/>
    <cellStyle name="Remarque 2 4 4 3 5 3" xfId="19104" xr:uid="{00000000-0005-0000-0000-000085660000}"/>
    <cellStyle name="Remarque 2 4 4 3 5 4" xfId="43064" xr:uid="{00000000-0005-0000-0000-000086660000}"/>
    <cellStyle name="Remarque 2 4 4 3 6" xfId="9228" xr:uid="{00000000-0005-0000-0000-000087660000}"/>
    <cellStyle name="Remarque 2 4 4 3 6 2" xfId="33242" xr:uid="{00000000-0005-0000-0000-000088660000}"/>
    <cellStyle name="Remarque 2 4 4 3 6 2 2" xfId="57202" xr:uid="{00000000-0005-0000-0000-000089660000}"/>
    <cellStyle name="Remarque 2 4 4 3 6 3" xfId="20489" xr:uid="{00000000-0005-0000-0000-00008A660000}"/>
    <cellStyle name="Remarque 2 4 4 3 6 4" xfId="44449" xr:uid="{00000000-0005-0000-0000-00008B660000}"/>
    <cellStyle name="Remarque 2 4 4 3 7" xfId="10685" xr:uid="{00000000-0005-0000-0000-00008C660000}"/>
    <cellStyle name="Remarque 2 4 4 3 7 2" xfId="34695" xr:uid="{00000000-0005-0000-0000-00008D660000}"/>
    <cellStyle name="Remarque 2 4 4 3 7 2 2" xfId="58655" xr:uid="{00000000-0005-0000-0000-00008E660000}"/>
    <cellStyle name="Remarque 2 4 4 3 7 3" xfId="21952" xr:uid="{00000000-0005-0000-0000-00008F660000}"/>
    <cellStyle name="Remarque 2 4 4 3 7 4" xfId="45912" xr:uid="{00000000-0005-0000-0000-000090660000}"/>
    <cellStyle name="Remarque 2 4 4 3 8" xfId="12553" xr:uid="{00000000-0005-0000-0000-000091660000}"/>
    <cellStyle name="Remarque 2 4 4 3 8 2" xfId="23852" xr:uid="{00000000-0005-0000-0000-000092660000}"/>
    <cellStyle name="Remarque 2 4 4 3 8 3" xfId="47812" xr:uid="{00000000-0005-0000-0000-000093660000}"/>
    <cellStyle name="Remarque 2 4 4 3 9" xfId="2157" xr:uid="{00000000-0005-0000-0000-000094660000}"/>
    <cellStyle name="Remarque 2 4 4 3 9 2" xfId="26171" xr:uid="{00000000-0005-0000-0000-000095660000}"/>
    <cellStyle name="Remarque 2 4 4 3 9 3" xfId="50131" xr:uid="{00000000-0005-0000-0000-000096660000}"/>
    <cellStyle name="Remarque 2 4 4 4" xfId="915" xr:uid="{00000000-0005-0000-0000-000097660000}"/>
    <cellStyle name="Remarque 2 4 4 4 10" xfId="24947" xr:uid="{00000000-0005-0000-0000-000098660000}"/>
    <cellStyle name="Remarque 2 4 4 4 10 2" xfId="48907" xr:uid="{00000000-0005-0000-0000-000099660000}"/>
    <cellStyle name="Remarque 2 4 4 4 11" xfId="35754" xr:uid="{00000000-0005-0000-0000-00009A660000}"/>
    <cellStyle name="Remarque 2 4 4 4 11 2" xfId="59714" xr:uid="{00000000-0005-0000-0000-00009B660000}"/>
    <cellStyle name="Remarque 2 4 4 4 12" xfId="13612" xr:uid="{00000000-0005-0000-0000-00009C660000}"/>
    <cellStyle name="Remarque 2 4 4 4 13" xfId="37572" xr:uid="{00000000-0005-0000-0000-00009D660000}"/>
    <cellStyle name="Remarque 2 4 4 4 2" xfId="3821" xr:uid="{00000000-0005-0000-0000-00009E660000}"/>
    <cellStyle name="Remarque 2 4 4 4 2 2" xfId="27835" xr:uid="{00000000-0005-0000-0000-00009F660000}"/>
    <cellStyle name="Remarque 2 4 4 4 2 2 2" xfId="51795" xr:uid="{00000000-0005-0000-0000-0000A0660000}"/>
    <cellStyle name="Remarque 2 4 4 4 2 3" xfId="15082" xr:uid="{00000000-0005-0000-0000-0000A1660000}"/>
    <cellStyle name="Remarque 2 4 4 4 2 4" xfId="39042" xr:uid="{00000000-0005-0000-0000-0000A2660000}"/>
    <cellStyle name="Remarque 2 4 4 4 3" xfId="5255" xr:uid="{00000000-0005-0000-0000-0000A3660000}"/>
    <cellStyle name="Remarque 2 4 4 4 3 2" xfId="29269" xr:uid="{00000000-0005-0000-0000-0000A4660000}"/>
    <cellStyle name="Remarque 2 4 4 4 3 2 2" xfId="53229" xr:uid="{00000000-0005-0000-0000-0000A5660000}"/>
    <cellStyle name="Remarque 2 4 4 4 3 3" xfId="16516" xr:uid="{00000000-0005-0000-0000-0000A6660000}"/>
    <cellStyle name="Remarque 2 4 4 4 3 4" xfId="40476" xr:uid="{00000000-0005-0000-0000-0000A7660000}"/>
    <cellStyle name="Remarque 2 4 4 4 4" xfId="6649" xr:uid="{00000000-0005-0000-0000-0000A8660000}"/>
    <cellStyle name="Remarque 2 4 4 4 4 2" xfId="30663" xr:uid="{00000000-0005-0000-0000-0000A9660000}"/>
    <cellStyle name="Remarque 2 4 4 4 4 2 2" xfId="54623" xr:uid="{00000000-0005-0000-0000-0000AA660000}"/>
    <cellStyle name="Remarque 2 4 4 4 4 3" xfId="17910" xr:uid="{00000000-0005-0000-0000-0000AB660000}"/>
    <cellStyle name="Remarque 2 4 4 4 4 4" xfId="41870" xr:uid="{00000000-0005-0000-0000-0000AC660000}"/>
    <cellStyle name="Remarque 2 4 4 4 5" xfId="8037" xr:uid="{00000000-0005-0000-0000-0000AD660000}"/>
    <cellStyle name="Remarque 2 4 4 4 5 2" xfId="32051" xr:uid="{00000000-0005-0000-0000-0000AE660000}"/>
    <cellStyle name="Remarque 2 4 4 4 5 2 2" xfId="56011" xr:uid="{00000000-0005-0000-0000-0000AF660000}"/>
    <cellStyle name="Remarque 2 4 4 4 5 3" xfId="19298" xr:uid="{00000000-0005-0000-0000-0000B0660000}"/>
    <cellStyle name="Remarque 2 4 4 4 5 4" xfId="43258" xr:uid="{00000000-0005-0000-0000-0000B1660000}"/>
    <cellStyle name="Remarque 2 4 4 4 6" xfId="9422" xr:uid="{00000000-0005-0000-0000-0000B2660000}"/>
    <cellStyle name="Remarque 2 4 4 4 6 2" xfId="33436" xr:uid="{00000000-0005-0000-0000-0000B3660000}"/>
    <cellStyle name="Remarque 2 4 4 4 6 2 2" xfId="57396" xr:uid="{00000000-0005-0000-0000-0000B4660000}"/>
    <cellStyle name="Remarque 2 4 4 4 6 3" xfId="20683" xr:uid="{00000000-0005-0000-0000-0000B5660000}"/>
    <cellStyle name="Remarque 2 4 4 4 6 4" xfId="44643" xr:uid="{00000000-0005-0000-0000-0000B6660000}"/>
    <cellStyle name="Remarque 2 4 4 4 7" xfId="10879" xr:uid="{00000000-0005-0000-0000-0000B7660000}"/>
    <cellStyle name="Remarque 2 4 4 4 7 2" xfId="34889" xr:uid="{00000000-0005-0000-0000-0000B8660000}"/>
    <cellStyle name="Remarque 2 4 4 4 7 2 2" xfId="58849" xr:uid="{00000000-0005-0000-0000-0000B9660000}"/>
    <cellStyle name="Remarque 2 4 4 4 7 3" xfId="22146" xr:uid="{00000000-0005-0000-0000-0000BA660000}"/>
    <cellStyle name="Remarque 2 4 4 4 7 4" xfId="46106" xr:uid="{00000000-0005-0000-0000-0000BB660000}"/>
    <cellStyle name="Remarque 2 4 4 4 8" xfId="12718" xr:uid="{00000000-0005-0000-0000-0000BC660000}"/>
    <cellStyle name="Remarque 2 4 4 4 8 2" xfId="24024" xr:uid="{00000000-0005-0000-0000-0000BD660000}"/>
    <cellStyle name="Remarque 2 4 4 4 8 3" xfId="47984" xr:uid="{00000000-0005-0000-0000-0000BE660000}"/>
    <cellStyle name="Remarque 2 4 4 4 9" xfId="2351" xr:uid="{00000000-0005-0000-0000-0000BF660000}"/>
    <cellStyle name="Remarque 2 4 4 4 9 2" xfId="26365" xr:uid="{00000000-0005-0000-0000-0000C0660000}"/>
    <cellStyle name="Remarque 2 4 4 4 9 3" xfId="50325" xr:uid="{00000000-0005-0000-0000-0000C1660000}"/>
    <cellStyle name="Remarque 2 4 4 5" xfId="1108" xr:uid="{00000000-0005-0000-0000-0000C2660000}"/>
    <cellStyle name="Remarque 2 4 4 5 10" xfId="25140" xr:uid="{00000000-0005-0000-0000-0000C3660000}"/>
    <cellStyle name="Remarque 2 4 4 5 10 2" xfId="49100" xr:uid="{00000000-0005-0000-0000-0000C4660000}"/>
    <cellStyle name="Remarque 2 4 4 5 11" xfId="35651" xr:uid="{00000000-0005-0000-0000-0000C5660000}"/>
    <cellStyle name="Remarque 2 4 4 5 11 2" xfId="59611" xr:uid="{00000000-0005-0000-0000-0000C6660000}"/>
    <cellStyle name="Remarque 2 4 4 5 12" xfId="13805" xr:uid="{00000000-0005-0000-0000-0000C7660000}"/>
    <cellStyle name="Remarque 2 4 4 5 13" xfId="37765" xr:uid="{00000000-0005-0000-0000-0000C8660000}"/>
    <cellStyle name="Remarque 2 4 4 5 2" xfId="4014" xr:uid="{00000000-0005-0000-0000-0000C9660000}"/>
    <cellStyle name="Remarque 2 4 4 5 2 2" xfId="28028" xr:uid="{00000000-0005-0000-0000-0000CA660000}"/>
    <cellStyle name="Remarque 2 4 4 5 2 2 2" xfId="51988" xr:uid="{00000000-0005-0000-0000-0000CB660000}"/>
    <cellStyle name="Remarque 2 4 4 5 2 3" xfId="15275" xr:uid="{00000000-0005-0000-0000-0000CC660000}"/>
    <cellStyle name="Remarque 2 4 4 5 2 4" xfId="39235" xr:uid="{00000000-0005-0000-0000-0000CD660000}"/>
    <cellStyle name="Remarque 2 4 4 5 3" xfId="5448" xr:uid="{00000000-0005-0000-0000-0000CE660000}"/>
    <cellStyle name="Remarque 2 4 4 5 3 2" xfId="29462" xr:uid="{00000000-0005-0000-0000-0000CF660000}"/>
    <cellStyle name="Remarque 2 4 4 5 3 2 2" xfId="53422" xr:uid="{00000000-0005-0000-0000-0000D0660000}"/>
    <cellStyle name="Remarque 2 4 4 5 3 3" xfId="16709" xr:uid="{00000000-0005-0000-0000-0000D1660000}"/>
    <cellStyle name="Remarque 2 4 4 5 3 4" xfId="40669" xr:uid="{00000000-0005-0000-0000-0000D2660000}"/>
    <cellStyle name="Remarque 2 4 4 5 4" xfId="6842" xr:uid="{00000000-0005-0000-0000-0000D3660000}"/>
    <cellStyle name="Remarque 2 4 4 5 4 2" xfId="30856" xr:uid="{00000000-0005-0000-0000-0000D4660000}"/>
    <cellStyle name="Remarque 2 4 4 5 4 2 2" xfId="54816" xr:uid="{00000000-0005-0000-0000-0000D5660000}"/>
    <cellStyle name="Remarque 2 4 4 5 4 3" xfId="18103" xr:uid="{00000000-0005-0000-0000-0000D6660000}"/>
    <cellStyle name="Remarque 2 4 4 5 4 4" xfId="42063" xr:uid="{00000000-0005-0000-0000-0000D7660000}"/>
    <cellStyle name="Remarque 2 4 4 5 5" xfId="8230" xr:uid="{00000000-0005-0000-0000-0000D8660000}"/>
    <cellStyle name="Remarque 2 4 4 5 5 2" xfId="32244" xr:uid="{00000000-0005-0000-0000-0000D9660000}"/>
    <cellStyle name="Remarque 2 4 4 5 5 2 2" xfId="56204" xr:uid="{00000000-0005-0000-0000-0000DA660000}"/>
    <cellStyle name="Remarque 2 4 4 5 5 3" xfId="19491" xr:uid="{00000000-0005-0000-0000-0000DB660000}"/>
    <cellStyle name="Remarque 2 4 4 5 5 4" xfId="43451" xr:uid="{00000000-0005-0000-0000-0000DC660000}"/>
    <cellStyle name="Remarque 2 4 4 5 6" xfId="9615" xr:uid="{00000000-0005-0000-0000-0000DD660000}"/>
    <cellStyle name="Remarque 2 4 4 5 6 2" xfId="33629" xr:uid="{00000000-0005-0000-0000-0000DE660000}"/>
    <cellStyle name="Remarque 2 4 4 5 6 2 2" xfId="57589" xr:uid="{00000000-0005-0000-0000-0000DF660000}"/>
    <cellStyle name="Remarque 2 4 4 5 6 3" xfId="20876" xr:uid="{00000000-0005-0000-0000-0000E0660000}"/>
    <cellStyle name="Remarque 2 4 4 5 6 4" xfId="44836" xr:uid="{00000000-0005-0000-0000-0000E1660000}"/>
    <cellStyle name="Remarque 2 4 4 5 7" xfId="11072" xr:uid="{00000000-0005-0000-0000-0000E2660000}"/>
    <cellStyle name="Remarque 2 4 4 5 7 2" xfId="35082" xr:uid="{00000000-0005-0000-0000-0000E3660000}"/>
    <cellStyle name="Remarque 2 4 4 5 7 2 2" xfId="59042" xr:uid="{00000000-0005-0000-0000-0000E4660000}"/>
    <cellStyle name="Remarque 2 4 4 5 7 3" xfId="22339" xr:uid="{00000000-0005-0000-0000-0000E5660000}"/>
    <cellStyle name="Remarque 2 4 4 5 7 4" xfId="46299" xr:uid="{00000000-0005-0000-0000-0000E6660000}"/>
    <cellStyle name="Remarque 2 4 4 5 8" xfId="11628" xr:uid="{00000000-0005-0000-0000-0000E7660000}"/>
    <cellStyle name="Remarque 2 4 4 5 8 2" xfId="22896" xr:uid="{00000000-0005-0000-0000-0000E8660000}"/>
    <cellStyle name="Remarque 2 4 4 5 8 3" xfId="46856" xr:uid="{00000000-0005-0000-0000-0000E9660000}"/>
    <cellStyle name="Remarque 2 4 4 5 9" xfId="2544" xr:uid="{00000000-0005-0000-0000-0000EA660000}"/>
    <cellStyle name="Remarque 2 4 4 5 9 2" xfId="26558" xr:uid="{00000000-0005-0000-0000-0000EB660000}"/>
    <cellStyle name="Remarque 2 4 4 5 9 3" xfId="50518" xr:uid="{00000000-0005-0000-0000-0000EC660000}"/>
    <cellStyle name="Remarque 2 4 4 6" xfId="1275" xr:uid="{00000000-0005-0000-0000-0000ED660000}"/>
    <cellStyle name="Remarque 2 4 4 6 10" xfId="25307" xr:uid="{00000000-0005-0000-0000-0000EE660000}"/>
    <cellStyle name="Remarque 2 4 4 6 10 2" xfId="49267" xr:uid="{00000000-0005-0000-0000-0000EF660000}"/>
    <cellStyle name="Remarque 2 4 4 6 11" xfId="36499" xr:uid="{00000000-0005-0000-0000-0000F0660000}"/>
    <cellStyle name="Remarque 2 4 4 6 11 2" xfId="60459" xr:uid="{00000000-0005-0000-0000-0000F1660000}"/>
    <cellStyle name="Remarque 2 4 4 6 12" xfId="13972" xr:uid="{00000000-0005-0000-0000-0000F2660000}"/>
    <cellStyle name="Remarque 2 4 4 6 13" xfId="37932" xr:uid="{00000000-0005-0000-0000-0000F3660000}"/>
    <cellStyle name="Remarque 2 4 4 6 2" xfId="4181" xr:uid="{00000000-0005-0000-0000-0000F4660000}"/>
    <cellStyle name="Remarque 2 4 4 6 2 2" xfId="28195" xr:uid="{00000000-0005-0000-0000-0000F5660000}"/>
    <cellStyle name="Remarque 2 4 4 6 2 2 2" xfId="52155" xr:uid="{00000000-0005-0000-0000-0000F6660000}"/>
    <cellStyle name="Remarque 2 4 4 6 2 3" xfId="15442" xr:uid="{00000000-0005-0000-0000-0000F7660000}"/>
    <cellStyle name="Remarque 2 4 4 6 2 4" xfId="39402" xr:uid="{00000000-0005-0000-0000-0000F8660000}"/>
    <cellStyle name="Remarque 2 4 4 6 3" xfId="5615" xr:uid="{00000000-0005-0000-0000-0000F9660000}"/>
    <cellStyle name="Remarque 2 4 4 6 3 2" xfId="29629" xr:uid="{00000000-0005-0000-0000-0000FA660000}"/>
    <cellStyle name="Remarque 2 4 4 6 3 2 2" xfId="53589" xr:uid="{00000000-0005-0000-0000-0000FB660000}"/>
    <cellStyle name="Remarque 2 4 4 6 3 3" xfId="16876" xr:uid="{00000000-0005-0000-0000-0000FC660000}"/>
    <cellStyle name="Remarque 2 4 4 6 3 4" xfId="40836" xr:uid="{00000000-0005-0000-0000-0000FD660000}"/>
    <cellStyle name="Remarque 2 4 4 6 4" xfId="7009" xr:uid="{00000000-0005-0000-0000-0000FE660000}"/>
    <cellStyle name="Remarque 2 4 4 6 4 2" xfId="31023" xr:uid="{00000000-0005-0000-0000-0000FF660000}"/>
    <cellStyle name="Remarque 2 4 4 6 4 2 2" xfId="54983" xr:uid="{00000000-0005-0000-0000-000000670000}"/>
    <cellStyle name="Remarque 2 4 4 6 4 3" xfId="18270" xr:uid="{00000000-0005-0000-0000-000001670000}"/>
    <cellStyle name="Remarque 2 4 4 6 4 4" xfId="42230" xr:uid="{00000000-0005-0000-0000-000002670000}"/>
    <cellStyle name="Remarque 2 4 4 6 5" xfId="8397" xr:uid="{00000000-0005-0000-0000-000003670000}"/>
    <cellStyle name="Remarque 2 4 4 6 5 2" xfId="32411" xr:uid="{00000000-0005-0000-0000-000004670000}"/>
    <cellStyle name="Remarque 2 4 4 6 5 2 2" xfId="56371" xr:uid="{00000000-0005-0000-0000-000005670000}"/>
    <cellStyle name="Remarque 2 4 4 6 5 3" xfId="19658" xr:uid="{00000000-0005-0000-0000-000006670000}"/>
    <cellStyle name="Remarque 2 4 4 6 5 4" xfId="43618" xr:uid="{00000000-0005-0000-0000-000007670000}"/>
    <cellStyle name="Remarque 2 4 4 6 6" xfId="9782" xr:uid="{00000000-0005-0000-0000-000008670000}"/>
    <cellStyle name="Remarque 2 4 4 6 6 2" xfId="33796" xr:uid="{00000000-0005-0000-0000-000009670000}"/>
    <cellStyle name="Remarque 2 4 4 6 6 2 2" xfId="57756" xr:uid="{00000000-0005-0000-0000-00000A670000}"/>
    <cellStyle name="Remarque 2 4 4 6 6 3" xfId="21043" xr:uid="{00000000-0005-0000-0000-00000B670000}"/>
    <cellStyle name="Remarque 2 4 4 6 6 4" xfId="45003" xr:uid="{00000000-0005-0000-0000-00000C670000}"/>
    <cellStyle name="Remarque 2 4 4 6 7" xfId="11239" xr:uid="{00000000-0005-0000-0000-00000D670000}"/>
    <cellStyle name="Remarque 2 4 4 6 7 2" xfId="35249" xr:uid="{00000000-0005-0000-0000-00000E670000}"/>
    <cellStyle name="Remarque 2 4 4 6 7 2 2" xfId="59209" xr:uid="{00000000-0005-0000-0000-00000F670000}"/>
    <cellStyle name="Remarque 2 4 4 6 7 3" xfId="22506" xr:uid="{00000000-0005-0000-0000-000010670000}"/>
    <cellStyle name="Remarque 2 4 4 6 7 4" xfId="46466" xr:uid="{00000000-0005-0000-0000-000011670000}"/>
    <cellStyle name="Remarque 2 4 4 6 8" xfId="11756" xr:uid="{00000000-0005-0000-0000-000012670000}"/>
    <cellStyle name="Remarque 2 4 4 6 8 2" xfId="23028" xr:uid="{00000000-0005-0000-0000-000013670000}"/>
    <cellStyle name="Remarque 2 4 4 6 8 3" xfId="46988" xr:uid="{00000000-0005-0000-0000-000014670000}"/>
    <cellStyle name="Remarque 2 4 4 6 9" xfId="2711" xr:uid="{00000000-0005-0000-0000-000015670000}"/>
    <cellStyle name="Remarque 2 4 4 6 9 2" xfId="26725" xr:uid="{00000000-0005-0000-0000-000016670000}"/>
    <cellStyle name="Remarque 2 4 4 6 9 3" xfId="50685" xr:uid="{00000000-0005-0000-0000-000017670000}"/>
    <cellStyle name="Remarque 2 4 4 7" xfId="1444" xr:uid="{00000000-0005-0000-0000-000018670000}"/>
    <cellStyle name="Remarque 2 4 4 7 10" xfId="25476" xr:uid="{00000000-0005-0000-0000-000019670000}"/>
    <cellStyle name="Remarque 2 4 4 7 10 2" xfId="49436" xr:uid="{00000000-0005-0000-0000-00001A670000}"/>
    <cellStyle name="Remarque 2 4 4 7 11" xfId="36084" xr:uid="{00000000-0005-0000-0000-00001B670000}"/>
    <cellStyle name="Remarque 2 4 4 7 11 2" xfId="60044" xr:uid="{00000000-0005-0000-0000-00001C670000}"/>
    <cellStyle name="Remarque 2 4 4 7 12" xfId="14141" xr:uid="{00000000-0005-0000-0000-00001D670000}"/>
    <cellStyle name="Remarque 2 4 4 7 13" xfId="38101" xr:uid="{00000000-0005-0000-0000-00001E670000}"/>
    <cellStyle name="Remarque 2 4 4 7 2" xfId="4350" xr:uid="{00000000-0005-0000-0000-00001F670000}"/>
    <cellStyle name="Remarque 2 4 4 7 2 2" xfId="28364" xr:uid="{00000000-0005-0000-0000-000020670000}"/>
    <cellStyle name="Remarque 2 4 4 7 2 2 2" xfId="52324" xr:uid="{00000000-0005-0000-0000-000021670000}"/>
    <cellStyle name="Remarque 2 4 4 7 2 3" xfId="15611" xr:uid="{00000000-0005-0000-0000-000022670000}"/>
    <cellStyle name="Remarque 2 4 4 7 2 4" xfId="39571" xr:uid="{00000000-0005-0000-0000-000023670000}"/>
    <cellStyle name="Remarque 2 4 4 7 3" xfId="5784" xr:uid="{00000000-0005-0000-0000-000024670000}"/>
    <cellStyle name="Remarque 2 4 4 7 3 2" xfId="29798" xr:uid="{00000000-0005-0000-0000-000025670000}"/>
    <cellStyle name="Remarque 2 4 4 7 3 2 2" xfId="53758" xr:uid="{00000000-0005-0000-0000-000026670000}"/>
    <cellStyle name="Remarque 2 4 4 7 3 3" xfId="17045" xr:uid="{00000000-0005-0000-0000-000027670000}"/>
    <cellStyle name="Remarque 2 4 4 7 3 4" xfId="41005" xr:uid="{00000000-0005-0000-0000-000028670000}"/>
    <cellStyle name="Remarque 2 4 4 7 4" xfId="7178" xr:uid="{00000000-0005-0000-0000-000029670000}"/>
    <cellStyle name="Remarque 2 4 4 7 4 2" xfId="31192" xr:uid="{00000000-0005-0000-0000-00002A670000}"/>
    <cellStyle name="Remarque 2 4 4 7 4 2 2" xfId="55152" xr:uid="{00000000-0005-0000-0000-00002B670000}"/>
    <cellStyle name="Remarque 2 4 4 7 4 3" xfId="18439" xr:uid="{00000000-0005-0000-0000-00002C670000}"/>
    <cellStyle name="Remarque 2 4 4 7 4 4" xfId="42399" xr:uid="{00000000-0005-0000-0000-00002D670000}"/>
    <cellStyle name="Remarque 2 4 4 7 5" xfId="8566" xr:uid="{00000000-0005-0000-0000-00002E670000}"/>
    <cellStyle name="Remarque 2 4 4 7 5 2" xfId="32580" xr:uid="{00000000-0005-0000-0000-00002F670000}"/>
    <cellStyle name="Remarque 2 4 4 7 5 2 2" xfId="56540" xr:uid="{00000000-0005-0000-0000-000030670000}"/>
    <cellStyle name="Remarque 2 4 4 7 5 3" xfId="19827" xr:uid="{00000000-0005-0000-0000-000031670000}"/>
    <cellStyle name="Remarque 2 4 4 7 5 4" xfId="43787" xr:uid="{00000000-0005-0000-0000-000032670000}"/>
    <cellStyle name="Remarque 2 4 4 7 6" xfId="9951" xr:uid="{00000000-0005-0000-0000-000033670000}"/>
    <cellStyle name="Remarque 2 4 4 7 6 2" xfId="33965" xr:uid="{00000000-0005-0000-0000-000034670000}"/>
    <cellStyle name="Remarque 2 4 4 7 6 2 2" xfId="57925" xr:uid="{00000000-0005-0000-0000-000035670000}"/>
    <cellStyle name="Remarque 2 4 4 7 6 3" xfId="21212" xr:uid="{00000000-0005-0000-0000-000036670000}"/>
    <cellStyle name="Remarque 2 4 4 7 6 4" xfId="45172" xr:uid="{00000000-0005-0000-0000-000037670000}"/>
    <cellStyle name="Remarque 2 4 4 7 7" xfId="11408" xr:uid="{00000000-0005-0000-0000-000038670000}"/>
    <cellStyle name="Remarque 2 4 4 7 7 2" xfId="35418" xr:uid="{00000000-0005-0000-0000-000039670000}"/>
    <cellStyle name="Remarque 2 4 4 7 7 2 2" xfId="59378" xr:uid="{00000000-0005-0000-0000-00003A670000}"/>
    <cellStyle name="Remarque 2 4 4 7 7 3" xfId="22675" xr:uid="{00000000-0005-0000-0000-00003B670000}"/>
    <cellStyle name="Remarque 2 4 4 7 7 4" xfId="46635" xr:uid="{00000000-0005-0000-0000-00003C670000}"/>
    <cellStyle name="Remarque 2 4 4 7 8" xfId="11579" xr:uid="{00000000-0005-0000-0000-00003D670000}"/>
    <cellStyle name="Remarque 2 4 4 7 8 2" xfId="22846" xr:uid="{00000000-0005-0000-0000-00003E670000}"/>
    <cellStyle name="Remarque 2 4 4 7 8 3" xfId="46806" xr:uid="{00000000-0005-0000-0000-00003F670000}"/>
    <cellStyle name="Remarque 2 4 4 7 9" xfId="2880" xr:uid="{00000000-0005-0000-0000-000040670000}"/>
    <cellStyle name="Remarque 2 4 4 7 9 2" xfId="26894" xr:uid="{00000000-0005-0000-0000-000041670000}"/>
    <cellStyle name="Remarque 2 4 4 7 9 3" xfId="50854" xr:uid="{00000000-0005-0000-0000-000042670000}"/>
    <cellStyle name="Remarque 2 4 4 8" xfId="3299" xr:uid="{00000000-0005-0000-0000-000043670000}"/>
    <cellStyle name="Remarque 2 4 4 8 2" xfId="27313" xr:uid="{00000000-0005-0000-0000-000044670000}"/>
    <cellStyle name="Remarque 2 4 4 8 2 2" xfId="51273" xr:uid="{00000000-0005-0000-0000-000045670000}"/>
    <cellStyle name="Remarque 2 4 4 8 3" xfId="14560" xr:uid="{00000000-0005-0000-0000-000046670000}"/>
    <cellStyle name="Remarque 2 4 4 8 4" xfId="38520" xr:uid="{00000000-0005-0000-0000-000047670000}"/>
    <cellStyle name="Remarque 2 4 4 9" xfId="4733" xr:uid="{00000000-0005-0000-0000-000048670000}"/>
    <cellStyle name="Remarque 2 4 4 9 2" xfId="28747" xr:uid="{00000000-0005-0000-0000-000049670000}"/>
    <cellStyle name="Remarque 2 4 4 9 2 2" xfId="52707" xr:uid="{00000000-0005-0000-0000-00004A670000}"/>
    <cellStyle name="Remarque 2 4 4 9 3" xfId="15994" xr:uid="{00000000-0005-0000-0000-00004B670000}"/>
    <cellStyle name="Remarque 2 4 4 9 4" xfId="39954" xr:uid="{00000000-0005-0000-0000-00004C670000}"/>
    <cellStyle name="Remarque 2 4 5" xfId="131" xr:uid="{00000000-0005-0000-0000-00004D670000}"/>
    <cellStyle name="Remarque 2 4 5 10" xfId="6106" xr:uid="{00000000-0005-0000-0000-00004E670000}"/>
    <cellStyle name="Remarque 2 4 5 10 2" xfId="30120" xr:uid="{00000000-0005-0000-0000-00004F670000}"/>
    <cellStyle name="Remarque 2 4 5 10 2 2" xfId="54080" xr:uid="{00000000-0005-0000-0000-000050670000}"/>
    <cellStyle name="Remarque 2 4 5 10 3" xfId="17367" xr:uid="{00000000-0005-0000-0000-000051670000}"/>
    <cellStyle name="Remarque 2 4 5 10 4" xfId="41327" xr:uid="{00000000-0005-0000-0000-000052670000}"/>
    <cellStyle name="Remarque 2 4 5 11" xfId="7494" xr:uid="{00000000-0005-0000-0000-000053670000}"/>
    <cellStyle name="Remarque 2 4 5 11 2" xfId="31508" xr:uid="{00000000-0005-0000-0000-000054670000}"/>
    <cellStyle name="Remarque 2 4 5 11 2 2" xfId="55468" xr:uid="{00000000-0005-0000-0000-000055670000}"/>
    <cellStyle name="Remarque 2 4 5 11 3" xfId="18755" xr:uid="{00000000-0005-0000-0000-000056670000}"/>
    <cellStyle name="Remarque 2 4 5 11 4" xfId="42715" xr:uid="{00000000-0005-0000-0000-000057670000}"/>
    <cellStyle name="Remarque 2 4 5 12" xfId="8879" xr:uid="{00000000-0005-0000-0000-000058670000}"/>
    <cellStyle name="Remarque 2 4 5 12 2" xfId="32893" xr:uid="{00000000-0005-0000-0000-000059670000}"/>
    <cellStyle name="Remarque 2 4 5 12 2 2" xfId="56853" xr:uid="{00000000-0005-0000-0000-00005A670000}"/>
    <cellStyle name="Remarque 2 4 5 12 3" xfId="20140" xr:uid="{00000000-0005-0000-0000-00005B670000}"/>
    <cellStyle name="Remarque 2 4 5 12 4" xfId="44100" xr:uid="{00000000-0005-0000-0000-00005C670000}"/>
    <cellStyle name="Remarque 2 4 5 13" xfId="10336" xr:uid="{00000000-0005-0000-0000-00005D670000}"/>
    <cellStyle name="Remarque 2 4 5 13 2" xfId="34346" xr:uid="{00000000-0005-0000-0000-00005E670000}"/>
    <cellStyle name="Remarque 2 4 5 13 2 2" xfId="58306" xr:uid="{00000000-0005-0000-0000-00005F670000}"/>
    <cellStyle name="Remarque 2 4 5 13 3" xfId="21603" xr:uid="{00000000-0005-0000-0000-000060670000}"/>
    <cellStyle name="Remarque 2 4 5 13 4" xfId="45563" xr:uid="{00000000-0005-0000-0000-000061670000}"/>
    <cellStyle name="Remarque 2 4 5 14" xfId="11750" xr:uid="{00000000-0005-0000-0000-000062670000}"/>
    <cellStyle name="Remarque 2 4 5 14 2" xfId="23022" xr:uid="{00000000-0005-0000-0000-000063670000}"/>
    <cellStyle name="Remarque 2 4 5 14 3" xfId="46982" xr:uid="{00000000-0005-0000-0000-000064670000}"/>
    <cellStyle name="Remarque 2 4 5 15" xfId="1808" xr:uid="{00000000-0005-0000-0000-000065670000}"/>
    <cellStyle name="Remarque 2 4 5 15 2" xfId="25822" xr:uid="{00000000-0005-0000-0000-000066670000}"/>
    <cellStyle name="Remarque 2 4 5 15 3" xfId="49782" xr:uid="{00000000-0005-0000-0000-000067670000}"/>
    <cellStyle name="Remarque 2 4 5 16" xfId="24404" xr:uid="{00000000-0005-0000-0000-000068670000}"/>
    <cellStyle name="Remarque 2 4 5 16 2" xfId="48364" xr:uid="{00000000-0005-0000-0000-000069670000}"/>
    <cellStyle name="Remarque 2 4 5 17" xfId="36154" xr:uid="{00000000-0005-0000-0000-00006A670000}"/>
    <cellStyle name="Remarque 2 4 5 17 2" xfId="60114" xr:uid="{00000000-0005-0000-0000-00006B670000}"/>
    <cellStyle name="Remarque 2 4 5 18" xfId="13069" xr:uid="{00000000-0005-0000-0000-00006C670000}"/>
    <cellStyle name="Remarque 2 4 5 19" xfId="37029" xr:uid="{00000000-0005-0000-0000-00006D670000}"/>
    <cellStyle name="Remarque 2 4 5 2" xfId="508" xr:uid="{00000000-0005-0000-0000-00006E670000}"/>
    <cellStyle name="Remarque 2 4 5 2 10" xfId="24540" xr:uid="{00000000-0005-0000-0000-00006F670000}"/>
    <cellStyle name="Remarque 2 4 5 2 10 2" xfId="48500" xr:uid="{00000000-0005-0000-0000-000070670000}"/>
    <cellStyle name="Remarque 2 4 5 2 11" xfId="36575" xr:uid="{00000000-0005-0000-0000-000071670000}"/>
    <cellStyle name="Remarque 2 4 5 2 11 2" xfId="60535" xr:uid="{00000000-0005-0000-0000-000072670000}"/>
    <cellStyle name="Remarque 2 4 5 2 12" xfId="13205" xr:uid="{00000000-0005-0000-0000-000073670000}"/>
    <cellStyle name="Remarque 2 4 5 2 13" xfId="37165" xr:uid="{00000000-0005-0000-0000-000074670000}"/>
    <cellStyle name="Remarque 2 4 5 2 2" xfId="3414" xr:uid="{00000000-0005-0000-0000-000075670000}"/>
    <cellStyle name="Remarque 2 4 5 2 2 2" xfId="27428" xr:uid="{00000000-0005-0000-0000-000076670000}"/>
    <cellStyle name="Remarque 2 4 5 2 2 2 2" xfId="51388" xr:uid="{00000000-0005-0000-0000-000077670000}"/>
    <cellStyle name="Remarque 2 4 5 2 2 3" xfId="14675" xr:uid="{00000000-0005-0000-0000-000078670000}"/>
    <cellStyle name="Remarque 2 4 5 2 2 4" xfId="38635" xr:uid="{00000000-0005-0000-0000-000079670000}"/>
    <cellStyle name="Remarque 2 4 5 2 3" xfId="4848" xr:uid="{00000000-0005-0000-0000-00007A670000}"/>
    <cellStyle name="Remarque 2 4 5 2 3 2" xfId="28862" xr:uid="{00000000-0005-0000-0000-00007B670000}"/>
    <cellStyle name="Remarque 2 4 5 2 3 2 2" xfId="52822" xr:uid="{00000000-0005-0000-0000-00007C670000}"/>
    <cellStyle name="Remarque 2 4 5 2 3 3" xfId="16109" xr:uid="{00000000-0005-0000-0000-00007D670000}"/>
    <cellStyle name="Remarque 2 4 5 2 3 4" xfId="40069" xr:uid="{00000000-0005-0000-0000-00007E670000}"/>
    <cellStyle name="Remarque 2 4 5 2 4" xfId="6242" xr:uid="{00000000-0005-0000-0000-00007F670000}"/>
    <cellStyle name="Remarque 2 4 5 2 4 2" xfId="30256" xr:uid="{00000000-0005-0000-0000-000080670000}"/>
    <cellStyle name="Remarque 2 4 5 2 4 2 2" xfId="54216" xr:uid="{00000000-0005-0000-0000-000081670000}"/>
    <cellStyle name="Remarque 2 4 5 2 4 3" xfId="17503" xr:uid="{00000000-0005-0000-0000-000082670000}"/>
    <cellStyle name="Remarque 2 4 5 2 4 4" xfId="41463" xr:uid="{00000000-0005-0000-0000-000083670000}"/>
    <cellStyle name="Remarque 2 4 5 2 5" xfId="7630" xr:uid="{00000000-0005-0000-0000-000084670000}"/>
    <cellStyle name="Remarque 2 4 5 2 5 2" xfId="31644" xr:uid="{00000000-0005-0000-0000-000085670000}"/>
    <cellStyle name="Remarque 2 4 5 2 5 2 2" xfId="55604" xr:uid="{00000000-0005-0000-0000-000086670000}"/>
    <cellStyle name="Remarque 2 4 5 2 5 3" xfId="18891" xr:uid="{00000000-0005-0000-0000-000087670000}"/>
    <cellStyle name="Remarque 2 4 5 2 5 4" xfId="42851" xr:uid="{00000000-0005-0000-0000-000088670000}"/>
    <cellStyle name="Remarque 2 4 5 2 6" xfId="9015" xr:uid="{00000000-0005-0000-0000-000089670000}"/>
    <cellStyle name="Remarque 2 4 5 2 6 2" xfId="33029" xr:uid="{00000000-0005-0000-0000-00008A670000}"/>
    <cellStyle name="Remarque 2 4 5 2 6 2 2" xfId="56989" xr:uid="{00000000-0005-0000-0000-00008B670000}"/>
    <cellStyle name="Remarque 2 4 5 2 6 3" xfId="20276" xr:uid="{00000000-0005-0000-0000-00008C670000}"/>
    <cellStyle name="Remarque 2 4 5 2 6 4" xfId="44236" xr:uid="{00000000-0005-0000-0000-00008D670000}"/>
    <cellStyle name="Remarque 2 4 5 2 7" xfId="10472" xr:uid="{00000000-0005-0000-0000-00008E670000}"/>
    <cellStyle name="Remarque 2 4 5 2 7 2" xfId="34482" xr:uid="{00000000-0005-0000-0000-00008F670000}"/>
    <cellStyle name="Remarque 2 4 5 2 7 2 2" xfId="58442" xr:uid="{00000000-0005-0000-0000-000090670000}"/>
    <cellStyle name="Remarque 2 4 5 2 7 3" xfId="21739" xr:uid="{00000000-0005-0000-0000-000091670000}"/>
    <cellStyle name="Remarque 2 4 5 2 7 4" xfId="45699" xr:uid="{00000000-0005-0000-0000-000092670000}"/>
    <cellStyle name="Remarque 2 4 5 2 8" xfId="12228" xr:uid="{00000000-0005-0000-0000-000093670000}"/>
    <cellStyle name="Remarque 2 4 5 2 8 2" xfId="23512" xr:uid="{00000000-0005-0000-0000-000094670000}"/>
    <cellStyle name="Remarque 2 4 5 2 8 3" xfId="47472" xr:uid="{00000000-0005-0000-0000-000095670000}"/>
    <cellStyle name="Remarque 2 4 5 2 9" xfId="1944" xr:uid="{00000000-0005-0000-0000-000096670000}"/>
    <cellStyle name="Remarque 2 4 5 2 9 2" xfId="25958" xr:uid="{00000000-0005-0000-0000-000097670000}"/>
    <cellStyle name="Remarque 2 4 5 2 9 3" xfId="49918" xr:uid="{00000000-0005-0000-0000-000098670000}"/>
    <cellStyle name="Remarque 2 4 5 20" xfId="372" xr:uid="{00000000-0005-0000-0000-000099670000}"/>
    <cellStyle name="Remarque 2 4 5 3" xfId="700" xr:uid="{00000000-0005-0000-0000-00009A670000}"/>
    <cellStyle name="Remarque 2 4 5 3 10" xfId="24732" xr:uid="{00000000-0005-0000-0000-00009B670000}"/>
    <cellStyle name="Remarque 2 4 5 3 10 2" xfId="48692" xr:uid="{00000000-0005-0000-0000-00009C670000}"/>
    <cellStyle name="Remarque 2 4 5 3 11" xfId="35767" xr:uid="{00000000-0005-0000-0000-00009D670000}"/>
    <cellStyle name="Remarque 2 4 5 3 11 2" xfId="59727" xr:uid="{00000000-0005-0000-0000-00009E670000}"/>
    <cellStyle name="Remarque 2 4 5 3 12" xfId="13397" xr:uid="{00000000-0005-0000-0000-00009F670000}"/>
    <cellStyle name="Remarque 2 4 5 3 13" xfId="37357" xr:uid="{00000000-0005-0000-0000-0000A0670000}"/>
    <cellStyle name="Remarque 2 4 5 3 2" xfId="3606" xr:uid="{00000000-0005-0000-0000-0000A1670000}"/>
    <cellStyle name="Remarque 2 4 5 3 2 2" xfId="27620" xr:uid="{00000000-0005-0000-0000-0000A2670000}"/>
    <cellStyle name="Remarque 2 4 5 3 2 2 2" xfId="51580" xr:uid="{00000000-0005-0000-0000-0000A3670000}"/>
    <cellStyle name="Remarque 2 4 5 3 2 3" xfId="14867" xr:uid="{00000000-0005-0000-0000-0000A4670000}"/>
    <cellStyle name="Remarque 2 4 5 3 2 4" xfId="38827" xr:uid="{00000000-0005-0000-0000-0000A5670000}"/>
    <cellStyle name="Remarque 2 4 5 3 3" xfId="5040" xr:uid="{00000000-0005-0000-0000-0000A6670000}"/>
    <cellStyle name="Remarque 2 4 5 3 3 2" xfId="29054" xr:uid="{00000000-0005-0000-0000-0000A7670000}"/>
    <cellStyle name="Remarque 2 4 5 3 3 2 2" xfId="53014" xr:uid="{00000000-0005-0000-0000-0000A8670000}"/>
    <cellStyle name="Remarque 2 4 5 3 3 3" xfId="16301" xr:uid="{00000000-0005-0000-0000-0000A9670000}"/>
    <cellStyle name="Remarque 2 4 5 3 3 4" xfId="40261" xr:uid="{00000000-0005-0000-0000-0000AA670000}"/>
    <cellStyle name="Remarque 2 4 5 3 4" xfId="6434" xr:uid="{00000000-0005-0000-0000-0000AB670000}"/>
    <cellStyle name="Remarque 2 4 5 3 4 2" xfId="30448" xr:uid="{00000000-0005-0000-0000-0000AC670000}"/>
    <cellStyle name="Remarque 2 4 5 3 4 2 2" xfId="54408" xr:uid="{00000000-0005-0000-0000-0000AD670000}"/>
    <cellStyle name="Remarque 2 4 5 3 4 3" xfId="17695" xr:uid="{00000000-0005-0000-0000-0000AE670000}"/>
    <cellStyle name="Remarque 2 4 5 3 4 4" xfId="41655" xr:uid="{00000000-0005-0000-0000-0000AF670000}"/>
    <cellStyle name="Remarque 2 4 5 3 5" xfId="7822" xr:uid="{00000000-0005-0000-0000-0000B0670000}"/>
    <cellStyle name="Remarque 2 4 5 3 5 2" xfId="31836" xr:uid="{00000000-0005-0000-0000-0000B1670000}"/>
    <cellStyle name="Remarque 2 4 5 3 5 2 2" xfId="55796" xr:uid="{00000000-0005-0000-0000-0000B2670000}"/>
    <cellStyle name="Remarque 2 4 5 3 5 3" xfId="19083" xr:uid="{00000000-0005-0000-0000-0000B3670000}"/>
    <cellStyle name="Remarque 2 4 5 3 5 4" xfId="43043" xr:uid="{00000000-0005-0000-0000-0000B4670000}"/>
    <cellStyle name="Remarque 2 4 5 3 6" xfId="9207" xr:uid="{00000000-0005-0000-0000-0000B5670000}"/>
    <cellStyle name="Remarque 2 4 5 3 6 2" xfId="33221" xr:uid="{00000000-0005-0000-0000-0000B6670000}"/>
    <cellStyle name="Remarque 2 4 5 3 6 2 2" xfId="57181" xr:uid="{00000000-0005-0000-0000-0000B7670000}"/>
    <cellStyle name="Remarque 2 4 5 3 6 3" xfId="20468" xr:uid="{00000000-0005-0000-0000-0000B8670000}"/>
    <cellStyle name="Remarque 2 4 5 3 6 4" xfId="44428" xr:uid="{00000000-0005-0000-0000-0000B9670000}"/>
    <cellStyle name="Remarque 2 4 5 3 7" xfId="10664" xr:uid="{00000000-0005-0000-0000-0000BA670000}"/>
    <cellStyle name="Remarque 2 4 5 3 7 2" xfId="34674" xr:uid="{00000000-0005-0000-0000-0000BB670000}"/>
    <cellStyle name="Remarque 2 4 5 3 7 2 2" xfId="58634" xr:uid="{00000000-0005-0000-0000-0000BC670000}"/>
    <cellStyle name="Remarque 2 4 5 3 7 3" xfId="21931" xr:uid="{00000000-0005-0000-0000-0000BD670000}"/>
    <cellStyle name="Remarque 2 4 5 3 7 4" xfId="45891" xr:uid="{00000000-0005-0000-0000-0000BE670000}"/>
    <cellStyle name="Remarque 2 4 5 3 8" xfId="12735" xr:uid="{00000000-0005-0000-0000-0000BF670000}"/>
    <cellStyle name="Remarque 2 4 5 3 8 2" xfId="24041" xr:uid="{00000000-0005-0000-0000-0000C0670000}"/>
    <cellStyle name="Remarque 2 4 5 3 8 3" xfId="48001" xr:uid="{00000000-0005-0000-0000-0000C1670000}"/>
    <cellStyle name="Remarque 2 4 5 3 9" xfId="2136" xr:uid="{00000000-0005-0000-0000-0000C2670000}"/>
    <cellStyle name="Remarque 2 4 5 3 9 2" xfId="26150" xr:uid="{00000000-0005-0000-0000-0000C3670000}"/>
    <cellStyle name="Remarque 2 4 5 3 9 3" xfId="50110" xr:uid="{00000000-0005-0000-0000-0000C4670000}"/>
    <cellStyle name="Remarque 2 4 5 4" xfId="894" xr:uid="{00000000-0005-0000-0000-0000C5670000}"/>
    <cellStyle name="Remarque 2 4 5 4 10" xfId="24926" xr:uid="{00000000-0005-0000-0000-0000C6670000}"/>
    <cellStyle name="Remarque 2 4 5 4 10 2" xfId="48886" xr:uid="{00000000-0005-0000-0000-0000C7670000}"/>
    <cellStyle name="Remarque 2 4 5 4 11" xfId="28584" xr:uid="{00000000-0005-0000-0000-0000C8670000}"/>
    <cellStyle name="Remarque 2 4 5 4 11 2" xfId="52544" xr:uid="{00000000-0005-0000-0000-0000C9670000}"/>
    <cellStyle name="Remarque 2 4 5 4 12" xfId="13591" xr:uid="{00000000-0005-0000-0000-0000CA670000}"/>
    <cellStyle name="Remarque 2 4 5 4 13" xfId="37551" xr:uid="{00000000-0005-0000-0000-0000CB670000}"/>
    <cellStyle name="Remarque 2 4 5 4 2" xfId="3800" xr:uid="{00000000-0005-0000-0000-0000CC670000}"/>
    <cellStyle name="Remarque 2 4 5 4 2 2" xfId="27814" xr:uid="{00000000-0005-0000-0000-0000CD670000}"/>
    <cellStyle name="Remarque 2 4 5 4 2 2 2" xfId="51774" xr:uid="{00000000-0005-0000-0000-0000CE670000}"/>
    <cellStyle name="Remarque 2 4 5 4 2 3" xfId="15061" xr:uid="{00000000-0005-0000-0000-0000CF670000}"/>
    <cellStyle name="Remarque 2 4 5 4 2 4" xfId="39021" xr:uid="{00000000-0005-0000-0000-0000D0670000}"/>
    <cellStyle name="Remarque 2 4 5 4 3" xfId="5234" xr:uid="{00000000-0005-0000-0000-0000D1670000}"/>
    <cellStyle name="Remarque 2 4 5 4 3 2" xfId="29248" xr:uid="{00000000-0005-0000-0000-0000D2670000}"/>
    <cellStyle name="Remarque 2 4 5 4 3 2 2" xfId="53208" xr:uid="{00000000-0005-0000-0000-0000D3670000}"/>
    <cellStyle name="Remarque 2 4 5 4 3 3" xfId="16495" xr:uid="{00000000-0005-0000-0000-0000D4670000}"/>
    <cellStyle name="Remarque 2 4 5 4 3 4" xfId="40455" xr:uid="{00000000-0005-0000-0000-0000D5670000}"/>
    <cellStyle name="Remarque 2 4 5 4 4" xfId="6628" xr:uid="{00000000-0005-0000-0000-0000D6670000}"/>
    <cellStyle name="Remarque 2 4 5 4 4 2" xfId="30642" xr:uid="{00000000-0005-0000-0000-0000D7670000}"/>
    <cellStyle name="Remarque 2 4 5 4 4 2 2" xfId="54602" xr:uid="{00000000-0005-0000-0000-0000D8670000}"/>
    <cellStyle name="Remarque 2 4 5 4 4 3" xfId="17889" xr:uid="{00000000-0005-0000-0000-0000D9670000}"/>
    <cellStyle name="Remarque 2 4 5 4 4 4" xfId="41849" xr:uid="{00000000-0005-0000-0000-0000DA670000}"/>
    <cellStyle name="Remarque 2 4 5 4 5" xfId="8016" xr:uid="{00000000-0005-0000-0000-0000DB670000}"/>
    <cellStyle name="Remarque 2 4 5 4 5 2" xfId="32030" xr:uid="{00000000-0005-0000-0000-0000DC670000}"/>
    <cellStyle name="Remarque 2 4 5 4 5 2 2" xfId="55990" xr:uid="{00000000-0005-0000-0000-0000DD670000}"/>
    <cellStyle name="Remarque 2 4 5 4 5 3" xfId="19277" xr:uid="{00000000-0005-0000-0000-0000DE670000}"/>
    <cellStyle name="Remarque 2 4 5 4 5 4" xfId="43237" xr:uid="{00000000-0005-0000-0000-0000DF670000}"/>
    <cellStyle name="Remarque 2 4 5 4 6" xfId="9401" xr:uid="{00000000-0005-0000-0000-0000E0670000}"/>
    <cellStyle name="Remarque 2 4 5 4 6 2" xfId="33415" xr:uid="{00000000-0005-0000-0000-0000E1670000}"/>
    <cellStyle name="Remarque 2 4 5 4 6 2 2" xfId="57375" xr:uid="{00000000-0005-0000-0000-0000E2670000}"/>
    <cellStyle name="Remarque 2 4 5 4 6 3" xfId="20662" xr:uid="{00000000-0005-0000-0000-0000E3670000}"/>
    <cellStyle name="Remarque 2 4 5 4 6 4" xfId="44622" xr:uid="{00000000-0005-0000-0000-0000E4670000}"/>
    <cellStyle name="Remarque 2 4 5 4 7" xfId="10858" xr:uid="{00000000-0005-0000-0000-0000E5670000}"/>
    <cellStyle name="Remarque 2 4 5 4 7 2" xfId="34868" xr:uid="{00000000-0005-0000-0000-0000E6670000}"/>
    <cellStyle name="Remarque 2 4 5 4 7 2 2" xfId="58828" xr:uid="{00000000-0005-0000-0000-0000E7670000}"/>
    <cellStyle name="Remarque 2 4 5 4 7 3" xfId="22125" xr:uid="{00000000-0005-0000-0000-0000E8670000}"/>
    <cellStyle name="Remarque 2 4 5 4 7 4" xfId="46085" xr:uid="{00000000-0005-0000-0000-0000E9670000}"/>
    <cellStyle name="Remarque 2 4 5 4 8" xfId="11823" xr:uid="{00000000-0005-0000-0000-0000EA670000}"/>
    <cellStyle name="Remarque 2 4 5 4 8 2" xfId="23097" xr:uid="{00000000-0005-0000-0000-0000EB670000}"/>
    <cellStyle name="Remarque 2 4 5 4 8 3" xfId="47057" xr:uid="{00000000-0005-0000-0000-0000EC670000}"/>
    <cellStyle name="Remarque 2 4 5 4 9" xfId="2330" xr:uid="{00000000-0005-0000-0000-0000ED670000}"/>
    <cellStyle name="Remarque 2 4 5 4 9 2" xfId="26344" xr:uid="{00000000-0005-0000-0000-0000EE670000}"/>
    <cellStyle name="Remarque 2 4 5 4 9 3" xfId="50304" xr:uid="{00000000-0005-0000-0000-0000EF670000}"/>
    <cellStyle name="Remarque 2 4 5 5" xfId="1087" xr:uid="{00000000-0005-0000-0000-0000F0670000}"/>
    <cellStyle name="Remarque 2 4 5 5 10" xfId="25119" xr:uid="{00000000-0005-0000-0000-0000F1670000}"/>
    <cellStyle name="Remarque 2 4 5 5 10 2" xfId="49079" xr:uid="{00000000-0005-0000-0000-0000F2670000}"/>
    <cellStyle name="Remarque 2 4 5 5 11" xfId="36475" xr:uid="{00000000-0005-0000-0000-0000F3670000}"/>
    <cellStyle name="Remarque 2 4 5 5 11 2" xfId="60435" xr:uid="{00000000-0005-0000-0000-0000F4670000}"/>
    <cellStyle name="Remarque 2 4 5 5 12" xfId="13784" xr:uid="{00000000-0005-0000-0000-0000F5670000}"/>
    <cellStyle name="Remarque 2 4 5 5 13" xfId="37744" xr:uid="{00000000-0005-0000-0000-0000F6670000}"/>
    <cellStyle name="Remarque 2 4 5 5 2" xfId="3993" xr:uid="{00000000-0005-0000-0000-0000F7670000}"/>
    <cellStyle name="Remarque 2 4 5 5 2 2" xfId="28007" xr:uid="{00000000-0005-0000-0000-0000F8670000}"/>
    <cellStyle name="Remarque 2 4 5 5 2 2 2" xfId="51967" xr:uid="{00000000-0005-0000-0000-0000F9670000}"/>
    <cellStyle name="Remarque 2 4 5 5 2 3" xfId="15254" xr:uid="{00000000-0005-0000-0000-0000FA670000}"/>
    <cellStyle name="Remarque 2 4 5 5 2 4" xfId="39214" xr:uid="{00000000-0005-0000-0000-0000FB670000}"/>
    <cellStyle name="Remarque 2 4 5 5 3" xfId="5427" xr:uid="{00000000-0005-0000-0000-0000FC670000}"/>
    <cellStyle name="Remarque 2 4 5 5 3 2" xfId="29441" xr:uid="{00000000-0005-0000-0000-0000FD670000}"/>
    <cellStyle name="Remarque 2 4 5 5 3 2 2" xfId="53401" xr:uid="{00000000-0005-0000-0000-0000FE670000}"/>
    <cellStyle name="Remarque 2 4 5 5 3 3" xfId="16688" xr:uid="{00000000-0005-0000-0000-0000FF670000}"/>
    <cellStyle name="Remarque 2 4 5 5 3 4" xfId="40648" xr:uid="{00000000-0005-0000-0000-000000680000}"/>
    <cellStyle name="Remarque 2 4 5 5 4" xfId="6821" xr:uid="{00000000-0005-0000-0000-000001680000}"/>
    <cellStyle name="Remarque 2 4 5 5 4 2" xfId="30835" xr:uid="{00000000-0005-0000-0000-000002680000}"/>
    <cellStyle name="Remarque 2 4 5 5 4 2 2" xfId="54795" xr:uid="{00000000-0005-0000-0000-000003680000}"/>
    <cellStyle name="Remarque 2 4 5 5 4 3" xfId="18082" xr:uid="{00000000-0005-0000-0000-000004680000}"/>
    <cellStyle name="Remarque 2 4 5 5 4 4" xfId="42042" xr:uid="{00000000-0005-0000-0000-000005680000}"/>
    <cellStyle name="Remarque 2 4 5 5 5" xfId="8209" xr:uid="{00000000-0005-0000-0000-000006680000}"/>
    <cellStyle name="Remarque 2 4 5 5 5 2" xfId="32223" xr:uid="{00000000-0005-0000-0000-000007680000}"/>
    <cellStyle name="Remarque 2 4 5 5 5 2 2" xfId="56183" xr:uid="{00000000-0005-0000-0000-000008680000}"/>
    <cellStyle name="Remarque 2 4 5 5 5 3" xfId="19470" xr:uid="{00000000-0005-0000-0000-000009680000}"/>
    <cellStyle name="Remarque 2 4 5 5 5 4" xfId="43430" xr:uid="{00000000-0005-0000-0000-00000A680000}"/>
    <cellStyle name="Remarque 2 4 5 5 6" xfId="9594" xr:uid="{00000000-0005-0000-0000-00000B680000}"/>
    <cellStyle name="Remarque 2 4 5 5 6 2" xfId="33608" xr:uid="{00000000-0005-0000-0000-00000C680000}"/>
    <cellStyle name="Remarque 2 4 5 5 6 2 2" xfId="57568" xr:uid="{00000000-0005-0000-0000-00000D680000}"/>
    <cellStyle name="Remarque 2 4 5 5 6 3" xfId="20855" xr:uid="{00000000-0005-0000-0000-00000E680000}"/>
    <cellStyle name="Remarque 2 4 5 5 6 4" xfId="44815" xr:uid="{00000000-0005-0000-0000-00000F680000}"/>
    <cellStyle name="Remarque 2 4 5 5 7" xfId="11051" xr:uid="{00000000-0005-0000-0000-000010680000}"/>
    <cellStyle name="Remarque 2 4 5 5 7 2" xfId="35061" xr:uid="{00000000-0005-0000-0000-000011680000}"/>
    <cellStyle name="Remarque 2 4 5 5 7 2 2" xfId="59021" xr:uid="{00000000-0005-0000-0000-000012680000}"/>
    <cellStyle name="Remarque 2 4 5 5 7 3" xfId="22318" xr:uid="{00000000-0005-0000-0000-000013680000}"/>
    <cellStyle name="Remarque 2 4 5 5 7 4" xfId="46278" xr:uid="{00000000-0005-0000-0000-000014680000}"/>
    <cellStyle name="Remarque 2 4 5 5 8" xfId="12771" xr:uid="{00000000-0005-0000-0000-000015680000}"/>
    <cellStyle name="Remarque 2 4 5 5 8 2" xfId="24079" xr:uid="{00000000-0005-0000-0000-000016680000}"/>
    <cellStyle name="Remarque 2 4 5 5 8 3" xfId="48039" xr:uid="{00000000-0005-0000-0000-000017680000}"/>
    <cellStyle name="Remarque 2 4 5 5 9" xfId="2523" xr:uid="{00000000-0005-0000-0000-000018680000}"/>
    <cellStyle name="Remarque 2 4 5 5 9 2" xfId="26537" xr:uid="{00000000-0005-0000-0000-000019680000}"/>
    <cellStyle name="Remarque 2 4 5 5 9 3" xfId="50497" xr:uid="{00000000-0005-0000-0000-00001A680000}"/>
    <cellStyle name="Remarque 2 4 5 6" xfId="1254" xr:uid="{00000000-0005-0000-0000-00001B680000}"/>
    <cellStyle name="Remarque 2 4 5 6 10" xfId="25286" xr:uid="{00000000-0005-0000-0000-00001C680000}"/>
    <cellStyle name="Remarque 2 4 5 6 10 2" xfId="49246" xr:uid="{00000000-0005-0000-0000-00001D680000}"/>
    <cellStyle name="Remarque 2 4 5 6 11" xfId="36322" xr:uid="{00000000-0005-0000-0000-00001E680000}"/>
    <cellStyle name="Remarque 2 4 5 6 11 2" xfId="60282" xr:uid="{00000000-0005-0000-0000-00001F680000}"/>
    <cellStyle name="Remarque 2 4 5 6 12" xfId="13951" xr:uid="{00000000-0005-0000-0000-000020680000}"/>
    <cellStyle name="Remarque 2 4 5 6 13" xfId="37911" xr:uid="{00000000-0005-0000-0000-000021680000}"/>
    <cellStyle name="Remarque 2 4 5 6 2" xfId="4160" xr:uid="{00000000-0005-0000-0000-000022680000}"/>
    <cellStyle name="Remarque 2 4 5 6 2 2" xfId="28174" xr:uid="{00000000-0005-0000-0000-000023680000}"/>
    <cellStyle name="Remarque 2 4 5 6 2 2 2" xfId="52134" xr:uid="{00000000-0005-0000-0000-000024680000}"/>
    <cellStyle name="Remarque 2 4 5 6 2 3" xfId="15421" xr:uid="{00000000-0005-0000-0000-000025680000}"/>
    <cellStyle name="Remarque 2 4 5 6 2 4" xfId="39381" xr:uid="{00000000-0005-0000-0000-000026680000}"/>
    <cellStyle name="Remarque 2 4 5 6 3" xfId="5594" xr:uid="{00000000-0005-0000-0000-000027680000}"/>
    <cellStyle name="Remarque 2 4 5 6 3 2" xfId="29608" xr:uid="{00000000-0005-0000-0000-000028680000}"/>
    <cellStyle name="Remarque 2 4 5 6 3 2 2" xfId="53568" xr:uid="{00000000-0005-0000-0000-000029680000}"/>
    <cellStyle name="Remarque 2 4 5 6 3 3" xfId="16855" xr:uid="{00000000-0005-0000-0000-00002A680000}"/>
    <cellStyle name="Remarque 2 4 5 6 3 4" xfId="40815" xr:uid="{00000000-0005-0000-0000-00002B680000}"/>
    <cellStyle name="Remarque 2 4 5 6 4" xfId="6988" xr:uid="{00000000-0005-0000-0000-00002C680000}"/>
    <cellStyle name="Remarque 2 4 5 6 4 2" xfId="31002" xr:uid="{00000000-0005-0000-0000-00002D680000}"/>
    <cellStyle name="Remarque 2 4 5 6 4 2 2" xfId="54962" xr:uid="{00000000-0005-0000-0000-00002E680000}"/>
    <cellStyle name="Remarque 2 4 5 6 4 3" xfId="18249" xr:uid="{00000000-0005-0000-0000-00002F680000}"/>
    <cellStyle name="Remarque 2 4 5 6 4 4" xfId="42209" xr:uid="{00000000-0005-0000-0000-000030680000}"/>
    <cellStyle name="Remarque 2 4 5 6 5" xfId="8376" xr:uid="{00000000-0005-0000-0000-000031680000}"/>
    <cellStyle name="Remarque 2 4 5 6 5 2" xfId="32390" xr:uid="{00000000-0005-0000-0000-000032680000}"/>
    <cellStyle name="Remarque 2 4 5 6 5 2 2" xfId="56350" xr:uid="{00000000-0005-0000-0000-000033680000}"/>
    <cellStyle name="Remarque 2 4 5 6 5 3" xfId="19637" xr:uid="{00000000-0005-0000-0000-000034680000}"/>
    <cellStyle name="Remarque 2 4 5 6 5 4" xfId="43597" xr:uid="{00000000-0005-0000-0000-000035680000}"/>
    <cellStyle name="Remarque 2 4 5 6 6" xfId="9761" xr:uid="{00000000-0005-0000-0000-000036680000}"/>
    <cellStyle name="Remarque 2 4 5 6 6 2" xfId="33775" xr:uid="{00000000-0005-0000-0000-000037680000}"/>
    <cellStyle name="Remarque 2 4 5 6 6 2 2" xfId="57735" xr:uid="{00000000-0005-0000-0000-000038680000}"/>
    <cellStyle name="Remarque 2 4 5 6 6 3" xfId="21022" xr:uid="{00000000-0005-0000-0000-000039680000}"/>
    <cellStyle name="Remarque 2 4 5 6 6 4" xfId="44982" xr:uid="{00000000-0005-0000-0000-00003A680000}"/>
    <cellStyle name="Remarque 2 4 5 6 7" xfId="11218" xr:uid="{00000000-0005-0000-0000-00003B680000}"/>
    <cellStyle name="Remarque 2 4 5 6 7 2" xfId="35228" xr:uid="{00000000-0005-0000-0000-00003C680000}"/>
    <cellStyle name="Remarque 2 4 5 6 7 2 2" xfId="59188" xr:uid="{00000000-0005-0000-0000-00003D680000}"/>
    <cellStyle name="Remarque 2 4 5 6 7 3" xfId="22485" xr:uid="{00000000-0005-0000-0000-00003E680000}"/>
    <cellStyle name="Remarque 2 4 5 6 7 4" xfId="46445" xr:uid="{00000000-0005-0000-0000-00003F680000}"/>
    <cellStyle name="Remarque 2 4 5 6 8" xfId="12864" xr:uid="{00000000-0005-0000-0000-000040680000}"/>
    <cellStyle name="Remarque 2 4 5 6 8 2" xfId="24176" xr:uid="{00000000-0005-0000-0000-000041680000}"/>
    <cellStyle name="Remarque 2 4 5 6 8 3" xfId="48136" xr:uid="{00000000-0005-0000-0000-000042680000}"/>
    <cellStyle name="Remarque 2 4 5 6 9" xfId="2690" xr:uid="{00000000-0005-0000-0000-000043680000}"/>
    <cellStyle name="Remarque 2 4 5 6 9 2" xfId="26704" xr:uid="{00000000-0005-0000-0000-000044680000}"/>
    <cellStyle name="Remarque 2 4 5 6 9 3" xfId="50664" xr:uid="{00000000-0005-0000-0000-000045680000}"/>
    <cellStyle name="Remarque 2 4 5 7" xfId="1423" xr:uid="{00000000-0005-0000-0000-000046680000}"/>
    <cellStyle name="Remarque 2 4 5 7 10" xfId="25455" xr:uid="{00000000-0005-0000-0000-000047680000}"/>
    <cellStyle name="Remarque 2 4 5 7 10 2" xfId="49415" xr:uid="{00000000-0005-0000-0000-000048680000}"/>
    <cellStyle name="Remarque 2 4 5 7 11" xfId="35947" xr:uid="{00000000-0005-0000-0000-000049680000}"/>
    <cellStyle name="Remarque 2 4 5 7 11 2" xfId="59907" xr:uid="{00000000-0005-0000-0000-00004A680000}"/>
    <cellStyle name="Remarque 2 4 5 7 12" xfId="14120" xr:uid="{00000000-0005-0000-0000-00004B680000}"/>
    <cellStyle name="Remarque 2 4 5 7 13" xfId="38080" xr:uid="{00000000-0005-0000-0000-00004C680000}"/>
    <cellStyle name="Remarque 2 4 5 7 2" xfId="4329" xr:uid="{00000000-0005-0000-0000-00004D680000}"/>
    <cellStyle name="Remarque 2 4 5 7 2 2" xfId="28343" xr:uid="{00000000-0005-0000-0000-00004E680000}"/>
    <cellStyle name="Remarque 2 4 5 7 2 2 2" xfId="52303" xr:uid="{00000000-0005-0000-0000-00004F680000}"/>
    <cellStyle name="Remarque 2 4 5 7 2 3" xfId="15590" xr:uid="{00000000-0005-0000-0000-000050680000}"/>
    <cellStyle name="Remarque 2 4 5 7 2 4" xfId="39550" xr:uid="{00000000-0005-0000-0000-000051680000}"/>
    <cellStyle name="Remarque 2 4 5 7 3" xfId="5763" xr:uid="{00000000-0005-0000-0000-000052680000}"/>
    <cellStyle name="Remarque 2 4 5 7 3 2" xfId="29777" xr:uid="{00000000-0005-0000-0000-000053680000}"/>
    <cellStyle name="Remarque 2 4 5 7 3 2 2" xfId="53737" xr:uid="{00000000-0005-0000-0000-000054680000}"/>
    <cellStyle name="Remarque 2 4 5 7 3 3" xfId="17024" xr:uid="{00000000-0005-0000-0000-000055680000}"/>
    <cellStyle name="Remarque 2 4 5 7 3 4" xfId="40984" xr:uid="{00000000-0005-0000-0000-000056680000}"/>
    <cellStyle name="Remarque 2 4 5 7 4" xfId="7157" xr:uid="{00000000-0005-0000-0000-000057680000}"/>
    <cellStyle name="Remarque 2 4 5 7 4 2" xfId="31171" xr:uid="{00000000-0005-0000-0000-000058680000}"/>
    <cellStyle name="Remarque 2 4 5 7 4 2 2" xfId="55131" xr:uid="{00000000-0005-0000-0000-000059680000}"/>
    <cellStyle name="Remarque 2 4 5 7 4 3" xfId="18418" xr:uid="{00000000-0005-0000-0000-00005A680000}"/>
    <cellStyle name="Remarque 2 4 5 7 4 4" xfId="42378" xr:uid="{00000000-0005-0000-0000-00005B680000}"/>
    <cellStyle name="Remarque 2 4 5 7 5" xfId="8545" xr:uid="{00000000-0005-0000-0000-00005C680000}"/>
    <cellStyle name="Remarque 2 4 5 7 5 2" xfId="32559" xr:uid="{00000000-0005-0000-0000-00005D680000}"/>
    <cellStyle name="Remarque 2 4 5 7 5 2 2" xfId="56519" xr:uid="{00000000-0005-0000-0000-00005E680000}"/>
    <cellStyle name="Remarque 2 4 5 7 5 3" xfId="19806" xr:uid="{00000000-0005-0000-0000-00005F680000}"/>
    <cellStyle name="Remarque 2 4 5 7 5 4" xfId="43766" xr:uid="{00000000-0005-0000-0000-000060680000}"/>
    <cellStyle name="Remarque 2 4 5 7 6" xfId="9930" xr:uid="{00000000-0005-0000-0000-000061680000}"/>
    <cellStyle name="Remarque 2 4 5 7 6 2" xfId="33944" xr:uid="{00000000-0005-0000-0000-000062680000}"/>
    <cellStyle name="Remarque 2 4 5 7 6 2 2" xfId="57904" xr:uid="{00000000-0005-0000-0000-000063680000}"/>
    <cellStyle name="Remarque 2 4 5 7 6 3" xfId="21191" xr:uid="{00000000-0005-0000-0000-000064680000}"/>
    <cellStyle name="Remarque 2 4 5 7 6 4" xfId="45151" xr:uid="{00000000-0005-0000-0000-000065680000}"/>
    <cellStyle name="Remarque 2 4 5 7 7" xfId="11387" xr:uid="{00000000-0005-0000-0000-000066680000}"/>
    <cellStyle name="Remarque 2 4 5 7 7 2" xfId="35397" xr:uid="{00000000-0005-0000-0000-000067680000}"/>
    <cellStyle name="Remarque 2 4 5 7 7 2 2" xfId="59357" xr:uid="{00000000-0005-0000-0000-000068680000}"/>
    <cellStyle name="Remarque 2 4 5 7 7 3" xfId="22654" xr:uid="{00000000-0005-0000-0000-000069680000}"/>
    <cellStyle name="Remarque 2 4 5 7 7 4" xfId="46614" xr:uid="{00000000-0005-0000-0000-00006A680000}"/>
    <cellStyle name="Remarque 2 4 5 7 8" xfId="12729" xr:uid="{00000000-0005-0000-0000-00006B680000}"/>
    <cellStyle name="Remarque 2 4 5 7 8 2" xfId="24035" xr:uid="{00000000-0005-0000-0000-00006C680000}"/>
    <cellStyle name="Remarque 2 4 5 7 8 3" xfId="47995" xr:uid="{00000000-0005-0000-0000-00006D680000}"/>
    <cellStyle name="Remarque 2 4 5 7 9" xfId="2859" xr:uid="{00000000-0005-0000-0000-00006E680000}"/>
    <cellStyle name="Remarque 2 4 5 7 9 2" xfId="26873" xr:uid="{00000000-0005-0000-0000-00006F680000}"/>
    <cellStyle name="Remarque 2 4 5 7 9 3" xfId="50833" xr:uid="{00000000-0005-0000-0000-000070680000}"/>
    <cellStyle name="Remarque 2 4 5 8" xfId="3278" xr:uid="{00000000-0005-0000-0000-000071680000}"/>
    <cellStyle name="Remarque 2 4 5 8 2" xfId="27292" xr:uid="{00000000-0005-0000-0000-000072680000}"/>
    <cellStyle name="Remarque 2 4 5 8 2 2" xfId="51252" xr:uid="{00000000-0005-0000-0000-000073680000}"/>
    <cellStyle name="Remarque 2 4 5 8 3" xfId="14539" xr:uid="{00000000-0005-0000-0000-000074680000}"/>
    <cellStyle name="Remarque 2 4 5 8 4" xfId="38499" xr:uid="{00000000-0005-0000-0000-000075680000}"/>
    <cellStyle name="Remarque 2 4 5 9" xfId="4712" xr:uid="{00000000-0005-0000-0000-000076680000}"/>
    <cellStyle name="Remarque 2 4 5 9 2" xfId="28726" xr:uid="{00000000-0005-0000-0000-000077680000}"/>
    <cellStyle name="Remarque 2 4 5 9 2 2" xfId="52686" xr:uid="{00000000-0005-0000-0000-000078680000}"/>
    <cellStyle name="Remarque 2 4 5 9 3" xfId="15973" xr:uid="{00000000-0005-0000-0000-000079680000}"/>
    <cellStyle name="Remarque 2 4 5 9 4" xfId="39933" xr:uid="{00000000-0005-0000-0000-00007A680000}"/>
    <cellStyle name="Remarque 2 4 6" xfId="329" xr:uid="{00000000-0005-0000-0000-00007B680000}"/>
    <cellStyle name="Remarque 2 4 6 10" xfId="24361" xr:uid="{00000000-0005-0000-0000-00007C680000}"/>
    <cellStyle name="Remarque 2 4 6 10 2" xfId="48321" xr:uid="{00000000-0005-0000-0000-00007D680000}"/>
    <cellStyle name="Remarque 2 4 6 11" xfId="35691" xr:uid="{00000000-0005-0000-0000-00007E680000}"/>
    <cellStyle name="Remarque 2 4 6 11 2" xfId="59651" xr:uid="{00000000-0005-0000-0000-00007F680000}"/>
    <cellStyle name="Remarque 2 4 6 12" xfId="13026" xr:uid="{00000000-0005-0000-0000-000080680000}"/>
    <cellStyle name="Remarque 2 4 6 13" xfId="36986" xr:uid="{00000000-0005-0000-0000-000081680000}"/>
    <cellStyle name="Remarque 2 4 6 2" xfId="3235" xr:uid="{00000000-0005-0000-0000-000082680000}"/>
    <cellStyle name="Remarque 2 4 6 2 2" xfId="27249" xr:uid="{00000000-0005-0000-0000-000083680000}"/>
    <cellStyle name="Remarque 2 4 6 2 2 2" xfId="51209" xr:uid="{00000000-0005-0000-0000-000084680000}"/>
    <cellStyle name="Remarque 2 4 6 2 3" xfId="14496" xr:uid="{00000000-0005-0000-0000-000085680000}"/>
    <cellStyle name="Remarque 2 4 6 2 4" xfId="38456" xr:uid="{00000000-0005-0000-0000-000086680000}"/>
    <cellStyle name="Remarque 2 4 6 3" xfId="4669" xr:uid="{00000000-0005-0000-0000-000087680000}"/>
    <cellStyle name="Remarque 2 4 6 3 2" xfId="28683" xr:uid="{00000000-0005-0000-0000-000088680000}"/>
    <cellStyle name="Remarque 2 4 6 3 2 2" xfId="52643" xr:uid="{00000000-0005-0000-0000-000089680000}"/>
    <cellStyle name="Remarque 2 4 6 3 3" xfId="15930" xr:uid="{00000000-0005-0000-0000-00008A680000}"/>
    <cellStyle name="Remarque 2 4 6 3 4" xfId="39890" xr:uid="{00000000-0005-0000-0000-00008B680000}"/>
    <cellStyle name="Remarque 2 4 6 4" xfId="6063" xr:uid="{00000000-0005-0000-0000-00008C680000}"/>
    <cellStyle name="Remarque 2 4 6 4 2" xfId="30077" xr:uid="{00000000-0005-0000-0000-00008D680000}"/>
    <cellStyle name="Remarque 2 4 6 4 2 2" xfId="54037" xr:uid="{00000000-0005-0000-0000-00008E680000}"/>
    <cellStyle name="Remarque 2 4 6 4 3" xfId="17324" xr:uid="{00000000-0005-0000-0000-00008F680000}"/>
    <cellStyle name="Remarque 2 4 6 4 4" xfId="41284" xr:uid="{00000000-0005-0000-0000-000090680000}"/>
    <cellStyle name="Remarque 2 4 6 5" xfId="7451" xr:uid="{00000000-0005-0000-0000-000091680000}"/>
    <cellStyle name="Remarque 2 4 6 5 2" xfId="31465" xr:uid="{00000000-0005-0000-0000-000092680000}"/>
    <cellStyle name="Remarque 2 4 6 5 2 2" xfId="55425" xr:uid="{00000000-0005-0000-0000-000093680000}"/>
    <cellStyle name="Remarque 2 4 6 5 3" xfId="18712" xr:uid="{00000000-0005-0000-0000-000094680000}"/>
    <cellStyle name="Remarque 2 4 6 5 4" xfId="42672" xr:uid="{00000000-0005-0000-0000-000095680000}"/>
    <cellStyle name="Remarque 2 4 6 6" xfId="8836" xr:uid="{00000000-0005-0000-0000-000096680000}"/>
    <cellStyle name="Remarque 2 4 6 6 2" xfId="32850" xr:uid="{00000000-0005-0000-0000-000097680000}"/>
    <cellStyle name="Remarque 2 4 6 6 2 2" xfId="56810" xr:uid="{00000000-0005-0000-0000-000098680000}"/>
    <cellStyle name="Remarque 2 4 6 6 3" xfId="20097" xr:uid="{00000000-0005-0000-0000-000099680000}"/>
    <cellStyle name="Remarque 2 4 6 6 4" xfId="44057" xr:uid="{00000000-0005-0000-0000-00009A680000}"/>
    <cellStyle name="Remarque 2 4 6 7" xfId="10293" xr:uid="{00000000-0005-0000-0000-00009B680000}"/>
    <cellStyle name="Remarque 2 4 6 7 2" xfId="34303" xr:uid="{00000000-0005-0000-0000-00009C680000}"/>
    <cellStyle name="Remarque 2 4 6 7 2 2" xfId="58263" xr:uid="{00000000-0005-0000-0000-00009D680000}"/>
    <cellStyle name="Remarque 2 4 6 7 3" xfId="21560" xr:uid="{00000000-0005-0000-0000-00009E680000}"/>
    <cellStyle name="Remarque 2 4 6 7 4" xfId="45520" xr:uid="{00000000-0005-0000-0000-00009F680000}"/>
    <cellStyle name="Remarque 2 4 6 8" xfId="5976" xr:uid="{00000000-0005-0000-0000-0000A0680000}"/>
    <cellStyle name="Remarque 2 4 6 8 2" xfId="17237" xr:uid="{00000000-0005-0000-0000-0000A1680000}"/>
    <cellStyle name="Remarque 2 4 6 8 3" xfId="41197" xr:uid="{00000000-0005-0000-0000-0000A2680000}"/>
    <cellStyle name="Remarque 2 4 6 9" xfId="1765" xr:uid="{00000000-0005-0000-0000-0000A3680000}"/>
    <cellStyle name="Remarque 2 4 6 9 2" xfId="25779" xr:uid="{00000000-0005-0000-0000-0000A4680000}"/>
    <cellStyle name="Remarque 2 4 6 9 3" xfId="49739" xr:uid="{00000000-0005-0000-0000-0000A5680000}"/>
    <cellStyle name="Remarque 2 4 7" xfId="626" xr:uid="{00000000-0005-0000-0000-0000A6680000}"/>
    <cellStyle name="Remarque 2 4 7 10" xfId="24658" xr:uid="{00000000-0005-0000-0000-0000A7680000}"/>
    <cellStyle name="Remarque 2 4 7 10 2" xfId="48618" xr:uid="{00000000-0005-0000-0000-0000A8680000}"/>
    <cellStyle name="Remarque 2 4 7 11" xfId="36436" xr:uid="{00000000-0005-0000-0000-0000A9680000}"/>
    <cellStyle name="Remarque 2 4 7 11 2" xfId="60396" xr:uid="{00000000-0005-0000-0000-0000AA680000}"/>
    <cellStyle name="Remarque 2 4 7 12" xfId="13323" xr:uid="{00000000-0005-0000-0000-0000AB680000}"/>
    <cellStyle name="Remarque 2 4 7 13" xfId="37283" xr:uid="{00000000-0005-0000-0000-0000AC680000}"/>
    <cellStyle name="Remarque 2 4 7 2" xfId="3532" xr:uid="{00000000-0005-0000-0000-0000AD680000}"/>
    <cellStyle name="Remarque 2 4 7 2 2" xfId="27546" xr:uid="{00000000-0005-0000-0000-0000AE680000}"/>
    <cellStyle name="Remarque 2 4 7 2 2 2" xfId="51506" xr:uid="{00000000-0005-0000-0000-0000AF680000}"/>
    <cellStyle name="Remarque 2 4 7 2 3" xfId="14793" xr:uid="{00000000-0005-0000-0000-0000B0680000}"/>
    <cellStyle name="Remarque 2 4 7 2 4" xfId="38753" xr:uid="{00000000-0005-0000-0000-0000B1680000}"/>
    <cellStyle name="Remarque 2 4 7 3" xfId="4966" xr:uid="{00000000-0005-0000-0000-0000B2680000}"/>
    <cellStyle name="Remarque 2 4 7 3 2" xfId="28980" xr:uid="{00000000-0005-0000-0000-0000B3680000}"/>
    <cellStyle name="Remarque 2 4 7 3 2 2" xfId="52940" xr:uid="{00000000-0005-0000-0000-0000B4680000}"/>
    <cellStyle name="Remarque 2 4 7 3 3" xfId="16227" xr:uid="{00000000-0005-0000-0000-0000B5680000}"/>
    <cellStyle name="Remarque 2 4 7 3 4" xfId="40187" xr:uid="{00000000-0005-0000-0000-0000B6680000}"/>
    <cellStyle name="Remarque 2 4 7 4" xfId="6360" xr:uid="{00000000-0005-0000-0000-0000B7680000}"/>
    <cellStyle name="Remarque 2 4 7 4 2" xfId="30374" xr:uid="{00000000-0005-0000-0000-0000B8680000}"/>
    <cellStyle name="Remarque 2 4 7 4 2 2" xfId="54334" xr:uid="{00000000-0005-0000-0000-0000B9680000}"/>
    <cellStyle name="Remarque 2 4 7 4 3" xfId="17621" xr:uid="{00000000-0005-0000-0000-0000BA680000}"/>
    <cellStyle name="Remarque 2 4 7 4 4" xfId="41581" xr:uid="{00000000-0005-0000-0000-0000BB680000}"/>
    <cellStyle name="Remarque 2 4 7 5" xfId="7748" xr:uid="{00000000-0005-0000-0000-0000BC680000}"/>
    <cellStyle name="Remarque 2 4 7 5 2" xfId="31762" xr:uid="{00000000-0005-0000-0000-0000BD680000}"/>
    <cellStyle name="Remarque 2 4 7 5 2 2" xfId="55722" xr:uid="{00000000-0005-0000-0000-0000BE680000}"/>
    <cellStyle name="Remarque 2 4 7 5 3" xfId="19009" xr:uid="{00000000-0005-0000-0000-0000BF680000}"/>
    <cellStyle name="Remarque 2 4 7 5 4" xfId="42969" xr:uid="{00000000-0005-0000-0000-0000C0680000}"/>
    <cellStyle name="Remarque 2 4 7 6" xfId="9133" xr:uid="{00000000-0005-0000-0000-0000C1680000}"/>
    <cellStyle name="Remarque 2 4 7 6 2" xfId="33147" xr:uid="{00000000-0005-0000-0000-0000C2680000}"/>
    <cellStyle name="Remarque 2 4 7 6 2 2" xfId="57107" xr:uid="{00000000-0005-0000-0000-0000C3680000}"/>
    <cellStyle name="Remarque 2 4 7 6 3" xfId="20394" xr:uid="{00000000-0005-0000-0000-0000C4680000}"/>
    <cellStyle name="Remarque 2 4 7 6 4" xfId="44354" xr:uid="{00000000-0005-0000-0000-0000C5680000}"/>
    <cellStyle name="Remarque 2 4 7 7" xfId="10590" xr:uid="{00000000-0005-0000-0000-0000C6680000}"/>
    <cellStyle name="Remarque 2 4 7 7 2" xfId="34600" xr:uid="{00000000-0005-0000-0000-0000C7680000}"/>
    <cellStyle name="Remarque 2 4 7 7 2 2" xfId="58560" xr:uid="{00000000-0005-0000-0000-0000C8680000}"/>
    <cellStyle name="Remarque 2 4 7 7 3" xfId="21857" xr:uid="{00000000-0005-0000-0000-0000C9680000}"/>
    <cellStyle name="Remarque 2 4 7 7 4" xfId="45817" xr:uid="{00000000-0005-0000-0000-0000CA680000}"/>
    <cellStyle name="Remarque 2 4 7 8" xfId="11741" xr:uid="{00000000-0005-0000-0000-0000CB680000}"/>
    <cellStyle name="Remarque 2 4 7 8 2" xfId="23012" xr:uid="{00000000-0005-0000-0000-0000CC680000}"/>
    <cellStyle name="Remarque 2 4 7 8 3" xfId="46972" xr:uid="{00000000-0005-0000-0000-0000CD680000}"/>
    <cellStyle name="Remarque 2 4 7 9" xfId="2062" xr:uid="{00000000-0005-0000-0000-0000CE680000}"/>
    <cellStyle name="Remarque 2 4 7 9 2" xfId="26076" xr:uid="{00000000-0005-0000-0000-0000CF680000}"/>
    <cellStyle name="Remarque 2 4 7 9 3" xfId="50036" xr:uid="{00000000-0005-0000-0000-0000D0680000}"/>
    <cellStyle name="Remarque 2 4 8" xfId="820" xr:uid="{00000000-0005-0000-0000-0000D1680000}"/>
    <cellStyle name="Remarque 2 4 8 10" xfId="24852" xr:uid="{00000000-0005-0000-0000-0000D2680000}"/>
    <cellStyle name="Remarque 2 4 8 10 2" xfId="48812" xr:uid="{00000000-0005-0000-0000-0000D3680000}"/>
    <cellStyle name="Remarque 2 4 8 11" xfId="36139" xr:uid="{00000000-0005-0000-0000-0000D4680000}"/>
    <cellStyle name="Remarque 2 4 8 11 2" xfId="60099" xr:uid="{00000000-0005-0000-0000-0000D5680000}"/>
    <cellStyle name="Remarque 2 4 8 12" xfId="13517" xr:uid="{00000000-0005-0000-0000-0000D6680000}"/>
    <cellStyle name="Remarque 2 4 8 13" xfId="37477" xr:uid="{00000000-0005-0000-0000-0000D7680000}"/>
    <cellStyle name="Remarque 2 4 8 2" xfId="3726" xr:uid="{00000000-0005-0000-0000-0000D8680000}"/>
    <cellStyle name="Remarque 2 4 8 2 2" xfId="27740" xr:uid="{00000000-0005-0000-0000-0000D9680000}"/>
    <cellStyle name="Remarque 2 4 8 2 2 2" xfId="51700" xr:uid="{00000000-0005-0000-0000-0000DA680000}"/>
    <cellStyle name="Remarque 2 4 8 2 3" xfId="14987" xr:uid="{00000000-0005-0000-0000-0000DB680000}"/>
    <cellStyle name="Remarque 2 4 8 2 4" xfId="38947" xr:uid="{00000000-0005-0000-0000-0000DC680000}"/>
    <cellStyle name="Remarque 2 4 8 3" xfId="5160" xr:uid="{00000000-0005-0000-0000-0000DD680000}"/>
    <cellStyle name="Remarque 2 4 8 3 2" xfId="29174" xr:uid="{00000000-0005-0000-0000-0000DE680000}"/>
    <cellStyle name="Remarque 2 4 8 3 2 2" xfId="53134" xr:uid="{00000000-0005-0000-0000-0000DF680000}"/>
    <cellStyle name="Remarque 2 4 8 3 3" xfId="16421" xr:uid="{00000000-0005-0000-0000-0000E0680000}"/>
    <cellStyle name="Remarque 2 4 8 3 4" xfId="40381" xr:uid="{00000000-0005-0000-0000-0000E1680000}"/>
    <cellStyle name="Remarque 2 4 8 4" xfId="6554" xr:uid="{00000000-0005-0000-0000-0000E2680000}"/>
    <cellStyle name="Remarque 2 4 8 4 2" xfId="30568" xr:uid="{00000000-0005-0000-0000-0000E3680000}"/>
    <cellStyle name="Remarque 2 4 8 4 2 2" xfId="54528" xr:uid="{00000000-0005-0000-0000-0000E4680000}"/>
    <cellStyle name="Remarque 2 4 8 4 3" xfId="17815" xr:uid="{00000000-0005-0000-0000-0000E5680000}"/>
    <cellStyle name="Remarque 2 4 8 4 4" xfId="41775" xr:uid="{00000000-0005-0000-0000-0000E6680000}"/>
    <cellStyle name="Remarque 2 4 8 5" xfId="7942" xr:uid="{00000000-0005-0000-0000-0000E7680000}"/>
    <cellStyle name="Remarque 2 4 8 5 2" xfId="31956" xr:uid="{00000000-0005-0000-0000-0000E8680000}"/>
    <cellStyle name="Remarque 2 4 8 5 2 2" xfId="55916" xr:uid="{00000000-0005-0000-0000-0000E9680000}"/>
    <cellStyle name="Remarque 2 4 8 5 3" xfId="19203" xr:uid="{00000000-0005-0000-0000-0000EA680000}"/>
    <cellStyle name="Remarque 2 4 8 5 4" xfId="43163" xr:uid="{00000000-0005-0000-0000-0000EB680000}"/>
    <cellStyle name="Remarque 2 4 8 6" xfId="9327" xr:uid="{00000000-0005-0000-0000-0000EC680000}"/>
    <cellStyle name="Remarque 2 4 8 6 2" xfId="33341" xr:uid="{00000000-0005-0000-0000-0000ED680000}"/>
    <cellStyle name="Remarque 2 4 8 6 2 2" xfId="57301" xr:uid="{00000000-0005-0000-0000-0000EE680000}"/>
    <cellStyle name="Remarque 2 4 8 6 3" xfId="20588" xr:uid="{00000000-0005-0000-0000-0000EF680000}"/>
    <cellStyle name="Remarque 2 4 8 6 4" xfId="44548" xr:uid="{00000000-0005-0000-0000-0000F0680000}"/>
    <cellStyle name="Remarque 2 4 8 7" xfId="10784" xr:uid="{00000000-0005-0000-0000-0000F1680000}"/>
    <cellStyle name="Remarque 2 4 8 7 2" xfId="34794" xr:uid="{00000000-0005-0000-0000-0000F2680000}"/>
    <cellStyle name="Remarque 2 4 8 7 2 2" xfId="58754" xr:uid="{00000000-0005-0000-0000-0000F3680000}"/>
    <cellStyle name="Remarque 2 4 8 7 3" xfId="22051" xr:uid="{00000000-0005-0000-0000-0000F4680000}"/>
    <cellStyle name="Remarque 2 4 8 7 4" xfId="46011" xr:uid="{00000000-0005-0000-0000-0000F5680000}"/>
    <cellStyle name="Remarque 2 4 8 8" xfId="12585" xr:uid="{00000000-0005-0000-0000-0000F6680000}"/>
    <cellStyle name="Remarque 2 4 8 8 2" xfId="23886" xr:uid="{00000000-0005-0000-0000-0000F7680000}"/>
    <cellStyle name="Remarque 2 4 8 8 3" xfId="47846" xr:uid="{00000000-0005-0000-0000-0000F8680000}"/>
    <cellStyle name="Remarque 2 4 8 9" xfId="2256" xr:uid="{00000000-0005-0000-0000-0000F9680000}"/>
    <cellStyle name="Remarque 2 4 8 9 2" xfId="26270" xr:uid="{00000000-0005-0000-0000-0000FA680000}"/>
    <cellStyle name="Remarque 2 4 8 9 3" xfId="50230" xr:uid="{00000000-0005-0000-0000-0000FB680000}"/>
    <cellStyle name="Remarque 2 4 9" xfId="1013" xr:uid="{00000000-0005-0000-0000-0000FC680000}"/>
    <cellStyle name="Remarque 2 4 9 10" xfId="25045" xr:uid="{00000000-0005-0000-0000-0000FD680000}"/>
    <cellStyle name="Remarque 2 4 9 10 2" xfId="49005" xr:uid="{00000000-0005-0000-0000-0000FE680000}"/>
    <cellStyle name="Remarque 2 4 9 11" xfId="36354" xr:uid="{00000000-0005-0000-0000-0000FF680000}"/>
    <cellStyle name="Remarque 2 4 9 11 2" xfId="60314" xr:uid="{00000000-0005-0000-0000-000000690000}"/>
    <cellStyle name="Remarque 2 4 9 12" xfId="13710" xr:uid="{00000000-0005-0000-0000-000001690000}"/>
    <cellStyle name="Remarque 2 4 9 13" xfId="37670" xr:uid="{00000000-0005-0000-0000-000002690000}"/>
    <cellStyle name="Remarque 2 4 9 2" xfId="3919" xr:uid="{00000000-0005-0000-0000-000003690000}"/>
    <cellStyle name="Remarque 2 4 9 2 2" xfId="27933" xr:uid="{00000000-0005-0000-0000-000004690000}"/>
    <cellStyle name="Remarque 2 4 9 2 2 2" xfId="51893" xr:uid="{00000000-0005-0000-0000-000005690000}"/>
    <cellStyle name="Remarque 2 4 9 2 3" xfId="15180" xr:uid="{00000000-0005-0000-0000-000006690000}"/>
    <cellStyle name="Remarque 2 4 9 2 4" xfId="39140" xr:uid="{00000000-0005-0000-0000-000007690000}"/>
    <cellStyle name="Remarque 2 4 9 3" xfId="5353" xr:uid="{00000000-0005-0000-0000-000008690000}"/>
    <cellStyle name="Remarque 2 4 9 3 2" xfId="29367" xr:uid="{00000000-0005-0000-0000-000009690000}"/>
    <cellStyle name="Remarque 2 4 9 3 2 2" xfId="53327" xr:uid="{00000000-0005-0000-0000-00000A690000}"/>
    <cellStyle name="Remarque 2 4 9 3 3" xfId="16614" xr:uid="{00000000-0005-0000-0000-00000B690000}"/>
    <cellStyle name="Remarque 2 4 9 3 4" xfId="40574" xr:uid="{00000000-0005-0000-0000-00000C690000}"/>
    <cellStyle name="Remarque 2 4 9 4" xfId="6747" xr:uid="{00000000-0005-0000-0000-00000D690000}"/>
    <cellStyle name="Remarque 2 4 9 4 2" xfId="30761" xr:uid="{00000000-0005-0000-0000-00000E690000}"/>
    <cellStyle name="Remarque 2 4 9 4 2 2" xfId="54721" xr:uid="{00000000-0005-0000-0000-00000F690000}"/>
    <cellStyle name="Remarque 2 4 9 4 3" xfId="18008" xr:uid="{00000000-0005-0000-0000-000010690000}"/>
    <cellStyle name="Remarque 2 4 9 4 4" xfId="41968" xr:uid="{00000000-0005-0000-0000-000011690000}"/>
    <cellStyle name="Remarque 2 4 9 5" xfId="8135" xr:uid="{00000000-0005-0000-0000-000012690000}"/>
    <cellStyle name="Remarque 2 4 9 5 2" xfId="32149" xr:uid="{00000000-0005-0000-0000-000013690000}"/>
    <cellStyle name="Remarque 2 4 9 5 2 2" xfId="56109" xr:uid="{00000000-0005-0000-0000-000014690000}"/>
    <cellStyle name="Remarque 2 4 9 5 3" xfId="19396" xr:uid="{00000000-0005-0000-0000-000015690000}"/>
    <cellStyle name="Remarque 2 4 9 5 4" xfId="43356" xr:uid="{00000000-0005-0000-0000-000016690000}"/>
    <cellStyle name="Remarque 2 4 9 6" xfId="9520" xr:uid="{00000000-0005-0000-0000-000017690000}"/>
    <cellStyle name="Remarque 2 4 9 6 2" xfId="33534" xr:uid="{00000000-0005-0000-0000-000018690000}"/>
    <cellStyle name="Remarque 2 4 9 6 2 2" xfId="57494" xr:uid="{00000000-0005-0000-0000-000019690000}"/>
    <cellStyle name="Remarque 2 4 9 6 3" xfId="20781" xr:uid="{00000000-0005-0000-0000-00001A690000}"/>
    <cellStyle name="Remarque 2 4 9 6 4" xfId="44741" xr:uid="{00000000-0005-0000-0000-00001B690000}"/>
    <cellStyle name="Remarque 2 4 9 7" xfId="10977" xr:uid="{00000000-0005-0000-0000-00001C690000}"/>
    <cellStyle name="Remarque 2 4 9 7 2" xfId="34987" xr:uid="{00000000-0005-0000-0000-00001D690000}"/>
    <cellStyle name="Remarque 2 4 9 7 2 2" xfId="58947" xr:uid="{00000000-0005-0000-0000-00001E690000}"/>
    <cellStyle name="Remarque 2 4 9 7 3" xfId="22244" xr:uid="{00000000-0005-0000-0000-00001F690000}"/>
    <cellStyle name="Remarque 2 4 9 7 4" xfId="46204" xr:uid="{00000000-0005-0000-0000-000020690000}"/>
    <cellStyle name="Remarque 2 4 9 8" xfId="12866" xr:uid="{00000000-0005-0000-0000-000021690000}"/>
    <cellStyle name="Remarque 2 4 9 8 2" xfId="24178" xr:uid="{00000000-0005-0000-0000-000022690000}"/>
    <cellStyle name="Remarque 2 4 9 8 3" xfId="48138" xr:uid="{00000000-0005-0000-0000-000023690000}"/>
    <cellStyle name="Remarque 2 4 9 9" xfId="2449" xr:uid="{00000000-0005-0000-0000-000024690000}"/>
    <cellStyle name="Remarque 2 4 9 9 2" xfId="26463" xr:uid="{00000000-0005-0000-0000-000025690000}"/>
    <cellStyle name="Remarque 2 4 9 9 3" xfId="50423" xr:uid="{00000000-0005-0000-0000-000026690000}"/>
    <cellStyle name="Remarque 2 5" xfId="52" xr:uid="{00000000-0005-0000-0000-000027690000}"/>
    <cellStyle name="Remarque 2 5 10" xfId="1196" xr:uid="{00000000-0005-0000-0000-000028690000}"/>
    <cellStyle name="Remarque 2 5 10 10" xfId="25228" xr:uid="{00000000-0005-0000-0000-000029690000}"/>
    <cellStyle name="Remarque 2 5 10 10 2" xfId="49188" xr:uid="{00000000-0005-0000-0000-00002A690000}"/>
    <cellStyle name="Remarque 2 5 10 11" xfId="36707" xr:uid="{00000000-0005-0000-0000-00002B690000}"/>
    <cellStyle name="Remarque 2 5 10 11 2" xfId="60667" xr:uid="{00000000-0005-0000-0000-00002C690000}"/>
    <cellStyle name="Remarque 2 5 10 12" xfId="13893" xr:uid="{00000000-0005-0000-0000-00002D690000}"/>
    <cellStyle name="Remarque 2 5 10 13" xfId="37853" xr:uid="{00000000-0005-0000-0000-00002E690000}"/>
    <cellStyle name="Remarque 2 5 10 2" xfId="4102" xr:uid="{00000000-0005-0000-0000-00002F690000}"/>
    <cellStyle name="Remarque 2 5 10 2 2" xfId="28116" xr:uid="{00000000-0005-0000-0000-000030690000}"/>
    <cellStyle name="Remarque 2 5 10 2 2 2" xfId="52076" xr:uid="{00000000-0005-0000-0000-000031690000}"/>
    <cellStyle name="Remarque 2 5 10 2 3" xfId="15363" xr:uid="{00000000-0005-0000-0000-000032690000}"/>
    <cellStyle name="Remarque 2 5 10 2 4" xfId="39323" xr:uid="{00000000-0005-0000-0000-000033690000}"/>
    <cellStyle name="Remarque 2 5 10 3" xfId="5536" xr:uid="{00000000-0005-0000-0000-000034690000}"/>
    <cellStyle name="Remarque 2 5 10 3 2" xfId="29550" xr:uid="{00000000-0005-0000-0000-000035690000}"/>
    <cellStyle name="Remarque 2 5 10 3 2 2" xfId="53510" xr:uid="{00000000-0005-0000-0000-000036690000}"/>
    <cellStyle name="Remarque 2 5 10 3 3" xfId="16797" xr:uid="{00000000-0005-0000-0000-000037690000}"/>
    <cellStyle name="Remarque 2 5 10 3 4" xfId="40757" xr:uid="{00000000-0005-0000-0000-000038690000}"/>
    <cellStyle name="Remarque 2 5 10 4" xfId="6930" xr:uid="{00000000-0005-0000-0000-000039690000}"/>
    <cellStyle name="Remarque 2 5 10 4 2" xfId="30944" xr:uid="{00000000-0005-0000-0000-00003A690000}"/>
    <cellStyle name="Remarque 2 5 10 4 2 2" xfId="54904" xr:uid="{00000000-0005-0000-0000-00003B690000}"/>
    <cellStyle name="Remarque 2 5 10 4 3" xfId="18191" xr:uid="{00000000-0005-0000-0000-00003C690000}"/>
    <cellStyle name="Remarque 2 5 10 4 4" xfId="42151" xr:uid="{00000000-0005-0000-0000-00003D690000}"/>
    <cellStyle name="Remarque 2 5 10 5" xfId="8318" xr:uid="{00000000-0005-0000-0000-00003E690000}"/>
    <cellStyle name="Remarque 2 5 10 5 2" xfId="32332" xr:uid="{00000000-0005-0000-0000-00003F690000}"/>
    <cellStyle name="Remarque 2 5 10 5 2 2" xfId="56292" xr:uid="{00000000-0005-0000-0000-000040690000}"/>
    <cellStyle name="Remarque 2 5 10 5 3" xfId="19579" xr:uid="{00000000-0005-0000-0000-000041690000}"/>
    <cellStyle name="Remarque 2 5 10 5 4" xfId="43539" xr:uid="{00000000-0005-0000-0000-000042690000}"/>
    <cellStyle name="Remarque 2 5 10 6" xfId="9703" xr:uid="{00000000-0005-0000-0000-000043690000}"/>
    <cellStyle name="Remarque 2 5 10 6 2" xfId="33717" xr:uid="{00000000-0005-0000-0000-000044690000}"/>
    <cellStyle name="Remarque 2 5 10 6 2 2" xfId="57677" xr:uid="{00000000-0005-0000-0000-000045690000}"/>
    <cellStyle name="Remarque 2 5 10 6 3" xfId="20964" xr:uid="{00000000-0005-0000-0000-000046690000}"/>
    <cellStyle name="Remarque 2 5 10 6 4" xfId="44924" xr:uid="{00000000-0005-0000-0000-000047690000}"/>
    <cellStyle name="Remarque 2 5 10 7" xfId="11160" xr:uid="{00000000-0005-0000-0000-000048690000}"/>
    <cellStyle name="Remarque 2 5 10 7 2" xfId="35170" xr:uid="{00000000-0005-0000-0000-000049690000}"/>
    <cellStyle name="Remarque 2 5 10 7 2 2" xfId="59130" xr:uid="{00000000-0005-0000-0000-00004A690000}"/>
    <cellStyle name="Remarque 2 5 10 7 3" xfId="22427" xr:uid="{00000000-0005-0000-0000-00004B690000}"/>
    <cellStyle name="Remarque 2 5 10 7 4" xfId="46387" xr:uid="{00000000-0005-0000-0000-00004C690000}"/>
    <cellStyle name="Remarque 2 5 10 8" xfId="12251" xr:uid="{00000000-0005-0000-0000-00004D690000}"/>
    <cellStyle name="Remarque 2 5 10 8 2" xfId="23536" xr:uid="{00000000-0005-0000-0000-00004E690000}"/>
    <cellStyle name="Remarque 2 5 10 8 3" xfId="47496" xr:uid="{00000000-0005-0000-0000-00004F690000}"/>
    <cellStyle name="Remarque 2 5 10 9" xfId="2632" xr:uid="{00000000-0005-0000-0000-000050690000}"/>
    <cellStyle name="Remarque 2 5 10 9 2" xfId="26646" xr:uid="{00000000-0005-0000-0000-000051690000}"/>
    <cellStyle name="Remarque 2 5 10 9 3" xfId="50606" xr:uid="{00000000-0005-0000-0000-000052690000}"/>
    <cellStyle name="Remarque 2 5 11" xfId="815" xr:uid="{00000000-0005-0000-0000-000053690000}"/>
    <cellStyle name="Remarque 2 5 11 10" xfId="24847" xr:uid="{00000000-0005-0000-0000-000054690000}"/>
    <cellStyle name="Remarque 2 5 11 10 2" xfId="48807" xr:uid="{00000000-0005-0000-0000-000055690000}"/>
    <cellStyle name="Remarque 2 5 11 11" xfId="35645" xr:uid="{00000000-0005-0000-0000-000056690000}"/>
    <cellStyle name="Remarque 2 5 11 11 2" xfId="59605" xr:uid="{00000000-0005-0000-0000-000057690000}"/>
    <cellStyle name="Remarque 2 5 11 12" xfId="13512" xr:uid="{00000000-0005-0000-0000-000058690000}"/>
    <cellStyle name="Remarque 2 5 11 13" xfId="37472" xr:uid="{00000000-0005-0000-0000-000059690000}"/>
    <cellStyle name="Remarque 2 5 11 2" xfId="3721" xr:uid="{00000000-0005-0000-0000-00005A690000}"/>
    <cellStyle name="Remarque 2 5 11 2 2" xfId="27735" xr:uid="{00000000-0005-0000-0000-00005B690000}"/>
    <cellStyle name="Remarque 2 5 11 2 2 2" xfId="51695" xr:uid="{00000000-0005-0000-0000-00005C690000}"/>
    <cellStyle name="Remarque 2 5 11 2 3" xfId="14982" xr:uid="{00000000-0005-0000-0000-00005D690000}"/>
    <cellStyle name="Remarque 2 5 11 2 4" xfId="38942" xr:uid="{00000000-0005-0000-0000-00005E690000}"/>
    <cellStyle name="Remarque 2 5 11 3" xfId="5155" xr:uid="{00000000-0005-0000-0000-00005F690000}"/>
    <cellStyle name="Remarque 2 5 11 3 2" xfId="29169" xr:uid="{00000000-0005-0000-0000-000060690000}"/>
    <cellStyle name="Remarque 2 5 11 3 2 2" xfId="53129" xr:uid="{00000000-0005-0000-0000-000061690000}"/>
    <cellStyle name="Remarque 2 5 11 3 3" xfId="16416" xr:uid="{00000000-0005-0000-0000-000062690000}"/>
    <cellStyle name="Remarque 2 5 11 3 4" xfId="40376" xr:uid="{00000000-0005-0000-0000-000063690000}"/>
    <cellStyle name="Remarque 2 5 11 4" xfId="6549" xr:uid="{00000000-0005-0000-0000-000064690000}"/>
    <cellStyle name="Remarque 2 5 11 4 2" xfId="30563" xr:uid="{00000000-0005-0000-0000-000065690000}"/>
    <cellStyle name="Remarque 2 5 11 4 2 2" xfId="54523" xr:uid="{00000000-0005-0000-0000-000066690000}"/>
    <cellStyle name="Remarque 2 5 11 4 3" xfId="17810" xr:uid="{00000000-0005-0000-0000-000067690000}"/>
    <cellStyle name="Remarque 2 5 11 4 4" xfId="41770" xr:uid="{00000000-0005-0000-0000-000068690000}"/>
    <cellStyle name="Remarque 2 5 11 5" xfId="7937" xr:uid="{00000000-0005-0000-0000-000069690000}"/>
    <cellStyle name="Remarque 2 5 11 5 2" xfId="31951" xr:uid="{00000000-0005-0000-0000-00006A690000}"/>
    <cellStyle name="Remarque 2 5 11 5 2 2" xfId="55911" xr:uid="{00000000-0005-0000-0000-00006B690000}"/>
    <cellStyle name="Remarque 2 5 11 5 3" xfId="19198" xr:uid="{00000000-0005-0000-0000-00006C690000}"/>
    <cellStyle name="Remarque 2 5 11 5 4" xfId="43158" xr:uid="{00000000-0005-0000-0000-00006D690000}"/>
    <cellStyle name="Remarque 2 5 11 6" xfId="9322" xr:uid="{00000000-0005-0000-0000-00006E690000}"/>
    <cellStyle name="Remarque 2 5 11 6 2" xfId="33336" xr:uid="{00000000-0005-0000-0000-00006F690000}"/>
    <cellStyle name="Remarque 2 5 11 6 2 2" xfId="57296" xr:uid="{00000000-0005-0000-0000-000070690000}"/>
    <cellStyle name="Remarque 2 5 11 6 3" xfId="20583" xr:uid="{00000000-0005-0000-0000-000071690000}"/>
    <cellStyle name="Remarque 2 5 11 6 4" xfId="44543" xr:uid="{00000000-0005-0000-0000-000072690000}"/>
    <cellStyle name="Remarque 2 5 11 7" xfId="10779" xr:uid="{00000000-0005-0000-0000-000073690000}"/>
    <cellStyle name="Remarque 2 5 11 7 2" xfId="34789" xr:uid="{00000000-0005-0000-0000-000074690000}"/>
    <cellStyle name="Remarque 2 5 11 7 2 2" xfId="58749" xr:uid="{00000000-0005-0000-0000-000075690000}"/>
    <cellStyle name="Remarque 2 5 11 7 3" xfId="22046" xr:uid="{00000000-0005-0000-0000-000076690000}"/>
    <cellStyle name="Remarque 2 5 11 7 4" xfId="46006" xr:uid="{00000000-0005-0000-0000-000077690000}"/>
    <cellStyle name="Remarque 2 5 11 8" xfId="12517" xr:uid="{00000000-0005-0000-0000-000078690000}"/>
    <cellStyle name="Remarque 2 5 11 8 2" xfId="23814" xr:uid="{00000000-0005-0000-0000-000079690000}"/>
    <cellStyle name="Remarque 2 5 11 8 3" xfId="47774" xr:uid="{00000000-0005-0000-0000-00007A690000}"/>
    <cellStyle name="Remarque 2 5 11 9" xfId="2251" xr:uid="{00000000-0005-0000-0000-00007B690000}"/>
    <cellStyle name="Remarque 2 5 11 9 2" xfId="26265" xr:uid="{00000000-0005-0000-0000-00007C690000}"/>
    <cellStyle name="Remarque 2 5 11 9 3" xfId="50225" xr:uid="{00000000-0005-0000-0000-00007D690000}"/>
    <cellStyle name="Remarque 2 5 12" xfId="1557" xr:uid="{00000000-0005-0000-0000-00007E690000}"/>
    <cellStyle name="Remarque 2 5 12 10" xfId="25589" xr:uid="{00000000-0005-0000-0000-00007F690000}"/>
    <cellStyle name="Remarque 2 5 12 10 2" xfId="49549" xr:uid="{00000000-0005-0000-0000-000080690000}"/>
    <cellStyle name="Remarque 2 5 12 11" xfId="36672" xr:uid="{00000000-0005-0000-0000-000081690000}"/>
    <cellStyle name="Remarque 2 5 12 11 2" xfId="60632" xr:uid="{00000000-0005-0000-0000-000082690000}"/>
    <cellStyle name="Remarque 2 5 12 12" xfId="14254" xr:uid="{00000000-0005-0000-0000-000083690000}"/>
    <cellStyle name="Remarque 2 5 12 13" xfId="38214" xr:uid="{00000000-0005-0000-0000-000084690000}"/>
    <cellStyle name="Remarque 2 5 12 2" xfId="4463" xr:uid="{00000000-0005-0000-0000-000085690000}"/>
    <cellStyle name="Remarque 2 5 12 2 2" xfId="28477" xr:uid="{00000000-0005-0000-0000-000086690000}"/>
    <cellStyle name="Remarque 2 5 12 2 2 2" xfId="52437" xr:uid="{00000000-0005-0000-0000-000087690000}"/>
    <cellStyle name="Remarque 2 5 12 2 3" xfId="15724" xr:uid="{00000000-0005-0000-0000-000088690000}"/>
    <cellStyle name="Remarque 2 5 12 2 4" xfId="39684" xr:uid="{00000000-0005-0000-0000-000089690000}"/>
    <cellStyle name="Remarque 2 5 12 3" xfId="5897" xr:uid="{00000000-0005-0000-0000-00008A690000}"/>
    <cellStyle name="Remarque 2 5 12 3 2" xfId="29911" xr:uid="{00000000-0005-0000-0000-00008B690000}"/>
    <cellStyle name="Remarque 2 5 12 3 2 2" xfId="53871" xr:uid="{00000000-0005-0000-0000-00008C690000}"/>
    <cellStyle name="Remarque 2 5 12 3 3" xfId="17158" xr:uid="{00000000-0005-0000-0000-00008D690000}"/>
    <cellStyle name="Remarque 2 5 12 3 4" xfId="41118" xr:uid="{00000000-0005-0000-0000-00008E690000}"/>
    <cellStyle name="Remarque 2 5 12 4" xfId="7291" xr:uid="{00000000-0005-0000-0000-00008F690000}"/>
    <cellStyle name="Remarque 2 5 12 4 2" xfId="31305" xr:uid="{00000000-0005-0000-0000-000090690000}"/>
    <cellStyle name="Remarque 2 5 12 4 2 2" xfId="55265" xr:uid="{00000000-0005-0000-0000-000091690000}"/>
    <cellStyle name="Remarque 2 5 12 4 3" xfId="18552" xr:uid="{00000000-0005-0000-0000-000092690000}"/>
    <cellStyle name="Remarque 2 5 12 4 4" xfId="42512" xr:uid="{00000000-0005-0000-0000-000093690000}"/>
    <cellStyle name="Remarque 2 5 12 5" xfId="8679" xr:uid="{00000000-0005-0000-0000-000094690000}"/>
    <cellStyle name="Remarque 2 5 12 5 2" xfId="32693" xr:uid="{00000000-0005-0000-0000-000095690000}"/>
    <cellStyle name="Remarque 2 5 12 5 2 2" xfId="56653" xr:uid="{00000000-0005-0000-0000-000096690000}"/>
    <cellStyle name="Remarque 2 5 12 5 3" xfId="19940" xr:uid="{00000000-0005-0000-0000-000097690000}"/>
    <cellStyle name="Remarque 2 5 12 5 4" xfId="43900" xr:uid="{00000000-0005-0000-0000-000098690000}"/>
    <cellStyle name="Remarque 2 5 12 6" xfId="10064" xr:uid="{00000000-0005-0000-0000-000099690000}"/>
    <cellStyle name="Remarque 2 5 12 6 2" xfId="34078" xr:uid="{00000000-0005-0000-0000-00009A690000}"/>
    <cellStyle name="Remarque 2 5 12 6 2 2" xfId="58038" xr:uid="{00000000-0005-0000-0000-00009B690000}"/>
    <cellStyle name="Remarque 2 5 12 6 3" xfId="21325" xr:uid="{00000000-0005-0000-0000-00009C690000}"/>
    <cellStyle name="Remarque 2 5 12 6 4" xfId="45285" xr:uid="{00000000-0005-0000-0000-00009D690000}"/>
    <cellStyle name="Remarque 2 5 12 7" xfId="11521" xr:uid="{00000000-0005-0000-0000-00009E690000}"/>
    <cellStyle name="Remarque 2 5 12 7 2" xfId="35531" xr:uid="{00000000-0005-0000-0000-00009F690000}"/>
    <cellStyle name="Remarque 2 5 12 7 2 2" xfId="59491" xr:uid="{00000000-0005-0000-0000-0000A0690000}"/>
    <cellStyle name="Remarque 2 5 12 7 3" xfId="22788" xr:uid="{00000000-0005-0000-0000-0000A1690000}"/>
    <cellStyle name="Remarque 2 5 12 7 4" xfId="46748" xr:uid="{00000000-0005-0000-0000-0000A2690000}"/>
    <cellStyle name="Remarque 2 5 12 8" xfId="11590" xr:uid="{00000000-0005-0000-0000-0000A3690000}"/>
    <cellStyle name="Remarque 2 5 12 8 2" xfId="22857" xr:uid="{00000000-0005-0000-0000-0000A4690000}"/>
    <cellStyle name="Remarque 2 5 12 8 3" xfId="46817" xr:uid="{00000000-0005-0000-0000-0000A5690000}"/>
    <cellStyle name="Remarque 2 5 12 9" xfId="2993" xr:uid="{00000000-0005-0000-0000-0000A6690000}"/>
    <cellStyle name="Remarque 2 5 12 9 2" xfId="27007" xr:uid="{00000000-0005-0000-0000-0000A7690000}"/>
    <cellStyle name="Remarque 2 5 12 9 3" xfId="50967" xr:uid="{00000000-0005-0000-0000-0000A8690000}"/>
    <cellStyle name="Remarque 2 5 13" xfId="200" xr:uid="{00000000-0005-0000-0000-0000A9690000}"/>
    <cellStyle name="Remarque 2 5 13 10" xfId="36249" xr:uid="{00000000-0005-0000-0000-0000AA690000}"/>
    <cellStyle name="Remarque 2 5 13 10 2" xfId="60209" xr:uid="{00000000-0005-0000-0000-0000AB690000}"/>
    <cellStyle name="Remarque 2 5 13 11" xfId="14367" xr:uid="{00000000-0005-0000-0000-0000AC690000}"/>
    <cellStyle name="Remarque 2 5 13 12" xfId="38327" xr:uid="{00000000-0005-0000-0000-0000AD690000}"/>
    <cellStyle name="Remarque 2 5 13 2" xfId="4545" xr:uid="{00000000-0005-0000-0000-0000AE690000}"/>
    <cellStyle name="Remarque 2 5 13 2 2" xfId="28559" xr:uid="{00000000-0005-0000-0000-0000AF690000}"/>
    <cellStyle name="Remarque 2 5 13 2 2 2" xfId="52519" xr:uid="{00000000-0005-0000-0000-0000B0690000}"/>
    <cellStyle name="Remarque 2 5 13 2 3" xfId="15806" xr:uid="{00000000-0005-0000-0000-0000B1690000}"/>
    <cellStyle name="Remarque 2 5 13 2 4" xfId="39766" xr:uid="{00000000-0005-0000-0000-0000B2690000}"/>
    <cellStyle name="Remarque 2 5 13 3" xfId="5944" xr:uid="{00000000-0005-0000-0000-0000B3690000}"/>
    <cellStyle name="Remarque 2 5 13 3 2" xfId="29958" xr:uid="{00000000-0005-0000-0000-0000B4690000}"/>
    <cellStyle name="Remarque 2 5 13 3 2 2" xfId="53918" xr:uid="{00000000-0005-0000-0000-0000B5690000}"/>
    <cellStyle name="Remarque 2 5 13 3 3" xfId="17205" xr:uid="{00000000-0005-0000-0000-0000B6690000}"/>
    <cellStyle name="Remarque 2 5 13 3 4" xfId="41165" xr:uid="{00000000-0005-0000-0000-0000B7690000}"/>
    <cellStyle name="Remarque 2 5 13 4" xfId="7338" xr:uid="{00000000-0005-0000-0000-0000B8690000}"/>
    <cellStyle name="Remarque 2 5 13 4 2" xfId="31352" xr:uid="{00000000-0005-0000-0000-0000B9690000}"/>
    <cellStyle name="Remarque 2 5 13 4 2 2" xfId="55312" xr:uid="{00000000-0005-0000-0000-0000BA690000}"/>
    <cellStyle name="Remarque 2 5 13 4 3" xfId="18599" xr:uid="{00000000-0005-0000-0000-0000BB690000}"/>
    <cellStyle name="Remarque 2 5 13 4 4" xfId="42559" xr:uid="{00000000-0005-0000-0000-0000BC690000}"/>
    <cellStyle name="Remarque 2 5 13 5" xfId="8726" xr:uid="{00000000-0005-0000-0000-0000BD690000}"/>
    <cellStyle name="Remarque 2 5 13 5 2" xfId="32740" xr:uid="{00000000-0005-0000-0000-0000BE690000}"/>
    <cellStyle name="Remarque 2 5 13 5 2 2" xfId="56700" xr:uid="{00000000-0005-0000-0000-0000BF690000}"/>
    <cellStyle name="Remarque 2 5 13 5 3" xfId="19987" xr:uid="{00000000-0005-0000-0000-0000C0690000}"/>
    <cellStyle name="Remarque 2 5 13 5 4" xfId="43947" xr:uid="{00000000-0005-0000-0000-0000C1690000}"/>
    <cellStyle name="Remarque 2 5 13 6" xfId="10166" xr:uid="{00000000-0005-0000-0000-0000C2690000}"/>
    <cellStyle name="Remarque 2 5 13 6 2" xfId="34178" xr:uid="{00000000-0005-0000-0000-0000C3690000}"/>
    <cellStyle name="Remarque 2 5 13 6 2 2" xfId="58138" xr:uid="{00000000-0005-0000-0000-0000C4690000}"/>
    <cellStyle name="Remarque 2 5 13 6 3" xfId="21431" xr:uid="{00000000-0005-0000-0000-0000C5690000}"/>
    <cellStyle name="Remarque 2 5 13 6 4" xfId="45391" xr:uid="{00000000-0005-0000-0000-0000C6690000}"/>
    <cellStyle name="Remarque 2 5 13 7" xfId="11751" xr:uid="{00000000-0005-0000-0000-0000C7690000}"/>
    <cellStyle name="Remarque 2 5 13 7 2" xfId="23023" xr:uid="{00000000-0005-0000-0000-0000C8690000}"/>
    <cellStyle name="Remarque 2 5 13 7 3" xfId="46983" xr:uid="{00000000-0005-0000-0000-0000C9690000}"/>
    <cellStyle name="Remarque 2 5 13 8" xfId="3106" xr:uid="{00000000-0005-0000-0000-0000CA690000}"/>
    <cellStyle name="Remarque 2 5 13 8 2" xfId="27120" xr:uid="{00000000-0005-0000-0000-0000CB690000}"/>
    <cellStyle name="Remarque 2 5 13 8 3" xfId="51080" xr:uid="{00000000-0005-0000-0000-0000CC690000}"/>
    <cellStyle name="Remarque 2 5 13 9" xfId="24232" xr:uid="{00000000-0005-0000-0000-0000CD690000}"/>
    <cellStyle name="Remarque 2 5 13 9 2" xfId="48192" xr:uid="{00000000-0005-0000-0000-0000CE690000}"/>
    <cellStyle name="Remarque 2 5 14" xfId="3074" xr:uid="{00000000-0005-0000-0000-0000CF690000}"/>
    <cellStyle name="Remarque 2 5 14 2" xfId="27088" xr:uid="{00000000-0005-0000-0000-0000D0690000}"/>
    <cellStyle name="Remarque 2 5 14 2 2" xfId="51048" xr:uid="{00000000-0005-0000-0000-0000D1690000}"/>
    <cellStyle name="Remarque 2 5 14 3" xfId="14335" xr:uid="{00000000-0005-0000-0000-0000D2690000}"/>
    <cellStyle name="Remarque 2 5 14 4" xfId="38295" xr:uid="{00000000-0005-0000-0000-0000D3690000}"/>
    <cellStyle name="Remarque 2 5 15" xfId="1632" xr:uid="{00000000-0005-0000-0000-0000D4690000}"/>
    <cellStyle name="Remarque 2 5 15 2" xfId="25646" xr:uid="{00000000-0005-0000-0000-0000D5690000}"/>
    <cellStyle name="Remarque 2 5 15 3" xfId="49606" xr:uid="{00000000-0005-0000-0000-0000D6690000}"/>
    <cellStyle name="Remarque 2 5 16" xfId="12912" xr:uid="{00000000-0005-0000-0000-0000D7690000}"/>
    <cellStyle name="Remarque 2 5 17" xfId="1606" xr:uid="{00000000-0005-0000-0000-0000D8690000}"/>
    <cellStyle name="Remarque 2 5 18" xfId="168" xr:uid="{00000000-0005-0000-0000-0000D9690000}"/>
    <cellStyle name="Remarque 2 5 2" xfId="66" xr:uid="{00000000-0005-0000-0000-0000DA690000}"/>
    <cellStyle name="Remarque 2 5 2 10" xfId="1360" xr:uid="{00000000-0005-0000-0000-0000DB690000}"/>
    <cellStyle name="Remarque 2 5 2 10 10" xfId="25392" xr:uid="{00000000-0005-0000-0000-0000DC690000}"/>
    <cellStyle name="Remarque 2 5 2 10 10 2" xfId="49352" xr:uid="{00000000-0005-0000-0000-0000DD690000}"/>
    <cellStyle name="Remarque 2 5 2 10 11" xfId="35862" xr:uid="{00000000-0005-0000-0000-0000DE690000}"/>
    <cellStyle name="Remarque 2 5 2 10 11 2" xfId="59822" xr:uid="{00000000-0005-0000-0000-0000DF690000}"/>
    <cellStyle name="Remarque 2 5 2 10 12" xfId="14057" xr:uid="{00000000-0005-0000-0000-0000E0690000}"/>
    <cellStyle name="Remarque 2 5 2 10 13" xfId="38017" xr:uid="{00000000-0005-0000-0000-0000E1690000}"/>
    <cellStyle name="Remarque 2 5 2 10 2" xfId="4266" xr:uid="{00000000-0005-0000-0000-0000E2690000}"/>
    <cellStyle name="Remarque 2 5 2 10 2 2" xfId="28280" xr:uid="{00000000-0005-0000-0000-0000E3690000}"/>
    <cellStyle name="Remarque 2 5 2 10 2 2 2" xfId="52240" xr:uid="{00000000-0005-0000-0000-0000E4690000}"/>
    <cellStyle name="Remarque 2 5 2 10 2 3" xfId="15527" xr:uid="{00000000-0005-0000-0000-0000E5690000}"/>
    <cellStyle name="Remarque 2 5 2 10 2 4" xfId="39487" xr:uid="{00000000-0005-0000-0000-0000E6690000}"/>
    <cellStyle name="Remarque 2 5 2 10 3" xfId="5700" xr:uid="{00000000-0005-0000-0000-0000E7690000}"/>
    <cellStyle name="Remarque 2 5 2 10 3 2" xfId="29714" xr:uid="{00000000-0005-0000-0000-0000E8690000}"/>
    <cellStyle name="Remarque 2 5 2 10 3 2 2" xfId="53674" xr:uid="{00000000-0005-0000-0000-0000E9690000}"/>
    <cellStyle name="Remarque 2 5 2 10 3 3" xfId="16961" xr:uid="{00000000-0005-0000-0000-0000EA690000}"/>
    <cellStyle name="Remarque 2 5 2 10 3 4" xfId="40921" xr:uid="{00000000-0005-0000-0000-0000EB690000}"/>
    <cellStyle name="Remarque 2 5 2 10 4" xfId="7094" xr:uid="{00000000-0005-0000-0000-0000EC690000}"/>
    <cellStyle name="Remarque 2 5 2 10 4 2" xfId="31108" xr:uid="{00000000-0005-0000-0000-0000ED690000}"/>
    <cellStyle name="Remarque 2 5 2 10 4 2 2" xfId="55068" xr:uid="{00000000-0005-0000-0000-0000EE690000}"/>
    <cellStyle name="Remarque 2 5 2 10 4 3" xfId="18355" xr:uid="{00000000-0005-0000-0000-0000EF690000}"/>
    <cellStyle name="Remarque 2 5 2 10 4 4" xfId="42315" xr:uid="{00000000-0005-0000-0000-0000F0690000}"/>
    <cellStyle name="Remarque 2 5 2 10 5" xfId="8482" xr:uid="{00000000-0005-0000-0000-0000F1690000}"/>
    <cellStyle name="Remarque 2 5 2 10 5 2" xfId="32496" xr:uid="{00000000-0005-0000-0000-0000F2690000}"/>
    <cellStyle name="Remarque 2 5 2 10 5 2 2" xfId="56456" xr:uid="{00000000-0005-0000-0000-0000F3690000}"/>
    <cellStyle name="Remarque 2 5 2 10 5 3" xfId="19743" xr:uid="{00000000-0005-0000-0000-0000F4690000}"/>
    <cellStyle name="Remarque 2 5 2 10 5 4" xfId="43703" xr:uid="{00000000-0005-0000-0000-0000F5690000}"/>
    <cellStyle name="Remarque 2 5 2 10 6" xfId="9867" xr:uid="{00000000-0005-0000-0000-0000F6690000}"/>
    <cellStyle name="Remarque 2 5 2 10 6 2" xfId="33881" xr:uid="{00000000-0005-0000-0000-0000F7690000}"/>
    <cellStyle name="Remarque 2 5 2 10 6 2 2" xfId="57841" xr:uid="{00000000-0005-0000-0000-0000F8690000}"/>
    <cellStyle name="Remarque 2 5 2 10 6 3" xfId="21128" xr:uid="{00000000-0005-0000-0000-0000F9690000}"/>
    <cellStyle name="Remarque 2 5 2 10 6 4" xfId="45088" xr:uid="{00000000-0005-0000-0000-0000FA690000}"/>
    <cellStyle name="Remarque 2 5 2 10 7" xfId="11324" xr:uid="{00000000-0005-0000-0000-0000FB690000}"/>
    <cellStyle name="Remarque 2 5 2 10 7 2" xfId="35334" xr:uid="{00000000-0005-0000-0000-0000FC690000}"/>
    <cellStyle name="Remarque 2 5 2 10 7 2 2" xfId="59294" xr:uid="{00000000-0005-0000-0000-0000FD690000}"/>
    <cellStyle name="Remarque 2 5 2 10 7 3" xfId="22591" xr:uid="{00000000-0005-0000-0000-0000FE690000}"/>
    <cellStyle name="Remarque 2 5 2 10 7 4" xfId="46551" xr:uid="{00000000-0005-0000-0000-0000FF690000}"/>
    <cellStyle name="Remarque 2 5 2 10 8" xfId="12398" xr:uid="{00000000-0005-0000-0000-0000006A0000}"/>
    <cellStyle name="Remarque 2 5 2 10 8 2" xfId="23688" xr:uid="{00000000-0005-0000-0000-0000016A0000}"/>
    <cellStyle name="Remarque 2 5 2 10 8 3" xfId="47648" xr:uid="{00000000-0005-0000-0000-0000026A0000}"/>
    <cellStyle name="Remarque 2 5 2 10 9" xfId="2796" xr:uid="{00000000-0005-0000-0000-0000036A0000}"/>
    <cellStyle name="Remarque 2 5 2 10 9 2" xfId="26810" xr:uid="{00000000-0005-0000-0000-0000046A0000}"/>
    <cellStyle name="Remarque 2 5 2 10 9 3" xfId="50770" xr:uid="{00000000-0005-0000-0000-0000056A0000}"/>
    <cellStyle name="Remarque 2 5 2 11" xfId="1571" xr:uid="{00000000-0005-0000-0000-0000066A0000}"/>
    <cellStyle name="Remarque 2 5 2 11 10" xfId="25603" xr:uid="{00000000-0005-0000-0000-0000076A0000}"/>
    <cellStyle name="Remarque 2 5 2 11 10 2" xfId="49563" xr:uid="{00000000-0005-0000-0000-0000086A0000}"/>
    <cellStyle name="Remarque 2 5 2 11 11" xfId="24088" xr:uid="{00000000-0005-0000-0000-0000096A0000}"/>
    <cellStyle name="Remarque 2 5 2 11 11 2" xfId="48048" xr:uid="{00000000-0005-0000-0000-00000A6A0000}"/>
    <cellStyle name="Remarque 2 5 2 11 12" xfId="14268" xr:uid="{00000000-0005-0000-0000-00000B6A0000}"/>
    <cellStyle name="Remarque 2 5 2 11 13" xfId="38228" xr:uid="{00000000-0005-0000-0000-00000C6A0000}"/>
    <cellStyle name="Remarque 2 5 2 11 2" xfId="4477" xr:uid="{00000000-0005-0000-0000-00000D6A0000}"/>
    <cellStyle name="Remarque 2 5 2 11 2 2" xfId="28491" xr:uid="{00000000-0005-0000-0000-00000E6A0000}"/>
    <cellStyle name="Remarque 2 5 2 11 2 2 2" xfId="52451" xr:uid="{00000000-0005-0000-0000-00000F6A0000}"/>
    <cellStyle name="Remarque 2 5 2 11 2 3" xfId="15738" xr:uid="{00000000-0005-0000-0000-0000106A0000}"/>
    <cellStyle name="Remarque 2 5 2 11 2 4" xfId="39698" xr:uid="{00000000-0005-0000-0000-0000116A0000}"/>
    <cellStyle name="Remarque 2 5 2 11 3" xfId="5911" xr:uid="{00000000-0005-0000-0000-0000126A0000}"/>
    <cellStyle name="Remarque 2 5 2 11 3 2" xfId="29925" xr:uid="{00000000-0005-0000-0000-0000136A0000}"/>
    <cellStyle name="Remarque 2 5 2 11 3 2 2" xfId="53885" xr:uid="{00000000-0005-0000-0000-0000146A0000}"/>
    <cellStyle name="Remarque 2 5 2 11 3 3" xfId="17172" xr:uid="{00000000-0005-0000-0000-0000156A0000}"/>
    <cellStyle name="Remarque 2 5 2 11 3 4" xfId="41132" xr:uid="{00000000-0005-0000-0000-0000166A0000}"/>
    <cellStyle name="Remarque 2 5 2 11 4" xfId="7305" xr:uid="{00000000-0005-0000-0000-0000176A0000}"/>
    <cellStyle name="Remarque 2 5 2 11 4 2" xfId="31319" xr:uid="{00000000-0005-0000-0000-0000186A0000}"/>
    <cellStyle name="Remarque 2 5 2 11 4 2 2" xfId="55279" xr:uid="{00000000-0005-0000-0000-0000196A0000}"/>
    <cellStyle name="Remarque 2 5 2 11 4 3" xfId="18566" xr:uid="{00000000-0005-0000-0000-00001A6A0000}"/>
    <cellStyle name="Remarque 2 5 2 11 4 4" xfId="42526" xr:uid="{00000000-0005-0000-0000-00001B6A0000}"/>
    <cellStyle name="Remarque 2 5 2 11 5" xfId="8693" xr:uid="{00000000-0005-0000-0000-00001C6A0000}"/>
    <cellStyle name="Remarque 2 5 2 11 5 2" xfId="32707" xr:uid="{00000000-0005-0000-0000-00001D6A0000}"/>
    <cellStyle name="Remarque 2 5 2 11 5 2 2" xfId="56667" xr:uid="{00000000-0005-0000-0000-00001E6A0000}"/>
    <cellStyle name="Remarque 2 5 2 11 5 3" xfId="19954" xr:uid="{00000000-0005-0000-0000-00001F6A0000}"/>
    <cellStyle name="Remarque 2 5 2 11 5 4" xfId="43914" xr:uid="{00000000-0005-0000-0000-0000206A0000}"/>
    <cellStyle name="Remarque 2 5 2 11 6" xfId="10078" xr:uid="{00000000-0005-0000-0000-0000216A0000}"/>
    <cellStyle name="Remarque 2 5 2 11 6 2" xfId="34092" xr:uid="{00000000-0005-0000-0000-0000226A0000}"/>
    <cellStyle name="Remarque 2 5 2 11 6 2 2" xfId="58052" xr:uid="{00000000-0005-0000-0000-0000236A0000}"/>
    <cellStyle name="Remarque 2 5 2 11 6 3" xfId="21339" xr:uid="{00000000-0005-0000-0000-0000246A0000}"/>
    <cellStyle name="Remarque 2 5 2 11 6 4" xfId="45299" xr:uid="{00000000-0005-0000-0000-0000256A0000}"/>
    <cellStyle name="Remarque 2 5 2 11 7" xfId="11535" xr:uid="{00000000-0005-0000-0000-0000266A0000}"/>
    <cellStyle name="Remarque 2 5 2 11 7 2" xfId="35545" xr:uid="{00000000-0005-0000-0000-0000276A0000}"/>
    <cellStyle name="Remarque 2 5 2 11 7 2 2" xfId="59505" xr:uid="{00000000-0005-0000-0000-0000286A0000}"/>
    <cellStyle name="Remarque 2 5 2 11 7 3" xfId="22802" xr:uid="{00000000-0005-0000-0000-0000296A0000}"/>
    <cellStyle name="Remarque 2 5 2 11 7 4" xfId="46762" xr:uid="{00000000-0005-0000-0000-00002A6A0000}"/>
    <cellStyle name="Remarque 2 5 2 11 8" xfId="12854" xr:uid="{00000000-0005-0000-0000-00002B6A0000}"/>
    <cellStyle name="Remarque 2 5 2 11 8 2" xfId="24166" xr:uid="{00000000-0005-0000-0000-00002C6A0000}"/>
    <cellStyle name="Remarque 2 5 2 11 8 3" xfId="48126" xr:uid="{00000000-0005-0000-0000-00002D6A0000}"/>
    <cellStyle name="Remarque 2 5 2 11 9" xfId="3007" xr:uid="{00000000-0005-0000-0000-00002E6A0000}"/>
    <cellStyle name="Remarque 2 5 2 11 9 2" xfId="27021" xr:uid="{00000000-0005-0000-0000-00002F6A0000}"/>
    <cellStyle name="Remarque 2 5 2 11 9 3" xfId="50981" xr:uid="{00000000-0005-0000-0000-0000306A0000}"/>
    <cellStyle name="Remarque 2 5 2 12" xfId="1545" xr:uid="{00000000-0005-0000-0000-0000316A0000}"/>
    <cellStyle name="Remarque 2 5 2 12 10" xfId="25577" xr:uid="{00000000-0005-0000-0000-0000326A0000}"/>
    <cellStyle name="Remarque 2 5 2 12 10 2" xfId="49537" xr:uid="{00000000-0005-0000-0000-0000336A0000}"/>
    <cellStyle name="Remarque 2 5 2 12 11" xfId="36762" xr:uid="{00000000-0005-0000-0000-0000346A0000}"/>
    <cellStyle name="Remarque 2 5 2 12 11 2" xfId="60722" xr:uid="{00000000-0005-0000-0000-0000356A0000}"/>
    <cellStyle name="Remarque 2 5 2 12 12" xfId="14242" xr:uid="{00000000-0005-0000-0000-0000366A0000}"/>
    <cellStyle name="Remarque 2 5 2 12 13" xfId="38202" xr:uid="{00000000-0005-0000-0000-0000376A0000}"/>
    <cellStyle name="Remarque 2 5 2 12 2" xfId="4451" xr:uid="{00000000-0005-0000-0000-0000386A0000}"/>
    <cellStyle name="Remarque 2 5 2 12 2 2" xfId="28465" xr:uid="{00000000-0005-0000-0000-0000396A0000}"/>
    <cellStyle name="Remarque 2 5 2 12 2 2 2" xfId="52425" xr:uid="{00000000-0005-0000-0000-00003A6A0000}"/>
    <cellStyle name="Remarque 2 5 2 12 2 3" xfId="15712" xr:uid="{00000000-0005-0000-0000-00003B6A0000}"/>
    <cellStyle name="Remarque 2 5 2 12 2 4" xfId="39672" xr:uid="{00000000-0005-0000-0000-00003C6A0000}"/>
    <cellStyle name="Remarque 2 5 2 12 3" xfId="5885" xr:uid="{00000000-0005-0000-0000-00003D6A0000}"/>
    <cellStyle name="Remarque 2 5 2 12 3 2" xfId="29899" xr:uid="{00000000-0005-0000-0000-00003E6A0000}"/>
    <cellStyle name="Remarque 2 5 2 12 3 2 2" xfId="53859" xr:uid="{00000000-0005-0000-0000-00003F6A0000}"/>
    <cellStyle name="Remarque 2 5 2 12 3 3" xfId="17146" xr:uid="{00000000-0005-0000-0000-0000406A0000}"/>
    <cellStyle name="Remarque 2 5 2 12 3 4" xfId="41106" xr:uid="{00000000-0005-0000-0000-0000416A0000}"/>
    <cellStyle name="Remarque 2 5 2 12 4" xfId="7279" xr:uid="{00000000-0005-0000-0000-0000426A0000}"/>
    <cellStyle name="Remarque 2 5 2 12 4 2" xfId="31293" xr:uid="{00000000-0005-0000-0000-0000436A0000}"/>
    <cellStyle name="Remarque 2 5 2 12 4 2 2" xfId="55253" xr:uid="{00000000-0005-0000-0000-0000446A0000}"/>
    <cellStyle name="Remarque 2 5 2 12 4 3" xfId="18540" xr:uid="{00000000-0005-0000-0000-0000456A0000}"/>
    <cellStyle name="Remarque 2 5 2 12 4 4" xfId="42500" xr:uid="{00000000-0005-0000-0000-0000466A0000}"/>
    <cellStyle name="Remarque 2 5 2 12 5" xfId="8667" xr:uid="{00000000-0005-0000-0000-0000476A0000}"/>
    <cellStyle name="Remarque 2 5 2 12 5 2" xfId="32681" xr:uid="{00000000-0005-0000-0000-0000486A0000}"/>
    <cellStyle name="Remarque 2 5 2 12 5 2 2" xfId="56641" xr:uid="{00000000-0005-0000-0000-0000496A0000}"/>
    <cellStyle name="Remarque 2 5 2 12 5 3" xfId="19928" xr:uid="{00000000-0005-0000-0000-00004A6A0000}"/>
    <cellStyle name="Remarque 2 5 2 12 5 4" xfId="43888" xr:uid="{00000000-0005-0000-0000-00004B6A0000}"/>
    <cellStyle name="Remarque 2 5 2 12 6" xfId="10052" xr:uid="{00000000-0005-0000-0000-00004C6A0000}"/>
    <cellStyle name="Remarque 2 5 2 12 6 2" xfId="34066" xr:uid="{00000000-0005-0000-0000-00004D6A0000}"/>
    <cellStyle name="Remarque 2 5 2 12 6 2 2" xfId="58026" xr:uid="{00000000-0005-0000-0000-00004E6A0000}"/>
    <cellStyle name="Remarque 2 5 2 12 6 3" xfId="21313" xr:uid="{00000000-0005-0000-0000-00004F6A0000}"/>
    <cellStyle name="Remarque 2 5 2 12 6 4" xfId="45273" xr:uid="{00000000-0005-0000-0000-0000506A0000}"/>
    <cellStyle name="Remarque 2 5 2 12 7" xfId="11509" xr:uid="{00000000-0005-0000-0000-0000516A0000}"/>
    <cellStyle name="Remarque 2 5 2 12 7 2" xfId="35519" xr:uid="{00000000-0005-0000-0000-0000526A0000}"/>
    <cellStyle name="Remarque 2 5 2 12 7 2 2" xfId="59479" xr:uid="{00000000-0005-0000-0000-0000536A0000}"/>
    <cellStyle name="Remarque 2 5 2 12 7 3" xfId="22776" xr:uid="{00000000-0005-0000-0000-0000546A0000}"/>
    <cellStyle name="Remarque 2 5 2 12 7 4" xfId="46736" xr:uid="{00000000-0005-0000-0000-0000556A0000}"/>
    <cellStyle name="Remarque 2 5 2 12 8" xfId="12224" xr:uid="{00000000-0005-0000-0000-0000566A0000}"/>
    <cellStyle name="Remarque 2 5 2 12 8 2" xfId="23508" xr:uid="{00000000-0005-0000-0000-0000576A0000}"/>
    <cellStyle name="Remarque 2 5 2 12 8 3" xfId="47468" xr:uid="{00000000-0005-0000-0000-0000586A0000}"/>
    <cellStyle name="Remarque 2 5 2 12 9" xfId="2981" xr:uid="{00000000-0005-0000-0000-0000596A0000}"/>
    <cellStyle name="Remarque 2 5 2 12 9 2" xfId="26995" xr:uid="{00000000-0005-0000-0000-00005A6A0000}"/>
    <cellStyle name="Remarque 2 5 2 12 9 3" xfId="50955" xr:uid="{00000000-0005-0000-0000-00005B6A0000}"/>
    <cellStyle name="Remarque 2 5 2 13" xfId="1588" xr:uid="{00000000-0005-0000-0000-00005C6A0000}"/>
    <cellStyle name="Remarque 2 5 2 13 10" xfId="25620" xr:uid="{00000000-0005-0000-0000-00005D6A0000}"/>
    <cellStyle name="Remarque 2 5 2 13 10 2" xfId="49580" xr:uid="{00000000-0005-0000-0000-00005E6A0000}"/>
    <cellStyle name="Remarque 2 5 2 13 11" xfId="36847" xr:uid="{00000000-0005-0000-0000-00005F6A0000}"/>
    <cellStyle name="Remarque 2 5 2 13 11 2" xfId="60807" xr:uid="{00000000-0005-0000-0000-0000606A0000}"/>
    <cellStyle name="Remarque 2 5 2 13 12" xfId="14285" xr:uid="{00000000-0005-0000-0000-0000616A0000}"/>
    <cellStyle name="Remarque 2 5 2 13 13" xfId="38245" xr:uid="{00000000-0005-0000-0000-0000626A0000}"/>
    <cellStyle name="Remarque 2 5 2 13 2" xfId="4494" xr:uid="{00000000-0005-0000-0000-0000636A0000}"/>
    <cellStyle name="Remarque 2 5 2 13 2 2" xfId="28508" xr:uid="{00000000-0005-0000-0000-0000646A0000}"/>
    <cellStyle name="Remarque 2 5 2 13 2 2 2" xfId="52468" xr:uid="{00000000-0005-0000-0000-0000656A0000}"/>
    <cellStyle name="Remarque 2 5 2 13 2 3" xfId="15755" xr:uid="{00000000-0005-0000-0000-0000666A0000}"/>
    <cellStyle name="Remarque 2 5 2 13 2 4" xfId="39715" xr:uid="{00000000-0005-0000-0000-0000676A0000}"/>
    <cellStyle name="Remarque 2 5 2 13 3" xfId="5928" xr:uid="{00000000-0005-0000-0000-0000686A0000}"/>
    <cellStyle name="Remarque 2 5 2 13 3 2" xfId="29942" xr:uid="{00000000-0005-0000-0000-0000696A0000}"/>
    <cellStyle name="Remarque 2 5 2 13 3 2 2" xfId="53902" xr:uid="{00000000-0005-0000-0000-00006A6A0000}"/>
    <cellStyle name="Remarque 2 5 2 13 3 3" xfId="17189" xr:uid="{00000000-0005-0000-0000-00006B6A0000}"/>
    <cellStyle name="Remarque 2 5 2 13 3 4" xfId="41149" xr:uid="{00000000-0005-0000-0000-00006C6A0000}"/>
    <cellStyle name="Remarque 2 5 2 13 4" xfId="7322" xr:uid="{00000000-0005-0000-0000-00006D6A0000}"/>
    <cellStyle name="Remarque 2 5 2 13 4 2" xfId="31336" xr:uid="{00000000-0005-0000-0000-00006E6A0000}"/>
    <cellStyle name="Remarque 2 5 2 13 4 2 2" xfId="55296" xr:uid="{00000000-0005-0000-0000-00006F6A0000}"/>
    <cellStyle name="Remarque 2 5 2 13 4 3" xfId="18583" xr:uid="{00000000-0005-0000-0000-0000706A0000}"/>
    <cellStyle name="Remarque 2 5 2 13 4 4" xfId="42543" xr:uid="{00000000-0005-0000-0000-0000716A0000}"/>
    <cellStyle name="Remarque 2 5 2 13 5" xfId="8710" xr:uid="{00000000-0005-0000-0000-0000726A0000}"/>
    <cellStyle name="Remarque 2 5 2 13 5 2" xfId="32724" xr:uid="{00000000-0005-0000-0000-0000736A0000}"/>
    <cellStyle name="Remarque 2 5 2 13 5 2 2" xfId="56684" xr:uid="{00000000-0005-0000-0000-0000746A0000}"/>
    <cellStyle name="Remarque 2 5 2 13 5 3" xfId="19971" xr:uid="{00000000-0005-0000-0000-0000756A0000}"/>
    <cellStyle name="Remarque 2 5 2 13 5 4" xfId="43931" xr:uid="{00000000-0005-0000-0000-0000766A0000}"/>
    <cellStyle name="Remarque 2 5 2 13 6" xfId="10095" xr:uid="{00000000-0005-0000-0000-0000776A0000}"/>
    <cellStyle name="Remarque 2 5 2 13 6 2" xfId="34109" xr:uid="{00000000-0005-0000-0000-0000786A0000}"/>
    <cellStyle name="Remarque 2 5 2 13 6 2 2" xfId="58069" xr:uid="{00000000-0005-0000-0000-0000796A0000}"/>
    <cellStyle name="Remarque 2 5 2 13 6 3" xfId="21356" xr:uid="{00000000-0005-0000-0000-00007A6A0000}"/>
    <cellStyle name="Remarque 2 5 2 13 6 4" xfId="45316" xr:uid="{00000000-0005-0000-0000-00007B6A0000}"/>
    <cellStyle name="Remarque 2 5 2 13 7" xfId="11552" xr:uid="{00000000-0005-0000-0000-00007C6A0000}"/>
    <cellStyle name="Remarque 2 5 2 13 7 2" xfId="35562" xr:uid="{00000000-0005-0000-0000-00007D6A0000}"/>
    <cellStyle name="Remarque 2 5 2 13 7 2 2" xfId="59522" xr:uid="{00000000-0005-0000-0000-00007E6A0000}"/>
    <cellStyle name="Remarque 2 5 2 13 7 3" xfId="22819" xr:uid="{00000000-0005-0000-0000-00007F6A0000}"/>
    <cellStyle name="Remarque 2 5 2 13 7 4" xfId="46779" xr:uid="{00000000-0005-0000-0000-0000806A0000}"/>
    <cellStyle name="Remarque 2 5 2 13 8" xfId="10128" xr:uid="{00000000-0005-0000-0000-0000816A0000}"/>
    <cellStyle name="Remarque 2 5 2 13 8 2" xfId="21389" xr:uid="{00000000-0005-0000-0000-0000826A0000}"/>
    <cellStyle name="Remarque 2 5 2 13 8 3" xfId="45349" xr:uid="{00000000-0005-0000-0000-0000836A0000}"/>
    <cellStyle name="Remarque 2 5 2 13 9" xfId="3024" xr:uid="{00000000-0005-0000-0000-0000846A0000}"/>
    <cellStyle name="Remarque 2 5 2 13 9 2" xfId="27038" xr:uid="{00000000-0005-0000-0000-0000856A0000}"/>
    <cellStyle name="Remarque 2 5 2 13 9 3" xfId="50998" xr:uid="{00000000-0005-0000-0000-0000866A0000}"/>
    <cellStyle name="Remarque 2 5 2 14" xfId="213" xr:uid="{00000000-0005-0000-0000-0000876A0000}"/>
    <cellStyle name="Remarque 2 5 2 14 10" xfId="36494" xr:uid="{00000000-0005-0000-0000-0000886A0000}"/>
    <cellStyle name="Remarque 2 5 2 14 10 2" xfId="60454" xr:uid="{00000000-0005-0000-0000-0000896A0000}"/>
    <cellStyle name="Remarque 2 5 2 14 11" xfId="14380" xr:uid="{00000000-0005-0000-0000-00008A6A0000}"/>
    <cellStyle name="Remarque 2 5 2 14 12" xfId="38340" xr:uid="{00000000-0005-0000-0000-00008B6A0000}"/>
    <cellStyle name="Remarque 2 5 2 14 2" xfId="4558" xr:uid="{00000000-0005-0000-0000-00008C6A0000}"/>
    <cellStyle name="Remarque 2 5 2 14 2 2" xfId="28572" xr:uid="{00000000-0005-0000-0000-00008D6A0000}"/>
    <cellStyle name="Remarque 2 5 2 14 2 2 2" xfId="52532" xr:uid="{00000000-0005-0000-0000-00008E6A0000}"/>
    <cellStyle name="Remarque 2 5 2 14 2 3" xfId="15819" xr:uid="{00000000-0005-0000-0000-00008F6A0000}"/>
    <cellStyle name="Remarque 2 5 2 14 2 4" xfId="39779" xr:uid="{00000000-0005-0000-0000-0000906A0000}"/>
    <cellStyle name="Remarque 2 5 2 14 3" xfId="5957" xr:uid="{00000000-0005-0000-0000-0000916A0000}"/>
    <cellStyle name="Remarque 2 5 2 14 3 2" xfId="29971" xr:uid="{00000000-0005-0000-0000-0000926A0000}"/>
    <cellStyle name="Remarque 2 5 2 14 3 2 2" xfId="53931" xr:uid="{00000000-0005-0000-0000-0000936A0000}"/>
    <cellStyle name="Remarque 2 5 2 14 3 3" xfId="17218" xr:uid="{00000000-0005-0000-0000-0000946A0000}"/>
    <cellStyle name="Remarque 2 5 2 14 3 4" xfId="41178" xr:uid="{00000000-0005-0000-0000-0000956A0000}"/>
    <cellStyle name="Remarque 2 5 2 14 4" xfId="7351" xr:uid="{00000000-0005-0000-0000-0000966A0000}"/>
    <cellStyle name="Remarque 2 5 2 14 4 2" xfId="31365" xr:uid="{00000000-0005-0000-0000-0000976A0000}"/>
    <cellStyle name="Remarque 2 5 2 14 4 2 2" xfId="55325" xr:uid="{00000000-0005-0000-0000-0000986A0000}"/>
    <cellStyle name="Remarque 2 5 2 14 4 3" xfId="18612" xr:uid="{00000000-0005-0000-0000-0000996A0000}"/>
    <cellStyle name="Remarque 2 5 2 14 4 4" xfId="42572" xr:uid="{00000000-0005-0000-0000-00009A6A0000}"/>
    <cellStyle name="Remarque 2 5 2 14 5" xfId="8739" xr:uid="{00000000-0005-0000-0000-00009B6A0000}"/>
    <cellStyle name="Remarque 2 5 2 14 5 2" xfId="32753" xr:uid="{00000000-0005-0000-0000-00009C6A0000}"/>
    <cellStyle name="Remarque 2 5 2 14 5 2 2" xfId="56713" xr:uid="{00000000-0005-0000-0000-00009D6A0000}"/>
    <cellStyle name="Remarque 2 5 2 14 5 3" xfId="20000" xr:uid="{00000000-0005-0000-0000-00009E6A0000}"/>
    <cellStyle name="Remarque 2 5 2 14 5 4" xfId="43960" xr:uid="{00000000-0005-0000-0000-00009F6A0000}"/>
    <cellStyle name="Remarque 2 5 2 14 6" xfId="10179" xr:uid="{00000000-0005-0000-0000-0000A06A0000}"/>
    <cellStyle name="Remarque 2 5 2 14 6 2" xfId="34191" xr:uid="{00000000-0005-0000-0000-0000A16A0000}"/>
    <cellStyle name="Remarque 2 5 2 14 6 2 2" xfId="58151" xr:uid="{00000000-0005-0000-0000-0000A26A0000}"/>
    <cellStyle name="Remarque 2 5 2 14 6 3" xfId="21444" xr:uid="{00000000-0005-0000-0000-0000A36A0000}"/>
    <cellStyle name="Remarque 2 5 2 14 6 4" xfId="45404" xr:uid="{00000000-0005-0000-0000-0000A46A0000}"/>
    <cellStyle name="Remarque 2 5 2 14 7" xfId="11599" xr:uid="{00000000-0005-0000-0000-0000A56A0000}"/>
    <cellStyle name="Remarque 2 5 2 14 7 2" xfId="22866" xr:uid="{00000000-0005-0000-0000-0000A66A0000}"/>
    <cellStyle name="Remarque 2 5 2 14 7 3" xfId="46826" xr:uid="{00000000-0005-0000-0000-0000A76A0000}"/>
    <cellStyle name="Remarque 2 5 2 14 8" xfId="3119" xr:uid="{00000000-0005-0000-0000-0000A86A0000}"/>
    <cellStyle name="Remarque 2 5 2 14 8 2" xfId="27133" xr:uid="{00000000-0005-0000-0000-0000A96A0000}"/>
    <cellStyle name="Remarque 2 5 2 14 8 3" xfId="51093" xr:uid="{00000000-0005-0000-0000-0000AA6A0000}"/>
    <cellStyle name="Remarque 2 5 2 14 9" xfId="24245" xr:uid="{00000000-0005-0000-0000-0000AB6A0000}"/>
    <cellStyle name="Remarque 2 5 2 14 9 2" xfId="48205" xr:uid="{00000000-0005-0000-0000-0000AC6A0000}"/>
    <cellStyle name="Remarque 2 5 2 15" xfId="3088" xr:uid="{00000000-0005-0000-0000-0000AD6A0000}"/>
    <cellStyle name="Remarque 2 5 2 15 2" xfId="27102" xr:uid="{00000000-0005-0000-0000-0000AE6A0000}"/>
    <cellStyle name="Remarque 2 5 2 15 2 2" xfId="51062" xr:uid="{00000000-0005-0000-0000-0000AF6A0000}"/>
    <cellStyle name="Remarque 2 5 2 15 3" xfId="14349" xr:uid="{00000000-0005-0000-0000-0000B06A0000}"/>
    <cellStyle name="Remarque 2 5 2 15 4" xfId="38309" xr:uid="{00000000-0005-0000-0000-0000B16A0000}"/>
    <cellStyle name="Remarque 2 5 2 16" xfId="4527" xr:uid="{00000000-0005-0000-0000-0000B26A0000}"/>
    <cellStyle name="Remarque 2 5 2 16 2" xfId="28541" xr:uid="{00000000-0005-0000-0000-0000B36A0000}"/>
    <cellStyle name="Remarque 2 5 2 16 2 2" xfId="52501" xr:uid="{00000000-0005-0000-0000-0000B46A0000}"/>
    <cellStyle name="Remarque 2 5 2 16 3" xfId="15788" xr:uid="{00000000-0005-0000-0000-0000B56A0000}"/>
    <cellStyle name="Remarque 2 5 2 16 4" xfId="39748" xr:uid="{00000000-0005-0000-0000-0000B66A0000}"/>
    <cellStyle name="Remarque 2 5 2 17" xfId="3040" xr:uid="{00000000-0005-0000-0000-0000B76A0000}"/>
    <cellStyle name="Remarque 2 5 2 17 2" xfId="27054" xr:uid="{00000000-0005-0000-0000-0000B86A0000}"/>
    <cellStyle name="Remarque 2 5 2 17 2 2" xfId="51014" xr:uid="{00000000-0005-0000-0000-0000B96A0000}"/>
    <cellStyle name="Remarque 2 5 2 17 3" xfId="14301" xr:uid="{00000000-0005-0000-0000-0000BA6A0000}"/>
    <cellStyle name="Remarque 2 5 2 17 4" xfId="38261" xr:uid="{00000000-0005-0000-0000-0000BB6A0000}"/>
    <cellStyle name="Remarque 2 5 2 18" xfId="4579" xr:uid="{00000000-0005-0000-0000-0000BC6A0000}"/>
    <cellStyle name="Remarque 2 5 2 18 2" xfId="28593" xr:uid="{00000000-0005-0000-0000-0000BD6A0000}"/>
    <cellStyle name="Remarque 2 5 2 18 2 2" xfId="52553" xr:uid="{00000000-0005-0000-0000-0000BE6A0000}"/>
    <cellStyle name="Remarque 2 5 2 18 3" xfId="15840" xr:uid="{00000000-0005-0000-0000-0000BF6A0000}"/>
    <cellStyle name="Remarque 2 5 2 18 4" xfId="39800" xr:uid="{00000000-0005-0000-0000-0000C06A0000}"/>
    <cellStyle name="Remarque 2 5 2 19" xfId="5975" xr:uid="{00000000-0005-0000-0000-0000C16A0000}"/>
    <cellStyle name="Remarque 2 5 2 19 2" xfId="29989" xr:uid="{00000000-0005-0000-0000-0000C26A0000}"/>
    <cellStyle name="Remarque 2 5 2 19 2 2" xfId="53949" xr:uid="{00000000-0005-0000-0000-0000C36A0000}"/>
    <cellStyle name="Remarque 2 5 2 19 3" xfId="17236" xr:uid="{00000000-0005-0000-0000-0000C46A0000}"/>
    <cellStyle name="Remarque 2 5 2 19 4" xfId="41196" xr:uid="{00000000-0005-0000-0000-0000C56A0000}"/>
    <cellStyle name="Remarque 2 5 2 2" xfId="102" xr:uid="{00000000-0005-0000-0000-0000C66A0000}"/>
    <cellStyle name="Remarque 2 5 2 2 10" xfId="3161" xr:uid="{00000000-0005-0000-0000-0000C76A0000}"/>
    <cellStyle name="Remarque 2 5 2 2 10 2" xfId="27175" xr:uid="{00000000-0005-0000-0000-0000C86A0000}"/>
    <cellStyle name="Remarque 2 5 2 2 10 2 2" xfId="51135" xr:uid="{00000000-0005-0000-0000-0000C96A0000}"/>
    <cellStyle name="Remarque 2 5 2 2 10 3" xfId="14422" xr:uid="{00000000-0005-0000-0000-0000CA6A0000}"/>
    <cellStyle name="Remarque 2 5 2 2 10 4" xfId="38382" xr:uid="{00000000-0005-0000-0000-0000CB6A0000}"/>
    <cellStyle name="Remarque 2 5 2 2 11" xfId="4595" xr:uid="{00000000-0005-0000-0000-0000CC6A0000}"/>
    <cellStyle name="Remarque 2 5 2 2 11 2" xfId="28609" xr:uid="{00000000-0005-0000-0000-0000CD6A0000}"/>
    <cellStyle name="Remarque 2 5 2 2 11 2 2" xfId="52569" xr:uid="{00000000-0005-0000-0000-0000CE6A0000}"/>
    <cellStyle name="Remarque 2 5 2 2 11 3" xfId="15856" xr:uid="{00000000-0005-0000-0000-0000CF6A0000}"/>
    <cellStyle name="Remarque 2 5 2 2 11 4" xfId="39816" xr:uid="{00000000-0005-0000-0000-0000D06A0000}"/>
    <cellStyle name="Remarque 2 5 2 2 12" xfId="5989" xr:uid="{00000000-0005-0000-0000-0000D16A0000}"/>
    <cellStyle name="Remarque 2 5 2 2 12 2" xfId="30003" xr:uid="{00000000-0005-0000-0000-0000D26A0000}"/>
    <cellStyle name="Remarque 2 5 2 2 12 2 2" xfId="53963" xr:uid="{00000000-0005-0000-0000-0000D36A0000}"/>
    <cellStyle name="Remarque 2 5 2 2 12 3" xfId="17250" xr:uid="{00000000-0005-0000-0000-0000D46A0000}"/>
    <cellStyle name="Remarque 2 5 2 2 12 4" xfId="41210" xr:uid="{00000000-0005-0000-0000-0000D56A0000}"/>
    <cellStyle name="Remarque 2 5 2 2 13" xfId="7377" xr:uid="{00000000-0005-0000-0000-0000D66A0000}"/>
    <cellStyle name="Remarque 2 5 2 2 13 2" xfId="31391" xr:uid="{00000000-0005-0000-0000-0000D76A0000}"/>
    <cellStyle name="Remarque 2 5 2 2 13 2 2" xfId="55351" xr:uid="{00000000-0005-0000-0000-0000D86A0000}"/>
    <cellStyle name="Remarque 2 5 2 2 13 3" xfId="18638" xr:uid="{00000000-0005-0000-0000-0000D96A0000}"/>
    <cellStyle name="Remarque 2 5 2 2 13 4" xfId="42598" xr:uid="{00000000-0005-0000-0000-0000DA6A0000}"/>
    <cellStyle name="Remarque 2 5 2 2 14" xfId="8762" xr:uid="{00000000-0005-0000-0000-0000DB6A0000}"/>
    <cellStyle name="Remarque 2 5 2 2 14 2" xfId="32776" xr:uid="{00000000-0005-0000-0000-0000DC6A0000}"/>
    <cellStyle name="Remarque 2 5 2 2 14 2 2" xfId="56736" xr:uid="{00000000-0005-0000-0000-0000DD6A0000}"/>
    <cellStyle name="Remarque 2 5 2 2 14 3" xfId="20023" xr:uid="{00000000-0005-0000-0000-0000DE6A0000}"/>
    <cellStyle name="Remarque 2 5 2 2 14 4" xfId="43983" xr:uid="{00000000-0005-0000-0000-0000DF6A0000}"/>
    <cellStyle name="Remarque 2 5 2 2 15" xfId="10219" xr:uid="{00000000-0005-0000-0000-0000E06A0000}"/>
    <cellStyle name="Remarque 2 5 2 2 15 2" xfId="34229" xr:uid="{00000000-0005-0000-0000-0000E16A0000}"/>
    <cellStyle name="Remarque 2 5 2 2 15 2 2" xfId="58189" xr:uid="{00000000-0005-0000-0000-0000E26A0000}"/>
    <cellStyle name="Remarque 2 5 2 2 15 3" xfId="21486" xr:uid="{00000000-0005-0000-0000-0000E36A0000}"/>
    <cellStyle name="Remarque 2 5 2 2 15 4" xfId="45446" xr:uid="{00000000-0005-0000-0000-0000E46A0000}"/>
    <cellStyle name="Remarque 2 5 2 2 16" xfId="12862" xr:uid="{00000000-0005-0000-0000-0000E56A0000}"/>
    <cellStyle name="Remarque 2 5 2 2 16 2" xfId="24174" xr:uid="{00000000-0005-0000-0000-0000E66A0000}"/>
    <cellStyle name="Remarque 2 5 2 2 16 3" xfId="48134" xr:uid="{00000000-0005-0000-0000-0000E76A0000}"/>
    <cellStyle name="Remarque 2 5 2 2 17" xfId="1691" xr:uid="{00000000-0005-0000-0000-0000E86A0000}"/>
    <cellStyle name="Remarque 2 5 2 2 17 2" xfId="25705" xr:uid="{00000000-0005-0000-0000-0000E96A0000}"/>
    <cellStyle name="Remarque 2 5 2 2 17 3" xfId="49665" xr:uid="{00000000-0005-0000-0000-0000EA6A0000}"/>
    <cellStyle name="Remarque 2 5 2 2 18" xfId="24287" xr:uid="{00000000-0005-0000-0000-0000EB6A0000}"/>
    <cellStyle name="Remarque 2 5 2 2 18 2" xfId="48247" xr:uid="{00000000-0005-0000-0000-0000EC6A0000}"/>
    <cellStyle name="Remarque 2 5 2 2 19" xfId="35613" xr:uid="{00000000-0005-0000-0000-0000ED6A0000}"/>
    <cellStyle name="Remarque 2 5 2 2 19 2" xfId="59573" xr:uid="{00000000-0005-0000-0000-0000EE6A0000}"/>
    <cellStyle name="Remarque 2 5 2 2 2" xfId="430" xr:uid="{00000000-0005-0000-0000-0000EF6A0000}"/>
    <cellStyle name="Remarque 2 5 2 2 2 10" xfId="6164" xr:uid="{00000000-0005-0000-0000-0000F06A0000}"/>
    <cellStyle name="Remarque 2 5 2 2 2 10 2" xfId="30178" xr:uid="{00000000-0005-0000-0000-0000F16A0000}"/>
    <cellStyle name="Remarque 2 5 2 2 2 10 2 2" xfId="54138" xr:uid="{00000000-0005-0000-0000-0000F26A0000}"/>
    <cellStyle name="Remarque 2 5 2 2 2 10 3" xfId="17425" xr:uid="{00000000-0005-0000-0000-0000F36A0000}"/>
    <cellStyle name="Remarque 2 5 2 2 2 10 4" xfId="41385" xr:uid="{00000000-0005-0000-0000-0000F46A0000}"/>
    <cellStyle name="Remarque 2 5 2 2 2 11" xfId="7552" xr:uid="{00000000-0005-0000-0000-0000F56A0000}"/>
    <cellStyle name="Remarque 2 5 2 2 2 11 2" xfId="31566" xr:uid="{00000000-0005-0000-0000-0000F66A0000}"/>
    <cellStyle name="Remarque 2 5 2 2 2 11 2 2" xfId="55526" xr:uid="{00000000-0005-0000-0000-0000F76A0000}"/>
    <cellStyle name="Remarque 2 5 2 2 2 11 3" xfId="18813" xr:uid="{00000000-0005-0000-0000-0000F86A0000}"/>
    <cellStyle name="Remarque 2 5 2 2 2 11 4" xfId="42773" xr:uid="{00000000-0005-0000-0000-0000F96A0000}"/>
    <cellStyle name="Remarque 2 5 2 2 2 12" xfId="8937" xr:uid="{00000000-0005-0000-0000-0000FA6A0000}"/>
    <cellStyle name="Remarque 2 5 2 2 2 12 2" xfId="32951" xr:uid="{00000000-0005-0000-0000-0000FB6A0000}"/>
    <cellStyle name="Remarque 2 5 2 2 2 12 2 2" xfId="56911" xr:uid="{00000000-0005-0000-0000-0000FC6A0000}"/>
    <cellStyle name="Remarque 2 5 2 2 2 12 3" xfId="20198" xr:uid="{00000000-0005-0000-0000-0000FD6A0000}"/>
    <cellStyle name="Remarque 2 5 2 2 2 12 4" xfId="44158" xr:uid="{00000000-0005-0000-0000-0000FE6A0000}"/>
    <cellStyle name="Remarque 2 5 2 2 2 13" xfId="10394" xr:uid="{00000000-0005-0000-0000-0000FF6A0000}"/>
    <cellStyle name="Remarque 2 5 2 2 2 13 2" xfId="34404" xr:uid="{00000000-0005-0000-0000-0000006B0000}"/>
    <cellStyle name="Remarque 2 5 2 2 2 13 2 2" xfId="58364" xr:uid="{00000000-0005-0000-0000-0000016B0000}"/>
    <cellStyle name="Remarque 2 5 2 2 2 13 3" xfId="21661" xr:uid="{00000000-0005-0000-0000-0000026B0000}"/>
    <cellStyle name="Remarque 2 5 2 2 2 13 4" xfId="45621" xr:uid="{00000000-0005-0000-0000-0000036B0000}"/>
    <cellStyle name="Remarque 2 5 2 2 2 14" xfId="12882" xr:uid="{00000000-0005-0000-0000-0000046B0000}"/>
    <cellStyle name="Remarque 2 5 2 2 2 14 2" xfId="24194" xr:uid="{00000000-0005-0000-0000-0000056B0000}"/>
    <cellStyle name="Remarque 2 5 2 2 2 14 3" xfId="48154" xr:uid="{00000000-0005-0000-0000-0000066B0000}"/>
    <cellStyle name="Remarque 2 5 2 2 2 15" xfId="1866" xr:uid="{00000000-0005-0000-0000-0000076B0000}"/>
    <cellStyle name="Remarque 2 5 2 2 2 15 2" xfId="25880" xr:uid="{00000000-0005-0000-0000-0000086B0000}"/>
    <cellStyle name="Remarque 2 5 2 2 2 15 3" xfId="49840" xr:uid="{00000000-0005-0000-0000-0000096B0000}"/>
    <cellStyle name="Remarque 2 5 2 2 2 16" xfId="24462" xr:uid="{00000000-0005-0000-0000-00000A6B0000}"/>
    <cellStyle name="Remarque 2 5 2 2 2 16 2" xfId="48422" xr:uid="{00000000-0005-0000-0000-00000B6B0000}"/>
    <cellStyle name="Remarque 2 5 2 2 2 17" xfId="36013" xr:uid="{00000000-0005-0000-0000-00000C6B0000}"/>
    <cellStyle name="Remarque 2 5 2 2 2 17 2" xfId="59973" xr:uid="{00000000-0005-0000-0000-00000D6B0000}"/>
    <cellStyle name="Remarque 2 5 2 2 2 18" xfId="13127" xr:uid="{00000000-0005-0000-0000-00000E6B0000}"/>
    <cellStyle name="Remarque 2 5 2 2 2 19" xfId="37087" xr:uid="{00000000-0005-0000-0000-00000F6B0000}"/>
    <cellStyle name="Remarque 2 5 2 2 2 2" xfId="566" xr:uid="{00000000-0005-0000-0000-0000106B0000}"/>
    <cellStyle name="Remarque 2 5 2 2 2 2 10" xfId="24598" xr:uid="{00000000-0005-0000-0000-0000116B0000}"/>
    <cellStyle name="Remarque 2 5 2 2 2 2 10 2" xfId="48558" xr:uid="{00000000-0005-0000-0000-0000126B0000}"/>
    <cellStyle name="Remarque 2 5 2 2 2 2 11" xfId="36615" xr:uid="{00000000-0005-0000-0000-0000136B0000}"/>
    <cellStyle name="Remarque 2 5 2 2 2 2 11 2" xfId="60575" xr:uid="{00000000-0005-0000-0000-0000146B0000}"/>
    <cellStyle name="Remarque 2 5 2 2 2 2 12" xfId="13263" xr:uid="{00000000-0005-0000-0000-0000156B0000}"/>
    <cellStyle name="Remarque 2 5 2 2 2 2 13" xfId="37223" xr:uid="{00000000-0005-0000-0000-0000166B0000}"/>
    <cellStyle name="Remarque 2 5 2 2 2 2 2" xfId="3472" xr:uid="{00000000-0005-0000-0000-0000176B0000}"/>
    <cellStyle name="Remarque 2 5 2 2 2 2 2 2" xfId="27486" xr:uid="{00000000-0005-0000-0000-0000186B0000}"/>
    <cellStyle name="Remarque 2 5 2 2 2 2 2 2 2" xfId="51446" xr:uid="{00000000-0005-0000-0000-0000196B0000}"/>
    <cellStyle name="Remarque 2 5 2 2 2 2 2 3" xfId="14733" xr:uid="{00000000-0005-0000-0000-00001A6B0000}"/>
    <cellStyle name="Remarque 2 5 2 2 2 2 2 4" xfId="38693" xr:uid="{00000000-0005-0000-0000-00001B6B0000}"/>
    <cellStyle name="Remarque 2 5 2 2 2 2 3" xfId="4906" xr:uid="{00000000-0005-0000-0000-00001C6B0000}"/>
    <cellStyle name="Remarque 2 5 2 2 2 2 3 2" xfId="28920" xr:uid="{00000000-0005-0000-0000-00001D6B0000}"/>
    <cellStyle name="Remarque 2 5 2 2 2 2 3 2 2" xfId="52880" xr:uid="{00000000-0005-0000-0000-00001E6B0000}"/>
    <cellStyle name="Remarque 2 5 2 2 2 2 3 3" xfId="16167" xr:uid="{00000000-0005-0000-0000-00001F6B0000}"/>
    <cellStyle name="Remarque 2 5 2 2 2 2 3 4" xfId="40127" xr:uid="{00000000-0005-0000-0000-0000206B0000}"/>
    <cellStyle name="Remarque 2 5 2 2 2 2 4" xfId="6300" xr:uid="{00000000-0005-0000-0000-0000216B0000}"/>
    <cellStyle name="Remarque 2 5 2 2 2 2 4 2" xfId="30314" xr:uid="{00000000-0005-0000-0000-0000226B0000}"/>
    <cellStyle name="Remarque 2 5 2 2 2 2 4 2 2" xfId="54274" xr:uid="{00000000-0005-0000-0000-0000236B0000}"/>
    <cellStyle name="Remarque 2 5 2 2 2 2 4 3" xfId="17561" xr:uid="{00000000-0005-0000-0000-0000246B0000}"/>
    <cellStyle name="Remarque 2 5 2 2 2 2 4 4" xfId="41521" xr:uid="{00000000-0005-0000-0000-0000256B0000}"/>
    <cellStyle name="Remarque 2 5 2 2 2 2 5" xfId="7688" xr:uid="{00000000-0005-0000-0000-0000266B0000}"/>
    <cellStyle name="Remarque 2 5 2 2 2 2 5 2" xfId="31702" xr:uid="{00000000-0005-0000-0000-0000276B0000}"/>
    <cellStyle name="Remarque 2 5 2 2 2 2 5 2 2" xfId="55662" xr:uid="{00000000-0005-0000-0000-0000286B0000}"/>
    <cellStyle name="Remarque 2 5 2 2 2 2 5 3" xfId="18949" xr:uid="{00000000-0005-0000-0000-0000296B0000}"/>
    <cellStyle name="Remarque 2 5 2 2 2 2 5 4" xfId="42909" xr:uid="{00000000-0005-0000-0000-00002A6B0000}"/>
    <cellStyle name="Remarque 2 5 2 2 2 2 6" xfId="9073" xr:uid="{00000000-0005-0000-0000-00002B6B0000}"/>
    <cellStyle name="Remarque 2 5 2 2 2 2 6 2" xfId="33087" xr:uid="{00000000-0005-0000-0000-00002C6B0000}"/>
    <cellStyle name="Remarque 2 5 2 2 2 2 6 2 2" xfId="57047" xr:uid="{00000000-0005-0000-0000-00002D6B0000}"/>
    <cellStyle name="Remarque 2 5 2 2 2 2 6 3" xfId="20334" xr:uid="{00000000-0005-0000-0000-00002E6B0000}"/>
    <cellStyle name="Remarque 2 5 2 2 2 2 6 4" xfId="44294" xr:uid="{00000000-0005-0000-0000-00002F6B0000}"/>
    <cellStyle name="Remarque 2 5 2 2 2 2 7" xfId="10530" xr:uid="{00000000-0005-0000-0000-0000306B0000}"/>
    <cellStyle name="Remarque 2 5 2 2 2 2 7 2" xfId="34540" xr:uid="{00000000-0005-0000-0000-0000316B0000}"/>
    <cellStyle name="Remarque 2 5 2 2 2 2 7 2 2" xfId="58500" xr:uid="{00000000-0005-0000-0000-0000326B0000}"/>
    <cellStyle name="Remarque 2 5 2 2 2 2 7 3" xfId="21797" xr:uid="{00000000-0005-0000-0000-0000336B0000}"/>
    <cellStyle name="Remarque 2 5 2 2 2 2 7 4" xfId="45757" xr:uid="{00000000-0005-0000-0000-0000346B0000}"/>
    <cellStyle name="Remarque 2 5 2 2 2 2 8" xfId="11588" xr:uid="{00000000-0005-0000-0000-0000356B0000}"/>
    <cellStyle name="Remarque 2 5 2 2 2 2 8 2" xfId="22855" xr:uid="{00000000-0005-0000-0000-0000366B0000}"/>
    <cellStyle name="Remarque 2 5 2 2 2 2 8 3" xfId="46815" xr:uid="{00000000-0005-0000-0000-0000376B0000}"/>
    <cellStyle name="Remarque 2 5 2 2 2 2 9" xfId="2002" xr:uid="{00000000-0005-0000-0000-0000386B0000}"/>
    <cellStyle name="Remarque 2 5 2 2 2 2 9 2" xfId="26016" xr:uid="{00000000-0005-0000-0000-0000396B0000}"/>
    <cellStyle name="Remarque 2 5 2 2 2 2 9 3" xfId="49976" xr:uid="{00000000-0005-0000-0000-00003A6B0000}"/>
    <cellStyle name="Remarque 2 5 2 2 2 3" xfId="758" xr:uid="{00000000-0005-0000-0000-00003B6B0000}"/>
    <cellStyle name="Remarque 2 5 2 2 2 3 10" xfId="24790" xr:uid="{00000000-0005-0000-0000-00003C6B0000}"/>
    <cellStyle name="Remarque 2 5 2 2 2 3 10 2" xfId="48750" xr:uid="{00000000-0005-0000-0000-00003D6B0000}"/>
    <cellStyle name="Remarque 2 5 2 2 2 3 11" xfId="36743" xr:uid="{00000000-0005-0000-0000-00003E6B0000}"/>
    <cellStyle name="Remarque 2 5 2 2 2 3 11 2" xfId="60703" xr:uid="{00000000-0005-0000-0000-00003F6B0000}"/>
    <cellStyle name="Remarque 2 5 2 2 2 3 12" xfId="13455" xr:uid="{00000000-0005-0000-0000-0000406B0000}"/>
    <cellStyle name="Remarque 2 5 2 2 2 3 13" xfId="37415" xr:uid="{00000000-0005-0000-0000-0000416B0000}"/>
    <cellStyle name="Remarque 2 5 2 2 2 3 2" xfId="3664" xr:uid="{00000000-0005-0000-0000-0000426B0000}"/>
    <cellStyle name="Remarque 2 5 2 2 2 3 2 2" xfId="27678" xr:uid="{00000000-0005-0000-0000-0000436B0000}"/>
    <cellStyle name="Remarque 2 5 2 2 2 3 2 2 2" xfId="51638" xr:uid="{00000000-0005-0000-0000-0000446B0000}"/>
    <cellStyle name="Remarque 2 5 2 2 2 3 2 3" xfId="14925" xr:uid="{00000000-0005-0000-0000-0000456B0000}"/>
    <cellStyle name="Remarque 2 5 2 2 2 3 2 4" xfId="38885" xr:uid="{00000000-0005-0000-0000-0000466B0000}"/>
    <cellStyle name="Remarque 2 5 2 2 2 3 3" xfId="5098" xr:uid="{00000000-0005-0000-0000-0000476B0000}"/>
    <cellStyle name="Remarque 2 5 2 2 2 3 3 2" xfId="29112" xr:uid="{00000000-0005-0000-0000-0000486B0000}"/>
    <cellStyle name="Remarque 2 5 2 2 2 3 3 2 2" xfId="53072" xr:uid="{00000000-0005-0000-0000-0000496B0000}"/>
    <cellStyle name="Remarque 2 5 2 2 2 3 3 3" xfId="16359" xr:uid="{00000000-0005-0000-0000-00004A6B0000}"/>
    <cellStyle name="Remarque 2 5 2 2 2 3 3 4" xfId="40319" xr:uid="{00000000-0005-0000-0000-00004B6B0000}"/>
    <cellStyle name="Remarque 2 5 2 2 2 3 4" xfId="6492" xr:uid="{00000000-0005-0000-0000-00004C6B0000}"/>
    <cellStyle name="Remarque 2 5 2 2 2 3 4 2" xfId="30506" xr:uid="{00000000-0005-0000-0000-00004D6B0000}"/>
    <cellStyle name="Remarque 2 5 2 2 2 3 4 2 2" xfId="54466" xr:uid="{00000000-0005-0000-0000-00004E6B0000}"/>
    <cellStyle name="Remarque 2 5 2 2 2 3 4 3" xfId="17753" xr:uid="{00000000-0005-0000-0000-00004F6B0000}"/>
    <cellStyle name="Remarque 2 5 2 2 2 3 4 4" xfId="41713" xr:uid="{00000000-0005-0000-0000-0000506B0000}"/>
    <cellStyle name="Remarque 2 5 2 2 2 3 5" xfId="7880" xr:uid="{00000000-0005-0000-0000-0000516B0000}"/>
    <cellStyle name="Remarque 2 5 2 2 2 3 5 2" xfId="31894" xr:uid="{00000000-0005-0000-0000-0000526B0000}"/>
    <cellStyle name="Remarque 2 5 2 2 2 3 5 2 2" xfId="55854" xr:uid="{00000000-0005-0000-0000-0000536B0000}"/>
    <cellStyle name="Remarque 2 5 2 2 2 3 5 3" xfId="19141" xr:uid="{00000000-0005-0000-0000-0000546B0000}"/>
    <cellStyle name="Remarque 2 5 2 2 2 3 5 4" xfId="43101" xr:uid="{00000000-0005-0000-0000-0000556B0000}"/>
    <cellStyle name="Remarque 2 5 2 2 2 3 6" xfId="9265" xr:uid="{00000000-0005-0000-0000-0000566B0000}"/>
    <cellStyle name="Remarque 2 5 2 2 2 3 6 2" xfId="33279" xr:uid="{00000000-0005-0000-0000-0000576B0000}"/>
    <cellStyle name="Remarque 2 5 2 2 2 3 6 2 2" xfId="57239" xr:uid="{00000000-0005-0000-0000-0000586B0000}"/>
    <cellStyle name="Remarque 2 5 2 2 2 3 6 3" xfId="20526" xr:uid="{00000000-0005-0000-0000-0000596B0000}"/>
    <cellStyle name="Remarque 2 5 2 2 2 3 6 4" xfId="44486" xr:uid="{00000000-0005-0000-0000-00005A6B0000}"/>
    <cellStyle name="Remarque 2 5 2 2 2 3 7" xfId="10722" xr:uid="{00000000-0005-0000-0000-00005B6B0000}"/>
    <cellStyle name="Remarque 2 5 2 2 2 3 7 2" xfId="34732" xr:uid="{00000000-0005-0000-0000-00005C6B0000}"/>
    <cellStyle name="Remarque 2 5 2 2 2 3 7 2 2" xfId="58692" xr:uid="{00000000-0005-0000-0000-00005D6B0000}"/>
    <cellStyle name="Remarque 2 5 2 2 2 3 7 3" xfId="21989" xr:uid="{00000000-0005-0000-0000-00005E6B0000}"/>
    <cellStyle name="Remarque 2 5 2 2 2 3 7 4" xfId="45949" xr:uid="{00000000-0005-0000-0000-00005F6B0000}"/>
    <cellStyle name="Remarque 2 5 2 2 2 3 8" xfId="12832" xr:uid="{00000000-0005-0000-0000-0000606B0000}"/>
    <cellStyle name="Remarque 2 5 2 2 2 3 8 2" xfId="24143" xr:uid="{00000000-0005-0000-0000-0000616B0000}"/>
    <cellStyle name="Remarque 2 5 2 2 2 3 8 3" xfId="48103" xr:uid="{00000000-0005-0000-0000-0000626B0000}"/>
    <cellStyle name="Remarque 2 5 2 2 2 3 9" xfId="2194" xr:uid="{00000000-0005-0000-0000-0000636B0000}"/>
    <cellStyle name="Remarque 2 5 2 2 2 3 9 2" xfId="26208" xr:uid="{00000000-0005-0000-0000-0000646B0000}"/>
    <cellStyle name="Remarque 2 5 2 2 2 3 9 3" xfId="50168" xr:uid="{00000000-0005-0000-0000-0000656B0000}"/>
    <cellStyle name="Remarque 2 5 2 2 2 4" xfId="952" xr:uid="{00000000-0005-0000-0000-0000666B0000}"/>
    <cellStyle name="Remarque 2 5 2 2 2 4 10" xfId="24984" xr:uid="{00000000-0005-0000-0000-0000676B0000}"/>
    <cellStyle name="Remarque 2 5 2 2 2 4 10 2" xfId="48944" xr:uid="{00000000-0005-0000-0000-0000686B0000}"/>
    <cellStyle name="Remarque 2 5 2 2 2 4 11" xfId="35866" xr:uid="{00000000-0005-0000-0000-0000696B0000}"/>
    <cellStyle name="Remarque 2 5 2 2 2 4 11 2" xfId="59826" xr:uid="{00000000-0005-0000-0000-00006A6B0000}"/>
    <cellStyle name="Remarque 2 5 2 2 2 4 12" xfId="13649" xr:uid="{00000000-0005-0000-0000-00006B6B0000}"/>
    <cellStyle name="Remarque 2 5 2 2 2 4 13" xfId="37609" xr:uid="{00000000-0005-0000-0000-00006C6B0000}"/>
    <cellStyle name="Remarque 2 5 2 2 2 4 2" xfId="3858" xr:uid="{00000000-0005-0000-0000-00006D6B0000}"/>
    <cellStyle name="Remarque 2 5 2 2 2 4 2 2" xfId="27872" xr:uid="{00000000-0005-0000-0000-00006E6B0000}"/>
    <cellStyle name="Remarque 2 5 2 2 2 4 2 2 2" xfId="51832" xr:uid="{00000000-0005-0000-0000-00006F6B0000}"/>
    <cellStyle name="Remarque 2 5 2 2 2 4 2 3" xfId="15119" xr:uid="{00000000-0005-0000-0000-0000706B0000}"/>
    <cellStyle name="Remarque 2 5 2 2 2 4 2 4" xfId="39079" xr:uid="{00000000-0005-0000-0000-0000716B0000}"/>
    <cellStyle name="Remarque 2 5 2 2 2 4 3" xfId="5292" xr:uid="{00000000-0005-0000-0000-0000726B0000}"/>
    <cellStyle name="Remarque 2 5 2 2 2 4 3 2" xfId="29306" xr:uid="{00000000-0005-0000-0000-0000736B0000}"/>
    <cellStyle name="Remarque 2 5 2 2 2 4 3 2 2" xfId="53266" xr:uid="{00000000-0005-0000-0000-0000746B0000}"/>
    <cellStyle name="Remarque 2 5 2 2 2 4 3 3" xfId="16553" xr:uid="{00000000-0005-0000-0000-0000756B0000}"/>
    <cellStyle name="Remarque 2 5 2 2 2 4 3 4" xfId="40513" xr:uid="{00000000-0005-0000-0000-0000766B0000}"/>
    <cellStyle name="Remarque 2 5 2 2 2 4 4" xfId="6686" xr:uid="{00000000-0005-0000-0000-0000776B0000}"/>
    <cellStyle name="Remarque 2 5 2 2 2 4 4 2" xfId="30700" xr:uid="{00000000-0005-0000-0000-0000786B0000}"/>
    <cellStyle name="Remarque 2 5 2 2 2 4 4 2 2" xfId="54660" xr:uid="{00000000-0005-0000-0000-0000796B0000}"/>
    <cellStyle name="Remarque 2 5 2 2 2 4 4 3" xfId="17947" xr:uid="{00000000-0005-0000-0000-00007A6B0000}"/>
    <cellStyle name="Remarque 2 5 2 2 2 4 4 4" xfId="41907" xr:uid="{00000000-0005-0000-0000-00007B6B0000}"/>
    <cellStyle name="Remarque 2 5 2 2 2 4 5" xfId="8074" xr:uid="{00000000-0005-0000-0000-00007C6B0000}"/>
    <cellStyle name="Remarque 2 5 2 2 2 4 5 2" xfId="32088" xr:uid="{00000000-0005-0000-0000-00007D6B0000}"/>
    <cellStyle name="Remarque 2 5 2 2 2 4 5 2 2" xfId="56048" xr:uid="{00000000-0005-0000-0000-00007E6B0000}"/>
    <cellStyle name="Remarque 2 5 2 2 2 4 5 3" xfId="19335" xr:uid="{00000000-0005-0000-0000-00007F6B0000}"/>
    <cellStyle name="Remarque 2 5 2 2 2 4 5 4" xfId="43295" xr:uid="{00000000-0005-0000-0000-0000806B0000}"/>
    <cellStyle name="Remarque 2 5 2 2 2 4 6" xfId="9459" xr:uid="{00000000-0005-0000-0000-0000816B0000}"/>
    <cellStyle name="Remarque 2 5 2 2 2 4 6 2" xfId="33473" xr:uid="{00000000-0005-0000-0000-0000826B0000}"/>
    <cellStyle name="Remarque 2 5 2 2 2 4 6 2 2" xfId="57433" xr:uid="{00000000-0005-0000-0000-0000836B0000}"/>
    <cellStyle name="Remarque 2 5 2 2 2 4 6 3" xfId="20720" xr:uid="{00000000-0005-0000-0000-0000846B0000}"/>
    <cellStyle name="Remarque 2 5 2 2 2 4 6 4" xfId="44680" xr:uid="{00000000-0005-0000-0000-0000856B0000}"/>
    <cellStyle name="Remarque 2 5 2 2 2 4 7" xfId="10916" xr:uid="{00000000-0005-0000-0000-0000866B0000}"/>
    <cellStyle name="Remarque 2 5 2 2 2 4 7 2" xfId="34926" xr:uid="{00000000-0005-0000-0000-0000876B0000}"/>
    <cellStyle name="Remarque 2 5 2 2 2 4 7 2 2" xfId="58886" xr:uid="{00000000-0005-0000-0000-0000886B0000}"/>
    <cellStyle name="Remarque 2 5 2 2 2 4 7 3" xfId="22183" xr:uid="{00000000-0005-0000-0000-0000896B0000}"/>
    <cellStyle name="Remarque 2 5 2 2 2 4 7 4" xfId="46143" xr:uid="{00000000-0005-0000-0000-00008A6B0000}"/>
    <cellStyle name="Remarque 2 5 2 2 2 4 8" xfId="12756" xr:uid="{00000000-0005-0000-0000-00008B6B0000}"/>
    <cellStyle name="Remarque 2 5 2 2 2 4 8 2" xfId="24063" xr:uid="{00000000-0005-0000-0000-00008C6B0000}"/>
    <cellStyle name="Remarque 2 5 2 2 2 4 8 3" xfId="48023" xr:uid="{00000000-0005-0000-0000-00008D6B0000}"/>
    <cellStyle name="Remarque 2 5 2 2 2 4 9" xfId="2388" xr:uid="{00000000-0005-0000-0000-00008E6B0000}"/>
    <cellStyle name="Remarque 2 5 2 2 2 4 9 2" xfId="26402" xr:uid="{00000000-0005-0000-0000-00008F6B0000}"/>
    <cellStyle name="Remarque 2 5 2 2 2 4 9 3" xfId="50362" xr:uid="{00000000-0005-0000-0000-0000906B0000}"/>
    <cellStyle name="Remarque 2 5 2 2 2 5" xfId="1145" xr:uid="{00000000-0005-0000-0000-0000916B0000}"/>
    <cellStyle name="Remarque 2 5 2 2 2 5 10" xfId="25177" xr:uid="{00000000-0005-0000-0000-0000926B0000}"/>
    <cellStyle name="Remarque 2 5 2 2 2 5 10 2" xfId="49137" xr:uid="{00000000-0005-0000-0000-0000936B0000}"/>
    <cellStyle name="Remarque 2 5 2 2 2 5 11" xfId="35969" xr:uid="{00000000-0005-0000-0000-0000946B0000}"/>
    <cellStyle name="Remarque 2 5 2 2 2 5 11 2" xfId="59929" xr:uid="{00000000-0005-0000-0000-0000956B0000}"/>
    <cellStyle name="Remarque 2 5 2 2 2 5 12" xfId="13842" xr:uid="{00000000-0005-0000-0000-0000966B0000}"/>
    <cellStyle name="Remarque 2 5 2 2 2 5 13" xfId="37802" xr:uid="{00000000-0005-0000-0000-0000976B0000}"/>
    <cellStyle name="Remarque 2 5 2 2 2 5 2" xfId="4051" xr:uid="{00000000-0005-0000-0000-0000986B0000}"/>
    <cellStyle name="Remarque 2 5 2 2 2 5 2 2" xfId="28065" xr:uid="{00000000-0005-0000-0000-0000996B0000}"/>
    <cellStyle name="Remarque 2 5 2 2 2 5 2 2 2" xfId="52025" xr:uid="{00000000-0005-0000-0000-00009A6B0000}"/>
    <cellStyle name="Remarque 2 5 2 2 2 5 2 3" xfId="15312" xr:uid="{00000000-0005-0000-0000-00009B6B0000}"/>
    <cellStyle name="Remarque 2 5 2 2 2 5 2 4" xfId="39272" xr:uid="{00000000-0005-0000-0000-00009C6B0000}"/>
    <cellStyle name="Remarque 2 5 2 2 2 5 3" xfId="5485" xr:uid="{00000000-0005-0000-0000-00009D6B0000}"/>
    <cellStyle name="Remarque 2 5 2 2 2 5 3 2" xfId="29499" xr:uid="{00000000-0005-0000-0000-00009E6B0000}"/>
    <cellStyle name="Remarque 2 5 2 2 2 5 3 2 2" xfId="53459" xr:uid="{00000000-0005-0000-0000-00009F6B0000}"/>
    <cellStyle name="Remarque 2 5 2 2 2 5 3 3" xfId="16746" xr:uid="{00000000-0005-0000-0000-0000A06B0000}"/>
    <cellStyle name="Remarque 2 5 2 2 2 5 3 4" xfId="40706" xr:uid="{00000000-0005-0000-0000-0000A16B0000}"/>
    <cellStyle name="Remarque 2 5 2 2 2 5 4" xfId="6879" xr:uid="{00000000-0005-0000-0000-0000A26B0000}"/>
    <cellStyle name="Remarque 2 5 2 2 2 5 4 2" xfId="30893" xr:uid="{00000000-0005-0000-0000-0000A36B0000}"/>
    <cellStyle name="Remarque 2 5 2 2 2 5 4 2 2" xfId="54853" xr:uid="{00000000-0005-0000-0000-0000A46B0000}"/>
    <cellStyle name="Remarque 2 5 2 2 2 5 4 3" xfId="18140" xr:uid="{00000000-0005-0000-0000-0000A56B0000}"/>
    <cellStyle name="Remarque 2 5 2 2 2 5 4 4" xfId="42100" xr:uid="{00000000-0005-0000-0000-0000A66B0000}"/>
    <cellStyle name="Remarque 2 5 2 2 2 5 5" xfId="8267" xr:uid="{00000000-0005-0000-0000-0000A76B0000}"/>
    <cellStyle name="Remarque 2 5 2 2 2 5 5 2" xfId="32281" xr:uid="{00000000-0005-0000-0000-0000A86B0000}"/>
    <cellStyle name="Remarque 2 5 2 2 2 5 5 2 2" xfId="56241" xr:uid="{00000000-0005-0000-0000-0000A96B0000}"/>
    <cellStyle name="Remarque 2 5 2 2 2 5 5 3" xfId="19528" xr:uid="{00000000-0005-0000-0000-0000AA6B0000}"/>
    <cellStyle name="Remarque 2 5 2 2 2 5 5 4" xfId="43488" xr:uid="{00000000-0005-0000-0000-0000AB6B0000}"/>
    <cellStyle name="Remarque 2 5 2 2 2 5 6" xfId="9652" xr:uid="{00000000-0005-0000-0000-0000AC6B0000}"/>
    <cellStyle name="Remarque 2 5 2 2 2 5 6 2" xfId="33666" xr:uid="{00000000-0005-0000-0000-0000AD6B0000}"/>
    <cellStyle name="Remarque 2 5 2 2 2 5 6 2 2" xfId="57626" xr:uid="{00000000-0005-0000-0000-0000AE6B0000}"/>
    <cellStyle name="Remarque 2 5 2 2 2 5 6 3" xfId="20913" xr:uid="{00000000-0005-0000-0000-0000AF6B0000}"/>
    <cellStyle name="Remarque 2 5 2 2 2 5 6 4" xfId="44873" xr:uid="{00000000-0005-0000-0000-0000B06B0000}"/>
    <cellStyle name="Remarque 2 5 2 2 2 5 7" xfId="11109" xr:uid="{00000000-0005-0000-0000-0000B16B0000}"/>
    <cellStyle name="Remarque 2 5 2 2 2 5 7 2" xfId="35119" xr:uid="{00000000-0005-0000-0000-0000B26B0000}"/>
    <cellStyle name="Remarque 2 5 2 2 2 5 7 2 2" xfId="59079" xr:uid="{00000000-0005-0000-0000-0000B36B0000}"/>
    <cellStyle name="Remarque 2 5 2 2 2 5 7 3" xfId="22376" xr:uid="{00000000-0005-0000-0000-0000B46B0000}"/>
    <cellStyle name="Remarque 2 5 2 2 2 5 7 4" xfId="46336" xr:uid="{00000000-0005-0000-0000-0000B56B0000}"/>
    <cellStyle name="Remarque 2 5 2 2 2 5 8" xfId="12185" xr:uid="{00000000-0005-0000-0000-0000B66B0000}"/>
    <cellStyle name="Remarque 2 5 2 2 2 5 8 2" xfId="23468" xr:uid="{00000000-0005-0000-0000-0000B76B0000}"/>
    <cellStyle name="Remarque 2 5 2 2 2 5 8 3" xfId="47428" xr:uid="{00000000-0005-0000-0000-0000B86B0000}"/>
    <cellStyle name="Remarque 2 5 2 2 2 5 9" xfId="2581" xr:uid="{00000000-0005-0000-0000-0000B96B0000}"/>
    <cellStyle name="Remarque 2 5 2 2 2 5 9 2" xfId="26595" xr:uid="{00000000-0005-0000-0000-0000BA6B0000}"/>
    <cellStyle name="Remarque 2 5 2 2 2 5 9 3" xfId="50555" xr:uid="{00000000-0005-0000-0000-0000BB6B0000}"/>
    <cellStyle name="Remarque 2 5 2 2 2 6" xfId="1312" xr:uid="{00000000-0005-0000-0000-0000BC6B0000}"/>
    <cellStyle name="Remarque 2 5 2 2 2 6 10" xfId="25344" xr:uid="{00000000-0005-0000-0000-0000BD6B0000}"/>
    <cellStyle name="Remarque 2 5 2 2 2 6 10 2" xfId="49304" xr:uid="{00000000-0005-0000-0000-0000BE6B0000}"/>
    <cellStyle name="Remarque 2 5 2 2 2 6 11" xfId="23149" xr:uid="{00000000-0005-0000-0000-0000BF6B0000}"/>
    <cellStyle name="Remarque 2 5 2 2 2 6 11 2" xfId="47109" xr:uid="{00000000-0005-0000-0000-0000C06B0000}"/>
    <cellStyle name="Remarque 2 5 2 2 2 6 12" xfId="14009" xr:uid="{00000000-0005-0000-0000-0000C16B0000}"/>
    <cellStyle name="Remarque 2 5 2 2 2 6 13" xfId="37969" xr:uid="{00000000-0005-0000-0000-0000C26B0000}"/>
    <cellStyle name="Remarque 2 5 2 2 2 6 2" xfId="4218" xr:uid="{00000000-0005-0000-0000-0000C36B0000}"/>
    <cellStyle name="Remarque 2 5 2 2 2 6 2 2" xfId="28232" xr:uid="{00000000-0005-0000-0000-0000C46B0000}"/>
    <cellStyle name="Remarque 2 5 2 2 2 6 2 2 2" xfId="52192" xr:uid="{00000000-0005-0000-0000-0000C56B0000}"/>
    <cellStyle name="Remarque 2 5 2 2 2 6 2 3" xfId="15479" xr:uid="{00000000-0005-0000-0000-0000C66B0000}"/>
    <cellStyle name="Remarque 2 5 2 2 2 6 2 4" xfId="39439" xr:uid="{00000000-0005-0000-0000-0000C76B0000}"/>
    <cellStyle name="Remarque 2 5 2 2 2 6 3" xfId="5652" xr:uid="{00000000-0005-0000-0000-0000C86B0000}"/>
    <cellStyle name="Remarque 2 5 2 2 2 6 3 2" xfId="29666" xr:uid="{00000000-0005-0000-0000-0000C96B0000}"/>
    <cellStyle name="Remarque 2 5 2 2 2 6 3 2 2" xfId="53626" xr:uid="{00000000-0005-0000-0000-0000CA6B0000}"/>
    <cellStyle name="Remarque 2 5 2 2 2 6 3 3" xfId="16913" xr:uid="{00000000-0005-0000-0000-0000CB6B0000}"/>
    <cellStyle name="Remarque 2 5 2 2 2 6 3 4" xfId="40873" xr:uid="{00000000-0005-0000-0000-0000CC6B0000}"/>
    <cellStyle name="Remarque 2 5 2 2 2 6 4" xfId="7046" xr:uid="{00000000-0005-0000-0000-0000CD6B0000}"/>
    <cellStyle name="Remarque 2 5 2 2 2 6 4 2" xfId="31060" xr:uid="{00000000-0005-0000-0000-0000CE6B0000}"/>
    <cellStyle name="Remarque 2 5 2 2 2 6 4 2 2" xfId="55020" xr:uid="{00000000-0005-0000-0000-0000CF6B0000}"/>
    <cellStyle name="Remarque 2 5 2 2 2 6 4 3" xfId="18307" xr:uid="{00000000-0005-0000-0000-0000D06B0000}"/>
    <cellStyle name="Remarque 2 5 2 2 2 6 4 4" xfId="42267" xr:uid="{00000000-0005-0000-0000-0000D16B0000}"/>
    <cellStyle name="Remarque 2 5 2 2 2 6 5" xfId="8434" xr:uid="{00000000-0005-0000-0000-0000D26B0000}"/>
    <cellStyle name="Remarque 2 5 2 2 2 6 5 2" xfId="32448" xr:uid="{00000000-0005-0000-0000-0000D36B0000}"/>
    <cellStyle name="Remarque 2 5 2 2 2 6 5 2 2" xfId="56408" xr:uid="{00000000-0005-0000-0000-0000D46B0000}"/>
    <cellStyle name="Remarque 2 5 2 2 2 6 5 3" xfId="19695" xr:uid="{00000000-0005-0000-0000-0000D56B0000}"/>
    <cellStyle name="Remarque 2 5 2 2 2 6 5 4" xfId="43655" xr:uid="{00000000-0005-0000-0000-0000D66B0000}"/>
    <cellStyle name="Remarque 2 5 2 2 2 6 6" xfId="9819" xr:uid="{00000000-0005-0000-0000-0000D76B0000}"/>
    <cellStyle name="Remarque 2 5 2 2 2 6 6 2" xfId="33833" xr:uid="{00000000-0005-0000-0000-0000D86B0000}"/>
    <cellStyle name="Remarque 2 5 2 2 2 6 6 2 2" xfId="57793" xr:uid="{00000000-0005-0000-0000-0000D96B0000}"/>
    <cellStyle name="Remarque 2 5 2 2 2 6 6 3" xfId="21080" xr:uid="{00000000-0005-0000-0000-0000DA6B0000}"/>
    <cellStyle name="Remarque 2 5 2 2 2 6 6 4" xfId="45040" xr:uid="{00000000-0005-0000-0000-0000DB6B0000}"/>
    <cellStyle name="Remarque 2 5 2 2 2 6 7" xfId="11276" xr:uid="{00000000-0005-0000-0000-0000DC6B0000}"/>
    <cellStyle name="Remarque 2 5 2 2 2 6 7 2" xfId="35286" xr:uid="{00000000-0005-0000-0000-0000DD6B0000}"/>
    <cellStyle name="Remarque 2 5 2 2 2 6 7 2 2" xfId="59246" xr:uid="{00000000-0005-0000-0000-0000DE6B0000}"/>
    <cellStyle name="Remarque 2 5 2 2 2 6 7 3" xfId="22543" xr:uid="{00000000-0005-0000-0000-0000DF6B0000}"/>
    <cellStyle name="Remarque 2 5 2 2 2 6 7 4" xfId="46503" xr:uid="{00000000-0005-0000-0000-0000E06B0000}"/>
    <cellStyle name="Remarque 2 5 2 2 2 6 8" xfId="12033" xr:uid="{00000000-0005-0000-0000-0000E16B0000}"/>
    <cellStyle name="Remarque 2 5 2 2 2 6 8 2" xfId="23313" xr:uid="{00000000-0005-0000-0000-0000E26B0000}"/>
    <cellStyle name="Remarque 2 5 2 2 2 6 8 3" xfId="47273" xr:uid="{00000000-0005-0000-0000-0000E36B0000}"/>
    <cellStyle name="Remarque 2 5 2 2 2 6 9" xfId="2748" xr:uid="{00000000-0005-0000-0000-0000E46B0000}"/>
    <cellStyle name="Remarque 2 5 2 2 2 6 9 2" xfId="26762" xr:uid="{00000000-0005-0000-0000-0000E56B0000}"/>
    <cellStyle name="Remarque 2 5 2 2 2 6 9 3" xfId="50722" xr:uid="{00000000-0005-0000-0000-0000E66B0000}"/>
    <cellStyle name="Remarque 2 5 2 2 2 7" xfId="1481" xr:uid="{00000000-0005-0000-0000-0000E76B0000}"/>
    <cellStyle name="Remarque 2 5 2 2 2 7 10" xfId="25513" xr:uid="{00000000-0005-0000-0000-0000E86B0000}"/>
    <cellStyle name="Remarque 2 5 2 2 2 7 10 2" xfId="49473" xr:uid="{00000000-0005-0000-0000-0000E96B0000}"/>
    <cellStyle name="Remarque 2 5 2 2 2 7 11" xfId="36699" xr:uid="{00000000-0005-0000-0000-0000EA6B0000}"/>
    <cellStyle name="Remarque 2 5 2 2 2 7 11 2" xfId="60659" xr:uid="{00000000-0005-0000-0000-0000EB6B0000}"/>
    <cellStyle name="Remarque 2 5 2 2 2 7 12" xfId="14178" xr:uid="{00000000-0005-0000-0000-0000EC6B0000}"/>
    <cellStyle name="Remarque 2 5 2 2 2 7 13" xfId="38138" xr:uid="{00000000-0005-0000-0000-0000ED6B0000}"/>
    <cellStyle name="Remarque 2 5 2 2 2 7 2" xfId="4387" xr:uid="{00000000-0005-0000-0000-0000EE6B0000}"/>
    <cellStyle name="Remarque 2 5 2 2 2 7 2 2" xfId="28401" xr:uid="{00000000-0005-0000-0000-0000EF6B0000}"/>
    <cellStyle name="Remarque 2 5 2 2 2 7 2 2 2" xfId="52361" xr:uid="{00000000-0005-0000-0000-0000F06B0000}"/>
    <cellStyle name="Remarque 2 5 2 2 2 7 2 3" xfId="15648" xr:uid="{00000000-0005-0000-0000-0000F16B0000}"/>
    <cellStyle name="Remarque 2 5 2 2 2 7 2 4" xfId="39608" xr:uid="{00000000-0005-0000-0000-0000F26B0000}"/>
    <cellStyle name="Remarque 2 5 2 2 2 7 3" xfId="5821" xr:uid="{00000000-0005-0000-0000-0000F36B0000}"/>
    <cellStyle name="Remarque 2 5 2 2 2 7 3 2" xfId="29835" xr:uid="{00000000-0005-0000-0000-0000F46B0000}"/>
    <cellStyle name="Remarque 2 5 2 2 2 7 3 2 2" xfId="53795" xr:uid="{00000000-0005-0000-0000-0000F56B0000}"/>
    <cellStyle name="Remarque 2 5 2 2 2 7 3 3" xfId="17082" xr:uid="{00000000-0005-0000-0000-0000F66B0000}"/>
    <cellStyle name="Remarque 2 5 2 2 2 7 3 4" xfId="41042" xr:uid="{00000000-0005-0000-0000-0000F76B0000}"/>
    <cellStyle name="Remarque 2 5 2 2 2 7 4" xfId="7215" xr:uid="{00000000-0005-0000-0000-0000F86B0000}"/>
    <cellStyle name="Remarque 2 5 2 2 2 7 4 2" xfId="31229" xr:uid="{00000000-0005-0000-0000-0000F96B0000}"/>
    <cellStyle name="Remarque 2 5 2 2 2 7 4 2 2" xfId="55189" xr:uid="{00000000-0005-0000-0000-0000FA6B0000}"/>
    <cellStyle name="Remarque 2 5 2 2 2 7 4 3" xfId="18476" xr:uid="{00000000-0005-0000-0000-0000FB6B0000}"/>
    <cellStyle name="Remarque 2 5 2 2 2 7 4 4" xfId="42436" xr:uid="{00000000-0005-0000-0000-0000FC6B0000}"/>
    <cellStyle name="Remarque 2 5 2 2 2 7 5" xfId="8603" xr:uid="{00000000-0005-0000-0000-0000FD6B0000}"/>
    <cellStyle name="Remarque 2 5 2 2 2 7 5 2" xfId="32617" xr:uid="{00000000-0005-0000-0000-0000FE6B0000}"/>
    <cellStyle name="Remarque 2 5 2 2 2 7 5 2 2" xfId="56577" xr:uid="{00000000-0005-0000-0000-0000FF6B0000}"/>
    <cellStyle name="Remarque 2 5 2 2 2 7 5 3" xfId="19864" xr:uid="{00000000-0005-0000-0000-0000006C0000}"/>
    <cellStyle name="Remarque 2 5 2 2 2 7 5 4" xfId="43824" xr:uid="{00000000-0005-0000-0000-0000016C0000}"/>
    <cellStyle name="Remarque 2 5 2 2 2 7 6" xfId="9988" xr:uid="{00000000-0005-0000-0000-0000026C0000}"/>
    <cellStyle name="Remarque 2 5 2 2 2 7 6 2" xfId="34002" xr:uid="{00000000-0005-0000-0000-0000036C0000}"/>
    <cellStyle name="Remarque 2 5 2 2 2 7 6 2 2" xfId="57962" xr:uid="{00000000-0005-0000-0000-0000046C0000}"/>
    <cellStyle name="Remarque 2 5 2 2 2 7 6 3" xfId="21249" xr:uid="{00000000-0005-0000-0000-0000056C0000}"/>
    <cellStyle name="Remarque 2 5 2 2 2 7 6 4" xfId="45209" xr:uid="{00000000-0005-0000-0000-0000066C0000}"/>
    <cellStyle name="Remarque 2 5 2 2 2 7 7" xfId="11445" xr:uid="{00000000-0005-0000-0000-0000076C0000}"/>
    <cellStyle name="Remarque 2 5 2 2 2 7 7 2" xfId="35455" xr:uid="{00000000-0005-0000-0000-0000086C0000}"/>
    <cellStyle name="Remarque 2 5 2 2 2 7 7 2 2" xfId="59415" xr:uid="{00000000-0005-0000-0000-0000096C0000}"/>
    <cellStyle name="Remarque 2 5 2 2 2 7 7 3" xfId="22712" xr:uid="{00000000-0005-0000-0000-00000A6C0000}"/>
    <cellStyle name="Remarque 2 5 2 2 2 7 7 4" xfId="46672" xr:uid="{00000000-0005-0000-0000-00000B6C0000}"/>
    <cellStyle name="Remarque 2 5 2 2 2 7 8" xfId="12026" xr:uid="{00000000-0005-0000-0000-00000C6C0000}"/>
    <cellStyle name="Remarque 2 5 2 2 2 7 8 2" xfId="23305" xr:uid="{00000000-0005-0000-0000-00000D6C0000}"/>
    <cellStyle name="Remarque 2 5 2 2 2 7 8 3" xfId="47265" xr:uid="{00000000-0005-0000-0000-00000E6C0000}"/>
    <cellStyle name="Remarque 2 5 2 2 2 7 9" xfId="2917" xr:uid="{00000000-0005-0000-0000-00000F6C0000}"/>
    <cellStyle name="Remarque 2 5 2 2 2 7 9 2" xfId="26931" xr:uid="{00000000-0005-0000-0000-0000106C0000}"/>
    <cellStyle name="Remarque 2 5 2 2 2 7 9 3" xfId="50891" xr:uid="{00000000-0005-0000-0000-0000116C0000}"/>
    <cellStyle name="Remarque 2 5 2 2 2 8" xfId="3336" xr:uid="{00000000-0005-0000-0000-0000126C0000}"/>
    <cellStyle name="Remarque 2 5 2 2 2 8 2" xfId="27350" xr:uid="{00000000-0005-0000-0000-0000136C0000}"/>
    <cellStyle name="Remarque 2 5 2 2 2 8 2 2" xfId="51310" xr:uid="{00000000-0005-0000-0000-0000146C0000}"/>
    <cellStyle name="Remarque 2 5 2 2 2 8 3" xfId="14597" xr:uid="{00000000-0005-0000-0000-0000156C0000}"/>
    <cellStyle name="Remarque 2 5 2 2 2 8 4" xfId="38557" xr:uid="{00000000-0005-0000-0000-0000166C0000}"/>
    <cellStyle name="Remarque 2 5 2 2 2 9" xfId="4770" xr:uid="{00000000-0005-0000-0000-0000176C0000}"/>
    <cellStyle name="Remarque 2 5 2 2 2 9 2" xfId="28784" xr:uid="{00000000-0005-0000-0000-0000186C0000}"/>
    <cellStyle name="Remarque 2 5 2 2 2 9 2 2" xfId="52744" xr:uid="{00000000-0005-0000-0000-0000196C0000}"/>
    <cellStyle name="Remarque 2 5 2 2 2 9 3" xfId="16031" xr:uid="{00000000-0005-0000-0000-00001A6C0000}"/>
    <cellStyle name="Remarque 2 5 2 2 2 9 4" xfId="39991" xr:uid="{00000000-0005-0000-0000-00001B6C0000}"/>
    <cellStyle name="Remarque 2 5 2 2 20" xfId="12952" xr:uid="{00000000-0005-0000-0000-00001C6C0000}"/>
    <cellStyle name="Remarque 2 5 2 2 21" xfId="36912" xr:uid="{00000000-0005-0000-0000-00001D6C0000}"/>
    <cellStyle name="Remarque 2 5 2 2 22" xfId="255" xr:uid="{00000000-0005-0000-0000-00001E6C0000}"/>
    <cellStyle name="Remarque 2 5 2 2 3" xfId="354" xr:uid="{00000000-0005-0000-0000-00001F6C0000}"/>
    <cellStyle name="Remarque 2 5 2 2 3 10" xfId="24386" xr:uid="{00000000-0005-0000-0000-0000206C0000}"/>
    <cellStyle name="Remarque 2 5 2 2 3 10 2" xfId="48346" xr:uid="{00000000-0005-0000-0000-0000216C0000}"/>
    <cellStyle name="Remarque 2 5 2 2 3 11" xfId="36830" xr:uid="{00000000-0005-0000-0000-0000226C0000}"/>
    <cellStyle name="Remarque 2 5 2 2 3 11 2" xfId="60790" xr:uid="{00000000-0005-0000-0000-0000236C0000}"/>
    <cellStyle name="Remarque 2 5 2 2 3 12" xfId="13051" xr:uid="{00000000-0005-0000-0000-0000246C0000}"/>
    <cellStyle name="Remarque 2 5 2 2 3 13" xfId="37011" xr:uid="{00000000-0005-0000-0000-0000256C0000}"/>
    <cellStyle name="Remarque 2 5 2 2 3 2" xfId="3260" xr:uid="{00000000-0005-0000-0000-0000266C0000}"/>
    <cellStyle name="Remarque 2 5 2 2 3 2 2" xfId="27274" xr:uid="{00000000-0005-0000-0000-0000276C0000}"/>
    <cellStyle name="Remarque 2 5 2 2 3 2 2 2" xfId="51234" xr:uid="{00000000-0005-0000-0000-0000286C0000}"/>
    <cellStyle name="Remarque 2 5 2 2 3 2 3" xfId="14521" xr:uid="{00000000-0005-0000-0000-0000296C0000}"/>
    <cellStyle name="Remarque 2 5 2 2 3 2 4" xfId="38481" xr:uid="{00000000-0005-0000-0000-00002A6C0000}"/>
    <cellStyle name="Remarque 2 5 2 2 3 3" xfId="4694" xr:uid="{00000000-0005-0000-0000-00002B6C0000}"/>
    <cellStyle name="Remarque 2 5 2 2 3 3 2" xfId="28708" xr:uid="{00000000-0005-0000-0000-00002C6C0000}"/>
    <cellStyle name="Remarque 2 5 2 2 3 3 2 2" xfId="52668" xr:uid="{00000000-0005-0000-0000-00002D6C0000}"/>
    <cellStyle name="Remarque 2 5 2 2 3 3 3" xfId="15955" xr:uid="{00000000-0005-0000-0000-00002E6C0000}"/>
    <cellStyle name="Remarque 2 5 2 2 3 3 4" xfId="39915" xr:uid="{00000000-0005-0000-0000-00002F6C0000}"/>
    <cellStyle name="Remarque 2 5 2 2 3 4" xfId="6088" xr:uid="{00000000-0005-0000-0000-0000306C0000}"/>
    <cellStyle name="Remarque 2 5 2 2 3 4 2" xfId="30102" xr:uid="{00000000-0005-0000-0000-0000316C0000}"/>
    <cellStyle name="Remarque 2 5 2 2 3 4 2 2" xfId="54062" xr:uid="{00000000-0005-0000-0000-0000326C0000}"/>
    <cellStyle name="Remarque 2 5 2 2 3 4 3" xfId="17349" xr:uid="{00000000-0005-0000-0000-0000336C0000}"/>
    <cellStyle name="Remarque 2 5 2 2 3 4 4" xfId="41309" xr:uid="{00000000-0005-0000-0000-0000346C0000}"/>
    <cellStyle name="Remarque 2 5 2 2 3 5" xfId="7476" xr:uid="{00000000-0005-0000-0000-0000356C0000}"/>
    <cellStyle name="Remarque 2 5 2 2 3 5 2" xfId="31490" xr:uid="{00000000-0005-0000-0000-0000366C0000}"/>
    <cellStyle name="Remarque 2 5 2 2 3 5 2 2" xfId="55450" xr:uid="{00000000-0005-0000-0000-0000376C0000}"/>
    <cellStyle name="Remarque 2 5 2 2 3 5 3" xfId="18737" xr:uid="{00000000-0005-0000-0000-0000386C0000}"/>
    <cellStyle name="Remarque 2 5 2 2 3 5 4" xfId="42697" xr:uid="{00000000-0005-0000-0000-0000396C0000}"/>
    <cellStyle name="Remarque 2 5 2 2 3 6" xfId="8861" xr:uid="{00000000-0005-0000-0000-00003A6C0000}"/>
    <cellStyle name="Remarque 2 5 2 2 3 6 2" xfId="32875" xr:uid="{00000000-0005-0000-0000-00003B6C0000}"/>
    <cellStyle name="Remarque 2 5 2 2 3 6 2 2" xfId="56835" xr:uid="{00000000-0005-0000-0000-00003C6C0000}"/>
    <cellStyle name="Remarque 2 5 2 2 3 6 3" xfId="20122" xr:uid="{00000000-0005-0000-0000-00003D6C0000}"/>
    <cellStyle name="Remarque 2 5 2 2 3 6 4" xfId="44082" xr:uid="{00000000-0005-0000-0000-00003E6C0000}"/>
    <cellStyle name="Remarque 2 5 2 2 3 7" xfId="10318" xr:uid="{00000000-0005-0000-0000-00003F6C0000}"/>
    <cellStyle name="Remarque 2 5 2 2 3 7 2" xfId="34328" xr:uid="{00000000-0005-0000-0000-0000406C0000}"/>
    <cellStyle name="Remarque 2 5 2 2 3 7 2 2" xfId="58288" xr:uid="{00000000-0005-0000-0000-0000416C0000}"/>
    <cellStyle name="Remarque 2 5 2 2 3 7 3" xfId="21585" xr:uid="{00000000-0005-0000-0000-0000426C0000}"/>
    <cellStyle name="Remarque 2 5 2 2 3 7 4" xfId="45545" xr:uid="{00000000-0005-0000-0000-0000436C0000}"/>
    <cellStyle name="Remarque 2 5 2 2 3 8" xfId="12782" xr:uid="{00000000-0005-0000-0000-0000446C0000}"/>
    <cellStyle name="Remarque 2 5 2 2 3 8 2" xfId="24091" xr:uid="{00000000-0005-0000-0000-0000456C0000}"/>
    <cellStyle name="Remarque 2 5 2 2 3 8 3" xfId="48051" xr:uid="{00000000-0005-0000-0000-0000466C0000}"/>
    <cellStyle name="Remarque 2 5 2 2 3 9" xfId="1790" xr:uid="{00000000-0005-0000-0000-0000476C0000}"/>
    <cellStyle name="Remarque 2 5 2 2 3 9 2" xfId="25804" xr:uid="{00000000-0005-0000-0000-0000486C0000}"/>
    <cellStyle name="Remarque 2 5 2 2 3 9 3" xfId="49764" xr:uid="{00000000-0005-0000-0000-0000496C0000}"/>
    <cellStyle name="Remarque 2 5 2 2 4" xfId="490" xr:uid="{00000000-0005-0000-0000-00004A6C0000}"/>
    <cellStyle name="Remarque 2 5 2 2 4 10" xfId="24522" xr:uid="{00000000-0005-0000-0000-00004B6C0000}"/>
    <cellStyle name="Remarque 2 5 2 2 4 10 2" xfId="48482" xr:uid="{00000000-0005-0000-0000-00004C6C0000}"/>
    <cellStyle name="Remarque 2 5 2 2 4 11" xfId="36540" xr:uid="{00000000-0005-0000-0000-00004D6C0000}"/>
    <cellStyle name="Remarque 2 5 2 2 4 11 2" xfId="60500" xr:uid="{00000000-0005-0000-0000-00004E6C0000}"/>
    <cellStyle name="Remarque 2 5 2 2 4 12" xfId="13187" xr:uid="{00000000-0005-0000-0000-00004F6C0000}"/>
    <cellStyle name="Remarque 2 5 2 2 4 13" xfId="37147" xr:uid="{00000000-0005-0000-0000-0000506C0000}"/>
    <cellStyle name="Remarque 2 5 2 2 4 2" xfId="3396" xr:uid="{00000000-0005-0000-0000-0000516C0000}"/>
    <cellStyle name="Remarque 2 5 2 2 4 2 2" xfId="27410" xr:uid="{00000000-0005-0000-0000-0000526C0000}"/>
    <cellStyle name="Remarque 2 5 2 2 4 2 2 2" xfId="51370" xr:uid="{00000000-0005-0000-0000-0000536C0000}"/>
    <cellStyle name="Remarque 2 5 2 2 4 2 3" xfId="14657" xr:uid="{00000000-0005-0000-0000-0000546C0000}"/>
    <cellStyle name="Remarque 2 5 2 2 4 2 4" xfId="38617" xr:uid="{00000000-0005-0000-0000-0000556C0000}"/>
    <cellStyle name="Remarque 2 5 2 2 4 3" xfId="4830" xr:uid="{00000000-0005-0000-0000-0000566C0000}"/>
    <cellStyle name="Remarque 2 5 2 2 4 3 2" xfId="28844" xr:uid="{00000000-0005-0000-0000-0000576C0000}"/>
    <cellStyle name="Remarque 2 5 2 2 4 3 2 2" xfId="52804" xr:uid="{00000000-0005-0000-0000-0000586C0000}"/>
    <cellStyle name="Remarque 2 5 2 2 4 3 3" xfId="16091" xr:uid="{00000000-0005-0000-0000-0000596C0000}"/>
    <cellStyle name="Remarque 2 5 2 2 4 3 4" xfId="40051" xr:uid="{00000000-0005-0000-0000-00005A6C0000}"/>
    <cellStyle name="Remarque 2 5 2 2 4 4" xfId="6224" xr:uid="{00000000-0005-0000-0000-00005B6C0000}"/>
    <cellStyle name="Remarque 2 5 2 2 4 4 2" xfId="30238" xr:uid="{00000000-0005-0000-0000-00005C6C0000}"/>
    <cellStyle name="Remarque 2 5 2 2 4 4 2 2" xfId="54198" xr:uid="{00000000-0005-0000-0000-00005D6C0000}"/>
    <cellStyle name="Remarque 2 5 2 2 4 4 3" xfId="17485" xr:uid="{00000000-0005-0000-0000-00005E6C0000}"/>
    <cellStyle name="Remarque 2 5 2 2 4 4 4" xfId="41445" xr:uid="{00000000-0005-0000-0000-00005F6C0000}"/>
    <cellStyle name="Remarque 2 5 2 2 4 5" xfId="7612" xr:uid="{00000000-0005-0000-0000-0000606C0000}"/>
    <cellStyle name="Remarque 2 5 2 2 4 5 2" xfId="31626" xr:uid="{00000000-0005-0000-0000-0000616C0000}"/>
    <cellStyle name="Remarque 2 5 2 2 4 5 2 2" xfId="55586" xr:uid="{00000000-0005-0000-0000-0000626C0000}"/>
    <cellStyle name="Remarque 2 5 2 2 4 5 3" xfId="18873" xr:uid="{00000000-0005-0000-0000-0000636C0000}"/>
    <cellStyle name="Remarque 2 5 2 2 4 5 4" xfId="42833" xr:uid="{00000000-0005-0000-0000-0000646C0000}"/>
    <cellStyle name="Remarque 2 5 2 2 4 6" xfId="8997" xr:uid="{00000000-0005-0000-0000-0000656C0000}"/>
    <cellStyle name="Remarque 2 5 2 2 4 6 2" xfId="33011" xr:uid="{00000000-0005-0000-0000-0000666C0000}"/>
    <cellStyle name="Remarque 2 5 2 2 4 6 2 2" xfId="56971" xr:uid="{00000000-0005-0000-0000-0000676C0000}"/>
    <cellStyle name="Remarque 2 5 2 2 4 6 3" xfId="20258" xr:uid="{00000000-0005-0000-0000-0000686C0000}"/>
    <cellStyle name="Remarque 2 5 2 2 4 6 4" xfId="44218" xr:uid="{00000000-0005-0000-0000-0000696C0000}"/>
    <cellStyle name="Remarque 2 5 2 2 4 7" xfId="10454" xr:uid="{00000000-0005-0000-0000-00006A6C0000}"/>
    <cellStyle name="Remarque 2 5 2 2 4 7 2" xfId="34464" xr:uid="{00000000-0005-0000-0000-00006B6C0000}"/>
    <cellStyle name="Remarque 2 5 2 2 4 7 2 2" xfId="58424" xr:uid="{00000000-0005-0000-0000-00006C6C0000}"/>
    <cellStyle name="Remarque 2 5 2 2 4 7 3" xfId="21721" xr:uid="{00000000-0005-0000-0000-00006D6C0000}"/>
    <cellStyle name="Remarque 2 5 2 2 4 7 4" xfId="45681" xr:uid="{00000000-0005-0000-0000-00006E6C0000}"/>
    <cellStyle name="Remarque 2 5 2 2 4 8" xfId="12465" xr:uid="{00000000-0005-0000-0000-00006F6C0000}"/>
    <cellStyle name="Remarque 2 5 2 2 4 8 2" xfId="23760" xr:uid="{00000000-0005-0000-0000-0000706C0000}"/>
    <cellStyle name="Remarque 2 5 2 2 4 8 3" xfId="47720" xr:uid="{00000000-0005-0000-0000-0000716C0000}"/>
    <cellStyle name="Remarque 2 5 2 2 4 9" xfId="1926" xr:uid="{00000000-0005-0000-0000-0000726C0000}"/>
    <cellStyle name="Remarque 2 5 2 2 4 9 2" xfId="25940" xr:uid="{00000000-0005-0000-0000-0000736C0000}"/>
    <cellStyle name="Remarque 2 5 2 2 4 9 3" xfId="49900" xr:uid="{00000000-0005-0000-0000-0000746C0000}"/>
    <cellStyle name="Remarque 2 5 2 2 5" xfId="682" xr:uid="{00000000-0005-0000-0000-0000756C0000}"/>
    <cellStyle name="Remarque 2 5 2 2 5 10" xfId="24714" xr:uid="{00000000-0005-0000-0000-0000766C0000}"/>
    <cellStyle name="Remarque 2 5 2 2 5 10 2" xfId="48674" xr:uid="{00000000-0005-0000-0000-0000776C0000}"/>
    <cellStyle name="Remarque 2 5 2 2 5 11" xfId="35948" xr:uid="{00000000-0005-0000-0000-0000786C0000}"/>
    <cellStyle name="Remarque 2 5 2 2 5 11 2" xfId="59908" xr:uid="{00000000-0005-0000-0000-0000796C0000}"/>
    <cellStyle name="Remarque 2 5 2 2 5 12" xfId="13379" xr:uid="{00000000-0005-0000-0000-00007A6C0000}"/>
    <cellStyle name="Remarque 2 5 2 2 5 13" xfId="37339" xr:uid="{00000000-0005-0000-0000-00007B6C0000}"/>
    <cellStyle name="Remarque 2 5 2 2 5 2" xfId="3588" xr:uid="{00000000-0005-0000-0000-00007C6C0000}"/>
    <cellStyle name="Remarque 2 5 2 2 5 2 2" xfId="27602" xr:uid="{00000000-0005-0000-0000-00007D6C0000}"/>
    <cellStyle name="Remarque 2 5 2 2 5 2 2 2" xfId="51562" xr:uid="{00000000-0005-0000-0000-00007E6C0000}"/>
    <cellStyle name="Remarque 2 5 2 2 5 2 3" xfId="14849" xr:uid="{00000000-0005-0000-0000-00007F6C0000}"/>
    <cellStyle name="Remarque 2 5 2 2 5 2 4" xfId="38809" xr:uid="{00000000-0005-0000-0000-0000806C0000}"/>
    <cellStyle name="Remarque 2 5 2 2 5 3" xfId="5022" xr:uid="{00000000-0005-0000-0000-0000816C0000}"/>
    <cellStyle name="Remarque 2 5 2 2 5 3 2" xfId="29036" xr:uid="{00000000-0005-0000-0000-0000826C0000}"/>
    <cellStyle name="Remarque 2 5 2 2 5 3 2 2" xfId="52996" xr:uid="{00000000-0005-0000-0000-0000836C0000}"/>
    <cellStyle name="Remarque 2 5 2 2 5 3 3" xfId="16283" xr:uid="{00000000-0005-0000-0000-0000846C0000}"/>
    <cellStyle name="Remarque 2 5 2 2 5 3 4" xfId="40243" xr:uid="{00000000-0005-0000-0000-0000856C0000}"/>
    <cellStyle name="Remarque 2 5 2 2 5 4" xfId="6416" xr:uid="{00000000-0005-0000-0000-0000866C0000}"/>
    <cellStyle name="Remarque 2 5 2 2 5 4 2" xfId="30430" xr:uid="{00000000-0005-0000-0000-0000876C0000}"/>
    <cellStyle name="Remarque 2 5 2 2 5 4 2 2" xfId="54390" xr:uid="{00000000-0005-0000-0000-0000886C0000}"/>
    <cellStyle name="Remarque 2 5 2 2 5 4 3" xfId="17677" xr:uid="{00000000-0005-0000-0000-0000896C0000}"/>
    <cellStyle name="Remarque 2 5 2 2 5 4 4" xfId="41637" xr:uid="{00000000-0005-0000-0000-00008A6C0000}"/>
    <cellStyle name="Remarque 2 5 2 2 5 5" xfId="7804" xr:uid="{00000000-0005-0000-0000-00008B6C0000}"/>
    <cellStyle name="Remarque 2 5 2 2 5 5 2" xfId="31818" xr:uid="{00000000-0005-0000-0000-00008C6C0000}"/>
    <cellStyle name="Remarque 2 5 2 2 5 5 2 2" xfId="55778" xr:uid="{00000000-0005-0000-0000-00008D6C0000}"/>
    <cellStyle name="Remarque 2 5 2 2 5 5 3" xfId="19065" xr:uid="{00000000-0005-0000-0000-00008E6C0000}"/>
    <cellStyle name="Remarque 2 5 2 2 5 5 4" xfId="43025" xr:uid="{00000000-0005-0000-0000-00008F6C0000}"/>
    <cellStyle name="Remarque 2 5 2 2 5 6" xfId="9189" xr:uid="{00000000-0005-0000-0000-0000906C0000}"/>
    <cellStyle name="Remarque 2 5 2 2 5 6 2" xfId="33203" xr:uid="{00000000-0005-0000-0000-0000916C0000}"/>
    <cellStyle name="Remarque 2 5 2 2 5 6 2 2" xfId="57163" xr:uid="{00000000-0005-0000-0000-0000926C0000}"/>
    <cellStyle name="Remarque 2 5 2 2 5 6 3" xfId="20450" xr:uid="{00000000-0005-0000-0000-0000936C0000}"/>
    <cellStyle name="Remarque 2 5 2 2 5 6 4" xfId="44410" xr:uid="{00000000-0005-0000-0000-0000946C0000}"/>
    <cellStyle name="Remarque 2 5 2 2 5 7" xfId="10646" xr:uid="{00000000-0005-0000-0000-0000956C0000}"/>
    <cellStyle name="Remarque 2 5 2 2 5 7 2" xfId="34656" xr:uid="{00000000-0005-0000-0000-0000966C0000}"/>
    <cellStyle name="Remarque 2 5 2 2 5 7 2 2" xfId="58616" xr:uid="{00000000-0005-0000-0000-0000976C0000}"/>
    <cellStyle name="Remarque 2 5 2 2 5 7 3" xfId="21913" xr:uid="{00000000-0005-0000-0000-0000986C0000}"/>
    <cellStyle name="Remarque 2 5 2 2 5 7 4" xfId="45873" xr:uid="{00000000-0005-0000-0000-0000996C0000}"/>
    <cellStyle name="Remarque 2 5 2 2 5 8" xfId="12903" xr:uid="{00000000-0005-0000-0000-00009A6C0000}"/>
    <cellStyle name="Remarque 2 5 2 2 5 8 2" xfId="24216" xr:uid="{00000000-0005-0000-0000-00009B6C0000}"/>
    <cellStyle name="Remarque 2 5 2 2 5 8 3" xfId="48176" xr:uid="{00000000-0005-0000-0000-00009C6C0000}"/>
    <cellStyle name="Remarque 2 5 2 2 5 9" xfId="2118" xr:uid="{00000000-0005-0000-0000-00009D6C0000}"/>
    <cellStyle name="Remarque 2 5 2 2 5 9 2" xfId="26132" xr:uid="{00000000-0005-0000-0000-00009E6C0000}"/>
    <cellStyle name="Remarque 2 5 2 2 5 9 3" xfId="50092" xr:uid="{00000000-0005-0000-0000-00009F6C0000}"/>
    <cellStyle name="Remarque 2 5 2 2 6" xfId="876" xr:uid="{00000000-0005-0000-0000-0000A06C0000}"/>
    <cellStyle name="Remarque 2 5 2 2 6 10" xfId="24908" xr:uid="{00000000-0005-0000-0000-0000A16C0000}"/>
    <cellStyle name="Remarque 2 5 2 2 6 10 2" xfId="48868" xr:uid="{00000000-0005-0000-0000-0000A26C0000}"/>
    <cellStyle name="Remarque 2 5 2 2 6 11" xfId="36379" xr:uid="{00000000-0005-0000-0000-0000A36C0000}"/>
    <cellStyle name="Remarque 2 5 2 2 6 11 2" xfId="60339" xr:uid="{00000000-0005-0000-0000-0000A46C0000}"/>
    <cellStyle name="Remarque 2 5 2 2 6 12" xfId="13573" xr:uid="{00000000-0005-0000-0000-0000A56C0000}"/>
    <cellStyle name="Remarque 2 5 2 2 6 13" xfId="37533" xr:uid="{00000000-0005-0000-0000-0000A66C0000}"/>
    <cellStyle name="Remarque 2 5 2 2 6 2" xfId="3782" xr:uid="{00000000-0005-0000-0000-0000A76C0000}"/>
    <cellStyle name="Remarque 2 5 2 2 6 2 2" xfId="27796" xr:uid="{00000000-0005-0000-0000-0000A86C0000}"/>
    <cellStyle name="Remarque 2 5 2 2 6 2 2 2" xfId="51756" xr:uid="{00000000-0005-0000-0000-0000A96C0000}"/>
    <cellStyle name="Remarque 2 5 2 2 6 2 3" xfId="15043" xr:uid="{00000000-0005-0000-0000-0000AA6C0000}"/>
    <cellStyle name="Remarque 2 5 2 2 6 2 4" xfId="39003" xr:uid="{00000000-0005-0000-0000-0000AB6C0000}"/>
    <cellStyle name="Remarque 2 5 2 2 6 3" xfId="5216" xr:uid="{00000000-0005-0000-0000-0000AC6C0000}"/>
    <cellStyle name="Remarque 2 5 2 2 6 3 2" xfId="29230" xr:uid="{00000000-0005-0000-0000-0000AD6C0000}"/>
    <cellStyle name="Remarque 2 5 2 2 6 3 2 2" xfId="53190" xr:uid="{00000000-0005-0000-0000-0000AE6C0000}"/>
    <cellStyle name="Remarque 2 5 2 2 6 3 3" xfId="16477" xr:uid="{00000000-0005-0000-0000-0000AF6C0000}"/>
    <cellStyle name="Remarque 2 5 2 2 6 3 4" xfId="40437" xr:uid="{00000000-0005-0000-0000-0000B06C0000}"/>
    <cellStyle name="Remarque 2 5 2 2 6 4" xfId="6610" xr:uid="{00000000-0005-0000-0000-0000B16C0000}"/>
    <cellStyle name="Remarque 2 5 2 2 6 4 2" xfId="30624" xr:uid="{00000000-0005-0000-0000-0000B26C0000}"/>
    <cellStyle name="Remarque 2 5 2 2 6 4 2 2" xfId="54584" xr:uid="{00000000-0005-0000-0000-0000B36C0000}"/>
    <cellStyle name="Remarque 2 5 2 2 6 4 3" xfId="17871" xr:uid="{00000000-0005-0000-0000-0000B46C0000}"/>
    <cellStyle name="Remarque 2 5 2 2 6 4 4" xfId="41831" xr:uid="{00000000-0005-0000-0000-0000B56C0000}"/>
    <cellStyle name="Remarque 2 5 2 2 6 5" xfId="7998" xr:uid="{00000000-0005-0000-0000-0000B66C0000}"/>
    <cellStyle name="Remarque 2 5 2 2 6 5 2" xfId="32012" xr:uid="{00000000-0005-0000-0000-0000B76C0000}"/>
    <cellStyle name="Remarque 2 5 2 2 6 5 2 2" xfId="55972" xr:uid="{00000000-0005-0000-0000-0000B86C0000}"/>
    <cellStyle name="Remarque 2 5 2 2 6 5 3" xfId="19259" xr:uid="{00000000-0005-0000-0000-0000B96C0000}"/>
    <cellStyle name="Remarque 2 5 2 2 6 5 4" xfId="43219" xr:uid="{00000000-0005-0000-0000-0000BA6C0000}"/>
    <cellStyle name="Remarque 2 5 2 2 6 6" xfId="9383" xr:uid="{00000000-0005-0000-0000-0000BB6C0000}"/>
    <cellStyle name="Remarque 2 5 2 2 6 6 2" xfId="33397" xr:uid="{00000000-0005-0000-0000-0000BC6C0000}"/>
    <cellStyle name="Remarque 2 5 2 2 6 6 2 2" xfId="57357" xr:uid="{00000000-0005-0000-0000-0000BD6C0000}"/>
    <cellStyle name="Remarque 2 5 2 2 6 6 3" xfId="20644" xr:uid="{00000000-0005-0000-0000-0000BE6C0000}"/>
    <cellStyle name="Remarque 2 5 2 2 6 6 4" xfId="44604" xr:uid="{00000000-0005-0000-0000-0000BF6C0000}"/>
    <cellStyle name="Remarque 2 5 2 2 6 7" xfId="10840" xr:uid="{00000000-0005-0000-0000-0000C06C0000}"/>
    <cellStyle name="Remarque 2 5 2 2 6 7 2" xfId="34850" xr:uid="{00000000-0005-0000-0000-0000C16C0000}"/>
    <cellStyle name="Remarque 2 5 2 2 6 7 2 2" xfId="58810" xr:uid="{00000000-0005-0000-0000-0000C26C0000}"/>
    <cellStyle name="Remarque 2 5 2 2 6 7 3" xfId="22107" xr:uid="{00000000-0005-0000-0000-0000C36C0000}"/>
    <cellStyle name="Remarque 2 5 2 2 6 7 4" xfId="46067" xr:uid="{00000000-0005-0000-0000-0000C46C0000}"/>
    <cellStyle name="Remarque 2 5 2 2 6 8" xfId="12753" xr:uid="{00000000-0005-0000-0000-0000C56C0000}"/>
    <cellStyle name="Remarque 2 5 2 2 6 8 2" xfId="24060" xr:uid="{00000000-0005-0000-0000-0000C66C0000}"/>
    <cellStyle name="Remarque 2 5 2 2 6 8 3" xfId="48020" xr:uid="{00000000-0005-0000-0000-0000C76C0000}"/>
    <cellStyle name="Remarque 2 5 2 2 6 9" xfId="2312" xr:uid="{00000000-0005-0000-0000-0000C86C0000}"/>
    <cellStyle name="Remarque 2 5 2 2 6 9 2" xfId="26326" xr:uid="{00000000-0005-0000-0000-0000C96C0000}"/>
    <cellStyle name="Remarque 2 5 2 2 6 9 3" xfId="50286" xr:uid="{00000000-0005-0000-0000-0000CA6C0000}"/>
    <cellStyle name="Remarque 2 5 2 2 7" xfId="1069" xr:uid="{00000000-0005-0000-0000-0000CB6C0000}"/>
    <cellStyle name="Remarque 2 5 2 2 7 10" xfId="25101" xr:uid="{00000000-0005-0000-0000-0000CC6C0000}"/>
    <cellStyle name="Remarque 2 5 2 2 7 10 2" xfId="49061" xr:uid="{00000000-0005-0000-0000-0000CD6C0000}"/>
    <cellStyle name="Remarque 2 5 2 2 7 11" xfId="36785" xr:uid="{00000000-0005-0000-0000-0000CE6C0000}"/>
    <cellStyle name="Remarque 2 5 2 2 7 11 2" xfId="60745" xr:uid="{00000000-0005-0000-0000-0000CF6C0000}"/>
    <cellStyle name="Remarque 2 5 2 2 7 12" xfId="13766" xr:uid="{00000000-0005-0000-0000-0000D06C0000}"/>
    <cellStyle name="Remarque 2 5 2 2 7 13" xfId="37726" xr:uid="{00000000-0005-0000-0000-0000D16C0000}"/>
    <cellStyle name="Remarque 2 5 2 2 7 2" xfId="3975" xr:uid="{00000000-0005-0000-0000-0000D26C0000}"/>
    <cellStyle name="Remarque 2 5 2 2 7 2 2" xfId="27989" xr:uid="{00000000-0005-0000-0000-0000D36C0000}"/>
    <cellStyle name="Remarque 2 5 2 2 7 2 2 2" xfId="51949" xr:uid="{00000000-0005-0000-0000-0000D46C0000}"/>
    <cellStyle name="Remarque 2 5 2 2 7 2 3" xfId="15236" xr:uid="{00000000-0005-0000-0000-0000D56C0000}"/>
    <cellStyle name="Remarque 2 5 2 2 7 2 4" xfId="39196" xr:uid="{00000000-0005-0000-0000-0000D66C0000}"/>
    <cellStyle name="Remarque 2 5 2 2 7 3" xfId="5409" xr:uid="{00000000-0005-0000-0000-0000D76C0000}"/>
    <cellStyle name="Remarque 2 5 2 2 7 3 2" xfId="29423" xr:uid="{00000000-0005-0000-0000-0000D86C0000}"/>
    <cellStyle name="Remarque 2 5 2 2 7 3 2 2" xfId="53383" xr:uid="{00000000-0005-0000-0000-0000D96C0000}"/>
    <cellStyle name="Remarque 2 5 2 2 7 3 3" xfId="16670" xr:uid="{00000000-0005-0000-0000-0000DA6C0000}"/>
    <cellStyle name="Remarque 2 5 2 2 7 3 4" xfId="40630" xr:uid="{00000000-0005-0000-0000-0000DB6C0000}"/>
    <cellStyle name="Remarque 2 5 2 2 7 4" xfId="6803" xr:uid="{00000000-0005-0000-0000-0000DC6C0000}"/>
    <cellStyle name="Remarque 2 5 2 2 7 4 2" xfId="30817" xr:uid="{00000000-0005-0000-0000-0000DD6C0000}"/>
    <cellStyle name="Remarque 2 5 2 2 7 4 2 2" xfId="54777" xr:uid="{00000000-0005-0000-0000-0000DE6C0000}"/>
    <cellStyle name="Remarque 2 5 2 2 7 4 3" xfId="18064" xr:uid="{00000000-0005-0000-0000-0000DF6C0000}"/>
    <cellStyle name="Remarque 2 5 2 2 7 4 4" xfId="42024" xr:uid="{00000000-0005-0000-0000-0000E06C0000}"/>
    <cellStyle name="Remarque 2 5 2 2 7 5" xfId="8191" xr:uid="{00000000-0005-0000-0000-0000E16C0000}"/>
    <cellStyle name="Remarque 2 5 2 2 7 5 2" xfId="32205" xr:uid="{00000000-0005-0000-0000-0000E26C0000}"/>
    <cellStyle name="Remarque 2 5 2 2 7 5 2 2" xfId="56165" xr:uid="{00000000-0005-0000-0000-0000E36C0000}"/>
    <cellStyle name="Remarque 2 5 2 2 7 5 3" xfId="19452" xr:uid="{00000000-0005-0000-0000-0000E46C0000}"/>
    <cellStyle name="Remarque 2 5 2 2 7 5 4" xfId="43412" xr:uid="{00000000-0005-0000-0000-0000E56C0000}"/>
    <cellStyle name="Remarque 2 5 2 2 7 6" xfId="9576" xr:uid="{00000000-0005-0000-0000-0000E66C0000}"/>
    <cellStyle name="Remarque 2 5 2 2 7 6 2" xfId="33590" xr:uid="{00000000-0005-0000-0000-0000E76C0000}"/>
    <cellStyle name="Remarque 2 5 2 2 7 6 2 2" xfId="57550" xr:uid="{00000000-0005-0000-0000-0000E86C0000}"/>
    <cellStyle name="Remarque 2 5 2 2 7 6 3" xfId="20837" xr:uid="{00000000-0005-0000-0000-0000E96C0000}"/>
    <cellStyle name="Remarque 2 5 2 2 7 6 4" xfId="44797" xr:uid="{00000000-0005-0000-0000-0000EA6C0000}"/>
    <cellStyle name="Remarque 2 5 2 2 7 7" xfId="11033" xr:uid="{00000000-0005-0000-0000-0000EB6C0000}"/>
    <cellStyle name="Remarque 2 5 2 2 7 7 2" xfId="35043" xr:uid="{00000000-0005-0000-0000-0000EC6C0000}"/>
    <cellStyle name="Remarque 2 5 2 2 7 7 2 2" xfId="59003" xr:uid="{00000000-0005-0000-0000-0000ED6C0000}"/>
    <cellStyle name="Remarque 2 5 2 2 7 7 3" xfId="22300" xr:uid="{00000000-0005-0000-0000-0000EE6C0000}"/>
    <cellStyle name="Remarque 2 5 2 2 7 7 4" xfId="46260" xr:uid="{00000000-0005-0000-0000-0000EF6C0000}"/>
    <cellStyle name="Remarque 2 5 2 2 7 8" xfId="12511" xr:uid="{00000000-0005-0000-0000-0000F06C0000}"/>
    <cellStyle name="Remarque 2 5 2 2 7 8 2" xfId="23808" xr:uid="{00000000-0005-0000-0000-0000F16C0000}"/>
    <cellStyle name="Remarque 2 5 2 2 7 8 3" xfId="47768" xr:uid="{00000000-0005-0000-0000-0000F26C0000}"/>
    <cellStyle name="Remarque 2 5 2 2 7 9" xfId="2505" xr:uid="{00000000-0005-0000-0000-0000F36C0000}"/>
    <cellStyle name="Remarque 2 5 2 2 7 9 2" xfId="26519" xr:uid="{00000000-0005-0000-0000-0000F46C0000}"/>
    <cellStyle name="Remarque 2 5 2 2 7 9 3" xfId="50479" xr:uid="{00000000-0005-0000-0000-0000F56C0000}"/>
    <cellStyle name="Remarque 2 5 2 2 8" xfId="1236" xr:uid="{00000000-0005-0000-0000-0000F66C0000}"/>
    <cellStyle name="Remarque 2 5 2 2 8 10" xfId="25268" xr:uid="{00000000-0005-0000-0000-0000F76C0000}"/>
    <cellStyle name="Remarque 2 5 2 2 8 10 2" xfId="49228" xr:uid="{00000000-0005-0000-0000-0000F86C0000}"/>
    <cellStyle name="Remarque 2 5 2 2 8 11" xfId="23778" xr:uid="{00000000-0005-0000-0000-0000F96C0000}"/>
    <cellStyle name="Remarque 2 5 2 2 8 11 2" xfId="47738" xr:uid="{00000000-0005-0000-0000-0000FA6C0000}"/>
    <cellStyle name="Remarque 2 5 2 2 8 12" xfId="13933" xr:uid="{00000000-0005-0000-0000-0000FB6C0000}"/>
    <cellStyle name="Remarque 2 5 2 2 8 13" xfId="37893" xr:uid="{00000000-0005-0000-0000-0000FC6C0000}"/>
    <cellStyle name="Remarque 2 5 2 2 8 2" xfId="4142" xr:uid="{00000000-0005-0000-0000-0000FD6C0000}"/>
    <cellStyle name="Remarque 2 5 2 2 8 2 2" xfId="28156" xr:uid="{00000000-0005-0000-0000-0000FE6C0000}"/>
    <cellStyle name="Remarque 2 5 2 2 8 2 2 2" xfId="52116" xr:uid="{00000000-0005-0000-0000-0000FF6C0000}"/>
    <cellStyle name="Remarque 2 5 2 2 8 2 3" xfId="15403" xr:uid="{00000000-0005-0000-0000-0000006D0000}"/>
    <cellStyle name="Remarque 2 5 2 2 8 2 4" xfId="39363" xr:uid="{00000000-0005-0000-0000-0000016D0000}"/>
    <cellStyle name="Remarque 2 5 2 2 8 3" xfId="5576" xr:uid="{00000000-0005-0000-0000-0000026D0000}"/>
    <cellStyle name="Remarque 2 5 2 2 8 3 2" xfId="29590" xr:uid="{00000000-0005-0000-0000-0000036D0000}"/>
    <cellStyle name="Remarque 2 5 2 2 8 3 2 2" xfId="53550" xr:uid="{00000000-0005-0000-0000-0000046D0000}"/>
    <cellStyle name="Remarque 2 5 2 2 8 3 3" xfId="16837" xr:uid="{00000000-0005-0000-0000-0000056D0000}"/>
    <cellStyle name="Remarque 2 5 2 2 8 3 4" xfId="40797" xr:uid="{00000000-0005-0000-0000-0000066D0000}"/>
    <cellStyle name="Remarque 2 5 2 2 8 4" xfId="6970" xr:uid="{00000000-0005-0000-0000-0000076D0000}"/>
    <cellStyle name="Remarque 2 5 2 2 8 4 2" xfId="30984" xr:uid="{00000000-0005-0000-0000-0000086D0000}"/>
    <cellStyle name="Remarque 2 5 2 2 8 4 2 2" xfId="54944" xr:uid="{00000000-0005-0000-0000-0000096D0000}"/>
    <cellStyle name="Remarque 2 5 2 2 8 4 3" xfId="18231" xr:uid="{00000000-0005-0000-0000-00000A6D0000}"/>
    <cellStyle name="Remarque 2 5 2 2 8 4 4" xfId="42191" xr:uid="{00000000-0005-0000-0000-00000B6D0000}"/>
    <cellStyle name="Remarque 2 5 2 2 8 5" xfId="8358" xr:uid="{00000000-0005-0000-0000-00000C6D0000}"/>
    <cellStyle name="Remarque 2 5 2 2 8 5 2" xfId="32372" xr:uid="{00000000-0005-0000-0000-00000D6D0000}"/>
    <cellStyle name="Remarque 2 5 2 2 8 5 2 2" xfId="56332" xr:uid="{00000000-0005-0000-0000-00000E6D0000}"/>
    <cellStyle name="Remarque 2 5 2 2 8 5 3" xfId="19619" xr:uid="{00000000-0005-0000-0000-00000F6D0000}"/>
    <cellStyle name="Remarque 2 5 2 2 8 5 4" xfId="43579" xr:uid="{00000000-0005-0000-0000-0000106D0000}"/>
    <cellStyle name="Remarque 2 5 2 2 8 6" xfId="9743" xr:uid="{00000000-0005-0000-0000-0000116D0000}"/>
    <cellStyle name="Remarque 2 5 2 2 8 6 2" xfId="33757" xr:uid="{00000000-0005-0000-0000-0000126D0000}"/>
    <cellStyle name="Remarque 2 5 2 2 8 6 2 2" xfId="57717" xr:uid="{00000000-0005-0000-0000-0000136D0000}"/>
    <cellStyle name="Remarque 2 5 2 2 8 6 3" xfId="21004" xr:uid="{00000000-0005-0000-0000-0000146D0000}"/>
    <cellStyle name="Remarque 2 5 2 2 8 6 4" xfId="44964" xr:uid="{00000000-0005-0000-0000-0000156D0000}"/>
    <cellStyle name="Remarque 2 5 2 2 8 7" xfId="11200" xr:uid="{00000000-0005-0000-0000-0000166D0000}"/>
    <cellStyle name="Remarque 2 5 2 2 8 7 2" xfId="35210" xr:uid="{00000000-0005-0000-0000-0000176D0000}"/>
    <cellStyle name="Remarque 2 5 2 2 8 7 2 2" xfId="59170" xr:uid="{00000000-0005-0000-0000-0000186D0000}"/>
    <cellStyle name="Remarque 2 5 2 2 8 7 3" xfId="22467" xr:uid="{00000000-0005-0000-0000-0000196D0000}"/>
    <cellStyle name="Remarque 2 5 2 2 8 7 4" xfId="46427" xr:uid="{00000000-0005-0000-0000-00001A6D0000}"/>
    <cellStyle name="Remarque 2 5 2 2 8 8" xfId="12030" xr:uid="{00000000-0005-0000-0000-00001B6D0000}"/>
    <cellStyle name="Remarque 2 5 2 2 8 8 2" xfId="23310" xr:uid="{00000000-0005-0000-0000-00001C6D0000}"/>
    <cellStyle name="Remarque 2 5 2 2 8 8 3" xfId="47270" xr:uid="{00000000-0005-0000-0000-00001D6D0000}"/>
    <cellStyle name="Remarque 2 5 2 2 8 9" xfId="2672" xr:uid="{00000000-0005-0000-0000-00001E6D0000}"/>
    <cellStyle name="Remarque 2 5 2 2 8 9 2" xfId="26686" xr:uid="{00000000-0005-0000-0000-00001F6D0000}"/>
    <cellStyle name="Remarque 2 5 2 2 8 9 3" xfId="50646" xr:uid="{00000000-0005-0000-0000-0000206D0000}"/>
    <cellStyle name="Remarque 2 5 2 2 9" xfId="1405" xr:uid="{00000000-0005-0000-0000-0000216D0000}"/>
    <cellStyle name="Remarque 2 5 2 2 9 10" xfId="25437" xr:uid="{00000000-0005-0000-0000-0000226D0000}"/>
    <cellStyle name="Remarque 2 5 2 2 9 10 2" xfId="49397" xr:uid="{00000000-0005-0000-0000-0000236D0000}"/>
    <cellStyle name="Remarque 2 5 2 2 9 11" xfId="36745" xr:uid="{00000000-0005-0000-0000-0000246D0000}"/>
    <cellStyle name="Remarque 2 5 2 2 9 11 2" xfId="60705" xr:uid="{00000000-0005-0000-0000-0000256D0000}"/>
    <cellStyle name="Remarque 2 5 2 2 9 12" xfId="14102" xr:uid="{00000000-0005-0000-0000-0000266D0000}"/>
    <cellStyle name="Remarque 2 5 2 2 9 13" xfId="38062" xr:uid="{00000000-0005-0000-0000-0000276D0000}"/>
    <cellStyle name="Remarque 2 5 2 2 9 2" xfId="4311" xr:uid="{00000000-0005-0000-0000-0000286D0000}"/>
    <cellStyle name="Remarque 2 5 2 2 9 2 2" xfId="28325" xr:uid="{00000000-0005-0000-0000-0000296D0000}"/>
    <cellStyle name="Remarque 2 5 2 2 9 2 2 2" xfId="52285" xr:uid="{00000000-0005-0000-0000-00002A6D0000}"/>
    <cellStyle name="Remarque 2 5 2 2 9 2 3" xfId="15572" xr:uid="{00000000-0005-0000-0000-00002B6D0000}"/>
    <cellStyle name="Remarque 2 5 2 2 9 2 4" xfId="39532" xr:uid="{00000000-0005-0000-0000-00002C6D0000}"/>
    <cellStyle name="Remarque 2 5 2 2 9 3" xfId="5745" xr:uid="{00000000-0005-0000-0000-00002D6D0000}"/>
    <cellStyle name="Remarque 2 5 2 2 9 3 2" xfId="29759" xr:uid="{00000000-0005-0000-0000-00002E6D0000}"/>
    <cellStyle name="Remarque 2 5 2 2 9 3 2 2" xfId="53719" xr:uid="{00000000-0005-0000-0000-00002F6D0000}"/>
    <cellStyle name="Remarque 2 5 2 2 9 3 3" xfId="17006" xr:uid="{00000000-0005-0000-0000-0000306D0000}"/>
    <cellStyle name="Remarque 2 5 2 2 9 3 4" xfId="40966" xr:uid="{00000000-0005-0000-0000-0000316D0000}"/>
    <cellStyle name="Remarque 2 5 2 2 9 4" xfId="7139" xr:uid="{00000000-0005-0000-0000-0000326D0000}"/>
    <cellStyle name="Remarque 2 5 2 2 9 4 2" xfId="31153" xr:uid="{00000000-0005-0000-0000-0000336D0000}"/>
    <cellStyle name="Remarque 2 5 2 2 9 4 2 2" xfId="55113" xr:uid="{00000000-0005-0000-0000-0000346D0000}"/>
    <cellStyle name="Remarque 2 5 2 2 9 4 3" xfId="18400" xr:uid="{00000000-0005-0000-0000-0000356D0000}"/>
    <cellStyle name="Remarque 2 5 2 2 9 4 4" xfId="42360" xr:uid="{00000000-0005-0000-0000-0000366D0000}"/>
    <cellStyle name="Remarque 2 5 2 2 9 5" xfId="8527" xr:uid="{00000000-0005-0000-0000-0000376D0000}"/>
    <cellStyle name="Remarque 2 5 2 2 9 5 2" xfId="32541" xr:uid="{00000000-0005-0000-0000-0000386D0000}"/>
    <cellStyle name="Remarque 2 5 2 2 9 5 2 2" xfId="56501" xr:uid="{00000000-0005-0000-0000-0000396D0000}"/>
    <cellStyle name="Remarque 2 5 2 2 9 5 3" xfId="19788" xr:uid="{00000000-0005-0000-0000-00003A6D0000}"/>
    <cellStyle name="Remarque 2 5 2 2 9 5 4" xfId="43748" xr:uid="{00000000-0005-0000-0000-00003B6D0000}"/>
    <cellStyle name="Remarque 2 5 2 2 9 6" xfId="9912" xr:uid="{00000000-0005-0000-0000-00003C6D0000}"/>
    <cellStyle name="Remarque 2 5 2 2 9 6 2" xfId="33926" xr:uid="{00000000-0005-0000-0000-00003D6D0000}"/>
    <cellStyle name="Remarque 2 5 2 2 9 6 2 2" xfId="57886" xr:uid="{00000000-0005-0000-0000-00003E6D0000}"/>
    <cellStyle name="Remarque 2 5 2 2 9 6 3" xfId="21173" xr:uid="{00000000-0005-0000-0000-00003F6D0000}"/>
    <cellStyle name="Remarque 2 5 2 2 9 6 4" xfId="45133" xr:uid="{00000000-0005-0000-0000-0000406D0000}"/>
    <cellStyle name="Remarque 2 5 2 2 9 7" xfId="11369" xr:uid="{00000000-0005-0000-0000-0000416D0000}"/>
    <cellStyle name="Remarque 2 5 2 2 9 7 2" xfId="35379" xr:uid="{00000000-0005-0000-0000-0000426D0000}"/>
    <cellStyle name="Remarque 2 5 2 2 9 7 2 2" xfId="59339" xr:uid="{00000000-0005-0000-0000-0000436D0000}"/>
    <cellStyle name="Remarque 2 5 2 2 9 7 3" xfId="22636" xr:uid="{00000000-0005-0000-0000-0000446D0000}"/>
    <cellStyle name="Remarque 2 5 2 2 9 7 4" xfId="46596" xr:uid="{00000000-0005-0000-0000-0000456D0000}"/>
    <cellStyle name="Remarque 2 5 2 2 9 8" xfId="12367" xr:uid="{00000000-0005-0000-0000-0000466D0000}"/>
    <cellStyle name="Remarque 2 5 2 2 9 8 2" xfId="23656" xr:uid="{00000000-0005-0000-0000-0000476D0000}"/>
    <cellStyle name="Remarque 2 5 2 2 9 8 3" xfId="47616" xr:uid="{00000000-0005-0000-0000-0000486D0000}"/>
    <cellStyle name="Remarque 2 5 2 2 9 9" xfId="2841" xr:uid="{00000000-0005-0000-0000-0000496D0000}"/>
    <cellStyle name="Remarque 2 5 2 2 9 9 2" xfId="26855" xr:uid="{00000000-0005-0000-0000-00004A6D0000}"/>
    <cellStyle name="Remarque 2 5 2 2 9 9 3" xfId="50815" xr:uid="{00000000-0005-0000-0000-00004B6D0000}"/>
    <cellStyle name="Remarque 2 5 2 20" xfId="10148" xr:uid="{00000000-0005-0000-0000-00004C6D0000}"/>
    <cellStyle name="Remarque 2 5 2 20 2" xfId="34160" xr:uid="{00000000-0005-0000-0000-00004D6D0000}"/>
    <cellStyle name="Remarque 2 5 2 20 2 2" xfId="58120" xr:uid="{00000000-0005-0000-0000-00004E6D0000}"/>
    <cellStyle name="Remarque 2 5 2 20 3" xfId="21413" xr:uid="{00000000-0005-0000-0000-00004F6D0000}"/>
    <cellStyle name="Remarque 2 5 2 20 4" xfId="45373" xr:uid="{00000000-0005-0000-0000-0000506D0000}"/>
    <cellStyle name="Remarque 2 5 2 21" xfId="4570" xr:uid="{00000000-0005-0000-0000-0000516D0000}"/>
    <cellStyle name="Remarque 2 5 2 21 2" xfId="15831" xr:uid="{00000000-0005-0000-0000-0000526D0000}"/>
    <cellStyle name="Remarque 2 5 2 21 3" xfId="39791" xr:uid="{00000000-0005-0000-0000-0000536D0000}"/>
    <cellStyle name="Remarque 2 5 2 22" xfId="1646" xr:uid="{00000000-0005-0000-0000-0000546D0000}"/>
    <cellStyle name="Remarque 2 5 2 22 2" xfId="25660" xr:uid="{00000000-0005-0000-0000-0000556D0000}"/>
    <cellStyle name="Remarque 2 5 2 22 3" xfId="49620" xr:uid="{00000000-0005-0000-0000-0000566D0000}"/>
    <cellStyle name="Remarque 2 5 2 23" xfId="23016" xr:uid="{00000000-0005-0000-0000-0000576D0000}"/>
    <cellStyle name="Remarque 2 5 2 23 2" xfId="46976" xr:uid="{00000000-0005-0000-0000-0000586D0000}"/>
    <cellStyle name="Remarque 2 5 2 24" xfId="36718" xr:uid="{00000000-0005-0000-0000-0000596D0000}"/>
    <cellStyle name="Remarque 2 5 2 24 2" xfId="60678" xr:uid="{00000000-0005-0000-0000-00005A6D0000}"/>
    <cellStyle name="Remarque 2 5 2 25" xfId="12926" xr:uid="{00000000-0005-0000-0000-00005B6D0000}"/>
    <cellStyle name="Remarque 2 5 2 26" xfId="36867" xr:uid="{00000000-0005-0000-0000-00005C6D0000}"/>
    <cellStyle name="Remarque 2 5 2 27" xfId="182" xr:uid="{00000000-0005-0000-0000-00005D6D0000}"/>
    <cellStyle name="Remarque 2 5 2 3" xfId="142" xr:uid="{00000000-0005-0000-0000-00005E6D0000}"/>
    <cellStyle name="Remarque 2 5 2 3 10" xfId="6138" xr:uid="{00000000-0005-0000-0000-00005F6D0000}"/>
    <cellStyle name="Remarque 2 5 2 3 10 2" xfId="30152" xr:uid="{00000000-0005-0000-0000-0000606D0000}"/>
    <cellStyle name="Remarque 2 5 2 3 10 2 2" xfId="54112" xr:uid="{00000000-0005-0000-0000-0000616D0000}"/>
    <cellStyle name="Remarque 2 5 2 3 10 3" xfId="17399" xr:uid="{00000000-0005-0000-0000-0000626D0000}"/>
    <cellStyle name="Remarque 2 5 2 3 10 4" xfId="41359" xr:uid="{00000000-0005-0000-0000-0000636D0000}"/>
    <cellStyle name="Remarque 2 5 2 3 11" xfId="7526" xr:uid="{00000000-0005-0000-0000-0000646D0000}"/>
    <cellStyle name="Remarque 2 5 2 3 11 2" xfId="31540" xr:uid="{00000000-0005-0000-0000-0000656D0000}"/>
    <cellStyle name="Remarque 2 5 2 3 11 2 2" xfId="55500" xr:uid="{00000000-0005-0000-0000-0000666D0000}"/>
    <cellStyle name="Remarque 2 5 2 3 11 3" xfId="18787" xr:uid="{00000000-0005-0000-0000-0000676D0000}"/>
    <cellStyle name="Remarque 2 5 2 3 11 4" xfId="42747" xr:uid="{00000000-0005-0000-0000-0000686D0000}"/>
    <cellStyle name="Remarque 2 5 2 3 12" xfId="8911" xr:uid="{00000000-0005-0000-0000-0000696D0000}"/>
    <cellStyle name="Remarque 2 5 2 3 12 2" xfId="32925" xr:uid="{00000000-0005-0000-0000-00006A6D0000}"/>
    <cellStyle name="Remarque 2 5 2 3 12 2 2" xfId="56885" xr:uid="{00000000-0005-0000-0000-00006B6D0000}"/>
    <cellStyle name="Remarque 2 5 2 3 12 3" xfId="20172" xr:uid="{00000000-0005-0000-0000-00006C6D0000}"/>
    <cellStyle name="Remarque 2 5 2 3 12 4" xfId="44132" xr:uid="{00000000-0005-0000-0000-00006D6D0000}"/>
    <cellStyle name="Remarque 2 5 2 3 13" xfId="10368" xr:uid="{00000000-0005-0000-0000-00006E6D0000}"/>
    <cellStyle name="Remarque 2 5 2 3 13 2" xfId="34378" xr:uid="{00000000-0005-0000-0000-00006F6D0000}"/>
    <cellStyle name="Remarque 2 5 2 3 13 2 2" xfId="58338" xr:uid="{00000000-0005-0000-0000-0000706D0000}"/>
    <cellStyle name="Remarque 2 5 2 3 13 3" xfId="21635" xr:uid="{00000000-0005-0000-0000-0000716D0000}"/>
    <cellStyle name="Remarque 2 5 2 3 13 4" xfId="45595" xr:uid="{00000000-0005-0000-0000-0000726D0000}"/>
    <cellStyle name="Remarque 2 5 2 3 14" xfId="11806" xr:uid="{00000000-0005-0000-0000-0000736D0000}"/>
    <cellStyle name="Remarque 2 5 2 3 14 2" xfId="23080" xr:uid="{00000000-0005-0000-0000-0000746D0000}"/>
    <cellStyle name="Remarque 2 5 2 3 14 3" xfId="47040" xr:uid="{00000000-0005-0000-0000-0000756D0000}"/>
    <cellStyle name="Remarque 2 5 2 3 15" xfId="1840" xr:uid="{00000000-0005-0000-0000-0000766D0000}"/>
    <cellStyle name="Remarque 2 5 2 3 15 2" xfId="25854" xr:uid="{00000000-0005-0000-0000-0000776D0000}"/>
    <cellStyle name="Remarque 2 5 2 3 15 3" xfId="49814" xr:uid="{00000000-0005-0000-0000-0000786D0000}"/>
    <cellStyle name="Remarque 2 5 2 3 16" xfId="24436" xr:uid="{00000000-0005-0000-0000-0000796D0000}"/>
    <cellStyle name="Remarque 2 5 2 3 16 2" xfId="48396" xr:uid="{00000000-0005-0000-0000-00007A6D0000}"/>
    <cellStyle name="Remarque 2 5 2 3 17" xfId="29988" xr:uid="{00000000-0005-0000-0000-00007B6D0000}"/>
    <cellStyle name="Remarque 2 5 2 3 17 2" xfId="53948" xr:uid="{00000000-0005-0000-0000-00007C6D0000}"/>
    <cellStyle name="Remarque 2 5 2 3 18" xfId="13101" xr:uid="{00000000-0005-0000-0000-00007D6D0000}"/>
    <cellStyle name="Remarque 2 5 2 3 19" xfId="37061" xr:uid="{00000000-0005-0000-0000-00007E6D0000}"/>
    <cellStyle name="Remarque 2 5 2 3 2" xfId="540" xr:uid="{00000000-0005-0000-0000-00007F6D0000}"/>
    <cellStyle name="Remarque 2 5 2 3 2 10" xfId="24572" xr:uid="{00000000-0005-0000-0000-0000806D0000}"/>
    <cellStyle name="Remarque 2 5 2 3 2 10 2" xfId="48532" xr:uid="{00000000-0005-0000-0000-0000816D0000}"/>
    <cellStyle name="Remarque 2 5 2 3 2 11" xfId="36113" xr:uid="{00000000-0005-0000-0000-0000826D0000}"/>
    <cellStyle name="Remarque 2 5 2 3 2 11 2" xfId="60073" xr:uid="{00000000-0005-0000-0000-0000836D0000}"/>
    <cellStyle name="Remarque 2 5 2 3 2 12" xfId="13237" xr:uid="{00000000-0005-0000-0000-0000846D0000}"/>
    <cellStyle name="Remarque 2 5 2 3 2 13" xfId="37197" xr:uid="{00000000-0005-0000-0000-0000856D0000}"/>
    <cellStyle name="Remarque 2 5 2 3 2 2" xfId="3446" xr:uid="{00000000-0005-0000-0000-0000866D0000}"/>
    <cellStyle name="Remarque 2 5 2 3 2 2 2" xfId="27460" xr:uid="{00000000-0005-0000-0000-0000876D0000}"/>
    <cellStyle name="Remarque 2 5 2 3 2 2 2 2" xfId="51420" xr:uid="{00000000-0005-0000-0000-0000886D0000}"/>
    <cellStyle name="Remarque 2 5 2 3 2 2 3" xfId="14707" xr:uid="{00000000-0005-0000-0000-0000896D0000}"/>
    <cellStyle name="Remarque 2 5 2 3 2 2 4" xfId="38667" xr:uid="{00000000-0005-0000-0000-00008A6D0000}"/>
    <cellStyle name="Remarque 2 5 2 3 2 3" xfId="4880" xr:uid="{00000000-0005-0000-0000-00008B6D0000}"/>
    <cellStyle name="Remarque 2 5 2 3 2 3 2" xfId="28894" xr:uid="{00000000-0005-0000-0000-00008C6D0000}"/>
    <cellStyle name="Remarque 2 5 2 3 2 3 2 2" xfId="52854" xr:uid="{00000000-0005-0000-0000-00008D6D0000}"/>
    <cellStyle name="Remarque 2 5 2 3 2 3 3" xfId="16141" xr:uid="{00000000-0005-0000-0000-00008E6D0000}"/>
    <cellStyle name="Remarque 2 5 2 3 2 3 4" xfId="40101" xr:uid="{00000000-0005-0000-0000-00008F6D0000}"/>
    <cellStyle name="Remarque 2 5 2 3 2 4" xfId="6274" xr:uid="{00000000-0005-0000-0000-0000906D0000}"/>
    <cellStyle name="Remarque 2 5 2 3 2 4 2" xfId="30288" xr:uid="{00000000-0005-0000-0000-0000916D0000}"/>
    <cellStyle name="Remarque 2 5 2 3 2 4 2 2" xfId="54248" xr:uid="{00000000-0005-0000-0000-0000926D0000}"/>
    <cellStyle name="Remarque 2 5 2 3 2 4 3" xfId="17535" xr:uid="{00000000-0005-0000-0000-0000936D0000}"/>
    <cellStyle name="Remarque 2 5 2 3 2 4 4" xfId="41495" xr:uid="{00000000-0005-0000-0000-0000946D0000}"/>
    <cellStyle name="Remarque 2 5 2 3 2 5" xfId="7662" xr:uid="{00000000-0005-0000-0000-0000956D0000}"/>
    <cellStyle name="Remarque 2 5 2 3 2 5 2" xfId="31676" xr:uid="{00000000-0005-0000-0000-0000966D0000}"/>
    <cellStyle name="Remarque 2 5 2 3 2 5 2 2" xfId="55636" xr:uid="{00000000-0005-0000-0000-0000976D0000}"/>
    <cellStyle name="Remarque 2 5 2 3 2 5 3" xfId="18923" xr:uid="{00000000-0005-0000-0000-0000986D0000}"/>
    <cellStyle name="Remarque 2 5 2 3 2 5 4" xfId="42883" xr:uid="{00000000-0005-0000-0000-0000996D0000}"/>
    <cellStyle name="Remarque 2 5 2 3 2 6" xfId="9047" xr:uid="{00000000-0005-0000-0000-00009A6D0000}"/>
    <cellStyle name="Remarque 2 5 2 3 2 6 2" xfId="33061" xr:uid="{00000000-0005-0000-0000-00009B6D0000}"/>
    <cellStyle name="Remarque 2 5 2 3 2 6 2 2" xfId="57021" xr:uid="{00000000-0005-0000-0000-00009C6D0000}"/>
    <cellStyle name="Remarque 2 5 2 3 2 6 3" xfId="20308" xr:uid="{00000000-0005-0000-0000-00009D6D0000}"/>
    <cellStyle name="Remarque 2 5 2 3 2 6 4" xfId="44268" xr:uid="{00000000-0005-0000-0000-00009E6D0000}"/>
    <cellStyle name="Remarque 2 5 2 3 2 7" xfId="10504" xr:uid="{00000000-0005-0000-0000-00009F6D0000}"/>
    <cellStyle name="Remarque 2 5 2 3 2 7 2" xfId="34514" xr:uid="{00000000-0005-0000-0000-0000A06D0000}"/>
    <cellStyle name="Remarque 2 5 2 3 2 7 2 2" xfId="58474" xr:uid="{00000000-0005-0000-0000-0000A16D0000}"/>
    <cellStyle name="Remarque 2 5 2 3 2 7 3" xfId="21771" xr:uid="{00000000-0005-0000-0000-0000A26D0000}"/>
    <cellStyle name="Remarque 2 5 2 3 2 7 4" xfId="45731" xr:uid="{00000000-0005-0000-0000-0000A36D0000}"/>
    <cellStyle name="Remarque 2 5 2 3 2 8" xfId="12306" xr:uid="{00000000-0005-0000-0000-0000A46D0000}"/>
    <cellStyle name="Remarque 2 5 2 3 2 8 2" xfId="23594" xr:uid="{00000000-0005-0000-0000-0000A56D0000}"/>
    <cellStyle name="Remarque 2 5 2 3 2 8 3" xfId="47554" xr:uid="{00000000-0005-0000-0000-0000A66D0000}"/>
    <cellStyle name="Remarque 2 5 2 3 2 9" xfId="1976" xr:uid="{00000000-0005-0000-0000-0000A76D0000}"/>
    <cellStyle name="Remarque 2 5 2 3 2 9 2" xfId="25990" xr:uid="{00000000-0005-0000-0000-0000A86D0000}"/>
    <cellStyle name="Remarque 2 5 2 3 2 9 3" xfId="49950" xr:uid="{00000000-0005-0000-0000-0000A96D0000}"/>
    <cellStyle name="Remarque 2 5 2 3 20" xfId="404" xr:uid="{00000000-0005-0000-0000-0000AA6D0000}"/>
    <cellStyle name="Remarque 2 5 2 3 3" xfId="732" xr:uid="{00000000-0005-0000-0000-0000AB6D0000}"/>
    <cellStyle name="Remarque 2 5 2 3 3 10" xfId="24764" xr:uid="{00000000-0005-0000-0000-0000AC6D0000}"/>
    <cellStyle name="Remarque 2 5 2 3 3 10 2" xfId="48724" xr:uid="{00000000-0005-0000-0000-0000AD6D0000}"/>
    <cellStyle name="Remarque 2 5 2 3 3 11" xfId="35765" xr:uid="{00000000-0005-0000-0000-0000AE6D0000}"/>
    <cellStyle name="Remarque 2 5 2 3 3 11 2" xfId="59725" xr:uid="{00000000-0005-0000-0000-0000AF6D0000}"/>
    <cellStyle name="Remarque 2 5 2 3 3 12" xfId="13429" xr:uid="{00000000-0005-0000-0000-0000B06D0000}"/>
    <cellStyle name="Remarque 2 5 2 3 3 13" xfId="37389" xr:uid="{00000000-0005-0000-0000-0000B16D0000}"/>
    <cellStyle name="Remarque 2 5 2 3 3 2" xfId="3638" xr:uid="{00000000-0005-0000-0000-0000B26D0000}"/>
    <cellStyle name="Remarque 2 5 2 3 3 2 2" xfId="27652" xr:uid="{00000000-0005-0000-0000-0000B36D0000}"/>
    <cellStyle name="Remarque 2 5 2 3 3 2 2 2" xfId="51612" xr:uid="{00000000-0005-0000-0000-0000B46D0000}"/>
    <cellStyle name="Remarque 2 5 2 3 3 2 3" xfId="14899" xr:uid="{00000000-0005-0000-0000-0000B56D0000}"/>
    <cellStyle name="Remarque 2 5 2 3 3 2 4" xfId="38859" xr:uid="{00000000-0005-0000-0000-0000B66D0000}"/>
    <cellStyle name="Remarque 2 5 2 3 3 3" xfId="5072" xr:uid="{00000000-0005-0000-0000-0000B76D0000}"/>
    <cellStyle name="Remarque 2 5 2 3 3 3 2" xfId="29086" xr:uid="{00000000-0005-0000-0000-0000B86D0000}"/>
    <cellStyle name="Remarque 2 5 2 3 3 3 2 2" xfId="53046" xr:uid="{00000000-0005-0000-0000-0000B96D0000}"/>
    <cellStyle name="Remarque 2 5 2 3 3 3 3" xfId="16333" xr:uid="{00000000-0005-0000-0000-0000BA6D0000}"/>
    <cellStyle name="Remarque 2 5 2 3 3 3 4" xfId="40293" xr:uid="{00000000-0005-0000-0000-0000BB6D0000}"/>
    <cellStyle name="Remarque 2 5 2 3 3 4" xfId="6466" xr:uid="{00000000-0005-0000-0000-0000BC6D0000}"/>
    <cellStyle name="Remarque 2 5 2 3 3 4 2" xfId="30480" xr:uid="{00000000-0005-0000-0000-0000BD6D0000}"/>
    <cellStyle name="Remarque 2 5 2 3 3 4 2 2" xfId="54440" xr:uid="{00000000-0005-0000-0000-0000BE6D0000}"/>
    <cellStyle name="Remarque 2 5 2 3 3 4 3" xfId="17727" xr:uid="{00000000-0005-0000-0000-0000BF6D0000}"/>
    <cellStyle name="Remarque 2 5 2 3 3 4 4" xfId="41687" xr:uid="{00000000-0005-0000-0000-0000C06D0000}"/>
    <cellStyle name="Remarque 2 5 2 3 3 5" xfId="7854" xr:uid="{00000000-0005-0000-0000-0000C16D0000}"/>
    <cellStyle name="Remarque 2 5 2 3 3 5 2" xfId="31868" xr:uid="{00000000-0005-0000-0000-0000C26D0000}"/>
    <cellStyle name="Remarque 2 5 2 3 3 5 2 2" xfId="55828" xr:uid="{00000000-0005-0000-0000-0000C36D0000}"/>
    <cellStyle name="Remarque 2 5 2 3 3 5 3" xfId="19115" xr:uid="{00000000-0005-0000-0000-0000C46D0000}"/>
    <cellStyle name="Remarque 2 5 2 3 3 5 4" xfId="43075" xr:uid="{00000000-0005-0000-0000-0000C56D0000}"/>
    <cellStyle name="Remarque 2 5 2 3 3 6" xfId="9239" xr:uid="{00000000-0005-0000-0000-0000C66D0000}"/>
    <cellStyle name="Remarque 2 5 2 3 3 6 2" xfId="33253" xr:uid="{00000000-0005-0000-0000-0000C76D0000}"/>
    <cellStyle name="Remarque 2 5 2 3 3 6 2 2" xfId="57213" xr:uid="{00000000-0005-0000-0000-0000C86D0000}"/>
    <cellStyle name="Remarque 2 5 2 3 3 6 3" xfId="20500" xr:uid="{00000000-0005-0000-0000-0000C96D0000}"/>
    <cellStyle name="Remarque 2 5 2 3 3 6 4" xfId="44460" xr:uid="{00000000-0005-0000-0000-0000CA6D0000}"/>
    <cellStyle name="Remarque 2 5 2 3 3 7" xfId="10696" xr:uid="{00000000-0005-0000-0000-0000CB6D0000}"/>
    <cellStyle name="Remarque 2 5 2 3 3 7 2" xfId="34706" xr:uid="{00000000-0005-0000-0000-0000CC6D0000}"/>
    <cellStyle name="Remarque 2 5 2 3 3 7 2 2" xfId="58666" xr:uid="{00000000-0005-0000-0000-0000CD6D0000}"/>
    <cellStyle name="Remarque 2 5 2 3 3 7 3" xfId="21963" xr:uid="{00000000-0005-0000-0000-0000CE6D0000}"/>
    <cellStyle name="Remarque 2 5 2 3 3 7 4" xfId="45923" xr:uid="{00000000-0005-0000-0000-0000CF6D0000}"/>
    <cellStyle name="Remarque 2 5 2 3 3 8" xfId="11912" xr:uid="{00000000-0005-0000-0000-0000D06D0000}"/>
    <cellStyle name="Remarque 2 5 2 3 3 8 2" xfId="23190" xr:uid="{00000000-0005-0000-0000-0000D16D0000}"/>
    <cellStyle name="Remarque 2 5 2 3 3 8 3" xfId="47150" xr:uid="{00000000-0005-0000-0000-0000D26D0000}"/>
    <cellStyle name="Remarque 2 5 2 3 3 9" xfId="2168" xr:uid="{00000000-0005-0000-0000-0000D36D0000}"/>
    <cellStyle name="Remarque 2 5 2 3 3 9 2" xfId="26182" xr:uid="{00000000-0005-0000-0000-0000D46D0000}"/>
    <cellStyle name="Remarque 2 5 2 3 3 9 3" xfId="50142" xr:uid="{00000000-0005-0000-0000-0000D56D0000}"/>
    <cellStyle name="Remarque 2 5 2 3 4" xfId="926" xr:uid="{00000000-0005-0000-0000-0000D66D0000}"/>
    <cellStyle name="Remarque 2 5 2 3 4 10" xfId="24958" xr:uid="{00000000-0005-0000-0000-0000D76D0000}"/>
    <cellStyle name="Remarque 2 5 2 3 4 10 2" xfId="48918" xr:uid="{00000000-0005-0000-0000-0000D86D0000}"/>
    <cellStyle name="Remarque 2 5 2 3 4 11" xfId="36710" xr:uid="{00000000-0005-0000-0000-0000D96D0000}"/>
    <cellStyle name="Remarque 2 5 2 3 4 11 2" xfId="60670" xr:uid="{00000000-0005-0000-0000-0000DA6D0000}"/>
    <cellStyle name="Remarque 2 5 2 3 4 12" xfId="13623" xr:uid="{00000000-0005-0000-0000-0000DB6D0000}"/>
    <cellStyle name="Remarque 2 5 2 3 4 13" xfId="37583" xr:uid="{00000000-0005-0000-0000-0000DC6D0000}"/>
    <cellStyle name="Remarque 2 5 2 3 4 2" xfId="3832" xr:uid="{00000000-0005-0000-0000-0000DD6D0000}"/>
    <cellStyle name="Remarque 2 5 2 3 4 2 2" xfId="27846" xr:uid="{00000000-0005-0000-0000-0000DE6D0000}"/>
    <cellStyle name="Remarque 2 5 2 3 4 2 2 2" xfId="51806" xr:uid="{00000000-0005-0000-0000-0000DF6D0000}"/>
    <cellStyle name="Remarque 2 5 2 3 4 2 3" xfId="15093" xr:uid="{00000000-0005-0000-0000-0000E06D0000}"/>
    <cellStyle name="Remarque 2 5 2 3 4 2 4" xfId="39053" xr:uid="{00000000-0005-0000-0000-0000E16D0000}"/>
    <cellStyle name="Remarque 2 5 2 3 4 3" xfId="5266" xr:uid="{00000000-0005-0000-0000-0000E26D0000}"/>
    <cellStyle name="Remarque 2 5 2 3 4 3 2" xfId="29280" xr:uid="{00000000-0005-0000-0000-0000E36D0000}"/>
    <cellStyle name="Remarque 2 5 2 3 4 3 2 2" xfId="53240" xr:uid="{00000000-0005-0000-0000-0000E46D0000}"/>
    <cellStyle name="Remarque 2 5 2 3 4 3 3" xfId="16527" xr:uid="{00000000-0005-0000-0000-0000E56D0000}"/>
    <cellStyle name="Remarque 2 5 2 3 4 3 4" xfId="40487" xr:uid="{00000000-0005-0000-0000-0000E66D0000}"/>
    <cellStyle name="Remarque 2 5 2 3 4 4" xfId="6660" xr:uid="{00000000-0005-0000-0000-0000E76D0000}"/>
    <cellStyle name="Remarque 2 5 2 3 4 4 2" xfId="30674" xr:uid="{00000000-0005-0000-0000-0000E86D0000}"/>
    <cellStyle name="Remarque 2 5 2 3 4 4 2 2" xfId="54634" xr:uid="{00000000-0005-0000-0000-0000E96D0000}"/>
    <cellStyle name="Remarque 2 5 2 3 4 4 3" xfId="17921" xr:uid="{00000000-0005-0000-0000-0000EA6D0000}"/>
    <cellStyle name="Remarque 2 5 2 3 4 4 4" xfId="41881" xr:uid="{00000000-0005-0000-0000-0000EB6D0000}"/>
    <cellStyle name="Remarque 2 5 2 3 4 5" xfId="8048" xr:uid="{00000000-0005-0000-0000-0000EC6D0000}"/>
    <cellStyle name="Remarque 2 5 2 3 4 5 2" xfId="32062" xr:uid="{00000000-0005-0000-0000-0000ED6D0000}"/>
    <cellStyle name="Remarque 2 5 2 3 4 5 2 2" xfId="56022" xr:uid="{00000000-0005-0000-0000-0000EE6D0000}"/>
    <cellStyle name="Remarque 2 5 2 3 4 5 3" xfId="19309" xr:uid="{00000000-0005-0000-0000-0000EF6D0000}"/>
    <cellStyle name="Remarque 2 5 2 3 4 5 4" xfId="43269" xr:uid="{00000000-0005-0000-0000-0000F06D0000}"/>
    <cellStyle name="Remarque 2 5 2 3 4 6" xfId="9433" xr:uid="{00000000-0005-0000-0000-0000F16D0000}"/>
    <cellStyle name="Remarque 2 5 2 3 4 6 2" xfId="33447" xr:uid="{00000000-0005-0000-0000-0000F26D0000}"/>
    <cellStyle name="Remarque 2 5 2 3 4 6 2 2" xfId="57407" xr:uid="{00000000-0005-0000-0000-0000F36D0000}"/>
    <cellStyle name="Remarque 2 5 2 3 4 6 3" xfId="20694" xr:uid="{00000000-0005-0000-0000-0000F46D0000}"/>
    <cellStyle name="Remarque 2 5 2 3 4 6 4" xfId="44654" xr:uid="{00000000-0005-0000-0000-0000F56D0000}"/>
    <cellStyle name="Remarque 2 5 2 3 4 7" xfId="10890" xr:uid="{00000000-0005-0000-0000-0000F66D0000}"/>
    <cellStyle name="Remarque 2 5 2 3 4 7 2" xfId="34900" xr:uid="{00000000-0005-0000-0000-0000F76D0000}"/>
    <cellStyle name="Remarque 2 5 2 3 4 7 2 2" xfId="58860" xr:uid="{00000000-0005-0000-0000-0000F86D0000}"/>
    <cellStyle name="Remarque 2 5 2 3 4 7 3" xfId="22157" xr:uid="{00000000-0005-0000-0000-0000F96D0000}"/>
    <cellStyle name="Remarque 2 5 2 3 4 7 4" xfId="46117" xr:uid="{00000000-0005-0000-0000-0000FA6D0000}"/>
    <cellStyle name="Remarque 2 5 2 3 4 8" xfId="12101" xr:uid="{00000000-0005-0000-0000-0000FB6D0000}"/>
    <cellStyle name="Remarque 2 5 2 3 4 8 2" xfId="23384" xr:uid="{00000000-0005-0000-0000-0000FC6D0000}"/>
    <cellStyle name="Remarque 2 5 2 3 4 8 3" xfId="47344" xr:uid="{00000000-0005-0000-0000-0000FD6D0000}"/>
    <cellStyle name="Remarque 2 5 2 3 4 9" xfId="2362" xr:uid="{00000000-0005-0000-0000-0000FE6D0000}"/>
    <cellStyle name="Remarque 2 5 2 3 4 9 2" xfId="26376" xr:uid="{00000000-0005-0000-0000-0000FF6D0000}"/>
    <cellStyle name="Remarque 2 5 2 3 4 9 3" xfId="50336" xr:uid="{00000000-0005-0000-0000-0000006E0000}"/>
    <cellStyle name="Remarque 2 5 2 3 5" xfId="1119" xr:uid="{00000000-0005-0000-0000-0000016E0000}"/>
    <cellStyle name="Remarque 2 5 2 3 5 10" xfId="25151" xr:uid="{00000000-0005-0000-0000-0000026E0000}"/>
    <cellStyle name="Remarque 2 5 2 3 5 10 2" xfId="49111" xr:uid="{00000000-0005-0000-0000-0000036E0000}"/>
    <cellStyle name="Remarque 2 5 2 3 5 11" xfId="36454" xr:uid="{00000000-0005-0000-0000-0000046E0000}"/>
    <cellStyle name="Remarque 2 5 2 3 5 11 2" xfId="60414" xr:uid="{00000000-0005-0000-0000-0000056E0000}"/>
    <cellStyle name="Remarque 2 5 2 3 5 12" xfId="13816" xr:uid="{00000000-0005-0000-0000-0000066E0000}"/>
    <cellStyle name="Remarque 2 5 2 3 5 13" xfId="37776" xr:uid="{00000000-0005-0000-0000-0000076E0000}"/>
    <cellStyle name="Remarque 2 5 2 3 5 2" xfId="4025" xr:uid="{00000000-0005-0000-0000-0000086E0000}"/>
    <cellStyle name="Remarque 2 5 2 3 5 2 2" xfId="28039" xr:uid="{00000000-0005-0000-0000-0000096E0000}"/>
    <cellStyle name="Remarque 2 5 2 3 5 2 2 2" xfId="51999" xr:uid="{00000000-0005-0000-0000-00000A6E0000}"/>
    <cellStyle name="Remarque 2 5 2 3 5 2 3" xfId="15286" xr:uid="{00000000-0005-0000-0000-00000B6E0000}"/>
    <cellStyle name="Remarque 2 5 2 3 5 2 4" xfId="39246" xr:uid="{00000000-0005-0000-0000-00000C6E0000}"/>
    <cellStyle name="Remarque 2 5 2 3 5 3" xfId="5459" xr:uid="{00000000-0005-0000-0000-00000D6E0000}"/>
    <cellStyle name="Remarque 2 5 2 3 5 3 2" xfId="29473" xr:uid="{00000000-0005-0000-0000-00000E6E0000}"/>
    <cellStyle name="Remarque 2 5 2 3 5 3 2 2" xfId="53433" xr:uid="{00000000-0005-0000-0000-00000F6E0000}"/>
    <cellStyle name="Remarque 2 5 2 3 5 3 3" xfId="16720" xr:uid="{00000000-0005-0000-0000-0000106E0000}"/>
    <cellStyle name="Remarque 2 5 2 3 5 3 4" xfId="40680" xr:uid="{00000000-0005-0000-0000-0000116E0000}"/>
    <cellStyle name="Remarque 2 5 2 3 5 4" xfId="6853" xr:uid="{00000000-0005-0000-0000-0000126E0000}"/>
    <cellStyle name="Remarque 2 5 2 3 5 4 2" xfId="30867" xr:uid="{00000000-0005-0000-0000-0000136E0000}"/>
    <cellStyle name="Remarque 2 5 2 3 5 4 2 2" xfId="54827" xr:uid="{00000000-0005-0000-0000-0000146E0000}"/>
    <cellStyle name="Remarque 2 5 2 3 5 4 3" xfId="18114" xr:uid="{00000000-0005-0000-0000-0000156E0000}"/>
    <cellStyle name="Remarque 2 5 2 3 5 4 4" xfId="42074" xr:uid="{00000000-0005-0000-0000-0000166E0000}"/>
    <cellStyle name="Remarque 2 5 2 3 5 5" xfId="8241" xr:uid="{00000000-0005-0000-0000-0000176E0000}"/>
    <cellStyle name="Remarque 2 5 2 3 5 5 2" xfId="32255" xr:uid="{00000000-0005-0000-0000-0000186E0000}"/>
    <cellStyle name="Remarque 2 5 2 3 5 5 2 2" xfId="56215" xr:uid="{00000000-0005-0000-0000-0000196E0000}"/>
    <cellStyle name="Remarque 2 5 2 3 5 5 3" xfId="19502" xr:uid="{00000000-0005-0000-0000-00001A6E0000}"/>
    <cellStyle name="Remarque 2 5 2 3 5 5 4" xfId="43462" xr:uid="{00000000-0005-0000-0000-00001B6E0000}"/>
    <cellStyle name="Remarque 2 5 2 3 5 6" xfId="9626" xr:uid="{00000000-0005-0000-0000-00001C6E0000}"/>
    <cellStyle name="Remarque 2 5 2 3 5 6 2" xfId="33640" xr:uid="{00000000-0005-0000-0000-00001D6E0000}"/>
    <cellStyle name="Remarque 2 5 2 3 5 6 2 2" xfId="57600" xr:uid="{00000000-0005-0000-0000-00001E6E0000}"/>
    <cellStyle name="Remarque 2 5 2 3 5 6 3" xfId="20887" xr:uid="{00000000-0005-0000-0000-00001F6E0000}"/>
    <cellStyle name="Remarque 2 5 2 3 5 6 4" xfId="44847" xr:uid="{00000000-0005-0000-0000-0000206E0000}"/>
    <cellStyle name="Remarque 2 5 2 3 5 7" xfId="11083" xr:uid="{00000000-0005-0000-0000-0000216E0000}"/>
    <cellStyle name="Remarque 2 5 2 3 5 7 2" xfId="35093" xr:uid="{00000000-0005-0000-0000-0000226E0000}"/>
    <cellStyle name="Remarque 2 5 2 3 5 7 2 2" xfId="59053" xr:uid="{00000000-0005-0000-0000-0000236E0000}"/>
    <cellStyle name="Remarque 2 5 2 3 5 7 3" xfId="22350" xr:uid="{00000000-0005-0000-0000-0000246E0000}"/>
    <cellStyle name="Remarque 2 5 2 3 5 7 4" xfId="46310" xr:uid="{00000000-0005-0000-0000-0000256E0000}"/>
    <cellStyle name="Remarque 2 5 2 3 5 8" xfId="10143" xr:uid="{00000000-0005-0000-0000-0000266E0000}"/>
    <cellStyle name="Remarque 2 5 2 3 5 8 2" xfId="21408" xr:uid="{00000000-0005-0000-0000-0000276E0000}"/>
    <cellStyle name="Remarque 2 5 2 3 5 8 3" xfId="45368" xr:uid="{00000000-0005-0000-0000-0000286E0000}"/>
    <cellStyle name="Remarque 2 5 2 3 5 9" xfId="2555" xr:uid="{00000000-0005-0000-0000-0000296E0000}"/>
    <cellStyle name="Remarque 2 5 2 3 5 9 2" xfId="26569" xr:uid="{00000000-0005-0000-0000-00002A6E0000}"/>
    <cellStyle name="Remarque 2 5 2 3 5 9 3" xfId="50529" xr:uid="{00000000-0005-0000-0000-00002B6E0000}"/>
    <cellStyle name="Remarque 2 5 2 3 6" xfId="1286" xr:uid="{00000000-0005-0000-0000-00002C6E0000}"/>
    <cellStyle name="Remarque 2 5 2 3 6 10" xfId="25318" xr:uid="{00000000-0005-0000-0000-00002D6E0000}"/>
    <cellStyle name="Remarque 2 5 2 3 6 10 2" xfId="49278" xr:uid="{00000000-0005-0000-0000-00002E6E0000}"/>
    <cellStyle name="Remarque 2 5 2 3 6 11" xfId="36241" xr:uid="{00000000-0005-0000-0000-00002F6E0000}"/>
    <cellStyle name="Remarque 2 5 2 3 6 11 2" xfId="60201" xr:uid="{00000000-0005-0000-0000-0000306E0000}"/>
    <cellStyle name="Remarque 2 5 2 3 6 12" xfId="13983" xr:uid="{00000000-0005-0000-0000-0000316E0000}"/>
    <cellStyle name="Remarque 2 5 2 3 6 13" xfId="37943" xr:uid="{00000000-0005-0000-0000-0000326E0000}"/>
    <cellStyle name="Remarque 2 5 2 3 6 2" xfId="4192" xr:uid="{00000000-0005-0000-0000-0000336E0000}"/>
    <cellStyle name="Remarque 2 5 2 3 6 2 2" xfId="28206" xr:uid="{00000000-0005-0000-0000-0000346E0000}"/>
    <cellStyle name="Remarque 2 5 2 3 6 2 2 2" xfId="52166" xr:uid="{00000000-0005-0000-0000-0000356E0000}"/>
    <cellStyle name="Remarque 2 5 2 3 6 2 3" xfId="15453" xr:uid="{00000000-0005-0000-0000-0000366E0000}"/>
    <cellStyle name="Remarque 2 5 2 3 6 2 4" xfId="39413" xr:uid="{00000000-0005-0000-0000-0000376E0000}"/>
    <cellStyle name="Remarque 2 5 2 3 6 3" xfId="5626" xr:uid="{00000000-0005-0000-0000-0000386E0000}"/>
    <cellStyle name="Remarque 2 5 2 3 6 3 2" xfId="29640" xr:uid="{00000000-0005-0000-0000-0000396E0000}"/>
    <cellStyle name="Remarque 2 5 2 3 6 3 2 2" xfId="53600" xr:uid="{00000000-0005-0000-0000-00003A6E0000}"/>
    <cellStyle name="Remarque 2 5 2 3 6 3 3" xfId="16887" xr:uid="{00000000-0005-0000-0000-00003B6E0000}"/>
    <cellStyle name="Remarque 2 5 2 3 6 3 4" xfId="40847" xr:uid="{00000000-0005-0000-0000-00003C6E0000}"/>
    <cellStyle name="Remarque 2 5 2 3 6 4" xfId="7020" xr:uid="{00000000-0005-0000-0000-00003D6E0000}"/>
    <cellStyle name="Remarque 2 5 2 3 6 4 2" xfId="31034" xr:uid="{00000000-0005-0000-0000-00003E6E0000}"/>
    <cellStyle name="Remarque 2 5 2 3 6 4 2 2" xfId="54994" xr:uid="{00000000-0005-0000-0000-00003F6E0000}"/>
    <cellStyle name="Remarque 2 5 2 3 6 4 3" xfId="18281" xr:uid="{00000000-0005-0000-0000-0000406E0000}"/>
    <cellStyle name="Remarque 2 5 2 3 6 4 4" xfId="42241" xr:uid="{00000000-0005-0000-0000-0000416E0000}"/>
    <cellStyle name="Remarque 2 5 2 3 6 5" xfId="8408" xr:uid="{00000000-0005-0000-0000-0000426E0000}"/>
    <cellStyle name="Remarque 2 5 2 3 6 5 2" xfId="32422" xr:uid="{00000000-0005-0000-0000-0000436E0000}"/>
    <cellStyle name="Remarque 2 5 2 3 6 5 2 2" xfId="56382" xr:uid="{00000000-0005-0000-0000-0000446E0000}"/>
    <cellStyle name="Remarque 2 5 2 3 6 5 3" xfId="19669" xr:uid="{00000000-0005-0000-0000-0000456E0000}"/>
    <cellStyle name="Remarque 2 5 2 3 6 5 4" xfId="43629" xr:uid="{00000000-0005-0000-0000-0000466E0000}"/>
    <cellStyle name="Remarque 2 5 2 3 6 6" xfId="9793" xr:uid="{00000000-0005-0000-0000-0000476E0000}"/>
    <cellStyle name="Remarque 2 5 2 3 6 6 2" xfId="33807" xr:uid="{00000000-0005-0000-0000-0000486E0000}"/>
    <cellStyle name="Remarque 2 5 2 3 6 6 2 2" xfId="57767" xr:uid="{00000000-0005-0000-0000-0000496E0000}"/>
    <cellStyle name="Remarque 2 5 2 3 6 6 3" xfId="21054" xr:uid="{00000000-0005-0000-0000-00004A6E0000}"/>
    <cellStyle name="Remarque 2 5 2 3 6 6 4" xfId="45014" xr:uid="{00000000-0005-0000-0000-00004B6E0000}"/>
    <cellStyle name="Remarque 2 5 2 3 6 7" xfId="11250" xr:uid="{00000000-0005-0000-0000-00004C6E0000}"/>
    <cellStyle name="Remarque 2 5 2 3 6 7 2" xfId="35260" xr:uid="{00000000-0005-0000-0000-00004D6E0000}"/>
    <cellStyle name="Remarque 2 5 2 3 6 7 2 2" xfId="59220" xr:uid="{00000000-0005-0000-0000-00004E6E0000}"/>
    <cellStyle name="Remarque 2 5 2 3 6 7 3" xfId="22517" xr:uid="{00000000-0005-0000-0000-00004F6E0000}"/>
    <cellStyle name="Remarque 2 5 2 3 6 7 4" xfId="46477" xr:uid="{00000000-0005-0000-0000-0000506E0000}"/>
    <cellStyle name="Remarque 2 5 2 3 6 8" xfId="11956" xr:uid="{00000000-0005-0000-0000-0000516E0000}"/>
    <cellStyle name="Remarque 2 5 2 3 6 8 2" xfId="23234" xr:uid="{00000000-0005-0000-0000-0000526E0000}"/>
    <cellStyle name="Remarque 2 5 2 3 6 8 3" xfId="47194" xr:uid="{00000000-0005-0000-0000-0000536E0000}"/>
    <cellStyle name="Remarque 2 5 2 3 6 9" xfId="2722" xr:uid="{00000000-0005-0000-0000-0000546E0000}"/>
    <cellStyle name="Remarque 2 5 2 3 6 9 2" xfId="26736" xr:uid="{00000000-0005-0000-0000-0000556E0000}"/>
    <cellStyle name="Remarque 2 5 2 3 6 9 3" xfId="50696" xr:uid="{00000000-0005-0000-0000-0000566E0000}"/>
    <cellStyle name="Remarque 2 5 2 3 7" xfId="1455" xr:uid="{00000000-0005-0000-0000-0000576E0000}"/>
    <cellStyle name="Remarque 2 5 2 3 7 10" xfId="25487" xr:uid="{00000000-0005-0000-0000-0000586E0000}"/>
    <cellStyle name="Remarque 2 5 2 3 7 10 2" xfId="49447" xr:uid="{00000000-0005-0000-0000-0000596E0000}"/>
    <cellStyle name="Remarque 2 5 2 3 7 11" xfId="24258" xr:uid="{00000000-0005-0000-0000-00005A6E0000}"/>
    <cellStyle name="Remarque 2 5 2 3 7 11 2" xfId="48218" xr:uid="{00000000-0005-0000-0000-00005B6E0000}"/>
    <cellStyle name="Remarque 2 5 2 3 7 12" xfId="14152" xr:uid="{00000000-0005-0000-0000-00005C6E0000}"/>
    <cellStyle name="Remarque 2 5 2 3 7 13" xfId="38112" xr:uid="{00000000-0005-0000-0000-00005D6E0000}"/>
    <cellStyle name="Remarque 2 5 2 3 7 2" xfId="4361" xr:uid="{00000000-0005-0000-0000-00005E6E0000}"/>
    <cellStyle name="Remarque 2 5 2 3 7 2 2" xfId="28375" xr:uid="{00000000-0005-0000-0000-00005F6E0000}"/>
    <cellStyle name="Remarque 2 5 2 3 7 2 2 2" xfId="52335" xr:uid="{00000000-0005-0000-0000-0000606E0000}"/>
    <cellStyle name="Remarque 2 5 2 3 7 2 3" xfId="15622" xr:uid="{00000000-0005-0000-0000-0000616E0000}"/>
    <cellStyle name="Remarque 2 5 2 3 7 2 4" xfId="39582" xr:uid="{00000000-0005-0000-0000-0000626E0000}"/>
    <cellStyle name="Remarque 2 5 2 3 7 3" xfId="5795" xr:uid="{00000000-0005-0000-0000-0000636E0000}"/>
    <cellStyle name="Remarque 2 5 2 3 7 3 2" xfId="29809" xr:uid="{00000000-0005-0000-0000-0000646E0000}"/>
    <cellStyle name="Remarque 2 5 2 3 7 3 2 2" xfId="53769" xr:uid="{00000000-0005-0000-0000-0000656E0000}"/>
    <cellStyle name="Remarque 2 5 2 3 7 3 3" xfId="17056" xr:uid="{00000000-0005-0000-0000-0000666E0000}"/>
    <cellStyle name="Remarque 2 5 2 3 7 3 4" xfId="41016" xr:uid="{00000000-0005-0000-0000-0000676E0000}"/>
    <cellStyle name="Remarque 2 5 2 3 7 4" xfId="7189" xr:uid="{00000000-0005-0000-0000-0000686E0000}"/>
    <cellStyle name="Remarque 2 5 2 3 7 4 2" xfId="31203" xr:uid="{00000000-0005-0000-0000-0000696E0000}"/>
    <cellStyle name="Remarque 2 5 2 3 7 4 2 2" xfId="55163" xr:uid="{00000000-0005-0000-0000-00006A6E0000}"/>
    <cellStyle name="Remarque 2 5 2 3 7 4 3" xfId="18450" xr:uid="{00000000-0005-0000-0000-00006B6E0000}"/>
    <cellStyle name="Remarque 2 5 2 3 7 4 4" xfId="42410" xr:uid="{00000000-0005-0000-0000-00006C6E0000}"/>
    <cellStyle name="Remarque 2 5 2 3 7 5" xfId="8577" xr:uid="{00000000-0005-0000-0000-00006D6E0000}"/>
    <cellStyle name="Remarque 2 5 2 3 7 5 2" xfId="32591" xr:uid="{00000000-0005-0000-0000-00006E6E0000}"/>
    <cellStyle name="Remarque 2 5 2 3 7 5 2 2" xfId="56551" xr:uid="{00000000-0005-0000-0000-00006F6E0000}"/>
    <cellStyle name="Remarque 2 5 2 3 7 5 3" xfId="19838" xr:uid="{00000000-0005-0000-0000-0000706E0000}"/>
    <cellStyle name="Remarque 2 5 2 3 7 5 4" xfId="43798" xr:uid="{00000000-0005-0000-0000-0000716E0000}"/>
    <cellStyle name="Remarque 2 5 2 3 7 6" xfId="9962" xr:uid="{00000000-0005-0000-0000-0000726E0000}"/>
    <cellStyle name="Remarque 2 5 2 3 7 6 2" xfId="33976" xr:uid="{00000000-0005-0000-0000-0000736E0000}"/>
    <cellStyle name="Remarque 2 5 2 3 7 6 2 2" xfId="57936" xr:uid="{00000000-0005-0000-0000-0000746E0000}"/>
    <cellStyle name="Remarque 2 5 2 3 7 6 3" xfId="21223" xr:uid="{00000000-0005-0000-0000-0000756E0000}"/>
    <cellStyle name="Remarque 2 5 2 3 7 6 4" xfId="45183" xr:uid="{00000000-0005-0000-0000-0000766E0000}"/>
    <cellStyle name="Remarque 2 5 2 3 7 7" xfId="11419" xr:uid="{00000000-0005-0000-0000-0000776E0000}"/>
    <cellStyle name="Remarque 2 5 2 3 7 7 2" xfId="35429" xr:uid="{00000000-0005-0000-0000-0000786E0000}"/>
    <cellStyle name="Remarque 2 5 2 3 7 7 2 2" xfId="59389" xr:uid="{00000000-0005-0000-0000-0000796E0000}"/>
    <cellStyle name="Remarque 2 5 2 3 7 7 3" xfId="22686" xr:uid="{00000000-0005-0000-0000-00007A6E0000}"/>
    <cellStyle name="Remarque 2 5 2 3 7 7 4" xfId="46646" xr:uid="{00000000-0005-0000-0000-00007B6E0000}"/>
    <cellStyle name="Remarque 2 5 2 3 7 8" xfId="11968" xr:uid="{00000000-0005-0000-0000-00007C6E0000}"/>
    <cellStyle name="Remarque 2 5 2 3 7 8 2" xfId="23246" xr:uid="{00000000-0005-0000-0000-00007D6E0000}"/>
    <cellStyle name="Remarque 2 5 2 3 7 8 3" xfId="47206" xr:uid="{00000000-0005-0000-0000-00007E6E0000}"/>
    <cellStyle name="Remarque 2 5 2 3 7 9" xfId="2891" xr:uid="{00000000-0005-0000-0000-00007F6E0000}"/>
    <cellStyle name="Remarque 2 5 2 3 7 9 2" xfId="26905" xr:uid="{00000000-0005-0000-0000-0000806E0000}"/>
    <cellStyle name="Remarque 2 5 2 3 7 9 3" xfId="50865" xr:uid="{00000000-0005-0000-0000-0000816E0000}"/>
    <cellStyle name="Remarque 2 5 2 3 8" xfId="3310" xr:uid="{00000000-0005-0000-0000-0000826E0000}"/>
    <cellStyle name="Remarque 2 5 2 3 8 2" xfId="27324" xr:uid="{00000000-0005-0000-0000-0000836E0000}"/>
    <cellStyle name="Remarque 2 5 2 3 8 2 2" xfId="51284" xr:uid="{00000000-0005-0000-0000-0000846E0000}"/>
    <cellStyle name="Remarque 2 5 2 3 8 3" xfId="14571" xr:uid="{00000000-0005-0000-0000-0000856E0000}"/>
    <cellStyle name="Remarque 2 5 2 3 8 4" xfId="38531" xr:uid="{00000000-0005-0000-0000-0000866E0000}"/>
    <cellStyle name="Remarque 2 5 2 3 9" xfId="4744" xr:uid="{00000000-0005-0000-0000-0000876E0000}"/>
    <cellStyle name="Remarque 2 5 2 3 9 2" xfId="28758" xr:uid="{00000000-0005-0000-0000-0000886E0000}"/>
    <cellStyle name="Remarque 2 5 2 3 9 2 2" xfId="52718" xr:uid="{00000000-0005-0000-0000-0000896E0000}"/>
    <cellStyle name="Remarque 2 5 2 3 9 3" xfId="16005" xr:uid="{00000000-0005-0000-0000-00008A6E0000}"/>
    <cellStyle name="Remarque 2 5 2 3 9 4" xfId="39965" xr:uid="{00000000-0005-0000-0000-00008B6E0000}"/>
    <cellStyle name="Remarque 2 5 2 4" xfId="444" xr:uid="{00000000-0005-0000-0000-00008C6E0000}"/>
    <cellStyle name="Remarque 2 5 2 4 10" xfId="6178" xr:uid="{00000000-0005-0000-0000-00008D6E0000}"/>
    <cellStyle name="Remarque 2 5 2 4 10 2" xfId="30192" xr:uid="{00000000-0005-0000-0000-00008E6E0000}"/>
    <cellStyle name="Remarque 2 5 2 4 10 2 2" xfId="54152" xr:uid="{00000000-0005-0000-0000-00008F6E0000}"/>
    <cellStyle name="Remarque 2 5 2 4 10 3" xfId="17439" xr:uid="{00000000-0005-0000-0000-0000906E0000}"/>
    <cellStyle name="Remarque 2 5 2 4 10 4" xfId="41399" xr:uid="{00000000-0005-0000-0000-0000916E0000}"/>
    <cellStyle name="Remarque 2 5 2 4 11" xfId="7566" xr:uid="{00000000-0005-0000-0000-0000926E0000}"/>
    <cellStyle name="Remarque 2 5 2 4 11 2" xfId="31580" xr:uid="{00000000-0005-0000-0000-0000936E0000}"/>
    <cellStyle name="Remarque 2 5 2 4 11 2 2" xfId="55540" xr:uid="{00000000-0005-0000-0000-0000946E0000}"/>
    <cellStyle name="Remarque 2 5 2 4 11 3" xfId="18827" xr:uid="{00000000-0005-0000-0000-0000956E0000}"/>
    <cellStyle name="Remarque 2 5 2 4 11 4" xfId="42787" xr:uid="{00000000-0005-0000-0000-0000966E0000}"/>
    <cellStyle name="Remarque 2 5 2 4 12" xfId="8951" xr:uid="{00000000-0005-0000-0000-0000976E0000}"/>
    <cellStyle name="Remarque 2 5 2 4 12 2" xfId="32965" xr:uid="{00000000-0005-0000-0000-0000986E0000}"/>
    <cellStyle name="Remarque 2 5 2 4 12 2 2" xfId="56925" xr:uid="{00000000-0005-0000-0000-0000996E0000}"/>
    <cellStyle name="Remarque 2 5 2 4 12 3" xfId="20212" xr:uid="{00000000-0005-0000-0000-00009A6E0000}"/>
    <cellStyle name="Remarque 2 5 2 4 12 4" xfId="44172" xr:uid="{00000000-0005-0000-0000-00009B6E0000}"/>
    <cellStyle name="Remarque 2 5 2 4 13" xfId="10408" xr:uid="{00000000-0005-0000-0000-00009C6E0000}"/>
    <cellStyle name="Remarque 2 5 2 4 13 2" xfId="34418" xr:uid="{00000000-0005-0000-0000-00009D6E0000}"/>
    <cellStyle name="Remarque 2 5 2 4 13 2 2" xfId="58378" xr:uid="{00000000-0005-0000-0000-00009E6E0000}"/>
    <cellStyle name="Remarque 2 5 2 4 13 3" xfId="21675" xr:uid="{00000000-0005-0000-0000-00009F6E0000}"/>
    <cellStyle name="Remarque 2 5 2 4 13 4" xfId="45635" xr:uid="{00000000-0005-0000-0000-0000A06E0000}"/>
    <cellStyle name="Remarque 2 5 2 4 14" xfId="12429" xr:uid="{00000000-0005-0000-0000-0000A16E0000}"/>
    <cellStyle name="Remarque 2 5 2 4 14 2" xfId="23721" xr:uid="{00000000-0005-0000-0000-0000A26E0000}"/>
    <cellStyle name="Remarque 2 5 2 4 14 3" xfId="47681" xr:uid="{00000000-0005-0000-0000-0000A36E0000}"/>
    <cellStyle name="Remarque 2 5 2 4 15" xfId="1880" xr:uid="{00000000-0005-0000-0000-0000A46E0000}"/>
    <cellStyle name="Remarque 2 5 2 4 15 2" xfId="25894" xr:uid="{00000000-0005-0000-0000-0000A56E0000}"/>
    <cellStyle name="Remarque 2 5 2 4 15 3" xfId="49854" xr:uid="{00000000-0005-0000-0000-0000A66E0000}"/>
    <cellStyle name="Remarque 2 5 2 4 16" xfId="24476" xr:uid="{00000000-0005-0000-0000-0000A76E0000}"/>
    <cellStyle name="Remarque 2 5 2 4 16 2" xfId="48436" xr:uid="{00000000-0005-0000-0000-0000A86E0000}"/>
    <cellStyle name="Remarque 2 5 2 4 17" xfId="35646" xr:uid="{00000000-0005-0000-0000-0000A96E0000}"/>
    <cellStyle name="Remarque 2 5 2 4 17 2" xfId="59606" xr:uid="{00000000-0005-0000-0000-0000AA6E0000}"/>
    <cellStyle name="Remarque 2 5 2 4 18" xfId="13141" xr:uid="{00000000-0005-0000-0000-0000AB6E0000}"/>
    <cellStyle name="Remarque 2 5 2 4 19" xfId="37101" xr:uid="{00000000-0005-0000-0000-0000AC6E0000}"/>
    <cellStyle name="Remarque 2 5 2 4 2" xfId="580" xr:uid="{00000000-0005-0000-0000-0000AD6E0000}"/>
    <cellStyle name="Remarque 2 5 2 4 2 10" xfId="24612" xr:uid="{00000000-0005-0000-0000-0000AE6E0000}"/>
    <cellStyle name="Remarque 2 5 2 4 2 10 2" xfId="48572" xr:uid="{00000000-0005-0000-0000-0000AF6E0000}"/>
    <cellStyle name="Remarque 2 5 2 4 2 11" xfId="35835" xr:uid="{00000000-0005-0000-0000-0000B06E0000}"/>
    <cellStyle name="Remarque 2 5 2 4 2 11 2" xfId="59795" xr:uid="{00000000-0005-0000-0000-0000B16E0000}"/>
    <cellStyle name="Remarque 2 5 2 4 2 12" xfId="13277" xr:uid="{00000000-0005-0000-0000-0000B26E0000}"/>
    <cellStyle name="Remarque 2 5 2 4 2 13" xfId="37237" xr:uid="{00000000-0005-0000-0000-0000B36E0000}"/>
    <cellStyle name="Remarque 2 5 2 4 2 2" xfId="3486" xr:uid="{00000000-0005-0000-0000-0000B46E0000}"/>
    <cellStyle name="Remarque 2 5 2 4 2 2 2" xfId="27500" xr:uid="{00000000-0005-0000-0000-0000B56E0000}"/>
    <cellStyle name="Remarque 2 5 2 4 2 2 2 2" xfId="51460" xr:uid="{00000000-0005-0000-0000-0000B66E0000}"/>
    <cellStyle name="Remarque 2 5 2 4 2 2 3" xfId="14747" xr:uid="{00000000-0005-0000-0000-0000B76E0000}"/>
    <cellStyle name="Remarque 2 5 2 4 2 2 4" xfId="38707" xr:uid="{00000000-0005-0000-0000-0000B86E0000}"/>
    <cellStyle name="Remarque 2 5 2 4 2 3" xfId="4920" xr:uid="{00000000-0005-0000-0000-0000B96E0000}"/>
    <cellStyle name="Remarque 2 5 2 4 2 3 2" xfId="28934" xr:uid="{00000000-0005-0000-0000-0000BA6E0000}"/>
    <cellStyle name="Remarque 2 5 2 4 2 3 2 2" xfId="52894" xr:uid="{00000000-0005-0000-0000-0000BB6E0000}"/>
    <cellStyle name="Remarque 2 5 2 4 2 3 3" xfId="16181" xr:uid="{00000000-0005-0000-0000-0000BC6E0000}"/>
    <cellStyle name="Remarque 2 5 2 4 2 3 4" xfId="40141" xr:uid="{00000000-0005-0000-0000-0000BD6E0000}"/>
    <cellStyle name="Remarque 2 5 2 4 2 4" xfId="6314" xr:uid="{00000000-0005-0000-0000-0000BE6E0000}"/>
    <cellStyle name="Remarque 2 5 2 4 2 4 2" xfId="30328" xr:uid="{00000000-0005-0000-0000-0000BF6E0000}"/>
    <cellStyle name="Remarque 2 5 2 4 2 4 2 2" xfId="54288" xr:uid="{00000000-0005-0000-0000-0000C06E0000}"/>
    <cellStyle name="Remarque 2 5 2 4 2 4 3" xfId="17575" xr:uid="{00000000-0005-0000-0000-0000C16E0000}"/>
    <cellStyle name="Remarque 2 5 2 4 2 4 4" xfId="41535" xr:uid="{00000000-0005-0000-0000-0000C26E0000}"/>
    <cellStyle name="Remarque 2 5 2 4 2 5" xfId="7702" xr:uid="{00000000-0005-0000-0000-0000C36E0000}"/>
    <cellStyle name="Remarque 2 5 2 4 2 5 2" xfId="31716" xr:uid="{00000000-0005-0000-0000-0000C46E0000}"/>
    <cellStyle name="Remarque 2 5 2 4 2 5 2 2" xfId="55676" xr:uid="{00000000-0005-0000-0000-0000C56E0000}"/>
    <cellStyle name="Remarque 2 5 2 4 2 5 3" xfId="18963" xr:uid="{00000000-0005-0000-0000-0000C66E0000}"/>
    <cellStyle name="Remarque 2 5 2 4 2 5 4" xfId="42923" xr:uid="{00000000-0005-0000-0000-0000C76E0000}"/>
    <cellStyle name="Remarque 2 5 2 4 2 6" xfId="9087" xr:uid="{00000000-0005-0000-0000-0000C86E0000}"/>
    <cellStyle name="Remarque 2 5 2 4 2 6 2" xfId="33101" xr:uid="{00000000-0005-0000-0000-0000C96E0000}"/>
    <cellStyle name="Remarque 2 5 2 4 2 6 2 2" xfId="57061" xr:uid="{00000000-0005-0000-0000-0000CA6E0000}"/>
    <cellStyle name="Remarque 2 5 2 4 2 6 3" xfId="20348" xr:uid="{00000000-0005-0000-0000-0000CB6E0000}"/>
    <cellStyle name="Remarque 2 5 2 4 2 6 4" xfId="44308" xr:uid="{00000000-0005-0000-0000-0000CC6E0000}"/>
    <cellStyle name="Remarque 2 5 2 4 2 7" xfId="10544" xr:uid="{00000000-0005-0000-0000-0000CD6E0000}"/>
    <cellStyle name="Remarque 2 5 2 4 2 7 2" xfId="34554" xr:uid="{00000000-0005-0000-0000-0000CE6E0000}"/>
    <cellStyle name="Remarque 2 5 2 4 2 7 2 2" xfId="58514" xr:uid="{00000000-0005-0000-0000-0000CF6E0000}"/>
    <cellStyle name="Remarque 2 5 2 4 2 7 3" xfId="21811" xr:uid="{00000000-0005-0000-0000-0000D06E0000}"/>
    <cellStyle name="Remarque 2 5 2 4 2 7 4" xfId="45771" xr:uid="{00000000-0005-0000-0000-0000D16E0000}"/>
    <cellStyle name="Remarque 2 5 2 4 2 8" xfId="11700" xr:uid="{00000000-0005-0000-0000-0000D26E0000}"/>
    <cellStyle name="Remarque 2 5 2 4 2 8 2" xfId="22969" xr:uid="{00000000-0005-0000-0000-0000D36E0000}"/>
    <cellStyle name="Remarque 2 5 2 4 2 8 3" xfId="46929" xr:uid="{00000000-0005-0000-0000-0000D46E0000}"/>
    <cellStyle name="Remarque 2 5 2 4 2 9" xfId="2016" xr:uid="{00000000-0005-0000-0000-0000D56E0000}"/>
    <cellStyle name="Remarque 2 5 2 4 2 9 2" xfId="26030" xr:uid="{00000000-0005-0000-0000-0000D66E0000}"/>
    <cellStyle name="Remarque 2 5 2 4 2 9 3" xfId="49990" xr:uid="{00000000-0005-0000-0000-0000D76E0000}"/>
    <cellStyle name="Remarque 2 5 2 4 3" xfId="772" xr:uid="{00000000-0005-0000-0000-0000D86E0000}"/>
    <cellStyle name="Remarque 2 5 2 4 3 10" xfId="24804" xr:uid="{00000000-0005-0000-0000-0000D96E0000}"/>
    <cellStyle name="Remarque 2 5 2 4 3 10 2" xfId="48764" xr:uid="{00000000-0005-0000-0000-0000DA6E0000}"/>
    <cellStyle name="Remarque 2 5 2 4 3 11" xfId="35910" xr:uid="{00000000-0005-0000-0000-0000DB6E0000}"/>
    <cellStyle name="Remarque 2 5 2 4 3 11 2" xfId="59870" xr:uid="{00000000-0005-0000-0000-0000DC6E0000}"/>
    <cellStyle name="Remarque 2 5 2 4 3 12" xfId="13469" xr:uid="{00000000-0005-0000-0000-0000DD6E0000}"/>
    <cellStyle name="Remarque 2 5 2 4 3 13" xfId="37429" xr:uid="{00000000-0005-0000-0000-0000DE6E0000}"/>
    <cellStyle name="Remarque 2 5 2 4 3 2" xfId="3678" xr:uid="{00000000-0005-0000-0000-0000DF6E0000}"/>
    <cellStyle name="Remarque 2 5 2 4 3 2 2" xfId="27692" xr:uid="{00000000-0005-0000-0000-0000E06E0000}"/>
    <cellStyle name="Remarque 2 5 2 4 3 2 2 2" xfId="51652" xr:uid="{00000000-0005-0000-0000-0000E16E0000}"/>
    <cellStyle name="Remarque 2 5 2 4 3 2 3" xfId="14939" xr:uid="{00000000-0005-0000-0000-0000E26E0000}"/>
    <cellStyle name="Remarque 2 5 2 4 3 2 4" xfId="38899" xr:uid="{00000000-0005-0000-0000-0000E36E0000}"/>
    <cellStyle name="Remarque 2 5 2 4 3 3" xfId="5112" xr:uid="{00000000-0005-0000-0000-0000E46E0000}"/>
    <cellStyle name="Remarque 2 5 2 4 3 3 2" xfId="29126" xr:uid="{00000000-0005-0000-0000-0000E56E0000}"/>
    <cellStyle name="Remarque 2 5 2 4 3 3 2 2" xfId="53086" xr:uid="{00000000-0005-0000-0000-0000E66E0000}"/>
    <cellStyle name="Remarque 2 5 2 4 3 3 3" xfId="16373" xr:uid="{00000000-0005-0000-0000-0000E76E0000}"/>
    <cellStyle name="Remarque 2 5 2 4 3 3 4" xfId="40333" xr:uid="{00000000-0005-0000-0000-0000E86E0000}"/>
    <cellStyle name="Remarque 2 5 2 4 3 4" xfId="6506" xr:uid="{00000000-0005-0000-0000-0000E96E0000}"/>
    <cellStyle name="Remarque 2 5 2 4 3 4 2" xfId="30520" xr:uid="{00000000-0005-0000-0000-0000EA6E0000}"/>
    <cellStyle name="Remarque 2 5 2 4 3 4 2 2" xfId="54480" xr:uid="{00000000-0005-0000-0000-0000EB6E0000}"/>
    <cellStyle name="Remarque 2 5 2 4 3 4 3" xfId="17767" xr:uid="{00000000-0005-0000-0000-0000EC6E0000}"/>
    <cellStyle name="Remarque 2 5 2 4 3 4 4" xfId="41727" xr:uid="{00000000-0005-0000-0000-0000ED6E0000}"/>
    <cellStyle name="Remarque 2 5 2 4 3 5" xfId="7894" xr:uid="{00000000-0005-0000-0000-0000EE6E0000}"/>
    <cellStyle name="Remarque 2 5 2 4 3 5 2" xfId="31908" xr:uid="{00000000-0005-0000-0000-0000EF6E0000}"/>
    <cellStyle name="Remarque 2 5 2 4 3 5 2 2" xfId="55868" xr:uid="{00000000-0005-0000-0000-0000F06E0000}"/>
    <cellStyle name="Remarque 2 5 2 4 3 5 3" xfId="19155" xr:uid="{00000000-0005-0000-0000-0000F16E0000}"/>
    <cellStyle name="Remarque 2 5 2 4 3 5 4" xfId="43115" xr:uid="{00000000-0005-0000-0000-0000F26E0000}"/>
    <cellStyle name="Remarque 2 5 2 4 3 6" xfId="9279" xr:uid="{00000000-0005-0000-0000-0000F36E0000}"/>
    <cellStyle name="Remarque 2 5 2 4 3 6 2" xfId="33293" xr:uid="{00000000-0005-0000-0000-0000F46E0000}"/>
    <cellStyle name="Remarque 2 5 2 4 3 6 2 2" xfId="57253" xr:uid="{00000000-0005-0000-0000-0000F56E0000}"/>
    <cellStyle name="Remarque 2 5 2 4 3 6 3" xfId="20540" xr:uid="{00000000-0005-0000-0000-0000F66E0000}"/>
    <cellStyle name="Remarque 2 5 2 4 3 6 4" xfId="44500" xr:uid="{00000000-0005-0000-0000-0000F76E0000}"/>
    <cellStyle name="Remarque 2 5 2 4 3 7" xfId="10736" xr:uid="{00000000-0005-0000-0000-0000F86E0000}"/>
    <cellStyle name="Remarque 2 5 2 4 3 7 2" xfId="34746" xr:uid="{00000000-0005-0000-0000-0000F96E0000}"/>
    <cellStyle name="Remarque 2 5 2 4 3 7 2 2" xfId="58706" xr:uid="{00000000-0005-0000-0000-0000FA6E0000}"/>
    <cellStyle name="Remarque 2 5 2 4 3 7 3" xfId="22003" xr:uid="{00000000-0005-0000-0000-0000FB6E0000}"/>
    <cellStyle name="Remarque 2 5 2 4 3 7 4" xfId="45963" xr:uid="{00000000-0005-0000-0000-0000FC6E0000}"/>
    <cellStyle name="Remarque 2 5 2 4 3 8" xfId="12649" xr:uid="{00000000-0005-0000-0000-0000FD6E0000}"/>
    <cellStyle name="Remarque 2 5 2 4 3 8 2" xfId="23954" xr:uid="{00000000-0005-0000-0000-0000FE6E0000}"/>
    <cellStyle name="Remarque 2 5 2 4 3 8 3" xfId="47914" xr:uid="{00000000-0005-0000-0000-0000FF6E0000}"/>
    <cellStyle name="Remarque 2 5 2 4 3 9" xfId="2208" xr:uid="{00000000-0005-0000-0000-0000006F0000}"/>
    <cellStyle name="Remarque 2 5 2 4 3 9 2" xfId="26222" xr:uid="{00000000-0005-0000-0000-0000016F0000}"/>
    <cellStyle name="Remarque 2 5 2 4 3 9 3" xfId="50182" xr:uid="{00000000-0005-0000-0000-0000026F0000}"/>
    <cellStyle name="Remarque 2 5 2 4 4" xfId="966" xr:uid="{00000000-0005-0000-0000-0000036F0000}"/>
    <cellStyle name="Remarque 2 5 2 4 4 10" xfId="24998" xr:uid="{00000000-0005-0000-0000-0000046F0000}"/>
    <cellStyle name="Remarque 2 5 2 4 4 10 2" xfId="48958" xr:uid="{00000000-0005-0000-0000-0000056F0000}"/>
    <cellStyle name="Remarque 2 5 2 4 4 11" xfId="35630" xr:uid="{00000000-0005-0000-0000-0000066F0000}"/>
    <cellStyle name="Remarque 2 5 2 4 4 11 2" xfId="59590" xr:uid="{00000000-0005-0000-0000-0000076F0000}"/>
    <cellStyle name="Remarque 2 5 2 4 4 12" xfId="13663" xr:uid="{00000000-0005-0000-0000-0000086F0000}"/>
    <cellStyle name="Remarque 2 5 2 4 4 13" xfId="37623" xr:uid="{00000000-0005-0000-0000-0000096F0000}"/>
    <cellStyle name="Remarque 2 5 2 4 4 2" xfId="3872" xr:uid="{00000000-0005-0000-0000-00000A6F0000}"/>
    <cellStyle name="Remarque 2 5 2 4 4 2 2" xfId="27886" xr:uid="{00000000-0005-0000-0000-00000B6F0000}"/>
    <cellStyle name="Remarque 2 5 2 4 4 2 2 2" xfId="51846" xr:uid="{00000000-0005-0000-0000-00000C6F0000}"/>
    <cellStyle name="Remarque 2 5 2 4 4 2 3" xfId="15133" xr:uid="{00000000-0005-0000-0000-00000D6F0000}"/>
    <cellStyle name="Remarque 2 5 2 4 4 2 4" xfId="39093" xr:uid="{00000000-0005-0000-0000-00000E6F0000}"/>
    <cellStyle name="Remarque 2 5 2 4 4 3" xfId="5306" xr:uid="{00000000-0005-0000-0000-00000F6F0000}"/>
    <cellStyle name="Remarque 2 5 2 4 4 3 2" xfId="29320" xr:uid="{00000000-0005-0000-0000-0000106F0000}"/>
    <cellStyle name="Remarque 2 5 2 4 4 3 2 2" xfId="53280" xr:uid="{00000000-0005-0000-0000-0000116F0000}"/>
    <cellStyle name="Remarque 2 5 2 4 4 3 3" xfId="16567" xr:uid="{00000000-0005-0000-0000-0000126F0000}"/>
    <cellStyle name="Remarque 2 5 2 4 4 3 4" xfId="40527" xr:uid="{00000000-0005-0000-0000-0000136F0000}"/>
    <cellStyle name="Remarque 2 5 2 4 4 4" xfId="6700" xr:uid="{00000000-0005-0000-0000-0000146F0000}"/>
    <cellStyle name="Remarque 2 5 2 4 4 4 2" xfId="30714" xr:uid="{00000000-0005-0000-0000-0000156F0000}"/>
    <cellStyle name="Remarque 2 5 2 4 4 4 2 2" xfId="54674" xr:uid="{00000000-0005-0000-0000-0000166F0000}"/>
    <cellStyle name="Remarque 2 5 2 4 4 4 3" xfId="17961" xr:uid="{00000000-0005-0000-0000-0000176F0000}"/>
    <cellStyle name="Remarque 2 5 2 4 4 4 4" xfId="41921" xr:uid="{00000000-0005-0000-0000-0000186F0000}"/>
    <cellStyle name="Remarque 2 5 2 4 4 5" xfId="8088" xr:uid="{00000000-0005-0000-0000-0000196F0000}"/>
    <cellStyle name="Remarque 2 5 2 4 4 5 2" xfId="32102" xr:uid="{00000000-0005-0000-0000-00001A6F0000}"/>
    <cellStyle name="Remarque 2 5 2 4 4 5 2 2" xfId="56062" xr:uid="{00000000-0005-0000-0000-00001B6F0000}"/>
    <cellStyle name="Remarque 2 5 2 4 4 5 3" xfId="19349" xr:uid="{00000000-0005-0000-0000-00001C6F0000}"/>
    <cellStyle name="Remarque 2 5 2 4 4 5 4" xfId="43309" xr:uid="{00000000-0005-0000-0000-00001D6F0000}"/>
    <cellStyle name="Remarque 2 5 2 4 4 6" xfId="9473" xr:uid="{00000000-0005-0000-0000-00001E6F0000}"/>
    <cellStyle name="Remarque 2 5 2 4 4 6 2" xfId="33487" xr:uid="{00000000-0005-0000-0000-00001F6F0000}"/>
    <cellStyle name="Remarque 2 5 2 4 4 6 2 2" xfId="57447" xr:uid="{00000000-0005-0000-0000-0000206F0000}"/>
    <cellStyle name="Remarque 2 5 2 4 4 6 3" xfId="20734" xr:uid="{00000000-0005-0000-0000-0000216F0000}"/>
    <cellStyle name="Remarque 2 5 2 4 4 6 4" xfId="44694" xr:uid="{00000000-0005-0000-0000-0000226F0000}"/>
    <cellStyle name="Remarque 2 5 2 4 4 7" xfId="10930" xr:uid="{00000000-0005-0000-0000-0000236F0000}"/>
    <cellStyle name="Remarque 2 5 2 4 4 7 2" xfId="34940" xr:uid="{00000000-0005-0000-0000-0000246F0000}"/>
    <cellStyle name="Remarque 2 5 2 4 4 7 2 2" xfId="58900" xr:uid="{00000000-0005-0000-0000-0000256F0000}"/>
    <cellStyle name="Remarque 2 5 2 4 4 7 3" xfId="22197" xr:uid="{00000000-0005-0000-0000-0000266F0000}"/>
    <cellStyle name="Remarque 2 5 2 4 4 7 4" xfId="46157" xr:uid="{00000000-0005-0000-0000-0000276F0000}"/>
    <cellStyle name="Remarque 2 5 2 4 4 8" xfId="12508" xr:uid="{00000000-0005-0000-0000-0000286F0000}"/>
    <cellStyle name="Remarque 2 5 2 4 4 8 2" xfId="23805" xr:uid="{00000000-0005-0000-0000-0000296F0000}"/>
    <cellStyle name="Remarque 2 5 2 4 4 8 3" xfId="47765" xr:uid="{00000000-0005-0000-0000-00002A6F0000}"/>
    <cellStyle name="Remarque 2 5 2 4 4 9" xfId="2402" xr:uid="{00000000-0005-0000-0000-00002B6F0000}"/>
    <cellStyle name="Remarque 2 5 2 4 4 9 2" xfId="26416" xr:uid="{00000000-0005-0000-0000-00002C6F0000}"/>
    <cellStyle name="Remarque 2 5 2 4 4 9 3" xfId="50376" xr:uid="{00000000-0005-0000-0000-00002D6F0000}"/>
    <cellStyle name="Remarque 2 5 2 4 5" xfId="1159" xr:uid="{00000000-0005-0000-0000-00002E6F0000}"/>
    <cellStyle name="Remarque 2 5 2 4 5 10" xfId="25191" xr:uid="{00000000-0005-0000-0000-00002F6F0000}"/>
    <cellStyle name="Remarque 2 5 2 4 5 10 2" xfId="49151" xr:uid="{00000000-0005-0000-0000-0000306F0000}"/>
    <cellStyle name="Remarque 2 5 2 4 5 11" xfId="34153" xr:uid="{00000000-0005-0000-0000-0000316F0000}"/>
    <cellStyle name="Remarque 2 5 2 4 5 11 2" xfId="58113" xr:uid="{00000000-0005-0000-0000-0000326F0000}"/>
    <cellStyle name="Remarque 2 5 2 4 5 12" xfId="13856" xr:uid="{00000000-0005-0000-0000-0000336F0000}"/>
    <cellStyle name="Remarque 2 5 2 4 5 13" xfId="37816" xr:uid="{00000000-0005-0000-0000-0000346F0000}"/>
    <cellStyle name="Remarque 2 5 2 4 5 2" xfId="4065" xr:uid="{00000000-0005-0000-0000-0000356F0000}"/>
    <cellStyle name="Remarque 2 5 2 4 5 2 2" xfId="28079" xr:uid="{00000000-0005-0000-0000-0000366F0000}"/>
    <cellStyle name="Remarque 2 5 2 4 5 2 2 2" xfId="52039" xr:uid="{00000000-0005-0000-0000-0000376F0000}"/>
    <cellStyle name="Remarque 2 5 2 4 5 2 3" xfId="15326" xr:uid="{00000000-0005-0000-0000-0000386F0000}"/>
    <cellStyle name="Remarque 2 5 2 4 5 2 4" xfId="39286" xr:uid="{00000000-0005-0000-0000-0000396F0000}"/>
    <cellStyle name="Remarque 2 5 2 4 5 3" xfId="5499" xr:uid="{00000000-0005-0000-0000-00003A6F0000}"/>
    <cellStyle name="Remarque 2 5 2 4 5 3 2" xfId="29513" xr:uid="{00000000-0005-0000-0000-00003B6F0000}"/>
    <cellStyle name="Remarque 2 5 2 4 5 3 2 2" xfId="53473" xr:uid="{00000000-0005-0000-0000-00003C6F0000}"/>
    <cellStyle name="Remarque 2 5 2 4 5 3 3" xfId="16760" xr:uid="{00000000-0005-0000-0000-00003D6F0000}"/>
    <cellStyle name="Remarque 2 5 2 4 5 3 4" xfId="40720" xr:uid="{00000000-0005-0000-0000-00003E6F0000}"/>
    <cellStyle name="Remarque 2 5 2 4 5 4" xfId="6893" xr:uid="{00000000-0005-0000-0000-00003F6F0000}"/>
    <cellStyle name="Remarque 2 5 2 4 5 4 2" xfId="30907" xr:uid="{00000000-0005-0000-0000-0000406F0000}"/>
    <cellStyle name="Remarque 2 5 2 4 5 4 2 2" xfId="54867" xr:uid="{00000000-0005-0000-0000-0000416F0000}"/>
    <cellStyle name="Remarque 2 5 2 4 5 4 3" xfId="18154" xr:uid="{00000000-0005-0000-0000-0000426F0000}"/>
    <cellStyle name="Remarque 2 5 2 4 5 4 4" xfId="42114" xr:uid="{00000000-0005-0000-0000-0000436F0000}"/>
    <cellStyle name="Remarque 2 5 2 4 5 5" xfId="8281" xr:uid="{00000000-0005-0000-0000-0000446F0000}"/>
    <cellStyle name="Remarque 2 5 2 4 5 5 2" xfId="32295" xr:uid="{00000000-0005-0000-0000-0000456F0000}"/>
    <cellStyle name="Remarque 2 5 2 4 5 5 2 2" xfId="56255" xr:uid="{00000000-0005-0000-0000-0000466F0000}"/>
    <cellStyle name="Remarque 2 5 2 4 5 5 3" xfId="19542" xr:uid="{00000000-0005-0000-0000-0000476F0000}"/>
    <cellStyle name="Remarque 2 5 2 4 5 5 4" xfId="43502" xr:uid="{00000000-0005-0000-0000-0000486F0000}"/>
    <cellStyle name="Remarque 2 5 2 4 5 6" xfId="9666" xr:uid="{00000000-0005-0000-0000-0000496F0000}"/>
    <cellStyle name="Remarque 2 5 2 4 5 6 2" xfId="33680" xr:uid="{00000000-0005-0000-0000-00004A6F0000}"/>
    <cellStyle name="Remarque 2 5 2 4 5 6 2 2" xfId="57640" xr:uid="{00000000-0005-0000-0000-00004B6F0000}"/>
    <cellStyle name="Remarque 2 5 2 4 5 6 3" xfId="20927" xr:uid="{00000000-0005-0000-0000-00004C6F0000}"/>
    <cellStyle name="Remarque 2 5 2 4 5 6 4" xfId="44887" xr:uid="{00000000-0005-0000-0000-00004D6F0000}"/>
    <cellStyle name="Remarque 2 5 2 4 5 7" xfId="11123" xr:uid="{00000000-0005-0000-0000-00004E6F0000}"/>
    <cellStyle name="Remarque 2 5 2 4 5 7 2" xfId="35133" xr:uid="{00000000-0005-0000-0000-00004F6F0000}"/>
    <cellStyle name="Remarque 2 5 2 4 5 7 2 2" xfId="59093" xr:uid="{00000000-0005-0000-0000-0000506F0000}"/>
    <cellStyle name="Remarque 2 5 2 4 5 7 3" xfId="22390" xr:uid="{00000000-0005-0000-0000-0000516F0000}"/>
    <cellStyle name="Remarque 2 5 2 4 5 7 4" xfId="46350" xr:uid="{00000000-0005-0000-0000-0000526F0000}"/>
    <cellStyle name="Remarque 2 5 2 4 5 8" xfId="12089" xr:uid="{00000000-0005-0000-0000-0000536F0000}"/>
    <cellStyle name="Remarque 2 5 2 4 5 8 2" xfId="23372" xr:uid="{00000000-0005-0000-0000-0000546F0000}"/>
    <cellStyle name="Remarque 2 5 2 4 5 8 3" xfId="47332" xr:uid="{00000000-0005-0000-0000-0000556F0000}"/>
    <cellStyle name="Remarque 2 5 2 4 5 9" xfId="2595" xr:uid="{00000000-0005-0000-0000-0000566F0000}"/>
    <cellStyle name="Remarque 2 5 2 4 5 9 2" xfId="26609" xr:uid="{00000000-0005-0000-0000-0000576F0000}"/>
    <cellStyle name="Remarque 2 5 2 4 5 9 3" xfId="50569" xr:uid="{00000000-0005-0000-0000-0000586F0000}"/>
    <cellStyle name="Remarque 2 5 2 4 6" xfId="1326" xr:uid="{00000000-0005-0000-0000-0000596F0000}"/>
    <cellStyle name="Remarque 2 5 2 4 6 10" xfId="25358" xr:uid="{00000000-0005-0000-0000-00005A6F0000}"/>
    <cellStyle name="Remarque 2 5 2 4 6 10 2" xfId="49318" xr:uid="{00000000-0005-0000-0000-00005B6F0000}"/>
    <cellStyle name="Remarque 2 5 2 4 6 11" xfId="36185" xr:uid="{00000000-0005-0000-0000-00005C6F0000}"/>
    <cellStyle name="Remarque 2 5 2 4 6 11 2" xfId="60145" xr:uid="{00000000-0005-0000-0000-00005D6F0000}"/>
    <cellStyle name="Remarque 2 5 2 4 6 12" xfId="14023" xr:uid="{00000000-0005-0000-0000-00005E6F0000}"/>
    <cellStyle name="Remarque 2 5 2 4 6 13" xfId="37983" xr:uid="{00000000-0005-0000-0000-00005F6F0000}"/>
    <cellStyle name="Remarque 2 5 2 4 6 2" xfId="4232" xr:uid="{00000000-0005-0000-0000-0000606F0000}"/>
    <cellStyle name="Remarque 2 5 2 4 6 2 2" xfId="28246" xr:uid="{00000000-0005-0000-0000-0000616F0000}"/>
    <cellStyle name="Remarque 2 5 2 4 6 2 2 2" xfId="52206" xr:uid="{00000000-0005-0000-0000-0000626F0000}"/>
    <cellStyle name="Remarque 2 5 2 4 6 2 3" xfId="15493" xr:uid="{00000000-0005-0000-0000-0000636F0000}"/>
    <cellStyle name="Remarque 2 5 2 4 6 2 4" xfId="39453" xr:uid="{00000000-0005-0000-0000-0000646F0000}"/>
    <cellStyle name="Remarque 2 5 2 4 6 3" xfId="5666" xr:uid="{00000000-0005-0000-0000-0000656F0000}"/>
    <cellStyle name="Remarque 2 5 2 4 6 3 2" xfId="29680" xr:uid="{00000000-0005-0000-0000-0000666F0000}"/>
    <cellStyle name="Remarque 2 5 2 4 6 3 2 2" xfId="53640" xr:uid="{00000000-0005-0000-0000-0000676F0000}"/>
    <cellStyle name="Remarque 2 5 2 4 6 3 3" xfId="16927" xr:uid="{00000000-0005-0000-0000-0000686F0000}"/>
    <cellStyle name="Remarque 2 5 2 4 6 3 4" xfId="40887" xr:uid="{00000000-0005-0000-0000-0000696F0000}"/>
    <cellStyle name="Remarque 2 5 2 4 6 4" xfId="7060" xr:uid="{00000000-0005-0000-0000-00006A6F0000}"/>
    <cellStyle name="Remarque 2 5 2 4 6 4 2" xfId="31074" xr:uid="{00000000-0005-0000-0000-00006B6F0000}"/>
    <cellStyle name="Remarque 2 5 2 4 6 4 2 2" xfId="55034" xr:uid="{00000000-0005-0000-0000-00006C6F0000}"/>
    <cellStyle name="Remarque 2 5 2 4 6 4 3" xfId="18321" xr:uid="{00000000-0005-0000-0000-00006D6F0000}"/>
    <cellStyle name="Remarque 2 5 2 4 6 4 4" xfId="42281" xr:uid="{00000000-0005-0000-0000-00006E6F0000}"/>
    <cellStyle name="Remarque 2 5 2 4 6 5" xfId="8448" xr:uid="{00000000-0005-0000-0000-00006F6F0000}"/>
    <cellStyle name="Remarque 2 5 2 4 6 5 2" xfId="32462" xr:uid="{00000000-0005-0000-0000-0000706F0000}"/>
    <cellStyle name="Remarque 2 5 2 4 6 5 2 2" xfId="56422" xr:uid="{00000000-0005-0000-0000-0000716F0000}"/>
    <cellStyle name="Remarque 2 5 2 4 6 5 3" xfId="19709" xr:uid="{00000000-0005-0000-0000-0000726F0000}"/>
    <cellStyle name="Remarque 2 5 2 4 6 5 4" xfId="43669" xr:uid="{00000000-0005-0000-0000-0000736F0000}"/>
    <cellStyle name="Remarque 2 5 2 4 6 6" xfId="9833" xr:uid="{00000000-0005-0000-0000-0000746F0000}"/>
    <cellStyle name="Remarque 2 5 2 4 6 6 2" xfId="33847" xr:uid="{00000000-0005-0000-0000-0000756F0000}"/>
    <cellStyle name="Remarque 2 5 2 4 6 6 2 2" xfId="57807" xr:uid="{00000000-0005-0000-0000-0000766F0000}"/>
    <cellStyle name="Remarque 2 5 2 4 6 6 3" xfId="21094" xr:uid="{00000000-0005-0000-0000-0000776F0000}"/>
    <cellStyle name="Remarque 2 5 2 4 6 6 4" xfId="45054" xr:uid="{00000000-0005-0000-0000-0000786F0000}"/>
    <cellStyle name="Remarque 2 5 2 4 6 7" xfId="11290" xr:uid="{00000000-0005-0000-0000-0000796F0000}"/>
    <cellStyle name="Remarque 2 5 2 4 6 7 2" xfId="35300" xr:uid="{00000000-0005-0000-0000-00007A6F0000}"/>
    <cellStyle name="Remarque 2 5 2 4 6 7 2 2" xfId="59260" xr:uid="{00000000-0005-0000-0000-00007B6F0000}"/>
    <cellStyle name="Remarque 2 5 2 4 6 7 3" xfId="22557" xr:uid="{00000000-0005-0000-0000-00007C6F0000}"/>
    <cellStyle name="Remarque 2 5 2 4 6 7 4" xfId="46517" xr:uid="{00000000-0005-0000-0000-00007D6F0000}"/>
    <cellStyle name="Remarque 2 5 2 4 6 8" xfId="12881" xr:uid="{00000000-0005-0000-0000-00007E6F0000}"/>
    <cellStyle name="Remarque 2 5 2 4 6 8 2" xfId="24193" xr:uid="{00000000-0005-0000-0000-00007F6F0000}"/>
    <cellStyle name="Remarque 2 5 2 4 6 8 3" xfId="48153" xr:uid="{00000000-0005-0000-0000-0000806F0000}"/>
    <cellStyle name="Remarque 2 5 2 4 6 9" xfId="2762" xr:uid="{00000000-0005-0000-0000-0000816F0000}"/>
    <cellStyle name="Remarque 2 5 2 4 6 9 2" xfId="26776" xr:uid="{00000000-0005-0000-0000-0000826F0000}"/>
    <cellStyle name="Remarque 2 5 2 4 6 9 3" xfId="50736" xr:uid="{00000000-0005-0000-0000-0000836F0000}"/>
    <cellStyle name="Remarque 2 5 2 4 7" xfId="1495" xr:uid="{00000000-0005-0000-0000-0000846F0000}"/>
    <cellStyle name="Remarque 2 5 2 4 7 10" xfId="25527" xr:uid="{00000000-0005-0000-0000-0000856F0000}"/>
    <cellStyle name="Remarque 2 5 2 4 7 10 2" xfId="49487" xr:uid="{00000000-0005-0000-0000-0000866F0000}"/>
    <cellStyle name="Remarque 2 5 2 4 7 11" xfId="35603" xr:uid="{00000000-0005-0000-0000-0000876F0000}"/>
    <cellStyle name="Remarque 2 5 2 4 7 11 2" xfId="59563" xr:uid="{00000000-0005-0000-0000-0000886F0000}"/>
    <cellStyle name="Remarque 2 5 2 4 7 12" xfId="14192" xr:uid="{00000000-0005-0000-0000-0000896F0000}"/>
    <cellStyle name="Remarque 2 5 2 4 7 13" xfId="38152" xr:uid="{00000000-0005-0000-0000-00008A6F0000}"/>
    <cellStyle name="Remarque 2 5 2 4 7 2" xfId="4401" xr:uid="{00000000-0005-0000-0000-00008B6F0000}"/>
    <cellStyle name="Remarque 2 5 2 4 7 2 2" xfId="28415" xr:uid="{00000000-0005-0000-0000-00008C6F0000}"/>
    <cellStyle name="Remarque 2 5 2 4 7 2 2 2" xfId="52375" xr:uid="{00000000-0005-0000-0000-00008D6F0000}"/>
    <cellStyle name="Remarque 2 5 2 4 7 2 3" xfId="15662" xr:uid="{00000000-0005-0000-0000-00008E6F0000}"/>
    <cellStyle name="Remarque 2 5 2 4 7 2 4" xfId="39622" xr:uid="{00000000-0005-0000-0000-00008F6F0000}"/>
    <cellStyle name="Remarque 2 5 2 4 7 3" xfId="5835" xr:uid="{00000000-0005-0000-0000-0000906F0000}"/>
    <cellStyle name="Remarque 2 5 2 4 7 3 2" xfId="29849" xr:uid="{00000000-0005-0000-0000-0000916F0000}"/>
    <cellStyle name="Remarque 2 5 2 4 7 3 2 2" xfId="53809" xr:uid="{00000000-0005-0000-0000-0000926F0000}"/>
    <cellStyle name="Remarque 2 5 2 4 7 3 3" xfId="17096" xr:uid="{00000000-0005-0000-0000-0000936F0000}"/>
    <cellStyle name="Remarque 2 5 2 4 7 3 4" xfId="41056" xr:uid="{00000000-0005-0000-0000-0000946F0000}"/>
    <cellStyle name="Remarque 2 5 2 4 7 4" xfId="7229" xr:uid="{00000000-0005-0000-0000-0000956F0000}"/>
    <cellStyle name="Remarque 2 5 2 4 7 4 2" xfId="31243" xr:uid="{00000000-0005-0000-0000-0000966F0000}"/>
    <cellStyle name="Remarque 2 5 2 4 7 4 2 2" xfId="55203" xr:uid="{00000000-0005-0000-0000-0000976F0000}"/>
    <cellStyle name="Remarque 2 5 2 4 7 4 3" xfId="18490" xr:uid="{00000000-0005-0000-0000-0000986F0000}"/>
    <cellStyle name="Remarque 2 5 2 4 7 4 4" xfId="42450" xr:uid="{00000000-0005-0000-0000-0000996F0000}"/>
    <cellStyle name="Remarque 2 5 2 4 7 5" xfId="8617" xr:uid="{00000000-0005-0000-0000-00009A6F0000}"/>
    <cellStyle name="Remarque 2 5 2 4 7 5 2" xfId="32631" xr:uid="{00000000-0005-0000-0000-00009B6F0000}"/>
    <cellStyle name="Remarque 2 5 2 4 7 5 2 2" xfId="56591" xr:uid="{00000000-0005-0000-0000-00009C6F0000}"/>
    <cellStyle name="Remarque 2 5 2 4 7 5 3" xfId="19878" xr:uid="{00000000-0005-0000-0000-00009D6F0000}"/>
    <cellStyle name="Remarque 2 5 2 4 7 5 4" xfId="43838" xr:uid="{00000000-0005-0000-0000-00009E6F0000}"/>
    <cellStyle name="Remarque 2 5 2 4 7 6" xfId="10002" xr:uid="{00000000-0005-0000-0000-00009F6F0000}"/>
    <cellStyle name="Remarque 2 5 2 4 7 6 2" xfId="34016" xr:uid="{00000000-0005-0000-0000-0000A06F0000}"/>
    <cellStyle name="Remarque 2 5 2 4 7 6 2 2" xfId="57976" xr:uid="{00000000-0005-0000-0000-0000A16F0000}"/>
    <cellStyle name="Remarque 2 5 2 4 7 6 3" xfId="21263" xr:uid="{00000000-0005-0000-0000-0000A26F0000}"/>
    <cellStyle name="Remarque 2 5 2 4 7 6 4" xfId="45223" xr:uid="{00000000-0005-0000-0000-0000A36F0000}"/>
    <cellStyle name="Remarque 2 5 2 4 7 7" xfId="11459" xr:uid="{00000000-0005-0000-0000-0000A46F0000}"/>
    <cellStyle name="Remarque 2 5 2 4 7 7 2" xfId="35469" xr:uid="{00000000-0005-0000-0000-0000A56F0000}"/>
    <cellStyle name="Remarque 2 5 2 4 7 7 2 2" xfId="59429" xr:uid="{00000000-0005-0000-0000-0000A66F0000}"/>
    <cellStyle name="Remarque 2 5 2 4 7 7 3" xfId="22726" xr:uid="{00000000-0005-0000-0000-0000A76F0000}"/>
    <cellStyle name="Remarque 2 5 2 4 7 7 4" xfId="46686" xr:uid="{00000000-0005-0000-0000-0000A86F0000}"/>
    <cellStyle name="Remarque 2 5 2 4 7 8" xfId="11685" xr:uid="{00000000-0005-0000-0000-0000A96F0000}"/>
    <cellStyle name="Remarque 2 5 2 4 7 8 2" xfId="22954" xr:uid="{00000000-0005-0000-0000-0000AA6F0000}"/>
    <cellStyle name="Remarque 2 5 2 4 7 8 3" xfId="46914" xr:uid="{00000000-0005-0000-0000-0000AB6F0000}"/>
    <cellStyle name="Remarque 2 5 2 4 7 9" xfId="2931" xr:uid="{00000000-0005-0000-0000-0000AC6F0000}"/>
    <cellStyle name="Remarque 2 5 2 4 7 9 2" xfId="26945" xr:uid="{00000000-0005-0000-0000-0000AD6F0000}"/>
    <cellStyle name="Remarque 2 5 2 4 7 9 3" xfId="50905" xr:uid="{00000000-0005-0000-0000-0000AE6F0000}"/>
    <cellStyle name="Remarque 2 5 2 4 8" xfId="3350" xr:uid="{00000000-0005-0000-0000-0000AF6F0000}"/>
    <cellStyle name="Remarque 2 5 2 4 8 2" xfId="27364" xr:uid="{00000000-0005-0000-0000-0000B06F0000}"/>
    <cellStyle name="Remarque 2 5 2 4 8 2 2" xfId="51324" xr:uid="{00000000-0005-0000-0000-0000B16F0000}"/>
    <cellStyle name="Remarque 2 5 2 4 8 3" xfId="14611" xr:uid="{00000000-0005-0000-0000-0000B26F0000}"/>
    <cellStyle name="Remarque 2 5 2 4 8 4" xfId="38571" xr:uid="{00000000-0005-0000-0000-0000B36F0000}"/>
    <cellStyle name="Remarque 2 5 2 4 9" xfId="4784" xr:uid="{00000000-0005-0000-0000-0000B46F0000}"/>
    <cellStyle name="Remarque 2 5 2 4 9 2" xfId="28798" xr:uid="{00000000-0005-0000-0000-0000B56F0000}"/>
    <cellStyle name="Remarque 2 5 2 4 9 2 2" xfId="52758" xr:uid="{00000000-0005-0000-0000-0000B66F0000}"/>
    <cellStyle name="Remarque 2 5 2 4 9 3" xfId="16045" xr:uid="{00000000-0005-0000-0000-0000B76F0000}"/>
    <cellStyle name="Remarque 2 5 2 4 9 4" xfId="40005" xr:uid="{00000000-0005-0000-0000-0000B86F0000}"/>
    <cellStyle name="Remarque 2 5 2 5" xfId="314" xr:uid="{00000000-0005-0000-0000-0000B96F0000}"/>
    <cellStyle name="Remarque 2 5 2 5 10" xfId="24346" xr:uid="{00000000-0005-0000-0000-0000BA6F0000}"/>
    <cellStyle name="Remarque 2 5 2 5 10 2" xfId="48306" xr:uid="{00000000-0005-0000-0000-0000BB6F0000}"/>
    <cellStyle name="Remarque 2 5 2 5 11" xfId="36534" xr:uid="{00000000-0005-0000-0000-0000BC6F0000}"/>
    <cellStyle name="Remarque 2 5 2 5 11 2" xfId="60494" xr:uid="{00000000-0005-0000-0000-0000BD6F0000}"/>
    <cellStyle name="Remarque 2 5 2 5 12" xfId="13011" xr:uid="{00000000-0005-0000-0000-0000BE6F0000}"/>
    <cellStyle name="Remarque 2 5 2 5 13" xfId="36971" xr:uid="{00000000-0005-0000-0000-0000BF6F0000}"/>
    <cellStyle name="Remarque 2 5 2 5 2" xfId="3220" xr:uid="{00000000-0005-0000-0000-0000C06F0000}"/>
    <cellStyle name="Remarque 2 5 2 5 2 2" xfId="27234" xr:uid="{00000000-0005-0000-0000-0000C16F0000}"/>
    <cellStyle name="Remarque 2 5 2 5 2 2 2" xfId="51194" xr:uid="{00000000-0005-0000-0000-0000C26F0000}"/>
    <cellStyle name="Remarque 2 5 2 5 2 3" xfId="14481" xr:uid="{00000000-0005-0000-0000-0000C36F0000}"/>
    <cellStyle name="Remarque 2 5 2 5 2 4" xfId="38441" xr:uid="{00000000-0005-0000-0000-0000C46F0000}"/>
    <cellStyle name="Remarque 2 5 2 5 3" xfId="4654" xr:uid="{00000000-0005-0000-0000-0000C56F0000}"/>
    <cellStyle name="Remarque 2 5 2 5 3 2" xfId="28668" xr:uid="{00000000-0005-0000-0000-0000C66F0000}"/>
    <cellStyle name="Remarque 2 5 2 5 3 2 2" xfId="52628" xr:uid="{00000000-0005-0000-0000-0000C76F0000}"/>
    <cellStyle name="Remarque 2 5 2 5 3 3" xfId="15915" xr:uid="{00000000-0005-0000-0000-0000C86F0000}"/>
    <cellStyle name="Remarque 2 5 2 5 3 4" xfId="39875" xr:uid="{00000000-0005-0000-0000-0000C96F0000}"/>
    <cellStyle name="Remarque 2 5 2 5 4" xfId="6048" xr:uid="{00000000-0005-0000-0000-0000CA6F0000}"/>
    <cellStyle name="Remarque 2 5 2 5 4 2" xfId="30062" xr:uid="{00000000-0005-0000-0000-0000CB6F0000}"/>
    <cellStyle name="Remarque 2 5 2 5 4 2 2" xfId="54022" xr:uid="{00000000-0005-0000-0000-0000CC6F0000}"/>
    <cellStyle name="Remarque 2 5 2 5 4 3" xfId="17309" xr:uid="{00000000-0005-0000-0000-0000CD6F0000}"/>
    <cellStyle name="Remarque 2 5 2 5 4 4" xfId="41269" xr:uid="{00000000-0005-0000-0000-0000CE6F0000}"/>
    <cellStyle name="Remarque 2 5 2 5 5" xfId="7436" xr:uid="{00000000-0005-0000-0000-0000CF6F0000}"/>
    <cellStyle name="Remarque 2 5 2 5 5 2" xfId="31450" xr:uid="{00000000-0005-0000-0000-0000D06F0000}"/>
    <cellStyle name="Remarque 2 5 2 5 5 2 2" xfId="55410" xr:uid="{00000000-0005-0000-0000-0000D16F0000}"/>
    <cellStyle name="Remarque 2 5 2 5 5 3" xfId="18697" xr:uid="{00000000-0005-0000-0000-0000D26F0000}"/>
    <cellStyle name="Remarque 2 5 2 5 5 4" xfId="42657" xr:uid="{00000000-0005-0000-0000-0000D36F0000}"/>
    <cellStyle name="Remarque 2 5 2 5 6" xfId="8821" xr:uid="{00000000-0005-0000-0000-0000D46F0000}"/>
    <cellStyle name="Remarque 2 5 2 5 6 2" xfId="32835" xr:uid="{00000000-0005-0000-0000-0000D56F0000}"/>
    <cellStyle name="Remarque 2 5 2 5 6 2 2" xfId="56795" xr:uid="{00000000-0005-0000-0000-0000D66F0000}"/>
    <cellStyle name="Remarque 2 5 2 5 6 3" xfId="20082" xr:uid="{00000000-0005-0000-0000-0000D76F0000}"/>
    <cellStyle name="Remarque 2 5 2 5 6 4" xfId="44042" xr:uid="{00000000-0005-0000-0000-0000D86F0000}"/>
    <cellStyle name="Remarque 2 5 2 5 7" xfId="10278" xr:uid="{00000000-0005-0000-0000-0000D96F0000}"/>
    <cellStyle name="Remarque 2 5 2 5 7 2" xfId="34288" xr:uid="{00000000-0005-0000-0000-0000DA6F0000}"/>
    <cellStyle name="Remarque 2 5 2 5 7 2 2" xfId="58248" xr:uid="{00000000-0005-0000-0000-0000DB6F0000}"/>
    <cellStyle name="Remarque 2 5 2 5 7 3" xfId="21545" xr:uid="{00000000-0005-0000-0000-0000DC6F0000}"/>
    <cellStyle name="Remarque 2 5 2 5 7 4" xfId="45505" xr:uid="{00000000-0005-0000-0000-0000DD6F0000}"/>
    <cellStyle name="Remarque 2 5 2 5 8" xfId="11847" xr:uid="{00000000-0005-0000-0000-0000DE6F0000}"/>
    <cellStyle name="Remarque 2 5 2 5 8 2" xfId="23123" xr:uid="{00000000-0005-0000-0000-0000DF6F0000}"/>
    <cellStyle name="Remarque 2 5 2 5 8 3" xfId="47083" xr:uid="{00000000-0005-0000-0000-0000E06F0000}"/>
    <cellStyle name="Remarque 2 5 2 5 9" xfId="1750" xr:uid="{00000000-0005-0000-0000-0000E16F0000}"/>
    <cellStyle name="Remarque 2 5 2 5 9 2" xfId="25764" xr:uid="{00000000-0005-0000-0000-0000E26F0000}"/>
    <cellStyle name="Remarque 2 5 2 5 9 3" xfId="49724" xr:uid="{00000000-0005-0000-0000-0000E36F0000}"/>
    <cellStyle name="Remarque 2 5 2 6" xfId="637" xr:uid="{00000000-0005-0000-0000-0000E46F0000}"/>
    <cellStyle name="Remarque 2 5 2 6 10" xfId="24669" xr:uid="{00000000-0005-0000-0000-0000E56F0000}"/>
    <cellStyle name="Remarque 2 5 2 6 10 2" xfId="48629" xr:uid="{00000000-0005-0000-0000-0000E66F0000}"/>
    <cellStyle name="Remarque 2 5 2 6 11" xfId="36757" xr:uid="{00000000-0005-0000-0000-0000E76F0000}"/>
    <cellStyle name="Remarque 2 5 2 6 11 2" xfId="60717" xr:uid="{00000000-0005-0000-0000-0000E86F0000}"/>
    <cellStyle name="Remarque 2 5 2 6 12" xfId="13334" xr:uid="{00000000-0005-0000-0000-0000E96F0000}"/>
    <cellStyle name="Remarque 2 5 2 6 13" xfId="37294" xr:uid="{00000000-0005-0000-0000-0000EA6F0000}"/>
    <cellStyle name="Remarque 2 5 2 6 2" xfId="3543" xr:uid="{00000000-0005-0000-0000-0000EB6F0000}"/>
    <cellStyle name="Remarque 2 5 2 6 2 2" xfId="27557" xr:uid="{00000000-0005-0000-0000-0000EC6F0000}"/>
    <cellStyle name="Remarque 2 5 2 6 2 2 2" xfId="51517" xr:uid="{00000000-0005-0000-0000-0000ED6F0000}"/>
    <cellStyle name="Remarque 2 5 2 6 2 3" xfId="14804" xr:uid="{00000000-0005-0000-0000-0000EE6F0000}"/>
    <cellStyle name="Remarque 2 5 2 6 2 4" xfId="38764" xr:uid="{00000000-0005-0000-0000-0000EF6F0000}"/>
    <cellStyle name="Remarque 2 5 2 6 3" xfId="4977" xr:uid="{00000000-0005-0000-0000-0000F06F0000}"/>
    <cellStyle name="Remarque 2 5 2 6 3 2" xfId="28991" xr:uid="{00000000-0005-0000-0000-0000F16F0000}"/>
    <cellStyle name="Remarque 2 5 2 6 3 2 2" xfId="52951" xr:uid="{00000000-0005-0000-0000-0000F26F0000}"/>
    <cellStyle name="Remarque 2 5 2 6 3 3" xfId="16238" xr:uid="{00000000-0005-0000-0000-0000F36F0000}"/>
    <cellStyle name="Remarque 2 5 2 6 3 4" xfId="40198" xr:uid="{00000000-0005-0000-0000-0000F46F0000}"/>
    <cellStyle name="Remarque 2 5 2 6 4" xfId="6371" xr:uid="{00000000-0005-0000-0000-0000F56F0000}"/>
    <cellStyle name="Remarque 2 5 2 6 4 2" xfId="30385" xr:uid="{00000000-0005-0000-0000-0000F66F0000}"/>
    <cellStyle name="Remarque 2 5 2 6 4 2 2" xfId="54345" xr:uid="{00000000-0005-0000-0000-0000F76F0000}"/>
    <cellStyle name="Remarque 2 5 2 6 4 3" xfId="17632" xr:uid="{00000000-0005-0000-0000-0000F86F0000}"/>
    <cellStyle name="Remarque 2 5 2 6 4 4" xfId="41592" xr:uid="{00000000-0005-0000-0000-0000F96F0000}"/>
    <cellStyle name="Remarque 2 5 2 6 5" xfId="7759" xr:uid="{00000000-0005-0000-0000-0000FA6F0000}"/>
    <cellStyle name="Remarque 2 5 2 6 5 2" xfId="31773" xr:uid="{00000000-0005-0000-0000-0000FB6F0000}"/>
    <cellStyle name="Remarque 2 5 2 6 5 2 2" xfId="55733" xr:uid="{00000000-0005-0000-0000-0000FC6F0000}"/>
    <cellStyle name="Remarque 2 5 2 6 5 3" xfId="19020" xr:uid="{00000000-0005-0000-0000-0000FD6F0000}"/>
    <cellStyle name="Remarque 2 5 2 6 5 4" xfId="42980" xr:uid="{00000000-0005-0000-0000-0000FE6F0000}"/>
    <cellStyle name="Remarque 2 5 2 6 6" xfId="9144" xr:uid="{00000000-0005-0000-0000-0000FF6F0000}"/>
    <cellStyle name="Remarque 2 5 2 6 6 2" xfId="33158" xr:uid="{00000000-0005-0000-0000-000000700000}"/>
    <cellStyle name="Remarque 2 5 2 6 6 2 2" xfId="57118" xr:uid="{00000000-0005-0000-0000-000001700000}"/>
    <cellStyle name="Remarque 2 5 2 6 6 3" xfId="20405" xr:uid="{00000000-0005-0000-0000-000002700000}"/>
    <cellStyle name="Remarque 2 5 2 6 6 4" xfId="44365" xr:uid="{00000000-0005-0000-0000-000003700000}"/>
    <cellStyle name="Remarque 2 5 2 6 7" xfId="10601" xr:uid="{00000000-0005-0000-0000-000004700000}"/>
    <cellStyle name="Remarque 2 5 2 6 7 2" xfId="34611" xr:uid="{00000000-0005-0000-0000-000005700000}"/>
    <cellStyle name="Remarque 2 5 2 6 7 2 2" xfId="58571" xr:uid="{00000000-0005-0000-0000-000006700000}"/>
    <cellStyle name="Remarque 2 5 2 6 7 3" xfId="21868" xr:uid="{00000000-0005-0000-0000-000007700000}"/>
    <cellStyle name="Remarque 2 5 2 6 7 4" xfId="45828" xr:uid="{00000000-0005-0000-0000-000008700000}"/>
    <cellStyle name="Remarque 2 5 2 6 8" xfId="12018" xr:uid="{00000000-0005-0000-0000-000009700000}"/>
    <cellStyle name="Remarque 2 5 2 6 8 2" xfId="23297" xr:uid="{00000000-0005-0000-0000-00000A700000}"/>
    <cellStyle name="Remarque 2 5 2 6 8 3" xfId="47257" xr:uid="{00000000-0005-0000-0000-00000B700000}"/>
    <cellStyle name="Remarque 2 5 2 6 9" xfId="2073" xr:uid="{00000000-0005-0000-0000-00000C700000}"/>
    <cellStyle name="Remarque 2 5 2 6 9 2" xfId="26087" xr:uid="{00000000-0005-0000-0000-00000D700000}"/>
    <cellStyle name="Remarque 2 5 2 6 9 3" xfId="50047" xr:uid="{00000000-0005-0000-0000-00000E700000}"/>
    <cellStyle name="Remarque 2 5 2 7" xfId="831" xr:uid="{00000000-0005-0000-0000-00000F700000}"/>
    <cellStyle name="Remarque 2 5 2 7 10" xfId="24863" xr:uid="{00000000-0005-0000-0000-000010700000}"/>
    <cellStyle name="Remarque 2 5 2 7 10 2" xfId="48823" xr:uid="{00000000-0005-0000-0000-000011700000}"/>
    <cellStyle name="Remarque 2 5 2 7 11" xfId="36047" xr:uid="{00000000-0005-0000-0000-000012700000}"/>
    <cellStyle name="Remarque 2 5 2 7 11 2" xfId="60007" xr:uid="{00000000-0005-0000-0000-000013700000}"/>
    <cellStyle name="Remarque 2 5 2 7 12" xfId="13528" xr:uid="{00000000-0005-0000-0000-000014700000}"/>
    <cellStyle name="Remarque 2 5 2 7 13" xfId="37488" xr:uid="{00000000-0005-0000-0000-000015700000}"/>
    <cellStyle name="Remarque 2 5 2 7 2" xfId="3737" xr:uid="{00000000-0005-0000-0000-000016700000}"/>
    <cellStyle name="Remarque 2 5 2 7 2 2" xfId="27751" xr:uid="{00000000-0005-0000-0000-000017700000}"/>
    <cellStyle name="Remarque 2 5 2 7 2 2 2" xfId="51711" xr:uid="{00000000-0005-0000-0000-000018700000}"/>
    <cellStyle name="Remarque 2 5 2 7 2 3" xfId="14998" xr:uid="{00000000-0005-0000-0000-000019700000}"/>
    <cellStyle name="Remarque 2 5 2 7 2 4" xfId="38958" xr:uid="{00000000-0005-0000-0000-00001A700000}"/>
    <cellStyle name="Remarque 2 5 2 7 3" xfId="5171" xr:uid="{00000000-0005-0000-0000-00001B700000}"/>
    <cellStyle name="Remarque 2 5 2 7 3 2" xfId="29185" xr:uid="{00000000-0005-0000-0000-00001C700000}"/>
    <cellStyle name="Remarque 2 5 2 7 3 2 2" xfId="53145" xr:uid="{00000000-0005-0000-0000-00001D700000}"/>
    <cellStyle name="Remarque 2 5 2 7 3 3" xfId="16432" xr:uid="{00000000-0005-0000-0000-00001E700000}"/>
    <cellStyle name="Remarque 2 5 2 7 3 4" xfId="40392" xr:uid="{00000000-0005-0000-0000-00001F700000}"/>
    <cellStyle name="Remarque 2 5 2 7 4" xfId="6565" xr:uid="{00000000-0005-0000-0000-000020700000}"/>
    <cellStyle name="Remarque 2 5 2 7 4 2" xfId="30579" xr:uid="{00000000-0005-0000-0000-000021700000}"/>
    <cellStyle name="Remarque 2 5 2 7 4 2 2" xfId="54539" xr:uid="{00000000-0005-0000-0000-000022700000}"/>
    <cellStyle name="Remarque 2 5 2 7 4 3" xfId="17826" xr:uid="{00000000-0005-0000-0000-000023700000}"/>
    <cellStyle name="Remarque 2 5 2 7 4 4" xfId="41786" xr:uid="{00000000-0005-0000-0000-000024700000}"/>
    <cellStyle name="Remarque 2 5 2 7 5" xfId="7953" xr:uid="{00000000-0005-0000-0000-000025700000}"/>
    <cellStyle name="Remarque 2 5 2 7 5 2" xfId="31967" xr:uid="{00000000-0005-0000-0000-000026700000}"/>
    <cellStyle name="Remarque 2 5 2 7 5 2 2" xfId="55927" xr:uid="{00000000-0005-0000-0000-000027700000}"/>
    <cellStyle name="Remarque 2 5 2 7 5 3" xfId="19214" xr:uid="{00000000-0005-0000-0000-000028700000}"/>
    <cellStyle name="Remarque 2 5 2 7 5 4" xfId="43174" xr:uid="{00000000-0005-0000-0000-000029700000}"/>
    <cellStyle name="Remarque 2 5 2 7 6" xfId="9338" xr:uid="{00000000-0005-0000-0000-00002A700000}"/>
    <cellStyle name="Remarque 2 5 2 7 6 2" xfId="33352" xr:uid="{00000000-0005-0000-0000-00002B700000}"/>
    <cellStyle name="Remarque 2 5 2 7 6 2 2" xfId="57312" xr:uid="{00000000-0005-0000-0000-00002C700000}"/>
    <cellStyle name="Remarque 2 5 2 7 6 3" xfId="20599" xr:uid="{00000000-0005-0000-0000-00002D700000}"/>
    <cellStyle name="Remarque 2 5 2 7 6 4" xfId="44559" xr:uid="{00000000-0005-0000-0000-00002E700000}"/>
    <cellStyle name="Remarque 2 5 2 7 7" xfId="10795" xr:uid="{00000000-0005-0000-0000-00002F700000}"/>
    <cellStyle name="Remarque 2 5 2 7 7 2" xfId="34805" xr:uid="{00000000-0005-0000-0000-000030700000}"/>
    <cellStyle name="Remarque 2 5 2 7 7 2 2" xfId="58765" xr:uid="{00000000-0005-0000-0000-000031700000}"/>
    <cellStyle name="Remarque 2 5 2 7 7 3" xfId="22062" xr:uid="{00000000-0005-0000-0000-000032700000}"/>
    <cellStyle name="Remarque 2 5 2 7 7 4" xfId="46022" xr:uid="{00000000-0005-0000-0000-000033700000}"/>
    <cellStyle name="Remarque 2 5 2 7 8" xfId="12814" xr:uid="{00000000-0005-0000-0000-000034700000}"/>
    <cellStyle name="Remarque 2 5 2 7 8 2" xfId="24125" xr:uid="{00000000-0005-0000-0000-000035700000}"/>
    <cellStyle name="Remarque 2 5 2 7 8 3" xfId="48085" xr:uid="{00000000-0005-0000-0000-000036700000}"/>
    <cellStyle name="Remarque 2 5 2 7 9" xfId="2267" xr:uid="{00000000-0005-0000-0000-000037700000}"/>
    <cellStyle name="Remarque 2 5 2 7 9 2" xfId="26281" xr:uid="{00000000-0005-0000-0000-000038700000}"/>
    <cellStyle name="Remarque 2 5 2 7 9 3" xfId="50241" xr:uid="{00000000-0005-0000-0000-000039700000}"/>
    <cellStyle name="Remarque 2 5 2 8" xfId="1024" xr:uid="{00000000-0005-0000-0000-00003A700000}"/>
    <cellStyle name="Remarque 2 5 2 8 10" xfId="25056" xr:uid="{00000000-0005-0000-0000-00003B700000}"/>
    <cellStyle name="Remarque 2 5 2 8 10 2" xfId="49016" xr:uid="{00000000-0005-0000-0000-00003C700000}"/>
    <cellStyle name="Remarque 2 5 2 8 11" xfId="36048" xr:uid="{00000000-0005-0000-0000-00003D700000}"/>
    <cellStyle name="Remarque 2 5 2 8 11 2" xfId="60008" xr:uid="{00000000-0005-0000-0000-00003E700000}"/>
    <cellStyle name="Remarque 2 5 2 8 12" xfId="13721" xr:uid="{00000000-0005-0000-0000-00003F700000}"/>
    <cellStyle name="Remarque 2 5 2 8 13" xfId="37681" xr:uid="{00000000-0005-0000-0000-000040700000}"/>
    <cellStyle name="Remarque 2 5 2 8 2" xfId="3930" xr:uid="{00000000-0005-0000-0000-000041700000}"/>
    <cellStyle name="Remarque 2 5 2 8 2 2" xfId="27944" xr:uid="{00000000-0005-0000-0000-000042700000}"/>
    <cellStyle name="Remarque 2 5 2 8 2 2 2" xfId="51904" xr:uid="{00000000-0005-0000-0000-000043700000}"/>
    <cellStyle name="Remarque 2 5 2 8 2 3" xfId="15191" xr:uid="{00000000-0005-0000-0000-000044700000}"/>
    <cellStyle name="Remarque 2 5 2 8 2 4" xfId="39151" xr:uid="{00000000-0005-0000-0000-000045700000}"/>
    <cellStyle name="Remarque 2 5 2 8 3" xfId="5364" xr:uid="{00000000-0005-0000-0000-000046700000}"/>
    <cellStyle name="Remarque 2 5 2 8 3 2" xfId="29378" xr:uid="{00000000-0005-0000-0000-000047700000}"/>
    <cellStyle name="Remarque 2 5 2 8 3 2 2" xfId="53338" xr:uid="{00000000-0005-0000-0000-000048700000}"/>
    <cellStyle name="Remarque 2 5 2 8 3 3" xfId="16625" xr:uid="{00000000-0005-0000-0000-000049700000}"/>
    <cellStyle name="Remarque 2 5 2 8 3 4" xfId="40585" xr:uid="{00000000-0005-0000-0000-00004A700000}"/>
    <cellStyle name="Remarque 2 5 2 8 4" xfId="6758" xr:uid="{00000000-0005-0000-0000-00004B700000}"/>
    <cellStyle name="Remarque 2 5 2 8 4 2" xfId="30772" xr:uid="{00000000-0005-0000-0000-00004C700000}"/>
    <cellStyle name="Remarque 2 5 2 8 4 2 2" xfId="54732" xr:uid="{00000000-0005-0000-0000-00004D700000}"/>
    <cellStyle name="Remarque 2 5 2 8 4 3" xfId="18019" xr:uid="{00000000-0005-0000-0000-00004E700000}"/>
    <cellStyle name="Remarque 2 5 2 8 4 4" xfId="41979" xr:uid="{00000000-0005-0000-0000-00004F700000}"/>
    <cellStyle name="Remarque 2 5 2 8 5" xfId="8146" xr:uid="{00000000-0005-0000-0000-000050700000}"/>
    <cellStyle name="Remarque 2 5 2 8 5 2" xfId="32160" xr:uid="{00000000-0005-0000-0000-000051700000}"/>
    <cellStyle name="Remarque 2 5 2 8 5 2 2" xfId="56120" xr:uid="{00000000-0005-0000-0000-000052700000}"/>
    <cellStyle name="Remarque 2 5 2 8 5 3" xfId="19407" xr:uid="{00000000-0005-0000-0000-000053700000}"/>
    <cellStyle name="Remarque 2 5 2 8 5 4" xfId="43367" xr:uid="{00000000-0005-0000-0000-000054700000}"/>
    <cellStyle name="Remarque 2 5 2 8 6" xfId="9531" xr:uid="{00000000-0005-0000-0000-000055700000}"/>
    <cellStyle name="Remarque 2 5 2 8 6 2" xfId="33545" xr:uid="{00000000-0005-0000-0000-000056700000}"/>
    <cellStyle name="Remarque 2 5 2 8 6 2 2" xfId="57505" xr:uid="{00000000-0005-0000-0000-000057700000}"/>
    <cellStyle name="Remarque 2 5 2 8 6 3" xfId="20792" xr:uid="{00000000-0005-0000-0000-000058700000}"/>
    <cellStyle name="Remarque 2 5 2 8 6 4" xfId="44752" xr:uid="{00000000-0005-0000-0000-000059700000}"/>
    <cellStyle name="Remarque 2 5 2 8 7" xfId="10988" xr:uid="{00000000-0005-0000-0000-00005A700000}"/>
    <cellStyle name="Remarque 2 5 2 8 7 2" xfId="34998" xr:uid="{00000000-0005-0000-0000-00005B700000}"/>
    <cellStyle name="Remarque 2 5 2 8 7 2 2" xfId="58958" xr:uid="{00000000-0005-0000-0000-00005C700000}"/>
    <cellStyle name="Remarque 2 5 2 8 7 3" xfId="22255" xr:uid="{00000000-0005-0000-0000-00005D700000}"/>
    <cellStyle name="Remarque 2 5 2 8 7 4" xfId="46215" xr:uid="{00000000-0005-0000-0000-00005E700000}"/>
    <cellStyle name="Remarque 2 5 2 8 8" xfId="12420" xr:uid="{00000000-0005-0000-0000-00005F700000}"/>
    <cellStyle name="Remarque 2 5 2 8 8 2" xfId="23711" xr:uid="{00000000-0005-0000-0000-000060700000}"/>
    <cellStyle name="Remarque 2 5 2 8 8 3" xfId="47671" xr:uid="{00000000-0005-0000-0000-000061700000}"/>
    <cellStyle name="Remarque 2 5 2 8 9" xfId="2460" xr:uid="{00000000-0005-0000-0000-000062700000}"/>
    <cellStyle name="Remarque 2 5 2 8 9 2" xfId="26474" xr:uid="{00000000-0005-0000-0000-000063700000}"/>
    <cellStyle name="Remarque 2 5 2 8 9 3" xfId="50434" xr:uid="{00000000-0005-0000-0000-000064700000}"/>
    <cellStyle name="Remarque 2 5 2 9" xfId="1210" xr:uid="{00000000-0005-0000-0000-000065700000}"/>
    <cellStyle name="Remarque 2 5 2 9 10" xfId="25242" xr:uid="{00000000-0005-0000-0000-000066700000}"/>
    <cellStyle name="Remarque 2 5 2 9 10 2" xfId="49202" xr:uid="{00000000-0005-0000-0000-000067700000}"/>
    <cellStyle name="Remarque 2 5 2 9 11" xfId="36709" xr:uid="{00000000-0005-0000-0000-000068700000}"/>
    <cellStyle name="Remarque 2 5 2 9 11 2" xfId="60669" xr:uid="{00000000-0005-0000-0000-000069700000}"/>
    <cellStyle name="Remarque 2 5 2 9 12" xfId="13907" xr:uid="{00000000-0005-0000-0000-00006A700000}"/>
    <cellStyle name="Remarque 2 5 2 9 13" xfId="37867" xr:uid="{00000000-0005-0000-0000-00006B700000}"/>
    <cellStyle name="Remarque 2 5 2 9 2" xfId="4116" xr:uid="{00000000-0005-0000-0000-00006C700000}"/>
    <cellStyle name="Remarque 2 5 2 9 2 2" xfId="28130" xr:uid="{00000000-0005-0000-0000-00006D700000}"/>
    <cellStyle name="Remarque 2 5 2 9 2 2 2" xfId="52090" xr:uid="{00000000-0005-0000-0000-00006E700000}"/>
    <cellStyle name="Remarque 2 5 2 9 2 3" xfId="15377" xr:uid="{00000000-0005-0000-0000-00006F700000}"/>
    <cellStyle name="Remarque 2 5 2 9 2 4" xfId="39337" xr:uid="{00000000-0005-0000-0000-000070700000}"/>
    <cellStyle name="Remarque 2 5 2 9 3" xfId="5550" xr:uid="{00000000-0005-0000-0000-000071700000}"/>
    <cellStyle name="Remarque 2 5 2 9 3 2" xfId="29564" xr:uid="{00000000-0005-0000-0000-000072700000}"/>
    <cellStyle name="Remarque 2 5 2 9 3 2 2" xfId="53524" xr:uid="{00000000-0005-0000-0000-000073700000}"/>
    <cellStyle name="Remarque 2 5 2 9 3 3" xfId="16811" xr:uid="{00000000-0005-0000-0000-000074700000}"/>
    <cellStyle name="Remarque 2 5 2 9 3 4" xfId="40771" xr:uid="{00000000-0005-0000-0000-000075700000}"/>
    <cellStyle name="Remarque 2 5 2 9 4" xfId="6944" xr:uid="{00000000-0005-0000-0000-000076700000}"/>
    <cellStyle name="Remarque 2 5 2 9 4 2" xfId="30958" xr:uid="{00000000-0005-0000-0000-000077700000}"/>
    <cellStyle name="Remarque 2 5 2 9 4 2 2" xfId="54918" xr:uid="{00000000-0005-0000-0000-000078700000}"/>
    <cellStyle name="Remarque 2 5 2 9 4 3" xfId="18205" xr:uid="{00000000-0005-0000-0000-000079700000}"/>
    <cellStyle name="Remarque 2 5 2 9 4 4" xfId="42165" xr:uid="{00000000-0005-0000-0000-00007A700000}"/>
    <cellStyle name="Remarque 2 5 2 9 5" xfId="8332" xr:uid="{00000000-0005-0000-0000-00007B700000}"/>
    <cellStyle name="Remarque 2 5 2 9 5 2" xfId="32346" xr:uid="{00000000-0005-0000-0000-00007C700000}"/>
    <cellStyle name="Remarque 2 5 2 9 5 2 2" xfId="56306" xr:uid="{00000000-0005-0000-0000-00007D700000}"/>
    <cellStyle name="Remarque 2 5 2 9 5 3" xfId="19593" xr:uid="{00000000-0005-0000-0000-00007E700000}"/>
    <cellStyle name="Remarque 2 5 2 9 5 4" xfId="43553" xr:uid="{00000000-0005-0000-0000-00007F700000}"/>
    <cellStyle name="Remarque 2 5 2 9 6" xfId="9717" xr:uid="{00000000-0005-0000-0000-000080700000}"/>
    <cellStyle name="Remarque 2 5 2 9 6 2" xfId="33731" xr:uid="{00000000-0005-0000-0000-000081700000}"/>
    <cellStyle name="Remarque 2 5 2 9 6 2 2" xfId="57691" xr:uid="{00000000-0005-0000-0000-000082700000}"/>
    <cellStyle name="Remarque 2 5 2 9 6 3" xfId="20978" xr:uid="{00000000-0005-0000-0000-000083700000}"/>
    <cellStyle name="Remarque 2 5 2 9 6 4" xfId="44938" xr:uid="{00000000-0005-0000-0000-000084700000}"/>
    <cellStyle name="Remarque 2 5 2 9 7" xfId="11174" xr:uid="{00000000-0005-0000-0000-000085700000}"/>
    <cellStyle name="Remarque 2 5 2 9 7 2" xfId="35184" xr:uid="{00000000-0005-0000-0000-000086700000}"/>
    <cellStyle name="Remarque 2 5 2 9 7 2 2" xfId="59144" xr:uid="{00000000-0005-0000-0000-000087700000}"/>
    <cellStyle name="Remarque 2 5 2 9 7 3" xfId="22441" xr:uid="{00000000-0005-0000-0000-000088700000}"/>
    <cellStyle name="Remarque 2 5 2 9 7 4" xfId="46401" xr:uid="{00000000-0005-0000-0000-000089700000}"/>
    <cellStyle name="Remarque 2 5 2 9 8" xfId="11953" xr:uid="{00000000-0005-0000-0000-00008A700000}"/>
    <cellStyle name="Remarque 2 5 2 9 8 2" xfId="23231" xr:uid="{00000000-0005-0000-0000-00008B700000}"/>
    <cellStyle name="Remarque 2 5 2 9 8 3" xfId="47191" xr:uid="{00000000-0005-0000-0000-00008C700000}"/>
    <cellStyle name="Remarque 2 5 2 9 9" xfId="2646" xr:uid="{00000000-0005-0000-0000-00008D700000}"/>
    <cellStyle name="Remarque 2 5 2 9 9 2" xfId="26660" xr:uid="{00000000-0005-0000-0000-00008E700000}"/>
    <cellStyle name="Remarque 2 5 2 9 9 3" xfId="50620" xr:uid="{00000000-0005-0000-0000-00008F700000}"/>
    <cellStyle name="Remarque 2 5 3" xfId="88" xr:uid="{00000000-0005-0000-0000-000090700000}"/>
    <cellStyle name="Remarque 2 5 3 10" xfId="36889" xr:uid="{00000000-0005-0000-0000-000091700000}"/>
    <cellStyle name="Remarque 2 5 3 11" xfId="232" xr:uid="{00000000-0005-0000-0000-000092700000}"/>
    <cellStyle name="Remarque 2 5 3 2" xfId="466" xr:uid="{00000000-0005-0000-0000-000093700000}"/>
    <cellStyle name="Remarque 2 5 3 2 10" xfId="6200" xr:uid="{00000000-0005-0000-0000-000094700000}"/>
    <cellStyle name="Remarque 2 5 3 2 10 2" xfId="30214" xr:uid="{00000000-0005-0000-0000-000095700000}"/>
    <cellStyle name="Remarque 2 5 3 2 10 2 2" xfId="54174" xr:uid="{00000000-0005-0000-0000-000096700000}"/>
    <cellStyle name="Remarque 2 5 3 2 10 3" xfId="17461" xr:uid="{00000000-0005-0000-0000-000097700000}"/>
    <cellStyle name="Remarque 2 5 3 2 10 4" xfId="41421" xr:uid="{00000000-0005-0000-0000-000098700000}"/>
    <cellStyle name="Remarque 2 5 3 2 11" xfId="7588" xr:uid="{00000000-0005-0000-0000-000099700000}"/>
    <cellStyle name="Remarque 2 5 3 2 11 2" xfId="31602" xr:uid="{00000000-0005-0000-0000-00009A700000}"/>
    <cellStyle name="Remarque 2 5 3 2 11 2 2" xfId="55562" xr:uid="{00000000-0005-0000-0000-00009B700000}"/>
    <cellStyle name="Remarque 2 5 3 2 11 3" xfId="18849" xr:uid="{00000000-0005-0000-0000-00009C700000}"/>
    <cellStyle name="Remarque 2 5 3 2 11 4" xfId="42809" xr:uid="{00000000-0005-0000-0000-00009D700000}"/>
    <cellStyle name="Remarque 2 5 3 2 12" xfId="8973" xr:uid="{00000000-0005-0000-0000-00009E700000}"/>
    <cellStyle name="Remarque 2 5 3 2 12 2" xfId="32987" xr:uid="{00000000-0005-0000-0000-00009F700000}"/>
    <cellStyle name="Remarque 2 5 3 2 12 2 2" xfId="56947" xr:uid="{00000000-0005-0000-0000-0000A0700000}"/>
    <cellStyle name="Remarque 2 5 3 2 12 3" xfId="20234" xr:uid="{00000000-0005-0000-0000-0000A1700000}"/>
    <cellStyle name="Remarque 2 5 3 2 12 4" xfId="44194" xr:uid="{00000000-0005-0000-0000-0000A2700000}"/>
    <cellStyle name="Remarque 2 5 3 2 13" xfId="10430" xr:uid="{00000000-0005-0000-0000-0000A3700000}"/>
    <cellStyle name="Remarque 2 5 3 2 13 2" xfId="34440" xr:uid="{00000000-0005-0000-0000-0000A4700000}"/>
    <cellStyle name="Remarque 2 5 3 2 13 2 2" xfId="58400" xr:uid="{00000000-0005-0000-0000-0000A5700000}"/>
    <cellStyle name="Remarque 2 5 3 2 13 3" xfId="21697" xr:uid="{00000000-0005-0000-0000-0000A6700000}"/>
    <cellStyle name="Remarque 2 5 3 2 13 4" xfId="45657" xr:uid="{00000000-0005-0000-0000-0000A7700000}"/>
    <cellStyle name="Remarque 2 5 3 2 14" xfId="11650" xr:uid="{00000000-0005-0000-0000-0000A8700000}"/>
    <cellStyle name="Remarque 2 5 3 2 14 2" xfId="22918" xr:uid="{00000000-0005-0000-0000-0000A9700000}"/>
    <cellStyle name="Remarque 2 5 3 2 14 3" xfId="46878" xr:uid="{00000000-0005-0000-0000-0000AA700000}"/>
    <cellStyle name="Remarque 2 5 3 2 15" xfId="1902" xr:uid="{00000000-0005-0000-0000-0000AB700000}"/>
    <cellStyle name="Remarque 2 5 3 2 15 2" xfId="25916" xr:uid="{00000000-0005-0000-0000-0000AC700000}"/>
    <cellStyle name="Remarque 2 5 3 2 15 3" xfId="49876" xr:uid="{00000000-0005-0000-0000-0000AD700000}"/>
    <cellStyle name="Remarque 2 5 3 2 16" xfId="24498" xr:uid="{00000000-0005-0000-0000-0000AE700000}"/>
    <cellStyle name="Remarque 2 5 3 2 16 2" xfId="48458" xr:uid="{00000000-0005-0000-0000-0000AF700000}"/>
    <cellStyle name="Remarque 2 5 3 2 17" xfId="36189" xr:uid="{00000000-0005-0000-0000-0000B0700000}"/>
    <cellStyle name="Remarque 2 5 3 2 17 2" xfId="60149" xr:uid="{00000000-0005-0000-0000-0000B1700000}"/>
    <cellStyle name="Remarque 2 5 3 2 18" xfId="13163" xr:uid="{00000000-0005-0000-0000-0000B2700000}"/>
    <cellStyle name="Remarque 2 5 3 2 19" xfId="37123" xr:uid="{00000000-0005-0000-0000-0000B3700000}"/>
    <cellStyle name="Remarque 2 5 3 2 2" xfId="602" xr:uid="{00000000-0005-0000-0000-0000B4700000}"/>
    <cellStyle name="Remarque 2 5 3 2 2 10" xfId="24634" xr:uid="{00000000-0005-0000-0000-0000B5700000}"/>
    <cellStyle name="Remarque 2 5 3 2 2 10 2" xfId="48594" xr:uid="{00000000-0005-0000-0000-0000B6700000}"/>
    <cellStyle name="Remarque 2 5 3 2 2 11" xfId="35684" xr:uid="{00000000-0005-0000-0000-0000B7700000}"/>
    <cellStyle name="Remarque 2 5 3 2 2 11 2" xfId="59644" xr:uid="{00000000-0005-0000-0000-0000B8700000}"/>
    <cellStyle name="Remarque 2 5 3 2 2 12" xfId="13299" xr:uid="{00000000-0005-0000-0000-0000B9700000}"/>
    <cellStyle name="Remarque 2 5 3 2 2 13" xfId="37259" xr:uid="{00000000-0005-0000-0000-0000BA700000}"/>
    <cellStyle name="Remarque 2 5 3 2 2 2" xfId="3508" xr:uid="{00000000-0005-0000-0000-0000BB700000}"/>
    <cellStyle name="Remarque 2 5 3 2 2 2 2" xfId="27522" xr:uid="{00000000-0005-0000-0000-0000BC700000}"/>
    <cellStyle name="Remarque 2 5 3 2 2 2 2 2" xfId="51482" xr:uid="{00000000-0005-0000-0000-0000BD700000}"/>
    <cellStyle name="Remarque 2 5 3 2 2 2 3" xfId="14769" xr:uid="{00000000-0005-0000-0000-0000BE700000}"/>
    <cellStyle name="Remarque 2 5 3 2 2 2 4" xfId="38729" xr:uid="{00000000-0005-0000-0000-0000BF700000}"/>
    <cellStyle name="Remarque 2 5 3 2 2 3" xfId="4942" xr:uid="{00000000-0005-0000-0000-0000C0700000}"/>
    <cellStyle name="Remarque 2 5 3 2 2 3 2" xfId="28956" xr:uid="{00000000-0005-0000-0000-0000C1700000}"/>
    <cellStyle name="Remarque 2 5 3 2 2 3 2 2" xfId="52916" xr:uid="{00000000-0005-0000-0000-0000C2700000}"/>
    <cellStyle name="Remarque 2 5 3 2 2 3 3" xfId="16203" xr:uid="{00000000-0005-0000-0000-0000C3700000}"/>
    <cellStyle name="Remarque 2 5 3 2 2 3 4" xfId="40163" xr:uid="{00000000-0005-0000-0000-0000C4700000}"/>
    <cellStyle name="Remarque 2 5 3 2 2 4" xfId="6336" xr:uid="{00000000-0005-0000-0000-0000C5700000}"/>
    <cellStyle name="Remarque 2 5 3 2 2 4 2" xfId="30350" xr:uid="{00000000-0005-0000-0000-0000C6700000}"/>
    <cellStyle name="Remarque 2 5 3 2 2 4 2 2" xfId="54310" xr:uid="{00000000-0005-0000-0000-0000C7700000}"/>
    <cellStyle name="Remarque 2 5 3 2 2 4 3" xfId="17597" xr:uid="{00000000-0005-0000-0000-0000C8700000}"/>
    <cellStyle name="Remarque 2 5 3 2 2 4 4" xfId="41557" xr:uid="{00000000-0005-0000-0000-0000C9700000}"/>
    <cellStyle name="Remarque 2 5 3 2 2 5" xfId="7724" xr:uid="{00000000-0005-0000-0000-0000CA700000}"/>
    <cellStyle name="Remarque 2 5 3 2 2 5 2" xfId="31738" xr:uid="{00000000-0005-0000-0000-0000CB700000}"/>
    <cellStyle name="Remarque 2 5 3 2 2 5 2 2" xfId="55698" xr:uid="{00000000-0005-0000-0000-0000CC700000}"/>
    <cellStyle name="Remarque 2 5 3 2 2 5 3" xfId="18985" xr:uid="{00000000-0005-0000-0000-0000CD700000}"/>
    <cellStyle name="Remarque 2 5 3 2 2 5 4" xfId="42945" xr:uid="{00000000-0005-0000-0000-0000CE700000}"/>
    <cellStyle name="Remarque 2 5 3 2 2 6" xfId="9109" xr:uid="{00000000-0005-0000-0000-0000CF700000}"/>
    <cellStyle name="Remarque 2 5 3 2 2 6 2" xfId="33123" xr:uid="{00000000-0005-0000-0000-0000D0700000}"/>
    <cellStyle name="Remarque 2 5 3 2 2 6 2 2" xfId="57083" xr:uid="{00000000-0005-0000-0000-0000D1700000}"/>
    <cellStyle name="Remarque 2 5 3 2 2 6 3" xfId="20370" xr:uid="{00000000-0005-0000-0000-0000D2700000}"/>
    <cellStyle name="Remarque 2 5 3 2 2 6 4" xfId="44330" xr:uid="{00000000-0005-0000-0000-0000D3700000}"/>
    <cellStyle name="Remarque 2 5 3 2 2 7" xfId="10566" xr:uid="{00000000-0005-0000-0000-0000D4700000}"/>
    <cellStyle name="Remarque 2 5 3 2 2 7 2" xfId="34576" xr:uid="{00000000-0005-0000-0000-0000D5700000}"/>
    <cellStyle name="Remarque 2 5 3 2 2 7 2 2" xfId="58536" xr:uid="{00000000-0005-0000-0000-0000D6700000}"/>
    <cellStyle name="Remarque 2 5 3 2 2 7 3" xfId="21833" xr:uid="{00000000-0005-0000-0000-0000D7700000}"/>
    <cellStyle name="Remarque 2 5 3 2 2 7 4" xfId="45793" xr:uid="{00000000-0005-0000-0000-0000D8700000}"/>
    <cellStyle name="Remarque 2 5 3 2 2 8" xfId="12555" xr:uid="{00000000-0005-0000-0000-0000D9700000}"/>
    <cellStyle name="Remarque 2 5 3 2 2 8 2" xfId="23854" xr:uid="{00000000-0005-0000-0000-0000DA700000}"/>
    <cellStyle name="Remarque 2 5 3 2 2 8 3" xfId="47814" xr:uid="{00000000-0005-0000-0000-0000DB700000}"/>
    <cellStyle name="Remarque 2 5 3 2 2 9" xfId="2038" xr:uid="{00000000-0005-0000-0000-0000DC700000}"/>
    <cellStyle name="Remarque 2 5 3 2 2 9 2" xfId="26052" xr:uid="{00000000-0005-0000-0000-0000DD700000}"/>
    <cellStyle name="Remarque 2 5 3 2 2 9 3" xfId="50012" xr:uid="{00000000-0005-0000-0000-0000DE700000}"/>
    <cellStyle name="Remarque 2 5 3 2 3" xfId="794" xr:uid="{00000000-0005-0000-0000-0000DF700000}"/>
    <cellStyle name="Remarque 2 5 3 2 3 10" xfId="24826" xr:uid="{00000000-0005-0000-0000-0000E0700000}"/>
    <cellStyle name="Remarque 2 5 3 2 3 10 2" xfId="48786" xr:uid="{00000000-0005-0000-0000-0000E1700000}"/>
    <cellStyle name="Remarque 2 5 3 2 3 11" xfId="36695" xr:uid="{00000000-0005-0000-0000-0000E2700000}"/>
    <cellStyle name="Remarque 2 5 3 2 3 11 2" xfId="60655" xr:uid="{00000000-0005-0000-0000-0000E3700000}"/>
    <cellStyle name="Remarque 2 5 3 2 3 12" xfId="13491" xr:uid="{00000000-0005-0000-0000-0000E4700000}"/>
    <cellStyle name="Remarque 2 5 3 2 3 13" xfId="37451" xr:uid="{00000000-0005-0000-0000-0000E5700000}"/>
    <cellStyle name="Remarque 2 5 3 2 3 2" xfId="3700" xr:uid="{00000000-0005-0000-0000-0000E6700000}"/>
    <cellStyle name="Remarque 2 5 3 2 3 2 2" xfId="27714" xr:uid="{00000000-0005-0000-0000-0000E7700000}"/>
    <cellStyle name="Remarque 2 5 3 2 3 2 2 2" xfId="51674" xr:uid="{00000000-0005-0000-0000-0000E8700000}"/>
    <cellStyle name="Remarque 2 5 3 2 3 2 3" xfId="14961" xr:uid="{00000000-0005-0000-0000-0000E9700000}"/>
    <cellStyle name="Remarque 2 5 3 2 3 2 4" xfId="38921" xr:uid="{00000000-0005-0000-0000-0000EA700000}"/>
    <cellStyle name="Remarque 2 5 3 2 3 3" xfId="5134" xr:uid="{00000000-0005-0000-0000-0000EB700000}"/>
    <cellStyle name="Remarque 2 5 3 2 3 3 2" xfId="29148" xr:uid="{00000000-0005-0000-0000-0000EC700000}"/>
    <cellStyle name="Remarque 2 5 3 2 3 3 2 2" xfId="53108" xr:uid="{00000000-0005-0000-0000-0000ED700000}"/>
    <cellStyle name="Remarque 2 5 3 2 3 3 3" xfId="16395" xr:uid="{00000000-0005-0000-0000-0000EE700000}"/>
    <cellStyle name="Remarque 2 5 3 2 3 3 4" xfId="40355" xr:uid="{00000000-0005-0000-0000-0000EF700000}"/>
    <cellStyle name="Remarque 2 5 3 2 3 4" xfId="6528" xr:uid="{00000000-0005-0000-0000-0000F0700000}"/>
    <cellStyle name="Remarque 2 5 3 2 3 4 2" xfId="30542" xr:uid="{00000000-0005-0000-0000-0000F1700000}"/>
    <cellStyle name="Remarque 2 5 3 2 3 4 2 2" xfId="54502" xr:uid="{00000000-0005-0000-0000-0000F2700000}"/>
    <cellStyle name="Remarque 2 5 3 2 3 4 3" xfId="17789" xr:uid="{00000000-0005-0000-0000-0000F3700000}"/>
    <cellStyle name="Remarque 2 5 3 2 3 4 4" xfId="41749" xr:uid="{00000000-0005-0000-0000-0000F4700000}"/>
    <cellStyle name="Remarque 2 5 3 2 3 5" xfId="7916" xr:uid="{00000000-0005-0000-0000-0000F5700000}"/>
    <cellStyle name="Remarque 2 5 3 2 3 5 2" xfId="31930" xr:uid="{00000000-0005-0000-0000-0000F6700000}"/>
    <cellStyle name="Remarque 2 5 3 2 3 5 2 2" xfId="55890" xr:uid="{00000000-0005-0000-0000-0000F7700000}"/>
    <cellStyle name="Remarque 2 5 3 2 3 5 3" xfId="19177" xr:uid="{00000000-0005-0000-0000-0000F8700000}"/>
    <cellStyle name="Remarque 2 5 3 2 3 5 4" xfId="43137" xr:uid="{00000000-0005-0000-0000-0000F9700000}"/>
    <cellStyle name="Remarque 2 5 3 2 3 6" xfId="9301" xr:uid="{00000000-0005-0000-0000-0000FA700000}"/>
    <cellStyle name="Remarque 2 5 3 2 3 6 2" xfId="33315" xr:uid="{00000000-0005-0000-0000-0000FB700000}"/>
    <cellStyle name="Remarque 2 5 3 2 3 6 2 2" xfId="57275" xr:uid="{00000000-0005-0000-0000-0000FC700000}"/>
    <cellStyle name="Remarque 2 5 3 2 3 6 3" xfId="20562" xr:uid="{00000000-0005-0000-0000-0000FD700000}"/>
    <cellStyle name="Remarque 2 5 3 2 3 6 4" xfId="44522" xr:uid="{00000000-0005-0000-0000-0000FE700000}"/>
    <cellStyle name="Remarque 2 5 3 2 3 7" xfId="10758" xr:uid="{00000000-0005-0000-0000-0000FF700000}"/>
    <cellStyle name="Remarque 2 5 3 2 3 7 2" xfId="34768" xr:uid="{00000000-0005-0000-0000-000000710000}"/>
    <cellStyle name="Remarque 2 5 3 2 3 7 2 2" xfId="58728" xr:uid="{00000000-0005-0000-0000-000001710000}"/>
    <cellStyle name="Remarque 2 5 3 2 3 7 3" xfId="22025" xr:uid="{00000000-0005-0000-0000-000002710000}"/>
    <cellStyle name="Remarque 2 5 3 2 3 7 4" xfId="45985" xr:uid="{00000000-0005-0000-0000-000003710000}"/>
    <cellStyle name="Remarque 2 5 3 2 3 8" xfId="12478" xr:uid="{00000000-0005-0000-0000-000004710000}"/>
    <cellStyle name="Remarque 2 5 3 2 3 8 2" xfId="23774" xr:uid="{00000000-0005-0000-0000-000005710000}"/>
    <cellStyle name="Remarque 2 5 3 2 3 8 3" xfId="47734" xr:uid="{00000000-0005-0000-0000-000006710000}"/>
    <cellStyle name="Remarque 2 5 3 2 3 9" xfId="2230" xr:uid="{00000000-0005-0000-0000-000007710000}"/>
    <cellStyle name="Remarque 2 5 3 2 3 9 2" xfId="26244" xr:uid="{00000000-0005-0000-0000-000008710000}"/>
    <cellStyle name="Remarque 2 5 3 2 3 9 3" xfId="50204" xr:uid="{00000000-0005-0000-0000-000009710000}"/>
    <cellStyle name="Remarque 2 5 3 2 4" xfId="988" xr:uid="{00000000-0005-0000-0000-00000A710000}"/>
    <cellStyle name="Remarque 2 5 3 2 4 10" xfId="25020" xr:uid="{00000000-0005-0000-0000-00000B710000}"/>
    <cellStyle name="Remarque 2 5 3 2 4 10 2" xfId="48980" xr:uid="{00000000-0005-0000-0000-00000C710000}"/>
    <cellStyle name="Remarque 2 5 3 2 4 11" xfId="36562" xr:uid="{00000000-0005-0000-0000-00000D710000}"/>
    <cellStyle name="Remarque 2 5 3 2 4 11 2" xfId="60522" xr:uid="{00000000-0005-0000-0000-00000E710000}"/>
    <cellStyle name="Remarque 2 5 3 2 4 12" xfId="13685" xr:uid="{00000000-0005-0000-0000-00000F710000}"/>
    <cellStyle name="Remarque 2 5 3 2 4 13" xfId="37645" xr:uid="{00000000-0005-0000-0000-000010710000}"/>
    <cellStyle name="Remarque 2 5 3 2 4 2" xfId="3894" xr:uid="{00000000-0005-0000-0000-000011710000}"/>
    <cellStyle name="Remarque 2 5 3 2 4 2 2" xfId="27908" xr:uid="{00000000-0005-0000-0000-000012710000}"/>
    <cellStyle name="Remarque 2 5 3 2 4 2 2 2" xfId="51868" xr:uid="{00000000-0005-0000-0000-000013710000}"/>
    <cellStyle name="Remarque 2 5 3 2 4 2 3" xfId="15155" xr:uid="{00000000-0005-0000-0000-000014710000}"/>
    <cellStyle name="Remarque 2 5 3 2 4 2 4" xfId="39115" xr:uid="{00000000-0005-0000-0000-000015710000}"/>
    <cellStyle name="Remarque 2 5 3 2 4 3" xfId="5328" xr:uid="{00000000-0005-0000-0000-000016710000}"/>
    <cellStyle name="Remarque 2 5 3 2 4 3 2" xfId="29342" xr:uid="{00000000-0005-0000-0000-000017710000}"/>
    <cellStyle name="Remarque 2 5 3 2 4 3 2 2" xfId="53302" xr:uid="{00000000-0005-0000-0000-000018710000}"/>
    <cellStyle name="Remarque 2 5 3 2 4 3 3" xfId="16589" xr:uid="{00000000-0005-0000-0000-000019710000}"/>
    <cellStyle name="Remarque 2 5 3 2 4 3 4" xfId="40549" xr:uid="{00000000-0005-0000-0000-00001A710000}"/>
    <cellStyle name="Remarque 2 5 3 2 4 4" xfId="6722" xr:uid="{00000000-0005-0000-0000-00001B710000}"/>
    <cellStyle name="Remarque 2 5 3 2 4 4 2" xfId="30736" xr:uid="{00000000-0005-0000-0000-00001C710000}"/>
    <cellStyle name="Remarque 2 5 3 2 4 4 2 2" xfId="54696" xr:uid="{00000000-0005-0000-0000-00001D710000}"/>
    <cellStyle name="Remarque 2 5 3 2 4 4 3" xfId="17983" xr:uid="{00000000-0005-0000-0000-00001E710000}"/>
    <cellStyle name="Remarque 2 5 3 2 4 4 4" xfId="41943" xr:uid="{00000000-0005-0000-0000-00001F710000}"/>
    <cellStyle name="Remarque 2 5 3 2 4 5" xfId="8110" xr:uid="{00000000-0005-0000-0000-000020710000}"/>
    <cellStyle name="Remarque 2 5 3 2 4 5 2" xfId="32124" xr:uid="{00000000-0005-0000-0000-000021710000}"/>
    <cellStyle name="Remarque 2 5 3 2 4 5 2 2" xfId="56084" xr:uid="{00000000-0005-0000-0000-000022710000}"/>
    <cellStyle name="Remarque 2 5 3 2 4 5 3" xfId="19371" xr:uid="{00000000-0005-0000-0000-000023710000}"/>
    <cellStyle name="Remarque 2 5 3 2 4 5 4" xfId="43331" xr:uid="{00000000-0005-0000-0000-000024710000}"/>
    <cellStyle name="Remarque 2 5 3 2 4 6" xfId="9495" xr:uid="{00000000-0005-0000-0000-000025710000}"/>
    <cellStyle name="Remarque 2 5 3 2 4 6 2" xfId="33509" xr:uid="{00000000-0005-0000-0000-000026710000}"/>
    <cellStyle name="Remarque 2 5 3 2 4 6 2 2" xfId="57469" xr:uid="{00000000-0005-0000-0000-000027710000}"/>
    <cellStyle name="Remarque 2 5 3 2 4 6 3" xfId="20756" xr:uid="{00000000-0005-0000-0000-000028710000}"/>
    <cellStyle name="Remarque 2 5 3 2 4 6 4" xfId="44716" xr:uid="{00000000-0005-0000-0000-000029710000}"/>
    <cellStyle name="Remarque 2 5 3 2 4 7" xfId="10952" xr:uid="{00000000-0005-0000-0000-00002A710000}"/>
    <cellStyle name="Remarque 2 5 3 2 4 7 2" xfId="34962" xr:uid="{00000000-0005-0000-0000-00002B710000}"/>
    <cellStyle name="Remarque 2 5 3 2 4 7 2 2" xfId="58922" xr:uid="{00000000-0005-0000-0000-00002C710000}"/>
    <cellStyle name="Remarque 2 5 3 2 4 7 3" xfId="22219" xr:uid="{00000000-0005-0000-0000-00002D710000}"/>
    <cellStyle name="Remarque 2 5 3 2 4 7 4" xfId="46179" xr:uid="{00000000-0005-0000-0000-00002E710000}"/>
    <cellStyle name="Remarque 2 5 3 2 4 8" xfId="12079" xr:uid="{00000000-0005-0000-0000-00002F710000}"/>
    <cellStyle name="Remarque 2 5 3 2 4 8 2" xfId="23362" xr:uid="{00000000-0005-0000-0000-000030710000}"/>
    <cellStyle name="Remarque 2 5 3 2 4 8 3" xfId="47322" xr:uid="{00000000-0005-0000-0000-000031710000}"/>
    <cellStyle name="Remarque 2 5 3 2 4 9" xfId="2424" xr:uid="{00000000-0005-0000-0000-000032710000}"/>
    <cellStyle name="Remarque 2 5 3 2 4 9 2" xfId="26438" xr:uid="{00000000-0005-0000-0000-000033710000}"/>
    <cellStyle name="Remarque 2 5 3 2 4 9 3" xfId="50398" xr:uid="{00000000-0005-0000-0000-000034710000}"/>
    <cellStyle name="Remarque 2 5 3 2 5" xfId="1181" xr:uid="{00000000-0005-0000-0000-000035710000}"/>
    <cellStyle name="Remarque 2 5 3 2 5 10" xfId="25213" xr:uid="{00000000-0005-0000-0000-000036710000}"/>
    <cellStyle name="Remarque 2 5 3 2 5 10 2" xfId="49173" xr:uid="{00000000-0005-0000-0000-000037710000}"/>
    <cellStyle name="Remarque 2 5 3 2 5 11" xfId="36414" xr:uid="{00000000-0005-0000-0000-000038710000}"/>
    <cellStyle name="Remarque 2 5 3 2 5 11 2" xfId="60374" xr:uid="{00000000-0005-0000-0000-000039710000}"/>
    <cellStyle name="Remarque 2 5 3 2 5 12" xfId="13878" xr:uid="{00000000-0005-0000-0000-00003A710000}"/>
    <cellStyle name="Remarque 2 5 3 2 5 13" xfId="37838" xr:uid="{00000000-0005-0000-0000-00003B710000}"/>
    <cellStyle name="Remarque 2 5 3 2 5 2" xfId="4087" xr:uid="{00000000-0005-0000-0000-00003C710000}"/>
    <cellStyle name="Remarque 2 5 3 2 5 2 2" xfId="28101" xr:uid="{00000000-0005-0000-0000-00003D710000}"/>
    <cellStyle name="Remarque 2 5 3 2 5 2 2 2" xfId="52061" xr:uid="{00000000-0005-0000-0000-00003E710000}"/>
    <cellStyle name="Remarque 2 5 3 2 5 2 3" xfId="15348" xr:uid="{00000000-0005-0000-0000-00003F710000}"/>
    <cellStyle name="Remarque 2 5 3 2 5 2 4" xfId="39308" xr:uid="{00000000-0005-0000-0000-000040710000}"/>
    <cellStyle name="Remarque 2 5 3 2 5 3" xfId="5521" xr:uid="{00000000-0005-0000-0000-000041710000}"/>
    <cellStyle name="Remarque 2 5 3 2 5 3 2" xfId="29535" xr:uid="{00000000-0005-0000-0000-000042710000}"/>
    <cellStyle name="Remarque 2 5 3 2 5 3 2 2" xfId="53495" xr:uid="{00000000-0005-0000-0000-000043710000}"/>
    <cellStyle name="Remarque 2 5 3 2 5 3 3" xfId="16782" xr:uid="{00000000-0005-0000-0000-000044710000}"/>
    <cellStyle name="Remarque 2 5 3 2 5 3 4" xfId="40742" xr:uid="{00000000-0005-0000-0000-000045710000}"/>
    <cellStyle name="Remarque 2 5 3 2 5 4" xfId="6915" xr:uid="{00000000-0005-0000-0000-000046710000}"/>
    <cellStyle name="Remarque 2 5 3 2 5 4 2" xfId="30929" xr:uid="{00000000-0005-0000-0000-000047710000}"/>
    <cellStyle name="Remarque 2 5 3 2 5 4 2 2" xfId="54889" xr:uid="{00000000-0005-0000-0000-000048710000}"/>
    <cellStyle name="Remarque 2 5 3 2 5 4 3" xfId="18176" xr:uid="{00000000-0005-0000-0000-000049710000}"/>
    <cellStyle name="Remarque 2 5 3 2 5 4 4" xfId="42136" xr:uid="{00000000-0005-0000-0000-00004A710000}"/>
    <cellStyle name="Remarque 2 5 3 2 5 5" xfId="8303" xr:uid="{00000000-0005-0000-0000-00004B710000}"/>
    <cellStyle name="Remarque 2 5 3 2 5 5 2" xfId="32317" xr:uid="{00000000-0005-0000-0000-00004C710000}"/>
    <cellStyle name="Remarque 2 5 3 2 5 5 2 2" xfId="56277" xr:uid="{00000000-0005-0000-0000-00004D710000}"/>
    <cellStyle name="Remarque 2 5 3 2 5 5 3" xfId="19564" xr:uid="{00000000-0005-0000-0000-00004E710000}"/>
    <cellStyle name="Remarque 2 5 3 2 5 5 4" xfId="43524" xr:uid="{00000000-0005-0000-0000-00004F710000}"/>
    <cellStyle name="Remarque 2 5 3 2 5 6" xfId="9688" xr:uid="{00000000-0005-0000-0000-000050710000}"/>
    <cellStyle name="Remarque 2 5 3 2 5 6 2" xfId="33702" xr:uid="{00000000-0005-0000-0000-000051710000}"/>
    <cellStyle name="Remarque 2 5 3 2 5 6 2 2" xfId="57662" xr:uid="{00000000-0005-0000-0000-000052710000}"/>
    <cellStyle name="Remarque 2 5 3 2 5 6 3" xfId="20949" xr:uid="{00000000-0005-0000-0000-000053710000}"/>
    <cellStyle name="Remarque 2 5 3 2 5 6 4" xfId="44909" xr:uid="{00000000-0005-0000-0000-000054710000}"/>
    <cellStyle name="Remarque 2 5 3 2 5 7" xfId="11145" xr:uid="{00000000-0005-0000-0000-000055710000}"/>
    <cellStyle name="Remarque 2 5 3 2 5 7 2" xfId="35155" xr:uid="{00000000-0005-0000-0000-000056710000}"/>
    <cellStyle name="Remarque 2 5 3 2 5 7 2 2" xfId="59115" xr:uid="{00000000-0005-0000-0000-000057710000}"/>
    <cellStyle name="Remarque 2 5 3 2 5 7 3" xfId="22412" xr:uid="{00000000-0005-0000-0000-000058710000}"/>
    <cellStyle name="Remarque 2 5 3 2 5 7 4" xfId="46372" xr:uid="{00000000-0005-0000-0000-000059710000}"/>
    <cellStyle name="Remarque 2 5 3 2 5 8" xfId="10120" xr:uid="{00000000-0005-0000-0000-00005A710000}"/>
    <cellStyle name="Remarque 2 5 3 2 5 8 2" xfId="21381" xr:uid="{00000000-0005-0000-0000-00005B710000}"/>
    <cellStyle name="Remarque 2 5 3 2 5 8 3" xfId="45341" xr:uid="{00000000-0005-0000-0000-00005C710000}"/>
    <cellStyle name="Remarque 2 5 3 2 5 9" xfId="2617" xr:uid="{00000000-0005-0000-0000-00005D710000}"/>
    <cellStyle name="Remarque 2 5 3 2 5 9 2" xfId="26631" xr:uid="{00000000-0005-0000-0000-00005E710000}"/>
    <cellStyle name="Remarque 2 5 3 2 5 9 3" xfId="50591" xr:uid="{00000000-0005-0000-0000-00005F710000}"/>
    <cellStyle name="Remarque 2 5 3 2 6" xfId="1348" xr:uid="{00000000-0005-0000-0000-000060710000}"/>
    <cellStyle name="Remarque 2 5 3 2 6 10" xfId="25380" xr:uid="{00000000-0005-0000-0000-000061710000}"/>
    <cellStyle name="Remarque 2 5 3 2 6 10 2" xfId="49340" xr:uid="{00000000-0005-0000-0000-000062710000}"/>
    <cellStyle name="Remarque 2 5 3 2 6 11" xfId="36010" xr:uid="{00000000-0005-0000-0000-000063710000}"/>
    <cellStyle name="Remarque 2 5 3 2 6 11 2" xfId="59970" xr:uid="{00000000-0005-0000-0000-000064710000}"/>
    <cellStyle name="Remarque 2 5 3 2 6 12" xfId="14045" xr:uid="{00000000-0005-0000-0000-000065710000}"/>
    <cellStyle name="Remarque 2 5 3 2 6 13" xfId="38005" xr:uid="{00000000-0005-0000-0000-000066710000}"/>
    <cellStyle name="Remarque 2 5 3 2 6 2" xfId="4254" xr:uid="{00000000-0005-0000-0000-000067710000}"/>
    <cellStyle name="Remarque 2 5 3 2 6 2 2" xfId="28268" xr:uid="{00000000-0005-0000-0000-000068710000}"/>
    <cellStyle name="Remarque 2 5 3 2 6 2 2 2" xfId="52228" xr:uid="{00000000-0005-0000-0000-000069710000}"/>
    <cellStyle name="Remarque 2 5 3 2 6 2 3" xfId="15515" xr:uid="{00000000-0005-0000-0000-00006A710000}"/>
    <cellStyle name="Remarque 2 5 3 2 6 2 4" xfId="39475" xr:uid="{00000000-0005-0000-0000-00006B710000}"/>
    <cellStyle name="Remarque 2 5 3 2 6 3" xfId="5688" xr:uid="{00000000-0005-0000-0000-00006C710000}"/>
    <cellStyle name="Remarque 2 5 3 2 6 3 2" xfId="29702" xr:uid="{00000000-0005-0000-0000-00006D710000}"/>
    <cellStyle name="Remarque 2 5 3 2 6 3 2 2" xfId="53662" xr:uid="{00000000-0005-0000-0000-00006E710000}"/>
    <cellStyle name="Remarque 2 5 3 2 6 3 3" xfId="16949" xr:uid="{00000000-0005-0000-0000-00006F710000}"/>
    <cellStyle name="Remarque 2 5 3 2 6 3 4" xfId="40909" xr:uid="{00000000-0005-0000-0000-000070710000}"/>
    <cellStyle name="Remarque 2 5 3 2 6 4" xfId="7082" xr:uid="{00000000-0005-0000-0000-000071710000}"/>
    <cellStyle name="Remarque 2 5 3 2 6 4 2" xfId="31096" xr:uid="{00000000-0005-0000-0000-000072710000}"/>
    <cellStyle name="Remarque 2 5 3 2 6 4 2 2" xfId="55056" xr:uid="{00000000-0005-0000-0000-000073710000}"/>
    <cellStyle name="Remarque 2 5 3 2 6 4 3" xfId="18343" xr:uid="{00000000-0005-0000-0000-000074710000}"/>
    <cellStyle name="Remarque 2 5 3 2 6 4 4" xfId="42303" xr:uid="{00000000-0005-0000-0000-000075710000}"/>
    <cellStyle name="Remarque 2 5 3 2 6 5" xfId="8470" xr:uid="{00000000-0005-0000-0000-000076710000}"/>
    <cellStyle name="Remarque 2 5 3 2 6 5 2" xfId="32484" xr:uid="{00000000-0005-0000-0000-000077710000}"/>
    <cellStyle name="Remarque 2 5 3 2 6 5 2 2" xfId="56444" xr:uid="{00000000-0005-0000-0000-000078710000}"/>
    <cellStyle name="Remarque 2 5 3 2 6 5 3" xfId="19731" xr:uid="{00000000-0005-0000-0000-000079710000}"/>
    <cellStyle name="Remarque 2 5 3 2 6 5 4" xfId="43691" xr:uid="{00000000-0005-0000-0000-00007A710000}"/>
    <cellStyle name="Remarque 2 5 3 2 6 6" xfId="9855" xr:uid="{00000000-0005-0000-0000-00007B710000}"/>
    <cellStyle name="Remarque 2 5 3 2 6 6 2" xfId="33869" xr:uid="{00000000-0005-0000-0000-00007C710000}"/>
    <cellStyle name="Remarque 2 5 3 2 6 6 2 2" xfId="57829" xr:uid="{00000000-0005-0000-0000-00007D710000}"/>
    <cellStyle name="Remarque 2 5 3 2 6 6 3" xfId="21116" xr:uid="{00000000-0005-0000-0000-00007E710000}"/>
    <cellStyle name="Remarque 2 5 3 2 6 6 4" xfId="45076" xr:uid="{00000000-0005-0000-0000-00007F710000}"/>
    <cellStyle name="Remarque 2 5 3 2 6 7" xfId="11312" xr:uid="{00000000-0005-0000-0000-000080710000}"/>
    <cellStyle name="Remarque 2 5 3 2 6 7 2" xfId="35322" xr:uid="{00000000-0005-0000-0000-000081710000}"/>
    <cellStyle name="Remarque 2 5 3 2 6 7 2 2" xfId="59282" xr:uid="{00000000-0005-0000-0000-000082710000}"/>
    <cellStyle name="Remarque 2 5 3 2 6 7 3" xfId="22579" xr:uid="{00000000-0005-0000-0000-000083710000}"/>
    <cellStyle name="Remarque 2 5 3 2 6 7 4" xfId="46539" xr:uid="{00000000-0005-0000-0000-000084710000}"/>
    <cellStyle name="Remarque 2 5 3 2 6 8" xfId="12003" xr:uid="{00000000-0005-0000-0000-000085710000}"/>
    <cellStyle name="Remarque 2 5 3 2 6 8 2" xfId="23282" xr:uid="{00000000-0005-0000-0000-000086710000}"/>
    <cellStyle name="Remarque 2 5 3 2 6 8 3" xfId="47242" xr:uid="{00000000-0005-0000-0000-000087710000}"/>
    <cellStyle name="Remarque 2 5 3 2 6 9" xfId="2784" xr:uid="{00000000-0005-0000-0000-000088710000}"/>
    <cellStyle name="Remarque 2 5 3 2 6 9 2" xfId="26798" xr:uid="{00000000-0005-0000-0000-000089710000}"/>
    <cellStyle name="Remarque 2 5 3 2 6 9 3" xfId="50758" xr:uid="{00000000-0005-0000-0000-00008A710000}"/>
    <cellStyle name="Remarque 2 5 3 2 7" xfId="1517" xr:uid="{00000000-0005-0000-0000-00008B710000}"/>
    <cellStyle name="Remarque 2 5 3 2 7 10" xfId="25549" xr:uid="{00000000-0005-0000-0000-00008C710000}"/>
    <cellStyle name="Remarque 2 5 3 2 7 10 2" xfId="49509" xr:uid="{00000000-0005-0000-0000-00008D710000}"/>
    <cellStyle name="Remarque 2 5 3 2 7 11" xfId="34130" xr:uid="{00000000-0005-0000-0000-00008E710000}"/>
    <cellStyle name="Remarque 2 5 3 2 7 11 2" xfId="58090" xr:uid="{00000000-0005-0000-0000-00008F710000}"/>
    <cellStyle name="Remarque 2 5 3 2 7 12" xfId="14214" xr:uid="{00000000-0005-0000-0000-000090710000}"/>
    <cellStyle name="Remarque 2 5 3 2 7 13" xfId="38174" xr:uid="{00000000-0005-0000-0000-000091710000}"/>
    <cellStyle name="Remarque 2 5 3 2 7 2" xfId="4423" xr:uid="{00000000-0005-0000-0000-000092710000}"/>
    <cellStyle name="Remarque 2 5 3 2 7 2 2" xfId="28437" xr:uid="{00000000-0005-0000-0000-000093710000}"/>
    <cellStyle name="Remarque 2 5 3 2 7 2 2 2" xfId="52397" xr:uid="{00000000-0005-0000-0000-000094710000}"/>
    <cellStyle name="Remarque 2 5 3 2 7 2 3" xfId="15684" xr:uid="{00000000-0005-0000-0000-000095710000}"/>
    <cellStyle name="Remarque 2 5 3 2 7 2 4" xfId="39644" xr:uid="{00000000-0005-0000-0000-000096710000}"/>
    <cellStyle name="Remarque 2 5 3 2 7 3" xfId="5857" xr:uid="{00000000-0005-0000-0000-000097710000}"/>
    <cellStyle name="Remarque 2 5 3 2 7 3 2" xfId="29871" xr:uid="{00000000-0005-0000-0000-000098710000}"/>
    <cellStyle name="Remarque 2 5 3 2 7 3 2 2" xfId="53831" xr:uid="{00000000-0005-0000-0000-000099710000}"/>
    <cellStyle name="Remarque 2 5 3 2 7 3 3" xfId="17118" xr:uid="{00000000-0005-0000-0000-00009A710000}"/>
    <cellStyle name="Remarque 2 5 3 2 7 3 4" xfId="41078" xr:uid="{00000000-0005-0000-0000-00009B710000}"/>
    <cellStyle name="Remarque 2 5 3 2 7 4" xfId="7251" xr:uid="{00000000-0005-0000-0000-00009C710000}"/>
    <cellStyle name="Remarque 2 5 3 2 7 4 2" xfId="31265" xr:uid="{00000000-0005-0000-0000-00009D710000}"/>
    <cellStyle name="Remarque 2 5 3 2 7 4 2 2" xfId="55225" xr:uid="{00000000-0005-0000-0000-00009E710000}"/>
    <cellStyle name="Remarque 2 5 3 2 7 4 3" xfId="18512" xr:uid="{00000000-0005-0000-0000-00009F710000}"/>
    <cellStyle name="Remarque 2 5 3 2 7 4 4" xfId="42472" xr:uid="{00000000-0005-0000-0000-0000A0710000}"/>
    <cellStyle name="Remarque 2 5 3 2 7 5" xfId="8639" xr:uid="{00000000-0005-0000-0000-0000A1710000}"/>
    <cellStyle name="Remarque 2 5 3 2 7 5 2" xfId="32653" xr:uid="{00000000-0005-0000-0000-0000A2710000}"/>
    <cellStyle name="Remarque 2 5 3 2 7 5 2 2" xfId="56613" xr:uid="{00000000-0005-0000-0000-0000A3710000}"/>
    <cellStyle name="Remarque 2 5 3 2 7 5 3" xfId="19900" xr:uid="{00000000-0005-0000-0000-0000A4710000}"/>
    <cellStyle name="Remarque 2 5 3 2 7 5 4" xfId="43860" xr:uid="{00000000-0005-0000-0000-0000A5710000}"/>
    <cellStyle name="Remarque 2 5 3 2 7 6" xfId="10024" xr:uid="{00000000-0005-0000-0000-0000A6710000}"/>
    <cellStyle name="Remarque 2 5 3 2 7 6 2" xfId="34038" xr:uid="{00000000-0005-0000-0000-0000A7710000}"/>
    <cellStyle name="Remarque 2 5 3 2 7 6 2 2" xfId="57998" xr:uid="{00000000-0005-0000-0000-0000A8710000}"/>
    <cellStyle name="Remarque 2 5 3 2 7 6 3" xfId="21285" xr:uid="{00000000-0005-0000-0000-0000A9710000}"/>
    <cellStyle name="Remarque 2 5 3 2 7 6 4" xfId="45245" xr:uid="{00000000-0005-0000-0000-0000AA710000}"/>
    <cellStyle name="Remarque 2 5 3 2 7 7" xfId="11481" xr:uid="{00000000-0005-0000-0000-0000AB710000}"/>
    <cellStyle name="Remarque 2 5 3 2 7 7 2" xfId="35491" xr:uid="{00000000-0005-0000-0000-0000AC710000}"/>
    <cellStyle name="Remarque 2 5 3 2 7 7 2 2" xfId="59451" xr:uid="{00000000-0005-0000-0000-0000AD710000}"/>
    <cellStyle name="Remarque 2 5 3 2 7 7 3" xfId="22748" xr:uid="{00000000-0005-0000-0000-0000AE710000}"/>
    <cellStyle name="Remarque 2 5 3 2 7 7 4" xfId="46708" xr:uid="{00000000-0005-0000-0000-0000AF710000}"/>
    <cellStyle name="Remarque 2 5 3 2 7 8" xfId="12514" xr:uid="{00000000-0005-0000-0000-0000B0710000}"/>
    <cellStyle name="Remarque 2 5 3 2 7 8 2" xfId="23811" xr:uid="{00000000-0005-0000-0000-0000B1710000}"/>
    <cellStyle name="Remarque 2 5 3 2 7 8 3" xfId="47771" xr:uid="{00000000-0005-0000-0000-0000B2710000}"/>
    <cellStyle name="Remarque 2 5 3 2 7 9" xfId="2953" xr:uid="{00000000-0005-0000-0000-0000B3710000}"/>
    <cellStyle name="Remarque 2 5 3 2 7 9 2" xfId="26967" xr:uid="{00000000-0005-0000-0000-0000B4710000}"/>
    <cellStyle name="Remarque 2 5 3 2 7 9 3" xfId="50927" xr:uid="{00000000-0005-0000-0000-0000B5710000}"/>
    <cellStyle name="Remarque 2 5 3 2 8" xfId="3372" xr:uid="{00000000-0005-0000-0000-0000B6710000}"/>
    <cellStyle name="Remarque 2 5 3 2 8 2" xfId="27386" xr:uid="{00000000-0005-0000-0000-0000B7710000}"/>
    <cellStyle name="Remarque 2 5 3 2 8 2 2" xfId="51346" xr:uid="{00000000-0005-0000-0000-0000B8710000}"/>
    <cellStyle name="Remarque 2 5 3 2 8 3" xfId="14633" xr:uid="{00000000-0005-0000-0000-0000B9710000}"/>
    <cellStyle name="Remarque 2 5 3 2 8 4" xfId="38593" xr:uid="{00000000-0005-0000-0000-0000BA710000}"/>
    <cellStyle name="Remarque 2 5 3 2 9" xfId="4806" xr:uid="{00000000-0005-0000-0000-0000BB710000}"/>
    <cellStyle name="Remarque 2 5 3 2 9 2" xfId="28820" xr:uid="{00000000-0005-0000-0000-0000BC710000}"/>
    <cellStyle name="Remarque 2 5 3 2 9 2 2" xfId="52780" xr:uid="{00000000-0005-0000-0000-0000BD710000}"/>
    <cellStyle name="Remarque 2 5 3 2 9 3" xfId="16067" xr:uid="{00000000-0005-0000-0000-0000BE710000}"/>
    <cellStyle name="Remarque 2 5 3 2 9 4" xfId="40027" xr:uid="{00000000-0005-0000-0000-0000BF710000}"/>
    <cellStyle name="Remarque 2 5 3 3" xfId="288" xr:uid="{00000000-0005-0000-0000-0000C0710000}"/>
    <cellStyle name="Remarque 2 5 3 3 10" xfId="24320" xr:uid="{00000000-0005-0000-0000-0000C1710000}"/>
    <cellStyle name="Remarque 2 5 3 3 10 2" xfId="48280" xr:uid="{00000000-0005-0000-0000-0000C2710000}"/>
    <cellStyle name="Remarque 2 5 3 3 11" xfId="36140" xr:uid="{00000000-0005-0000-0000-0000C3710000}"/>
    <cellStyle name="Remarque 2 5 3 3 11 2" xfId="60100" xr:uid="{00000000-0005-0000-0000-0000C4710000}"/>
    <cellStyle name="Remarque 2 5 3 3 12" xfId="12985" xr:uid="{00000000-0005-0000-0000-0000C5710000}"/>
    <cellStyle name="Remarque 2 5 3 3 13" xfId="36945" xr:uid="{00000000-0005-0000-0000-0000C6710000}"/>
    <cellStyle name="Remarque 2 5 3 3 2" xfId="3194" xr:uid="{00000000-0005-0000-0000-0000C7710000}"/>
    <cellStyle name="Remarque 2 5 3 3 2 2" xfId="27208" xr:uid="{00000000-0005-0000-0000-0000C8710000}"/>
    <cellStyle name="Remarque 2 5 3 3 2 2 2" xfId="51168" xr:uid="{00000000-0005-0000-0000-0000C9710000}"/>
    <cellStyle name="Remarque 2 5 3 3 2 3" xfId="14455" xr:uid="{00000000-0005-0000-0000-0000CA710000}"/>
    <cellStyle name="Remarque 2 5 3 3 2 4" xfId="38415" xr:uid="{00000000-0005-0000-0000-0000CB710000}"/>
    <cellStyle name="Remarque 2 5 3 3 3" xfId="4628" xr:uid="{00000000-0005-0000-0000-0000CC710000}"/>
    <cellStyle name="Remarque 2 5 3 3 3 2" xfId="28642" xr:uid="{00000000-0005-0000-0000-0000CD710000}"/>
    <cellStyle name="Remarque 2 5 3 3 3 2 2" xfId="52602" xr:uid="{00000000-0005-0000-0000-0000CE710000}"/>
    <cellStyle name="Remarque 2 5 3 3 3 3" xfId="15889" xr:uid="{00000000-0005-0000-0000-0000CF710000}"/>
    <cellStyle name="Remarque 2 5 3 3 3 4" xfId="39849" xr:uid="{00000000-0005-0000-0000-0000D0710000}"/>
    <cellStyle name="Remarque 2 5 3 3 4" xfId="6022" xr:uid="{00000000-0005-0000-0000-0000D1710000}"/>
    <cellStyle name="Remarque 2 5 3 3 4 2" xfId="30036" xr:uid="{00000000-0005-0000-0000-0000D2710000}"/>
    <cellStyle name="Remarque 2 5 3 3 4 2 2" xfId="53996" xr:uid="{00000000-0005-0000-0000-0000D3710000}"/>
    <cellStyle name="Remarque 2 5 3 3 4 3" xfId="17283" xr:uid="{00000000-0005-0000-0000-0000D4710000}"/>
    <cellStyle name="Remarque 2 5 3 3 4 4" xfId="41243" xr:uid="{00000000-0005-0000-0000-0000D5710000}"/>
    <cellStyle name="Remarque 2 5 3 3 5" xfId="7410" xr:uid="{00000000-0005-0000-0000-0000D6710000}"/>
    <cellStyle name="Remarque 2 5 3 3 5 2" xfId="31424" xr:uid="{00000000-0005-0000-0000-0000D7710000}"/>
    <cellStyle name="Remarque 2 5 3 3 5 2 2" xfId="55384" xr:uid="{00000000-0005-0000-0000-0000D8710000}"/>
    <cellStyle name="Remarque 2 5 3 3 5 3" xfId="18671" xr:uid="{00000000-0005-0000-0000-0000D9710000}"/>
    <cellStyle name="Remarque 2 5 3 3 5 4" xfId="42631" xr:uid="{00000000-0005-0000-0000-0000DA710000}"/>
    <cellStyle name="Remarque 2 5 3 3 6" xfId="8795" xr:uid="{00000000-0005-0000-0000-0000DB710000}"/>
    <cellStyle name="Remarque 2 5 3 3 6 2" xfId="32809" xr:uid="{00000000-0005-0000-0000-0000DC710000}"/>
    <cellStyle name="Remarque 2 5 3 3 6 2 2" xfId="56769" xr:uid="{00000000-0005-0000-0000-0000DD710000}"/>
    <cellStyle name="Remarque 2 5 3 3 6 3" xfId="20056" xr:uid="{00000000-0005-0000-0000-0000DE710000}"/>
    <cellStyle name="Remarque 2 5 3 3 6 4" xfId="44016" xr:uid="{00000000-0005-0000-0000-0000DF710000}"/>
    <cellStyle name="Remarque 2 5 3 3 7" xfId="10252" xr:uid="{00000000-0005-0000-0000-0000E0710000}"/>
    <cellStyle name="Remarque 2 5 3 3 7 2" xfId="34262" xr:uid="{00000000-0005-0000-0000-0000E1710000}"/>
    <cellStyle name="Remarque 2 5 3 3 7 2 2" xfId="58222" xr:uid="{00000000-0005-0000-0000-0000E2710000}"/>
    <cellStyle name="Remarque 2 5 3 3 7 3" xfId="21519" xr:uid="{00000000-0005-0000-0000-0000E3710000}"/>
    <cellStyle name="Remarque 2 5 3 3 7 4" xfId="45479" xr:uid="{00000000-0005-0000-0000-0000E4710000}"/>
    <cellStyle name="Remarque 2 5 3 3 8" xfId="11825" xr:uid="{00000000-0005-0000-0000-0000E5710000}"/>
    <cellStyle name="Remarque 2 5 3 3 8 2" xfId="23099" xr:uid="{00000000-0005-0000-0000-0000E6710000}"/>
    <cellStyle name="Remarque 2 5 3 3 8 3" xfId="47059" xr:uid="{00000000-0005-0000-0000-0000E7710000}"/>
    <cellStyle name="Remarque 2 5 3 3 9" xfId="1724" xr:uid="{00000000-0005-0000-0000-0000E8710000}"/>
    <cellStyle name="Remarque 2 5 3 3 9 2" xfId="25738" xr:uid="{00000000-0005-0000-0000-0000E9710000}"/>
    <cellStyle name="Remarque 2 5 3 3 9 3" xfId="49698" xr:uid="{00000000-0005-0000-0000-0000EA710000}"/>
    <cellStyle name="Remarque 2 5 3 4" xfId="659" xr:uid="{00000000-0005-0000-0000-0000EB710000}"/>
    <cellStyle name="Remarque 2 5 3 4 10" xfId="24691" xr:uid="{00000000-0005-0000-0000-0000EC710000}"/>
    <cellStyle name="Remarque 2 5 3 4 10 2" xfId="48651" xr:uid="{00000000-0005-0000-0000-0000ED710000}"/>
    <cellStyle name="Remarque 2 5 3 4 11" xfId="36136" xr:uid="{00000000-0005-0000-0000-0000EE710000}"/>
    <cellStyle name="Remarque 2 5 3 4 11 2" xfId="60096" xr:uid="{00000000-0005-0000-0000-0000EF710000}"/>
    <cellStyle name="Remarque 2 5 3 4 12" xfId="13356" xr:uid="{00000000-0005-0000-0000-0000F0710000}"/>
    <cellStyle name="Remarque 2 5 3 4 13" xfId="37316" xr:uid="{00000000-0005-0000-0000-0000F1710000}"/>
    <cellStyle name="Remarque 2 5 3 4 2" xfId="3565" xr:uid="{00000000-0005-0000-0000-0000F2710000}"/>
    <cellStyle name="Remarque 2 5 3 4 2 2" xfId="27579" xr:uid="{00000000-0005-0000-0000-0000F3710000}"/>
    <cellStyle name="Remarque 2 5 3 4 2 2 2" xfId="51539" xr:uid="{00000000-0005-0000-0000-0000F4710000}"/>
    <cellStyle name="Remarque 2 5 3 4 2 3" xfId="14826" xr:uid="{00000000-0005-0000-0000-0000F5710000}"/>
    <cellStyle name="Remarque 2 5 3 4 2 4" xfId="38786" xr:uid="{00000000-0005-0000-0000-0000F6710000}"/>
    <cellStyle name="Remarque 2 5 3 4 3" xfId="4999" xr:uid="{00000000-0005-0000-0000-0000F7710000}"/>
    <cellStyle name="Remarque 2 5 3 4 3 2" xfId="29013" xr:uid="{00000000-0005-0000-0000-0000F8710000}"/>
    <cellStyle name="Remarque 2 5 3 4 3 2 2" xfId="52973" xr:uid="{00000000-0005-0000-0000-0000F9710000}"/>
    <cellStyle name="Remarque 2 5 3 4 3 3" xfId="16260" xr:uid="{00000000-0005-0000-0000-0000FA710000}"/>
    <cellStyle name="Remarque 2 5 3 4 3 4" xfId="40220" xr:uid="{00000000-0005-0000-0000-0000FB710000}"/>
    <cellStyle name="Remarque 2 5 3 4 4" xfId="6393" xr:uid="{00000000-0005-0000-0000-0000FC710000}"/>
    <cellStyle name="Remarque 2 5 3 4 4 2" xfId="30407" xr:uid="{00000000-0005-0000-0000-0000FD710000}"/>
    <cellStyle name="Remarque 2 5 3 4 4 2 2" xfId="54367" xr:uid="{00000000-0005-0000-0000-0000FE710000}"/>
    <cellStyle name="Remarque 2 5 3 4 4 3" xfId="17654" xr:uid="{00000000-0005-0000-0000-0000FF710000}"/>
    <cellStyle name="Remarque 2 5 3 4 4 4" xfId="41614" xr:uid="{00000000-0005-0000-0000-000000720000}"/>
    <cellStyle name="Remarque 2 5 3 4 5" xfId="7781" xr:uid="{00000000-0005-0000-0000-000001720000}"/>
    <cellStyle name="Remarque 2 5 3 4 5 2" xfId="31795" xr:uid="{00000000-0005-0000-0000-000002720000}"/>
    <cellStyle name="Remarque 2 5 3 4 5 2 2" xfId="55755" xr:uid="{00000000-0005-0000-0000-000003720000}"/>
    <cellStyle name="Remarque 2 5 3 4 5 3" xfId="19042" xr:uid="{00000000-0005-0000-0000-000004720000}"/>
    <cellStyle name="Remarque 2 5 3 4 5 4" xfId="43002" xr:uid="{00000000-0005-0000-0000-000005720000}"/>
    <cellStyle name="Remarque 2 5 3 4 6" xfId="9166" xr:uid="{00000000-0005-0000-0000-000006720000}"/>
    <cellStyle name="Remarque 2 5 3 4 6 2" xfId="33180" xr:uid="{00000000-0005-0000-0000-000007720000}"/>
    <cellStyle name="Remarque 2 5 3 4 6 2 2" xfId="57140" xr:uid="{00000000-0005-0000-0000-000008720000}"/>
    <cellStyle name="Remarque 2 5 3 4 6 3" xfId="20427" xr:uid="{00000000-0005-0000-0000-000009720000}"/>
    <cellStyle name="Remarque 2 5 3 4 6 4" xfId="44387" xr:uid="{00000000-0005-0000-0000-00000A720000}"/>
    <cellStyle name="Remarque 2 5 3 4 7" xfId="10623" xr:uid="{00000000-0005-0000-0000-00000B720000}"/>
    <cellStyle name="Remarque 2 5 3 4 7 2" xfId="34633" xr:uid="{00000000-0005-0000-0000-00000C720000}"/>
    <cellStyle name="Remarque 2 5 3 4 7 2 2" xfId="58593" xr:uid="{00000000-0005-0000-0000-00000D720000}"/>
    <cellStyle name="Remarque 2 5 3 4 7 3" xfId="21890" xr:uid="{00000000-0005-0000-0000-00000E720000}"/>
    <cellStyle name="Remarque 2 5 3 4 7 4" xfId="45850" xr:uid="{00000000-0005-0000-0000-00000F720000}"/>
    <cellStyle name="Remarque 2 5 3 4 8" xfId="12775" xr:uid="{00000000-0005-0000-0000-000010720000}"/>
    <cellStyle name="Remarque 2 5 3 4 8 2" xfId="24083" xr:uid="{00000000-0005-0000-0000-000011720000}"/>
    <cellStyle name="Remarque 2 5 3 4 8 3" xfId="48043" xr:uid="{00000000-0005-0000-0000-000012720000}"/>
    <cellStyle name="Remarque 2 5 3 4 9" xfId="2095" xr:uid="{00000000-0005-0000-0000-000013720000}"/>
    <cellStyle name="Remarque 2 5 3 4 9 2" xfId="26109" xr:uid="{00000000-0005-0000-0000-000014720000}"/>
    <cellStyle name="Remarque 2 5 3 4 9 3" xfId="50069" xr:uid="{00000000-0005-0000-0000-000015720000}"/>
    <cellStyle name="Remarque 2 5 3 5" xfId="853" xr:uid="{00000000-0005-0000-0000-000016720000}"/>
    <cellStyle name="Remarque 2 5 3 5 10" xfId="24885" xr:uid="{00000000-0005-0000-0000-000017720000}"/>
    <cellStyle name="Remarque 2 5 3 5 10 2" xfId="48845" xr:uid="{00000000-0005-0000-0000-000018720000}"/>
    <cellStyle name="Remarque 2 5 3 5 11" xfId="36148" xr:uid="{00000000-0005-0000-0000-000019720000}"/>
    <cellStyle name="Remarque 2 5 3 5 11 2" xfId="60108" xr:uid="{00000000-0005-0000-0000-00001A720000}"/>
    <cellStyle name="Remarque 2 5 3 5 12" xfId="13550" xr:uid="{00000000-0005-0000-0000-00001B720000}"/>
    <cellStyle name="Remarque 2 5 3 5 13" xfId="37510" xr:uid="{00000000-0005-0000-0000-00001C720000}"/>
    <cellStyle name="Remarque 2 5 3 5 2" xfId="3759" xr:uid="{00000000-0005-0000-0000-00001D720000}"/>
    <cellStyle name="Remarque 2 5 3 5 2 2" xfId="27773" xr:uid="{00000000-0005-0000-0000-00001E720000}"/>
    <cellStyle name="Remarque 2 5 3 5 2 2 2" xfId="51733" xr:uid="{00000000-0005-0000-0000-00001F720000}"/>
    <cellStyle name="Remarque 2 5 3 5 2 3" xfId="15020" xr:uid="{00000000-0005-0000-0000-000020720000}"/>
    <cellStyle name="Remarque 2 5 3 5 2 4" xfId="38980" xr:uid="{00000000-0005-0000-0000-000021720000}"/>
    <cellStyle name="Remarque 2 5 3 5 3" xfId="5193" xr:uid="{00000000-0005-0000-0000-000022720000}"/>
    <cellStyle name="Remarque 2 5 3 5 3 2" xfId="29207" xr:uid="{00000000-0005-0000-0000-000023720000}"/>
    <cellStyle name="Remarque 2 5 3 5 3 2 2" xfId="53167" xr:uid="{00000000-0005-0000-0000-000024720000}"/>
    <cellStyle name="Remarque 2 5 3 5 3 3" xfId="16454" xr:uid="{00000000-0005-0000-0000-000025720000}"/>
    <cellStyle name="Remarque 2 5 3 5 3 4" xfId="40414" xr:uid="{00000000-0005-0000-0000-000026720000}"/>
    <cellStyle name="Remarque 2 5 3 5 4" xfId="6587" xr:uid="{00000000-0005-0000-0000-000027720000}"/>
    <cellStyle name="Remarque 2 5 3 5 4 2" xfId="30601" xr:uid="{00000000-0005-0000-0000-000028720000}"/>
    <cellStyle name="Remarque 2 5 3 5 4 2 2" xfId="54561" xr:uid="{00000000-0005-0000-0000-000029720000}"/>
    <cellStyle name="Remarque 2 5 3 5 4 3" xfId="17848" xr:uid="{00000000-0005-0000-0000-00002A720000}"/>
    <cellStyle name="Remarque 2 5 3 5 4 4" xfId="41808" xr:uid="{00000000-0005-0000-0000-00002B720000}"/>
    <cellStyle name="Remarque 2 5 3 5 5" xfId="7975" xr:uid="{00000000-0005-0000-0000-00002C720000}"/>
    <cellStyle name="Remarque 2 5 3 5 5 2" xfId="31989" xr:uid="{00000000-0005-0000-0000-00002D720000}"/>
    <cellStyle name="Remarque 2 5 3 5 5 2 2" xfId="55949" xr:uid="{00000000-0005-0000-0000-00002E720000}"/>
    <cellStyle name="Remarque 2 5 3 5 5 3" xfId="19236" xr:uid="{00000000-0005-0000-0000-00002F720000}"/>
    <cellStyle name="Remarque 2 5 3 5 5 4" xfId="43196" xr:uid="{00000000-0005-0000-0000-000030720000}"/>
    <cellStyle name="Remarque 2 5 3 5 6" xfId="9360" xr:uid="{00000000-0005-0000-0000-000031720000}"/>
    <cellStyle name="Remarque 2 5 3 5 6 2" xfId="33374" xr:uid="{00000000-0005-0000-0000-000032720000}"/>
    <cellStyle name="Remarque 2 5 3 5 6 2 2" xfId="57334" xr:uid="{00000000-0005-0000-0000-000033720000}"/>
    <cellStyle name="Remarque 2 5 3 5 6 3" xfId="20621" xr:uid="{00000000-0005-0000-0000-000034720000}"/>
    <cellStyle name="Remarque 2 5 3 5 6 4" xfId="44581" xr:uid="{00000000-0005-0000-0000-000035720000}"/>
    <cellStyle name="Remarque 2 5 3 5 7" xfId="10817" xr:uid="{00000000-0005-0000-0000-000036720000}"/>
    <cellStyle name="Remarque 2 5 3 5 7 2" xfId="34827" xr:uid="{00000000-0005-0000-0000-000037720000}"/>
    <cellStyle name="Remarque 2 5 3 5 7 2 2" xfId="58787" xr:uid="{00000000-0005-0000-0000-000038720000}"/>
    <cellStyle name="Remarque 2 5 3 5 7 3" xfId="22084" xr:uid="{00000000-0005-0000-0000-000039720000}"/>
    <cellStyle name="Remarque 2 5 3 5 7 4" xfId="46044" xr:uid="{00000000-0005-0000-0000-00003A720000}"/>
    <cellStyle name="Remarque 2 5 3 5 8" xfId="12619" xr:uid="{00000000-0005-0000-0000-00003B720000}"/>
    <cellStyle name="Remarque 2 5 3 5 8 2" xfId="23922" xr:uid="{00000000-0005-0000-0000-00003C720000}"/>
    <cellStyle name="Remarque 2 5 3 5 8 3" xfId="47882" xr:uid="{00000000-0005-0000-0000-00003D720000}"/>
    <cellStyle name="Remarque 2 5 3 5 9" xfId="2289" xr:uid="{00000000-0005-0000-0000-00003E720000}"/>
    <cellStyle name="Remarque 2 5 3 5 9 2" xfId="26303" xr:uid="{00000000-0005-0000-0000-00003F720000}"/>
    <cellStyle name="Remarque 2 5 3 5 9 3" xfId="50263" xr:uid="{00000000-0005-0000-0000-000040720000}"/>
    <cellStyle name="Remarque 2 5 3 6" xfId="1046" xr:uid="{00000000-0005-0000-0000-000041720000}"/>
    <cellStyle name="Remarque 2 5 3 6 10" xfId="25078" xr:uid="{00000000-0005-0000-0000-000042720000}"/>
    <cellStyle name="Remarque 2 5 3 6 10 2" xfId="49038" xr:uid="{00000000-0005-0000-0000-000043720000}"/>
    <cellStyle name="Remarque 2 5 3 6 11" xfId="36492" xr:uid="{00000000-0005-0000-0000-000044720000}"/>
    <cellStyle name="Remarque 2 5 3 6 11 2" xfId="60452" xr:uid="{00000000-0005-0000-0000-000045720000}"/>
    <cellStyle name="Remarque 2 5 3 6 12" xfId="13743" xr:uid="{00000000-0005-0000-0000-000046720000}"/>
    <cellStyle name="Remarque 2 5 3 6 13" xfId="37703" xr:uid="{00000000-0005-0000-0000-000047720000}"/>
    <cellStyle name="Remarque 2 5 3 6 2" xfId="3952" xr:uid="{00000000-0005-0000-0000-000048720000}"/>
    <cellStyle name="Remarque 2 5 3 6 2 2" xfId="27966" xr:uid="{00000000-0005-0000-0000-000049720000}"/>
    <cellStyle name="Remarque 2 5 3 6 2 2 2" xfId="51926" xr:uid="{00000000-0005-0000-0000-00004A720000}"/>
    <cellStyle name="Remarque 2 5 3 6 2 3" xfId="15213" xr:uid="{00000000-0005-0000-0000-00004B720000}"/>
    <cellStyle name="Remarque 2 5 3 6 2 4" xfId="39173" xr:uid="{00000000-0005-0000-0000-00004C720000}"/>
    <cellStyle name="Remarque 2 5 3 6 3" xfId="5386" xr:uid="{00000000-0005-0000-0000-00004D720000}"/>
    <cellStyle name="Remarque 2 5 3 6 3 2" xfId="29400" xr:uid="{00000000-0005-0000-0000-00004E720000}"/>
    <cellStyle name="Remarque 2 5 3 6 3 2 2" xfId="53360" xr:uid="{00000000-0005-0000-0000-00004F720000}"/>
    <cellStyle name="Remarque 2 5 3 6 3 3" xfId="16647" xr:uid="{00000000-0005-0000-0000-000050720000}"/>
    <cellStyle name="Remarque 2 5 3 6 3 4" xfId="40607" xr:uid="{00000000-0005-0000-0000-000051720000}"/>
    <cellStyle name="Remarque 2 5 3 6 4" xfId="6780" xr:uid="{00000000-0005-0000-0000-000052720000}"/>
    <cellStyle name="Remarque 2 5 3 6 4 2" xfId="30794" xr:uid="{00000000-0005-0000-0000-000053720000}"/>
    <cellStyle name="Remarque 2 5 3 6 4 2 2" xfId="54754" xr:uid="{00000000-0005-0000-0000-000054720000}"/>
    <cellStyle name="Remarque 2 5 3 6 4 3" xfId="18041" xr:uid="{00000000-0005-0000-0000-000055720000}"/>
    <cellStyle name="Remarque 2 5 3 6 4 4" xfId="42001" xr:uid="{00000000-0005-0000-0000-000056720000}"/>
    <cellStyle name="Remarque 2 5 3 6 5" xfId="8168" xr:uid="{00000000-0005-0000-0000-000057720000}"/>
    <cellStyle name="Remarque 2 5 3 6 5 2" xfId="32182" xr:uid="{00000000-0005-0000-0000-000058720000}"/>
    <cellStyle name="Remarque 2 5 3 6 5 2 2" xfId="56142" xr:uid="{00000000-0005-0000-0000-000059720000}"/>
    <cellStyle name="Remarque 2 5 3 6 5 3" xfId="19429" xr:uid="{00000000-0005-0000-0000-00005A720000}"/>
    <cellStyle name="Remarque 2 5 3 6 5 4" xfId="43389" xr:uid="{00000000-0005-0000-0000-00005B720000}"/>
    <cellStyle name="Remarque 2 5 3 6 6" xfId="9553" xr:uid="{00000000-0005-0000-0000-00005C720000}"/>
    <cellStyle name="Remarque 2 5 3 6 6 2" xfId="33567" xr:uid="{00000000-0005-0000-0000-00005D720000}"/>
    <cellStyle name="Remarque 2 5 3 6 6 2 2" xfId="57527" xr:uid="{00000000-0005-0000-0000-00005E720000}"/>
    <cellStyle name="Remarque 2 5 3 6 6 3" xfId="20814" xr:uid="{00000000-0005-0000-0000-00005F720000}"/>
    <cellStyle name="Remarque 2 5 3 6 6 4" xfId="44774" xr:uid="{00000000-0005-0000-0000-000060720000}"/>
    <cellStyle name="Remarque 2 5 3 6 7" xfId="11010" xr:uid="{00000000-0005-0000-0000-000061720000}"/>
    <cellStyle name="Remarque 2 5 3 6 7 2" xfId="35020" xr:uid="{00000000-0005-0000-0000-000062720000}"/>
    <cellStyle name="Remarque 2 5 3 6 7 2 2" xfId="58980" xr:uid="{00000000-0005-0000-0000-000063720000}"/>
    <cellStyle name="Remarque 2 5 3 6 7 3" xfId="22277" xr:uid="{00000000-0005-0000-0000-000064720000}"/>
    <cellStyle name="Remarque 2 5 3 6 7 4" xfId="46237" xr:uid="{00000000-0005-0000-0000-000065720000}"/>
    <cellStyle name="Remarque 2 5 3 6 8" xfId="11979" xr:uid="{00000000-0005-0000-0000-000066720000}"/>
    <cellStyle name="Remarque 2 5 3 6 8 2" xfId="23257" xr:uid="{00000000-0005-0000-0000-000067720000}"/>
    <cellStyle name="Remarque 2 5 3 6 8 3" xfId="47217" xr:uid="{00000000-0005-0000-0000-000068720000}"/>
    <cellStyle name="Remarque 2 5 3 6 9" xfId="2482" xr:uid="{00000000-0005-0000-0000-000069720000}"/>
    <cellStyle name="Remarque 2 5 3 6 9 2" xfId="26496" xr:uid="{00000000-0005-0000-0000-00006A720000}"/>
    <cellStyle name="Remarque 2 5 3 6 9 3" xfId="50456" xr:uid="{00000000-0005-0000-0000-00006B720000}"/>
    <cellStyle name="Remarque 2 5 3 7" xfId="1382" xr:uid="{00000000-0005-0000-0000-00006C720000}"/>
    <cellStyle name="Remarque 2 5 3 7 10" xfId="25414" xr:uid="{00000000-0005-0000-0000-00006D720000}"/>
    <cellStyle name="Remarque 2 5 3 7 10 2" xfId="49374" xr:uid="{00000000-0005-0000-0000-00006E720000}"/>
    <cellStyle name="Remarque 2 5 3 7 11" xfId="24275" xr:uid="{00000000-0005-0000-0000-00006F720000}"/>
    <cellStyle name="Remarque 2 5 3 7 11 2" xfId="48235" xr:uid="{00000000-0005-0000-0000-000070720000}"/>
    <cellStyle name="Remarque 2 5 3 7 12" xfId="14079" xr:uid="{00000000-0005-0000-0000-000071720000}"/>
    <cellStyle name="Remarque 2 5 3 7 13" xfId="38039" xr:uid="{00000000-0005-0000-0000-000072720000}"/>
    <cellStyle name="Remarque 2 5 3 7 2" xfId="4288" xr:uid="{00000000-0005-0000-0000-000073720000}"/>
    <cellStyle name="Remarque 2 5 3 7 2 2" xfId="28302" xr:uid="{00000000-0005-0000-0000-000074720000}"/>
    <cellStyle name="Remarque 2 5 3 7 2 2 2" xfId="52262" xr:uid="{00000000-0005-0000-0000-000075720000}"/>
    <cellStyle name="Remarque 2 5 3 7 2 3" xfId="15549" xr:uid="{00000000-0005-0000-0000-000076720000}"/>
    <cellStyle name="Remarque 2 5 3 7 2 4" xfId="39509" xr:uid="{00000000-0005-0000-0000-000077720000}"/>
    <cellStyle name="Remarque 2 5 3 7 3" xfId="5722" xr:uid="{00000000-0005-0000-0000-000078720000}"/>
    <cellStyle name="Remarque 2 5 3 7 3 2" xfId="29736" xr:uid="{00000000-0005-0000-0000-000079720000}"/>
    <cellStyle name="Remarque 2 5 3 7 3 2 2" xfId="53696" xr:uid="{00000000-0005-0000-0000-00007A720000}"/>
    <cellStyle name="Remarque 2 5 3 7 3 3" xfId="16983" xr:uid="{00000000-0005-0000-0000-00007B720000}"/>
    <cellStyle name="Remarque 2 5 3 7 3 4" xfId="40943" xr:uid="{00000000-0005-0000-0000-00007C720000}"/>
    <cellStyle name="Remarque 2 5 3 7 4" xfId="7116" xr:uid="{00000000-0005-0000-0000-00007D720000}"/>
    <cellStyle name="Remarque 2 5 3 7 4 2" xfId="31130" xr:uid="{00000000-0005-0000-0000-00007E720000}"/>
    <cellStyle name="Remarque 2 5 3 7 4 2 2" xfId="55090" xr:uid="{00000000-0005-0000-0000-00007F720000}"/>
    <cellStyle name="Remarque 2 5 3 7 4 3" xfId="18377" xr:uid="{00000000-0005-0000-0000-000080720000}"/>
    <cellStyle name="Remarque 2 5 3 7 4 4" xfId="42337" xr:uid="{00000000-0005-0000-0000-000081720000}"/>
    <cellStyle name="Remarque 2 5 3 7 5" xfId="8504" xr:uid="{00000000-0005-0000-0000-000082720000}"/>
    <cellStyle name="Remarque 2 5 3 7 5 2" xfId="32518" xr:uid="{00000000-0005-0000-0000-000083720000}"/>
    <cellStyle name="Remarque 2 5 3 7 5 2 2" xfId="56478" xr:uid="{00000000-0005-0000-0000-000084720000}"/>
    <cellStyle name="Remarque 2 5 3 7 5 3" xfId="19765" xr:uid="{00000000-0005-0000-0000-000085720000}"/>
    <cellStyle name="Remarque 2 5 3 7 5 4" xfId="43725" xr:uid="{00000000-0005-0000-0000-000086720000}"/>
    <cellStyle name="Remarque 2 5 3 7 6" xfId="9889" xr:uid="{00000000-0005-0000-0000-000087720000}"/>
    <cellStyle name="Remarque 2 5 3 7 6 2" xfId="33903" xr:uid="{00000000-0005-0000-0000-000088720000}"/>
    <cellStyle name="Remarque 2 5 3 7 6 2 2" xfId="57863" xr:uid="{00000000-0005-0000-0000-000089720000}"/>
    <cellStyle name="Remarque 2 5 3 7 6 3" xfId="21150" xr:uid="{00000000-0005-0000-0000-00008A720000}"/>
    <cellStyle name="Remarque 2 5 3 7 6 4" xfId="45110" xr:uid="{00000000-0005-0000-0000-00008B720000}"/>
    <cellStyle name="Remarque 2 5 3 7 7" xfId="11346" xr:uid="{00000000-0005-0000-0000-00008C720000}"/>
    <cellStyle name="Remarque 2 5 3 7 7 2" xfId="35356" xr:uid="{00000000-0005-0000-0000-00008D720000}"/>
    <cellStyle name="Remarque 2 5 3 7 7 2 2" xfId="59316" xr:uid="{00000000-0005-0000-0000-00008E720000}"/>
    <cellStyle name="Remarque 2 5 3 7 7 3" xfId="22613" xr:uid="{00000000-0005-0000-0000-00008F720000}"/>
    <cellStyle name="Remarque 2 5 3 7 7 4" xfId="46573" xr:uid="{00000000-0005-0000-0000-000090720000}"/>
    <cellStyle name="Remarque 2 5 3 7 8" xfId="11868" xr:uid="{00000000-0005-0000-0000-000091720000}"/>
    <cellStyle name="Remarque 2 5 3 7 8 2" xfId="23144" xr:uid="{00000000-0005-0000-0000-000092720000}"/>
    <cellStyle name="Remarque 2 5 3 7 8 3" xfId="47104" xr:uid="{00000000-0005-0000-0000-000093720000}"/>
    <cellStyle name="Remarque 2 5 3 7 9" xfId="2818" xr:uid="{00000000-0005-0000-0000-000094720000}"/>
    <cellStyle name="Remarque 2 5 3 7 9 2" xfId="26832" xr:uid="{00000000-0005-0000-0000-000095720000}"/>
    <cellStyle name="Remarque 2 5 3 7 9 3" xfId="50792" xr:uid="{00000000-0005-0000-0000-000096720000}"/>
    <cellStyle name="Remarque 2 5 3 8" xfId="3138" xr:uid="{00000000-0005-0000-0000-000097720000}"/>
    <cellStyle name="Remarque 2 5 3 8 2" xfId="27152" xr:uid="{00000000-0005-0000-0000-000098720000}"/>
    <cellStyle name="Remarque 2 5 3 8 2 2" xfId="51112" xr:uid="{00000000-0005-0000-0000-000099720000}"/>
    <cellStyle name="Remarque 2 5 3 8 3" xfId="14399" xr:uid="{00000000-0005-0000-0000-00009A720000}"/>
    <cellStyle name="Remarque 2 5 3 8 4" xfId="38359" xr:uid="{00000000-0005-0000-0000-00009B720000}"/>
    <cellStyle name="Remarque 2 5 3 9" xfId="1668" xr:uid="{00000000-0005-0000-0000-00009C720000}"/>
    <cellStyle name="Remarque 2 5 3 9 2" xfId="25682" xr:uid="{00000000-0005-0000-0000-00009D720000}"/>
    <cellStyle name="Remarque 2 5 3 9 3" xfId="49642" xr:uid="{00000000-0005-0000-0000-00009E720000}"/>
    <cellStyle name="Remarque 2 5 4" xfId="128" xr:uid="{00000000-0005-0000-0000-00009F720000}"/>
    <cellStyle name="Remarque 2 5 4 10" xfId="6124" xr:uid="{00000000-0005-0000-0000-0000A0720000}"/>
    <cellStyle name="Remarque 2 5 4 10 2" xfId="30138" xr:uid="{00000000-0005-0000-0000-0000A1720000}"/>
    <cellStyle name="Remarque 2 5 4 10 2 2" xfId="54098" xr:uid="{00000000-0005-0000-0000-0000A2720000}"/>
    <cellStyle name="Remarque 2 5 4 10 3" xfId="17385" xr:uid="{00000000-0005-0000-0000-0000A3720000}"/>
    <cellStyle name="Remarque 2 5 4 10 4" xfId="41345" xr:uid="{00000000-0005-0000-0000-0000A4720000}"/>
    <cellStyle name="Remarque 2 5 4 11" xfId="7512" xr:uid="{00000000-0005-0000-0000-0000A5720000}"/>
    <cellStyle name="Remarque 2 5 4 11 2" xfId="31526" xr:uid="{00000000-0005-0000-0000-0000A6720000}"/>
    <cellStyle name="Remarque 2 5 4 11 2 2" xfId="55486" xr:uid="{00000000-0005-0000-0000-0000A7720000}"/>
    <cellStyle name="Remarque 2 5 4 11 3" xfId="18773" xr:uid="{00000000-0005-0000-0000-0000A8720000}"/>
    <cellStyle name="Remarque 2 5 4 11 4" xfId="42733" xr:uid="{00000000-0005-0000-0000-0000A9720000}"/>
    <cellStyle name="Remarque 2 5 4 12" xfId="8897" xr:uid="{00000000-0005-0000-0000-0000AA720000}"/>
    <cellStyle name="Remarque 2 5 4 12 2" xfId="32911" xr:uid="{00000000-0005-0000-0000-0000AB720000}"/>
    <cellStyle name="Remarque 2 5 4 12 2 2" xfId="56871" xr:uid="{00000000-0005-0000-0000-0000AC720000}"/>
    <cellStyle name="Remarque 2 5 4 12 3" xfId="20158" xr:uid="{00000000-0005-0000-0000-0000AD720000}"/>
    <cellStyle name="Remarque 2 5 4 12 4" xfId="44118" xr:uid="{00000000-0005-0000-0000-0000AE720000}"/>
    <cellStyle name="Remarque 2 5 4 13" xfId="10354" xr:uid="{00000000-0005-0000-0000-0000AF720000}"/>
    <cellStyle name="Remarque 2 5 4 13 2" xfId="34364" xr:uid="{00000000-0005-0000-0000-0000B0720000}"/>
    <cellStyle name="Remarque 2 5 4 13 2 2" xfId="58324" xr:uid="{00000000-0005-0000-0000-0000B1720000}"/>
    <cellStyle name="Remarque 2 5 4 13 3" xfId="21621" xr:uid="{00000000-0005-0000-0000-0000B2720000}"/>
    <cellStyle name="Remarque 2 5 4 13 4" xfId="45581" xr:uid="{00000000-0005-0000-0000-0000B3720000}"/>
    <cellStyle name="Remarque 2 5 4 14" xfId="11957" xr:uid="{00000000-0005-0000-0000-0000B4720000}"/>
    <cellStyle name="Remarque 2 5 4 14 2" xfId="23235" xr:uid="{00000000-0005-0000-0000-0000B5720000}"/>
    <cellStyle name="Remarque 2 5 4 14 3" xfId="47195" xr:uid="{00000000-0005-0000-0000-0000B6720000}"/>
    <cellStyle name="Remarque 2 5 4 15" xfId="1826" xr:uid="{00000000-0005-0000-0000-0000B7720000}"/>
    <cellStyle name="Remarque 2 5 4 15 2" xfId="25840" xr:uid="{00000000-0005-0000-0000-0000B8720000}"/>
    <cellStyle name="Remarque 2 5 4 15 3" xfId="49800" xr:uid="{00000000-0005-0000-0000-0000B9720000}"/>
    <cellStyle name="Remarque 2 5 4 16" xfId="24422" xr:uid="{00000000-0005-0000-0000-0000BA720000}"/>
    <cellStyle name="Remarque 2 5 4 16 2" xfId="48382" xr:uid="{00000000-0005-0000-0000-0000BB720000}"/>
    <cellStyle name="Remarque 2 5 4 17" xfId="36072" xr:uid="{00000000-0005-0000-0000-0000BC720000}"/>
    <cellStyle name="Remarque 2 5 4 17 2" xfId="60032" xr:uid="{00000000-0005-0000-0000-0000BD720000}"/>
    <cellStyle name="Remarque 2 5 4 18" xfId="13087" xr:uid="{00000000-0005-0000-0000-0000BE720000}"/>
    <cellStyle name="Remarque 2 5 4 19" xfId="37047" xr:uid="{00000000-0005-0000-0000-0000BF720000}"/>
    <cellStyle name="Remarque 2 5 4 2" xfId="526" xr:uid="{00000000-0005-0000-0000-0000C0720000}"/>
    <cellStyle name="Remarque 2 5 4 2 10" xfId="24558" xr:uid="{00000000-0005-0000-0000-0000C1720000}"/>
    <cellStyle name="Remarque 2 5 4 2 10 2" xfId="48518" xr:uid="{00000000-0005-0000-0000-0000C2720000}"/>
    <cellStyle name="Remarque 2 5 4 2 11" xfId="36810" xr:uid="{00000000-0005-0000-0000-0000C3720000}"/>
    <cellStyle name="Remarque 2 5 4 2 11 2" xfId="60770" xr:uid="{00000000-0005-0000-0000-0000C4720000}"/>
    <cellStyle name="Remarque 2 5 4 2 12" xfId="13223" xr:uid="{00000000-0005-0000-0000-0000C5720000}"/>
    <cellStyle name="Remarque 2 5 4 2 13" xfId="37183" xr:uid="{00000000-0005-0000-0000-0000C6720000}"/>
    <cellStyle name="Remarque 2 5 4 2 2" xfId="3432" xr:uid="{00000000-0005-0000-0000-0000C7720000}"/>
    <cellStyle name="Remarque 2 5 4 2 2 2" xfId="27446" xr:uid="{00000000-0005-0000-0000-0000C8720000}"/>
    <cellStyle name="Remarque 2 5 4 2 2 2 2" xfId="51406" xr:uid="{00000000-0005-0000-0000-0000C9720000}"/>
    <cellStyle name="Remarque 2 5 4 2 2 3" xfId="14693" xr:uid="{00000000-0005-0000-0000-0000CA720000}"/>
    <cellStyle name="Remarque 2 5 4 2 2 4" xfId="38653" xr:uid="{00000000-0005-0000-0000-0000CB720000}"/>
    <cellStyle name="Remarque 2 5 4 2 3" xfId="4866" xr:uid="{00000000-0005-0000-0000-0000CC720000}"/>
    <cellStyle name="Remarque 2 5 4 2 3 2" xfId="28880" xr:uid="{00000000-0005-0000-0000-0000CD720000}"/>
    <cellStyle name="Remarque 2 5 4 2 3 2 2" xfId="52840" xr:uid="{00000000-0005-0000-0000-0000CE720000}"/>
    <cellStyle name="Remarque 2 5 4 2 3 3" xfId="16127" xr:uid="{00000000-0005-0000-0000-0000CF720000}"/>
    <cellStyle name="Remarque 2 5 4 2 3 4" xfId="40087" xr:uid="{00000000-0005-0000-0000-0000D0720000}"/>
    <cellStyle name="Remarque 2 5 4 2 4" xfId="6260" xr:uid="{00000000-0005-0000-0000-0000D1720000}"/>
    <cellStyle name="Remarque 2 5 4 2 4 2" xfId="30274" xr:uid="{00000000-0005-0000-0000-0000D2720000}"/>
    <cellStyle name="Remarque 2 5 4 2 4 2 2" xfId="54234" xr:uid="{00000000-0005-0000-0000-0000D3720000}"/>
    <cellStyle name="Remarque 2 5 4 2 4 3" xfId="17521" xr:uid="{00000000-0005-0000-0000-0000D4720000}"/>
    <cellStyle name="Remarque 2 5 4 2 4 4" xfId="41481" xr:uid="{00000000-0005-0000-0000-0000D5720000}"/>
    <cellStyle name="Remarque 2 5 4 2 5" xfId="7648" xr:uid="{00000000-0005-0000-0000-0000D6720000}"/>
    <cellStyle name="Remarque 2 5 4 2 5 2" xfId="31662" xr:uid="{00000000-0005-0000-0000-0000D7720000}"/>
    <cellStyle name="Remarque 2 5 4 2 5 2 2" xfId="55622" xr:uid="{00000000-0005-0000-0000-0000D8720000}"/>
    <cellStyle name="Remarque 2 5 4 2 5 3" xfId="18909" xr:uid="{00000000-0005-0000-0000-0000D9720000}"/>
    <cellStyle name="Remarque 2 5 4 2 5 4" xfId="42869" xr:uid="{00000000-0005-0000-0000-0000DA720000}"/>
    <cellStyle name="Remarque 2 5 4 2 6" xfId="9033" xr:uid="{00000000-0005-0000-0000-0000DB720000}"/>
    <cellStyle name="Remarque 2 5 4 2 6 2" xfId="33047" xr:uid="{00000000-0005-0000-0000-0000DC720000}"/>
    <cellStyle name="Remarque 2 5 4 2 6 2 2" xfId="57007" xr:uid="{00000000-0005-0000-0000-0000DD720000}"/>
    <cellStyle name="Remarque 2 5 4 2 6 3" xfId="20294" xr:uid="{00000000-0005-0000-0000-0000DE720000}"/>
    <cellStyle name="Remarque 2 5 4 2 6 4" xfId="44254" xr:uid="{00000000-0005-0000-0000-0000DF720000}"/>
    <cellStyle name="Remarque 2 5 4 2 7" xfId="10490" xr:uid="{00000000-0005-0000-0000-0000E0720000}"/>
    <cellStyle name="Remarque 2 5 4 2 7 2" xfId="34500" xr:uid="{00000000-0005-0000-0000-0000E1720000}"/>
    <cellStyle name="Remarque 2 5 4 2 7 2 2" xfId="58460" xr:uid="{00000000-0005-0000-0000-0000E2720000}"/>
    <cellStyle name="Remarque 2 5 4 2 7 3" xfId="21757" xr:uid="{00000000-0005-0000-0000-0000E3720000}"/>
    <cellStyle name="Remarque 2 5 4 2 7 4" xfId="45717" xr:uid="{00000000-0005-0000-0000-0000E4720000}"/>
    <cellStyle name="Remarque 2 5 4 2 8" xfId="12512" xr:uid="{00000000-0005-0000-0000-0000E5720000}"/>
    <cellStyle name="Remarque 2 5 4 2 8 2" xfId="23809" xr:uid="{00000000-0005-0000-0000-0000E6720000}"/>
    <cellStyle name="Remarque 2 5 4 2 8 3" xfId="47769" xr:uid="{00000000-0005-0000-0000-0000E7720000}"/>
    <cellStyle name="Remarque 2 5 4 2 9" xfId="1962" xr:uid="{00000000-0005-0000-0000-0000E8720000}"/>
    <cellStyle name="Remarque 2 5 4 2 9 2" xfId="25976" xr:uid="{00000000-0005-0000-0000-0000E9720000}"/>
    <cellStyle name="Remarque 2 5 4 2 9 3" xfId="49936" xr:uid="{00000000-0005-0000-0000-0000EA720000}"/>
    <cellStyle name="Remarque 2 5 4 20" xfId="390" xr:uid="{00000000-0005-0000-0000-0000EB720000}"/>
    <cellStyle name="Remarque 2 5 4 3" xfId="718" xr:uid="{00000000-0005-0000-0000-0000EC720000}"/>
    <cellStyle name="Remarque 2 5 4 3 10" xfId="24750" xr:uid="{00000000-0005-0000-0000-0000ED720000}"/>
    <cellStyle name="Remarque 2 5 4 3 10 2" xfId="48710" xr:uid="{00000000-0005-0000-0000-0000EE720000}"/>
    <cellStyle name="Remarque 2 5 4 3 11" xfId="36737" xr:uid="{00000000-0005-0000-0000-0000EF720000}"/>
    <cellStyle name="Remarque 2 5 4 3 11 2" xfId="60697" xr:uid="{00000000-0005-0000-0000-0000F0720000}"/>
    <cellStyle name="Remarque 2 5 4 3 12" xfId="13415" xr:uid="{00000000-0005-0000-0000-0000F1720000}"/>
    <cellStyle name="Remarque 2 5 4 3 13" xfId="37375" xr:uid="{00000000-0005-0000-0000-0000F2720000}"/>
    <cellStyle name="Remarque 2 5 4 3 2" xfId="3624" xr:uid="{00000000-0005-0000-0000-0000F3720000}"/>
    <cellStyle name="Remarque 2 5 4 3 2 2" xfId="27638" xr:uid="{00000000-0005-0000-0000-0000F4720000}"/>
    <cellStyle name="Remarque 2 5 4 3 2 2 2" xfId="51598" xr:uid="{00000000-0005-0000-0000-0000F5720000}"/>
    <cellStyle name="Remarque 2 5 4 3 2 3" xfId="14885" xr:uid="{00000000-0005-0000-0000-0000F6720000}"/>
    <cellStyle name="Remarque 2 5 4 3 2 4" xfId="38845" xr:uid="{00000000-0005-0000-0000-0000F7720000}"/>
    <cellStyle name="Remarque 2 5 4 3 3" xfId="5058" xr:uid="{00000000-0005-0000-0000-0000F8720000}"/>
    <cellStyle name="Remarque 2 5 4 3 3 2" xfId="29072" xr:uid="{00000000-0005-0000-0000-0000F9720000}"/>
    <cellStyle name="Remarque 2 5 4 3 3 2 2" xfId="53032" xr:uid="{00000000-0005-0000-0000-0000FA720000}"/>
    <cellStyle name="Remarque 2 5 4 3 3 3" xfId="16319" xr:uid="{00000000-0005-0000-0000-0000FB720000}"/>
    <cellStyle name="Remarque 2 5 4 3 3 4" xfId="40279" xr:uid="{00000000-0005-0000-0000-0000FC720000}"/>
    <cellStyle name="Remarque 2 5 4 3 4" xfId="6452" xr:uid="{00000000-0005-0000-0000-0000FD720000}"/>
    <cellStyle name="Remarque 2 5 4 3 4 2" xfId="30466" xr:uid="{00000000-0005-0000-0000-0000FE720000}"/>
    <cellStyle name="Remarque 2 5 4 3 4 2 2" xfId="54426" xr:uid="{00000000-0005-0000-0000-0000FF720000}"/>
    <cellStyle name="Remarque 2 5 4 3 4 3" xfId="17713" xr:uid="{00000000-0005-0000-0000-000000730000}"/>
    <cellStyle name="Remarque 2 5 4 3 4 4" xfId="41673" xr:uid="{00000000-0005-0000-0000-000001730000}"/>
    <cellStyle name="Remarque 2 5 4 3 5" xfId="7840" xr:uid="{00000000-0005-0000-0000-000002730000}"/>
    <cellStyle name="Remarque 2 5 4 3 5 2" xfId="31854" xr:uid="{00000000-0005-0000-0000-000003730000}"/>
    <cellStyle name="Remarque 2 5 4 3 5 2 2" xfId="55814" xr:uid="{00000000-0005-0000-0000-000004730000}"/>
    <cellStyle name="Remarque 2 5 4 3 5 3" xfId="19101" xr:uid="{00000000-0005-0000-0000-000005730000}"/>
    <cellStyle name="Remarque 2 5 4 3 5 4" xfId="43061" xr:uid="{00000000-0005-0000-0000-000006730000}"/>
    <cellStyle name="Remarque 2 5 4 3 6" xfId="9225" xr:uid="{00000000-0005-0000-0000-000007730000}"/>
    <cellStyle name="Remarque 2 5 4 3 6 2" xfId="33239" xr:uid="{00000000-0005-0000-0000-000008730000}"/>
    <cellStyle name="Remarque 2 5 4 3 6 2 2" xfId="57199" xr:uid="{00000000-0005-0000-0000-000009730000}"/>
    <cellStyle name="Remarque 2 5 4 3 6 3" xfId="20486" xr:uid="{00000000-0005-0000-0000-00000A730000}"/>
    <cellStyle name="Remarque 2 5 4 3 6 4" xfId="44446" xr:uid="{00000000-0005-0000-0000-00000B730000}"/>
    <cellStyle name="Remarque 2 5 4 3 7" xfId="10682" xr:uid="{00000000-0005-0000-0000-00000C730000}"/>
    <cellStyle name="Remarque 2 5 4 3 7 2" xfId="34692" xr:uid="{00000000-0005-0000-0000-00000D730000}"/>
    <cellStyle name="Remarque 2 5 4 3 7 2 2" xfId="58652" xr:uid="{00000000-0005-0000-0000-00000E730000}"/>
    <cellStyle name="Remarque 2 5 4 3 7 3" xfId="21949" xr:uid="{00000000-0005-0000-0000-00000F730000}"/>
    <cellStyle name="Remarque 2 5 4 3 7 4" xfId="45909" xr:uid="{00000000-0005-0000-0000-000010730000}"/>
    <cellStyle name="Remarque 2 5 4 3 8" xfId="11820" xr:uid="{00000000-0005-0000-0000-000011730000}"/>
    <cellStyle name="Remarque 2 5 4 3 8 2" xfId="23094" xr:uid="{00000000-0005-0000-0000-000012730000}"/>
    <cellStyle name="Remarque 2 5 4 3 8 3" xfId="47054" xr:uid="{00000000-0005-0000-0000-000013730000}"/>
    <cellStyle name="Remarque 2 5 4 3 9" xfId="2154" xr:uid="{00000000-0005-0000-0000-000014730000}"/>
    <cellStyle name="Remarque 2 5 4 3 9 2" xfId="26168" xr:uid="{00000000-0005-0000-0000-000015730000}"/>
    <cellStyle name="Remarque 2 5 4 3 9 3" xfId="50128" xr:uid="{00000000-0005-0000-0000-000016730000}"/>
    <cellStyle name="Remarque 2 5 4 4" xfId="912" xr:uid="{00000000-0005-0000-0000-000017730000}"/>
    <cellStyle name="Remarque 2 5 4 4 10" xfId="24944" xr:uid="{00000000-0005-0000-0000-000018730000}"/>
    <cellStyle name="Remarque 2 5 4 4 10 2" xfId="48904" xr:uid="{00000000-0005-0000-0000-000019730000}"/>
    <cellStyle name="Remarque 2 5 4 4 11" xfId="36202" xr:uid="{00000000-0005-0000-0000-00001A730000}"/>
    <cellStyle name="Remarque 2 5 4 4 11 2" xfId="60162" xr:uid="{00000000-0005-0000-0000-00001B730000}"/>
    <cellStyle name="Remarque 2 5 4 4 12" xfId="13609" xr:uid="{00000000-0005-0000-0000-00001C730000}"/>
    <cellStyle name="Remarque 2 5 4 4 13" xfId="37569" xr:uid="{00000000-0005-0000-0000-00001D730000}"/>
    <cellStyle name="Remarque 2 5 4 4 2" xfId="3818" xr:uid="{00000000-0005-0000-0000-00001E730000}"/>
    <cellStyle name="Remarque 2 5 4 4 2 2" xfId="27832" xr:uid="{00000000-0005-0000-0000-00001F730000}"/>
    <cellStyle name="Remarque 2 5 4 4 2 2 2" xfId="51792" xr:uid="{00000000-0005-0000-0000-000020730000}"/>
    <cellStyle name="Remarque 2 5 4 4 2 3" xfId="15079" xr:uid="{00000000-0005-0000-0000-000021730000}"/>
    <cellStyle name="Remarque 2 5 4 4 2 4" xfId="39039" xr:uid="{00000000-0005-0000-0000-000022730000}"/>
    <cellStyle name="Remarque 2 5 4 4 3" xfId="5252" xr:uid="{00000000-0005-0000-0000-000023730000}"/>
    <cellStyle name="Remarque 2 5 4 4 3 2" xfId="29266" xr:uid="{00000000-0005-0000-0000-000024730000}"/>
    <cellStyle name="Remarque 2 5 4 4 3 2 2" xfId="53226" xr:uid="{00000000-0005-0000-0000-000025730000}"/>
    <cellStyle name="Remarque 2 5 4 4 3 3" xfId="16513" xr:uid="{00000000-0005-0000-0000-000026730000}"/>
    <cellStyle name="Remarque 2 5 4 4 3 4" xfId="40473" xr:uid="{00000000-0005-0000-0000-000027730000}"/>
    <cellStyle name="Remarque 2 5 4 4 4" xfId="6646" xr:uid="{00000000-0005-0000-0000-000028730000}"/>
    <cellStyle name="Remarque 2 5 4 4 4 2" xfId="30660" xr:uid="{00000000-0005-0000-0000-000029730000}"/>
    <cellStyle name="Remarque 2 5 4 4 4 2 2" xfId="54620" xr:uid="{00000000-0005-0000-0000-00002A730000}"/>
    <cellStyle name="Remarque 2 5 4 4 4 3" xfId="17907" xr:uid="{00000000-0005-0000-0000-00002B730000}"/>
    <cellStyle name="Remarque 2 5 4 4 4 4" xfId="41867" xr:uid="{00000000-0005-0000-0000-00002C730000}"/>
    <cellStyle name="Remarque 2 5 4 4 5" xfId="8034" xr:uid="{00000000-0005-0000-0000-00002D730000}"/>
    <cellStyle name="Remarque 2 5 4 4 5 2" xfId="32048" xr:uid="{00000000-0005-0000-0000-00002E730000}"/>
    <cellStyle name="Remarque 2 5 4 4 5 2 2" xfId="56008" xr:uid="{00000000-0005-0000-0000-00002F730000}"/>
    <cellStyle name="Remarque 2 5 4 4 5 3" xfId="19295" xr:uid="{00000000-0005-0000-0000-000030730000}"/>
    <cellStyle name="Remarque 2 5 4 4 5 4" xfId="43255" xr:uid="{00000000-0005-0000-0000-000031730000}"/>
    <cellStyle name="Remarque 2 5 4 4 6" xfId="9419" xr:uid="{00000000-0005-0000-0000-000032730000}"/>
    <cellStyle name="Remarque 2 5 4 4 6 2" xfId="33433" xr:uid="{00000000-0005-0000-0000-000033730000}"/>
    <cellStyle name="Remarque 2 5 4 4 6 2 2" xfId="57393" xr:uid="{00000000-0005-0000-0000-000034730000}"/>
    <cellStyle name="Remarque 2 5 4 4 6 3" xfId="20680" xr:uid="{00000000-0005-0000-0000-000035730000}"/>
    <cellStyle name="Remarque 2 5 4 4 6 4" xfId="44640" xr:uid="{00000000-0005-0000-0000-000036730000}"/>
    <cellStyle name="Remarque 2 5 4 4 7" xfId="10876" xr:uid="{00000000-0005-0000-0000-000037730000}"/>
    <cellStyle name="Remarque 2 5 4 4 7 2" xfId="34886" xr:uid="{00000000-0005-0000-0000-000038730000}"/>
    <cellStyle name="Remarque 2 5 4 4 7 2 2" xfId="58846" xr:uid="{00000000-0005-0000-0000-000039730000}"/>
    <cellStyle name="Remarque 2 5 4 4 7 3" xfId="22143" xr:uid="{00000000-0005-0000-0000-00003A730000}"/>
    <cellStyle name="Remarque 2 5 4 4 7 4" xfId="46103" xr:uid="{00000000-0005-0000-0000-00003B730000}"/>
    <cellStyle name="Remarque 2 5 4 4 8" xfId="12076" xr:uid="{00000000-0005-0000-0000-00003C730000}"/>
    <cellStyle name="Remarque 2 5 4 4 8 2" xfId="23359" xr:uid="{00000000-0005-0000-0000-00003D730000}"/>
    <cellStyle name="Remarque 2 5 4 4 8 3" xfId="47319" xr:uid="{00000000-0005-0000-0000-00003E730000}"/>
    <cellStyle name="Remarque 2 5 4 4 9" xfId="2348" xr:uid="{00000000-0005-0000-0000-00003F730000}"/>
    <cellStyle name="Remarque 2 5 4 4 9 2" xfId="26362" xr:uid="{00000000-0005-0000-0000-000040730000}"/>
    <cellStyle name="Remarque 2 5 4 4 9 3" xfId="50322" xr:uid="{00000000-0005-0000-0000-000041730000}"/>
    <cellStyle name="Remarque 2 5 4 5" xfId="1105" xr:uid="{00000000-0005-0000-0000-000042730000}"/>
    <cellStyle name="Remarque 2 5 4 5 10" xfId="25137" xr:uid="{00000000-0005-0000-0000-000043730000}"/>
    <cellStyle name="Remarque 2 5 4 5 10 2" xfId="49097" xr:uid="{00000000-0005-0000-0000-000044730000}"/>
    <cellStyle name="Remarque 2 5 4 5 11" xfId="35927" xr:uid="{00000000-0005-0000-0000-000045730000}"/>
    <cellStyle name="Remarque 2 5 4 5 11 2" xfId="59887" xr:uid="{00000000-0005-0000-0000-000046730000}"/>
    <cellStyle name="Remarque 2 5 4 5 12" xfId="13802" xr:uid="{00000000-0005-0000-0000-000047730000}"/>
    <cellStyle name="Remarque 2 5 4 5 13" xfId="37762" xr:uid="{00000000-0005-0000-0000-000048730000}"/>
    <cellStyle name="Remarque 2 5 4 5 2" xfId="4011" xr:uid="{00000000-0005-0000-0000-000049730000}"/>
    <cellStyle name="Remarque 2 5 4 5 2 2" xfId="28025" xr:uid="{00000000-0005-0000-0000-00004A730000}"/>
    <cellStyle name="Remarque 2 5 4 5 2 2 2" xfId="51985" xr:uid="{00000000-0005-0000-0000-00004B730000}"/>
    <cellStyle name="Remarque 2 5 4 5 2 3" xfId="15272" xr:uid="{00000000-0005-0000-0000-00004C730000}"/>
    <cellStyle name="Remarque 2 5 4 5 2 4" xfId="39232" xr:uid="{00000000-0005-0000-0000-00004D730000}"/>
    <cellStyle name="Remarque 2 5 4 5 3" xfId="5445" xr:uid="{00000000-0005-0000-0000-00004E730000}"/>
    <cellStyle name="Remarque 2 5 4 5 3 2" xfId="29459" xr:uid="{00000000-0005-0000-0000-00004F730000}"/>
    <cellStyle name="Remarque 2 5 4 5 3 2 2" xfId="53419" xr:uid="{00000000-0005-0000-0000-000050730000}"/>
    <cellStyle name="Remarque 2 5 4 5 3 3" xfId="16706" xr:uid="{00000000-0005-0000-0000-000051730000}"/>
    <cellStyle name="Remarque 2 5 4 5 3 4" xfId="40666" xr:uid="{00000000-0005-0000-0000-000052730000}"/>
    <cellStyle name="Remarque 2 5 4 5 4" xfId="6839" xr:uid="{00000000-0005-0000-0000-000053730000}"/>
    <cellStyle name="Remarque 2 5 4 5 4 2" xfId="30853" xr:uid="{00000000-0005-0000-0000-000054730000}"/>
    <cellStyle name="Remarque 2 5 4 5 4 2 2" xfId="54813" xr:uid="{00000000-0005-0000-0000-000055730000}"/>
    <cellStyle name="Remarque 2 5 4 5 4 3" xfId="18100" xr:uid="{00000000-0005-0000-0000-000056730000}"/>
    <cellStyle name="Remarque 2 5 4 5 4 4" xfId="42060" xr:uid="{00000000-0005-0000-0000-000057730000}"/>
    <cellStyle name="Remarque 2 5 4 5 5" xfId="8227" xr:uid="{00000000-0005-0000-0000-000058730000}"/>
    <cellStyle name="Remarque 2 5 4 5 5 2" xfId="32241" xr:uid="{00000000-0005-0000-0000-000059730000}"/>
    <cellStyle name="Remarque 2 5 4 5 5 2 2" xfId="56201" xr:uid="{00000000-0005-0000-0000-00005A730000}"/>
    <cellStyle name="Remarque 2 5 4 5 5 3" xfId="19488" xr:uid="{00000000-0005-0000-0000-00005B730000}"/>
    <cellStyle name="Remarque 2 5 4 5 5 4" xfId="43448" xr:uid="{00000000-0005-0000-0000-00005C730000}"/>
    <cellStyle name="Remarque 2 5 4 5 6" xfId="9612" xr:uid="{00000000-0005-0000-0000-00005D730000}"/>
    <cellStyle name="Remarque 2 5 4 5 6 2" xfId="33626" xr:uid="{00000000-0005-0000-0000-00005E730000}"/>
    <cellStyle name="Remarque 2 5 4 5 6 2 2" xfId="57586" xr:uid="{00000000-0005-0000-0000-00005F730000}"/>
    <cellStyle name="Remarque 2 5 4 5 6 3" xfId="20873" xr:uid="{00000000-0005-0000-0000-000060730000}"/>
    <cellStyle name="Remarque 2 5 4 5 6 4" xfId="44833" xr:uid="{00000000-0005-0000-0000-000061730000}"/>
    <cellStyle name="Remarque 2 5 4 5 7" xfId="11069" xr:uid="{00000000-0005-0000-0000-000062730000}"/>
    <cellStyle name="Remarque 2 5 4 5 7 2" xfId="35079" xr:uid="{00000000-0005-0000-0000-000063730000}"/>
    <cellStyle name="Remarque 2 5 4 5 7 2 2" xfId="59039" xr:uid="{00000000-0005-0000-0000-000064730000}"/>
    <cellStyle name="Remarque 2 5 4 5 7 3" xfId="22336" xr:uid="{00000000-0005-0000-0000-000065730000}"/>
    <cellStyle name="Remarque 2 5 4 5 7 4" xfId="46296" xr:uid="{00000000-0005-0000-0000-000066730000}"/>
    <cellStyle name="Remarque 2 5 4 5 8" xfId="12107" xr:uid="{00000000-0005-0000-0000-000067730000}"/>
    <cellStyle name="Remarque 2 5 4 5 8 2" xfId="23390" xr:uid="{00000000-0005-0000-0000-000068730000}"/>
    <cellStyle name="Remarque 2 5 4 5 8 3" xfId="47350" xr:uid="{00000000-0005-0000-0000-000069730000}"/>
    <cellStyle name="Remarque 2 5 4 5 9" xfId="2541" xr:uid="{00000000-0005-0000-0000-00006A730000}"/>
    <cellStyle name="Remarque 2 5 4 5 9 2" xfId="26555" xr:uid="{00000000-0005-0000-0000-00006B730000}"/>
    <cellStyle name="Remarque 2 5 4 5 9 3" xfId="50515" xr:uid="{00000000-0005-0000-0000-00006C730000}"/>
    <cellStyle name="Remarque 2 5 4 6" xfId="1272" xr:uid="{00000000-0005-0000-0000-00006D730000}"/>
    <cellStyle name="Remarque 2 5 4 6 10" xfId="25304" xr:uid="{00000000-0005-0000-0000-00006E730000}"/>
    <cellStyle name="Remarque 2 5 4 6 10 2" xfId="49264" xr:uid="{00000000-0005-0000-0000-00006F730000}"/>
    <cellStyle name="Remarque 2 5 4 6 11" xfId="35632" xr:uid="{00000000-0005-0000-0000-000070730000}"/>
    <cellStyle name="Remarque 2 5 4 6 11 2" xfId="59592" xr:uid="{00000000-0005-0000-0000-000071730000}"/>
    <cellStyle name="Remarque 2 5 4 6 12" xfId="13969" xr:uid="{00000000-0005-0000-0000-000072730000}"/>
    <cellStyle name="Remarque 2 5 4 6 13" xfId="37929" xr:uid="{00000000-0005-0000-0000-000073730000}"/>
    <cellStyle name="Remarque 2 5 4 6 2" xfId="4178" xr:uid="{00000000-0005-0000-0000-000074730000}"/>
    <cellStyle name="Remarque 2 5 4 6 2 2" xfId="28192" xr:uid="{00000000-0005-0000-0000-000075730000}"/>
    <cellStyle name="Remarque 2 5 4 6 2 2 2" xfId="52152" xr:uid="{00000000-0005-0000-0000-000076730000}"/>
    <cellStyle name="Remarque 2 5 4 6 2 3" xfId="15439" xr:uid="{00000000-0005-0000-0000-000077730000}"/>
    <cellStyle name="Remarque 2 5 4 6 2 4" xfId="39399" xr:uid="{00000000-0005-0000-0000-000078730000}"/>
    <cellStyle name="Remarque 2 5 4 6 3" xfId="5612" xr:uid="{00000000-0005-0000-0000-000079730000}"/>
    <cellStyle name="Remarque 2 5 4 6 3 2" xfId="29626" xr:uid="{00000000-0005-0000-0000-00007A730000}"/>
    <cellStyle name="Remarque 2 5 4 6 3 2 2" xfId="53586" xr:uid="{00000000-0005-0000-0000-00007B730000}"/>
    <cellStyle name="Remarque 2 5 4 6 3 3" xfId="16873" xr:uid="{00000000-0005-0000-0000-00007C730000}"/>
    <cellStyle name="Remarque 2 5 4 6 3 4" xfId="40833" xr:uid="{00000000-0005-0000-0000-00007D730000}"/>
    <cellStyle name="Remarque 2 5 4 6 4" xfId="7006" xr:uid="{00000000-0005-0000-0000-00007E730000}"/>
    <cellStyle name="Remarque 2 5 4 6 4 2" xfId="31020" xr:uid="{00000000-0005-0000-0000-00007F730000}"/>
    <cellStyle name="Remarque 2 5 4 6 4 2 2" xfId="54980" xr:uid="{00000000-0005-0000-0000-000080730000}"/>
    <cellStyle name="Remarque 2 5 4 6 4 3" xfId="18267" xr:uid="{00000000-0005-0000-0000-000081730000}"/>
    <cellStyle name="Remarque 2 5 4 6 4 4" xfId="42227" xr:uid="{00000000-0005-0000-0000-000082730000}"/>
    <cellStyle name="Remarque 2 5 4 6 5" xfId="8394" xr:uid="{00000000-0005-0000-0000-000083730000}"/>
    <cellStyle name="Remarque 2 5 4 6 5 2" xfId="32408" xr:uid="{00000000-0005-0000-0000-000084730000}"/>
    <cellStyle name="Remarque 2 5 4 6 5 2 2" xfId="56368" xr:uid="{00000000-0005-0000-0000-000085730000}"/>
    <cellStyle name="Remarque 2 5 4 6 5 3" xfId="19655" xr:uid="{00000000-0005-0000-0000-000086730000}"/>
    <cellStyle name="Remarque 2 5 4 6 5 4" xfId="43615" xr:uid="{00000000-0005-0000-0000-000087730000}"/>
    <cellStyle name="Remarque 2 5 4 6 6" xfId="9779" xr:uid="{00000000-0005-0000-0000-000088730000}"/>
    <cellStyle name="Remarque 2 5 4 6 6 2" xfId="33793" xr:uid="{00000000-0005-0000-0000-000089730000}"/>
    <cellStyle name="Remarque 2 5 4 6 6 2 2" xfId="57753" xr:uid="{00000000-0005-0000-0000-00008A730000}"/>
    <cellStyle name="Remarque 2 5 4 6 6 3" xfId="21040" xr:uid="{00000000-0005-0000-0000-00008B730000}"/>
    <cellStyle name="Remarque 2 5 4 6 6 4" xfId="45000" xr:uid="{00000000-0005-0000-0000-00008C730000}"/>
    <cellStyle name="Remarque 2 5 4 6 7" xfId="11236" xr:uid="{00000000-0005-0000-0000-00008D730000}"/>
    <cellStyle name="Remarque 2 5 4 6 7 2" xfId="35246" xr:uid="{00000000-0005-0000-0000-00008E730000}"/>
    <cellStyle name="Remarque 2 5 4 6 7 2 2" xfId="59206" xr:uid="{00000000-0005-0000-0000-00008F730000}"/>
    <cellStyle name="Remarque 2 5 4 6 7 3" xfId="22503" xr:uid="{00000000-0005-0000-0000-000090730000}"/>
    <cellStyle name="Remarque 2 5 4 6 7 4" xfId="46463" xr:uid="{00000000-0005-0000-0000-000091730000}"/>
    <cellStyle name="Remarque 2 5 4 6 8" xfId="12254" xr:uid="{00000000-0005-0000-0000-000092730000}"/>
    <cellStyle name="Remarque 2 5 4 6 8 2" xfId="23539" xr:uid="{00000000-0005-0000-0000-000093730000}"/>
    <cellStyle name="Remarque 2 5 4 6 8 3" xfId="47499" xr:uid="{00000000-0005-0000-0000-000094730000}"/>
    <cellStyle name="Remarque 2 5 4 6 9" xfId="2708" xr:uid="{00000000-0005-0000-0000-000095730000}"/>
    <cellStyle name="Remarque 2 5 4 6 9 2" xfId="26722" xr:uid="{00000000-0005-0000-0000-000096730000}"/>
    <cellStyle name="Remarque 2 5 4 6 9 3" xfId="50682" xr:uid="{00000000-0005-0000-0000-000097730000}"/>
    <cellStyle name="Remarque 2 5 4 7" xfId="1441" xr:uid="{00000000-0005-0000-0000-000098730000}"/>
    <cellStyle name="Remarque 2 5 4 7 10" xfId="25473" xr:uid="{00000000-0005-0000-0000-000099730000}"/>
    <cellStyle name="Remarque 2 5 4 7 10 2" xfId="49433" xr:uid="{00000000-0005-0000-0000-00009A730000}"/>
    <cellStyle name="Remarque 2 5 4 7 11" xfId="35676" xr:uid="{00000000-0005-0000-0000-00009B730000}"/>
    <cellStyle name="Remarque 2 5 4 7 11 2" xfId="59636" xr:uid="{00000000-0005-0000-0000-00009C730000}"/>
    <cellStyle name="Remarque 2 5 4 7 12" xfId="14138" xr:uid="{00000000-0005-0000-0000-00009D730000}"/>
    <cellStyle name="Remarque 2 5 4 7 13" xfId="38098" xr:uid="{00000000-0005-0000-0000-00009E730000}"/>
    <cellStyle name="Remarque 2 5 4 7 2" xfId="4347" xr:uid="{00000000-0005-0000-0000-00009F730000}"/>
    <cellStyle name="Remarque 2 5 4 7 2 2" xfId="28361" xr:uid="{00000000-0005-0000-0000-0000A0730000}"/>
    <cellStyle name="Remarque 2 5 4 7 2 2 2" xfId="52321" xr:uid="{00000000-0005-0000-0000-0000A1730000}"/>
    <cellStyle name="Remarque 2 5 4 7 2 3" xfId="15608" xr:uid="{00000000-0005-0000-0000-0000A2730000}"/>
    <cellStyle name="Remarque 2 5 4 7 2 4" xfId="39568" xr:uid="{00000000-0005-0000-0000-0000A3730000}"/>
    <cellStyle name="Remarque 2 5 4 7 3" xfId="5781" xr:uid="{00000000-0005-0000-0000-0000A4730000}"/>
    <cellStyle name="Remarque 2 5 4 7 3 2" xfId="29795" xr:uid="{00000000-0005-0000-0000-0000A5730000}"/>
    <cellStyle name="Remarque 2 5 4 7 3 2 2" xfId="53755" xr:uid="{00000000-0005-0000-0000-0000A6730000}"/>
    <cellStyle name="Remarque 2 5 4 7 3 3" xfId="17042" xr:uid="{00000000-0005-0000-0000-0000A7730000}"/>
    <cellStyle name="Remarque 2 5 4 7 3 4" xfId="41002" xr:uid="{00000000-0005-0000-0000-0000A8730000}"/>
    <cellStyle name="Remarque 2 5 4 7 4" xfId="7175" xr:uid="{00000000-0005-0000-0000-0000A9730000}"/>
    <cellStyle name="Remarque 2 5 4 7 4 2" xfId="31189" xr:uid="{00000000-0005-0000-0000-0000AA730000}"/>
    <cellStyle name="Remarque 2 5 4 7 4 2 2" xfId="55149" xr:uid="{00000000-0005-0000-0000-0000AB730000}"/>
    <cellStyle name="Remarque 2 5 4 7 4 3" xfId="18436" xr:uid="{00000000-0005-0000-0000-0000AC730000}"/>
    <cellStyle name="Remarque 2 5 4 7 4 4" xfId="42396" xr:uid="{00000000-0005-0000-0000-0000AD730000}"/>
    <cellStyle name="Remarque 2 5 4 7 5" xfId="8563" xr:uid="{00000000-0005-0000-0000-0000AE730000}"/>
    <cellStyle name="Remarque 2 5 4 7 5 2" xfId="32577" xr:uid="{00000000-0005-0000-0000-0000AF730000}"/>
    <cellStyle name="Remarque 2 5 4 7 5 2 2" xfId="56537" xr:uid="{00000000-0005-0000-0000-0000B0730000}"/>
    <cellStyle name="Remarque 2 5 4 7 5 3" xfId="19824" xr:uid="{00000000-0005-0000-0000-0000B1730000}"/>
    <cellStyle name="Remarque 2 5 4 7 5 4" xfId="43784" xr:uid="{00000000-0005-0000-0000-0000B2730000}"/>
    <cellStyle name="Remarque 2 5 4 7 6" xfId="9948" xr:uid="{00000000-0005-0000-0000-0000B3730000}"/>
    <cellStyle name="Remarque 2 5 4 7 6 2" xfId="33962" xr:uid="{00000000-0005-0000-0000-0000B4730000}"/>
    <cellStyle name="Remarque 2 5 4 7 6 2 2" xfId="57922" xr:uid="{00000000-0005-0000-0000-0000B5730000}"/>
    <cellStyle name="Remarque 2 5 4 7 6 3" xfId="21209" xr:uid="{00000000-0005-0000-0000-0000B6730000}"/>
    <cellStyle name="Remarque 2 5 4 7 6 4" xfId="45169" xr:uid="{00000000-0005-0000-0000-0000B7730000}"/>
    <cellStyle name="Remarque 2 5 4 7 7" xfId="11405" xr:uid="{00000000-0005-0000-0000-0000B8730000}"/>
    <cellStyle name="Remarque 2 5 4 7 7 2" xfId="35415" xr:uid="{00000000-0005-0000-0000-0000B9730000}"/>
    <cellStyle name="Remarque 2 5 4 7 7 2 2" xfId="59375" xr:uid="{00000000-0005-0000-0000-0000BA730000}"/>
    <cellStyle name="Remarque 2 5 4 7 7 3" xfId="22672" xr:uid="{00000000-0005-0000-0000-0000BB730000}"/>
    <cellStyle name="Remarque 2 5 4 7 7 4" xfId="46632" xr:uid="{00000000-0005-0000-0000-0000BC730000}"/>
    <cellStyle name="Remarque 2 5 4 7 8" xfId="12888" xr:uid="{00000000-0005-0000-0000-0000BD730000}"/>
    <cellStyle name="Remarque 2 5 4 7 8 2" xfId="24200" xr:uid="{00000000-0005-0000-0000-0000BE730000}"/>
    <cellStyle name="Remarque 2 5 4 7 8 3" xfId="48160" xr:uid="{00000000-0005-0000-0000-0000BF730000}"/>
    <cellStyle name="Remarque 2 5 4 7 9" xfId="2877" xr:uid="{00000000-0005-0000-0000-0000C0730000}"/>
    <cellStyle name="Remarque 2 5 4 7 9 2" xfId="26891" xr:uid="{00000000-0005-0000-0000-0000C1730000}"/>
    <cellStyle name="Remarque 2 5 4 7 9 3" xfId="50851" xr:uid="{00000000-0005-0000-0000-0000C2730000}"/>
    <cellStyle name="Remarque 2 5 4 8" xfId="3296" xr:uid="{00000000-0005-0000-0000-0000C3730000}"/>
    <cellStyle name="Remarque 2 5 4 8 2" xfId="27310" xr:uid="{00000000-0005-0000-0000-0000C4730000}"/>
    <cellStyle name="Remarque 2 5 4 8 2 2" xfId="51270" xr:uid="{00000000-0005-0000-0000-0000C5730000}"/>
    <cellStyle name="Remarque 2 5 4 8 3" xfId="14557" xr:uid="{00000000-0005-0000-0000-0000C6730000}"/>
    <cellStyle name="Remarque 2 5 4 8 4" xfId="38517" xr:uid="{00000000-0005-0000-0000-0000C7730000}"/>
    <cellStyle name="Remarque 2 5 4 9" xfId="4730" xr:uid="{00000000-0005-0000-0000-0000C8730000}"/>
    <cellStyle name="Remarque 2 5 4 9 2" xfId="28744" xr:uid="{00000000-0005-0000-0000-0000C9730000}"/>
    <cellStyle name="Remarque 2 5 4 9 2 2" xfId="52704" xr:uid="{00000000-0005-0000-0000-0000CA730000}"/>
    <cellStyle name="Remarque 2 5 4 9 3" xfId="15991" xr:uid="{00000000-0005-0000-0000-0000CB730000}"/>
    <cellStyle name="Remarque 2 5 4 9 4" xfId="39951" xr:uid="{00000000-0005-0000-0000-0000CC730000}"/>
    <cellStyle name="Remarque 2 5 5" xfId="366" xr:uid="{00000000-0005-0000-0000-0000CD730000}"/>
    <cellStyle name="Remarque 2 5 5 10" xfId="6100" xr:uid="{00000000-0005-0000-0000-0000CE730000}"/>
    <cellStyle name="Remarque 2 5 5 10 2" xfId="30114" xr:uid="{00000000-0005-0000-0000-0000CF730000}"/>
    <cellStyle name="Remarque 2 5 5 10 2 2" xfId="54074" xr:uid="{00000000-0005-0000-0000-0000D0730000}"/>
    <cellStyle name="Remarque 2 5 5 10 3" xfId="17361" xr:uid="{00000000-0005-0000-0000-0000D1730000}"/>
    <cellStyle name="Remarque 2 5 5 10 4" xfId="41321" xr:uid="{00000000-0005-0000-0000-0000D2730000}"/>
    <cellStyle name="Remarque 2 5 5 11" xfId="7488" xr:uid="{00000000-0005-0000-0000-0000D3730000}"/>
    <cellStyle name="Remarque 2 5 5 11 2" xfId="31502" xr:uid="{00000000-0005-0000-0000-0000D4730000}"/>
    <cellStyle name="Remarque 2 5 5 11 2 2" xfId="55462" xr:uid="{00000000-0005-0000-0000-0000D5730000}"/>
    <cellStyle name="Remarque 2 5 5 11 3" xfId="18749" xr:uid="{00000000-0005-0000-0000-0000D6730000}"/>
    <cellStyle name="Remarque 2 5 5 11 4" xfId="42709" xr:uid="{00000000-0005-0000-0000-0000D7730000}"/>
    <cellStyle name="Remarque 2 5 5 12" xfId="8873" xr:uid="{00000000-0005-0000-0000-0000D8730000}"/>
    <cellStyle name="Remarque 2 5 5 12 2" xfId="32887" xr:uid="{00000000-0005-0000-0000-0000D9730000}"/>
    <cellStyle name="Remarque 2 5 5 12 2 2" xfId="56847" xr:uid="{00000000-0005-0000-0000-0000DA730000}"/>
    <cellStyle name="Remarque 2 5 5 12 3" xfId="20134" xr:uid="{00000000-0005-0000-0000-0000DB730000}"/>
    <cellStyle name="Remarque 2 5 5 12 4" xfId="44094" xr:uid="{00000000-0005-0000-0000-0000DC730000}"/>
    <cellStyle name="Remarque 2 5 5 13" xfId="10330" xr:uid="{00000000-0005-0000-0000-0000DD730000}"/>
    <cellStyle name="Remarque 2 5 5 13 2" xfId="34340" xr:uid="{00000000-0005-0000-0000-0000DE730000}"/>
    <cellStyle name="Remarque 2 5 5 13 2 2" xfId="58300" xr:uid="{00000000-0005-0000-0000-0000DF730000}"/>
    <cellStyle name="Remarque 2 5 5 13 3" xfId="21597" xr:uid="{00000000-0005-0000-0000-0000E0730000}"/>
    <cellStyle name="Remarque 2 5 5 13 4" xfId="45557" xr:uid="{00000000-0005-0000-0000-0000E1730000}"/>
    <cellStyle name="Remarque 2 5 5 14" xfId="12751" xr:uid="{00000000-0005-0000-0000-0000E2730000}"/>
    <cellStyle name="Remarque 2 5 5 14 2" xfId="24058" xr:uid="{00000000-0005-0000-0000-0000E3730000}"/>
    <cellStyle name="Remarque 2 5 5 14 3" xfId="48018" xr:uid="{00000000-0005-0000-0000-0000E4730000}"/>
    <cellStyle name="Remarque 2 5 5 15" xfId="1802" xr:uid="{00000000-0005-0000-0000-0000E5730000}"/>
    <cellStyle name="Remarque 2 5 5 15 2" xfId="25816" xr:uid="{00000000-0005-0000-0000-0000E6730000}"/>
    <cellStyle name="Remarque 2 5 5 15 3" xfId="49776" xr:uid="{00000000-0005-0000-0000-0000E7730000}"/>
    <cellStyle name="Remarque 2 5 5 16" xfId="24398" xr:uid="{00000000-0005-0000-0000-0000E8730000}"/>
    <cellStyle name="Remarque 2 5 5 16 2" xfId="48358" xr:uid="{00000000-0005-0000-0000-0000E9730000}"/>
    <cellStyle name="Remarque 2 5 5 17" xfId="36687" xr:uid="{00000000-0005-0000-0000-0000EA730000}"/>
    <cellStyle name="Remarque 2 5 5 17 2" xfId="60647" xr:uid="{00000000-0005-0000-0000-0000EB730000}"/>
    <cellStyle name="Remarque 2 5 5 18" xfId="13063" xr:uid="{00000000-0005-0000-0000-0000EC730000}"/>
    <cellStyle name="Remarque 2 5 5 19" xfId="37023" xr:uid="{00000000-0005-0000-0000-0000ED730000}"/>
    <cellStyle name="Remarque 2 5 5 2" xfId="502" xr:uid="{00000000-0005-0000-0000-0000EE730000}"/>
    <cellStyle name="Remarque 2 5 5 2 10" xfId="24534" xr:uid="{00000000-0005-0000-0000-0000EF730000}"/>
    <cellStyle name="Remarque 2 5 5 2 10 2" xfId="48494" xr:uid="{00000000-0005-0000-0000-0000F0730000}"/>
    <cellStyle name="Remarque 2 5 5 2 11" xfId="35950" xr:uid="{00000000-0005-0000-0000-0000F1730000}"/>
    <cellStyle name="Remarque 2 5 5 2 11 2" xfId="59910" xr:uid="{00000000-0005-0000-0000-0000F2730000}"/>
    <cellStyle name="Remarque 2 5 5 2 12" xfId="13199" xr:uid="{00000000-0005-0000-0000-0000F3730000}"/>
    <cellStyle name="Remarque 2 5 5 2 13" xfId="37159" xr:uid="{00000000-0005-0000-0000-0000F4730000}"/>
    <cellStyle name="Remarque 2 5 5 2 2" xfId="3408" xr:uid="{00000000-0005-0000-0000-0000F5730000}"/>
    <cellStyle name="Remarque 2 5 5 2 2 2" xfId="27422" xr:uid="{00000000-0005-0000-0000-0000F6730000}"/>
    <cellStyle name="Remarque 2 5 5 2 2 2 2" xfId="51382" xr:uid="{00000000-0005-0000-0000-0000F7730000}"/>
    <cellStyle name="Remarque 2 5 5 2 2 3" xfId="14669" xr:uid="{00000000-0005-0000-0000-0000F8730000}"/>
    <cellStyle name="Remarque 2 5 5 2 2 4" xfId="38629" xr:uid="{00000000-0005-0000-0000-0000F9730000}"/>
    <cellStyle name="Remarque 2 5 5 2 3" xfId="4842" xr:uid="{00000000-0005-0000-0000-0000FA730000}"/>
    <cellStyle name="Remarque 2 5 5 2 3 2" xfId="28856" xr:uid="{00000000-0005-0000-0000-0000FB730000}"/>
    <cellStyle name="Remarque 2 5 5 2 3 2 2" xfId="52816" xr:uid="{00000000-0005-0000-0000-0000FC730000}"/>
    <cellStyle name="Remarque 2 5 5 2 3 3" xfId="16103" xr:uid="{00000000-0005-0000-0000-0000FD730000}"/>
    <cellStyle name="Remarque 2 5 5 2 3 4" xfId="40063" xr:uid="{00000000-0005-0000-0000-0000FE730000}"/>
    <cellStyle name="Remarque 2 5 5 2 4" xfId="6236" xr:uid="{00000000-0005-0000-0000-0000FF730000}"/>
    <cellStyle name="Remarque 2 5 5 2 4 2" xfId="30250" xr:uid="{00000000-0005-0000-0000-000000740000}"/>
    <cellStyle name="Remarque 2 5 5 2 4 2 2" xfId="54210" xr:uid="{00000000-0005-0000-0000-000001740000}"/>
    <cellStyle name="Remarque 2 5 5 2 4 3" xfId="17497" xr:uid="{00000000-0005-0000-0000-000002740000}"/>
    <cellStyle name="Remarque 2 5 5 2 4 4" xfId="41457" xr:uid="{00000000-0005-0000-0000-000003740000}"/>
    <cellStyle name="Remarque 2 5 5 2 5" xfId="7624" xr:uid="{00000000-0005-0000-0000-000004740000}"/>
    <cellStyle name="Remarque 2 5 5 2 5 2" xfId="31638" xr:uid="{00000000-0005-0000-0000-000005740000}"/>
    <cellStyle name="Remarque 2 5 5 2 5 2 2" xfId="55598" xr:uid="{00000000-0005-0000-0000-000006740000}"/>
    <cellStyle name="Remarque 2 5 5 2 5 3" xfId="18885" xr:uid="{00000000-0005-0000-0000-000007740000}"/>
    <cellStyle name="Remarque 2 5 5 2 5 4" xfId="42845" xr:uid="{00000000-0005-0000-0000-000008740000}"/>
    <cellStyle name="Remarque 2 5 5 2 6" xfId="9009" xr:uid="{00000000-0005-0000-0000-000009740000}"/>
    <cellStyle name="Remarque 2 5 5 2 6 2" xfId="33023" xr:uid="{00000000-0005-0000-0000-00000A740000}"/>
    <cellStyle name="Remarque 2 5 5 2 6 2 2" xfId="56983" xr:uid="{00000000-0005-0000-0000-00000B740000}"/>
    <cellStyle name="Remarque 2 5 5 2 6 3" xfId="20270" xr:uid="{00000000-0005-0000-0000-00000C740000}"/>
    <cellStyle name="Remarque 2 5 5 2 6 4" xfId="44230" xr:uid="{00000000-0005-0000-0000-00000D740000}"/>
    <cellStyle name="Remarque 2 5 5 2 7" xfId="10466" xr:uid="{00000000-0005-0000-0000-00000E740000}"/>
    <cellStyle name="Remarque 2 5 5 2 7 2" xfId="34476" xr:uid="{00000000-0005-0000-0000-00000F740000}"/>
    <cellStyle name="Remarque 2 5 5 2 7 2 2" xfId="58436" xr:uid="{00000000-0005-0000-0000-000010740000}"/>
    <cellStyle name="Remarque 2 5 5 2 7 3" xfId="21733" xr:uid="{00000000-0005-0000-0000-000011740000}"/>
    <cellStyle name="Remarque 2 5 5 2 7 4" xfId="45693" xr:uid="{00000000-0005-0000-0000-000012740000}"/>
    <cellStyle name="Remarque 2 5 5 2 8" xfId="12166" xr:uid="{00000000-0005-0000-0000-000013740000}"/>
    <cellStyle name="Remarque 2 5 5 2 8 2" xfId="23449" xr:uid="{00000000-0005-0000-0000-000014740000}"/>
    <cellStyle name="Remarque 2 5 5 2 8 3" xfId="47409" xr:uid="{00000000-0005-0000-0000-000015740000}"/>
    <cellStyle name="Remarque 2 5 5 2 9" xfId="1938" xr:uid="{00000000-0005-0000-0000-000016740000}"/>
    <cellStyle name="Remarque 2 5 5 2 9 2" xfId="25952" xr:uid="{00000000-0005-0000-0000-000017740000}"/>
    <cellStyle name="Remarque 2 5 5 2 9 3" xfId="49912" xr:uid="{00000000-0005-0000-0000-000018740000}"/>
    <cellStyle name="Remarque 2 5 5 3" xfId="694" xr:uid="{00000000-0005-0000-0000-000019740000}"/>
    <cellStyle name="Remarque 2 5 5 3 10" xfId="24726" xr:uid="{00000000-0005-0000-0000-00001A740000}"/>
    <cellStyle name="Remarque 2 5 5 3 10 2" xfId="48686" xr:uid="{00000000-0005-0000-0000-00001B740000}"/>
    <cellStyle name="Remarque 2 5 5 3 11" xfId="36556" xr:uid="{00000000-0005-0000-0000-00001C740000}"/>
    <cellStyle name="Remarque 2 5 5 3 11 2" xfId="60516" xr:uid="{00000000-0005-0000-0000-00001D740000}"/>
    <cellStyle name="Remarque 2 5 5 3 12" xfId="13391" xr:uid="{00000000-0005-0000-0000-00001E740000}"/>
    <cellStyle name="Remarque 2 5 5 3 13" xfId="37351" xr:uid="{00000000-0005-0000-0000-00001F740000}"/>
    <cellStyle name="Remarque 2 5 5 3 2" xfId="3600" xr:uid="{00000000-0005-0000-0000-000020740000}"/>
    <cellStyle name="Remarque 2 5 5 3 2 2" xfId="27614" xr:uid="{00000000-0005-0000-0000-000021740000}"/>
    <cellStyle name="Remarque 2 5 5 3 2 2 2" xfId="51574" xr:uid="{00000000-0005-0000-0000-000022740000}"/>
    <cellStyle name="Remarque 2 5 5 3 2 3" xfId="14861" xr:uid="{00000000-0005-0000-0000-000023740000}"/>
    <cellStyle name="Remarque 2 5 5 3 2 4" xfId="38821" xr:uid="{00000000-0005-0000-0000-000024740000}"/>
    <cellStyle name="Remarque 2 5 5 3 3" xfId="5034" xr:uid="{00000000-0005-0000-0000-000025740000}"/>
    <cellStyle name="Remarque 2 5 5 3 3 2" xfId="29048" xr:uid="{00000000-0005-0000-0000-000026740000}"/>
    <cellStyle name="Remarque 2 5 5 3 3 2 2" xfId="53008" xr:uid="{00000000-0005-0000-0000-000027740000}"/>
    <cellStyle name="Remarque 2 5 5 3 3 3" xfId="16295" xr:uid="{00000000-0005-0000-0000-000028740000}"/>
    <cellStyle name="Remarque 2 5 5 3 3 4" xfId="40255" xr:uid="{00000000-0005-0000-0000-000029740000}"/>
    <cellStyle name="Remarque 2 5 5 3 4" xfId="6428" xr:uid="{00000000-0005-0000-0000-00002A740000}"/>
    <cellStyle name="Remarque 2 5 5 3 4 2" xfId="30442" xr:uid="{00000000-0005-0000-0000-00002B740000}"/>
    <cellStyle name="Remarque 2 5 5 3 4 2 2" xfId="54402" xr:uid="{00000000-0005-0000-0000-00002C740000}"/>
    <cellStyle name="Remarque 2 5 5 3 4 3" xfId="17689" xr:uid="{00000000-0005-0000-0000-00002D740000}"/>
    <cellStyle name="Remarque 2 5 5 3 4 4" xfId="41649" xr:uid="{00000000-0005-0000-0000-00002E740000}"/>
    <cellStyle name="Remarque 2 5 5 3 5" xfId="7816" xr:uid="{00000000-0005-0000-0000-00002F740000}"/>
    <cellStyle name="Remarque 2 5 5 3 5 2" xfId="31830" xr:uid="{00000000-0005-0000-0000-000030740000}"/>
    <cellStyle name="Remarque 2 5 5 3 5 2 2" xfId="55790" xr:uid="{00000000-0005-0000-0000-000031740000}"/>
    <cellStyle name="Remarque 2 5 5 3 5 3" xfId="19077" xr:uid="{00000000-0005-0000-0000-000032740000}"/>
    <cellStyle name="Remarque 2 5 5 3 5 4" xfId="43037" xr:uid="{00000000-0005-0000-0000-000033740000}"/>
    <cellStyle name="Remarque 2 5 5 3 6" xfId="9201" xr:uid="{00000000-0005-0000-0000-000034740000}"/>
    <cellStyle name="Remarque 2 5 5 3 6 2" xfId="33215" xr:uid="{00000000-0005-0000-0000-000035740000}"/>
    <cellStyle name="Remarque 2 5 5 3 6 2 2" xfId="57175" xr:uid="{00000000-0005-0000-0000-000036740000}"/>
    <cellStyle name="Remarque 2 5 5 3 6 3" xfId="20462" xr:uid="{00000000-0005-0000-0000-000037740000}"/>
    <cellStyle name="Remarque 2 5 5 3 6 4" xfId="44422" xr:uid="{00000000-0005-0000-0000-000038740000}"/>
    <cellStyle name="Remarque 2 5 5 3 7" xfId="10658" xr:uid="{00000000-0005-0000-0000-000039740000}"/>
    <cellStyle name="Remarque 2 5 5 3 7 2" xfId="34668" xr:uid="{00000000-0005-0000-0000-00003A740000}"/>
    <cellStyle name="Remarque 2 5 5 3 7 2 2" xfId="58628" xr:uid="{00000000-0005-0000-0000-00003B740000}"/>
    <cellStyle name="Remarque 2 5 5 3 7 3" xfId="21925" xr:uid="{00000000-0005-0000-0000-00003C740000}"/>
    <cellStyle name="Remarque 2 5 5 3 7 4" xfId="45885" xr:uid="{00000000-0005-0000-0000-00003D740000}"/>
    <cellStyle name="Remarque 2 5 5 3 8" xfId="12334" xr:uid="{00000000-0005-0000-0000-00003E740000}"/>
    <cellStyle name="Remarque 2 5 5 3 8 2" xfId="23622" xr:uid="{00000000-0005-0000-0000-00003F740000}"/>
    <cellStyle name="Remarque 2 5 5 3 8 3" xfId="47582" xr:uid="{00000000-0005-0000-0000-000040740000}"/>
    <cellStyle name="Remarque 2 5 5 3 9" xfId="2130" xr:uid="{00000000-0005-0000-0000-000041740000}"/>
    <cellStyle name="Remarque 2 5 5 3 9 2" xfId="26144" xr:uid="{00000000-0005-0000-0000-000042740000}"/>
    <cellStyle name="Remarque 2 5 5 3 9 3" xfId="50104" xr:uid="{00000000-0005-0000-0000-000043740000}"/>
    <cellStyle name="Remarque 2 5 5 4" xfId="888" xr:uid="{00000000-0005-0000-0000-000044740000}"/>
    <cellStyle name="Remarque 2 5 5 4 10" xfId="24920" xr:uid="{00000000-0005-0000-0000-000045740000}"/>
    <cellStyle name="Remarque 2 5 5 4 10 2" xfId="48880" xr:uid="{00000000-0005-0000-0000-000046740000}"/>
    <cellStyle name="Remarque 2 5 5 4 11" xfId="35952" xr:uid="{00000000-0005-0000-0000-000047740000}"/>
    <cellStyle name="Remarque 2 5 5 4 11 2" xfId="59912" xr:uid="{00000000-0005-0000-0000-000048740000}"/>
    <cellStyle name="Remarque 2 5 5 4 12" xfId="13585" xr:uid="{00000000-0005-0000-0000-000049740000}"/>
    <cellStyle name="Remarque 2 5 5 4 13" xfId="37545" xr:uid="{00000000-0005-0000-0000-00004A740000}"/>
    <cellStyle name="Remarque 2 5 5 4 2" xfId="3794" xr:uid="{00000000-0005-0000-0000-00004B740000}"/>
    <cellStyle name="Remarque 2 5 5 4 2 2" xfId="27808" xr:uid="{00000000-0005-0000-0000-00004C740000}"/>
    <cellStyle name="Remarque 2 5 5 4 2 2 2" xfId="51768" xr:uid="{00000000-0005-0000-0000-00004D740000}"/>
    <cellStyle name="Remarque 2 5 5 4 2 3" xfId="15055" xr:uid="{00000000-0005-0000-0000-00004E740000}"/>
    <cellStyle name="Remarque 2 5 5 4 2 4" xfId="39015" xr:uid="{00000000-0005-0000-0000-00004F740000}"/>
    <cellStyle name="Remarque 2 5 5 4 3" xfId="5228" xr:uid="{00000000-0005-0000-0000-000050740000}"/>
    <cellStyle name="Remarque 2 5 5 4 3 2" xfId="29242" xr:uid="{00000000-0005-0000-0000-000051740000}"/>
    <cellStyle name="Remarque 2 5 5 4 3 2 2" xfId="53202" xr:uid="{00000000-0005-0000-0000-000052740000}"/>
    <cellStyle name="Remarque 2 5 5 4 3 3" xfId="16489" xr:uid="{00000000-0005-0000-0000-000053740000}"/>
    <cellStyle name="Remarque 2 5 5 4 3 4" xfId="40449" xr:uid="{00000000-0005-0000-0000-000054740000}"/>
    <cellStyle name="Remarque 2 5 5 4 4" xfId="6622" xr:uid="{00000000-0005-0000-0000-000055740000}"/>
    <cellStyle name="Remarque 2 5 5 4 4 2" xfId="30636" xr:uid="{00000000-0005-0000-0000-000056740000}"/>
    <cellStyle name="Remarque 2 5 5 4 4 2 2" xfId="54596" xr:uid="{00000000-0005-0000-0000-000057740000}"/>
    <cellStyle name="Remarque 2 5 5 4 4 3" xfId="17883" xr:uid="{00000000-0005-0000-0000-000058740000}"/>
    <cellStyle name="Remarque 2 5 5 4 4 4" xfId="41843" xr:uid="{00000000-0005-0000-0000-000059740000}"/>
    <cellStyle name="Remarque 2 5 5 4 5" xfId="8010" xr:uid="{00000000-0005-0000-0000-00005A740000}"/>
    <cellStyle name="Remarque 2 5 5 4 5 2" xfId="32024" xr:uid="{00000000-0005-0000-0000-00005B740000}"/>
    <cellStyle name="Remarque 2 5 5 4 5 2 2" xfId="55984" xr:uid="{00000000-0005-0000-0000-00005C740000}"/>
    <cellStyle name="Remarque 2 5 5 4 5 3" xfId="19271" xr:uid="{00000000-0005-0000-0000-00005D740000}"/>
    <cellStyle name="Remarque 2 5 5 4 5 4" xfId="43231" xr:uid="{00000000-0005-0000-0000-00005E740000}"/>
    <cellStyle name="Remarque 2 5 5 4 6" xfId="9395" xr:uid="{00000000-0005-0000-0000-00005F740000}"/>
    <cellStyle name="Remarque 2 5 5 4 6 2" xfId="33409" xr:uid="{00000000-0005-0000-0000-000060740000}"/>
    <cellStyle name="Remarque 2 5 5 4 6 2 2" xfId="57369" xr:uid="{00000000-0005-0000-0000-000061740000}"/>
    <cellStyle name="Remarque 2 5 5 4 6 3" xfId="20656" xr:uid="{00000000-0005-0000-0000-000062740000}"/>
    <cellStyle name="Remarque 2 5 5 4 6 4" xfId="44616" xr:uid="{00000000-0005-0000-0000-000063740000}"/>
    <cellStyle name="Remarque 2 5 5 4 7" xfId="10852" xr:uid="{00000000-0005-0000-0000-000064740000}"/>
    <cellStyle name="Remarque 2 5 5 4 7 2" xfId="34862" xr:uid="{00000000-0005-0000-0000-000065740000}"/>
    <cellStyle name="Remarque 2 5 5 4 7 2 2" xfId="58822" xr:uid="{00000000-0005-0000-0000-000066740000}"/>
    <cellStyle name="Remarque 2 5 5 4 7 3" xfId="22119" xr:uid="{00000000-0005-0000-0000-000067740000}"/>
    <cellStyle name="Remarque 2 5 5 4 7 4" xfId="46079" xr:uid="{00000000-0005-0000-0000-000068740000}"/>
    <cellStyle name="Remarque 2 5 5 4 8" xfId="12824" xr:uid="{00000000-0005-0000-0000-000069740000}"/>
    <cellStyle name="Remarque 2 5 5 4 8 2" xfId="24135" xr:uid="{00000000-0005-0000-0000-00006A740000}"/>
    <cellStyle name="Remarque 2 5 5 4 8 3" xfId="48095" xr:uid="{00000000-0005-0000-0000-00006B740000}"/>
    <cellStyle name="Remarque 2 5 5 4 9" xfId="2324" xr:uid="{00000000-0005-0000-0000-00006C740000}"/>
    <cellStyle name="Remarque 2 5 5 4 9 2" xfId="26338" xr:uid="{00000000-0005-0000-0000-00006D740000}"/>
    <cellStyle name="Remarque 2 5 5 4 9 3" xfId="50298" xr:uid="{00000000-0005-0000-0000-00006E740000}"/>
    <cellStyle name="Remarque 2 5 5 5" xfId="1081" xr:uid="{00000000-0005-0000-0000-00006F740000}"/>
    <cellStyle name="Remarque 2 5 5 5 10" xfId="25113" xr:uid="{00000000-0005-0000-0000-000070740000}"/>
    <cellStyle name="Remarque 2 5 5 5 10 2" xfId="49073" xr:uid="{00000000-0005-0000-0000-000071740000}"/>
    <cellStyle name="Remarque 2 5 5 5 11" xfId="36256" xr:uid="{00000000-0005-0000-0000-000072740000}"/>
    <cellStyle name="Remarque 2 5 5 5 11 2" xfId="60216" xr:uid="{00000000-0005-0000-0000-000073740000}"/>
    <cellStyle name="Remarque 2 5 5 5 12" xfId="13778" xr:uid="{00000000-0005-0000-0000-000074740000}"/>
    <cellStyle name="Remarque 2 5 5 5 13" xfId="37738" xr:uid="{00000000-0005-0000-0000-000075740000}"/>
    <cellStyle name="Remarque 2 5 5 5 2" xfId="3987" xr:uid="{00000000-0005-0000-0000-000076740000}"/>
    <cellStyle name="Remarque 2 5 5 5 2 2" xfId="28001" xr:uid="{00000000-0005-0000-0000-000077740000}"/>
    <cellStyle name="Remarque 2 5 5 5 2 2 2" xfId="51961" xr:uid="{00000000-0005-0000-0000-000078740000}"/>
    <cellStyle name="Remarque 2 5 5 5 2 3" xfId="15248" xr:uid="{00000000-0005-0000-0000-000079740000}"/>
    <cellStyle name="Remarque 2 5 5 5 2 4" xfId="39208" xr:uid="{00000000-0005-0000-0000-00007A740000}"/>
    <cellStyle name="Remarque 2 5 5 5 3" xfId="5421" xr:uid="{00000000-0005-0000-0000-00007B740000}"/>
    <cellStyle name="Remarque 2 5 5 5 3 2" xfId="29435" xr:uid="{00000000-0005-0000-0000-00007C740000}"/>
    <cellStyle name="Remarque 2 5 5 5 3 2 2" xfId="53395" xr:uid="{00000000-0005-0000-0000-00007D740000}"/>
    <cellStyle name="Remarque 2 5 5 5 3 3" xfId="16682" xr:uid="{00000000-0005-0000-0000-00007E740000}"/>
    <cellStyle name="Remarque 2 5 5 5 3 4" xfId="40642" xr:uid="{00000000-0005-0000-0000-00007F740000}"/>
    <cellStyle name="Remarque 2 5 5 5 4" xfId="6815" xr:uid="{00000000-0005-0000-0000-000080740000}"/>
    <cellStyle name="Remarque 2 5 5 5 4 2" xfId="30829" xr:uid="{00000000-0005-0000-0000-000081740000}"/>
    <cellStyle name="Remarque 2 5 5 5 4 2 2" xfId="54789" xr:uid="{00000000-0005-0000-0000-000082740000}"/>
    <cellStyle name="Remarque 2 5 5 5 4 3" xfId="18076" xr:uid="{00000000-0005-0000-0000-000083740000}"/>
    <cellStyle name="Remarque 2 5 5 5 4 4" xfId="42036" xr:uid="{00000000-0005-0000-0000-000084740000}"/>
    <cellStyle name="Remarque 2 5 5 5 5" xfId="8203" xr:uid="{00000000-0005-0000-0000-000085740000}"/>
    <cellStyle name="Remarque 2 5 5 5 5 2" xfId="32217" xr:uid="{00000000-0005-0000-0000-000086740000}"/>
    <cellStyle name="Remarque 2 5 5 5 5 2 2" xfId="56177" xr:uid="{00000000-0005-0000-0000-000087740000}"/>
    <cellStyle name="Remarque 2 5 5 5 5 3" xfId="19464" xr:uid="{00000000-0005-0000-0000-000088740000}"/>
    <cellStyle name="Remarque 2 5 5 5 5 4" xfId="43424" xr:uid="{00000000-0005-0000-0000-000089740000}"/>
    <cellStyle name="Remarque 2 5 5 5 6" xfId="9588" xr:uid="{00000000-0005-0000-0000-00008A740000}"/>
    <cellStyle name="Remarque 2 5 5 5 6 2" xfId="33602" xr:uid="{00000000-0005-0000-0000-00008B740000}"/>
    <cellStyle name="Remarque 2 5 5 5 6 2 2" xfId="57562" xr:uid="{00000000-0005-0000-0000-00008C740000}"/>
    <cellStyle name="Remarque 2 5 5 5 6 3" xfId="20849" xr:uid="{00000000-0005-0000-0000-00008D740000}"/>
    <cellStyle name="Remarque 2 5 5 5 6 4" xfId="44809" xr:uid="{00000000-0005-0000-0000-00008E740000}"/>
    <cellStyle name="Remarque 2 5 5 5 7" xfId="11045" xr:uid="{00000000-0005-0000-0000-00008F740000}"/>
    <cellStyle name="Remarque 2 5 5 5 7 2" xfId="35055" xr:uid="{00000000-0005-0000-0000-000090740000}"/>
    <cellStyle name="Remarque 2 5 5 5 7 2 2" xfId="59015" xr:uid="{00000000-0005-0000-0000-000091740000}"/>
    <cellStyle name="Remarque 2 5 5 5 7 3" xfId="22312" xr:uid="{00000000-0005-0000-0000-000092740000}"/>
    <cellStyle name="Remarque 2 5 5 5 7 4" xfId="46272" xr:uid="{00000000-0005-0000-0000-000093740000}"/>
    <cellStyle name="Remarque 2 5 5 5 8" xfId="12647" xr:uid="{00000000-0005-0000-0000-000094740000}"/>
    <cellStyle name="Remarque 2 5 5 5 8 2" xfId="23952" xr:uid="{00000000-0005-0000-0000-000095740000}"/>
    <cellStyle name="Remarque 2 5 5 5 8 3" xfId="47912" xr:uid="{00000000-0005-0000-0000-000096740000}"/>
    <cellStyle name="Remarque 2 5 5 5 9" xfId="2517" xr:uid="{00000000-0005-0000-0000-000097740000}"/>
    <cellStyle name="Remarque 2 5 5 5 9 2" xfId="26531" xr:uid="{00000000-0005-0000-0000-000098740000}"/>
    <cellStyle name="Remarque 2 5 5 5 9 3" xfId="50491" xr:uid="{00000000-0005-0000-0000-000099740000}"/>
    <cellStyle name="Remarque 2 5 5 6" xfId="1248" xr:uid="{00000000-0005-0000-0000-00009A740000}"/>
    <cellStyle name="Remarque 2 5 5 6 10" xfId="25280" xr:uid="{00000000-0005-0000-0000-00009B740000}"/>
    <cellStyle name="Remarque 2 5 5 6 10 2" xfId="49240" xr:uid="{00000000-0005-0000-0000-00009C740000}"/>
    <cellStyle name="Remarque 2 5 5 6 11" xfId="36808" xr:uid="{00000000-0005-0000-0000-00009D740000}"/>
    <cellStyle name="Remarque 2 5 5 6 11 2" xfId="60768" xr:uid="{00000000-0005-0000-0000-00009E740000}"/>
    <cellStyle name="Remarque 2 5 5 6 12" xfId="13945" xr:uid="{00000000-0005-0000-0000-00009F740000}"/>
    <cellStyle name="Remarque 2 5 5 6 13" xfId="37905" xr:uid="{00000000-0005-0000-0000-0000A0740000}"/>
    <cellStyle name="Remarque 2 5 5 6 2" xfId="4154" xr:uid="{00000000-0005-0000-0000-0000A1740000}"/>
    <cellStyle name="Remarque 2 5 5 6 2 2" xfId="28168" xr:uid="{00000000-0005-0000-0000-0000A2740000}"/>
    <cellStyle name="Remarque 2 5 5 6 2 2 2" xfId="52128" xr:uid="{00000000-0005-0000-0000-0000A3740000}"/>
    <cellStyle name="Remarque 2 5 5 6 2 3" xfId="15415" xr:uid="{00000000-0005-0000-0000-0000A4740000}"/>
    <cellStyle name="Remarque 2 5 5 6 2 4" xfId="39375" xr:uid="{00000000-0005-0000-0000-0000A5740000}"/>
    <cellStyle name="Remarque 2 5 5 6 3" xfId="5588" xr:uid="{00000000-0005-0000-0000-0000A6740000}"/>
    <cellStyle name="Remarque 2 5 5 6 3 2" xfId="29602" xr:uid="{00000000-0005-0000-0000-0000A7740000}"/>
    <cellStyle name="Remarque 2 5 5 6 3 2 2" xfId="53562" xr:uid="{00000000-0005-0000-0000-0000A8740000}"/>
    <cellStyle name="Remarque 2 5 5 6 3 3" xfId="16849" xr:uid="{00000000-0005-0000-0000-0000A9740000}"/>
    <cellStyle name="Remarque 2 5 5 6 3 4" xfId="40809" xr:uid="{00000000-0005-0000-0000-0000AA740000}"/>
    <cellStyle name="Remarque 2 5 5 6 4" xfId="6982" xr:uid="{00000000-0005-0000-0000-0000AB740000}"/>
    <cellStyle name="Remarque 2 5 5 6 4 2" xfId="30996" xr:uid="{00000000-0005-0000-0000-0000AC740000}"/>
    <cellStyle name="Remarque 2 5 5 6 4 2 2" xfId="54956" xr:uid="{00000000-0005-0000-0000-0000AD740000}"/>
    <cellStyle name="Remarque 2 5 5 6 4 3" xfId="18243" xr:uid="{00000000-0005-0000-0000-0000AE740000}"/>
    <cellStyle name="Remarque 2 5 5 6 4 4" xfId="42203" xr:uid="{00000000-0005-0000-0000-0000AF740000}"/>
    <cellStyle name="Remarque 2 5 5 6 5" xfId="8370" xr:uid="{00000000-0005-0000-0000-0000B0740000}"/>
    <cellStyle name="Remarque 2 5 5 6 5 2" xfId="32384" xr:uid="{00000000-0005-0000-0000-0000B1740000}"/>
    <cellStyle name="Remarque 2 5 5 6 5 2 2" xfId="56344" xr:uid="{00000000-0005-0000-0000-0000B2740000}"/>
    <cellStyle name="Remarque 2 5 5 6 5 3" xfId="19631" xr:uid="{00000000-0005-0000-0000-0000B3740000}"/>
    <cellStyle name="Remarque 2 5 5 6 5 4" xfId="43591" xr:uid="{00000000-0005-0000-0000-0000B4740000}"/>
    <cellStyle name="Remarque 2 5 5 6 6" xfId="9755" xr:uid="{00000000-0005-0000-0000-0000B5740000}"/>
    <cellStyle name="Remarque 2 5 5 6 6 2" xfId="33769" xr:uid="{00000000-0005-0000-0000-0000B6740000}"/>
    <cellStyle name="Remarque 2 5 5 6 6 2 2" xfId="57729" xr:uid="{00000000-0005-0000-0000-0000B7740000}"/>
    <cellStyle name="Remarque 2 5 5 6 6 3" xfId="21016" xr:uid="{00000000-0005-0000-0000-0000B8740000}"/>
    <cellStyle name="Remarque 2 5 5 6 6 4" xfId="44976" xr:uid="{00000000-0005-0000-0000-0000B9740000}"/>
    <cellStyle name="Remarque 2 5 5 6 7" xfId="11212" xr:uid="{00000000-0005-0000-0000-0000BA740000}"/>
    <cellStyle name="Remarque 2 5 5 6 7 2" xfId="35222" xr:uid="{00000000-0005-0000-0000-0000BB740000}"/>
    <cellStyle name="Remarque 2 5 5 6 7 2 2" xfId="59182" xr:uid="{00000000-0005-0000-0000-0000BC740000}"/>
    <cellStyle name="Remarque 2 5 5 6 7 3" xfId="22479" xr:uid="{00000000-0005-0000-0000-0000BD740000}"/>
    <cellStyle name="Remarque 2 5 5 6 7 4" xfId="46439" xr:uid="{00000000-0005-0000-0000-0000BE740000}"/>
    <cellStyle name="Remarque 2 5 5 6 8" xfId="12894" xr:uid="{00000000-0005-0000-0000-0000BF740000}"/>
    <cellStyle name="Remarque 2 5 5 6 8 2" xfId="24207" xr:uid="{00000000-0005-0000-0000-0000C0740000}"/>
    <cellStyle name="Remarque 2 5 5 6 8 3" xfId="48167" xr:uid="{00000000-0005-0000-0000-0000C1740000}"/>
    <cellStyle name="Remarque 2 5 5 6 9" xfId="2684" xr:uid="{00000000-0005-0000-0000-0000C2740000}"/>
    <cellStyle name="Remarque 2 5 5 6 9 2" xfId="26698" xr:uid="{00000000-0005-0000-0000-0000C3740000}"/>
    <cellStyle name="Remarque 2 5 5 6 9 3" xfId="50658" xr:uid="{00000000-0005-0000-0000-0000C4740000}"/>
    <cellStyle name="Remarque 2 5 5 7" xfId="1417" xr:uid="{00000000-0005-0000-0000-0000C5740000}"/>
    <cellStyle name="Remarque 2 5 5 7 10" xfId="25449" xr:uid="{00000000-0005-0000-0000-0000C6740000}"/>
    <cellStyle name="Remarque 2 5 5 7 10 2" xfId="49409" xr:uid="{00000000-0005-0000-0000-0000C7740000}"/>
    <cellStyle name="Remarque 2 5 5 7 11" xfId="36215" xr:uid="{00000000-0005-0000-0000-0000C8740000}"/>
    <cellStyle name="Remarque 2 5 5 7 11 2" xfId="60175" xr:uid="{00000000-0005-0000-0000-0000C9740000}"/>
    <cellStyle name="Remarque 2 5 5 7 12" xfId="14114" xr:uid="{00000000-0005-0000-0000-0000CA740000}"/>
    <cellStyle name="Remarque 2 5 5 7 13" xfId="38074" xr:uid="{00000000-0005-0000-0000-0000CB740000}"/>
    <cellStyle name="Remarque 2 5 5 7 2" xfId="4323" xr:uid="{00000000-0005-0000-0000-0000CC740000}"/>
    <cellStyle name="Remarque 2 5 5 7 2 2" xfId="28337" xr:uid="{00000000-0005-0000-0000-0000CD740000}"/>
    <cellStyle name="Remarque 2 5 5 7 2 2 2" xfId="52297" xr:uid="{00000000-0005-0000-0000-0000CE740000}"/>
    <cellStyle name="Remarque 2 5 5 7 2 3" xfId="15584" xr:uid="{00000000-0005-0000-0000-0000CF740000}"/>
    <cellStyle name="Remarque 2 5 5 7 2 4" xfId="39544" xr:uid="{00000000-0005-0000-0000-0000D0740000}"/>
    <cellStyle name="Remarque 2 5 5 7 3" xfId="5757" xr:uid="{00000000-0005-0000-0000-0000D1740000}"/>
    <cellStyle name="Remarque 2 5 5 7 3 2" xfId="29771" xr:uid="{00000000-0005-0000-0000-0000D2740000}"/>
    <cellStyle name="Remarque 2 5 5 7 3 2 2" xfId="53731" xr:uid="{00000000-0005-0000-0000-0000D3740000}"/>
    <cellStyle name="Remarque 2 5 5 7 3 3" xfId="17018" xr:uid="{00000000-0005-0000-0000-0000D4740000}"/>
    <cellStyle name="Remarque 2 5 5 7 3 4" xfId="40978" xr:uid="{00000000-0005-0000-0000-0000D5740000}"/>
    <cellStyle name="Remarque 2 5 5 7 4" xfId="7151" xr:uid="{00000000-0005-0000-0000-0000D6740000}"/>
    <cellStyle name="Remarque 2 5 5 7 4 2" xfId="31165" xr:uid="{00000000-0005-0000-0000-0000D7740000}"/>
    <cellStyle name="Remarque 2 5 5 7 4 2 2" xfId="55125" xr:uid="{00000000-0005-0000-0000-0000D8740000}"/>
    <cellStyle name="Remarque 2 5 5 7 4 3" xfId="18412" xr:uid="{00000000-0005-0000-0000-0000D9740000}"/>
    <cellStyle name="Remarque 2 5 5 7 4 4" xfId="42372" xr:uid="{00000000-0005-0000-0000-0000DA740000}"/>
    <cellStyle name="Remarque 2 5 5 7 5" xfId="8539" xr:uid="{00000000-0005-0000-0000-0000DB740000}"/>
    <cellStyle name="Remarque 2 5 5 7 5 2" xfId="32553" xr:uid="{00000000-0005-0000-0000-0000DC740000}"/>
    <cellStyle name="Remarque 2 5 5 7 5 2 2" xfId="56513" xr:uid="{00000000-0005-0000-0000-0000DD740000}"/>
    <cellStyle name="Remarque 2 5 5 7 5 3" xfId="19800" xr:uid="{00000000-0005-0000-0000-0000DE740000}"/>
    <cellStyle name="Remarque 2 5 5 7 5 4" xfId="43760" xr:uid="{00000000-0005-0000-0000-0000DF740000}"/>
    <cellStyle name="Remarque 2 5 5 7 6" xfId="9924" xr:uid="{00000000-0005-0000-0000-0000E0740000}"/>
    <cellStyle name="Remarque 2 5 5 7 6 2" xfId="33938" xr:uid="{00000000-0005-0000-0000-0000E1740000}"/>
    <cellStyle name="Remarque 2 5 5 7 6 2 2" xfId="57898" xr:uid="{00000000-0005-0000-0000-0000E2740000}"/>
    <cellStyle name="Remarque 2 5 5 7 6 3" xfId="21185" xr:uid="{00000000-0005-0000-0000-0000E3740000}"/>
    <cellStyle name="Remarque 2 5 5 7 6 4" xfId="45145" xr:uid="{00000000-0005-0000-0000-0000E4740000}"/>
    <cellStyle name="Remarque 2 5 5 7 7" xfId="11381" xr:uid="{00000000-0005-0000-0000-0000E5740000}"/>
    <cellStyle name="Remarque 2 5 5 7 7 2" xfId="35391" xr:uid="{00000000-0005-0000-0000-0000E6740000}"/>
    <cellStyle name="Remarque 2 5 5 7 7 2 2" xfId="59351" xr:uid="{00000000-0005-0000-0000-0000E7740000}"/>
    <cellStyle name="Remarque 2 5 5 7 7 3" xfId="22648" xr:uid="{00000000-0005-0000-0000-0000E8740000}"/>
    <cellStyle name="Remarque 2 5 5 7 7 4" xfId="46608" xr:uid="{00000000-0005-0000-0000-0000E9740000}"/>
    <cellStyle name="Remarque 2 5 5 7 8" xfId="12615" xr:uid="{00000000-0005-0000-0000-0000EA740000}"/>
    <cellStyle name="Remarque 2 5 5 7 8 2" xfId="23917" xr:uid="{00000000-0005-0000-0000-0000EB740000}"/>
    <cellStyle name="Remarque 2 5 5 7 8 3" xfId="47877" xr:uid="{00000000-0005-0000-0000-0000EC740000}"/>
    <cellStyle name="Remarque 2 5 5 7 9" xfId="2853" xr:uid="{00000000-0005-0000-0000-0000ED740000}"/>
    <cellStyle name="Remarque 2 5 5 7 9 2" xfId="26867" xr:uid="{00000000-0005-0000-0000-0000EE740000}"/>
    <cellStyle name="Remarque 2 5 5 7 9 3" xfId="50827" xr:uid="{00000000-0005-0000-0000-0000EF740000}"/>
    <cellStyle name="Remarque 2 5 5 8" xfId="3272" xr:uid="{00000000-0005-0000-0000-0000F0740000}"/>
    <cellStyle name="Remarque 2 5 5 8 2" xfId="27286" xr:uid="{00000000-0005-0000-0000-0000F1740000}"/>
    <cellStyle name="Remarque 2 5 5 8 2 2" xfId="51246" xr:uid="{00000000-0005-0000-0000-0000F2740000}"/>
    <cellStyle name="Remarque 2 5 5 8 3" xfId="14533" xr:uid="{00000000-0005-0000-0000-0000F3740000}"/>
    <cellStyle name="Remarque 2 5 5 8 4" xfId="38493" xr:uid="{00000000-0005-0000-0000-0000F4740000}"/>
    <cellStyle name="Remarque 2 5 5 9" xfId="4706" xr:uid="{00000000-0005-0000-0000-0000F5740000}"/>
    <cellStyle name="Remarque 2 5 5 9 2" xfId="28720" xr:uid="{00000000-0005-0000-0000-0000F6740000}"/>
    <cellStyle name="Remarque 2 5 5 9 2 2" xfId="52680" xr:uid="{00000000-0005-0000-0000-0000F7740000}"/>
    <cellStyle name="Remarque 2 5 5 9 3" xfId="15967" xr:uid="{00000000-0005-0000-0000-0000F8740000}"/>
    <cellStyle name="Remarque 2 5 5 9 4" xfId="39927" xr:uid="{00000000-0005-0000-0000-0000F9740000}"/>
    <cellStyle name="Remarque 2 5 6" xfId="321" xr:uid="{00000000-0005-0000-0000-0000FA740000}"/>
    <cellStyle name="Remarque 2 5 6 10" xfId="24353" xr:uid="{00000000-0005-0000-0000-0000FB740000}"/>
    <cellStyle name="Remarque 2 5 6 10 2" xfId="48313" xr:uid="{00000000-0005-0000-0000-0000FC740000}"/>
    <cellStyle name="Remarque 2 5 6 11" xfId="36365" xr:uid="{00000000-0005-0000-0000-0000FD740000}"/>
    <cellStyle name="Remarque 2 5 6 11 2" xfId="60325" xr:uid="{00000000-0005-0000-0000-0000FE740000}"/>
    <cellStyle name="Remarque 2 5 6 12" xfId="13018" xr:uid="{00000000-0005-0000-0000-0000FF740000}"/>
    <cellStyle name="Remarque 2 5 6 13" xfId="36978" xr:uid="{00000000-0005-0000-0000-000000750000}"/>
    <cellStyle name="Remarque 2 5 6 2" xfId="3227" xr:uid="{00000000-0005-0000-0000-000001750000}"/>
    <cellStyle name="Remarque 2 5 6 2 2" xfId="27241" xr:uid="{00000000-0005-0000-0000-000002750000}"/>
    <cellStyle name="Remarque 2 5 6 2 2 2" xfId="51201" xr:uid="{00000000-0005-0000-0000-000003750000}"/>
    <cellStyle name="Remarque 2 5 6 2 3" xfId="14488" xr:uid="{00000000-0005-0000-0000-000004750000}"/>
    <cellStyle name="Remarque 2 5 6 2 4" xfId="38448" xr:uid="{00000000-0005-0000-0000-000005750000}"/>
    <cellStyle name="Remarque 2 5 6 3" xfId="4661" xr:uid="{00000000-0005-0000-0000-000006750000}"/>
    <cellStyle name="Remarque 2 5 6 3 2" xfId="28675" xr:uid="{00000000-0005-0000-0000-000007750000}"/>
    <cellStyle name="Remarque 2 5 6 3 2 2" xfId="52635" xr:uid="{00000000-0005-0000-0000-000008750000}"/>
    <cellStyle name="Remarque 2 5 6 3 3" xfId="15922" xr:uid="{00000000-0005-0000-0000-000009750000}"/>
    <cellStyle name="Remarque 2 5 6 3 4" xfId="39882" xr:uid="{00000000-0005-0000-0000-00000A750000}"/>
    <cellStyle name="Remarque 2 5 6 4" xfId="6055" xr:uid="{00000000-0005-0000-0000-00000B750000}"/>
    <cellStyle name="Remarque 2 5 6 4 2" xfId="30069" xr:uid="{00000000-0005-0000-0000-00000C750000}"/>
    <cellStyle name="Remarque 2 5 6 4 2 2" xfId="54029" xr:uid="{00000000-0005-0000-0000-00000D750000}"/>
    <cellStyle name="Remarque 2 5 6 4 3" xfId="17316" xr:uid="{00000000-0005-0000-0000-00000E750000}"/>
    <cellStyle name="Remarque 2 5 6 4 4" xfId="41276" xr:uid="{00000000-0005-0000-0000-00000F750000}"/>
    <cellStyle name="Remarque 2 5 6 5" xfId="7443" xr:uid="{00000000-0005-0000-0000-000010750000}"/>
    <cellStyle name="Remarque 2 5 6 5 2" xfId="31457" xr:uid="{00000000-0005-0000-0000-000011750000}"/>
    <cellStyle name="Remarque 2 5 6 5 2 2" xfId="55417" xr:uid="{00000000-0005-0000-0000-000012750000}"/>
    <cellStyle name="Remarque 2 5 6 5 3" xfId="18704" xr:uid="{00000000-0005-0000-0000-000013750000}"/>
    <cellStyle name="Remarque 2 5 6 5 4" xfId="42664" xr:uid="{00000000-0005-0000-0000-000014750000}"/>
    <cellStyle name="Remarque 2 5 6 6" xfId="8828" xr:uid="{00000000-0005-0000-0000-000015750000}"/>
    <cellStyle name="Remarque 2 5 6 6 2" xfId="32842" xr:uid="{00000000-0005-0000-0000-000016750000}"/>
    <cellStyle name="Remarque 2 5 6 6 2 2" xfId="56802" xr:uid="{00000000-0005-0000-0000-000017750000}"/>
    <cellStyle name="Remarque 2 5 6 6 3" xfId="20089" xr:uid="{00000000-0005-0000-0000-000018750000}"/>
    <cellStyle name="Remarque 2 5 6 6 4" xfId="44049" xr:uid="{00000000-0005-0000-0000-000019750000}"/>
    <cellStyle name="Remarque 2 5 6 7" xfId="10285" xr:uid="{00000000-0005-0000-0000-00001A750000}"/>
    <cellStyle name="Remarque 2 5 6 7 2" xfId="34295" xr:uid="{00000000-0005-0000-0000-00001B750000}"/>
    <cellStyle name="Remarque 2 5 6 7 2 2" xfId="58255" xr:uid="{00000000-0005-0000-0000-00001C750000}"/>
    <cellStyle name="Remarque 2 5 6 7 3" xfId="21552" xr:uid="{00000000-0005-0000-0000-00001D750000}"/>
    <cellStyle name="Remarque 2 5 6 7 4" xfId="45512" xr:uid="{00000000-0005-0000-0000-00001E750000}"/>
    <cellStyle name="Remarque 2 5 6 8" xfId="11919" xr:uid="{00000000-0005-0000-0000-00001F750000}"/>
    <cellStyle name="Remarque 2 5 6 8 2" xfId="23197" xr:uid="{00000000-0005-0000-0000-000020750000}"/>
    <cellStyle name="Remarque 2 5 6 8 3" xfId="47157" xr:uid="{00000000-0005-0000-0000-000021750000}"/>
    <cellStyle name="Remarque 2 5 6 9" xfId="1757" xr:uid="{00000000-0005-0000-0000-000022750000}"/>
    <cellStyle name="Remarque 2 5 6 9 2" xfId="25771" xr:uid="{00000000-0005-0000-0000-000023750000}"/>
    <cellStyle name="Remarque 2 5 6 9 3" xfId="49731" xr:uid="{00000000-0005-0000-0000-000024750000}"/>
    <cellStyle name="Remarque 2 5 7" xfId="623" xr:uid="{00000000-0005-0000-0000-000025750000}"/>
    <cellStyle name="Remarque 2 5 7 10" xfId="24655" xr:uid="{00000000-0005-0000-0000-000026750000}"/>
    <cellStyle name="Remarque 2 5 7 10 2" xfId="48615" xr:uid="{00000000-0005-0000-0000-000027750000}"/>
    <cellStyle name="Remarque 2 5 7 11" xfId="36088" xr:uid="{00000000-0005-0000-0000-000028750000}"/>
    <cellStyle name="Remarque 2 5 7 11 2" xfId="60048" xr:uid="{00000000-0005-0000-0000-000029750000}"/>
    <cellStyle name="Remarque 2 5 7 12" xfId="13320" xr:uid="{00000000-0005-0000-0000-00002A750000}"/>
    <cellStyle name="Remarque 2 5 7 13" xfId="37280" xr:uid="{00000000-0005-0000-0000-00002B750000}"/>
    <cellStyle name="Remarque 2 5 7 2" xfId="3529" xr:uid="{00000000-0005-0000-0000-00002C750000}"/>
    <cellStyle name="Remarque 2 5 7 2 2" xfId="27543" xr:uid="{00000000-0005-0000-0000-00002D750000}"/>
    <cellStyle name="Remarque 2 5 7 2 2 2" xfId="51503" xr:uid="{00000000-0005-0000-0000-00002E750000}"/>
    <cellStyle name="Remarque 2 5 7 2 3" xfId="14790" xr:uid="{00000000-0005-0000-0000-00002F750000}"/>
    <cellStyle name="Remarque 2 5 7 2 4" xfId="38750" xr:uid="{00000000-0005-0000-0000-000030750000}"/>
    <cellStyle name="Remarque 2 5 7 3" xfId="4963" xr:uid="{00000000-0005-0000-0000-000031750000}"/>
    <cellStyle name="Remarque 2 5 7 3 2" xfId="28977" xr:uid="{00000000-0005-0000-0000-000032750000}"/>
    <cellStyle name="Remarque 2 5 7 3 2 2" xfId="52937" xr:uid="{00000000-0005-0000-0000-000033750000}"/>
    <cellStyle name="Remarque 2 5 7 3 3" xfId="16224" xr:uid="{00000000-0005-0000-0000-000034750000}"/>
    <cellStyle name="Remarque 2 5 7 3 4" xfId="40184" xr:uid="{00000000-0005-0000-0000-000035750000}"/>
    <cellStyle name="Remarque 2 5 7 4" xfId="6357" xr:uid="{00000000-0005-0000-0000-000036750000}"/>
    <cellStyle name="Remarque 2 5 7 4 2" xfId="30371" xr:uid="{00000000-0005-0000-0000-000037750000}"/>
    <cellStyle name="Remarque 2 5 7 4 2 2" xfId="54331" xr:uid="{00000000-0005-0000-0000-000038750000}"/>
    <cellStyle name="Remarque 2 5 7 4 3" xfId="17618" xr:uid="{00000000-0005-0000-0000-000039750000}"/>
    <cellStyle name="Remarque 2 5 7 4 4" xfId="41578" xr:uid="{00000000-0005-0000-0000-00003A750000}"/>
    <cellStyle name="Remarque 2 5 7 5" xfId="7745" xr:uid="{00000000-0005-0000-0000-00003B750000}"/>
    <cellStyle name="Remarque 2 5 7 5 2" xfId="31759" xr:uid="{00000000-0005-0000-0000-00003C750000}"/>
    <cellStyle name="Remarque 2 5 7 5 2 2" xfId="55719" xr:uid="{00000000-0005-0000-0000-00003D750000}"/>
    <cellStyle name="Remarque 2 5 7 5 3" xfId="19006" xr:uid="{00000000-0005-0000-0000-00003E750000}"/>
    <cellStyle name="Remarque 2 5 7 5 4" xfId="42966" xr:uid="{00000000-0005-0000-0000-00003F750000}"/>
    <cellStyle name="Remarque 2 5 7 6" xfId="9130" xr:uid="{00000000-0005-0000-0000-000040750000}"/>
    <cellStyle name="Remarque 2 5 7 6 2" xfId="33144" xr:uid="{00000000-0005-0000-0000-000041750000}"/>
    <cellStyle name="Remarque 2 5 7 6 2 2" xfId="57104" xr:uid="{00000000-0005-0000-0000-000042750000}"/>
    <cellStyle name="Remarque 2 5 7 6 3" xfId="20391" xr:uid="{00000000-0005-0000-0000-000043750000}"/>
    <cellStyle name="Remarque 2 5 7 6 4" xfId="44351" xr:uid="{00000000-0005-0000-0000-000044750000}"/>
    <cellStyle name="Remarque 2 5 7 7" xfId="10587" xr:uid="{00000000-0005-0000-0000-000045750000}"/>
    <cellStyle name="Remarque 2 5 7 7 2" xfId="34597" xr:uid="{00000000-0005-0000-0000-000046750000}"/>
    <cellStyle name="Remarque 2 5 7 7 2 2" xfId="58557" xr:uid="{00000000-0005-0000-0000-000047750000}"/>
    <cellStyle name="Remarque 2 5 7 7 3" xfId="21854" xr:uid="{00000000-0005-0000-0000-000048750000}"/>
    <cellStyle name="Remarque 2 5 7 7 4" xfId="45814" xr:uid="{00000000-0005-0000-0000-000049750000}"/>
    <cellStyle name="Remarque 2 5 7 8" xfId="12239" xr:uid="{00000000-0005-0000-0000-00004A750000}"/>
    <cellStyle name="Remarque 2 5 7 8 2" xfId="23523" xr:uid="{00000000-0005-0000-0000-00004B750000}"/>
    <cellStyle name="Remarque 2 5 7 8 3" xfId="47483" xr:uid="{00000000-0005-0000-0000-00004C750000}"/>
    <cellStyle name="Remarque 2 5 7 9" xfId="2059" xr:uid="{00000000-0005-0000-0000-00004D750000}"/>
    <cellStyle name="Remarque 2 5 7 9 2" xfId="26073" xr:uid="{00000000-0005-0000-0000-00004E750000}"/>
    <cellStyle name="Remarque 2 5 7 9 3" xfId="50033" xr:uid="{00000000-0005-0000-0000-00004F750000}"/>
    <cellStyle name="Remarque 2 5 8" xfId="817" xr:uid="{00000000-0005-0000-0000-000050750000}"/>
    <cellStyle name="Remarque 2 5 8 10" xfId="24849" xr:uid="{00000000-0005-0000-0000-000051750000}"/>
    <cellStyle name="Remarque 2 5 8 10 2" xfId="48809" xr:uid="{00000000-0005-0000-0000-000052750000}"/>
    <cellStyle name="Remarque 2 5 8 11" xfId="35997" xr:uid="{00000000-0005-0000-0000-000053750000}"/>
    <cellStyle name="Remarque 2 5 8 11 2" xfId="59957" xr:uid="{00000000-0005-0000-0000-000054750000}"/>
    <cellStyle name="Remarque 2 5 8 12" xfId="13514" xr:uid="{00000000-0005-0000-0000-000055750000}"/>
    <cellStyle name="Remarque 2 5 8 13" xfId="37474" xr:uid="{00000000-0005-0000-0000-000056750000}"/>
    <cellStyle name="Remarque 2 5 8 2" xfId="3723" xr:uid="{00000000-0005-0000-0000-000057750000}"/>
    <cellStyle name="Remarque 2 5 8 2 2" xfId="27737" xr:uid="{00000000-0005-0000-0000-000058750000}"/>
    <cellStyle name="Remarque 2 5 8 2 2 2" xfId="51697" xr:uid="{00000000-0005-0000-0000-000059750000}"/>
    <cellStyle name="Remarque 2 5 8 2 3" xfId="14984" xr:uid="{00000000-0005-0000-0000-00005A750000}"/>
    <cellStyle name="Remarque 2 5 8 2 4" xfId="38944" xr:uid="{00000000-0005-0000-0000-00005B750000}"/>
    <cellStyle name="Remarque 2 5 8 3" xfId="5157" xr:uid="{00000000-0005-0000-0000-00005C750000}"/>
    <cellStyle name="Remarque 2 5 8 3 2" xfId="29171" xr:uid="{00000000-0005-0000-0000-00005D750000}"/>
    <cellStyle name="Remarque 2 5 8 3 2 2" xfId="53131" xr:uid="{00000000-0005-0000-0000-00005E750000}"/>
    <cellStyle name="Remarque 2 5 8 3 3" xfId="16418" xr:uid="{00000000-0005-0000-0000-00005F750000}"/>
    <cellStyle name="Remarque 2 5 8 3 4" xfId="40378" xr:uid="{00000000-0005-0000-0000-000060750000}"/>
    <cellStyle name="Remarque 2 5 8 4" xfId="6551" xr:uid="{00000000-0005-0000-0000-000061750000}"/>
    <cellStyle name="Remarque 2 5 8 4 2" xfId="30565" xr:uid="{00000000-0005-0000-0000-000062750000}"/>
    <cellStyle name="Remarque 2 5 8 4 2 2" xfId="54525" xr:uid="{00000000-0005-0000-0000-000063750000}"/>
    <cellStyle name="Remarque 2 5 8 4 3" xfId="17812" xr:uid="{00000000-0005-0000-0000-000064750000}"/>
    <cellStyle name="Remarque 2 5 8 4 4" xfId="41772" xr:uid="{00000000-0005-0000-0000-000065750000}"/>
    <cellStyle name="Remarque 2 5 8 5" xfId="7939" xr:uid="{00000000-0005-0000-0000-000066750000}"/>
    <cellStyle name="Remarque 2 5 8 5 2" xfId="31953" xr:uid="{00000000-0005-0000-0000-000067750000}"/>
    <cellStyle name="Remarque 2 5 8 5 2 2" xfId="55913" xr:uid="{00000000-0005-0000-0000-000068750000}"/>
    <cellStyle name="Remarque 2 5 8 5 3" xfId="19200" xr:uid="{00000000-0005-0000-0000-000069750000}"/>
    <cellStyle name="Remarque 2 5 8 5 4" xfId="43160" xr:uid="{00000000-0005-0000-0000-00006A750000}"/>
    <cellStyle name="Remarque 2 5 8 6" xfId="9324" xr:uid="{00000000-0005-0000-0000-00006B750000}"/>
    <cellStyle name="Remarque 2 5 8 6 2" xfId="33338" xr:uid="{00000000-0005-0000-0000-00006C750000}"/>
    <cellStyle name="Remarque 2 5 8 6 2 2" xfId="57298" xr:uid="{00000000-0005-0000-0000-00006D750000}"/>
    <cellStyle name="Remarque 2 5 8 6 3" xfId="20585" xr:uid="{00000000-0005-0000-0000-00006E750000}"/>
    <cellStyle name="Remarque 2 5 8 6 4" xfId="44545" xr:uid="{00000000-0005-0000-0000-00006F750000}"/>
    <cellStyle name="Remarque 2 5 8 7" xfId="10781" xr:uid="{00000000-0005-0000-0000-000070750000}"/>
    <cellStyle name="Remarque 2 5 8 7 2" xfId="34791" xr:uid="{00000000-0005-0000-0000-000071750000}"/>
    <cellStyle name="Remarque 2 5 8 7 2 2" xfId="58751" xr:uid="{00000000-0005-0000-0000-000072750000}"/>
    <cellStyle name="Remarque 2 5 8 7 3" xfId="22048" xr:uid="{00000000-0005-0000-0000-000073750000}"/>
    <cellStyle name="Remarque 2 5 8 7 4" xfId="46008" xr:uid="{00000000-0005-0000-0000-000074750000}"/>
    <cellStyle name="Remarque 2 5 8 8" xfId="12148" xr:uid="{00000000-0005-0000-0000-000075750000}"/>
    <cellStyle name="Remarque 2 5 8 8 2" xfId="23431" xr:uid="{00000000-0005-0000-0000-000076750000}"/>
    <cellStyle name="Remarque 2 5 8 8 3" xfId="47391" xr:uid="{00000000-0005-0000-0000-000077750000}"/>
    <cellStyle name="Remarque 2 5 8 9" xfId="2253" xr:uid="{00000000-0005-0000-0000-000078750000}"/>
    <cellStyle name="Remarque 2 5 8 9 2" xfId="26267" xr:uid="{00000000-0005-0000-0000-000079750000}"/>
    <cellStyle name="Remarque 2 5 8 9 3" xfId="50227" xr:uid="{00000000-0005-0000-0000-00007A750000}"/>
    <cellStyle name="Remarque 2 5 9" xfId="1010" xr:uid="{00000000-0005-0000-0000-00007B750000}"/>
    <cellStyle name="Remarque 2 5 9 10" xfId="25042" xr:uid="{00000000-0005-0000-0000-00007C750000}"/>
    <cellStyle name="Remarque 2 5 9 10 2" xfId="49002" xr:uid="{00000000-0005-0000-0000-00007D750000}"/>
    <cellStyle name="Remarque 2 5 9 11" xfId="36648" xr:uid="{00000000-0005-0000-0000-00007E750000}"/>
    <cellStyle name="Remarque 2 5 9 11 2" xfId="60608" xr:uid="{00000000-0005-0000-0000-00007F750000}"/>
    <cellStyle name="Remarque 2 5 9 12" xfId="13707" xr:uid="{00000000-0005-0000-0000-000080750000}"/>
    <cellStyle name="Remarque 2 5 9 13" xfId="37667" xr:uid="{00000000-0005-0000-0000-000081750000}"/>
    <cellStyle name="Remarque 2 5 9 2" xfId="3916" xr:uid="{00000000-0005-0000-0000-000082750000}"/>
    <cellStyle name="Remarque 2 5 9 2 2" xfId="27930" xr:uid="{00000000-0005-0000-0000-000083750000}"/>
    <cellStyle name="Remarque 2 5 9 2 2 2" xfId="51890" xr:uid="{00000000-0005-0000-0000-000084750000}"/>
    <cellStyle name="Remarque 2 5 9 2 3" xfId="15177" xr:uid="{00000000-0005-0000-0000-000085750000}"/>
    <cellStyle name="Remarque 2 5 9 2 4" xfId="39137" xr:uid="{00000000-0005-0000-0000-000086750000}"/>
    <cellStyle name="Remarque 2 5 9 3" xfId="5350" xr:uid="{00000000-0005-0000-0000-000087750000}"/>
    <cellStyle name="Remarque 2 5 9 3 2" xfId="29364" xr:uid="{00000000-0005-0000-0000-000088750000}"/>
    <cellStyle name="Remarque 2 5 9 3 2 2" xfId="53324" xr:uid="{00000000-0005-0000-0000-000089750000}"/>
    <cellStyle name="Remarque 2 5 9 3 3" xfId="16611" xr:uid="{00000000-0005-0000-0000-00008A750000}"/>
    <cellStyle name="Remarque 2 5 9 3 4" xfId="40571" xr:uid="{00000000-0005-0000-0000-00008B750000}"/>
    <cellStyle name="Remarque 2 5 9 4" xfId="6744" xr:uid="{00000000-0005-0000-0000-00008C750000}"/>
    <cellStyle name="Remarque 2 5 9 4 2" xfId="30758" xr:uid="{00000000-0005-0000-0000-00008D750000}"/>
    <cellStyle name="Remarque 2 5 9 4 2 2" xfId="54718" xr:uid="{00000000-0005-0000-0000-00008E750000}"/>
    <cellStyle name="Remarque 2 5 9 4 3" xfId="18005" xr:uid="{00000000-0005-0000-0000-00008F750000}"/>
    <cellStyle name="Remarque 2 5 9 4 4" xfId="41965" xr:uid="{00000000-0005-0000-0000-000090750000}"/>
    <cellStyle name="Remarque 2 5 9 5" xfId="8132" xr:uid="{00000000-0005-0000-0000-000091750000}"/>
    <cellStyle name="Remarque 2 5 9 5 2" xfId="32146" xr:uid="{00000000-0005-0000-0000-000092750000}"/>
    <cellStyle name="Remarque 2 5 9 5 2 2" xfId="56106" xr:uid="{00000000-0005-0000-0000-000093750000}"/>
    <cellStyle name="Remarque 2 5 9 5 3" xfId="19393" xr:uid="{00000000-0005-0000-0000-000094750000}"/>
    <cellStyle name="Remarque 2 5 9 5 4" xfId="43353" xr:uid="{00000000-0005-0000-0000-000095750000}"/>
    <cellStyle name="Remarque 2 5 9 6" xfId="9517" xr:uid="{00000000-0005-0000-0000-000096750000}"/>
    <cellStyle name="Remarque 2 5 9 6 2" xfId="33531" xr:uid="{00000000-0005-0000-0000-000097750000}"/>
    <cellStyle name="Remarque 2 5 9 6 2 2" xfId="57491" xr:uid="{00000000-0005-0000-0000-000098750000}"/>
    <cellStyle name="Remarque 2 5 9 6 3" xfId="20778" xr:uid="{00000000-0005-0000-0000-000099750000}"/>
    <cellStyle name="Remarque 2 5 9 6 4" xfId="44738" xr:uid="{00000000-0005-0000-0000-00009A750000}"/>
    <cellStyle name="Remarque 2 5 9 7" xfId="10974" xr:uid="{00000000-0005-0000-0000-00009B750000}"/>
    <cellStyle name="Remarque 2 5 9 7 2" xfId="34984" xr:uid="{00000000-0005-0000-0000-00009C750000}"/>
    <cellStyle name="Remarque 2 5 9 7 2 2" xfId="58944" xr:uid="{00000000-0005-0000-0000-00009D750000}"/>
    <cellStyle name="Remarque 2 5 9 7 3" xfId="22241" xr:uid="{00000000-0005-0000-0000-00009E750000}"/>
    <cellStyle name="Remarque 2 5 9 7 4" xfId="46201" xr:uid="{00000000-0005-0000-0000-00009F750000}"/>
    <cellStyle name="Remarque 2 5 9 8" xfId="12678" xr:uid="{00000000-0005-0000-0000-0000A0750000}"/>
    <cellStyle name="Remarque 2 5 9 8 2" xfId="23983" xr:uid="{00000000-0005-0000-0000-0000A1750000}"/>
    <cellStyle name="Remarque 2 5 9 8 3" xfId="47943" xr:uid="{00000000-0005-0000-0000-0000A2750000}"/>
    <cellStyle name="Remarque 2 5 9 9" xfId="2446" xr:uid="{00000000-0005-0000-0000-0000A3750000}"/>
    <cellStyle name="Remarque 2 5 9 9 2" xfId="26460" xr:uid="{00000000-0005-0000-0000-0000A4750000}"/>
    <cellStyle name="Remarque 2 5 9 9 3" xfId="50420" xr:uid="{00000000-0005-0000-0000-0000A5750000}"/>
    <cellStyle name="Remarque 2 6" xfId="78" xr:uid="{00000000-0005-0000-0000-0000A6750000}"/>
    <cellStyle name="Remarque 2 6 10" xfId="1372" xr:uid="{00000000-0005-0000-0000-0000A7750000}"/>
    <cellStyle name="Remarque 2 6 10 10" xfId="25404" xr:uid="{00000000-0005-0000-0000-0000A8750000}"/>
    <cellStyle name="Remarque 2 6 10 10 2" xfId="49364" xr:uid="{00000000-0005-0000-0000-0000A9750000}"/>
    <cellStyle name="Remarque 2 6 10 11" xfId="34126" xr:uid="{00000000-0005-0000-0000-0000AA750000}"/>
    <cellStyle name="Remarque 2 6 10 11 2" xfId="58086" xr:uid="{00000000-0005-0000-0000-0000AB750000}"/>
    <cellStyle name="Remarque 2 6 10 12" xfId="14069" xr:uid="{00000000-0005-0000-0000-0000AC750000}"/>
    <cellStyle name="Remarque 2 6 10 13" xfId="38029" xr:uid="{00000000-0005-0000-0000-0000AD750000}"/>
    <cellStyle name="Remarque 2 6 10 2" xfId="4278" xr:uid="{00000000-0005-0000-0000-0000AE750000}"/>
    <cellStyle name="Remarque 2 6 10 2 2" xfId="28292" xr:uid="{00000000-0005-0000-0000-0000AF750000}"/>
    <cellStyle name="Remarque 2 6 10 2 2 2" xfId="52252" xr:uid="{00000000-0005-0000-0000-0000B0750000}"/>
    <cellStyle name="Remarque 2 6 10 2 3" xfId="15539" xr:uid="{00000000-0005-0000-0000-0000B1750000}"/>
    <cellStyle name="Remarque 2 6 10 2 4" xfId="39499" xr:uid="{00000000-0005-0000-0000-0000B2750000}"/>
    <cellStyle name="Remarque 2 6 10 3" xfId="5712" xr:uid="{00000000-0005-0000-0000-0000B3750000}"/>
    <cellStyle name="Remarque 2 6 10 3 2" xfId="29726" xr:uid="{00000000-0005-0000-0000-0000B4750000}"/>
    <cellStyle name="Remarque 2 6 10 3 2 2" xfId="53686" xr:uid="{00000000-0005-0000-0000-0000B5750000}"/>
    <cellStyle name="Remarque 2 6 10 3 3" xfId="16973" xr:uid="{00000000-0005-0000-0000-0000B6750000}"/>
    <cellStyle name="Remarque 2 6 10 3 4" xfId="40933" xr:uid="{00000000-0005-0000-0000-0000B7750000}"/>
    <cellStyle name="Remarque 2 6 10 4" xfId="7106" xr:uid="{00000000-0005-0000-0000-0000B8750000}"/>
    <cellStyle name="Remarque 2 6 10 4 2" xfId="31120" xr:uid="{00000000-0005-0000-0000-0000B9750000}"/>
    <cellStyle name="Remarque 2 6 10 4 2 2" xfId="55080" xr:uid="{00000000-0005-0000-0000-0000BA750000}"/>
    <cellStyle name="Remarque 2 6 10 4 3" xfId="18367" xr:uid="{00000000-0005-0000-0000-0000BB750000}"/>
    <cellStyle name="Remarque 2 6 10 4 4" xfId="42327" xr:uid="{00000000-0005-0000-0000-0000BC750000}"/>
    <cellStyle name="Remarque 2 6 10 5" xfId="8494" xr:uid="{00000000-0005-0000-0000-0000BD750000}"/>
    <cellStyle name="Remarque 2 6 10 5 2" xfId="32508" xr:uid="{00000000-0005-0000-0000-0000BE750000}"/>
    <cellStyle name="Remarque 2 6 10 5 2 2" xfId="56468" xr:uid="{00000000-0005-0000-0000-0000BF750000}"/>
    <cellStyle name="Remarque 2 6 10 5 3" xfId="19755" xr:uid="{00000000-0005-0000-0000-0000C0750000}"/>
    <cellStyle name="Remarque 2 6 10 5 4" xfId="43715" xr:uid="{00000000-0005-0000-0000-0000C1750000}"/>
    <cellStyle name="Remarque 2 6 10 6" xfId="9879" xr:uid="{00000000-0005-0000-0000-0000C2750000}"/>
    <cellStyle name="Remarque 2 6 10 6 2" xfId="33893" xr:uid="{00000000-0005-0000-0000-0000C3750000}"/>
    <cellStyle name="Remarque 2 6 10 6 2 2" xfId="57853" xr:uid="{00000000-0005-0000-0000-0000C4750000}"/>
    <cellStyle name="Remarque 2 6 10 6 3" xfId="21140" xr:uid="{00000000-0005-0000-0000-0000C5750000}"/>
    <cellStyle name="Remarque 2 6 10 6 4" xfId="45100" xr:uid="{00000000-0005-0000-0000-0000C6750000}"/>
    <cellStyle name="Remarque 2 6 10 7" xfId="11336" xr:uid="{00000000-0005-0000-0000-0000C7750000}"/>
    <cellStyle name="Remarque 2 6 10 7 2" xfId="35346" xr:uid="{00000000-0005-0000-0000-0000C8750000}"/>
    <cellStyle name="Remarque 2 6 10 7 2 2" xfId="59306" xr:uid="{00000000-0005-0000-0000-0000C9750000}"/>
    <cellStyle name="Remarque 2 6 10 7 3" xfId="22603" xr:uid="{00000000-0005-0000-0000-0000CA750000}"/>
    <cellStyle name="Remarque 2 6 10 7 4" xfId="46563" xr:uid="{00000000-0005-0000-0000-0000CB750000}"/>
    <cellStyle name="Remarque 2 6 10 8" xfId="11620" xr:uid="{00000000-0005-0000-0000-0000CC750000}"/>
    <cellStyle name="Remarque 2 6 10 8 2" xfId="22888" xr:uid="{00000000-0005-0000-0000-0000CD750000}"/>
    <cellStyle name="Remarque 2 6 10 8 3" xfId="46848" xr:uid="{00000000-0005-0000-0000-0000CE750000}"/>
    <cellStyle name="Remarque 2 6 10 9" xfId="2808" xr:uid="{00000000-0005-0000-0000-0000CF750000}"/>
    <cellStyle name="Remarque 2 6 10 9 2" xfId="26822" xr:uid="{00000000-0005-0000-0000-0000D0750000}"/>
    <cellStyle name="Remarque 2 6 10 9 3" xfId="50782" xr:uid="{00000000-0005-0000-0000-0000D1750000}"/>
    <cellStyle name="Remarque 2 6 11" xfId="1583" xr:uid="{00000000-0005-0000-0000-0000D2750000}"/>
    <cellStyle name="Remarque 2 6 11 10" xfId="25615" xr:uid="{00000000-0005-0000-0000-0000D3750000}"/>
    <cellStyle name="Remarque 2 6 11 10 2" xfId="49575" xr:uid="{00000000-0005-0000-0000-0000D4750000}"/>
    <cellStyle name="Remarque 2 6 11 11" xfId="36842" xr:uid="{00000000-0005-0000-0000-0000D5750000}"/>
    <cellStyle name="Remarque 2 6 11 11 2" xfId="60802" xr:uid="{00000000-0005-0000-0000-0000D6750000}"/>
    <cellStyle name="Remarque 2 6 11 12" xfId="14280" xr:uid="{00000000-0005-0000-0000-0000D7750000}"/>
    <cellStyle name="Remarque 2 6 11 13" xfId="38240" xr:uid="{00000000-0005-0000-0000-0000D8750000}"/>
    <cellStyle name="Remarque 2 6 11 2" xfId="4489" xr:uid="{00000000-0005-0000-0000-0000D9750000}"/>
    <cellStyle name="Remarque 2 6 11 2 2" xfId="28503" xr:uid="{00000000-0005-0000-0000-0000DA750000}"/>
    <cellStyle name="Remarque 2 6 11 2 2 2" xfId="52463" xr:uid="{00000000-0005-0000-0000-0000DB750000}"/>
    <cellStyle name="Remarque 2 6 11 2 3" xfId="15750" xr:uid="{00000000-0005-0000-0000-0000DC750000}"/>
    <cellStyle name="Remarque 2 6 11 2 4" xfId="39710" xr:uid="{00000000-0005-0000-0000-0000DD750000}"/>
    <cellStyle name="Remarque 2 6 11 3" xfId="5923" xr:uid="{00000000-0005-0000-0000-0000DE750000}"/>
    <cellStyle name="Remarque 2 6 11 3 2" xfId="29937" xr:uid="{00000000-0005-0000-0000-0000DF750000}"/>
    <cellStyle name="Remarque 2 6 11 3 2 2" xfId="53897" xr:uid="{00000000-0005-0000-0000-0000E0750000}"/>
    <cellStyle name="Remarque 2 6 11 3 3" xfId="17184" xr:uid="{00000000-0005-0000-0000-0000E1750000}"/>
    <cellStyle name="Remarque 2 6 11 3 4" xfId="41144" xr:uid="{00000000-0005-0000-0000-0000E2750000}"/>
    <cellStyle name="Remarque 2 6 11 4" xfId="7317" xr:uid="{00000000-0005-0000-0000-0000E3750000}"/>
    <cellStyle name="Remarque 2 6 11 4 2" xfId="31331" xr:uid="{00000000-0005-0000-0000-0000E4750000}"/>
    <cellStyle name="Remarque 2 6 11 4 2 2" xfId="55291" xr:uid="{00000000-0005-0000-0000-0000E5750000}"/>
    <cellStyle name="Remarque 2 6 11 4 3" xfId="18578" xr:uid="{00000000-0005-0000-0000-0000E6750000}"/>
    <cellStyle name="Remarque 2 6 11 4 4" xfId="42538" xr:uid="{00000000-0005-0000-0000-0000E7750000}"/>
    <cellStyle name="Remarque 2 6 11 5" xfId="8705" xr:uid="{00000000-0005-0000-0000-0000E8750000}"/>
    <cellStyle name="Remarque 2 6 11 5 2" xfId="32719" xr:uid="{00000000-0005-0000-0000-0000E9750000}"/>
    <cellStyle name="Remarque 2 6 11 5 2 2" xfId="56679" xr:uid="{00000000-0005-0000-0000-0000EA750000}"/>
    <cellStyle name="Remarque 2 6 11 5 3" xfId="19966" xr:uid="{00000000-0005-0000-0000-0000EB750000}"/>
    <cellStyle name="Remarque 2 6 11 5 4" xfId="43926" xr:uid="{00000000-0005-0000-0000-0000EC750000}"/>
    <cellStyle name="Remarque 2 6 11 6" xfId="10090" xr:uid="{00000000-0005-0000-0000-0000ED750000}"/>
    <cellStyle name="Remarque 2 6 11 6 2" xfId="34104" xr:uid="{00000000-0005-0000-0000-0000EE750000}"/>
    <cellStyle name="Remarque 2 6 11 6 2 2" xfId="58064" xr:uid="{00000000-0005-0000-0000-0000EF750000}"/>
    <cellStyle name="Remarque 2 6 11 6 3" xfId="21351" xr:uid="{00000000-0005-0000-0000-0000F0750000}"/>
    <cellStyle name="Remarque 2 6 11 6 4" xfId="45311" xr:uid="{00000000-0005-0000-0000-0000F1750000}"/>
    <cellStyle name="Remarque 2 6 11 7" xfId="11547" xr:uid="{00000000-0005-0000-0000-0000F2750000}"/>
    <cellStyle name="Remarque 2 6 11 7 2" xfId="35557" xr:uid="{00000000-0005-0000-0000-0000F3750000}"/>
    <cellStyle name="Remarque 2 6 11 7 2 2" xfId="59517" xr:uid="{00000000-0005-0000-0000-0000F4750000}"/>
    <cellStyle name="Remarque 2 6 11 7 3" xfId="22814" xr:uid="{00000000-0005-0000-0000-0000F5750000}"/>
    <cellStyle name="Remarque 2 6 11 7 4" xfId="46774" xr:uid="{00000000-0005-0000-0000-0000F6750000}"/>
    <cellStyle name="Remarque 2 6 11 8" xfId="10127" xr:uid="{00000000-0005-0000-0000-0000F7750000}"/>
    <cellStyle name="Remarque 2 6 11 8 2" xfId="21388" xr:uid="{00000000-0005-0000-0000-0000F8750000}"/>
    <cellStyle name="Remarque 2 6 11 8 3" xfId="45348" xr:uid="{00000000-0005-0000-0000-0000F9750000}"/>
    <cellStyle name="Remarque 2 6 11 9" xfId="3019" xr:uid="{00000000-0005-0000-0000-0000FA750000}"/>
    <cellStyle name="Remarque 2 6 11 9 2" xfId="27033" xr:uid="{00000000-0005-0000-0000-0000FB750000}"/>
    <cellStyle name="Remarque 2 6 11 9 3" xfId="50993" xr:uid="{00000000-0005-0000-0000-0000FC750000}"/>
    <cellStyle name="Remarque 2 6 12" xfId="1539" xr:uid="{00000000-0005-0000-0000-0000FD750000}"/>
    <cellStyle name="Remarque 2 6 12 10" xfId="25571" xr:uid="{00000000-0005-0000-0000-0000FE750000}"/>
    <cellStyle name="Remarque 2 6 12 10 2" xfId="49531" xr:uid="{00000000-0005-0000-0000-0000FF750000}"/>
    <cellStyle name="Remarque 2 6 12 11" xfId="36516" xr:uid="{00000000-0005-0000-0000-000000760000}"/>
    <cellStyle name="Remarque 2 6 12 11 2" xfId="60476" xr:uid="{00000000-0005-0000-0000-000001760000}"/>
    <cellStyle name="Remarque 2 6 12 12" xfId="14236" xr:uid="{00000000-0005-0000-0000-000002760000}"/>
    <cellStyle name="Remarque 2 6 12 13" xfId="38196" xr:uid="{00000000-0005-0000-0000-000003760000}"/>
    <cellStyle name="Remarque 2 6 12 2" xfId="4445" xr:uid="{00000000-0005-0000-0000-000004760000}"/>
    <cellStyle name="Remarque 2 6 12 2 2" xfId="28459" xr:uid="{00000000-0005-0000-0000-000005760000}"/>
    <cellStyle name="Remarque 2 6 12 2 2 2" xfId="52419" xr:uid="{00000000-0005-0000-0000-000006760000}"/>
    <cellStyle name="Remarque 2 6 12 2 3" xfId="15706" xr:uid="{00000000-0005-0000-0000-000007760000}"/>
    <cellStyle name="Remarque 2 6 12 2 4" xfId="39666" xr:uid="{00000000-0005-0000-0000-000008760000}"/>
    <cellStyle name="Remarque 2 6 12 3" xfId="5879" xr:uid="{00000000-0005-0000-0000-000009760000}"/>
    <cellStyle name="Remarque 2 6 12 3 2" xfId="29893" xr:uid="{00000000-0005-0000-0000-00000A760000}"/>
    <cellStyle name="Remarque 2 6 12 3 2 2" xfId="53853" xr:uid="{00000000-0005-0000-0000-00000B760000}"/>
    <cellStyle name="Remarque 2 6 12 3 3" xfId="17140" xr:uid="{00000000-0005-0000-0000-00000C760000}"/>
    <cellStyle name="Remarque 2 6 12 3 4" xfId="41100" xr:uid="{00000000-0005-0000-0000-00000D760000}"/>
    <cellStyle name="Remarque 2 6 12 4" xfId="7273" xr:uid="{00000000-0005-0000-0000-00000E760000}"/>
    <cellStyle name="Remarque 2 6 12 4 2" xfId="31287" xr:uid="{00000000-0005-0000-0000-00000F760000}"/>
    <cellStyle name="Remarque 2 6 12 4 2 2" xfId="55247" xr:uid="{00000000-0005-0000-0000-000010760000}"/>
    <cellStyle name="Remarque 2 6 12 4 3" xfId="18534" xr:uid="{00000000-0005-0000-0000-000011760000}"/>
    <cellStyle name="Remarque 2 6 12 4 4" xfId="42494" xr:uid="{00000000-0005-0000-0000-000012760000}"/>
    <cellStyle name="Remarque 2 6 12 5" xfId="8661" xr:uid="{00000000-0005-0000-0000-000013760000}"/>
    <cellStyle name="Remarque 2 6 12 5 2" xfId="32675" xr:uid="{00000000-0005-0000-0000-000014760000}"/>
    <cellStyle name="Remarque 2 6 12 5 2 2" xfId="56635" xr:uid="{00000000-0005-0000-0000-000015760000}"/>
    <cellStyle name="Remarque 2 6 12 5 3" xfId="19922" xr:uid="{00000000-0005-0000-0000-000016760000}"/>
    <cellStyle name="Remarque 2 6 12 5 4" xfId="43882" xr:uid="{00000000-0005-0000-0000-000017760000}"/>
    <cellStyle name="Remarque 2 6 12 6" xfId="10046" xr:uid="{00000000-0005-0000-0000-000018760000}"/>
    <cellStyle name="Remarque 2 6 12 6 2" xfId="34060" xr:uid="{00000000-0005-0000-0000-000019760000}"/>
    <cellStyle name="Remarque 2 6 12 6 2 2" xfId="58020" xr:uid="{00000000-0005-0000-0000-00001A760000}"/>
    <cellStyle name="Remarque 2 6 12 6 3" xfId="21307" xr:uid="{00000000-0005-0000-0000-00001B760000}"/>
    <cellStyle name="Remarque 2 6 12 6 4" xfId="45267" xr:uid="{00000000-0005-0000-0000-00001C760000}"/>
    <cellStyle name="Remarque 2 6 12 7" xfId="11503" xr:uid="{00000000-0005-0000-0000-00001D760000}"/>
    <cellStyle name="Remarque 2 6 12 7 2" xfId="35513" xr:uid="{00000000-0005-0000-0000-00001E760000}"/>
    <cellStyle name="Remarque 2 6 12 7 2 2" xfId="59473" xr:uid="{00000000-0005-0000-0000-00001F760000}"/>
    <cellStyle name="Remarque 2 6 12 7 3" xfId="22770" xr:uid="{00000000-0005-0000-0000-000020760000}"/>
    <cellStyle name="Remarque 2 6 12 7 4" xfId="46730" xr:uid="{00000000-0005-0000-0000-000021760000}"/>
    <cellStyle name="Remarque 2 6 12 8" xfId="12085" xr:uid="{00000000-0005-0000-0000-000022760000}"/>
    <cellStyle name="Remarque 2 6 12 8 2" xfId="23368" xr:uid="{00000000-0005-0000-0000-000023760000}"/>
    <cellStyle name="Remarque 2 6 12 8 3" xfId="47328" xr:uid="{00000000-0005-0000-0000-000024760000}"/>
    <cellStyle name="Remarque 2 6 12 9" xfId="2975" xr:uid="{00000000-0005-0000-0000-000025760000}"/>
    <cellStyle name="Remarque 2 6 12 9 2" xfId="26989" xr:uid="{00000000-0005-0000-0000-000026760000}"/>
    <cellStyle name="Remarque 2 6 12 9 3" xfId="50949" xr:uid="{00000000-0005-0000-0000-000027760000}"/>
    <cellStyle name="Remarque 2 6 13" xfId="1600" xr:uid="{00000000-0005-0000-0000-000028760000}"/>
    <cellStyle name="Remarque 2 6 13 10" xfId="25632" xr:uid="{00000000-0005-0000-0000-000029760000}"/>
    <cellStyle name="Remarque 2 6 13 10 2" xfId="49592" xr:uid="{00000000-0005-0000-0000-00002A760000}"/>
    <cellStyle name="Remarque 2 6 13 11" xfId="36859" xr:uid="{00000000-0005-0000-0000-00002B760000}"/>
    <cellStyle name="Remarque 2 6 13 11 2" xfId="60819" xr:uid="{00000000-0005-0000-0000-00002C760000}"/>
    <cellStyle name="Remarque 2 6 13 12" xfId="14297" xr:uid="{00000000-0005-0000-0000-00002D760000}"/>
    <cellStyle name="Remarque 2 6 13 13" xfId="38257" xr:uid="{00000000-0005-0000-0000-00002E760000}"/>
    <cellStyle name="Remarque 2 6 13 2" xfId="4506" xr:uid="{00000000-0005-0000-0000-00002F760000}"/>
    <cellStyle name="Remarque 2 6 13 2 2" xfId="28520" xr:uid="{00000000-0005-0000-0000-000030760000}"/>
    <cellStyle name="Remarque 2 6 13 2 2 2" xfId="52480" xr:uid="{00000000-0005-0000-0000-000031760000}"/>
    <cellStyle name="Remarque 2 6 13 2 3" xfId="15767" xr:uid="{00000000-0005-0000-0000-000032760000}"/>
    <cellStyle name="Remarque 2 6 13 2 4" xfId="39727" xr:uid="{00000000-0005-0000-0000-000033760000}"/>
    <cellStyle name="Remarque 2 6 13 3" xfId="5940" xr:uid="{00000000-0005-0000-0000-000034760000}"/>
    <cellStyle name="Remarque 2 6 13 3 2" xfId="29954" xr:uid="{00000000-0005-0000-0000-000035760000}"/>
    <cellStyle name="Remarque 2 6 13 3 2 2" xfId="53914" xr:uid="{00000000-0005-0000-0000-000036760000}"/>
    <cellStyle name="Remarque 2 6 13 3 3" xfId="17201" xr:uid="{00000000-0005-0000-0000-000037760000}"/>
    <cellStyle name="Remarque 2 6 13 3 4" xfId="41161" xr:uid="{00000000-0005-0000-0000-000038760000}"/>
    <cellStyle name="Remarque 2 6 13 4" xfId="7334" xr:uid="{00000000-0005-0000-0000-000039760000}"/>
    <cellStyle name="Remarque 2 6 13 4 2" xfId="31348" xr:uid="{00000000-0005-0000-0000-00003A760000}"/>
    <cellStyle name="Remarque 2 6 13 4 2 2" xfId="55308" xr:uid="{00000000-0005-0000-0000-00003B760000}"/>
    <cellStyle name="Remarque 2 6 13 4 3" xfId="18595" xr:uid="{00000000-0005-0000-0000-00003C760000}"/>
    <cellStyle name="Remarque 2 6 13 4 4" xfId="42555" xr:uid="{00000000-0005-0000-0000-00003D760000}"/>
    <cellStyle name="Remarque 2 6 13 5" xfId="8722" xr:uid="{00000000-0005-0000-0000-00003E760000}"/>
    <cellStyle name="Remarque 2 6 13 5 2" xfId="32736" xr:uid="{00000000-0005-0000-0000-00003F760000}"/>
    <cellStyle name="Remarque 2 6 13 5 2 2" xfId="56696" xr:uid="{00000000-0005-0000-0000-000040760000}"/>
    <cellStyle name="Remarque 2 6 13 5 3" xfId="19983" xr:uid="{00000000-0005-0000-0000-000041760000}"/>
    <cellStyle name="Remarque 2 6 13 5 4" xfId="43943" xr:uid="{00000000-0005-0000-0000-000042760000}"/>
    <cellStyle name="Remarque 2 6 13 6" xfId="10107" xr:uid="{00000000-0005-0000-0000-000043760000}"/>
    <cellStyle name="Remarque 2 6 13 6 2" xfId="34121" xr:uid="{00000000-0005-0000-0000-000044760000}"/>
    <cellStyle name="Remarque 2 6 13 6 2 2" xfId="58081" xr:uid="{00000000-0005-0000-0000-000045760000}"/>
    <cellStyle name="Remarque 2 6 13 6 3" xfId="21368" xr:uid="{00000000-0005-0000-0000-000046760000}"/>
    <cellStyle name="Remarque 2 6 13 6 4" xfId="45328" xr:uid="{00000000-0005-0000-0000-000047760000}"/>
    <cellStyle name="Remarque 2 6 13 7" xfId="11564" xr:uid="{00000000-0005-0000-0000-000048760000}"/>
    <cellStyle name="Remarque 2 6 13 7 2" xfId="35574" xr:uid="{00000000-0005-0000-0000-000049760000}"/>
    <cellStyle name="Remarque 2 6 13 7 2 2" xfId="59534" xr:uid="{00000000-0005-0000-0000-00004A760000}"/>
    <cellStyle name="Remarque 2 6 13 7 3" xfId="22831" xr:uid="{00000000-0005-0000-0000-00004B760000}"/>
    <cellStyle name="Remarque 2 6 13 7 4" xfId="46791" xr:uid="{00000000-0005-0000-0000-00004C760000}"/>
    <cellStyle name="Remarque 2 6 13 8" xfId="10206" xr:uid="{00000000-0005-0000-0000-00004D760000}"/>
    <cellStyle name="Remarque 2 6 13 8 2" xfId="21473" xr:uid="{00000000-0005-0000-0000-00004E760000}"/>
    <cellStyle name="Remarque 2 6 13 8 3" xfId="45433" xr:uid="{00000000-0005-0000-0000-00004F760000}"/>
    <cellStyle name="Remarque 2 6 13 9" xfId="3036" xr:uid="{00000000-0005-0000-0000-000050760000}"/>
    <cellStyle name="Remarque 2 6 13 9 2" xfId="27050" xr:uid="{00000000-0005-0000-0000-000051760000}"/>
    <cellStyle name="Remarque 2 6 13 9 3" xfId="51010" xr:uid="{00000000-0005-0000-0000-000052760000}"/>
    <cellStyle name="Remarque 2 6 14" xfId="3100" xr:uid="{00000000-0005-0000-0000-000053760000}"/>
    <cellStyle name="Remarque 2 6 14 2" xfId="27114" xr:uid="{00000000-0005-0000-0000-000054760000}"/>
    <cellStyle name="Remarque 2 6 14 2 2" xfId="51074" xr:uid="{00000000-0005-0000-0000-000055760000}"/>
    <cellStyle name="Remarque 2 6 14 3" xfId="14361" xr:uid="{00000000-0005-0000-0000-000056760000}"/>
    <cellStyle name="Remarque 2 6 14 4" xfId="38321" xr:uid="{00000000-0005-0000-0000-000057760000}"/>
    <cellStyle name="Remarque 2 6 15" xfId="4539" xr:uid="{00000000-0005-0000-0000-000058760000}"/>
    <cellStyle name="Remarque 2 6 15 2" xfId="28553" xr:uid="{00000000-0005-0000-0000-000059760000}"/>
    <cellStyle name="Remarque 2 6 15 2 2" xfId="52513" xr:uid="{00000000-0005-0000-0000-00005A760000}"/>
    <cellStyle name="Remarque 2 6 15 3" xfId="15800" xr:uid="{00000000-0005-0000-0000-00005B760000}"/>
    <cellStyle name="Remarque 2 6 15 4" xfId="39760" xr:uid="{00000000-0005-0000-0000-00005C760000}"/>
    <cellStyle name="Remarque 2 6 16" xfId="3039" xr:uid="{00000000-0005-0000-0000-00005D760000}"/>
    <cellStyle name="Remarque 2 6 16 2" xfId="27053" xr:uid="{00000000-0005-0000-0000-00005E760000}"/>
    <cellStyle name="Remarque 2 6 16 2 2" xfId="51013" xr:uid="{00000000-0005-0000-0000-00005F760000}"/>
    <cellStyle name="Remarque 2 6 16 3" xfId="14300" xr:uid="{00000000-0005-0000-0000-000060760000}"/>
    <cellStyle name="Remarque 2 6 16 4" xfId="38260" xr:uid="{00000000-0005-0000-0000-000061760000}"/>
    <cellStyle name="Remarque 2 6 17" xfId="4577" xr:uid="{00000000-0005-0000-0000-000062760000}"/>
    <cellStyle name="Remarque 2 6 17 2" xfId="28591" xr:uid="{00000000-0005-0000-0000-000063760000}"/>
    <cellStyle name="Remarque 2 6 17 2 2" xfId="52551" xr:uid="{00000000-0005-0000-0000-000064760000}"/>
    <cellStyle name="Remarque 2 6 17 3" xfId="15838" xr:uid="{00000000-0005-0000-0000-000065760000}"/>
    <cellStyle name="Remarque 2 6 17 4" xfId="39798" xr:uid="{00000000-0005-0000-0000-000066760000}"/>
    <cellStyle name="Remarque 2 6 18" xfId="5973" xr:uid="{00000000-0005-0000-0000-000067760000}"/>
    <cellStyle name="Remarque 2 6 18 2" xfId="29987" xr:uid="{00000000-0005-0000-0000-000068760000}"/>
    <cellStyle name="Remarque 2 6 18 2 2" xfId="53947" xr:uid="{00000000-0005-0000-0000-000069760000}"/>
    <cellStyle name="Remarque 2 6 18 3" xfId="17234" xr:uid="{00000000-0005-0000-0000-00006A760000}"/>
    <cellStyle name="Remarque 2 6 18 4" xfId="41194" xr:uid="{00000000-0005-0000-0000-00006B760000}"/>
    <cellStyle name="Remarque 2 6 19" xfId="10160" xr:uid="{00000000-0005-0000-0000-00006C760000}"/>
    <cellStyle name="Remarque 2 6 19 2" xfId="34172" xr:uid="{00000000-0005-0000-0000-00006D760000}"/>
    <cellStyle name="Remarque 2 6 19 2 2" xfId="58132" xr:uid="{00000000-0005-0000-0000-00006E760000}"/>
    <cellStyle name="Remarque 2 6 19 3" xfId="21425" xr:uid="{00000000-0005-0000-0000-00006F760000}"/>
    <cellStyle name="Remarque 2 6 19 4" xfId="45385" xr:uid="{00000000-0005-0000-0000-000070760000}"/>
    <cellStyle name="Remarque 2 6 2" xfId="114" xr:uid="{00000000-0005-0000-0000-000071760000}"/>
    <cellStyle name="Remarque 2 6 2 10" xfId="3151" xr:uid="{00000000-0005-0000-0000-000072760000}"/>
    <cellStyle name="Remarque 2 6 2 10 2" xfId="27165" xr:uid="{00000000-0005-0000-0000-000073760000}"/>
    <cellStyle name="Remarque 2 6 2 10 2 2" xfId="51125" xr:uid="{00000000-0005-0000-0000-000074760000}"/>
    <cellStyle name="Remarque 2 6 2 10 3" xfId="14412" xr:uid="{00000000-0005-0000-0000-000075760000}"/>
    <cellStyle name="Remarque 2 6 2 10 4" xfId="38372" xr:uid="{00000000-0005-0000-0000-000076760000}"/>
    <cellStyle name="Remarque 2 6 2 11" xfId="4585" xr:uid="{00000000-0005-0000-0000-000077760000}"/>
    <cellStyle name="Remarque 2 6 2 11 2" xfId="28599" xr:uid="{00000000-0005-0000-0000-000078760000}"/>
    <cellStyle name="Remarque 2 6 2 11 2 2" xfId="52559" xr:uid="{00000000-0005-0000-0000-000079760000}"/>
    <cellStyle name="Remarque 2 6 2 11 3" xfId="15846" xr:uid="{00000000-0005-0000-0000-00007A760000}"/>
    <cellStyle name="Remarque 2 6 2 11 4" xfId="39806" xr:uid="{00000000-0005-0000-0000-00007B760000}"/>
    <cellStyle name="Remarque 2 6 2 12" xfId="5979" xr:uid="{00000000-0005-0000-0000-00007C760000}"/>
    <cellStyle name="Remarque 2 6 2 12 2" xfId="29993" xr:uid="{00000000-0005-0000-0000-00007D760000}"/>
    <cellStyle name="Remarque 2 6 2 12 2 2" xfId="53953" xr:uid="{00000000-0005-0000-0000-00007E760000}"/>
    <cellStyle name="Remarque 2 6 2 12 3" xfId="17240" xr:uid="{00000000-0005-0000-0000-00007F760000}"/>
    <cellStyle name="Remarque 2 6 2 12 4" xfId="41200" xr:uid="{00000000-0005-0000-0000-000080760000}"/>
    <cellStyle name="Remarque 2 6 2 13" xfId="7367" xr:uid="{00000000-0005-0000-0000-000081760000}"/>
    <cellStyle name="Remarque 2 6 2 13 2" xfId="31381" xr:uid="{00000000-0005-0000-0000-000082760000}"/>
    <cellStyle name="Remarque 2 6 2 13 2 2" xfId="55341" xr:uid="{00000000-0005-0000-0000-000083760000}"/>
    <cellStyle name="Remarque 2 6 2 13 3" xfId="18628" xr:uid="{00000000-0005-0000-0000-000084760000}"/>
    <cellStyle name="Remarque 2 6 2 13 4" xfId="42588" xr:uid="{00000000-0005-0000-0000-000085760000}"/>
    <cellStyle name="Remarque 2 6 2 14" xfId="8752" xr:uid="{00000000-0005-0000-0000-000086760000}"/>
    <cellStyle name="Remarque 2 6 2 14 2" xfId="32766" xr:uid="{00000000-0005-0000-0000-000087760000}"/>
    <cellStyle name="Remarque 2 6 2 14 2 2" xfId="56726" xr:uid="{00000000-0005-0000-0000-000088760000}"/>
    <cellStyle name="Remarque 2 6 2 14 3" xfId="20013" xr:uid="{00000000-0005-0000-0000-000089760000}"/>
    <cellStyle name="Remarque 2 6 2 14 4" xfId="43973" xr:uid="{00000000-0005-0000-0000-00008A760000}"/>
    <cellStyle name="Remarque 2 6 2 15" xfId="10209" xr:uid="{00000000-0005-0000-0000-00008B760000}"/>
    <cellStyle name="Remarque 2 6 2 15 2" xfId="34219" xr:uid="{00000000-0005-0000-0000-00008C760000}"/>
    <cellStyle name="Remarque 2 6 2 15 2 2" xfId="58179" xr:uid="{00000000-0005-0000-0000-00008D760000}"/>
    <cellStyle name="Remarque 2 6 2 15 3" xfId="21476" xr:uid="{00000000-0005-0000-0000-00008E760000}"/>
    <cellStyle name="Remarque 2 6 2 15 4" xfId="45436" xr:uid="{00000000-0005-0000-0000-00008F760000}"/>
    <cellStyle name="Remarque 2 6 2 16" xfId="11916" xr:uid="{00000000-0005-0000-0000-000090760000}"/>
    <cellStyle name="Remarque 2 6 2 16 2" xfId="23194" xr:uid="{00000000-0005-0000-0000-000091760000}"/>
    <cellStyle name="Remarque 2 6 2 16 3" xfId="47154" xr:uid="{00000000-0005-0000-0000-000092760000}"/>
    <cellStyle name="Remarque 2 6 2 17" xfId="1681" xr:uid="{00000000-0005-0000-0000-000093760000}"/>
    <cellStyle name="Remarque 2 6 2 17 2" xfId="25695" xr:uid="{00000000-0005-0000-0000-000094760000}"/>
    <cellStyle name="Remarque 2 6 2 17 3" xfId="49655" xr:uid="{00000000-0005-0000-0000-000095760000}"/>
    <cellStyle name="Remarque 2 6 2 18" xfId="24277" xr:uid="{00000000-0005-0000-0000-000096760000}"/>
    <cellStyle name="Remarque 2 6 2 18 2" xfId="48237" xr:uid="{00000000-0005-0000-0000-000097760000}"/>
    <cellStyle name="Remarque 2 6 2 19" xfId="36153" xr:uid="{00000000-0005-0000-0000-000098760000}"/>
    <cellStyle name="Remarque 2 6 2 19 2" xfId="60113" xr:uid="{00000000-0005-0000-0000-000099760000}"/>
    <cellStyle name="Remarque 2 6 2 2" xfId="420" xr:uid="{00000000-0005-0000-0000-00009A760000}"/>
    <cellStyle name="Remarque 2 6 2 2 10" xfId="6154" xr:uid="{00000000-0005-0000-0000-00009B760000}"/>
    <cellStyle name="Remarque 2 6 2 2 10 2" xfId="30168" xr:uid="{00000000-0005-0000-0000-00009C760000}"/>
    <cellStyle name="Remarque 2 6 2 2 10 2 2" xfId="54128" xr:uid="{00000000-0005-0000-0000-00009D760000}"/>
    <cellStyle name="Remarque 2 6 2 2 10 3" xfId="17415" xr:uid="{00000000-0005-0000-0000-00009E760000}"/>
    <cellStyle name="Remarque 2 6 2 2 10 4" xfId="41375" xr:uid="{00000000-0005-0000-0000-00009F760000}"/>
    <cellStyle name="Remarque 2 6 2 2 11" xfId="7542" xr:uid="{00000000-0005-0000-0000-0000A0760000}"/>
    <cellStyle name="Remarque 2 6 2 2 11 2" xfId="31556" xr:uid="{00000000-0005-0000-0000-0000A1760000}"/>
    <cellStyle name="Remarque 2 6 2 2 11 2 2" xfId="55516" xr:uid="{00000000-0005-0000-0000-0000A2760000}"/>
    <cellStyle name="Remarque 2 6 2 2 11 3" xfId="18803" xr:uid="{00000000-0005-0000-0000-0000A3760000}"/>
    <cellStyle name="Remarque 2 6 2 2 11 4" xfId="42763" xr:uid="{00000000-0005-0000-0000-0000A4760000}"/>
    <cellStyle name="Remarque 2 6 2 2 12" xfId="8927" xr:uid="{00000000-0005-0000-0000-0000A5760000}"/>
    <cellStyle name="Remarque 2 6 2 2 12 2" xfId="32941" xr:uid="{00000000-0005-0000-0000-0000A6760000}"/>
    <cellStyle name="Remarque 2 6 2 2 12 2 2" xfId="56901" xr:uid="{00000000-0005-0000-0000-0000A7760000}"/>
    <cellStyle name="Remarque 2 6 2 2 12 3" xfId="20188" xr:uid="{00000000-0005-0000-0000-0000A8760000}"/>
    <cellStyle name="Remarque 2 6 2 2 12 4" xfId="44148" xr:uid="{00000000-0005-0000-0000-0000A9760000}"/>
    <cellStyle name="Remarque 2 6 2 2 13" xfId="10384" xr:uid="{00000000-0005-0000-0000-0000AA760000}"/>
    <cellStyle name="Remarque 2 6 2 2 13 2" xfId="34394" xr:uid="{00000000-0005-0000-0000-0000AB760000}"/>
    <cellStyle name="Remarque 2 6 2 2 13 2 2" xfId="58354" xr:uid="{00000000-0005-0000-0000-0000AC760000}"/>
    <cellStyle name="Remarque 2 6 2 2 13 3" xfId="21651" xr:uid="{00000000-0005-0000-0000-0000AD760000}"/>
    <cellStyle name="Remarque 2 6 2 2 13 4" xfId="45611" xr:uid="{00000000-0005-0000-0000-0000AE760000}"/>
    <cellStyle name="Remarque 2 6 2 2 14" xfId="12633" xr:uid="{00000000-0005-0000-0000-0000AF760000}"/>
    <cellStyle name="Remarque 2 6 2 2 14 2" xfId="23937" xr:uid="{00000000-0005-0000-0000-0000B0760000}"/>
    <cellStyle name="Remarque 2 6 2 2 14 3" xfId="47897" xr:uid="{00000000-0005-0000-0000-0000B1760000}"/>
    <cellStyle name="Remarque 2 6 2 2 15" xfId="1856" xr:uid="{00000000-0005-0000-0000-0000B2760000}"/>
    <cellStyle name="Remarque 2 6 2 2 15 2" xfId="25870" xr:uid="{00000000-0005-0000-0000-0000B3760000}"/>
    <cellStyle name="Remarque 2 6 2 2 15 3" xfId="49830" xr:uid="{00000000-0005-0000-0000-0000B4760000}"/>
    <cellStyle name="Remarque 2 6 2 2 16" xfId="24452" xr:uid="{00000000-0005-0000-0000-0000B5760000}"/>
    <cellStyle name="Remarque 2 6 2 2 16 2" xfId="48412" xr:uid="{00000000-0005-0000-0000-0000B6760000}"/>
    <cellStyle name="Remarque 2 6 2 2 17" xfId="36314" xr:uid="{00000000-0005-0000-0000-0000B7760000}"/>
    <cellStyle name="Remarque 2 6 2 2 17 2" xfId="60274" xr:uid="{00000000-0005-0000-0000-0000B8760000}"/>
    <cellStyle name="Remarque 2 6 2 2 18" xfId="13117" xr:uid="{00000000-0005-0000-0000-0000B9760000}"/>
    <cellStyle name="Remarque 2 6 2 2 19" xfId="37077" xr:uid="{00000000-0005-0000-0000-0000BA760000}"/>
    <cellStyle name="Remarque 2 6 2 2 2" xfId="556" xr:uid="{00000000-0005-0000-0000-0000BB760000}"/>
    <cellStyle name="Remarque 2 6 2 2 2 10" xfId="24588" xr:uid="{00000000-0005-0000-0000-0000BC760000}"/>
    <cellStyle name="Remarque 2 6 2 2 2 10 2" xfId="48548" xr:uid="{00000000-0005-0000-0000-0000BD760000}"/>
    <cellStyle name="Remarque 2 6 2 2 2 11" xfId="36828" xr:uid="{00000000-0005-0000-0000-0000BE760000}"/>
    <cellStyle name="Remarque 2 6 2 2 2 11 2" xfId="60788" xr:uid="{00000000-0005-0000-0000-0000BF760000}"/>
    <cellStyle name="Remarque 2 6 2 2 2 12" xfId="13253" xr:uid="{00000000-0005-0000-0000-0000C0760000}"/>
    <cellStyle name="Remarque 2 6 2 2 2 13" xfId="37213" xr:uid="{00000000-0005-0000-0000-0000C1760000}"/>
    <cellStyle name="Remarque 2 6 2 2 2 2" xfId="3462" xr:uid="{00000000-0005-0000-0000-0000C2760000}"/>
    <cellStyle name="Remarque 2 6 2 2 2 2 2" xfId="27476" xr:uid="{00000000-0005-0000-0000-0000C3760000}"/>
    <cellStyle name="Remarque 2 6 2 2 2 2 2 2" xfId="51436" xr:uid="{00000000-0005-0000-0000-0000C4760000}"/>
    <cellStyle name="Remarque 2 6 2 2 2 2 3" xfId="14723" xr:uid="{00000000-0005-0000-0000-0000C5760000}"/>
    <cellStyle name="Remarque 2 6 2 2 2 2 4" xfId="38683" xr:uid="{00000000-0005-0000-0000-0000C6760000}"/>
    <cellStyle name="Remarque 2 6 2 2 2 3" xfId="4896" xr:uid="{00000000-0005-0000-0000-0000C7760000}"/>
    <cellStyle name="Remarque 2 6 2 2 2 3 2" xfId="28910" xr:uid="{00000000-0005-0000-0000-0000C8760000}"/>
    <cellStyle name="Remarque 2 6 2 2 2 3 2 2" xfId="52870" xr:uid="{00000000-0005-0000-0000-0000C9760000}"/>
    <cellStyle name="Remarque 2 6 2 2 2 3 3" xfId="16157" xr:uid="{00000000-0005-0000-0000-0000CA760000}"/>
    <cellStyle name="Remarque 2 6 2 2 2 3 4" xfId="40117" xr:uid="{00000000-0005-0000-0000-0000CB760000}"/>
    <cellStyle name="Remarque 2 6 2 2 2 4" xfId="6290" xr:uid="{00000000-0005-0000-0000-0000CC760000}"/>
    <cellStyle name="Remarque 2 6 2 2 2 4 2" xfId="30304" xr:uid="{00000000-0005-0000-0000-0000CD760000}"/>
    <cellStyle name="Remarque 2 6 2 2 2 4 2 2" xfId="54264" xr:uid="{00000000-0005-0000-0000-0000CE760000}"/>
    <cellStyle name="Remarque 2 6 2 2 2 4 3" xfId="17551" xr:uid="{00000000-0005-0000-0000-0000CF760000}"/>
    <cellStyle name="Remarque 2 6 2 2 2 4 4" xfId="41511" xr:uid="{00000000-0005-0000-0000-0000D0760000}"/>
    <cellStyle name="Remarque 2 6 2 2 2 5" xfId="7678" xr:uid="{00000000-0005-0000-0000-0000D1760000}"/>
    <cellStyle name="Remarque 2 6 2 2 2 5 2" xfId="31692" xr:uid="{00000000-0005-0000-0000-0000D2760000}"/>
    <cellStyle name="Remarque 2 6 2 2 2 5 2 2" xfId="55652" xr:uid="{00000000-0005-0000-0000-0000D3760000}"/>
    <cellStyle name="Remarque 2 6 2 2 2 5 3" xfId="18939" xr:uid="{00000000-0005-0000-0000-0000D4760000}"/>
    <cellStyle name="Remarque 2 6 2 2 2 5 4" xfId="42899" xr:uid="{00000000-0005-0000-0000-0000D5760000}"/>
    <cellStyle name="Remarque 2 6 2 2 2 6" xfId="9063" xr:uid="{00000000-0005-0000-0000-0000D6760000}"/>
    <cellStyle name="Remarque 2 6 2 2 2 6 2" xfId="33077" xr:uid="{00000000-0005-0000-0000-0000D7760000}"/>
    <cellStyle name="Remarque 2 6 2 2 2 6 2 2" xfId="57037" xr:uid="{00000000-0005-0000-0000-0000D8760000}"/>
    <cellStyle name="Remarque 2 6 2 2 2 6 3" xfId="20324" xr:uid="{00000000-0005-0000-0000-0000D9760000}"/>
    <cellStyle name="Remarque 2 6 2 2 2 6 4" xfId="44284" xr:uid="{00000000-0005-0000-0000-0000DA760000}"/>
    <cellStyle name="Remarque 2 6 2 2 2 7" xfId="10520" xr:uid="{00000000-0005-0000-0000-0000DB760000}"/>
    <cellStyle name="Remarque 2 6 2 2 2 7 2" xfId="34530" xr:uid="{00000000-0005-0000-0000-0000DC760000}"/>
    <cellStyle name="Remarque 2 6 2 2 2 7 2 2" xfId="58490" xr:uid="{00000000-0005-0000-0000-0000DD760000}"/>
    <cellStyle name="Remarque 2 6 2 2 2 7 3" xfId="21787" xr:uid="{00000000-0005-0000-0000-0000DE760000}"/>
    <cellStyle name="Remarque 2 6 2 2 2 7 4" xfId="45747" xr:uid="{00000000-0005-0000-0000-0000DF760000}"/>
    <cellStyle name="Remarque 2 6 2 2 2 8" xfId="11852" xr:uid="{00000000-0005-0000-0000-0000E0760000}"/>
    <cellStyle name="Remarque 2 6 2 2 2 8 2" xfId="23128" xr:uid="{00000000-0005-0000-0000-0000E1760000}"/>
    <cellStyle name="Remarque 2 6 2 2 2 8 3" xfId="47088" xr:uid="{00000000-0005-0000-0000-0000E2760000}"/>
    <cellStyle name="Remarque 2 6 2 2 2 9" xfId="1992" xr:uid="{00000000-0005-0000-0000-0000E3760000}"/>
    <cellStyle name="Remarque 2 6 2 2 2 9 2" xfId="26006" xr:uid="{00000000-0005-0000-0000-0000E4760000}"/>
    <cellStyle name="Remarque 2 6 2 2 2 9 3" xfId="49966" xr:uid="{00000000-0005-0000-0000-0000E5760000}"/>
    <cellStyle name="Remarque 2 6 2 2 3" xfId="748" xr:uid="{00000000-0005-0000-0000-0000E6760000}"/>
    <cellStyle name="Remarque 2 6 2 2 3 10" xfId="24780" xr:uid="{00000000-0005-0000-0000-0000E7760000}"/>
    <cellStyle name="Remarque 2 6 2 2 3 10 2" xfId="48740" xr:uid="{00000000-0005-0000-0000-0000E8760000}"/>
    <cellStyle name="Remarque 2 6 2 2 3 11" xfId="35834" xr:uid="{00000000-0005-0000-0000-0000E9760000}"/>
    <cellStyle name="Remarque 2 6 2 2 3 11 2" xfId="59794" xr:uid="{00000000-0005-0000-0000-0000EA760000}"/>
    <cellStyle name="Remarque 2 6 2 2 3 12" xfId="13445" xr:uid="{00000000-0005-0000-0000-0000EB760000}"/>
    <cellStyle name="Remarque 2 6 2 2 3 13" xfId="37405" xr:uid="{00000000-0005-0000-0000-0000EC760000}"/>
    <cellStyle name="Remarque 2 6 2 2 3 2" xfId="3654" xr:uid="{00000000-0005-0000-0000-0000ED760000}"/>
    <cellStyle name="Remarque 2 6 2 2 3 2 2" xfId="27668" xr:uid="{00000000-0005-0000-0000-0000EE760000}"/>
    <cellStyle name="Remarque 2 6 2 2 3 2 2 2" xfId="51628" xr:uid="{00000000-0005-0000-0000-0000EF760000}"/>
    <cellStyle name="Remarque 2 6 2 2 3 2 3" xfId="14915" xr:uid="{00000000-0005-0000-0000-0000F0760000}"/>
    <cellStyle name="Remarque 2 6 2 2 3 2 4" xfId="38875" xr:uid="{00000000-0005-0000-0000-0000F1760000}"/>
    <cellStyle name="Remarque 2 6 2 2 3 3" xfId="5088" xr:uid="{00000000-0005-0000-0000-0000F2760000}"/>
    <cellStyle name="Remarque 2 6 2 2 3 3 2" xfId="29102" xr:uid="{00000000-0005-0000-0000-0000F3760000}"/>
    <cellStyle name="Remarque 2 6 2 2 3 3 2 2" xfId="53062" xr:uid="{00000000-0005-0000-0000-0000F4760000}"/>
    <cellStyle name="Remarque 2 6 2 2 3 3 3" xfId="16349" xr:uid="{00000000-0005-0000-0000-0000F5760000}"/>
    <cellStyle name="Remarque 2 6 2 2 3 3 4" xfId="40309" xr:uid="{00000000-0005-0000-0000-0000F6760000}"/>
    <cellStyle name="Remarque 2 6 2 2 3 4" xfId="6482" xr:uid="{00000000-0005-0000-0000-0000F7760000}"/>
    <cellStyle name="Remarque 2 6 2 2 3 4 2" xfId="30496" xr:uid="{00000000-0005-0000-0000-0000F8760000}"/>
    <cellStyle name="Remarque 2 6 2 2 3 4 2 2" xfId="54456" xr:uid="{00000000-0005-0000-0000-0000F9760000}"/>
    <cellStyle name="Remarque 2 6 2 2 3 4 3" xfId="17743" xr:uid="{00000000-0005-0000-0000-0000FA760000}"/>
    <cellStyle name="Remarque 2 6 2 2 3 4 4" xfId="41703" xr:uid="{00000000-0005-0000-0000-0000FB760000}"/>
    <cellStyle name="Remarque 2 6 2 2 3 5" xfId="7870" xr:uid="{00000000-0005-0000-0000-0000FC760000}"/>
    <cellStyle name="Remarque 2 6 2 2 3 5 2" xfId="31884" xr:uid="{00000000-0005-0000-0000-0000FD760000}"/>
    <cellStyle name="Remarque 2 6 2 2 3 5 2 2" xfId="55844" xr:uid="{00000000-0005-0000-0000-0000FE760000}"/>
    <cellStyle name="Remarque 2 6 2 2 3 5 3" xfId="19131" xr:uid="{00000000-0005-0000-0000-0000FF760000}"/>
    <cellStyle name="Remarque 2 6 2 2 3 5 4" xfId="43091" xr:uid="{00000000-0005-0000-0000-000000770000}"/>
    <cellStyle name="Remarque 2 6 2 2 3 6" xfId="9255" xr:uid="{00000000-0005-0000-0000-000001770000}"/>
    <cellStyle name="Remarque 2 6 2 2 3 6 2" xfId="33269" xr:uid="{00000000-0005-0000-0000-000002770000}"/>
    <cellStyle name="Remarque 2 6 2 2 3 6 2 2" xfId="57229" xr:uid="{00000000-0005-0000-0000-000003770000}"/>
    <cellStyle name="Remarque 2 6 2 2 3 6 3" xfId="20516" xr:uid="{00000000-0005-0000-0000-000004770000}"/>
    <cellStyle name="Remarque 2 6 2 2 3 6 4" xfId="44476" xr:uid="{00000000-0005-0000-0000-000005770000}"/>
    <cellStyle name="Remarque 2 6 2 2 3 7" xfId="10712" xr:uid="{00000000-0005-0000-0000-000006770000}"/>
    <cellStyle name="Remarque 2 6 2 2 3 7 2" xfId="34722" xr:uid="{00000000-0005-0000-0000-000007770000}"/>
    <cellStyle name="Remarque 2 6 2 2 3 7 2 2" xfId="58682" xr:uid="{00000000-0005-0000-0000-000008770000}"/>
    <cellStyle name="Remarque 2 6 2 2 3 7 3" xfId="21979" xr:uid="{00000000-0005-0000-0000-000009770000}"/>
    <cellStyle name="Remarque 2 6 2 2 3 7 4" xfId="45939" xr:uid="{00000000-0005-0000-0000-00000A770000}"/>
    <cellStyle name="Remarque 2 6 2 2 3 8" xfId="12442" xr:uid="{00000000-0005-0000-0000-00000B770000}"/>
    <cellStyle name="Remarque 2 6 2 2 3 8 2" xfId="23734" xr:uid="{00000000-0005-0000-0000-00000C770000}"/>
    <cellStyle name="Remarque 2 6 2 2 3 8 3" xfId="47694" xr:uid="{00000000-0005-0000-0000-00000D770000}"/>
    <cellStyle name="Remarque 2 6 2 2 3 9" xfId="2184" xr:uid="{00000000-0005-0000-0000-00000E770000}"/>
    <cellStyle name="Remarque 2 6 2 2 3 9 2" xfId="26198" xr:uid="{00000000-0005-0000-0000-00000F770000}"/>
    <cellStyle name="Remarque 2 6 2 2 3 9 3" xfId="50158" xr:uid="{00000000-0005-0000-0000-000010770000}"/>
    <cellStyle name="Remarque 2 6 2 2 4" xfId="942" xr:uid="{00000000-0005-0000-0000-000011770000}"/>
    <cellStyle name="Remarque 2 6 2 2 4 10" xfId="24974" xr:uid="{00000000-0005-0000-0000-000012770000}"/>
    <cellStyle name="Remarque 2 6 2 2 4 10 2" xfId="48934" xr:uid="{00000000-0005-0000-0000-000013770000}"/>
    <cellStyle name="Remarque 2 6 2 2 4 11" xfId="36057" xr:uid="{00000000-0005-0000-0000-000014770000}"/>
    <cellStyle name="Remarque 2 6 2 2 4 11 2" xfId="60017" xr:uid="{00000000-0005-0000-0000-000015770000}"/>
    <cellStyle name="Remarque 2 6 2 2 4 12" xfId="13639" xr:uid="{00000000-0005-0000-0000-000016770000}"/>
    <cellStyle name="Remarque 2 6 2 2 4 13" xfId="37599" xr:uid="{00000000-0005-0000-0000-000017770000}"/>
    <cellStyle name="Remarque 2 6 2 2 4 2" xfId="3848" xr:uid="{00000000-0005-0000-0000-000018770000}"/>
    <cellStyle name="Remarque 2 6 2 2 4 2 2" xfId="27862" xr:uid="{00000000-0005-0000-0000-000019770000}"/>
    <cellStyle name="Remarque 2 6 2 2 4 2 2 2" xfId="51822" xr:uid="{00000000-0005-0000-0000-00001A770000}"/>
    <cellStyle name="Remarque 2 6 2 2 4 2 3" xfId="15109" xr:uid="{00000000-0005-0000-0000-00001B770000}"/>
    <cellStyle name="Remarque 2 6 2 2 4 2 4" xfId="39069" xr:uid="{00000000-0005-0000-0000-00001C770000}"/>
    <cellStyle name="Remarque 2 6 2 2 4 3" xfId="5282" xr:uid="{00000000-0005-0000-0000-00001D770000}"/>
    <cellStyle name="Remarque 2 6 2 2 4 3 2" xfId="29296" xr:uid="{00000000-0005-0000-0000-00001E770000}"/>
    <cellStyle name="Remarque 2 6 2 2 4 3 2 2" xfId="53256" xr:uid="{00000000-0005-0000-0000-00001F770000}"/>
    <cellStyle name="Remarque 2 6 2 2 4 3 3" xfId="16543" xr:uid="{00000000-0005-0000-0000-000020770000}"/>
    <cellStyle name="Remarque 2 6 2 2 4 3 4" xfId="40503" xr:uid="{00000000-0005-0000-0000-000021770000}"/>
    <cellStyle name="Remarque 2 6 2 2 4 4" xfId="6676" xr:uid="{00000000-0005-0000-0000-000022770000}"/>
    <cellStyle name="Remarque 2 6 2 2 4 4 2" xfId="30690" xr:uid="{00000000-0005-0000-0000-000023770000}"/>
    <cellStyle name="Remarque 2 6 2 2 4 4 2 2" xfId="54650" xr:uid="{00000000-0005-0000-0000-000024770000}"/>
    <cellStyle name="Remarque 2 6 2 2 4 4 3" xfId="17937" xr:uid="{00000000-0005-0000-0000-000025770000}"/>
    <cellStyle name="Remarque 2 6 2 2 4 4 4" xfId="41897" xr:uid="{00000000-0005-0000-0000-000026770000}"/>
    <cellStyle name="Remarque 2 6 2 2 4 5" xfId="8064" xr:uid="{00000000-0005-0000-0000-000027770000}"/>
    <cellStyle name="Remarque 2 6 2 2 4 5 2" xfId="32078" xr:uid="{00000000-0005-0000-0000-000028770000}"/>
    <cellStyle name="Remarque 2 6 2 2 4 5 2 2" xfId="56038" xr:uid="{00000000-0005-0000-0000-000029770000}"/>
    <cellStyle name="Remarque 2 6 2 2 4 5 3" xfId="19325" xr:uid="{00000000-0005-0000-0000-00002A770000}"/>
    <cellStyle name="Remarque 2 6 2 2 4 5 4" xfId="43285" xr:uid="{00000000-0005-0000-0000-00002B770000}"/>
    <cellStyle name="Remarque 2 6 2 2 4 6" xfId="9449" xr:uid="{00000000-0005-0000-0000-00002C770000}"/>
    <cellStyle name="Remarque 2 6 2 2 4 6 2" xfId="33463" xr:uid="{00000000-0005-0000-0000-00002D770000}"/>
    <cellStyle name="Remarque 2 6 2 2 4 6 2 2" xfId="57423" xr:uid="{00000000-0005-0000-0000-00002E770000}"/>
    <cellStyle name="Remarque 2 6 2 2 4 6 3" xfId="20710" xr:uid="{00000000-0005-0000-0000-00002F770000}"/>
    <cellStyle name="Remarque 2 6 2 2 4 6 4" xfId="44670" xr:uid="{00000000-0005-0000-0000-000030770000}"/>
    <cellStyle name="Remarque 2 6 2 2 4 7" xfId="10906" xr:uid="{00000000-0005-0000-0000-000031770000}"/>
    <cellStyle name="Remarque 2 6 2 2 4 7 2" xfId="34916" xr:uid="{00000000-0005-0000-0000-000032770000}"/>
    <cellStyle name="Remarque 2 6 2 2 4 7 2 2" xfId="58876" xr:uid="{00000000-0005-0000-0000-000033770000}"/>
    <cellStyle name="Remarque 2 6 2 2 4 7 3" xfId="22173" xr:uid="{00000000-0005-0000-0000-000034770000}"/>
    <cellStyle name="Remarque 2 6 2 2 4 7 4" xfId="46133" xr:uid="{00000000-0005-0000-0000-000035770000}"/>
    <cellStyle name="Remarque 2 6 2 2 4 8" xfId="12162" xr:uid="{00000000-0005-0000-0000-000036770000}"/>
    <cellStyle name="Remarque 2 6 2 2 4 8 2" xfId="23445" xr:uid="{00000000-0005-0000-0000-000037770000}"/>
    <cellStyle name="Remarque 2 6 2 2 4 8 3" xfId="47405" xr:uid="{00000000-0005-0000-0000-000038770000}"/>
    <cellStyle name="Remarque 2 6 2 2 4 9" xfId="2378" xr:uid="{00000000-0005-0000-0000-000039770000}"/>
    <cellStyle name="Remarque 2 6 2 2 4 9 2" xfId="26392" xr:uid="{00000000-0005-0000-0000-00003A770000}"/>
    <cellStyle name="Remarque 2 6 2 2 4 9 3" xfId="50352" xr:uid="{00000000-0005-0000-0000-00003B770000}"/>
    <cellStyle name="Remarque 2 6 2 2 5" xfId="1135" xr:uid="{00000000-0005-0000-0000-00003C770000}"/>
    <cellStyle name="Remarque 2 6 2 2 5 10" xfId="25167" xr:uid="{00000000-0005-0000-0000-00003D770000}"/>
    <cellStyle name="Remarque 2 6 2 2 5 10 2" xfId="49127" xr:uid="{00000000-0005-0000-0000-00003E770000}"/>
    <cellStyle name="Remarque 2 6 2 2 5 11" xfId="35931" xr:uid="{00000000-0005-0000-0000-00003F770000}"/>
    <cellStyle name="Remarque 2 6 2 2 5 11 2" xfId="59891" xr:uid="{00000000-0005-0000-0000-000040770000}"/>
    <cellStyle name="Remarque 2 6 2 2 5 12" xfId="13832" xr:uid="{00000000-0005-0000-0000-000041770000}"/>
    <cellStyle name="Remarque 2 6 2 2 5 13" xfId="37792" xr:uid="{00000000-0005-0000-0000-000042770000}"/>
    <cellStyle name="Remarque 2 6 2 2 5 2" xfId="4041" xr:uid="{00000000-0005-0000-0000-000043770000}"/>
    <cellStyle name="Remarque 2 6 2 2 5 2 2" xfId="28055" xr:uid="{00000000-0005-0000-0000-000044770000}"/>
    <cellStyle name="Remarque 2 6 2 2 5 2 2 2" xfId="52015" xr:uid="{00000000-0005-0000-0000-000045770000}"/>
    <cellStyle name="Remarque 2 6 2 2 5 2 3" xfId="15302" xr:uid="{00000000-0005-0000-0000-000046770000}"/>
    <cellStyle name="Remarque 2 6 2 2 5 2 4" xfId="39262" xr:uid="{00000000-0005-0000-0000-000047770000}"/>
    <cellStyle name="Remarque 2 6 2 2 5 3" xfId="5475" xr:uid="{00000000-0005-0000-0000-000048770000}"/>
    <cellStyle name="Remarque 2 6 2 2 5 3 2" xfId="29489" xr:uid="{00000000-0005-0000-0000-000049770000}"/>
    <cellStyle name="Remarque 2 6 2 2 5 3 2 2" xfId="53449" xr:uid="{00000000-0005-0000-0000-00004A770000}"/>
    <cellStyle name="Remarque 2 6 2 2 5 3 3" xfId="16736" xr:uid="{00000000-0005-0000-0000-00004B770000}"/>
    <cellStyle name="Remarque 2 6 2 2 5 3 4" xfId="40696" xr:uid="{00000000-0005-0000-0000-00004C770000}"/>
    <cellStyle name="Remarque 2 6 2 2 5 4" xfId="6869" xr:uid="{00000000-0005-0000-0000-00004D770000}"/>
    <cellStyle name="Remarque 2 6 2 2 5 4 2" xfId="30883" xr:uid="{00000000-0005-0000-0000-00004E770000}"/>
    <cellStyle name="Remarque 2 6 2 2 5 4 2 2" xfId="54843" xr:uid="{00000000-0005-0000-0000-00004F770000}"/>
    <cellStyle name="Remarque 2 6 2 2 5 4 3" xfId="18130" xr:uid="{00000000-0005-0000-0000-000050770000}"/>
    <cellStyle name="Remarque 2 6 2 2 5 4 4" xfId="42090" xr:uid="{00000000-0005-0000-0000-000051770000}"/>
    <cellStyle name="Remarque 2 6 2 2 5 5" xfId="8257" xr:uid="{00000000-0005-0000-0000-000052770000}"/>
    <cellStyle name="Remarque 2 6 2 2 5 5 2" xfId="32271" xr:uid="{00000000-0005-0000-0000-000053770000}"/>
    <cellStyle name="Remarque 2 6 2 2 5 5 2 2" xfId="56231" xr:uid="{00000000-0005-0000-0000-000054770000}"/>
    <cellStyle name="Remarque 2 6 2 2 5 5 3" xfId="19518" xr:uid="{00000000-0005-0000-0000-000055770000}"/>
    <cellStyle name="Remarque 2 6 2 2 5 5 4" xfId="43478" xr:uid="{00000000-0005-0000-0000-000056770000}"/>
    <cellStyle name="Remarque 2 6 2 2 5 6" xfId="9642" xr:uid="{00000000-0005-0000-0000-000057770000}"/>
    <cellStyle name="Remarque 2 6 2 2 5 6 2" xfId="33656" xr:uid="{00000000-0005-0000-0000-000058770000}"/>
    <cellStyle name="Remarque 2 6 2 2 5 6 2 2" xfId="57616" xr:uid="{00000000-0005-0000-0000-000059770000}"/>
    <cellStyle name="Remarque 2 6 2 2 5 6 3" xfId="20903" xr:uid="{00000000-0005-0000-0000-00005A770000}"/>
    <cellStyle name="Remarque 2 6 2 2 5 6 4" xfId="44863" xr:uid="{00000000-0005-0000-0000-00005B770000}"/>
    <cellStyle name="Remarque 2 6 2 2 5 7" xfId="11099" xr:uid="{00000000-0005-0000-0000-00005C770000}"/>
    <cellStyle name="Remarque 2 6 2 2 5 7 2" xfId="35109" xr:uid="{00000000-0005-0000-0000-00005D770000}"/>
    <cellStyle name="Remarque 2 6 2 2 5 7 2 2" xfId="59069" xr:uid="{00000000-0005-0000-0000-00005E770000}"/>
    <cellStyle name="Remarque 2 6 2 2 5 7 3" xfId="22366" xr:uid="{00000000-0005-0000-0000-00005F770000}"/>
    <cellStyle name="Remarque 2 6 2 2 5 7 4" xfId="46326" xr:uid="{00000000-0005-0000-0000-000060770000}"/>
    <cellStyle name="Remarque 2 6 2 2 5 8" xfId="12817" xr:uid="{00000000-0005-0000-0000-000061770000}"/>
    <cellStyle name="Remarque 2 6 2 2 5 8 2" xfId="24128" xr:uid="{00000000-0005-0000-0000-000062770000}"/>
    <cellStyle name="Remarque 2 6 2 2 5 8 3" xfId="48088" xr:uid="{00000000-0005-0000-0000-000063770000}"/>
    <cellStyle name="Remarque 2 6 2 2 5 9" xfId="2571" xr:uid="{00000000-0005-0000-0000-000064770000}"/>
    <cellStyle name="Remarque 2 6 2 2 5 9 2" xfId="26585" xr:uid="{00000000-0005-0000-0000-000065770000}"/>
    <cellStyle name="Remarque 2 6 2 2 5 9 3" xfId="50545" xr:uid="{00000000-0005-0000-0000-000066770000}"/>
    <cellStyle name="Remarque 2 6 2 2 6" xfId="1302" xr:uid="{00000000-0005-0000-0000-000067770000}"/>
    <cellStyle name="Remarque 2 6 2 2 6 10" xfId="25334" xr:uid="{00000000-0005-0000-0000-000068770000}"/>
    <cellStyle name="Remarque 2 6 2 2 6 10 2" xfId="49294" xr:uid="{00000000-0005-0000-0000-000069770000}"/>
    <cellStyle name="Remarque 2 6 2 2 6 11" xfId="36308" xr:uid="{00000000-0005-0000-0000-00006A770000}"/>
    <cellStyle name="Remarque 2 6 2 2 6 11 2" xfId="60268" xr:uid="{00000000-0005-0000-0000-00006B770000}"/>
    <cellStyle name="Remarque 2 6 2 2 6 12" xfId="13999" xr:uid="{00000000-0005-0000-0000-00006C770000}"/>
    <cellStyle name="Remarque 2 6 2 2 6 13" xfId="37959" xr:uid="{00000000-0005-0000-0000-00006D770000}"/>
    <cellStyle name="Remarque 2 6 2 2 6 2" xfId="4208" xr:uid="{00000000-0005-0000-0000-00006E770000}"/>
    <cellStyle name="Remarque 2 6 2 2 6 2 2" xfId="28222" xr:uid="{00000000-0005-0000-0000-00006F770000}"/>
    <cellStyle name="Remarque 2 6 2 2 6 2 2 2" xfId="52182" xr:uid="{00000000-0005-0000-0000-000070770000}"/>
    <cellStyle name="Remarque 2 6 2 2 6 2 3" xfId="15469" xr:uid="{00000000-0005-0000-0000-000071770000}"/>
    <cellStyle name="Remarque 2 6 2 2 6 2 4" xfId="39429" xr:uid="{00000000-0005-0000-0000-000072770000}"/>
    <cellStyle name="Remarque 2 6 2 2 6 3" xfId="5642" xr:uid="{00000000-0005-0000-0000-000073770000}"/>
    <cellStyle name="Remarque 2 6 2 2 6 3 2" xfId="29656" xr:uid="{00000000-0005-0000-0000-000074770000}"/>
    <cellStyle name="Remarque 2 6 2 2 6 3 2 2" xfId="53616" xr:uid="{00000000-0005-0000-0000-000075770000}"/>
    <cellStyle name="Remarque 2 6 2 2 6 3 3" xfId="16903" xr:uid="{00000000-0005-0000-0000-000076770000}"/>
    <cellStyle name="Remarque 2 6 2 2 6 3 4" xfId="40863" xr:uid="{00000000-0005-0000-0000-000077770000}"/>
    <cellStyle name="Remarque 2 6 2 2 6 4" xfId="7036" xr:uid="{00000000-0005-0000-0000-000078770000}"/>
    <cellStyle name="Remarque 2 6 2 2 6 4 2" xfId="31050" xr:uid="{00000000-0005-0000-0000-000079770000}"/>
    <cellStyle name="Remarque 2 6 2 2 6 4 2 2" xfId="55010" xr:uid="{00000000-0005-0000-0000-00007A770000}"/>
    <cellStyle name="Remarque 2 6 2 2 6 4 3" xfId="18297" xr:uid="{00000000-0005-0000-0000-00007B770000}"/>
    <cellStyle name="Remarque 2 6 2 2 6 4 4" xfId="42257" xr:uid="{00000000-0005-0000-0000-00007C770000}"/>
    <cellStyle name="Remarque 2 6 2 2 6 5" xfId="8424" xr:uid="{00000000-0005-0000-0000-00007D770000}"/>
    <cellStyle name="Remarque 2 6 2 2 6 5 2" xfId="32438" xr:uid="{00000000-0005-0000-0000-00007E770000}"/>
    <cellStyle name="Remarque 2 6 2 2 6 5 2 2" xfId="56398" xr:uid="{00000000-0005-0000-0000-00007F770000}"/>
    <cellStyle name="Remarque 2 6 2 2 6 5 3" xfId="19685" xr:uid="{00000000-0005-0000-0000-000080770000}"/>
    <cellStyle name="Remarque 2 6 2 2 6 5 4" xfId="43645" xr:uid="{00000000-0005-0000-0000-000081770000}"/>
    <cellStyle name="Remarque 2 6 2 2 6 6" xfId="9809" xr:uid="{00000000-0005-0000-0000-000082770000}"/>
    <cellStyle name="Remarque 2 6 2 2 6 6 2" xfId="33823" xr:uid="{00000000-0005-0000-0000-000083770000}"/>
    <cellStyle name="Remarque 2 6 2 2 6 6 2 2" xfId="57783" xr:uid="{00000000-0005-0000-0000-000084770000}"/>
    <cellStyle name="Remarque 2 6 2 2 6 6 3" xfId="21070" xr:uid="{00000000-0005-0000-0000-000085770000}"/>
    <cellStyle name="Remarque 2 6 2 2 6 6 4" xfId="45030" xr:uid="{00000000-0005-0000-0000-000086770000}"/>
    <cellStyle name="Remarque 2 6 2 2 6 7" xfId="11266" xr:uid="{00000000-0005-0000-0000-000087770000}"/>
    <cellStyle name="Remarque 2 6 2 2 6 7 2" xfId="35276" xr:uid="{00000000-0005-0000-0000-000088770000}"/>
    <cellStyle name="Remarque 2 6 2 2 6 7 2 2" xfId="59236" xr:uid="{00000000-0005-0000-0000-000089770000}"/>
    <cellStyle name="Remarque 2 6 2 2 6 7 3" xfId="22533" xr:uid="{00000000-0005-0000-0000-00008A770000}"/>
    <cellStyle name="Remarque 2 6 2 2 6 7 4" xfId="46493" xr:uid="{00000000-0005-0000-0000-00008B770000}"/>
    <cellStyle name="Remarque 2 6 2 2 6 8" xfId="12608" xr:uid="{00000000-0005-0000-0000-00008C770000}"/>
    <cellStyle name="Remarque 2 6 2 2 6 8 2" xfId="23910" xr:uid="{00000000-0005-0000-0000-00008D770000}"/>
    <cellStyle name="Remarque 2 6 2 2 6 8 3" xfId="47870" xr:uid="{00000000-0005-0000-0000-00008E770000}"/>
    <cellStyle name="Remarque 2 6 2 2 6 9" xfId="2738" xr:uid="{00000000-0005-0000-0000-00008F770000}"/>
    <cellStyle name="Remarque 2 6 2 2 6 9 2" xfId="26752" xr:uid="{00000000-0005-0000-0000-000090770000}"/>
    <cellStyle name="Remarque 2 6 2 2 6 9 3" xfId="50712" xr:uid="{00000000-0005-0000-0000-000091770000}"/>
    <cellStyle name="Remarque 2 6 2 2 7" xfId="1471" xr:uid="{00000000-0005-0000-0000-000092770000}"/>
    <cellStyle name="Remarque 2 6 2 2 7 10" xfId="25503" xr:uid="{00000000-0005-0000-0000-000093770000}"/>
    <cellStyle name="Remarque 2 6 2 2 7 10 2" xfId="49463" xr:uid="{00000000-0005-0000-0000-000094770000}"/>
    <cellStyle name="Remarque 2 6 2 2 7 11" xfId="36135" xr:uid="{00000000-0005-0000-0000-000095770000}"/>
    <cellStyle name="Remarque 2 6 2 2 7 11 2" xfId="60095" xr:uid="{00000000-0005-0000-0000-000096770000}"/>
    <cellStyle name="Remarque 2 6 2 2 7 12" xfId="14168" xr:uid="{00000000-0005-0000-0000-000097770000}"/>
    <cellStyle name="Remarque 2 6 2 2 7 13" xfId="38128" xr:uid="{00000000-0005-0000-0000-000098770000}"/>
    <cellStyle name="Remarque 2 6 2 2 7 2" xfId="4377" xr:uid="{00000000-0005-0000-0000-000099770000}"/>
    <cellStyle name="Remarque 2 6 2 2 7 2 2" xfId="28391" xr:uid="{00000000-0005-0000-0000-00009A770000}"/>
    <cellStyle name="Remarque 2 6 2 2 7 2 2 2" xfId="52351" xr:uid="{00000000-0005-0000-0000-00009B770000}"/>
    <cellStyle name="Remarque 2 6 2 2 7 2 3" xfId="15638" xr:uid="{00000000-0005-0000-0000-00009C770000}"/>
    <cellStyle name="Remarque 2 6 2 2 7 2 4" xfId="39598" xr:uid="{00000000-0005-0000-0000-00009D770000}"/>
    <cellStyle name="Remarque 2 6 2 2 7 3" xfId="5811" xr:uid="{00000000-0005-0000-0000-00009E770000}"/>
    <cellStyle name="Remarque 2 6 2 2 7 3 2" xfId="29825" xr:uid="{00000000-0005-0000-0000-00009F770000}"/>
    <cellStyle name="Remarque 2 6 2 2 7 3 2 2" xfId="53785" xr:uid="{00000000-0005-0000-0000-0000A0770000}"/>
    <cellStyle name="Remarque 2 6 2 2 7 3 3" xfId="17072" xr:uid="{00000000-0005-0000-0000-0000A1770000}"/>
    <cellStyle name="Remarque 2 6 2 2 7 3 4" xfId="41032" xr:uid="{00000000-0005-0000-0000-0000A2770000}"/>
    <cellStyle name="Remarque 2 6 2 2 7 4" xfId="7205" xr:uid="{00000000-0005-0000-0000-0000A3770000}"/>
    <cellStyle name="Remarque 2 6 2 2 7 4 2" xfId="31219" xr:uid="{00000000-0005-0000-0000-0000A4770000}"/>
    <cellStyle name="Remarque 2 6 2 2 7 4 2 2" xfId="55179" xr:uid="{00000000-0005-0000-0000-0000A5770000}"/>
    <cellStyle name="Remarque 2 6 2 2 7 4 3" xfId="18466" xr:uid="{00000000-0005-0000-0000-0000A6770000}"/>
    <cellStyle name="Remarque 2 6 2 2 7 4 4" xfId="42426" xr:uid="{00000000-0005-0000-0000-0000A7770000}"/>
    <cellStyle name="Remarque 2 6 2 2 7 5" xfId="8593" xr:uid="{00000000-0005-0000-0000-0000A8770000}"/>
    <cellStyle name="Remarque 2 6 2 2 7 5 2" xfId="32607" xr:uid="{00000000-0005-0000-0000-0000A9770000}"/>
    <cellStyle name="Remarque 2 6 2 2 7 5 2 2" xfId="56567" xr:uid="{00000000-0005-0000-0000-0000AA770000}"/>
    <cellStyle name="Remarque 2 6 2 2 7 5 3" xfId="19854" xr:uid="{00000000-0005-0000-0000-0000AB770000}"/>
    <cellStyle name="Remarque 2 6 2 2 7 5 4" xfId="43814" xr:uid="{00000000-0005-0000-0000-0000AC770000}"/>
    <cellStyle name="Remarque 2 6 2 2 7 6" xfId="9978" xr:uid="{00000000-0005-0000-0000-0000AD770000}"/>
    <cellStyle name="Remarque 2 6 2 2 7 6 2" xfId="33992" xr:uid="{00000000-0005-0000-0000-0000AE770000}"/>
    <cellStyle name="Remarque 2 6 2 2 7 6 2 2" xfId="57952" xr:uid="{00000000-0005-0000-0000-0000AF770000}"/>
    <cellStyle name="Remarque 2 6 2 2 7 6 3" xfId="21239" xr:uid="{00000000-0005-0000-0000-0000B0770000}"/>
    <cellStyle name="Remarque 2 6 2 2 7 6 4" xfId="45199" xr:uid="{00000000-0005-0000-0000-0000B1770000}"/>
    <cellStyle name="Remarque 2 6 2 2 7 7" xfId="11435" xr:uid="{00000000-0005-0000-0000-0000B2770000}"/>
    <cellStyle name="Remarque 2 6 2 2 7 7 2" xfId="35445" xr:uid="{00000000-0005-0000-0000-0000B3770000}"/>
    <cellStyle name="Remarque 2 6 2 2 7 7 2 2" xfId="59405" xr:uid="{00000000-0005-0000-0000-0000B4770000}"/>
    <cellStyle name="Remarque 2 6 2 2 7 7 3" xfId="22702" xr:uid="{00000000-0005-0000-0000-0000B5770000}"/>
    <cellStyle name="Remarque 2 6 2 2 7 7 4" xfId="46662" xr:uid="{00000000-0005-0000-0000-0000B6770000}"/>
    <cellStyle name="Remarque 2 6 2 2 7 8" xfId="12499" xr:uid="{00000000-0005-0000-0000-0000B7770000}"/>
    <cellStyle name="Remarque 2 6 2 2 7 8 2" xfId="23796" xr:uid="{00000000-0005-0000-0000-0000B8770000}"/>
    <cellStyle name="Remarque 2 6 2 2 7 8 3" xfId="47756" xr:uid="{00000000-0005-0000-0000-0000B9770000}"/>
    <cellStyle name="Remarque 2 6 2 2 7 9" xfId="2907" xr:uid="{00000000-0005-0000-0000-0000BA770000}"/>
    <cellStyle name="Remarque 2 6 2 2 7 9 2" xfId="26921" xr:uid="{00000000-0005-0000-0000-0000BB770000}"/>
    <cellStyle name="Remarque 2 6 2 2 7 9 3" xfId="50881" xr:uid="{00000000-0005-0000-0000-0000BC770000}"/>
    <cellStyle name="Remarque 2 6 2 2 8" xfId="3326" xr:uid="{00000000-0005-0000-0000-0000BD770000}"/>
    <cellStyle name="Remarque 2 6 2 2 8 2" xfId="27340" xr:uid="{00000000-0005-0000-0000-0000BE770000}"/>
    <cellStyle name="Remarque 2 6 2 2 8 2 2" xfId="51300" xr:uid="{00000000-0005-0000-0000-0000BF770000}"/>
    <cellStyle name="Remarque 2 6 2 2 8 3" xfId="14587" xr:uid="{00000000-0005-0000-0000-0000C0770000}"/>
    <cellStyle name="Remarque 2 6 2 2 8 4" xfId="38547" xr:uid="{00000000-0005-0000-0000-0000C1770000}"/>
    <cellStyle name="Remarque 2 6 2 2 9" xfId="4760" xr:uid="{00000000-0005-0000-0000-0000C2770000}"/>
    <cellStyle name="Remarque 2 6 2 2 9 2" xfId="28774" xr:uid="{00000000-0005-0000-0000-0000C3770000}"/>
    <cellStyle name="Remarque 2 6 2 2 9 2 2" xfId="52734" xr:uid="{00000000-0005-0000-0000-0000C4770000}"/>
    <cellStyle name="Remarque 2 6 2 2 9 3" xfId="16021" xr:uid="{00000000-0005-0000-0000-0000C5770000}"/>
    <cellStyle name="Remarque 2 6 2 2 9 4" xfId="39981" xr:uid="{00000000-0005-0000-0000-0000C6770000}"/>
    <cellStyle name="Remarque 2 6 2 20" xfId="12942" xr:uid="{00000000-0005-0000-0000-0000C7770000}"/>
    <cellStyle name="Remarque 2 6 2 21" xfId="36902" xr:uid="{00000000-0005-0000-0000-0000C8770000}"/>
    <cellStyle name="Remarque 2 6 2 22" xfId="245" xr:uid="{00000000-0005-0000-0000-0000C9770000}"/>
    <cellStyle name="Remarque 2 6 2 3" xfId="344" xr:uid="{00000000-0005-0000-0000-0000CA770000}"/>
    <cellStyle name="Remarque 2 6 2 3 10" xfId="24376" xr:uid="{00000000-0005-0000-0000-0000CB770000}"/>
    <cellStyle name="Remarque 2 6 2 3 10 2" xfId="48336" xr:uid="{00000000-0005-0000-0000-0000CC770000}"/>
    <cellStyle name="Remarque 2 6 2 3 11" xfId="35678" xr:uid="{00000000-0005-0000-0000-0000CD770000}"/>
    <cellStyle name="Remarque 2 6 2 3 11 2" xfId="59638" xr:uid="{00000000-0005-0000-0000-0000CE770000}"/>
    <cellStyle name="Remarque 2 6 2 3 12" xfId="13041" xr:uid="{00000000-0005-0000-0000-0000CF770000}"/>
    <cellStyle name="Remarque 2 6 2 3 13" xfId="37001" xr:uid="{00000000-0005-0000-0000-0000D0770000}"/>
    <cellStyle name="Remarque 2 6 2 3 2" xfId="3250" xr:uid="{00000000-0005-0000-0000-0000D1770000}"/>
    <cellStyle name="Remarque 2 6 2 3 2 2" xfId="27264" xr:uid="{00000000-0005-0000-0000-0000D2770000}"/>
    <cellStyle name="Remarque 2 6 2 3 2 2 2" xfId="51224" xr:uid="{00000000-0005-0000-0000-0000D3770000}"/>
    <cellStyle name="Remarque 2 6 2 3 2 3" xfId="14511" xr:uid="{00000000-0005-0000-0000-0000D4770000}"/>
    <cellStyle name="Remarque 2 6 2 3 2 4" xfId="38471" xr:uid="{00000000-0005-0000-0000-0000D5770000}"/>
    <cellStyle name="Remarque 2 6 2 3 3" xfId="4684" xr:uid="{00000000-0005-0000-0000-0000D6770000}"/>
    <cellStyle name="Remarque 2 6 2 3 3 2" xfId="28698" xr:uid="{00000000-0005-0000-0000-0000D7770000}"/>
    <cellStyle name="Remarque 2 6 2 3 3 2 2" xfId="52658" xr:uid="{00000000-0005-0000-0000-0000D8770000}"/>
    <cellStyle name="Remarque 2 6 2 3 3 3" xfId="15945" xr:uid="{00000000-0005-0000-0000-0000D9770000}"/>
    <cellStyle name="Remarque 2 6 2 3 3 4" xfId="39905" xr:uid="{00000000-0005-0000-0000-0000DA770000}"/>
    <cellStyle name="Remarque 2 6 2 3 4" xfId="6078" xr:uid="{00000000-0005-0000-0000-0000DB770000}"/>
    <cellStyle name="Remarque 2 6 2 3 4 2" xfId="30092" xr:uid="{00000000-0005-0000-0000-0000DC770000}"/>
    <cellStyle name="Remarque 2 6 2 3 4 2 2" xfId="54052" xr:uid="{00000000-0005-0000-0000-0000DD770000}"/>
    <cellStyle name="Remarque 2 6 2 3 4 3" xfId="17339" xr:uid="{00000000-0005-0000-0000-0000DE770000}"/>
    <cellStyle name="Remarque 2 6 2 3 4 4" xfId="41299" xr:uid="{00000000-0005-0000-0000-0000DF770000}"/>
    <cellStyle name="Remarque 2 6 2 3 5" xfId="7466" xr:uid="{00000000-0005-0000-0000-0000E0770000}"/>
    <cellStyle name="Remarque 2 6 2 3 5 2" xfId="31480" xr:uid="{00000000-0005-0000-0000-0000E1770000}"/>
    <cellStyle name="Remarque 2 6 2 3 5 2 2" xfId="55440" xr:uid="{00000000-0005-0000-0000-0000E2770000}"/>
    <cellStyle name="Remarque 2 6 2 3 5 3" xfId="18727" xr:uid="{00000000-0005-0000-0000-0000E3770000}"/>
    <cellStyle name="Remarque 2 6 2 3 5 4" xfId="42687" xr:uid="{00000000-0005-0000-0000-0000E4770000}"/>
    <cellStyle name="Remarque 2 6 2 3 6" xfId="8851" xr:uid="{00000000-0005-0000-0000-0000E5770000}"/>
    <cellStyle name="Remarque 2 6 2 3 6 2" xfId="32865" xr:uid="{00000000-0005-0000-0000-0000E6770000}"/>
    <cellStyle name="Remarque 2 6 2 3 6 2 2" xfId="56825" xr:uid="{00000000-0005-0000-0000-0000E7770000}"/>
    <cellStyle name="Remarque 2 6 2 3 6 3" xfId="20112" xr:uid="{00000000-0005-0000-0000-0000E8770000}"/>
    <cellStyle name="Remarque 2 6 2 3 6 4" xfId="44072" xr:uid="{00000000-0005-0000-0000-0000E9770000}"/>
    <cellStyle name="Remarque 2 6 2 3 7" xfId="10308" xr:uid="{00000000-0005-0000-0000-0000EA770000}"/>
    <cellStyle name="Remarque 2 6 2 3 7 2" xfId="34318" xr:uid="{00000000-0005-0000-0000-0000EB770000}"/>
    <cellStyle name="Remarque 2 6 2 3 7 2 2" xfId="58278" xr:uid="{00000000-0005-0000-0000-0000EC770000}"/>
    <cellStyle name="Remarque 2 6 2 3 7 3" xfId="21575" xr:uid="{00000000-0005-0000-0000-0000ED770000}"/>
    <cellStyle name="Remarque 2 6 2 3 7 4" xfId="45535" xr:uid="{00000000-0005-0000-0000-0000EE770000}"/>
    <cellStyle name="Remarque 2 6 2 3 8" xfId="12056" xr:uid="{00000000-0005-0000-0000-0000EF770000}"/>
    <cellStyle name="Remarque 2 6 2 3 8 2" xfId="23336" xr:uid="{00000000-0005-0000-0000-0000F0770000}"/>
    <cellStyle name="Remarque 2 6 2 3 8 3" xfId="47296" xr:uid="{00000000-0005-0000-0000-0000F1770000}"/>
    <cellStyle name="Remarque 2 6 2 3 9" xfId="1780" xr:uid="{00000000-0005-0000-0000-0000F2770000}"/>
    <cellStyle name="Remarque 2 6 2 3 9 2" xfId="25794" xr:uid="{00000000-0005-0000-0000-0000F3770000}"/>
    <cellStyle name="Remarque 2 6 2 3 9 3" xfId="49754" xr:uid="{00000000-0005-0000-0000-0000F4770000}"/>
    <cellStyle name="Remarque 2 6 2 4" xfId="480" xr:uid="{00000000-0005-0000-0000-0000F5770000}"/>
    <cellStyle name="Remarque 2 6 2 4 10" xfId="24512" xr:uid="{00000000-0005-0000-0000-0000F6770000}"/>
    <cellStyle name="Remarque 2 6 2 4 10 2" xfId="48472" xr:uid="{00000000-0005-0000-0000-0000F7770000}"/>
    <cellStyle name="Remarque 2 6 2 4 11" xfId="35681" xr:uid="{00000000-0005-0000-0000-0000F8770000}"/>
    <cellStyle name="Remarque 2 6 2 4 11 2" xfId="59641" xr:uid="{00000000-0005-0000-0000-0000F9770000}"/>
    <cellStyle name="Remarque 2 6 2 4 12" xfId="13177" xr:uid="{00000000-0005-0000-0000-0000FA770000}"/>
    <cellStyle name="Remarque 2 6 2 4 13" xfId="37137" xr:uid="{00000000-0005-0000-0000-0000FB770000}"/>
    <cellStyle name="Remarque 2 6 2 4 2" xfId="3386" xr:uid="{00000000-0005-0000-0000-0000FC770000}"/>
    <cellStyle name="Remarque 2 6 2 4 2 2" xfId="27400" xr:uid="{00000000-0005-0000-0000-0000FD770000}"/>
    <cellStyle name="Remarque 2 6 2 4 2 2 2" xfId="51360" xr:uid="{00000000-0005-0000-0000-0000FE770000}"/>
    <cellStyle name="Remarque 2 6 2 4 2 3" xfId="14647" xr:uid="{00000000-0005-0000-0000-0000FF770000}"/>
    <cellStyle name="Remarque 2 6 2 4 2 4" xfId="38607" xr:uid="{00000000-0005-0000-0000-000000780000}"/>
    <cellStyle name="Remarque 2 6 2 4 3" xfId="4820" xr:uid="{00000000-0005-0000-0000-000001780000}"/>
    <cellStyle name="Remarque 2 6 2 4 3 2" xfId="28834" xr:uid="{00000000-0005-0000-0000-000002780000}"/>
    <cellStyle name="Remarque 2 6 2 4 3 2 2" xfId="52794" xr:uid="{00000000-0005-0000-0000-000003780000}"/>
    <cellStyle name="Remarque 2 6 2 4 3 3" xfId="16081" xr:uid="{00000000-0005-0000-0000-000004780000}"/>
    <cellStyle name="Remarque 2 6 2 4 3 4" xfId="40041" xr:uid="{00000000-0005-0000-0000-000005780000}"/>
    <cellStyle name="Remarque 2 6 2 4 4" xfId="6214" xr:uid="{00000000-0005-0000-0000-000006780000}"/>
    <cellStyle name="Remarque 2 6 2 4 4 2" xfId="30228" xr:uid="{00000000-0005-0000-0000-000007780000}"/>
    <cellStyle name="Remarque 2 6 2 4 4 2 2" xfId="54188" xr:uid="{00000000-0005-0000-0000-000008780000}"/>
    <cellStyle name="Remarque 2 6 2 4 4 3" xfId="17475" xr:uid="{00000000-0005-0000-0000-000009780000}"/>
    <cellStyle name="Remarque 2 6 2 4 4 4" xfId="41435" xr:uid="{00000000-0005-0000-0000-00000A780000}"/>
    <cellStyle name="Remarque 2 6 2 4 5" xfId="7602" xr:uid="{00000000-0005-0000-0000-00000B780000}"/>
    <cellStyle name="Remarque 2 6 2 4 5 2" xfId="31616" xr:uid="{00000000-0005-0000-0000-00000C780000}"/>
    <cellStyle name="Remarque 2 6 2 4 5 2 2" xfId="55576" xr:uid="{00000000-0005-0000-0000-00000D780000}"/>
    <cellStyle name="Remarque 2 6 2 4 5 3" xfId="18863" xr:uid="{00000000-0005-0000-0000-00000E780000}"/>
    <cellStyle name="Remarque 2 6 2 4 5 4" xfId="42823" xr:uid="{00000000-0005-0000-0000-00000F780000}"/>
    <cellStyle name="Remarque 2 6 2 4 6" xfId="8987" xr:uid="{00000000-0005-0000-0000-000010780000}"/>
    <cellStyle name="Remarque 2 6 2 4 6 2" xfId="33001" xr:uid="{00000000-0005-0000-0000-000011780000}"/>
    <cellStyle name="Remarque 2 6 2 4 6 2 2" xfId="56961" xr:uid="{00000000-0005-0000-0000-000012780000}"/>
    <cellStyle name="Remarque 2 6 2 4 6 3" xfId="20248" xr:uid="{00000000-0005-0000-0000-000013780000}"/>
    <cellStyle name="Remarque 2 6 2 4 6 4" xfId="44208" xr:uid="{00000000-0005-0000-0000-000014780000}"/>
    <cellStyle name="Remarque 2 6 2 4 7" xfId="10444" xr:uid="{00000000-0005-0000-0000-000015780000}"/>
    <cellStyle name="Remarque 2 6 2 4 7 2" xfId="34454" xr:uid="{00000000-0005-0000-0000-000016780000}"/>
    <cellStyle name="Remarque 2 6 2 4 7 2 2" xfId="58414" xr:uid="{00000000-0005-0000-0000-000017780000}"/>
    <cellStyle name="Remarque 2 6 2 4 7 3" xfId="21711" xr:uid="{00000000-0005-0000-0000-000018780000}"/>
    <cellStyle name="Remarque 2 6 2 4 7 4" xfId="45671" xr:uid="{00000000-0005-0000-0000-000019780000}"/>
    <cellStyle name="Remarque 2 6 2 4 8" xfId="11778" xr:uid="{00000000-0005-0000-0000-00001A780000}"/>
    <cellStyle name="Remarque 2 6 2 4 8 2" xfId="23051" xr:uid="{00000000-0005-0000-0000-00001B780000}"/>
    <cellStyle name="Remarque 2 6 2 4 8 3" xfId="47011" xr:uid="{00000000-0005-0000-0000-00001C780000}"/>
    <cellStyle name="Remarque 2 6 2 4 9" xfId="1916" xr:uid="{00000000-0005-0000-0000-00001D780000}"/>
    <cellStyle name="Remarque 2 6 2 4 9 2" xfId="25930" xr:uid="{00000000-0005-0000-0000-00001E780000}"/>
    <cellStyle name="Remarque 2 6 2 4 9 3" xfId="49890" xr:uid="{00000000-0005-0000-0000-00001F780000}"/>
    <cellStyle name="Remarque 2 6 2 5" xfId="672" xr:uid="{00000000-0005-0000-0000-000020780000}"/>
    <cellStyle name="Remarque 2 6 2 5 10" xfId="24704" xr:uid="{00000000-0005-0000-0000-000021780000}"/>
    <cellStyle name="Remarque 2 6 2 5 10 2" xfId="48664" xr:uid="{00000000-0005-0000-0000-000022780000}"/>
    <cellStyle name="Remarque 2 6 2 5 11" xfId="35923" xr:uid="{00000000-0005-0000-0000-000023780000}"/>
    <cellStyle name="Remarque 2 6 2 5 11 2" xfId="59883" xr:uid="{00000000-0005-0000-0000-000024780000}"/>
    <cellStyle name="Remarque 2 6 2 5 12" xfId="13369" xr:uid="{00000000-0005-0000-0000-000025780000}"/>
    <cellStyle name="Remarque 2 6 2 5 13" xfId="37329" xr:uid="{00000000-0005-0000-0000-000026780000}"/>
    <cellStyle name="Remarque 2 6 2 5 2" xfId="3578" xr:uid="{00000000-0005-0000-0000-000027780000}"/>
    <cellStyle name="Remarque 2 6 2 5 2 2" xfId="27592" xr:uid="{00000000-0005-0000-0000-000028780000}"/>
    <cellStyle name="Remarque 2 6 2 5 2 2 2" xfId="51552" xr:uid="{00000000-0005-0000-0000-000029780000}"/>
    <cellStyle name="Remarque 2 6 2 5 2 3" xfId="14839" xr:uid="{00000000-0005-0000-0000-00002A780000}"/>
    <cellStyle name="Remarque 2 6 2 5 2 4" xfId="38799" xr:uid="{00000000-0005-0000-0000-00002B780000}"/>
    <cellStyle name="Remarque 2 6 2 5 3" xfId="5012" xr:uid="{00000000-0005-0000-0000-00002C780000}"/>
    <cellStyle name="Remarque 2 6 2 5 3 2" xfId="29026" xr:uid="{00000000-0005-0000-0000-00002D780000}"/>
    <cellStyle name="Remarque 2 6 2 5 3 2 2" xfId="52986" xr:uid="{00000000-0005-0000-0000-00002E780000}"/>
    <cellStyle name="Remarque 2 6 2 5 3 3" xfId="16273" xr:uid="{00000000-0005-0000-0000-00002F780000}"/>
    <cellStyle name="Remarque 2 6 2 5 3 4" xfId="40233" xr:uid="{00000000-0005-0000-0000-000030780000}"/>
    <cellStyle name="Remarque 2 6 2 5 4" xfId="6406" xr:uid="{00000000-0005-0000-0000-000031780000}"/>
    <cellStyle name="Remarque 2 6 2 5 4 2" xfId="30420" xr:uid="{00000000-0005-0000-0000-000032780000}"/>
    <cellStyle name="Remarque 2 6 2 5 4 2 2" xfId="54380" xr:uid="{00000000-0005-0000-0000-000033780000}"/>
    <cellStyle name="Remarque 2 6 2 5 4 3" xfId="17667" xr:uid="{00000000-0005-0000-0000-000034780000}"/>
    <cellStyle name="Remarque 2 6 2 5 4 4" xfId="41627" xr:uid="{00000000-0005-0000-0000-000035780000}"/>
    <cellStyle name="Remarque 2 6 2 5 5" xfId="7794" xr:uid="{00000000-0005-0000-0000-000036780000}"/>
    <cellStyle name="Remarque 2 6 2 5 5 2" xfId="31808" xr:uid="{00000000-0005-0000-0000-000037780000}"/>
    <cellStyle name="Remarque 2 6 2 5 5 2 2" xfId="55768" xr:uid="{00000000-0005-0000-0000-000038780000}"/>
    <cellStyle name="Remarque 2 6 2 5 5 3" xfId="19055" xr:uid="{00000000-0005-0000-0000-000039780000}"/>
    <cellStyle name="Remarque 2 6 2 5 5 4" xfId="43015" xr:uid="{00000000-0005-0000-0000-00003A780000}"/>
    <cellStyle name="Remarque 2 6 2 5 6" xfId="9179" xr:uid="{00000000-0005-0000-0000-00003B780000}"/>
    <cellStyle name="Remarque 2 6 2 5 6 2" xfId="33193" xr:uid="{00000000-0005-0000-0000-00003C780000}"/>
    <cellStyle name="Remarque 2 6 2 5 6 2 2" xfId="57153" xr:uid="{00000000-0005-0000-0000-00003D780000}"/>
    <cellStyle name="Remarque 2 6 2 5 6 3" xfId="20440" xr:uid="{00000000-0005-0000-0000-00003E780000}"/>
    <cellStyle name="Remarque 2 6 2 5 6 4" xfId="44400" xr:uid="{00000000-0005-0000-0000-00003F780000}"/>
    <cellStyle name="Remarque 2 6 2 5 7" xfId="10636" xr:uid="{00000000-0005-0000-0000-000040780000}"/>
    <cellStyle name="Remarque 2 6 2 5 7 2" xfId="34646" xr:uid="{00000000-0005-0000-0000-000041780000}"/>
    <cellStyle name="Remarque 2 6 2 5 7 2 2" xfId="58606" xr:uid="{00000000-0005-0000-0000-000042780000}"/>
    <cellStyle name="Remarque 2 6 2 5 7 3" xfId="21903" xr:uid="{00000000-0005-0000-0000-000043780000}"/>
    <cellStyle name="Remarque 2 6 2 5 7 4" xfId="45863" xr:uid="{00000000-0005-0000-0000-000044780000}"/>
    <cellStyle name="Remarque 2 6 2 5 8" xfId="11727" xr:uid="{00000000-0005-0000-0000-000045780000}"/>
    <cellStyle name="Remarque 2 6 2 5 8 2" xfId="22998" xr:uid="{00000000-0005-0000-0000-000046780000}"/>
    <cellStyle name="Remarque 2 6 2 5 8 3" xfId="46958" xr:uid="{00000000-0005-0000-0000-000047780000}"/>
    <cellStyle name="Remarque 2 6 2 5 9" xfId="2108" xr:uid="{00000000-0005-0000-0000-000048780000}"/>
    <cellStyle name="Remarque 2 6 2 5 9 2" xfId="26122" xr:uid="{00000000-0005-0000-0000-000049780000}"/>
    <cellStyle name="Remarque 2 6 2 5 9 3" xfId="50082" xr:uid="{00000000-0005-0000-0000-00004A780000}"/>
    <cellStyle name="Remarque 2 6 2 6" xfId="866" xr:uid="{00000000-0005-0000-0000-00004B780000}"/>
    <cellStyle name="Remarque 2 6 2 6 10" xfId="24898" xr:uid="{00000000-0005-0000-0000-00004C780000}"/>
    <cellStyle name="Remarque 2 6 2 6 10 2" xfId="48858" xr:uid="{00000000-0005-0000-0000-00004D780000}"/>
    <cellStyle name="Remarque 2 6 2 6 11" xfId="35826" xr:uid="{00000000-0005-0000-0000-00004E780000}"/>
    <cellStyle name="Remarque 2 6 2 6 11 2" xfId="59786" xr:uid="{00000000-0005-0000-0000-00004F780000}"/>
    <cellStyle name="Remarque 2 6 2 6 12" xfId="13563" xr:uid="{00000000-0005-0000-0000-000050780000}"/>
    <cellStyle name="Remarque 2 6 2 6 13" xfId="37523" xr:uid="{00000000-0005-0000-0000-000051780000}"/>
    <cellStyle name="Remarque 2 6 2 6 2" xfId="3772" xr:uid="{00000000-0005-0000-0000-000052780000}"/>
    <cellStyle name="Remarque 2 6 2 6 2 2" xfId="27786" xr:uid="{00000000-0005-0000-0000-000053780000}"/>
    <cellStyle name="Remarque 2 6 2 6 2 2 2" xfId="51746" xr:uid="{00000000-0005-0000-0000-000054780000}"/>
    <cellStyle name="Remarque 2 6 2 6 2 3" xfId="15033" xr:uid="{00000000-0005-0000-0000-000055780000}"/>
    <cellStyle name="Remarque 2 6 2 6 2 4" xfId="38993" xr:uid="{00000000-0005-0000-0000-000056780000}"/>
    <cellStyle name="Remarque 2 6 2 6 3" xfId="5206" xr:uid="{00000000-0005-0000-0000-000057780000}"/>
    <cellStyle name="Remarque 2 6 2 6 3 2" xfId="29220" xr:uid="{00000000-0005-0000-0000-000058780000}"/>
    <cellStyle name="Remarque 2 6 2 6 3 2 2" xfId="53180" xr:uid="{00000000-0005-0000-0000-000059780000}"/>
    <cellStyle name="Remarque 2 6 2 6 3 3" xfId="16467" xr:uid="{00000000-0005-0000-0000-00005A780000}"/>
    <cellStyle name="Remarque 2 6 2 6 3 4" xfId="40427" xr:uid="{00000000-0005-0000-0000-00005B780000}"/>
    <cellStyle name="Remarque 2 6 2 6 4" xfId="6600" xr:uid="{00000000-0005-0000-0000-00005C780000}"/>
    <cellStyle name="Remarque 2 6 2 6 4 2" xfId="30614" xr:uid="{00000000-0005-0000-0000-00005D780000}"/>
    <cellStyle name="Remarque 2 6 2 6 4 2 2" xfId="54574" xr:uid="{00000000-0005-0000-0000-00005E780000}"/>
    <cellStyle name="Remarque 2 6 2 6 4 3" xfId="17861" xr:uid="{00000000-0005-0000-0000-00005F780000}"/>
    <cellStyle name="Remarque 2 6 2 6 4 4" xfId="41821" xr:uid="{00000000-0005-0000-0000-000060780000}"/>
    <cellStyle name="Remarque 2 6 2 6 5" xfId="7988" xr:uid="{00000000-0005-0000-0000-000061780000}"/>
    <cellStyle name="Remarque 2 6 2 6 5 2" xfId="32002" xr:uid="{00000000-0005-0000-0000-000062780000}"/>
    <cellStyle name="Remarque 2 6 2 6 5 2 2" xfId="55962" xr:uid="{00000000-0005-0000-0000-000063780000}"/>
    <cellStyle name="Remarque 2 6 2 6 5 3" xfId="19249" xr:uid="{00000000-0005-0000-0000-000064780000}"/>
    <cellStyle name="Remarque 2 6 2 6 5 4" xfId="43209" xr:uid="{00000000-0005-0000-0000-000065780000}"/>
    <cellStyle name="Remarque 2 6 2 6 6" xfId="9373" xr:uid="{00000000-0005-0000-0000-000066780000}"/>
    <cellStyle name="Remarque 2 6 2 6 6 2" xfId="33387" xr:uid="{00000000-0005-0000-0000-000067780000}"/>
    <cellStyle name="Remarque 2 6 2 6 6 2 2" xfId="57347" xr:uid="{00000000-0005-0000-0000-000068780000}"/>
    <cellStyle name="Remarque 2 6 2 6 6 3" xfId="20634" xr:uid="{00000000-0005-0000-0000-000069780000}"/>
    <cellStyle name="Remarque 2 6 2 6 6 4" xfId="44594" xr:uid="{00000000-0005-0000-0000-00006A780000}"/>
    <cellStyle name="Remarque 2 6 2 6 7" xfId="10830" xr:uid="{00000000-0005-0000-0000-00006B780000}"/>
    <cellStyle name="Remarque 2 6 2 6 7 2" xfId="34840" xr:uid="{00000000-0005-0000-0000-00006C780000}"/>
    <cellStyle name="Remarque 2 6 2 6 7 2 2" xfId="58800" xr:uid="{00000000-0005-0000-0000-00006D780000}"/>
    <cellStyle name="Remarque 2 6 2 6 7 3" xfId="22097" xr:uid="{00000000-0005-0000-0000-00006E780000}"/>
    <cellStyle name="Remarque 2 6 2 6 7 4" xfId="46057" xr:uid="{00000000-0005-0000-0000-00006F780000}"/>
    <cellStyle name="Remarque 2 6 2 6 8" xfId="12159" xr:uid="{00000000-0005-0000-0000-000070780000}"/>
    <cellStyle name="Remarque 2 6 2 6 8 2" xfId="23442" xr:uid="{00000000-0005-0000-0000-000071780000}"/>
    <cellStyle name="Remarque 2 6 2 6 8 3" xfId="47402" xr:uid="{00000000-0005-0000-0000-000072780000}"/>
    <cellStyle name="Remarque 2 6 2 6 9" xfId="2302" xr:uid="{00000000-0005-0000-0000-000073780000}"/>
    <cellStyle name="Remarque 2 6 2 6 9 2" xfId="26316" xr:uid="{00000000-0005-0000-0000-000074780000}"/>
    <cellStyle name="Remarque 2 6 2 6 9 3" xfId="50276" xr:uid="{00000000-0005-0000-0000-000075780000}"/>
    <cellStyle name="Remarque 2 6 2 7" xfId="1059" xr:uid="{00000000-0005-0000-0000-000076780000}"/>
    <cellStyle name="Remarque 2 6 2 7 10" xfId="25091" xr:uid="{00000000-0005-0000-0000-000077780000}"/>
    <cellStyle name="Remarque 2 6 2 7 10 2" xfId="49051" xr:uid="{00000000-0005-0000-0000-000078780000}"/>
    <cellStyle name="Remarque 2 6 2 7 11" xfId="35864" xr:uid="{00000000-0005-0000-0000-000079780000}"/>
    <cellStyle name="Remarque 2 6 2 7 11 2" xfId="59824" xr:uid="{00000000-0005-0000-0000-00007A780000}"/>
    <cellStyle name="Remarque 2 6 2 7 12" xfId="13756" xr:uid="{00000000-0005-0000-0000-00007B780000}"/>
    <cellStyle name="Remarque 2 6 2 7 13" xfId="37716" xr:uid="{00000000-0005-0000-0000-00007C780000}"/>
    <cellStyle name="Remarque 2 6 2 7 2" xfId="3965" xr:uid="{00000000-0005-0000-0000-00007D780000}"/>
    <cellStyle name="Remarque 2 6 2 7 2 2" xfId="27979" xr:uid="{00000000-0005-0000-0000-00007E780000}"/>
    <cellStyle name="Remarque 2 6 2 7 2 2 2" xfId="51939" xr:uid="{00000000-0005-0000-0000-00007F780000}"/>
    <cellStyle name="Remarque 2 6 2 7 2 3" xfId="15226" xr:uid="{00000000-0005-0000-0000-000080780000}"/>
    <cellStyle name="Remarque 2 6 2 7 2 4" xfId="39186" xr:uid="{00000000-0005-0000-0000-000081780000}"/>
    <cellStyle name="Remarque 2 6 2 7 3" xfId="5399" xr:uid="{00000000-0005-0000-0000-000082780000}"/>
    <cellStyle name="Remarque 2 6 2 7 3 2" xfId="29413" xr:uid="{00000000-0005-0000-0000-000083780000}"/>
    <cellStyle name="Remarque 2 6 2 7 3 2 2" xfId="53373" xr:uid="{00000000-0005-0000-0000-000084780000}"/>
    <cellStyle name="Remarque 2 6 2 7 3 3" xfId="16660" xr:uid="{00000000-0005-0000-0000-000085780000}"/>
    <cellStyle name="Remarque 2 6 2 7 3 4" xfId="40620" xr:uid="{00000000-0005-0000-0000-000086780000}"/>
    <cellStyle name="Remarque 2 6 2 7 4" xfId="6793" xr:uid="{00000000-0005-0000-0000-000087780000}"/>
    <cellStyle name="Remarque 2 6 2 7 4 2" xfId="30807" xr:uid="{00000000-0005-0000-0000-000088780000}"/>
    <cellStyle name="Remarque 2 6 2 7 4 2 2" xfId="54767" xr:uid="{00000000-0005-0000-0000-000089780000}"/>
    <cellStyle name="Remarque 2 6 2 7 4 3" xfId="18054" xr:uid="{00000000-0005-0000-0000-00008A780000}"/>
    <cellStyle name="Remarque 2 6 2 7 4 4" xfId="42014" xr:uid="{00000000-0005-0000-0000-00008B780000}"/>
    <cellStyle name="Remarque 2 6 2 7 5" xfId="8181" xr:uid="{00000000-0005-0000-0000-00008C780000}"/>
    <cellStyle name="Remarque 2 6 2 7 5 2" xfId="32195" xr:uid="{00000000-0005-0000-0000-00008D780000}"/>
    <cellStyle name="Remarque 2 6 2 7 5 2 2" xfId="56155" xr:uid="{00000000-0005-0000-0000-00008E780000}"/>
    <cellStyle name="Remarque 2 6 2 7 5 3" xfId="19442" xr:uid="{00000000-0005-0000-0000-00008F780000}"/>
    <cellStyle name="Remarque 2 6 2 7 5 4" xfId="43402" xr:uid="{00000000-0005-0000-0000-000090780000}"/>
    <cellStyle name="Remarque 2 6 2 7 6" xfId="9566" xr:uid="{00000000-0005-0000-0000-000091780000}"/>
    <cellStyle name="Remarque 2 6 2 7 6 2" xfId="33580" xr:uid="{00000000-0005-0000-0000-000092780000}"/>
    <cellStyle name="Remarque 2 6 2 7 6 2 2" xfId="57540" xr:uid="{00000000-0005-0000-0000-000093780000}"/>
    <cellStyle name="Remarque 2 6 2 7 6 3" xfId="20827" xr:uid="{00000000-0005-0000-0000-000094780000}"/>
    <cellStyle name="Remarque 2 6 2 7 6 4" xfId="44787" xr:uid="{00000000-0005-0000-0000-000095780000}"/>
    <cellStyle name="Remarque 2 6 2 7 7" xfId="11023" xr:uid="{00000000-0005-0000-0000-000096780000}"/>
    <cellStyle name="Remarque 2 6 2 7 7 2" xfId="35033" xr:uid="{00000000-0005-0000-0000-000097780000}"/>
    <cellStyle name="Remarque 2 6 2 7 7 2 2" xfId="58993" xr:uid="{00000000-0005-0000-0000-000098780000}"/>
    <cellStyle name="Remarque 2 6 2 7 7 3" xfId="22290" xr:uid="{00000000-0005-0000-0000-000099780000}"/>
    <cellStyle name="Remarque 2 6 2 7 7 4" xfId="46250" xr:uid="{00000000-0005-0000-0000-00009A780000}"/>
    <cellStyle name="Remarque 2 6 2 7 8" xfId="12070" xr:uid="{00000000-0005-0000-0000-00009B780000}"/>
    <cellStyle name="Remarque 2 6 2 7 8 2" xfId="23351" xr:uid="{00000000-0005-0000-0000-00009C780000}"/>
    <cellStyle name="Remarque 2 6 2 7 8 3" xfId="47311" xr:uid="{00000000-0005-0000-0000-00009D780000}"/>
    <cellStyle name="Remarque 2 6 2 7 9" xfId="2495" xr:uid="{00000000-0005-0000-0000-00009E780000}"/>
    <cellStyle name="Remarque 2 6 2 7 9 2" xfId="26509" xr:uid="{00000000-0005-0000-0000-00009F780000}"/>
    <cellStyle name="Remarque 2 6 2 7 9 3" xfId="50469" xr:uid="{00000000-0005-0000-0000-0000A0780000}"/>
    <cellStyle name="Remarque 2 6 2 8" xfId="1226" xr:uid="{00000000-0005-0000-0000-0000A1780000}"/>
    <cellStyle name="Remarque 2 6 2 8 10" xfId="25258" xr:uid="{00000000-0005-0000-0000-0000A2780000}"/>
    <cellStyle name="Remarque 2 6 2 8 10 2" xfId="49218" xr:uid="{00000000-0005-0000-0000-0000A3780000}"/>
    <cellStyle name="Remarque 2 6 2 8 11" xfId="35668" xr:uid="{00000000-0005-0000-0000-0000A4780000}"/>
    <cellStyle name="Remarque 2 6 2 8 11 2" xfId="59628" xr:uid="{00000000-0005-0000-0000-0000A5780000}"/>
    <cellStyle name="Remarque 2 6 2 8 12" xfId="13923" xr:uid="{00000000-0005-0000-0000-0000A6780000}"/>
    <cellStyle name="Remarque 2 6 2 8 13" xfId="37883" xr:uid="{00000000-0005-0000-0000-0000A7780000}"/>
    <cellStyle name="Remarque 2 6 2 8 2" xfId="4132" xr:uid="{00000000-0005-0000-0000-0000A8780000}"/>
    <cellStyle name="Remarque 2 6 2 8 2 2" xfId="28146" xr:uid="{00000000-0005-0000-0000-0000A9780000}"/>
    <cellStyle name="Remarque 2 6 2 8 2 2 2" xfId="52106" xr:uid="{00000000-0005-0000-0000-0000AA780000}"/>
    <cellStyle name="Remarque 2 6 2 8 2 3" xfId="15393" xr:uid="{00000000-0005-0000-0000-0000AB780000}"/>
    <cellStyle name="Remarque 2 6 2 8 2 4" xfId="39353" xr:uid="{00000000-0005-0000-0000-0000AC780000}"/>
    <cellStyle name="Remarque 2 6 2 8 3" xfId="5566" xr:uid="{00000000-0005-0000-0000-0000AD780000}"/>
    <cellStyle name="Remarque 2 6 2 8 3 2" xfId="29580" xr:uid="{00000000-0005-0000-0000-0000AE780000}"/>
    <cellStyle name="Remarque 2 6 2 8 3 2 2" xfId="53540" xr:uid="{00000000-0005-0000-0000-0000AF780000}"/>
    <cellStyle name="Remarque 2 6 2 8 3 3" xfId="16827" xr:uid="{00000000-0005-0000-0000-0000B0780000}"/>
    <cellStyle name="Remarque 2 6 2 8 3 4" xfId="40787" xr:uid="{00000000-0005-0000-0000-0000B1780000}"/>
    <cellStyle name="Remarque 2 6 2 8 4" xfId="6960" xr:uid="{00000000-0005-0000-0000-0000B2780000}"/>
    <cellStyle name="Remarque 2 6 2 8 4 2" xfId="30974" xr:uid="{00000000-0005-0000-0000-0000B3780000}"/>
    <cellStyle name="Remarque 2 6 2 8 4 2 2" xfId="54934" xr:uid="{00000000-0005-0000-0000-0000B4780000}"/>
    <cellStyle name="Remarque 2 6 2 8 4 3" xfId="18221" xr:uid="{00000000-0005-0000-0000-0000B5780000}"/>
    <cellStyle name="Remarque 2 6 2 8 4 4" xfId="42181" xr:uid="{00000000-0005-0000-0000-0000B6780000}"/>
    <cellStyle name="Remarque 2 6 2 8 5" xfId="8348" xr:uid="{00000000-0005-0000-0000-0000B7780000}"/>
    <cellStyle name="Remarque 2 6 2 8 5 2" xfId="32362" xr:uid="{00000000-0005-0000-0000-0000B8780000}"/>
    <cellStyle name="Remarque 2 6 2 8 5 2 2" xfId="56322" xr:uid="{00000000-0005-0000-0000-0000B9780000}"/>
    <cellStyle name="Remarque 2 6 2 8 5 3" xfId="19609" xr:uid="{00000000-0005-0000-0000-0000BA780000}"/>
    <cellStyle name="Remarque 2 6 2 8 5 4" xfId="43569" xr:uid="{00000000-0005-0000-0000-0000BB780000}"/>
    <cellStyle name="Remarque 2 6 2 8 6" xfId="9733" xr:uid="{00000000-0005-0000-0000-0000BC780000}"/>
    <cellStyle name="Remarque 2 6 2 8 6 2" xfId="33747" xr:uid="{00000000-0005-0000-0000-0000BD780000}"/>
    <cellStyle name="Remarque 2 6 2 8 6 2 2" xfId="57707" xr:uid="{00000000-0005-0000-0000-0000BE780000}"/>
    <cellStyle name="Remarque 2 6 2 8 6 3" xfId="20994" xr:uid="{00000000-0005-0000-0000-0000BF780000}"/>
    <cellStyle name="Remarque 2 6 2 8 6 4" xfId="44954" xr:uid="{00000000-0005-0000-0000-0000C0780000}"/>
    <cellStyle name="Remarque 2 6 2 8 7" xfId="11190" xr:uid="{00000000-0005-0000-0000-0000C1780000}"/>
    <cellStyle name="Remarque 2 6 2 8 7 2" xfId="35200" xr:uid="{00000000-0005-0000-0000-0000C2780000}"/>
    <cellStyle name="Remarque 2 6 2 8 7 2 2" xfId="59160" xr:uid="{00000000-0005-0000-0000-0000C3780000}"/>
    <cellStyle name="Remarque 2 6 2 8 7 3" xfId="22457" xr:uid="{00000000-0005-0000-0000-0000C4780000}"/>
    <cellStyle name="Remarque 2 6 2 8 7 4" xfId="46417" xr:uid="{00000000-0005-0000-0000-0000C5780000}"/>
    <cellStyle name="Remarque 2 6 2 8 8" xfId="12605" xr:uid="{00000000-0005-0000-0000-0000C6780000}"/>
    <cellStyle name="Remarque 2 6 2 8 8 2" xfId="23907" xr:uid="{00000000-0005-0000-0000-0000C7780000}"/>
    <cellStyle name="Remarque 2 6 2 8 8 3" xfId="47867" xr:uid="{00000000-0005-0000-0000-0000C8780000}"/>
    <cellStyle name="Remarque 2 6 2 8 9" xfId="2662" xr:uid="{00000000-0005-0000-0000-0000C9780000}"/>
    <cellStyle name="Remarque 2 6 2 8 9 2" xfId="26676" xr:uid="{00000000-0005-0000-0000-0000CA780000}"/>
    <cellStyle name="Remarque 2 6 2 8 9 3" xfId="50636" xr:uid="{00000000-0005-0000-0000-0000CB780000}"/>
    <cellStyle name="Remarque 2 6 2 9" xfId="1395" xr:uid="{00000000-0005-0000-0000-0000CC780000}"/>
    <cellStyle name="Remarque 2 6 2 9 10" xfId="25427" xr:uid="{00000000-0005-0000-0000-0000CD780000}"/>
    <cellStyle name="Remarque 2 6 2 9 10 2" xfId="49387" xr:uid="{00000000-0005-0000-0000-0000CE780000}"/>
    <cellStyle name="Remarque 2 6 2 9 11" xfId="36168" xr:uid="{00000000-0005-0000-0000-0000CF780000}"/>
    <cellStyle name="Remarque 2 6 2 9 11 2" xfId="60128" xr:uid="{00000000-0005-0000-0000-0000D0780000}"/>
    <cellStyle name="Remarque 2 6 2 9 12" xfId="14092" xr:uid="{00000000-0005-0000-0000-0000D1780000}"/>
    <cellStyle name="Remarque 2 6 2 9 13" xfId="38052" xr:uid="{00000000-0005-0000-0000-0000D2780000}"/>
    <cellStyle name="Remarque 2 6 2 9 2" xfId="4301" xr:uid="{00000000-0005-0000-0000-0000D3780000}"/>
    <cellStyle name="Remarque 2 6 2 9 2 2" xfId="28315" xr:uid="{00000000-0005-0000-0000-0000D4780000}"/>
    <cellStyle name="Remarque 2 6 2 9 2 2 2" xfId="52275" xr:uid="{00000000-0005-0000-0000-0000D5780000}"/>
    <cellStyle name="Remarque 2 6 2 9 2 3" xfId="15562" xr:uid="{00000000-0005-0000-0000-0000D6780000}"/>
    <cellStyle name="Remarque 2 6 2 9 2 4" xfId="39522" xr:uid="{00000000-0005-0000-0000-0000D7780000}"/>
    <cellStyle name="Remarque 2 6 2 9 3" xfId="5735" xr:uid="{00000000-0005-0000-0000-0000D8780000}"/>
    <cellStyle name="Remarque 2 6 2 9 3 2" xfId="29749" xr:uid="{00000000-0005-0000-0000-0000D9780000}"/>
    <cellStyle name="Remarque 2 6 2 9 3 2 2" xfId="53709" xr:uid="{00000000-0005-0000-0000-0000DA780000}"/>
    <cellStyle name="Remarque 2 6 2 9 3 3" xfId="16996" xr:uid="{00000000-0005-0000-0000-0000DB780000}"/>
    <cellStyle name="Remarque 2 6 2 9 3 4" xfId="40956" xr:uid="{00000000-0005-0000-0000-0000DC780000}"/>
    <cellStyle name="Remarque 2 6 2 9 4" xfId="7129" xr:uid="{00000000-0005-0000-0000-0000DD780000}"/>
    <cellStyle name="Remarque 2 6 2 9 4 2" xfId="31143" xr:uid="{00000000-0005-0000-0000-0000DE780000}"/>
    <cellStyle name="Remarque 2 6 2 9 4 2 2" xfId="55103" xr:uid="{00000000-0005-0000-0000-0000DF780000}"/>
    <cellStyle name="Remarque 2 6 2 9 4 3" xfId="18390" xr:uid="{00000000-0005-0000-0000-0000E0780000}"/>
    <cellStyle name="Remarque 2 6 2 9 4 4" xfId="42350" xr:uid="{00000000-0005-0000-0000-0000E1780000}"/>
    <cellStyle name="Remarque 2 6 2 9 5" xfId="8517" xr:uid="{00000000-0005-0000-0000-0000E2780000}"/>
    <cellStyle name="Remarque 2 6 2 9 5 2" xfId="32531" xr:uid="{00000000-0005-0000-0000-0000E3780000}"/>
    <cellStyle name="Remarque 2 6 2 9 5 2 2" xfId="56491" xr:uid="{00000000-0005-0000-0000-0000E4780000}"/>
    <cellStyle name="Remarque 2 6 2 9 5 3" xfId="19778" xr:uid="{00000000-0005-0000-0000-0000E5780000}"/>
    <cellStyle name="Remarque 2 6 2 9 5 4" xfId="43738" xr:uid="{00000000-0005-0000-0000-0000E6780000}"/>
    <cellStyle name="Remarque 2 6 2 9 6" xfId="9902" xr:uid="{00000000-0005-0000-0000-0000E7780000}"/>
    <cellStyle name="Remarque 2 6 2 9 6 2" xfId="33916" xr:uid="{00000000-0005-0000-0000-0000E8780000}"/>
    <cellStyle name="Remarque 2 6 2 9 6 2 2" xfId="57876" xr:uid="{00000000-0005-0000-0000-0000E9780000}"/>
    <cellStyle name="Remarque 2 6 2 9 6 3" xfId="21163" xr:uid="{00000000-0005-0000-0000-0000EA780000}"/>
    <cellStyle name="Remarque 2 6 2 9 6 4" xfId="45123" xr:uid="{00000000-0005-0000-0000-0000EB780000}"/>
    <cellStyle name="Remarque 2 6 2 9 7" xfId="11359" xr:uid="{00000000-0005-0000-0000-0000EC780000}"/>
    <cellStyle name="Remarque 2 6 2 9 7 2" xfId="35369" xr:uid="{00000000-0005-0000-0000-0000ED780000}"/>
    <cellStyle name="Remarque 2 6 2 9 7 2 2" xfId="59329" xr:uid="{00000000-0005-0000-0000-0000EE780000}"/>
    <cellStyle name="Remarque 2 6 2 9 7 3" xfId="22626" xr:uid="{00000000-0005-0000-0000-0000EF780000}"/>
    <cellStyle name="Remarque 2 6 2 9 7 4" xfId="46586" xr:uid="{00000000-0005-0000-0000-0000F0780000}"/>
    <cellStyle name="Remarque 2 6 2 9 8" xfId="11835" xr:uid="{00000000-0005-0000-0000-0000F1780000}"/>
    <cellStyle name="Remarque 2 6 2 9 8 2" xfId="23109" xr:uid="{00000000-0005-0000-0000-0000F2780000}"/>
    <cellStyle name="Remarque 2 6 2 9 8 3" xfId="47069" xr:uid="{00000000-0005-0000-0000-0000F3780000}"/>
    <cellStyle name="Remarque 2 6 2 9 9" xfId="2831" xr:uid="{00000000-0005-0000-0000-0000F4780000}"/>
    <cellStyle name="Remarque 2 6 2 9 9 2" xfId="26845" xr:uid="{00000000-0005-0000-0000-0000F5780000}"/>
    <cellStyle name="Remarque 2 6 2 9 9 3" xfId="50805" xr:uid="{00000000-0005-0000-0000-0000F6780000}"/>
    <cellStyle name="Remarque 2 6 20" xfId="12752" xr:uid="{00000000-0005-0000-0000-0000F7780000}"/>
    <cellStyle name="Remarque 2 6 20 2" xfId="24059" xr:uid="{00000000-0005-0000-0000-0000F8780000}"/>
    <cellStyle name="Remarque 2 6 20 3" xfId="48019" xr:uid="{00000000-0005-0000-0000-0000F9780000}"/>
    <cellStyle name="Remarque 2 6 21" xfId="1658" xr:uid="{00000000-0005-0000-0000-0000FA780000}"/>
    <cellStyle name="Remarque 2 6 21 2" xfId="25672" xr:uid="{00000000-0005-0000-0000-0000FB780000}"/>
    <cellStyle name="Remarque 2 6 21 3" xfId="49632" xr:uid="{00000000-0005-0000-0000-0000FC780000}"/>
    <cellStyle name="Remarque 2 6 22" xfId="24226" xr:uid="{00000000-0005-0000-0000-0000FD780000}"/>
    <cellStyle name="Remarque 2 6 22 2" xfId="48186" xr:uid="{00000000-0005-0000-0000-0000FE780000}"/>
    <cellStyle name="Remarque 2 6 23" xfId="36528" xr:uid="{00000000-0005-0000-0000-0000FF780000}"/>
    <cellStyle name="Remarque 2 6 23 2" xfId="60488" xr:uid="{00000000-0005-0000-0000-000000790000}"/>
    <cellStyle name="Remarque 2 6 24" xfId="12938" xr:uid="{00000000-0005-0000-0000-000001790000}"/>
    <cellStyle name="Remarque 2 6 25" xfId="36879" xr:uid="{00000000-0005-0000-0000-000002790000}"/>
    <cellStyle name="Remarque 2 6 26" xfId="194" xr:uid="{00000000-0005-0000-0000-000003790000}"/>
    <cellStyle name="Remarque 2 6 3" xfId="154" xr:uid="{00000000-0005-0000-0000-000004790000}"/>
    <cellStyle name="Remarque 2 6 3 10" xfId="6150" xr:uid="{00000000-0005-0000-0000-000005790000}"/>
    <cellStyle name="Remarque 2 6 3 10 2" xfId="30164" xr:uid="{00000000-0005-0000-0000-000006790000}"/>
    <cellStyle name="Remarque 2 6 3 10 2 2" xfId="54124" xr:uid="{00000000-0005-0000-0000-000007790000}"/>
    <cellStyle name="Remarque 2 6 3 10 3" xfId="17411" xr:uid="{00000000-0005-0000-0000-000008790000}"/>
    <cellStyle name="Remarque 2 6 3 10 4" xfId="41371" xr:uid="{00000000-0005-0000-0000-000009790000}"/>
    <cellStyle name="Remarque 2 6 3 11" xfId="7538" xr:uid="{00000000-0005-0000-0000-00000A790000}"/>
    <cellStyle name="Remarque 2 6 3 11 2" xfId="31552" xr:uid="{00000000-0005-0000-0000-00000B790000}"/>
    <cellStyle name="Remarque 2 6 3 11 2 2" xfId="55512" xr:uid="{00000000-0005-0000-0000-00000C790000}"/>
    <cellStyle name="Remarque 2 6 3 11 3" xfId="18799" xr:uid="{00000000-0005-0000-0000-00000D790000}"/>
    <cellStyle name="Remarque 2 6 3 11 4" xfId="42759" xr:uid="{00000000-0005-0000-0000-00000E790000}"/>
    <cellStyle name="Remarque 2 6 3 12" xfId="8923" xr:uid="{00000000-0005-0000-0000-00000F790000}"/>
    <cellStyle name="Remarque 2 6 3 12 2" xfId="32937" xr:uid="{00000000-0005-0000-0000-000010790000}"/>
    <cellStyle name="Remarque 2 6 3 12 2 2" xfId="56897" xr:uid="{00000000-0005-0000-0000-000011790000}"/>
    <cellStyle name="Remarque 2 6 3 12 3" xfId="20184" xr:uid="{00000000-0005-0000-0000-000012790000}"/>
    <cellStyle name="Remarque 2 6 3 12 4" xfId="44144" xr:uid="{00000000-0005-0000-0000-000013790000}"/>
    <cellStyle name="Remarque 2 6 3 13" xfId="10380" xr:uid="{00000000-0005-0000-0000-000014790000}"/>
    <cellStyle name="Remarque 2 6 3 13 2" xfId="34390" xr:uid="{00000000-0005-0000-0000-000015790000}"/>
    <cellStyle name="Remarque 2 6 3 13 2 2" xfId="58350" xr:uid="{00000000-0005-0000-0000-000016790000}"/>
    <cellStyle name="Remarque 2 6 3 13 3" xfId="21647" xr:uid="{00000000-0005-0000-0000-000017790000}"/>
    <cellStyle name="Remarque 2 6 3 13 4" xfId="45607" xr:uid="{00000000-0005-0000-0000-000018790000}"/>
    <cellStyle name="Remarque 2 6 3 14" xfId="12034" xr:uid="{00000000-0005-0000-0000-000019790000}"/>
    <cellStyle name="Remarque 2 6 3 14 2" xfId="23314" xr:uid="{00000000-0005-0000-0000-00001A790000}"/>
    <cellStyle name="Remarque 2 6 3 14 3" xfId="47274" xr:uid="{00000000-0005-0000-0000-00001B790000}"/>
    <cellStyle name="Remarque 2 6 3 15" xfId="1852" xr:uid="{00000000-0005-0000-0000-00001C790000}"/>
    <cellStyle name="Remarque 2 6 3 15 2" xfId="25866" xr:uid="{00000000-0005-0000-0000-00001D790000}"/>
    <cellStyle name="Remarque 2 6 3 15 3" xfId="49826" xr:uid="{00000000-0005-0000-0000-00001E790000}"/>
    <cellStyle name="Remarque 2 6 3 16" xfId="24448" xr:uid="{00000000-0005-0000-0000-00001F790000}"/>
    <cellStyle name="Remarque 2 6 3 16 2" xfId="48408" xr:uid="{00000000-0005-0000-0000-000020790000}"/>
    <cellStyle name="Remarque 2 6 3 17" xfId="23643" xr:uid="{00000000-0005-0000-0000-000021790000}"/>
    <cellStyle name="Remarque 2 6 3 17 2" xfId="47603" xr:uid="{00000000-0005-0000-0000-000022790000}"/>
    <cellStyle name="Remarque 2 6 3 18" xfId="13113" xr:uid="{00000000-0005-0000-0000-000023790000}"/>
    <cellStyle name="Remarque 2 6 3 19" xfId="37073" xr:uid="{00000000-0005-0000-0000-000024790000}"/>
    <cellStyle name="Remarque 2 6 3 2" xfId="552" xr:uid="{00000000-0005-0000-0000-000025790000}"/>
    <cellStyle name="Remarque 2 6 3 2 10" xfId="24584" xr:uid="{00000000-0005-0000-0000-000026790000}"/>
    <cellStyle name="Remarque 2 6 3 2 10 2" xfId="48544" xr:uid="{00000000-0005-0000-0000-000027790000}"/>
    <cellStyle name="Remarque 2 6 3 2 11" xfId="36806" xr:uid="{00000000-0005-0000-0000-000028790000}"/>
    <cellStyle name="Remarque 2 6 3 2 11 2" xfId="60766" xr:uid="{00000000-0005-0000-0000-000029790000}"/>
    <cellStyle name="Remarque 2 6 3 2 12" xfId="13249" xr:uid="{00000000-0005-0000-0000-00002A790000}"/>
    <cellStyle name="Remarque 2 6 3 2 13" xfId="37209" xr:uid="{00000000-0005-0000-0000-00002B790000}"/>
    <cellStyle name="Remarque 2 6 3 2 2" xfId="3458" xr:uid="{00000000-0005-0000-0000-00002C790000}"/>
    <cellStyle name="Remarque 2 6 3 2 2 2" xfId="27472" xr:uid="{00000000-0005-0000-0000-00002D790000}"/>
    <cellStyle name="Remarque 2 6 3 2 2 2 2" xfId="51432" xr:uid="{00000000-0005-0000-0000-00002E790000}"/>
    <cellStyle name="Remarque 2 6 3 2 2 3" xfId="14719" xr:uid="{00000000-0005-0000-0000-00002F790000}"/>
    <cellStyle name="Remarque 2 6 3 2 2 4" xfId="38679" xr:uid="{00000000-0005-0000-0000-000030790000}"/>
    <cellStyle name="Remarque 2 6 3 2 3" xfId="4892" xr:uid="{00000000-0005-0000-0000-000031790000}"/>
    <cellStyle name="Remarque 2 6 3 2 3 2" xfId="28906" xr:uid="{00000000-0005-0000-0000-000032790000}"/>
    <cellStyle name="Remarque 2 6 3 2 3 2 2" xfId="52866" xr:uid="{00000000-0005-0000-0000-000033790000}"/>
    <cellStyle name="Remarque 2 6 3 2 3 3" xfId="16153" xr:uid="{00000000-0005-0000-0000-000034790000}"/>
    <cellStyle name="Remarque 2 6 3 2 3 4" xfId="40113" xr:uid="{00000000-0005-0000-0000-000035790000}"/>
    <cellStyle name="Remarque 2 6 3 2 4" xfId="6286" xr:uid="{00000000-0005-0000-0000-000036790000}"/>
    <cellStyle name="Remarque 2 6 3 2 4 2" xfId="30300" xr:uid="{00000000-0005-0000-0000-000037790000}"/>
    <cellStyle name="Remarque 2 6 3 2 4 2 2" xfId="54260" xr:uid="{00000000-0005-0000-0000-000038790000}"/>
    <cellStyle name="Remarque 2 6 3 2 4 3" xfId="17547" xr:uid="{00000000-0005-0000-0000-000039790000}"/>
    <cellStyle name="Remarque 2 6 3 2 4 4" xfId="41507" xr:uid="{00000000-0005-0000-0000-00003A790000}"/>
    <cellStyle name="Remarque 2 6 3 2 5" xfId="7674" xr:uid="{00000000-0005-0000-0000-00003B790000}"/>
    <cellStyle name="Remarque 2 6 3 2 5 2" xfId="31688" xr:uid="{00000000-0005-0000-0000-00003C790000}"/>
    <cellStyle name="Remarque 2 6 3 2 5 2 2" xfId="55648" xr:uid="{00000000-0005-0000-0000-00003D790000}"/>
    <cellStyle name="Remarque 2 6 3 2 5 3" xfId="18935" xr:uid="{00000000-0005-0000-0000-00003E790000}"/>
    <cellStyle name="Remarque 2 6 3 2 5 4" xfId="42895" xr:uid="{00000000-0005-0000-0000-00003F790000}"/>
    <cellStyle name="Remarque 2 6 3 2 6" xfId="9059" xr:uid="{00000000-0005-0000-0000-000040790000}"/>
    <cellStyle name="Remarque 2 6 3 2 6 2" xfId="33073" xr:uid="{00000000-0005-0000-0000-000041790000}"/>
    <cellStyle name="Remarque 2 6 3 2 6 2 2" xfId="57033" xr:uid="{00000000-0005-0000-0000-000042790000}"/>
    <cellStyle name="Remarque 2 6 3 2 6 3" xfId="20320" xr:uid="{00000000-0005-0000-0000-000043790000}"/>
    <cellStyle name="Remarque 2 6 3 2 6 4" xfId="44280" xr:uid="{00000000-0005-0000-0000-000044790000}"/>
    <cellStyle name="Remarque 2 6 3 2 7" xfId="10516" xr:uid="{00000000-0005-0000-0000-000045790000}"/>
    <cellStyle name="Remarque 2 6 3 2 7 2" xfId="34526" xr:uid="{00000000-0005-0000-0000-000046790000}"/>
    <cellStyle name="Remarque 2 6 3 2 7 2 2" xfId="58486" xr:uid="{00000000-0005-0000-0000-000047790000}"/>
    <cellStyle name="Remarque 2 6 3 2 7 3" xfId="21783" xr:uid="{00000000-0005-0000-0000-000048790000}"/>
    <cellStyle name="Remarque 2 6 3 2 7 4" xfId="45743" xr:uid="{00000000-0005-0000-0000-000049790000}"/>
    <cellStyle name="Remarque 2 6 3 2 8" xfId="12564" xr:uid="{00000000-0005-0000-0000-00004A790000}"/>
    <cellStyle name="Remarque 2 6 3 2 8 2" xfId="23864" xr:uid="{00000000-0005-0000-0000-00004B790000}"/>
    <cellStyle name="Remarque 2 6 3 2 8 3" xfId="47824" xr:uid="{00000000-0005-0000-0000-00004C790000}"/>
    <cellStyle name="Remarque 2 6 3 2 9" xfId="1988" xr:uid="{00000000-0005-0000-0000-00004D790000}"/>
    <cellStyle name="Remarque 2 6 3 2 9 2" xfId="26002" xr:uid="{00000000-0005-0000-0000-00004E790000}"/>
    <cellStyle name="Remarque 2 6 3 2 9 3" xfId="49962" xr:uid="{00000000-0005-0000-0000-00004F790000}"/>
    <cellStyle name="Remarque 2 6 3 20" xfId="416" xr:uid="{00000000-0005-0000-0000-000050790000}"/>
    <cellStyle name="Remarque 2 6 3 3" xfId="744" xr:uid="{00000000-0005-0000-0000-000051790000}"/>
    <cellStyle name="Remarque 2 6 3 3 10" xfId="24776" xr:uid="{00000000-0005-0000-0000-000052790000}"/>
    <cellStyle name="Remarque 2 6 3 3 10 2" xfId="48736" xr:uid="{00000000-0005-0000-0000-000053790000}"/>
    <cellStyle name="Remarque 2 6 3 3 11" xfId="24272" xr:uid="{00000000-0005-0000-0000-000054790000}"/>
    <cellStyle name="Remarque 2 6 3 3 11 2" xfId="48232" xr:uid="{00000000-0005-0000-0000-000055790000}"/>
    <cellStyle name="Remarque 2 6 3 3 12" xfId="13441" xr:uid="{00000000-0005-0000-0000-000056790000}"/>
    <cellStyle name="Remarque 2 6 3 3 13" xfId="37401" xr:uid="{00000000-0005-0000-0000-000057790000}"/>
    <cellStyle name="Remarque 2 6 3 3 2" xfId="3650" xr:uid="{00000000-0005-0000-0000-000058790000}"/>
    <cellStyle name="Remarque 2 6 3 3 2 2" xfId="27664" xr:uid="{00000000-0005-0000-0000-000059790000}"/>
    <cellStyle name="Remarque 2 6 3 3 2 2 2" xfId="51624" xr:uid="{00000000-0005-0000-0000-00005A790000}"/>
    <cellStyle name="Remarque 2 6 3 3 2 3" xfId="14911" xr:uid="{00000000-0005-0000-0000-00005B790000}"/>
    <cellStyle name="Remarque 2 6 3 3 2 4" xfId="38871" xr:uid="{00000000-0005-0000-0000-00005C790000}"/>
    <cellStyle name="Remarque 2 6 3 3 3" xfId="5084" xr:uid="{00000000-0005-0000-0000-00005D790000}"/>
    <cellStyle name="Remarque 2 6 3 3 3 2" xfId="29098" xr:uid="{00000000-0005-0000-0000-00005E790000}"/>
    <cellStyle name="Remarque 2 6 3 3 3 2 2" xfId="53058" xr:uid="{00000000-0005-0000-0000-00005F790000}"/>
    <cellStyle name="Remarque 2 6 3 3 3 3" xfId="16345" xr:uid="{00000000-0005-0000-0000-000060790000}"/>
    <cellStyle name="Remarque 2 6 3 3 3 4" xfId="40305" xr:uid="{00000000-0005-0000-0000-000061790000}"/>
    <cellStyle name="Remarque 2 6 3 3 4" xfId="6478" xr:uid="{00000000-0005-0000-0000-000062790000}"/>
    <cellStyle name="Remarque 2 6 3 3 4 2" xfId="30492" xr:uid="{00000000-0005-0000-0000-000063790000}"/>
    <cellStyle name="Remarque 2 6 3 3 4 2 2" xfId="54452" xr:uid="{00000000-0005-0000-0000-000064790000}"/>
    <cellStyle name="Remarque 2 6 3 3 4 3" xfId="17739" xr:uid="{00000000-0005-0000-0000-000065790000}"/>
    <cellStyle name="Remarque 2 6 3 3 4 4" xfId="41699" xr:uid="{00000000-0005-0000-0000-000066790000}"/>
    <cellStyle name="Remarque 2 6 3 3 5" xfId="7866" xr:uid="{00000000-0005-0000-0000-000067790000}"/>
    <cellStyle name="Remarque 2 6 3 3 5 2" xfId="31880" xr:uid="{00000000-0005-0000-0000-000068790000}"/>
    <cellStyle name="Remarque 2 6 3 3 5 2 2" xfId="55840" xr:uid="{00000000-0005-0000-0000-000069790000}"/>
    <cellStyle name="Remarque 2 6 3 3 5 3" xfId="19127" xr:uid="{00000000-0005-0000-0000-00006A790000}"/>
    <cellStyle name="Remarque 2 6 3 3 5 4" xfId="43087" xr:uid="{00000000-0005-0000-0000-00006B790000}"/>
    <cellStyle name="Remarque 2 6 3 3 6" xfId="9251" xr:uid="{00000000-0005-0000-0000-00006C790000}"/>
    <cellStyle name="Remarque 2 6 3 3 6 2" xfId="33265" xr:uid="{00000000-0005-0000-0000-00006D790000}"/>
    <cellStyle name="Remarque 2 6 3 3 6 2 2" xfId="57225" xr:uid="{00000000-0005-0000-0000-00006E790000}"/>
    <cellStyle name="Remarque 2 6 3 3 6 3" xfId="20512" xr:uid="{00000000-0005-0000-0000-00006F790000}"/>
    <cellStyle name="Remarque 2 6 3 3 6 4" xfId="44472" xr:uid="{00000000-0005-0000-0000-000070790000}"/>
    <cellStyle name="Remarque 2 6 3 3 7" xfId="10708" xr:uid="{00000000-0005-0000-0000-000071790000}"/>
    <cellStyle name="Remarque 2 6 3 3 7 2" xfId="34718" xr:uid="{00000000-0005-0000-0000-000072790000}"/>
    <cellStyle name="Remarque 2 6 3 3 7 2 2" xfId="58678" xr:uid="{00000000-0005-0000-0000-000073790000}"/>
    <cellStyle name="Remarque 2 6 3 3 7 3" xfId="21975" xr:uid="{00000000-0005-0000-0000-000074790000}"/>
    <cellStyle name="Remarque 2 6 3 3 7 4" xfId="45935" xr:uid="{00000000-0005-0000-0000-000075790000}"/>
    <cellStyle name="Remarque 2 6 3 3 8" xfId="11870" xr:uid="{00000000-0005-0000-0000-000076790000}"/>
    <cellStyle name="Remarque 2 6 3 3 8 2" xfId="23146" xr:uid="{00000000-0005-0000-0000-000077790000}"/>
    <cellStyle name="Remarque 2 6 3 3 8 3" xfId="47106" xr:uid="{00000000-0005-0000-0000-000078790000}"/>
    <cellStyle name="Remarque 2 6 3 3 9" xfId="2180" xr:uid="{00000000-0005-0000-0000-000079790000}"/>
    <cellStyle name="Remarque 2 6 3 3 9 2" xfId="26194" xr:uid="{00000000-0005-0000-0000-00007A790000}"/>
    <cellStyle name="Remarque 2 6 3 3 9 3" xfId="50154" xr:uid="{00000000-0005-0000-0000-00007B790000}"/>
    <cellStyle name="Remarque 2 6 3 4" xfId="938" xr:uid="{00000000-0005-0000-0000-00007C790000}"/>
    <cellStyle name="Remarque 2 6 3 4 10" xfId="24970" xr:uid="{00000000-0005-0000-0000-00007D790000}"/>
    <cellStyle name="Remarque 2 6 3 4 10 2" xfId="48930" xr:uid="{00000000-0005-0000-0000-00007E790000}"/>
    <cellStyle name="Remarque 2 6 3 4 11" xfId="36552" xr:uid="{00000000-0005-0000-0000-00007F790000}"/>
    <cellStyle name="Remarque 2 6 3 4 11 2" xfId="60512" xr:uid="{00000000-0005-0000-0000-000080790000}"/>
    <cellStyle name="Remarque 2 6 3 4 12" xfId="13635" xr:uid="{00000000-0005-0000-0000-000081790000}"/>
    <cellStyle name="Remarque 2 6 3 4 13" xfId="37595" xr:uid="{00000000-0005-0000-0000-000082790000}"/>
    <cellStyle name="Remarque 2 6 3 4 2" xfId="3844" xr:uid="{00000000-0005-0000-0000-000083790000}"/>
    <cellStyle name="Remarque 2 6 3 4 2 2" xfId="27858" xr:uid="{00000000-0005-0000-0000-000084790000}"/>
    <cellStyle name="Remarque 2 6 3 4 2 2 2" xfId="51818" xr:uid="{00000000-0005-0000-0000-000085790000}"/>
    <cellStyle name="Remarque 2 6 3 4 2 3" xfId="15105" xr:uid="{00000000-0005-0000-0000-000086790000}"/>
    <cellStyle name="Remarque 2 6 3 4 2 4" xfId="39065" xr:uid="{00000000-0005-0000-0000-000087790000}"/>
    <cellStyle name="Remarque 2 6 3 4 3" xfId="5278" xr:uid="{00000000-0005-0000-0000-000088790000}"/>
    <cellStyle name="Remarque 2 6 3 4 3 2" xfId="29292" xr:uid="{00000000-0005-0000-0000-000089790000}"/>
    <cellStyle name="Remarque 2 6 3 4 3 2 2" xfId="53252" xr:uid="{00000000-0005-0000-0000-00008A790000}"/>
    <cellStyle name="Remarque 2 6 3 4 3 3" xfId="16539" xr:uid="{00000000-0005-0000-0000-00008B790000}"/>
    <cellStyle name="Remarque 2 6 3 4 3 4" xfId="40499" xr:uid="{00000000-0005-0000-0000-00008C790000}"/>
    <cellStyle name="Remarque 2 6 3 4 4" xfId="6672" xr:uid="{00000000-0005-0000-0000-00008D790000}"/>
    <cellStyle name="Remarque 2 6 3 4 4 2" xfId="30686" xr:uid="{00000000-0005-0000-0000-00008E790000}"/>
    <cellStyle name="Remarque 2 6 3 4 4 2 2" xfId="54646" xr:uid="{00000000-0005-0000-0000-00008F790000}"/>
    <cellStyle name="Remarque 2 6 3 4 4 3" xfId="17933" xr:uid="{00000000-0005-0000-0000-000090790000}"/>
    <cellStyle name="Remarque 2 6 3 4 4 4" xfId="41893" xr:uid="{00000000-0005-0000-0000-000091790000}"/>
    <cellStyle name="Remarque 2 6 3 4 5" xfId="8060" xr:uid="{00000000-0005-0000-0000-000092790000}"/>
    <cellStyle name="Remarque 2 6 3 4 5 2" xfId="32074" xr:uid="{00000000-0005-0000-0000-000093790000}"/>
    <cellStyle name="Remarque 2 6 3 4 5 2 2" xfId="56034" xr:uid="{00000000-0005-0000-0000-000094790000}"/>
    <cellStyle name="Remarque 2 6 3 4 5 3" xfId="19321" xr:uid="{00000000-0005-0000-0000-000095790000}"/>
    <cellStyle name="Remarque 2 6 3 4 5 4" xfId="43281" xr:uid="{00000000-0005-0000-0000-000096790000}"/>
    <cellStyle name="Remarque 2 6 3 4 6" xfId="9445" xr:uid="{00000000-0005-0000-0000-000097790000}"/>
    <cellStyle name="Remarque 2 6 3 4 6 2" xfId="33459" xr:uid="{00000000-0005-0000-0000-000098790000}"/>
    <cellStyle name="Remarque 2 6 3 4 6 2 2" xfId="57419" xr:uid="{00000000-0005-0000-0000-000099790000}"/>
    <cellStyle name="Remarque 2 6 3 4 6 3" xfId="20706" xr:uid="{00000000-0005-0000-0000-00009A790000}"/>
    <cellStyle name="Remarque 2 6 3 4 6 4" xfId="44666" xr:uid="{00000000-0005-0000-0000-00009B790000}"/>
    <cellStyle name="Remarque 2 6 3 4 7" xfId="10902" xr:uid="{00000000-0005-0000-0000-00009C790000}"/>
    <cellStyle name="Remarque 2 6 3 4 7 2" xfId="34912" xr:uid="{00000000-0005-0000-0000-00009D790000}"/>
    <cellStyle name="Remarque 2 6 3 4 7 2 2" xfId="58872" xr:uid="{00000000-0005-0000-0000-00009E790000}"/>
    <cellStyle name="Remarque 2 6 3 4 7 3" xfId="22169" xr:uid="{00000000-0005-0000-0000-00009F790000}"/>
    <cellStyle name="Remarque 2 6 3 4 7 4" xfId="46129" xr:uid="{00000000-0005-0000-0000-0000A0790000}"/>
    <cellStyle name="Remarque 2 6 3 4 8" xfId="12157" xr:uid="{00000000-0005-0000-0000-0000A1790000}"/>
    <cellStyle name="Remarque 2 6 3 4 8 2" xfId="23440" xr:uid="{00000000-0005-0000-0000-0000A2790000}"/>
    <cellStyle name="Remarque 2 6 3 4 8 3" xfId="47400" xr:uid="{00000000-0005-0000-0000-0000A3790000}"/>
    <cellStyle name="Remarque 2 6 3 4 9" xfId="2374" xr:uid="{00000000-0005-0000-0000-0000A4790000}"/>
    <cellStyle name="Remarque 2 6 3 4 9 2" xfId="26388" xr:uid="{00000000-0005-0000-0000-0000A5790000}"/>
    <cellStyle name="Remarque 2 6 3 4 9 3" xfId="50348" xr:uid="{00000000-0005-0000-0000-0000A6790000}"/>
    <cellStyle name="Remarque 2 6 3 5" xfId="1131" xr:uid="{00000000-0005-0000-0000-0000A7790000}"/>
    <cellStyle name="Remarque 2 6 3 5 10" xfId="25163" xr:uid="{00000000-0005-0000-0000-0000A8790000}"/>
    <cellStyle name="Remarque 2 6 3 5 10 2" xfId="49123" xr:uid="{00000000-0005-0000-0000-0000A9790000}"/>
    <cellStyle name="Remarque 2 6 3 5 11" xfId="36671" xr:uid="{00000000-0005-0000-0000-0000AA790000}"/>
    <cellStyle name="Remarque 2 6 3 5 11 2" xfId="60631" xr:uid="{00000000-0005-0000-0000-0000AB790000}"/>
    <cellStyle name="Remarque 2 6 3 5 12" xfId="13828" xr:uid="{00000000-0005-0000-0000-0000AC790000}"/>
    <cellStyle name="Remarque 2 6 3 5 13" xfId="37788" xr:uid="{00000000-0005-0000-0000-0000AD790000}"/>
    <cellStyle name="Remarque 2 6 3 5 2" xfId="4037" xr:uid="{00000000-0005-0000-0000-0000AE790000}"/>
    <cellStyle name="Remarque 2 6 3 5 2 2" xfId="28051" xr:uid="{00000000-0005-0000-0000-0000AF790000}"/>
    <cellStyle name="Remarque 2 6 3 5 2 2 2" xfId="52011" xr:uid="{00000000-0005-0000-0000-0000B0790000}"/>
    <cellStyle name="Remarque 2 6 3 5 2 3" xfId="15298" xr:uid="{00000000-0005-0000-0000-0000B1790000}"/>
    <cellStyle name="Remarque 2 6 3 5 2 4" xfId="39258" xr:uid="{00000000-0005-0000-0000-0000B2790000}"/>
    <cellStyle name="Remarque 2 6 3 5 3" xfId="5471" xr:uid="{00000000-0005-0000-0000-0000B3790000}"/>
    <cellStyle name="Remarque 2 6 3 5 3 2" xfId="29485" xr:uid="{00000000-0005-0000-0000-0000B4790000}"/>
    <cellStyle name="Remarque 2 6 3 5 3 2 2" xfId="53445" xr:uid="{00000000-0005-0000-0000-0000B5790000}"/>
    <cellStyle name="Remarque 2 6 3 5 3 3" xfId="16732" xr:uid="{00000000-0005-0000-0000-0000B6790000}"/>
    <cellStyle name="Remarque 2 6 3 5 3 4" xfId="40692" xr:uid="{00000000-0005-0000-0000-0000B7790000}"/>
    <cellStyle name="Remarque 2 6 3 5 4" xfId="6865" xr:uid="{00000000-0005-0000-0000-0000B8790000}"/>
    <cellStyle name="Remarque 2 6 3 5 4 2" xfId="30879" xr:uid="{00000000-0005-0000-0000-0000B9790000}"/>
    <cellStyle name="Remarque 2 6 3 5 4 2 2" xfId="54839" xr:uid="{00000000-0005-0000-0000-0000BA790000}"/>
    <cellStyle name="Remarque 2 6 3 5 4 3" xfId="18126" xr:uid="{00000000-0005-0000-0000-0000BB790000}"/>
    <cellStyle name="Remarque 2 6 3 5 4 4" xfId="42086" xr:uid="{00000000-0005-0000-0000-0000BC790000}"/>
    <cellStyle name="Remarque 2 6 3 5 5" xfId="8253" xr:uid="{00000000-0005-0000-0000-0000BD790000}"/>
    <cellStyle name="Remarque 2 6 3 5 5 2" xfId="32267" xr:uid="{00000000-0005-0000-0000-0000BE790000}"/>
    <cellStyle name="Remarque 2 6 3 5 5 2 2" xfId="56227" xr:uid="{00000000-0005-0000-0000-0000BF790000}"/>
    <cellStyle name="Remarque 2 6 3 5 5 3" xfId="19514" xr:uid="{00000000-0005-0000-0000-0000C0790000}"/>
    <cellStyle name="Remarque 2 6 3 5 5 4" xfId="43474" xr:uid="{00000000-0005-0000-0000-0000C1790000}"/>
    <cellStyle name="Remarque 2 6 3 5 6" xfId="9638" xr:uid="{00000000-0005-0000-0000-0000C2790000}"/>
    <cellStyle name="Remarque 2 6 3 5 6 2" xfId="33652" xr:uid="{00000000-0005-0000-0000-0000C3790000}"/>
    <cellStyle name="Remarque 2 6 3 5 6 2 2" xfId="57612" xr:uid="{00000000-0005-0000-0000-0000C4790000}"/>
    <cellStyle name="Remarque 2 6 3 5 6 3" xfId="20899" xr:uid="{00000000-0005-0000-0000-0000C5790000}"/>
    <cellStyle name="Remarque 2 6 3 5 6 4" xfId="44859" xr:uid="{00000000-0005-0000-0000-0000C6790000}"/>
    <cellStyle name="Remarque 2 6 3 5 7" xfId="11095" xr:uid="{00000000-0005-0000-0000-0000C7790000}"/>
    <cellStyle name="Remarque 2 6 3 5 7 2" xfId="35105" xr:uid="{00000000-0005-0000-0000-0000C8790000}"/>
    <cellStyle name="Remarque 2 6 3 5 7 2 2" xfId="59065" xr:uid="{00000000-0005-0000-0000-0000C9790000}"/>
    <cellStyle name="Remarque 2 6 3 5 7 3" xfId="22362" xr:uid="{00000000-0005-0000-0000-0000CA790000}"/>
    <cellStyle name="Remarque 2 6 3 5 7 4" xfId="46322" xr:uid="{00000000-0005-0000-0000-0000CB790000}"/>
    <cellStyle name="Remarque 2 6 3 5 8" xfId="12371" xr:uid="{00000000-0005-0000-0000-0000CC790000}"/>
    <cellStyle name="Remarque 2 6 3 5 8 2" xfId="23660" xr:uid="{00000000-0005-0000-0000-0000CD790000}"/>
    <cellStyle name="Remarque 2 6 3 5 8 3" xfId="47620" xr:uid="{00000000-0005-0000-0000-0000CE790000}"/>
    <cellStyle name="Remarque 2 6 3 5 9" xfId="2567" xr:uid="{00000000-0005-0000-0000-0000CF790000}"/>
    <cellStyle name="Remarque 2 6 3 5 9 2" xfId="26581" xr:uid="{00000000-0005-0000-0000-0000D0790000}"/>
    <cellStyle name="Remarque 2 6 3 5 9 3" xfId="50541" xr:uid="{00000000-0005-0000-0000-0000D1790000}"/>
    <cellStyle name="Remarque 2 6 3 6" xfId="1298" xr:uid="{00000000-0005-0000-0000-0000D2790000}"/>
    <cellStyle name="Remarque 2 6 3 6 10" xfId="25330" xr:uid="{00000000-0005-0000-0000-0000D3790000}"/>
    <cellStyle name="Remarque 2 6 3 6 10 2" xfId="49290" xr:uid="{00000000-0005-0000-0000-0000D4790000}"/>
    <cellStyle name="Remarque 2 6 3 6 11" xfId="36058" xr:uid="{00000000-0005-0000-0000-0000D5790000}"/>
    <cellStyle name="Remarque 2 6 3 6 11 2" xfId="60018" xr:uid="{00000000-0005-0000-0000-0000D6790000}"/>
    <cellStyle name="Remarque 2 6 3 6 12" xfId="13995" xr:uid="{00000000-0005-0000-0000-0000D7790000}"/>
    <cellStyle name="Remarque 2 6 3 6 13" xfId="37955" xr:uid="{00000000-0005-0000-0000-0000D8790000}"/>
    <cellStyle name="Remarque 2 6 3 6 2" xfId="4204" xr:uid="{00000000-0005-0000-0000-0000D9790000}"/>
    <cellStyle name="Remarque 2 6 3 6 2 2" xfId="28218" xr:uid="{00000000-0005-0000-0000-0000DA790000}"/>
    <cellStyle name="Remarque 2 6 3 6 2 2 2" xfId="52178" xr:uid="{00000000-0005-0000-0000-0000DB790000}"/>
    <cellStyle name="Remarque 2 6 3 6 2 3" xfId="15465" xr:uid="{00000000-0005-0000-0000-0000DC790000}"/>
    <cellStyle name="Remarque 2 6 3 6 2 4" xfId="39425" xr:uid="{00000000-0005-0000-0000-0000DD790000}"/>
    <cellStyle name="Remarque 2 6 3 6 3" xfId="5638" xr:uid="{00000000-0005-0000-0000-0000DE790000}"/>
    <cellStyle name="Remarque 2 6 3 6 3 2" xfId="29652" xr:uid="{00000000-0005-0000-0000-0000DF790000}"/>
    <cellStyle name="Remarque 2 6 3 6 3 2 2" xfId="53612" xr:uid="{00000000-0005-0000-0000-0000E0790000}"/>
    <cellStyle name="Remarque 2 6 3 6 3 3" xfId="16899" xr:uid="{00000000-0005-0000-0000-0000E1790000}"/>
    <cellStyle name="Remarque 2 6 3 6 3 4" xfId="40859" xr:uid="{00000000-0005-0000-0000-0000E2790000}"/>
    <cellStyle name="Remarque 2 6 3 6 4" xfId="7032" xr:uid="{00000000-0005-0000-0000-0000E3790000}"/>
    <cellStyle name="Remarque 2 6 3 6 4 2" xfId="31046" xr:uid="{00000000-0005-0000-0000-0000E4790000}"/>
    <cellStyle name="Remarque 2 6 3 6 4 2 2" xfId="55006" xr:uid="{00000000-0005-0000-0000-0000E5790000}"/>
    <cellStyle name="Remarque 2 6 3 6 4 3" xfId="18293" xr:uid="{00000000-0005-0000-0000-0000E6790000}"/>
    <cellStyle name="Remarque 2 6 3 6 4 4" xfId="42253" xr:uid="{00000000-0005-0000-0000-0000E7790000}"/>
    <cellStyle name="Remarque 2 6 3 6 5" xfId="8420" xr:uid="{00000000-0005-0000-0000-0000E8790000}"/>
    <cellStyle name="Remarque 2 6 3 6 5 2" xfId="32434" xr:uid="{00000000-0005-0000-0000-0000E9790000}"/>
    <cellStyle name="Remarque 2 6 3 6 5 2 2" xfId="56394" xr:uid="{00000000-0005-0000-0000-0000EA790000}"/>
    <cellStyle name="Remarque 2 6 3 6 5 3" xfId="19681" xr:uid="{00000000-0005-0000-0000-0000EB790000}"/>
    <cellStyle name="Remarque 2 6 3 6 5 4" xfId="43641" xr:uid="{00000000-0005-0000-0000-0000EC790000}"/>
    <cellStyle name="Remarque 2 6 3 6 6" xfId="9805" xr:uid="{00000000-0005-0000-0000-0000ED790000}"/>
    <cellStyle name="Remarque 2 6 3 6 6 2" xfId="33819" xr:uid="{00000000-0005-0000-0000-0000EE790000}"/>
    <cellStyle name="Remarque 2 6 3 6 6 2 2" xfId="57779" xr:uid="{00000000-0005-0000-0000-0000EF790000}"/>
    <cellStyle name="Remarque 2 6 3 6 6 3" xfId="21066" xr:uid="{00000000-0005-0000-0000-0000F0790000}"/>
    <cellStyle name="Remarque 2 6 3 6 6 4" xfId="45026" xr:uid="{00000000-0005-0000-0000-0000F1790000}"/>
    <cellStyle name="Remarque 2 6 3 6 7" xfId="11262" xr:uid="{00000000-0005-0000-0000-0000F2790000}"/>
    <cellStyle name="Remarque 2 6 3 6 7 2" xfId="35272" xr:uid="{00000000-0005-0000-0000-0000F3790000}"/>
    <cellStyle name="Remarque 2 6 3 6 7 2 2" xfId="59232" xr:uid="{00000000-0005-0000-0000-0000F4790000}"/>
    <cellStyle name="Remarque 2 6 3 6 7 3" xfId="22529" xr:uid="{00000000-0005-0000-0000-0000F5790000}"/>
    <cellStyle name="Remarque 2 6 3 6 7 4" xfId="46489" xr:uid="{00000000-0005-0000-0000-0000F6790000}"/>
    <cellStyle name="Remarque 2 6 3 6 8" xfId="12118" xr:uid="{00000000-0005-0000-0000-0000F7790000}"/>
    <cellStyle name="Remarque 2 6 3 6 8 2" xfId="23401" xr:uid="{00000000-0005-0000-0000-0000F8790000}"/>
    <cellStyle name="Remarque 2 6 3 6 8 3" xfId="47361" xr:uid="{00000000-0005-0000-0000-0000F9790000}"/>
    <cellStyle name="Remarque 2 6 3 6 9" xfId="2734" xr:uid="{00000000-0005-0000-0000-0000FA790000}"/>
    <cellStyle name="Remarque 2 6 3 6 9 2" xfId="26748" xr:uid="{00000000-0005-0000-0000-0000FB790000}"/>
    <cellStyle name="Remarque 2 6 3 6 9 3" xfId="50708" xr:uid="{00000000-0005-0000-0000-0000FC790000}"/>
    <cellStyle name="Remarque 2 6 3 7" xfId="1467" xr:uid="{00000000-0005-0000-0000-0000FD790000}"/>
    <cellStyle name="Remarque 2 6 3 7 10" xfId="25499" xr:uid="{00000000-0005-0000-0000-0000FE790000}"/>
    <cellStyle name="Remarque 2 6 3 7 10 2" xfId="49459" xr:uid="{00000000-0005-0000-0000-0000FF790000}"/>
    <cellStyle name="Remarque 2 6 3 7 11" xfId="36347" xr:uid="{00000000-0005-0000-0000-0000007A0000}"/>
    <cellStyle name="Remarque 2 6 3 7 11 2" xfId="60307" xr:uid="{00000000-0005-0000-0000-0000017A0000}"/>
    <cellStyle name="Remarque 2 6 3 7 12" xfId="14164" xr:uid="{00000000-0005-0000-0000-0000027A0000}"/>
    <cellStyle name="Remarque 2 6 3 7 13" xfId="38124" xr:uid="{00000000-0005-0000-0000-0000037A0000}"/>
    <cellStyle name="Remarque 2 6 3 7 2" xfId="4373" xr:uid="{00000000-0005-0000-0000-0000047A0000}"/>
    <cellStyle name="Remarque 2 6 3 7 2 2" xfId="28387" xr:uid="{00000000-0005-0000-0000-0000057A0000}"/>
    <cellStyle name="Remarque 2 6 3 7 2 2 2" xfId="52347" xr:uid="{00000000-0005-0000-0000-0000067A0000}"/>
    <cellStyle name="Remarque 2 6 3 7 2 3" xfId="15634" xr:uid="{00000000-0005-0000-0000-0000077A0000}"/>
    <cellStyle name="Remarque 2 6 3 7 2 4" xfId="39594" xr:uid="{00000000-0005-0000-0000-0000087A0000}"/>
    <cellStyle name="Remarque 2 6 3 7 3" xfId="5807" xr:uid="{00000000-0005-0000-0000-0000097A0000}"/>
    <cellStyle name="Remarque 2 6 3 7 3 2" xfId="29821" xr:uid="{00000000-0005-0000-0000-00000A7A0000}"/>
    <cellStyle name="Remarque 2 6 3 7 3 2 2" xfId="53781" xr:uid="{00000000-0005-0000-0000-00000B7A0000}"/>
    <cellStyle name="Remarque 2 6 3 7 3 3" xfId="17068" xr:uid="{00000000-0005-0000-0000-00000C7A0000}"/>
    <cellStyle name="Remarque 2 6 3 7 3 4" xfId="41028" xr:uid="{00000000-0005-0000-0000-00000D7A0000}"/>
    <cellStyle name="Remarque 2 6 3 7 4" xfId="7201" xr:uid="{00000000-0005-0000-0000-00000E7A0000}"/>
    <cellStyle name="Remarque 2 6 3 7 4 2" xfId="31215" xr:uid="{00000000-0005-0000-0000-00000F7A0000}"/>
    <cellStyle name="Remarque 2 6 3 7 4 2 2" xfId="55175" xr:uid="{00000000-0005-0000-0000-0000107A0000}"/>
    <cellStyle name="Remarque 2 6 3 7 4 3" xfId="18462" xr:uid="{00000000-0005-0000-0000-0000117A0000}"/>
    <cellStyle name="Remarque 2 6 3 7 4 4" xfId="42422" xr:uid="{00000000-0005-0000-0000-0000127A0000}"/>
    <cellStyle name="Remarque 2 6 3 7 5" xfId="8589" xr:uid="{00000000-0005-0000-0000-0000137A0000}"/>
    <cellStyle name="Remarque 2 6 3 7 5 2" xfId="32603" xr:uid="{00000000-0005-0000-0000-0000147A0000}"/>
    <cellStyle name="Remarque 2 6 3 7 5 2 2" xfId="56563" xr:uid="{00000000-0005-0000-0000-0000157A0000}"/>
    <cellStyle name="Remarque 2 6 3 7 5 3" xfId="19850" xr:uid="{00000000-0005-0000-0000-0000167A0000}"/>
    <cellStyle name="Remarque 2 6 3 7 5 4" xfId="43810" xr:uid="{00000000-0005-0000-0000-0000177A0000}"/>
    <cellStyle name="Remarque 2 6 3 7 6" xfId="9974" xr:uid="{00000000-0005-0000-0000-0000187A0000}"/>
    <cellStyle name="Remarque 2 6 3 7 6 2" xfId="33988" xr:uid="{00000000-0005-0000-0000-0000197A0000}"/>
    <cellStyle name="Remarque 2 6 3 7 6 2 2" xfId="57948" xr:uid="{00000000-0005-0000-0000-00001A7A0000}"/>
    <cellStyle name="Remarque 2 6 3 7 6 3" xfId="21235" xr:uid="{00000000-0005-0000-0000-00001B7A0000}"/>
    <cellStyle name="Remarque 2 6 3 7 6 4" xfId="45195" xr:uid="{00000000-0005-0000-0000-00001C7A0000}"/>
    <cellStyle name="Remarque 2 6 3 7 7" xfId="11431" xr:uid="{00000000-0005-0000-0000-00001D7A0000}"/>
    <cellStyle name="Remarque 2 6 3 7 7 2" xfId="35441" xr:uid="{00000000-0005-0000-0000-00001E7A0000}"/>
    <cellStyle name="Remarque 2 6 3 7 7 2 2" xfId="59401" xr:uid="{00000000-0005-0000-0000-00001F7A0000}"/>
    <cellStyle name="Remarque 2 6 3 7 7 3" xfId="22698" xr:uid="{00000000-0005-0000-0000-0000207A0000}"/>
    <cellStyle name="Remarque 2 6 3 7 7 4" xfId="46658" xr:uid="{00000000-0005-0000-0000-0000217A0000}"/>
    <cellStyle name="Remarque 2 6 3 7 8" xfId="12002" xr:uid="{00000000-0005-0000-0000-0000227A0000}"/>
    <cellStyle name="Remarque 2 6 3 7 8 2" xfId="23281" xr:uid="{00000000-0005-0000-0000-0000237A0000}"/>
    <cellStyle name="Remarque 2 6 3 7 8 3" xfId="47241" xr:uid="{00000000-0005-0000-0000-0000247A0000}"/>
    <cellStyle name="Remarque 2 6 3 7 9" xfId="2903" xr:uid="{00000000-0005-0000-0000-0000257A0000}"/>
    <cellStyle name="Remarque 2 6 3 7 9 2" xfId="26917" xr:uid="{00000000-0005-0000-0000-0000267A0000}"/>
    <cellStyle name="Remarque 2 6 3 7 9 3" xfId="50877" xr:uid="{00000000-0005-0000-0000-0000277A0000}"/>
    <cellStyle name="Remarque 2 6 3 8" xfId="3322" xr:uid="{00000000-0005-0000-0000-0000287A0000}"/>
    <cellStyle name="Remarque 2 6 3 8 2" xfId="27336" xr:uid="{00000000-0005-0000-0000-0000297A0000}"/>
    <cellStyle name="Remarque 2 6 3 8 2 2" xfId="51296" xr:uid="{00000000-0005-0000-0000-00002A7A0000}"/>
    <cellStyle name="Remarque 2 6 3 8 3" xfId="14583" xr:uid="{00000000-0005-0000-0000-00002B7A0000}"/>
    <cellStyle name="Remarque 2 6 3 8 4" xfId="38543" xr:uid="{00000000-0005-0000-0000-00002C7A0000}"/>
    <cellStyle name="Remarque 2 6 3 9" xfId="4756" xr:uid="{00000000-0005-0000-0000-00002D7A0000}"/>
    <cellStyle name="Remarque 2 6 3 9 2" xfId="28770" xr:uid="{00000000-0005-0000-0000-00002E7A0000}"/>
    <cellStyle name="Remarque 2 6 3 9 2 2" xfId="52730" xr:uid="{00000000-0005-0000-0000-00002F7A0000}"/>
    <cellStyle name="Remarque 2 6 3 9 3" xfId="16017" xr:uid="{00000000-0005-0000-0000-0000307A0000}"/>
    <cellStyle name="Remarque 2 6 3 9 4" xfId="39977" xr:uid="{00000000-0005-0000-0000-0000317A0000}"/>
    <cellStyle name="Remarque 2 6 4" xfId="456" xr:uid="{00000000-0005-0000-0000-0000327A0000}"/>
    <cellStyle name="Remarque 2 6 4 10" xfId="6190" xr:uid="{00000000-0005-0000-0000-0000337A0000}"/>
    <cellStyle name="Remarque 2 6 4 10 2" xfId="30204" xr:uid="{00000000-0005-0000-0000-0000347A0000}"/>
    <cellStyle name="Remarque 2 6 4 10 2 2" xfId="54164" xr:uid="{00000000-0005-0000-0000-0000357A0000}"/>
    <cellStyle name="Remarque 2 6 4 10 3" xfId="17451" xr:uid="{00000000-0005-0000-0000-0000367A0000}"/>
    <cellStyle name="Remarque 2 6 4 10 4" xfId="41411" xr:uid="{00000000-0005-0000-0000-0000377A0000}"/>
    <cellStyle name="Remarque 2 6 4 11" xfId="7578" xr:uid="{00000000-0005-0000-0000-0000387A0000}"/>
    <cellStyle name="Remarque 2 6 4 11 2" xfId="31592" xr:uid="{00000000-0005-0000-0000-0000397A0000}"/>
    <cellStyle name="Remarque 2 6 4 11 2 2" xfId="55552" xr:uid="{00000000-0005-0000-0000-00003A7A0000}"/>
    <cellStyle name="Remarque 2 6 4 11 3" xfId="18839" xr:uid="{00000000-0005-0000-0000-00003B7A0000}"/>
    <cellStyle name="Remarque 2 6 4 11 4" xfId="42799" xr:uid="{00000000-0005-0000-0000-00003C7A0000}"/>
    <cellStyle name="Remarque 2 6 4 12" xfId="8963" xr:uid="{00000000-0005-0000-0000-00003D7A0000}"/>
    <cellStyle name="Remarque 2 6 4 12 2" xfId="32977" xr:uid="{00000000-0005-0000-0000-00003E7A0000}"/>
    <cellStyle name="Remarque 2 6 4 12 2 2" xfId="56937" xr:uid="{00000000-0005-0000-0000-00003F7A0000}"/>
    <cellStyle name="Remarque 2 6 4 12 3" xfId="20224" xr:uid="{00000000-0005-0000-0000-0000407A0000}"/>
    <cellStyle name="Remarque 2 6 4 12 4" xfId="44184" xr:uid="{00000000-0005-0000-0000-0000417A0000}"/>
    <cellStyle name="Remarque 2 6 4 13" xfId="10420" xr:uid="{00000000-0005-0000-0000-0000427A0000}"/>
    <cellStyle name="Remarque 2 6 4 13 2" xfId="34430" xr:uid="{00000000-0005-0000-0000-0000437A0000}"/>
    <cellStyle name="Remarque 2 6 4 13 2 2" xfId="58390" xr:uid="{00000000-0005-0000-0000-0000447A0000}"/>
    <cellStyle name="Remarque 2 6 4 13 3" xfId="21687" xr:uid="{00000000-0005-0000-0000-0000457A0000}"/>
    <cellStyle name="Remarque 2 6 4 13 4" xfId="45647" xr:uid="{00000000-0005-0000-0000-0000467A0000}"/>
    <cellStyle name="Remarque 2 6 4 14" xfId="12501" xr:uid="{00000000-0005-0000-0000-0000477A0000}"/>
    <cellStyle name="Remarque 2 6 4 14 2" xfId="23798" xr:uid="{00000000-0005-0000-0000-0000487A0000}"/>
    <cellStyle name="Remarque 2 6 4 14 3" xfId="47758" xr:uid="{00000000-0005-0000-0000-0000497A0000}"/>
    <cellStyle name="Remarque 2 6 4 15" xfId="1892" xr:uid="{00000000-0005-0000-0000-00004A7A0000}"/>
    <cellStyle name="Remarque 2 6 4 15 2" xfId="25906" xr:uid="{00000000-0005-0000-0000-00004B7A0000}"/>
    <cellStyle name="Remarque 2 6 4 15 3" xfId="49866" xr:uid="{00000000-0005-0000-0000-00004C7A0000}"/>
    <cellStyle name="Remarque 2 6 4 16" xfId="24488" xr:uid="{00000000-0005-0000-0000-00004D7A0000}"/>
    <cellStyle name="Remarque 2 6 4 16 2" xfId="48448" xr:uid="{00000000-0005-0000-0000-00004E7A0000}"/>
    <cellStyle name="Remarque 2 6 4 17" xfId="34205" xr:uid="{00000000-0005-0000-0000-00004F7A0000}"/>
    <cellStyle name="Remarque 2 6 4 17 2" xfId="58165" xr:uid="{00000000-0005-0000-0000-0000507A0000}"/>
    <cellStyle name="Remarque 2 6 4 18" xfId="13153" xr:uid="{00000000-0005-0000-0000-0000517A0000}"/>
    <cellStyle name="Remarque 2 6 4 19" xfId="37113" xr:uid="{00000000-0005-0000-0000-0000527A0000}"/>
    <cellStyle name="Remarque 2 6 4 2" xfId="592" xr:uid="{00000000-0005-0000-0000-0000537A0000}"/>
    <cellStyle name="Remarque 2 6 4 2 10" xfId="24624" xr:uid="{00000000-0005-0000-0000-0000547A0000}"/>
    <cellStyle name="Remarque 2 6 4 2 10 2" xfId="48584" xr:uid="{00000000-0005-0000-0000-0000557A0000}"/>
    <cellStyle name="Remarque 2 6 4 2 11" xfId="35921" xr:uid="{00000000-0005-0000-0000-0000567A0000}"/>
    <cellStyle name="Remarque 2 6 4 2 11 2" xfId="59881" xr:uid="{00000000-0005-0000-0000-0000577A0000}"/>
    <cellStyle name="Remarque 2 6 4 2 12" xfId="13289" xr:uid="{00000000-0005-0000-0000-0000587A0000}"/>
    <cellStyle name="Remarque 2 6 4 2 13" xfId="37249" xr:uid="{00000000-0005-0000-0000-0000597A0000}"/>
    <cellStyle name="Remarque 2 6 4 2 2" xfId="3498" xr:uid="{00000000-0005-0000-0000-00005A7A0000}"/>
    <cellStyle name="Remarque 2 6 4 2 2 2" xfId="27512" xr:uid="{00000000-0005-0000-0000-00005B7A0000}"/>
    <cellStyle name="Remarque 2 6 4 2 2 2 2" xfId="51472" xr:uid="{00000000-0005-0000-0000-00005C7A0000}"/>
    <cellStyle name="Remarque 2 6 4 2 2 3" xfId="14759" xr:uid="{00000000-0005-0000-0000-00005D7A0000}"/>
    <cellStyle name="Remarque 2 6 4 2 2 4" xfId="38719" xr:uid="{00000000-0005-0000-0000-00005E7A0000}"/>
    <cellStyle name="Remarque 2 6 4 2 3" xfId="4932" xr:uid="{00000000-0005-0000-0000-00005F7A0000}"/>
    <cellStyle name="Remarque 2 6 4 2 3 2" xfId="28946" xr:uid="{00000000-0005-0000-0000-0000607A0000}"/>
    <cellStyle name="Remarque 2 6 4 2 3 2 2" xfId="52906" xr:uid="{00000000-0005-0000-0000-0000617A0000}"/>
    <cellStyle name="Remarque 2 6 4 2 3 3" xfId="16193" xr:uid="{00000000-0005-0000-0000-0000627A0000}"/>
    <cellStyle name="Remarque 2 6 4 2 3 4" xfId="40153" xr:uid="{00000000-0005-0000-0000-0000637A0000}"/>
    <cellStyle name="Remarque 2 6 4 2 4" xfId="6326" xr:uid="{00000000-0005-0000-0000-0000647A0000}"/>
    <cellStyle name="Remarque 2 6 4 2 4 2" xfId="30340" xr:uid="{00000000-0005-0000-0000-0000657A0000}"/>
    <cellStyle name="Remarque 2 6 4 2 4 2 2" xfId="54300" xr:uid="{00000000-0005-0000-0000-0000667A0000}"/>
    <cellStyle name="Remarque 2 6 4 2 4 3" xfId="17587" xr:uid="{00000000-0005-0000-0000-0000677A0000}"/>
    <cellStyle name="Remarque 2 6 4 2 4 4" xfId="41547" xr:uid="{00000000-0005-0000-0000-0000687A0000}"/>
    <cellStyle name="Remarque 2 6 4 2 5" xfId="7714" xr:uid="{00000000-0005-0000-0000-0000697A0000}"/>
    <cellStyle name="Remarque 2 6 4 2 5 2" xfId="31728" xr:uid="{00000000-0005-0000-0000-00006A7A0000}"/>
    <cellStyle name="Remarque 2 6 4 2 5 2 2" xfId="55688" xr:uid="{00000000-0005-0000-0000-00006B7A0000}"/>
    <cellStyle name="Remarque 2 6 4 2 5 3" xfId="18975" xr:uid="{00000000-0005-0000-0000-00006C7A0000}"/>
    <cellStyle name="Remarque 2 6 4 2 5 4" xfId="42935" xr:uid="{00000000-0005-0000-0000-00006D7A0000}"/>
    <cellStyle name="Remarque 2 6 4 2 6" xfId="9099" xr:uid="{00000000-0005-0000-0000-00006E7A0000}"/>
    <cellStyle name="Remarque 2 6 4 2 6 2" xfId="33113" xr:uid="{00000000-0005-0000-0000-00006F7A0000}"/>
    <cellStyle name="Remarque 2 6 4 2 6 2 2" xfId="57073" xr:uid="{00000000-0005-0000-0000-0000707A0000}"/>
    <cellStyle name="Remarque 2 6 4 2 6 3" xfId="20360" xr:uid="{00000000-0005-0000-0000-0000717A0000}"/>
    <cellStyle name="Remarque 2 6 4 2 6 4" xfId="44320" xr:uid="{00000000-0005-0000-0000-0000727A0000}"/>
    <cellStyle name="Remarque 2 6 4 2 7" xfId="10556" xr:uid="{00000000-0005-0000-0000-0000737A0000}"/>
    <cellStyle name="Remarque 2 6 4 2 7 2" xfId="34566" xr:uid="{00000000-0005-0000-0000-0000747A0000}"/>
    <cellStyle name="Remarque 2 6 4 2 7 2 2" xfId="58526" xr:uid="{00000000-0005-0000-0000-0000757A0000}"/>
    <cellStyle name="Remarque 2 6 4 2 7 3" xfId="21823" xr:uid="{00000000-0005-0000-0000-0000767A0000}"/>
    <cellStyle name="Remarque 2 6 4 2 7 4" xfId="45783" xr:uid="{00000000-0005-0000-0000-0000777A0000}"/>
    <cellStyle name="Remarque 2 6 4 2 8" xfId="11639" xr:uid="{00000000-0005-0000-0000-0000787A0000}"/>
    <cellStyle name="Remarque 2 6 4 2 8 2" xfId="22907" xr:uid="{00000000-0005-0000-0000-0000797A0000}"/>
    <cellStyle name="Remarque 2 6 4 2 8 3" xfId="46867" xr:uid="{00000000-0005-0000-0000-00007A7A0000}"/>
    <cellStyle name="Remarque 2 6 4 2 9" xfId="2028" xr:uid="{00000000-0005-0000-0000-00007B7A0000}"/>
    <cellStyle name="Remarque 2 6 4 2 9 2" xfId="26042" xr:uid="{00000000-0005-0000-0000-00007C7A0000}"/>
    <cellStyle name="Remarque 2 6 4 2 9 3" xfId="50002" xr:uid="{00000000-0005-0000-0000-00007D7A0000}"/>
    <cellStyle name="Remarque 2 6 4 3" xfId="784" xr:uid="{00000000-0005-0000-0000-00007E7A0000}"/>
    <cellStyle name="Remarque 2 6 4 3 10" xfId="24816" xr:uid="{00000000-0005-0000-0000-00007F7A0000}"/>
    <cellStyle name="Remarque 2 6 4 3 10 2" xfId="48776" xr:uid="{00000000-0005-0000-0000-0000807A0000}"/>
    <cellStyle name="Remarque 2 6 4 3 11" xfId="36258" xr:uid="{00000000-0005-0000-0000-0000817A0000}"/>
    <cellStyle name="Remarque 2 6 4 3 11 2" xfId="60218" xr:uid="{00000000-0005-0000-0000-0000827A0000}"/>
    <cellStyle name="Remarque 2 6 4 3 12" xfId="13481" xr:uid="{00000000-0005-0000-0000-0000837A0000}"/>
    <cellStyle name="Remarque 2 6 4 3 13" xfId="37441" xr:uid="{00000000-0005-0000-0000-0000847A0000}"/>
    <cellStyle name="Remarque 2 6 4 3 2" xfId="3690" xr:uid="{00000000-0005-0000-0000-0000857A0000}"/>
    <cellStyle name="Remarque 2 6 4 3 2 2" xfId="27704" xr:uid="{00000000-0005-0000-0000-0000867A0000}"/>
    <cellStyle name="Remarque 2 6 4 3 2 2 2" xfId="51664" xr:uid="{00000000-0005-0000-0000-0000877A0000}"/>
    <cellStyle name="Remarque 2 6 4 3 2 3" xfId="14951" xr:uid="{00000000-0005-0000-0000-0000887A0000}"/>
    <cellStyle name="Remarque 2 6 4 3 2 4" xfId="38911" xr:uid="{00000000-0005-0000-0000-0000897A0000}"/>
    <cellStyle name="Remarque 2 6 4 3 3" xfId="5124" xr:uid="{00000000-0005-0000-0000-00008A7A0000}"/>
    <cellStyle name="Remarque 2 6 4 3 3 2" xfId="29138" xr:uid="{00000000-0005-0000-0000-00008B7A0000}"/>
    <cellStyle name="Remarque 2 6 4 3 3 2 2" xfId="53098" xr:uid="{00000000-0005-0000-0000-00008C7A0000}"/>
    <cellStyle name="Remarque 2 6 4 3 3 3" xfId="16385" xr:uid="{00000000-0005-0000-0000-00008D7A0000}"/>
    <cellStyle name="Remarque 2 6 4 3 3 4" xfId="40345" xr:uid="{00000000-0005-0000-0000-00008E7A0000}"/>
    <cellStyle name="Remarque 2 6 4 3 4" xfId="6518" xr:uid="{00000000-0005-0000-0000-00008F7A0000}"/>
    <cellStyle name="Remarque 2 6 4 3 4 2" xfId="30532" xr:uid="{00000000-0005-0000-0000-0000907A0000}"/>
    <cellStyle name="Remarque 2 6 4 3 4 2 2" xfId="54492" xr:uid="{00000000-0005-0000-0000-0000917A0000}"/>
    <cellStyle name="Remarque 2 6 4 3 4 3" xfId="17779" xr:uid="{00000000-0005-0000-0000-0000927A0000}"/>
    <cellStyle name="Remarque 2 6 4 3 4 4" xfId="41739" xr:uid="{00000000-0005-0000-0000-0000937A0000}"/>
    <cellStyle name="Remarque 2 6 4 3 5" xfId="7906" xr:uid="{00000000-0005-0000-0000-0000947A0000}"/>
    <cellStyle name="Remarque 2 6 4 3 5 2" xfId="31920" xr:uid="{00000000-0005-0000-0000-0000957A0000}"/>
    <cellStyle name="Remarque 2 6 4 3 5 2 2" xfId="55880" xr:uid="{00000000-0005-0000-0000-0000967A0000}"/>
    <cellStyle name="Remarque 2 6 4 3 5 3" xfId="19167" xr:uid="{00000000-0005-0000-0000-0000977A0000}"/>
    <cellStyle name="Remarque 2 6 4 3 5 4" xfId="43127" xr:uid="{00000000-0005-0000-0000-0000987A0000}"/>
    <cellStyle name="Remarque 2 6 4 3 6" xfId="9291" xr:uid="{00000000-0005-0000-0000-0000997A0000}"/>
    <cellStyle name="Remarque 2 6 4 3 6 2" xfId="33305" xr:uid="{00000000-0005-0000-0000-00009A7A0000}"/>
    <cellStyle name="Remarque 2 6 4 3 6 2 2" xfId="57265" xr:uid="{00000000-0005-0000-0000-00009B7A0000}"/>
    <cellStyle name="Remarque 2 6 4 3 6 3" xfId="20552" xr:uid="{00000000-0005-0000-0000-00009C7A0000}"/>
    <cellStyle name="Remarque 2 6 4 3 6 4" xfId="44512" xr:uid="{00000000-0005-0000-0000-00009D7A0000}"/>
    <cellStyle name="Remarque 2 6 4 3 7" xfId="10748" xr:uid="{00000000-0005-0000-0000-00009E7A0000}"/>
    <cellStyle name="Remarque 2 6 4 3 7 2" xfId="34758" xr:uid="{00000000-0005-0000-0000-00009F7A0000}"/>
    <cellStyle name="Remarque 2 6 4 3 7 2 2" xfId="58718" xr:uid="{00000000-0005-0000-0000-0000A07A0000}"/>
    <cellStyle name="Remarque 2 6 4 3 7 3" xfId="22015" xr:uid="{00000000-0005-0000-0000-0000A17A0000}"/>
    <cellStyle name="Remarque 2 6 4 3 7 4" xfId="45975" xr:uid="{00000000-0005-0000-0000-0000A27A0000}"/>
    <cellStyle name="Remarque 2 6 4 3 8" xfId="11772" xr:uid="{00000000-0005-0000-0000-0000A37A0000}"/>
    <cellStyle name="Remarque 2 6 4 3 8 2" xfId="23045" xr:uid="{00000000-0005-0000-0000-0000A47A0000}"/>
    <cellStyle name="Remarque 2 6 4 3 8 3" xfId="47005" xr:uid="{00000000-0005-0000-0000-0000A57A0000}"/>
    <cellStyle name="Remarque 2 6 4 3 9" xfId="2220" xr:uid="{00000000-0005-0000-0000-0000A67A0000}"/>
    <cellStyle name="Remarque 2 6 4 3 9 2" xfId="26234" xr:uid="{00000000-0005-0000-0000-0000A77A0000}"/>
    <cellStyle name="Remarque 2 6 4 3 9 3" xfId="50194" xr:uid="{00000000-0005-0000-0000-0000A87A0000}"/>
    <cellStyle name="Remarque 2 6 4 4" xfId="978" xr:uid="{00000000-0005-0000-0000-0000A97A0000}"/>
    <cellStyle name="Remarque 2 6 4 4 10" xfId="25010" xr:uid="{00000000-0005-0000-0000-0000AA7A0000}"/>
    <cellStyle name="Remarque 2 6 4 4 10 2" xfId="48970" xr:uid="{00000000-0005-0000-0000-0000AB7A0000}"/>
    <cellStyle name="Remarque 2 6 4 4 11" xfId="36724" xr:uid="{00000000-0005-0000-0000-0000AC7A0000}"/>
    <cellStyle name="Remarque 2 6 4 4 11 2" xfId="60684" xr:uid="{00000000-0005-0000-0000-0000AD7A0000}"/>
    <cellStyle name="Remarque 2 6 4 4 12" xfId="13675" xr:uid="{00000000-0005-0000-0000-0000AE7A0000}"/>
    <cellStyle name="Remarque 2 6 4 4 13" xfId="37635" xr:uid="{00000000-0005-0000-0000-0000AF7A0000}"/>
    <cellStyle name="Remarque 2 6 4 4 2" xfId="3884" xr:uid="{00000000-0005-0000-0000-0000B07A0000}"/>
    <cellStyle name="Remarque 2 6 4 4 2 2" xfId="27898" xr:uid="{00000000-0005-0000-0000-0000B17A0000}"/>
    <cellStyle name="Remarque 2 6 4 4 2 2 2" xfId="51858" xr:uid="{00000000-0005-0000-0000-0000B27A0000}"/>
    <cellStyle name="Remarque 2 6 4 4 2 3" xfId="15145" xr:uid="{00000000-0005-0000-0000-0000B37A0000}"/>
    <cellStyle name="Remarque 2 6 4 4 2 4" xfId="39105" xr:uid="{00000000-0005-0000-0000-0000B47A0000}"/>
    <cellStyle name="Remarque 2 6 4 4 3" xfId="5318" xr:uid="{00000000-0005-0000-0000-0000B57A0000}"/>
    <cellStyle name="Remarque 2 6 4 4 3 2" xfId="29332" xr:uid="{00000000-0005-0000-0000-0000B67A0000}"/>
    <cellStyle name="Remarque 2 6 4 4 3 2 2" xfId="53292" xr:uid="{00000000-0005-0000-0000-0000B77A0000}"/>
    <cellStyle name="Remarque 2 6 4 4 3 3" xfId="16579" xr:uid="{00000000-0005-0000-0000-0000B87A0000}"/>
    <cellStyle name="Remarque 2 6 4 4 3 4" xfId="40539" xr:uid="{00000000-0005-0000-0000-0000B97A0000}"/>
    <cellStyle name="Remarque 2 6 4 4 4" xfId="6712" xr:uid="{00000000-0005-0000-0000-0000BA7A0000}"/>
    <cellStyle name="Remarque 2 6 4 4 4 2" xfId="30726" xr:uid="{00000000-0005-0000-0000-0000BB7A0000}"/>
    <cellStyle name="Remarque 2 6 4 4 4 2 2" xfId="54686" xr:uid="{00000000-0005-0000-0000-0000BC7A0000}"/>
    <cellStyle name="Remarque 2 6 4 4 4 3" xfId="17973" xr:uid="{00000000-0005-0000-0000-0000BD7A0000}"/>
    <cellStyle name="Remarque 2 6 4 4 4 4" xfId="41933" xr:uid="{00000000-0005-0000-0000-0000BE7A0000}"/>
    <cellStyle name="Remarque 2 6 4 4 5" xfId="8100" xr:uid="{00000000-0005-0000-0000-0000BF7A0000}"/>
    <cellStyle name="Remarque 2 6 4 4 5 2" xfId="32114" xr:uid="{00000000-0005-0000-0000-0000C07A0000}"/>
    <cellStyle name="Remarque 2 6 4 4 5 2 2" xfId="56074" xr:uid="{00000000-0005-0000-0000-0000C17A0000}"/>
    <cellStyle name="Remarque 2 6 4 4 5 3" xfId="19361" xr:uid="{00000000-0005-0000-0000-0000C27A0000}"/>
    <cellStyle name="Remarque 2 6 4 4 5 4" xfId="43321" xr:uid="{00000000-0005-0000-0000-0000C37A0000}"/>
    <cellStyle name="Remarque 2 6 4 4 6" xfId="9485" xr:uid="{00000000-0005-0000-0000-0000C47A0000}"/>
    <cellStyle name="Remarque 2 6 4 4 6 2" xfId="33499" xr:uid="{00000000-0005-0000-0000-0000C57A0000}"/>
    <cellStyle name="Remarque 2 6 4 4 6 2 2" xfId="57459" xr:uid="{00000000-0005-0000-0000-0000C67A0000}"/>
    <cellStyle name="Remarque 2 6 4 4 6 3" xfId="20746" xr:uid="{00000000-0005-0000-0000-0000C77A0000}"/>
    <cellStyle name="Remarque 2 6 4 4 6 4" xfId="44706" xr:uid="{00000000-0005-0000-0000-0000C87A0000}"/>
    <cellStyle name="Remarque 2 6 4 4 7" xfId="10942" xr:uid="{00000000-0005-0000-0000-0000C97A0000}"/>
    <cellStyle name="Remarque 2 6 4 4 7 2" xfId="34952" xr:uid="{00000000-0005-0000-0000-0000CA7A0000}"/>
    <cellStyle name="Remarque 2 6 4 4 7 2 2" xfId="58912" xr:uid="{00000000-0005-0000-0000-0000CB7A0000}"/>
    <cellStyle name="Remarque 2 6 4 4 7 3" xfId="22209" xr:uid="{00000000-0005-0000-0000-0000CC7A0000}"/>
    <cellStyle name="Remarque 2 6 4 4 7 4" xfId="46169" xr:uid="{00000000-0005-0000-0000-0000CD7A0000}"/>
    <cellStyle name="Remarque 2 6 4 4 8" xfId="12644" xr:uid="{00000000-0005-0000-0000-0000CE7A0000}"/>
    <cellStyle name="Remarque 2 6 4 4 8 2" xfId="23949" xr:uid="{00000000-0005-0000-0000-0000CF7A0000}"/>
    <cellStyle name="Remarque 2 6 4 4 8 3" xfId="47909" xr:uid="{00000000-0005-0000-0000-0000D07A0000}"/>
    <cellStyle name="Remarque 2 6 4 4 9" xfId="2414" xr:uid="{00000000-0005-0000-0000-0000D17A0000}"/>
    <cellStyle name="Remarque 2 6 4 4 9 2" xfId="26428" xr:uid="{00000000-0005-0000-0000-0000D27A0000}"/>
    <cellStyle name="Remarque 2 6 4 4 9 3" xfId="50388" xr:uid="{00000000-0005-0000-0000-0000D37A0000}"/>
    <cellStyle name="Remarque 2 6 4 5" xfId="1171" xr:uid="{00000000-0005-0000-0000-0000D47A0000}"/>
    <cellStyle name="Remarque 2 6 4 5 10" xfId="25203" xr:uid="{00000000-0005-0000-0000-0000D57A0000}"/>
    <cellStyle name="Remarque 2 6 4 5 10 2" xfId="49163" xr:uid="{00000000-0005-0000-0000-0000D67A0000}"/>
    <cellStyle name="Remarque 2 6 4 5 11" xfId="36647" xr:uid="{00000000-0005-0000-0000-0000D77A0000}"/>
    <cellStyle name="Remarque 2 6 4 5 11 2" xfId="60607" xr:uid="{00000000-0005-0000-0000-0000D87A0000}"/>
    <cellStyle name="Remarque 2 6 4 5 12" xfId="13868" xr:uid="{00000000-0005-0000-0000-0000D97A0000}"/>
    <cellStyle name="Remarque 2 6 4 5 13" xfId="37828" xr:uid="{00000000-0005-0000-0000-0000DA7A0000}"/>
    <cellStyle name="Remarque 2 6 4 5 2" xfId="4077" xr:uid="{00000000-0005-0000-0000-0000DB7A0000}"/>
    <cellStyle name="Remarque 2 6 4 5 2 2" xfId="28091" xr:uid="{00000000-0005-0000-0000-0000DC7A0000}"/>
    <cellStyle name="Remarque 2 6 4 5 2 2 2" xfId="52051" xr:uid="{00000000-0005-0000-0000-0000DD7A0000}"/>
    <cellStyle name="Remarque 2 6 4 5 2 3" xfId="15338" xr:uid="{00000000-0005-0000-0000-0000DE7A0000}"/>
    <cellStyle name="Remarque 2 6 4 5 2 4" xfId="39298" xr:uid="{00000000-0005-0000-0000-0000DF7A0000}"/>
    <cellStyle name="Remarque 2 6 4 5 3" xfId="5511" xr:uid="{00000000-0005-0000-0000-0000E07A0000}"/>
    <cellStyle name="Remarque 2 6 4 5 3 2" xfId="29525" xr:uid="{00000000-0005-0000-0000-0000E17A0000}"/>
    <cellStyle name="Remarque 2 6 4 5 3 2 2" xfId="53485" xr:uid="{00000000-0005-0000-0000-0000E27A0000}"/>
    <cellStyle name="Remarque 2 6 4 5 3 3" xfId="16772" xr:uid="{00000000-0005-0000-0000-0000E37A0000}"/>
    <cellStyle name="Remarque 2 6 4 5 3 4" xfId="40732" xr:uid="{00000000-0005-0000-0000-0000E47A0000}"/>
    <cellStyle name="Remarque 2 6 4 5 4" xfId="6905" xr:uid="{00000000-0005-0000-0000-0000E57A0000}"/>
    <cellStyle name="Remarque 2 6 4 5 4 2" xfId="30919" xr:uid="{00000000-0005-0000-0000-0000E67A0000}"/>
    <cellStyle name="Remarque 2 6 4 5 4 2 2" xfId="54879" xr:uid="{00000000-0005-0000-0000-0000E77A0000}"/>
    <cellStyle name="Remarque 2 6 4 5 4 3" xfId="18166" xr:uid="{00000000-0005-0000-0000-0000E87A0000}"/>
    <cellStyle name="Remarque 2 6 4 5 4 4" xfId="42126" xr:uid="{00000000-0005-0000-0000-0000E97A0000}"/>
    <cellStyle name="Remarque 2 6 4 5 5" xfId="8293" xr:uid="{00000000-0005-0000-0000-0000EA7A0000}"/>
    <cellStyle name="Remarque 2 6 4 5 5 2" xfId="32307" xr:uid="{00000000-0005-0000-0000-0000EB7A0000}"/>
    <cellStyle name="Remarque 2 6 4 5 5 2 2" xfId="56267" xr:uid="{00000000-0005-0000-0000-0000EC7A0000}"/>
    <cellStyle name="Remarque 2 6 4 5 5 3" xfId="19554" xr:uid="{00000000-0005-0000-0000-0000ED7A0000}"/>
    <cellStyle name="Remarque 2 6 4 5 5 4" xfId="43514" xr:uid="{00000000-0005-0000-0000-0000EE7A0000}"/>
    <cellStyle name="Remarque 2 6 4 5 6" xfId="9678" xr:uid="{00000000-0005-0000-0000-0000EF7A0000}"/>
    <cellStyle name="Remarque 2 6 4 5 6 2" xfId="33692" xr:uid="{00000000-0005-0000-0000-0000F07A0000}"/>
    <cellStyle name="Remarque 2 6 4 5 6 2 2" xfId="57652" xr:uid="{00000000-0005-0000-0000-0000F17A0000}"/>
    <cellStyle name="Remarque 2 6 4 5 6 3" xfId="20939" xr:uid="{00000000-0005-0000-0000-0000F27A0000}"/>
    <cellStyle name="Remarque 2 6 4 5 6 4" xfId="44899" xr:uid="{00000000-0005-0000-0000-0000F37A0000}"/>
    <cellStyle name="Remarque 2 6 4 5 7" xfId="11135" xr:uid="{00000000-0005-0000-0000-0000F47A0000}"/>
    <cellStyle name="Remarque 2 6 4 5 7 2" xfId="35145" xr:uid="{00000000-0005-0000-0000-0000F57A0000}"/>
    <cellStyle name="Remarque 2 6 4 5 7 2 2" xfId="59105" xr:uid="{00000000-0005-0000-0000-0000F67A0000}"/>
    <cellStyle name="Remarque 2 6 4 5 7 3" xfId="22402" xr:uid="{00000000-0005-0000-0000-0000F77A0000}"/>
    <cellStyle name="Remarque 2 6 4 5 7 4" xfId="46362" xr:uid="{00000000-0005-0000-0000-0000F87A0000}"/>
    <cellStyle name="Remarque 2 6 4 5 8" xfId="12462" xr:uid="{00000000-0005-0000-0000-0000F97A0000}"/>
    <cellStyle name="Remarque 2 6 4 5 8 2" xfId="23757" xr:uid="{00000000-0005-0000-0000-0000FA7A0000}"/>
    <cellStyle name="Remarque 2 6 4 5 8 3" xfId="47717" xr:uid="{00000000-0005-0000-0000-0000FB7A0000}"/>
    <cellStyle name="Remarque 2 6 4 5 9" xfId="2607" xr:uid="{00000000-0005-0000-0000-0000FC7A0000}"/>
    <cellStyle name="Remarque 2 6 4 5 9 2" xfId="26621" xr:uid="{00000000-0005-0000-0000-0000FD7A0000}"/>
    <cellStyle name="Remarque 2 6 4 5 9 3" xfId="50581" xr:uid="{00000000-0005-0000-0000-0000FE7A0000}"/>
    <cellStyle name="Remarque 2 6 4 6" xfId="1338" xr:uid="{00000000-0005-0000-0000-0000FF7A0000}"/>
    <cellStyle name="Remarque 2 6 4 6 10" xfId="25370" xr:uid="{00000000-0005-0000-0000-0000007B0000}"/>
    <cellStyle name="Remarque 2 6 4 6 10 2" xfId="49330" xr:uid="{00000000-0005-0000-0000-0000017B0000}"/>
    <cellStyle name="Remarque 2 6 4 6 11" xfId="36360" xr:uid="{00000000-0005-0000-0000-0000027B0000}"/>
    <cellStyle name="Remarque 2 6 4 6 11 2" xfId="60320" xr:uid="{00000000-0005-0000-0000-0000037B0000}"/>
    <cellStyle name="Remarque 2 6 4 6 12" xfId="14035" xr:uid="{00000000-0005-0000-0000-0000047B0000}"/>
    <cellStyle name="Remarque 2 6 4 6 13" xfId="37995" xr:uid="{00000000-0005-0000-0000-0000057B0000}"/>
    <cellStyle name="Remarque 2 6 4 6 2" xfId="4244" xr:uid="{00000000-0005-0000-0000-0000067B0000}"/>
    <cellStyle name="Remarque 2 6 4 6 2 2" xfId="28258" xr:uid="{00000000-0005-0000-0000-0000077B0000}"/>
    <cellStyle name="Remarque 2 6 4 6 2 2 2" xfId="52218" xr:uid="{00000000-0005-0000-0000-0000087B0000}"/>
    <cellStyle name="Remarque 2 6 4 6 2 3" xfId="15505" xr:uid="{00000000-0005-0000-0000-0000097B0000}"/>
    <cellStyle name="Remarque 2 6 4 6 2 4" xfId="39465" xr:uid="{00000000-0005-0000-0000-00000A7B0000}"/>
    <cellStyle name="Remarque 2 6 4 6 3" xfId="5678" xr:uid="{00000000-0005-0000-0000-00000B7B0000}"/>
    <cellStyle name="Remarque 2 6 4 6 3 2" xfId="29692" xr:uid="{00000000-0005-0000-0000-00000C7B0000}"/>
    <cellStyle name="Remarque 2 6 4 6 3 2 2" xfId="53652" xr:uid="{00000000-0005-0000-0000-00000D7B0000}"/>
    <cellStyle name="Remarque 2 6 4 6 3 3" xfId="16939" xr:uid="{00000000-0005-0000-0000-00000E7B0000}"/>
    <cellStyle name="Remarque 2 6 4 6 3 4" xfId="40899" xr:uid="{00000000-0005-0000-0000-00000F7B0000}"/>
    <cellStyle name="Remarque 2 6 4 6 4" xfId="7072" xr:uid="{00000000-0005-0000-0000-0000107B0000}"/>
    <cellStyle name="Remarque 2 6 4 6 4 2" xfId="31086" xr:uid="{00000000-0005-0000-0000-0000117B0000}"/>
    <cellStyle name="Remarque 2 6 4 6 4 2 2" xfId="55046" xr:uid="{00000000-0005-0000-0000-0000127B0000}"/>
    <cellStyle name="Remarque 2 6 4 6 4 3" xfId="18333" xr:uid="{00000000-0005-0000-0000-0000137B0000}"/>
    <cellStyle name="Remarque 2 6 4 6 4 4" xfId="42293" xr:uid="{00000000-0005-0000-0000-0000147B0000}"/>
    <cellStyle name="Remarque 2 6 4 6 5" xfId="8460" xr:uid="{00000000-0005-0000-0000-0000157B0000}"/>
    <cellStyle name="Remarque 2 6 4 6 5 2" xfId="32474" xr:uid="{00000000-0005-0000-0000-0000167B0000}"/>
    <cellStyle name="Remarque 2 6 4 6 5 2 2" xfId="56434" xr:uid="{00000000-0005-0000-0000-0000177B0000}"/>
    <cellStyle name="Remarque 2 6 4 6 5 3" xfId="19721" xr:uid="{00000000-0005-0000-0000-0000187B0000}"/>
    <cellStyle name="Remarque 2 6 4 6 5 4" xfId="43681" xr:uid="{00000000-0005-0000-0000-0000197B0000}"/>
    <cellStyle name="Remarque 2 6 4 6 6" xfId="9845" xr:uid="{00000000-0005-0000-0000-00001A7B0000}"/>
    <cellStyle name="Remarque 2 6 4 6 6 2" xfId="33859" xr:uid="{00000000-0005-0000-0000-00001B7B0000}"/>
    <cellStyle name="Remarque 2 6 4 6 6 2 2" xfId="57819" xr:uid="{00000000-0005-0000-0000-00001C7B0000}"/>
    <cellStyle name="Remarque 2 6 4 6 6 3" xfId="21106" xr:uid="{00000000-0005-0000-0000-00001D7B0000}"/>
    <cellStyle name="Remarque 2 6 4 6 6 4" xfId="45066" xr:uid="{00000000-0005-0000-0000-00001E7B0000}"/>
    <cellStyle name="Remarque 2 6 4 6 7" xfId="11302" xr:uid="{00000000-0005-0000-0000-00001F7B0000}"/>
    <cellStyle name="Remarque 2 6 4 6 7 2" xfId="35312" xr:uid="{00000000-0005-0000-0000-0000207B0000}"/>
    <cellStyle name="Remarque 2 6 4 6 7 2 2" xfId="59272" xr:uid="{00000000-0005-0000-0000-0000217B0000}"/>
    <cellStyle name="Remarque 2 6 4 6 7 3" xfId="22569" xr:uid="{00000000-0005-0000-0000-0000227B0000}"/>
    <cellStyle name="Remarque 2 6 4 6 7 4" xfId="46529" xr:uid="{00000000-0005-0000-0000-0000237B0000}"/>
    <cellStyle name="Remarque 2 6 4 6 8" xfId="12750" xr:uid="{00000000-0005-0000-0000-0000247B0000}"/>
    <cellStyle name="Remarque 2 6 4 6 8 2" xfId="24057" xr:uid="{00000000-0005-0000-0000-0000257B0000}"/>
    <cellStyle name="Remarque 2 6 4 6 8 3" xfId="48017" xr:uid="{00000000-0005-0000-0000-0000267B0000}"/>
    <cellStyle name="Remarque 2 6 4 6 9" xfId="2774" xr:uid="{00000000-0005-0000-0000-0000277B0000}"/>
    <cellStyle name="Remarque 2 6 4 6 9 2" xfId="26788" xr:uid="{00000000-0005-0000-0000-0000287B0000}"/>
    <cellStyle name="Remarque 2 6 4 6 9 3" xfId="50748" xr:uid="{00000000-0005-0000-0000-0000297B0000}"/>
    <cellStyle name="Remarque 2 6 4 7" xfId="1507" xr:uid="{00000000-0005-0000-0000-00002A7B0000}"/>
    <cellStyle name="Remarque 2 6 4 7 10" xfId="25539" xr:uid="{00000000-0005-0000-0000-00002B7B0000}"/>
    <cellStyle name="Remarque 2 6 4 7 10 2" xfId="49499" xr:uid="{00000000-0005-0000-0000-00002C7B0000}"/>
    <cellStyle name="Remarque 2 6 4 7 11" xfId="36550" xr:uid="{00000000-0005-0000-0000-00002D7B0000}"/>
    <cellStyle name="Remarque 2 6 4 7 11 2" xfId="60510" xr:uid="{00000000-0005-0000-0000-00002E7B0000}"/>
    <cellStyle name="Remarque 2 6 4 7 12" xfId="14204" xr:uid="{00000000-0005-0000-0000-00002F7B0000}"/>
    <cellStyle name="Remarque 2 6 4 7 13" xfId="38164" xr:uid="{00000000-0005-0000-0000-0000307B0000}"/>
    <cellStyle name="Remarque 2 6 4 7 2" xfId="4413" xr:uid="{00000000-0005-0000-0000-0000317B0000}"/>
    <cellStyle name="Remarque 2 6 4 7 2 2" xfId="28427" xr:uid="{00000000-0005-0000-0000-0000327B0000}"/>
    <cellStyle name="Remarque 2 6 4 7 2 2 2" xfId="52387" xr:uid="{00000000-0005-0000-0000-0000337B0000}"/>
    <cellStyle name="Remarque 2 6 4 7 2 3" xfId="15674" xr:uid="{00000000-0005-0000-0000-0000347B0000}"/>
    <cellStyle name="Remarque 2 6 4 7 2 4" xfId="39634" xr:uid="{00000000-0005-0000-0000-0000357B0000}"/>
    <cellStyle name="Remarque 2 6 4 7 3" xfId="5847" xr:uid="{00000000-0005-0000-0000-0000367B0000}"/>
    <cellStyle name="Remarque 2 6 4 7 3 2" xfId="29861" xr:uid="{00000000-0005-0000-0000-0000377B0000}"/>
    <cellStyle name="Remarque 2 6 4 7 3 2 2" xfId="53821" xr:uid="{00000000-0005-0000-0000-0000387B0000}"/>
    <cellStyle name="Remarque 2 6 4 7 3 3" xfId="17108" xr:uid="{00000000-0005-0000-0000-0000397B0000}"/>
    <cellStyle name="Remarque 2 6 4 7 3 4" xfId="41068" xr:uid="{00000000-0005-0000-0000-00003A7B0000}"/>
    <cellStyle name="Remarque 2 6 4 7 4" xfId="7241" xr:uid="{00000000-0005-0000-0000-00003B7B0000}"/>
    <cellStyle name="Remarque 2 6 4 7 4 2" xfId="31255" xr:uid="{00000000-0005-0000-0000-00003C7B0000}"/>
    <cellStyle name="Remarque 2 6 4 7 4 2 2" xfId="55215" xr:uid="{00000000-0005-0000-0000-00003D7B0000}"/>
    <cellStyle name="Remarque 2 6 4 7 4 3" xfId="18502" xr:uid="{00000000-0005-0000-0000-00003E7B0000}"/>
    <cellStyle name="Remarque 2 6 4 7 4 4" xfId="42462" xr:uid="{00000000-0005-0000-0000-00003F7B0000}"/>
    <cellStyle name="Remarque 2 6 4 7 5" xfId="8629" xr:uid="{00000000-0005-0000-0000-0000407B0000}"/>
    <cellStyle name="Remarque 2 6 4 7 5 2" xfId="32643" xr:uid="{00000000-0005-0000-0000-0000417B0000}"/>
    <cellStyle name="Remarque 2 6 4 7 5 2 2" xfId="56603" xr:uid="{00000000-0005-0000-0000-0000427B0000}"/>
    <cellStyle name="Remarque 2 6 4 7 5 3" xfId="19890" xr:uid="{00000000-0005-0000-0000-0000437B0000}"/>
    <cellStyle name="Remarque 2 6 4 7 5 4" xfId="43850" xr:uid="{00000000-0005-0000-0000-0000447B0000}"/>
    <cellStyle name="Remarque 2 6 4 7 6" xfId="10014" xr:uid="{00000000-0005-0000-0000-0000457B0000}"/>
    <cellStyle name="Remarque 2 6 4 7 6 2" xfId="34028" xr:uid="{00000000-0005-0000-0000-0000467B0000}"/>
    <cellStyle name="Remarque 2 6 4 7 6 2 2" xfId="57988" xr:uid="{00000000-0005-0000-0000-0000477B0000}"/>
    <cellStyle name="Remarque 2 6 4 7 6 3" xfId="21275" xr:uid="{00000000-0005-0000-0000-0000487B0000}"/>
    <cellStyle name="Remarque 2 6 4 7 6 4" xfId="45235" xr:uid="{00000000-0005-0000-0000-0000497B0000}"/>
    <cellStyle name="Remarque 2 6 4 7 7" xfId="11471" xr:uid="{00000000-0005-0000-0000-00004A7B0000}"/>
    <cellStyle name="Remarque 2 6 4 7 7 2" xfId="35481" xr:uid="{00000000-0005-0000-0000-00004B7B0000}"/>
    <cellStyle name="Remarque 2 6 4 7 7 2 2" xfId="59441" xr:uid="{00000000-0005-0000-0000-00004C7B0000}"/>
    <cellStyle name="Remarque 2 6 4 7 7 3" xfId="22738" xr:uid="{00000000-0005-0000-0000-00004D7B0000}"/>
    <cellStyle name="Remarque 2 6 4 7 7 4" xfId="46698" xr:uid="{00000000-0005-0000-0000-00004E7B0000}"/>
    <cellStyle name="Remarque 2 6 4 7 8" xfId="12073" xr:uid="{00000000-0005-0000-0000-00004F7B0000}"/>
    <cellStyle name="Remarque 2 6 4 7 8 2" xfId="23354" xr:uid="{00000000-0005-0000-0000-0000507B0000}"/>
    <cellStyle name="Remarque 2 6 4 7 8 3" xfId="47314" xr:uid="{00000000-0005-0000-0000-0000517B0000}"/>
    <cellStyle name="Remarque 2 6 4 7 9" xfId="2943" xr:uid="{00000000-0005-0000-0000-0000527B0000}"/>
    <cellStyle name="Remarque 2 6 4 7 9 2" xfId="26957" xr:uid="{00000000-0005-0000-0000-0000537B0000}"/>
    <cellStyle name="Remarque 2 6 4 7 9 3" xfId="50917" xr:uid="{00000000-0005-0000-0000-0000547B0000}"/>
    <cellStyle name="Remarque 2 6 4 8" xfId="3362" xr:uid="{00000000-0005-0000-0000-0000557B0000}"/>
    <cellStyle name="Remarque 2 6 4 8 2" xfId="27376" xr:uid="{00000000-0005-0000-0000-0000567B0000}"/>
    <cellStyle name="Remarque 2 6 4 8 2 2" xfId="51336" xr:uid="{00000000-0005-0000-0000-0000577B0000}"/>
    <cellStyle name="Remarque 2 6 4 8 3" xfId="14623" xr:uid="{00000000-0005-0000-0000-0000587B0000}"/>
    <cellStyle name="Remarque 2 6 4 8 4" xfId="38583" xr:uid="{00000000-0005-0000-0000-0000597B0000}"/>
    <cellStyle name="Remarque 2 6 4 9" xfId="4796" xr:uid="{00000000-0005-0000-0000-00005A7B0000}"/>
    <cellStyle name="Remarque 2 6 4 9 2" xfId="28810" xr:uid="{00000000-0005-0000-0000-00005B7B0000}"/>
    <cellStyle name="Remarque 2 6 4 9 2 2" xfId="52770" xr:uid="{00000000-0005-0000-0000-00005C7B0000}"/>
    <cellStyle name="Remarque 2 6 4 9 3" xfId="16057" xr:uid="{00000000-0005-0000-0000-00005D7B0000}"/>
    <cellStyle name="Remarque 2 6 4 9 4" xfId="40017" xr:uid="{00000000-0005-0000-0000-00005E7B0000}"/>
    <cellStyle name="Remarque 2 6 5" xfId="289" xr:uid="{00000000-0005-0000-0000-00005F7B0000}"/>
    <cellStyle name="Remarque 2 6 5 10" xfId="24321" xr:uid="{00000000-0005-0000-0000-0000607B0000}"/>
    <cellStyle name="Remarque 2 6 5 10 2" xfId="48281" xr:uid="{00000000-0005-0000-0000-0000617B0000}"/>
    <cellStyle name="Remarque 2 6 5 11" xfId="35993" xr:uid="{00000000-0005-0000-0000-0000627B0000}"/>
    <cellStyle name="Remarque 2 6 5 11 2" xfId="59953" xr:uid="{00000000-0005-0000-0000-0000637B0000}"/>
    <cellStyle name="Remarque 2 6 5 12" xfId="12986" xr:uid="{00000000-0005-0000-0000-0000647B0000}"/>
    <cellStyle name="Remarque 2 6 5 13" xfId="36946" xr:uid="{00000000-0005-0000-0000-0000657B0000}"/>
    <cellStyle name="Remarque 2 6 5 2" xfId="3195" xr:uid="{00000000-0005-0000-0000-0000667B0000}"/>
    <cellStyle name="Remarque 2 6 5 2 2" xfId="27209" xr:uid="{00000000-0005-0000-0000-0000677B0000}"/>
    <cellStyle name="Remarque 2 6 5 2 2 2" xfId="51169" xr:uid="{00000000-0005-0000-0000-0000687B0000}"/>
    <cellStyle name="Remarque 2 6 5 2 3" xfId="14456" xr:uid="{00000000-0005-0000-0000-0000697B0000}"/>
    <cellStyle name="Remarque 2 6 5 2 4" xfId="38416" xr:uid="{00000000-0005-0000-0000-00006A7B0000}"/>
    <cellStyle name="Remarque 2 6 5 3" xfId="4629" xr:uid="{00000000-0005-0000-0000-00006B7B0000}"/>
    <cellStyle name="Remarque 2 6 5 3 2" xfId="28643" xr:uid="{00000000-0005-0000-0000-00006C7B0000}"/>
    <cellStyle name="Remarque 2 6 5 3 2 2" xfId="52603" xr:uid="{00000000-0005-0000-0000-00006D7B0000}"/>
    <cellStyle name="Remarque 2 6 5 3 3" xfId="15890" xr:uid="{00000000-0005-0000-0000-00006E7B0000}"/>
    <cellStyle name="Remarque 2 6 5 3 4" xfId="39850" xr:uid="{00000000-0005-0000-0000-00006F7B0000}"/>
    <cellStyle name="Remarque 2 6 5 4" xfId="6023" xr:uid="{00000000-0005-0000-0000-0000707B0000}"/>
    <cellStyle name="Remarque 2 6 5 4 2" xfId="30037" xr:uid="{00000000-0005-0000-0000-0000717B0000}"/>
    <cellStyle name="Remarque 2 6 5 4 2 2" xfId="53997" xr:uid="{00000000-0005-0000-0000-0000727B0000}"/>
    <cellStyle name="Remarque 2 6 5 4 3" xfId="17284" xr:uid="{00000000-0005-0000-0000-0000737B0000}"/>
    <cellStyle name="Remarque 2 6 5 4 4" xfId="41244" xr:uid="{00000000-0005-0000-0000-0000747B0000}"/>
    <cellStyle name="Remarque 2 6 5 5" xfId="7411" xr:uid="{00000000-0005-0000-0000-0000757B0000}"/>
    <cellStyle name="Remarque 2 6 5 5 2" xfId="31425" xr:uid="{00000000-0005-0000-0000-0000767B0000}"/>
    <cellStyle name="Remarque 2 6 5 5 2 2" xfId="55385" xr:uid="{00000000-0005-0000-0000-0000777B0000}"/>
    <cellStyle name="Remarque 2 6 5 5 3" xfId="18672" xr:uid="{00000000-0005-0000-0000-0000787B0000}"/>
    <cellStyle name="Remarque 2 6 5 5 4" xfId="42632" xr:uid="{00000000-0005-0000-0000-0000797B0000}"/>
    <cellStyle name="Remarque 2 6 5 6" xfId="8796" xr:uid="{00000000-0005-0000-0000-00007A7B0000}"/>
    <cellStyle name="Remarque 2 6 5 6 2" xfId="32810" xr:uid="{00000000-0005-0000-0000-00007B7B0000}"/>
    <cellStyle name="Remarque 2 6 5 6 2 2" xfId="56770" xr:uid="{00000000-0005-0000-0000-00007C7B0000}"/>
    <cellStyle name="Remarque 2 6 5 6 3" xfId="20057" xr:uid="{00000000-0005-0000-0000-00007D7B0000}"/>
    <cellStyle name="Remarque 2 6 5 6 4" xfId="44017" xr:uid="{00000000-0005-0000-0000-00007E7B0000}"/>
    <cellStyle name="Remarque 2 6 5 7" xfId="10253" xr:uid="{00000000-0005-0000-0000-00007F7B0000}"/>
    <cellStyle name="Remarque 2 6 5 7 2" xfId="34263" xr:uid="{00000000-0005-0000-0000-0000807B0000}"/>
    <cellStyle name="Remarque 2 6 5 7 2 2" xfId="58223" xr:uid="{00000000-0005-0000-0000-0000817B0000}"/>
    <cellStyle name="Remarque 2 6 5 7 3" xfId="21520" xr:uid="{00000000-0005-0000-0000-0000827B0000}"/>
    <cellStyle name="Remarque 2 6 5 7 4" xfId="45480" xr:uid="{00000000-0005-0000-0000-0000837B0000}"/>
    <cellStyle name="Remarque 2 6 5 8" xfId="11602" xr:uid="{00000000-0005-0000-0000-0000847B0000}"/>
    <cellStyle name="Remarque 2 6 5 8 2" xfId="22869" xr:uid="{00000000-0005-0000-0000-0000857B0000}"/>
    <cellStyle name="Remarque 2 6 5 8 3" xfId="46829" xr:uid="{00000000-0005-0000-0000-0000867B0000}"/>
    <cellStyle name="Remarque 2 6 5 9" xfId="1725" xr:uid="{00000000-0005-0000-0000-0000877B0000}"/>
    <cellStyle name="Remarque 2 6 5 9 2" xfId="25739" xr:uid="{00000000-0005-0000-0000-0000887B0000}"/>
    <cellStyle name="Remarque 2 6 5 9 3" xfId="49699" xr:uid="{00000000-0005-0000-0000-0000897B0000}"/>
    <cellStyle name="Remarque 2 6 6" xfId="649" xr:uid="{00000000-0005-0000-0000-00008A7B0000}"/>
    <cellStyle name="Remarque 2 6 6 10" xfId="24681" xr:uid="{00000000-0005-0000-0000-00008B7B0000}"/>
    <cellStyle name="Remarque 2 6 6 10 2" xfId="48641" xr:uid="{00000000-0005-0000-0000-00008C7B0000}"/>
    <cellStyle name="Remarque 2 6 6 11" xfId="36002" xr:uid="{00000000-0005-0000-0000-00008D7B0000}"/>
    <cellStyle name="Remarque 2 6 6 11 2" xfId="59962" xr:uid="{00000000-0005-0000-0000-00008E7B0000}"/>
    <cellStyle name="Remarque 2 6 6 12" xfId="13346" xr:uid="{00000000-0005-0000-0000-00008F7B0000}"/>
    <cellStyle name="Remarque 2 6 6 13" xfId="37306" xr:uid="{00000000-0005-0000-0000-0000907B0000}"/>
    <cellStyle name="Remarque 2 6 6 2" xfId="3555" xr:uid="{00000000-0005-0000-0000-0000917B0000}"/>
    <cellStyle name="Remarque 2 6 6 2 2" xfId="27569" xr:uid="{00000000-0005-0000-0000-0000927B0000}"/>
    <cellStyle name="Remarque 2 6 6 2 2 2" xfId="51529" xr:uid="{00000000-0005-0000-0000-0000937B0000}"/>
    <cellStyle name="Remarque 2 6 6 2 3" xfId="14816" xr:uid="{00000000-0005-0000-0000-0000947B0000}"/>
    <cellStyle name="Remarque 2 6 6 2 4" xfId="38776" xr:uid="{00000000-0005-0000-0000-0000957B0000}"/>
    <cellStyle name="Remarque 2 6 6 3" xfId="4989" xr:uid="{00000000-0005-0000-0000-0000967B0000}"/>
    <cellStyle name="Remarque 2 6 6 3 2" xfId="29003" xr:uid="{00000000-0005-0000-0000-0000977B0000}"/>
    <cellStyle name="Remarque 2 6 6 3 2 2" xfId="52963" xr:uid="{00000000-0005-0000-0000-0000987B0000}"/>
    <cellStyle name="Remarque 2 6 6 3 3" xfId="16250" xr:uid="{00000000-0005-0000-0000-0000997B0000}"/>
    <cellStyle name="Remarque 2 6 6 3 4" xfId="40210" xr:uid="{00000000-0005-0000-0000-00009A7B0000}"/>
    <cellStyle name="Remarque 2 6 6 4" xfId="6383" xr:uid="{00000000-0005-0000-0000-00009B7B0000}"/>
    <cellStyle name="Remarque 2 6 6 4 2" xfId="30397" xr:uid="{00000000-0005-0000-0000-00009C7B0000}"/>
    <cellStyle name="Remarque 2 6 6 4 2 2" xfId="54357" xr:uid="{00000000-0005-0000-0000-00009D7B0000}"/>
    <cellStyle name="Remarque 2 6 6 4 3" xfId="17644" xr:uid="{00000000-0005-0000-0000-00009E7B0000}"/>
    <cellStyle name="Remarque 2 6 6 4 4" xfId="41604" xr:uid="{00000000-0005-0000-0000-00009F7B0000}"/>
    <cellStyle name="Remarque 2 6 6 5" xfId="7771" xr:uid="{00000000-0005-0000-0000-0000A07B0000}"/>
    <cellStyle name="Remarque 2 6 6 5 2" xfId="31785" xr:uid="{00000000-0005-0000-0000-0000A17B0000}"/>
    <cellStyle name="Remarque 2 6 6 5 2 2" xfId="55745" xr:uid="{00000000-0005-0000-0000-0000A27B0000}"/>
    <cellStyle name="Remarque 2 6 6 5 3" xfId="19032" xr:uid="{00000000-0005-0000-0000-0000A37B0000}"/>
    <cellStyle name="Remarque 2 6 6 5 4" xfId="42992" xr:uid="{00000000-0005-0000-0000-0000A47B0000}"/>
    <cellStyle name="Remarque 2 6 6 6" xfId="9156" xr:uid="{00000000-0005-0000-0000-0000A57B0000}"/>
    <cellStyle name="Remarque 2 6 6 6 2" xfId="33170" xr:uid="{00000000-0005-0000-0000-0000A67B0000}"/>
    <cellStyle name="Remarque 2 6 6 6 2 2" xfId="57130" xr:uid="{00000000-0005-0000-0000-0000A77B0000}"/>
    <cellStyle name="Remarque 2 6 6 6 3" xfId="20417" xr:uid="{00000000-0005-0000-0000-0000A87B0000}"/>
    <cellStyle name="Remarque 2 6 6 6 4" xfId="44377" xr:uid="{00000000-0005-0000-0000-0000A97B0000}"/>
    <cellStyle name="Remarque 2 6 6 7" xfId="10613" xr:uid="{00000000-0005-0000-0000-0000AA7B0000}"/>
    <cellStyle name="Remarque 2 6 6 7 2" xfId="34623" xr:uid="{00000000-0005-0000-0000-0000AB7B0000}"/>
    <cellStyle name="Remarque 2 6 6 7 2 2" xfId="58583" xr:uid="{00000000-0005-0000-0000-0000AC7B0000}"/>
    <cellStyle name="Remarque 2 6 6 7 3" xfId="21880" xr:uid="{00000000-0005-0000-0000-0000AD7B0000}"/>
    <cellStyle name="Remarque 2 6 6 7 4" xfId="45840" xr:uid="{00000000-0005-0000-0000-0000AE7B0000}"/>
    <cellStyle name="Remarque 2 6 6 8" xfId="12182" xr:uid="{00000000-0005-0000-0000-0000AF7B0000}"/>
    <cellStyle name="Remarque 2 6 6 8 2" xfId="23465" xr:uid="{00000000-0005-0000-0000-0000B07B0000}"/>
    <cellStyle name="Remarque 2 6 6 8 3" xfId="47425" xr:uid="{00000000-0005-0000-0000-0000B17B0000}"/>
    <cellStyle name="Remarque 2 6 6 9" xfId="2085" xr:uid="{00000000-0005-0000-0000-0000B27B0000}"/>
    <cellStyle name="Remarque 2 6 6 9 2" xfId="26099" xr:uid="{00000000-0005-0000-0000-0000B37B0000}"/>
    <cellStyle name="Remarque 2 6 6 9 3" xfId="50059" xr:uid="{00000000-0005-0000-0000-0000B47B0000}"/>
    <cellStyle name="Remarque 2 6 7" xfId="843" xr:uid="{00000000-0005-0000-0000-0000B57B0000}"/>
    <cellStyle name="Remarque 2 6 7 10" xfId="24875" xr:uid="{00000000-0005-0000-0000-0000B67B0000}"/>
    <cellStyle name="Remarque 2 6 7 10 2" xfId="48835" xr:uid="{00000000-0005-0000-0000-0000B77B0000}"/>
    <cellStyle name="Remarque 2 6 7 11" xfId="35628" xr:uid="{00000000-0005-0000-0000-0000B87B0000}"/>
    <cellStyle name="Remarque 2 6 7 11 2" xfId="59588" xr:uid="{00000000-0005-0000-0000-0000B97B0000}"/>
    <cellStyle name="Remarque 2 6 7 12" xfId="13540" xr:uid="{00000000-0005-0000-0000-0000BA7B0000}"/>
    <cellStyle name="Remarque 2 6 7 13" xfId="37500" xr:uid="{00000000-0005-0000-0000-0000BB7B0000}"/>
    <cellStyle name="Remarque 2 6 7 2" xfId="3749" xr:uid="{00000000-0005-0000-0000-0000BC7B0000}"/>
    <cellStyle name="Remarque 2 6 7 2 2" xfId="27763" xr:uid="{00000000-0005-0000-0000-0000BD7B0000}"/>
    <cellStyle name="Remarque 2 6 7 2 2 2" xfId="51723" xr:uid="{00000000-0005-0000-0000-0000BE7B0000}"/>
    <cellStyle name="Remarque 2 6 7 2 3" xfId="15010" xr:uid="{00000000-0005-0000-0000-0000BF7B0000}"/>
    <cellStyle name="Remarque 2 6 7 2 4" xfId="38970" xr:uid="{00000000-0005-0000-0000-0000C07B0000}"/>
    <cellStyle name="Remarque 2 6 7 3" xfId="5183" xr:uid="{00000000-0005-0000-0000-0000C17B0000}"/>
    <cellStyle name="Remarque 2 6 7 3 2" xfId="29197" xr:uid="{00000000-0005-0000-0000-0000C27B0000}"/>
    <cellStyle name="Remarque 2 6 7 3 2 2" xfId="53157" xr:uid="{00000000-0005-0000-0000-0000C37B0000}"/>
    <cellStyle name="Remarque 2 6 7 3 3" xfId="16444" xr:uid="{00000000-0005-0000-0000-0000C47B0000}"/>
    <cellStyle name="Remarque 2 6 7 3 4" xfId="40404" xr:uid="{00000000-0005-0000-0000-0000C57B0000}"/>
    <cellStyle name="Remarque 2 6 7 4" xfId="6577" xr:uid="{00000000-0005-0000-0000-0000C67B0000}"/>
    <cellStyle name="Remarque 2 6 7 4 2" xfId="30591" xr:uid="{00000000-0005-0000-0000-0000C77B0000}"/>
    <cellStyle name="Remarque 2 6 7 4 2 2" xfId="54551" xr:uid="{00000000-0005-0000-0000-0000C87B0000}"/>
    <cellStyle name="Remarque 2 6 7 4 3" xfId="17838" xr:uid="{00000000-0005-0000-0000-0000C97B0000}"/>
    <cellStyle name="Remarque 2 6 7 4 4" xfId="41798" xr:uid="{00000000-0005-0000-0000-0000CA7B0000}"/>
    <cellStyle name="Remarque 2 6 7 5" xfId="7965" xr:uid="{00000000-0005-0000-0000-0000CB7B0000}"/>
    <cellStyle name="Remarque 2 6 7 5 2" xfId="31979" xr:uid="{00000000-0005-0000-0000-0000CC7B0000}"/>
    <cellStyle name="Remarque 2 6 7 5 2 2" xfId="55939" xr:uid="{00000000-0005-0000-0000-0000CD7B0000}"/>
    <cellStyle name="Remarque 2 6 7 5 3" xfId="19226" xr:uid="{00000000-0005-0000-0000-0000CE7B0000}"/>
    <cellStyle name="Remarque 2 6 7 5 4" xfId="43186" xr:uid="{00000000-0005-0000-0000-0000CF7B0000}"/>
    <cellStyle name="Remarque 2 6 7 6" xfId="9350" xr:uid="{00000000-0005-0000-0000-0000D07B0000}"/>
    <cellStyle name="Remarque 2 6 7 6 2" xfId="33364" xr:uid="{00000000-0005-0000-0000-0000D17B0000}"/>
    <cellStyle name="Remarque 2 6 7 6 2 2" xfId="57324" xr:uid="{00000000-0005-0000-0000-0000D27B0000}"/>
    <cellStyle name="Remarque 2 6 7 6 3" xfId="20611" xr:uid="{00000000-0005-0000-0000-0000D37B0000}"/>
    <cellStyle name="Remarque 2 6 7 6 4" xfId="44571" xr:uid="{00000000-0005-0000-0000-0000D47B0000}"/>
    <cellStyle name="Remarque 2 6 7 7" xfId="10807" xr:uid="{00000000-0005-0000-0000-0000D57B0000}"/>
    <cellStyle name="Remarque 2 6 7 7 2" xfId="34817" xr:uid="{00000000-0005-0000-0000-0000D67B0000}"/>
    <cellStyle name="Remarque 2 6 7 7 2 2" xfId="58777" xr:uid="{00000000-0005-0000-0000-0000D77B0000}"/>
    <cellStyle name="Remarque 2 6 7 7 3" xfId="22074" xr:uid="{00000000-0005-0000-0000-0000D87B0000}"/>
    <cellStyle name="Remarque 2 6 7 7 4" xfId="46034" xr:uid="{00000000-0005-0000-0000-0000D97B0000}"/>
    <cellStyle name="Remarque 2 6 7 8" xfId="11904" xr:uid="{00000000-0005-0000-0000-0000DA7B0000}"/>
    <cellStyle name="Remarque 2 6 7 8 2" xfId="23181" xr:uid="{00000000-0005-0000-0000-0000DB7B0000}"/>
    <cellStyle name="Remarque 2 6 7 8 3" xfId="47141" xr:uid="{00000000-0005-0000-0000-0000DC7B0000}"/>
    <cellStyle name="Remarque 2 6 7 9" xfId="2279" xr:uid="{00000000-0005-0000-0000-0000DD7B0000}"/>
    <cellStyle name="Remarque 2 6 7 9 2" xfId="26293" xr:uid="{00000000-0005-0000-0000-0000DE7B0000}"/>
    <cellStyle name="Remarque 2 6 7 9 3" xfId="50253" xr:uid="{00000000-0005-0000-0000-0000DF7B0000}"/>
    <cellStyle name="Remarque 2 6 8" xfId="1036" xr:uid="{00000000-0005-0000-0000-0000E07B0000}"/>
    <cellStyle name="Remarque 2 6 8 10" xfId="25068" xr:uid="{00000000-0005-0000-0000-0000E17B0000}"/>
    <cellStyle name="Remarque 2 6 8 10 2" xfId="49028" xr:uid="{00000000-0005-0000-0000-0000E27B0000}"/>
    <cellStyle name="Remarque 2 6 8 11" xfId="36777" xr:uid="{00000000-0005-0000-0000-0000E37B0000}"/>
    <cellStyle name="Remarque 2 6 8 11 2" xfId="60737" xr:uid="{00000000-0005-0000-0000-0000E47B0000}"/>
    <cellStyle name="Remarque 2 6 8 12" xfId="13733" xr:uid="{00000000-0005-0000-0000-0000E57B0000}"/>
    <cellStyle name="Remarque 2 6 8 13" xfId="37693" xr:uid="{00000000-0005-0000-0000-0000E67B0000}"/>
    <cellStyle name="Remarque 2 6 8 2" xfId="3942" xr:uid="{00000000-0005-0000-0000-0000E77B0000}"/>
    <cellStyle name="Remarque 2 6 8 2 2" xfId="27956" xr:uid="{00000000-0005-0000-0000-0000E87B0000}"/>
    <cellStyle name="Remarque 2 6 8 2 2 2" xfId="51916" xr:uid="{00000000-0005-0000-0000-0000E97B0000}"/>
    <cellStyle name="Remarque 2 6 8 2 3" xfId="15203" xr:uid="{00000000-0005-0000-0000-0000EA7B0000}"/>
    <cellStyle name="Remarque 2 6 8 2 4" xfId="39163" xr:uid="{00000000-0005-0000-0000-0000EB7B0000}"/>
    <cellStyle name="Remarque 2 6 8 3" xfId="5376" xr:uid="{00000000-0005-0000-0000-0000EC7B0000}"/>
    <cellStyle name="Remarque 2 6 8 3 2" xfId="29390" xr:uid="{00000000-0005-0000-0000-0000ED7B0000}"/>
    <cellStyle name="Remarque 2 6 8 3 2 2" xfId="53350" xr:uid="{00000000-0005-0000-0000-0000EE7B0000}"/>
    <cellStyle name="Remarque 2 6 8 3 3" xfId="16637" xr:uid="{00000000-0005-0000-0000-0000EF7B0000}"/>
    <cellStyle name="Remarque 2 6 8 3 4" xfId="40597" xr:uid="{00000000-0005-0000-0000-0000F07B0000}"/>
    <cellStyle name="Remarque 2 6 8 4" xfId="6770" xr:uid="{00000000-0005-0000-0000-0000F17B0000}"/>
    <cellStyle name="Remarque 2 6 8 4 2" xfId="30784" xr:uid="{00000000-0005-0000-0000-0000F27B0000}"/>
    <cellStyle name="Remarque 2 6 8 4 2 2" xfId="54744" xr:uid="{00000000-0005-0000-0000-0000F37B0000}"/>
    <cellStyle name="Remarque 2 6 8 4 3" xfId="18031" xr:uid="{00000000-0005-0000-0000-0000F47B0000}"/>
    <cellStyle name="Remarque 2 6 8 4 4" xfId="41991" xr:uid="{00000000-0005-0000-0000-0000F57B0000}"/>
    <cellStyle name="Remarque 2 6 8 5" xfId="8158" xr:uid="{00000000-0005-0000-0000-0000F67B0000}"/>
    <cellStyle name="Remarque 2 6 8 5 2" xfId="32172" xr:uid="{00000000-0005-0000-0000-0000F77B0000}"/>
    <cellStyle name="Remarque 2 6 8 5 2 2" xfId="56132" xr:uid="{00000000-0005-0000-0000-0000F87B0000}"/>
    <cellStyle name="Remarque 2 6 8 5 3" xfId="19419" xr:uid="{00000000-0005-0000-0000-0000F97B0000}"/>
    <cellStyle name="Remarque 2 6 8 5 4" xfId="43379" xr:uid="{00000000-0005-0000-0000-0000FA7B0000}"/>
    <cellStyle name="Remarque 2 6 8 6" xfId="9543" xr:uid="{00000000-0005-0000-0000-0000FB7B0000}"/>
    <cellStyle name="Remarque 2 6 8 6 2" xfId="33557" xr:uid="{00000000-0005-0000-0000-0000FC7B0000}"/>
    <cellStyle name="Remarque 2 6 8 6 2 2" xfId="57517" xr:uid="{00000000-0005-0000-0000-0000FD7B0000}"/>
    <cellStyle name="Remarque 2 6 8 6 3" xfId="20804" xr:uid="{00000000-0005-0000-0000-0000FE7B0000}"/>
    <cellStyle name="Remarque 2 6 8 6 4" xfId="44764" xr:uid="{00000000-0005-0000-0000-0000FF7B0000}"/>
    <cellStyle name="Remarque 2 6 8 7" xfId="11000" xr:uid="{00000000-0005-0000-0000-0000007C0000}"/>
    <cellStyle name="Remarque 2 6 8 7 2" xfId="35010" xr:uid="{00000000-0005-0000-0000-0000017C0000}"/>
    <cellStyle name="Remarque 2 6 8 7 2 2" xfId="58970" xr:uid="{00000000-0005-0000-0000-0000027C0000}"/>
    <cellStyle name="Remarque 2 6 8 7 3" xfId="22267" xr:uid="{00000000-0005-0000-0000-0000037C0000}"/>
    <cellStyle name="Remarque 2 6 8 7 4" xfId="46227" xr:uid="{00000000-0005-0000-0000-0000047C0000}"/>
    <cellStyle name="Remarque 2 6 8 8" xfId="12783" xr:uid="{00000000-0005-0000-0000-0000057C0000}"/>
    <cellStyle name="Remarque 2 6 8 8 2" xfId="24092" xr:uid="{00000000-0005-0000-0000-0000067C0000}"/>
    <cellStyle name="Remarque 2 6 8 8 3" xfId="48052" xr:uid="{00000000-0005-0000-0000-0000077C0000}"/>
    <cellStyle name="Remarque 2 6 8 9" xfId="2472" xr:uid="{00000000-0005-0000-0000-0000087C0000}"/>
    <cellStyle name="Remarque 2 6 8 9 2" xfId="26486" xr:uid="{00000000-0005-0000-0000-0000097C0000}"/>
    <cellStyle name="Remarque 2 6 8 9 3" xfId="50446" xr:uid="{00000000-0005-0000-0000-00000A7C0000}"/>
    <cellStyle name="Remarque 2 6 9" xfId="1222" xr:uid="{00000000-0005-0000-0000-00000B7C0000}"/>
    <cellStyle name="Remarque 2 6 9 10" xfId="25254" xr:uid="{00000000-0005-0000-0000-00000C7C0000}"/>
    <cellStyle name="Remarque 2 6 9 10 2" xfId="49214" xr:uid="{00000000-0005-0000-0000-00000D7C0000}"/>
    <cellStyle name="Remarque 2 6 9 11" xfId="36545" xr:uid="{00000000-0005-0000-0000-00000E7C0000}"/>
    <cellStyle name="Remarque 2 6 9 11 2" xfId="60505" xr:uid="{00000000-0005-0000-0000-00000F7C0000}"/>
    <cellStyle name="Remarque 2 6 9 12" xfId="13919" xr:uid="{00000000-0005-0000-0000-0000107C0000}"/>
    <cellStyle name="Remarque 2 6 9 13" xfId="37879" xr:uid="{00000000-0005-0000-0000-0000117C0000}"/>
    <cellStyle name="Remarque 2 6 9 2" xfId="4128" xr:uid="{00000000-0005-0000-0000-0000127C0000}"/>
    <cellStyle name="Remarque 2 6 9 2 2" xfId="28142" xr:uid="{00000000-0005-0000-0000-0000137C0000}"/>
    <cellStyle name="Remarque 2 6 9 2 2 2" xfId="52102" xr:uid="{00000000-0005-0000-0000-0000147C0000}"/>
    <cellStyle name="Remarque 2 6 9 2 3" xfId="15389" xr:uid="{00000000-0005-0000-0000-0000157C0000}"/>
    <cellStyle name="Remarque 2 6 9 2 4" xfId="39349" xr:uid="{00000000-0005-0000-0000-0000167C0000}"/>
    <cellStyle name="Remarque 2 6 9 3" xfId="5562" xr:uid="{00000000-0005-0000-0000-0000177C0000}"/>
    <cellStyle name="Remarque 2 6 9 3 2" xfId="29576" xr:uid="{00000000-0005-0000-0000-0000187C0000}"/>
    <cellStyle name="Remarque 2 6 9 3 2 2" xfId="53536" xr:uid="{00000000-0005-0000-0000-0000197C0000}"/>
    <cellStyle name="Remarque 2 6 9 3 3" xfId="16823" xr:uid="{00000000-0005-0000-0000-00001A7C0000}"/>
    <cellStyle name="Remarque 2 6 9 3 4" xfId="40783" xr:uid="{00000000-0005-0000-0000-00001B7C0000}"/>
    <cellStyle name="Remarque 2 6 9 4" xfId="6956" xr:uid="{00000000-0005-0000-0000-00001C7C0000}"/>
    <cellStyle name="Remarque 2 6 9 4 2" xfId="30970" xr:uid="{00000000-0005-0000-0000-00001D7C0000}"/>
    <cellStyle name="Remarque 2 6 9 4 2 2" xfId="54930" xr:uid="{00000000-0005-0000-0000-00001E7C0000}"/>
    <cellStyle name="Remarque 2 6 9 4 3" xfId="18217" xr:uid="{00000000-0005-0000-0000-00001F7C0000}"/>
    <cellStyle name="Remarque 2 6 9 4 4" xfId="42177" xr:uid="{00000000-0005-0000-0000-0000207C0000}"/>
    <cellStyle name="Remarque 2 6 9 5" xfId="8344" xr:uid="{00000000-0005-0000-0000-0000217C0000}"/>
    <cellStyle name="Remarque 2 6 9 5 2" xfId="32358" xr:uid="{00000000-0005-0000-0000-0000227C0000}"/>
    <cellStyle name="Remarque 2 6 9 5 2 2" xfId="56318" xr:uid="{00000000-0005-0000-0000-0000237C0000}"/>
    <cellStyle name="Remarque 2 6 9 5 3" xfId="19605" xr:uid="{00000000-0005-0000-0000-0000247C0000}"/>
    <cellStyle name="Remarque 2 6 9 5 4" xfId="43565" xr:uid="{00000000-0005-0000-0000-0000257C0000}"/>
    <cellStyle name="Remarque 2 6 9 6" xfId="9729" xr:uid="{00000000-0005-0000-0000-0000267C0000}"/>
    <cellStyle name="Remarque 2 6 9 6 2" xfId="33743" xr:uid="{00000000-0005-0000-0000-0000277C0000}"/>
    <cellStyle name="Remarque 2 6 9 6 2 2" xfId="57703" xr:uid="{00000000-0005-0000-0000-0000287C0000}"/>
    <cellStyle name="Remarque 2 6 9 6 3" xfId="20990" xr:uid="{00000000-0005-0000-0000-0000297C0000}"/>
    <cellStyle name="Remarque 2 6 9 6 4" xfId="44950" xr:uid="{00000000-0005-0000-0000-00002A7C0000}"/>
    <cellStyle name="Remarque 2 6 9 7" xfId="11186" xr:uid="{00000000-0005-0000-0000-00002B7C0000}"/>
    <cellStyle name="Remarque 2 6 9 7 2" xfId="35196" xr:uid="{00000000-0005-0000-0000-00002C7C0000}"/>
    <cellStyle name="Remarque 2 6 9 7 2 2" xfId="59156" xr:uid="{00000000-0005-0000-0000-00002D7C0000}"/>
    <cellStyle name="Remarque 2 6 9 7 3" xfId="22453" xr:uid="{00000000-0005-0000-0000-00002E7C0000}"/>
    <cellStyle name="Remarque 2 6 9 7 4" xfId="46413" xr:uid="{00000000-0005-0000-0000-00002F7C0000}"/>
    <cellStyle name="Remarque 2 6 9 8" xfId="12115" xr:uid="{00000000-0005-0000-0000-0000307C0000}"/>
    <cellStyle name="Remarque 2 6 9 8 2" xfId="23398" xr:uid="{00000000-0005-0000-0000-0000317C0000}"/>
    <cellStyle name="Remarque 2 6 9 8 3" xfId="47358" xr:uid="{00000000-0005-0000-0000-0000327C0000}"/>
    <cellStyle name="Remarque 2 6 9 9" xfId="2658" xr:uid="{00000000-0005-0000-0000-0000337C0000}"/>
    <cellStyle name="Remarque 2 6 9 9 2" xfId="26672" xr:uid="{00000000-0005-0000-0000-0000347C0000}"/>
    <cellStyle name="Remarque 2 6 9 9 3" xfId="50632" xr:uid="{00000000-0005-0000-0000-0000357C0000}"/>
    <cellStyle name="Remarque 2 7" xfId="42" xr:uid="{00000000-0005-0000-0000-0000367C0000}"/>
    <cellStyle name="Remarque 2 7 10" xfId="6117" xr:uid="{00000000-0005-0000-0000-0000377C0000}"/>
    <cellStyle name="Remarque 2 7 10 2" xfId="30131" xr:uid="{00000000-0005-0000-0000-0000387C0000}"/>
    <cellStyle name="Remarque 2 7 10 2 2" xfId="54091" xr:uid="{00000000-0005-0000-0000-0000397C0000}"/>
    <cellStyle name="Remarque 2 7 10 3" xfId="17378" xr:uid="{00000000-0005-0000-0000-00003A7C0000}"/>
    <cellStyle name="Remarque 2 7 10 4" xfId="41338" xr:uid="{00000000-0005-0000-0000-00003B7C0000}"/>
    <cellStyle name="Remarque 2 7 11" xfId="7505" xr:uid="{00000000-0005-0000-0000-00003C7C0000}"/>
    <cellStyle name="Remarque 2 7 11 2" xfId="31519" xr:uid="{00000000-0005-0000-0000-00003D7C0000}"/>
    <cellStyle name="Remarque 2 7 11 2 2" xfId="55479" xr:uid="{00000000-0005-0000-0000-00003E7C0000}"/>
    <cellStyle name="Remarque 2 7 11 3" xfId="18766" xr:uid="{00000000-0005-0000-0000-00003F7C0000}"/>
    <cellStyle name="Remarque 2 7 11 4" xfId="42726" xr:uid="{00000000-0005-0000-0000-0000407C0000}"/>
    <cellStyle name="Remarque 2 7 12" xfId="8890" xr:uid="{00000000-0005-0000-0000-0000417C0000}"/>
    <cellStyle name="Remarque 2 7 12 2" xfId="32904" xr:uid="{00000000-0005-0000-0000-0000427C0000}"/>
    <cellStyle name="Remarque 2 7 12 2 2" xfId="56864" xr:uid="{00000000-0005-0000-0000-0000437C0000}"/>
    <cellStyle name="Remarque 2 7 12 3" xfId="20151" xr:uid="{00000000-0005-0000-0000-0000447C0000}"/>
    <cellStyle name="Remarque 2 7 12 4" xfId="44111" xr:uid="{00000000-0005-0000-0000-0000457C0000}"/>
    <cellStyle name="Remarque 2 7 13" xfId="10347" xr:uid="{00000000-0005-0000-0000-0000467C0000}"/>
    <cellStyle name="Remarque 2 7 13 2" xfId="34357" xr:uid="{00000000-0005-0000-0000-0000477C0000}"/>
    <cellStyle name="Remarque 2 7 13 2 2" xfId="58317" xr:uid="{00000000-0005-0000-0000-0000487C0000}"/>
    <cellStyle name="Remarque 2 7 13 3" xfId="21614" xr:uid="{00000000-0005-0000-0000-0000497C0000}"/>
    <cellStyle name="Remarque 2 7 13 4" xfId="45574" xr:uid="{00000000-0005-0000-0000-00004A7C0000}"/>
    <cellStyle name="Remarque 2 7 14" xfId="12013" xr:uid="{00000000-0005-0000-0000-00004B7C0000}"/>
    <cellStyle name="Remarque 2 7 14 2" xfId="23292" xr:uid="{00000000-0005-0000-0000-00004C7C0000}"/>
    <cellStyle name="Remarque 2 7 14 3" xfId="47252" xr:uid="{00000000-0005-0000-0000-00004D7C0000}"/>
    <cellStyle name="Remarque 2 7 15" xfId="1819" xr:uid="{00000000-0005-0000-0000-00004E7C0000}"/>
    <cellStyle name="Remarque 2 7 15 2" xfId="25833" xr:uid="{00000000-0005-0000-0000-00004F7C0000}"/>
    <cellStyle name="Remarque 2 7 15 3" xfId="49793" xr:uid="{00000000-0005-0000-0000-0000507C0000}"/>
    <cellStyle name="Remarque 2 7 16" xfId="24415" xr:uid="{00000000-0005-0000-0000-0000517C0000}"/>
    <cellStyle name="Remarque 2 7 16 2" xfId="48375" xr:uid="{00000000-0005-0000-0000-0000527C0000}"/>
    <cellStyle name="Remarque 2 7 17" xfId="36638" xr:uid="{00000000-0005-0000-0000-0000537C0000}"/>
    <cellStyle name="Remarque 2 7 17 2" xfId="60598" xr:uid="{00000000-0005-0000-0000-0000547C0000}"/>
    <cellStyle name="Remarque 2 7 18" xfId="13080" xr:uid="{00000000-0005-0000-0000-0000557C0000}"/>
    <cellStyle name="Remarque 2 7 19" xfId="37040" xr:uid="{00000000-0005-0000-0000-0000567C0000}"/>
    <cellStyle name="Remarque 2 7 2" xfId="519" xr:uid="{00000000-0005-0000-0000-0000577C0000}"/>
    <cellStyle name="Remarque 2 7 2 10" xfId="24551" xr:uid="{00000000-0005-0000-0000-0000587C0000}"/>
    <cellStyle name="Remarque 2 7 2 10 2" xfId="48511" xr:uid="{00000000-0005-0000-0000-0000597C0000}"/>
    <cellStyle name="Remarque 2 7 2 11" xfId="36320" xr:uid="{00000000-0005-0000-0000-00005A7C0000}"/>
    <cellStyle name="Remarque 2 7 2 11 2" xfId="60280" xr:uid="{00000000-0005-0000-0000-00005B7C0000}"/>
    <cellStyle name="Remarque 2 7 2 12" xfId="13216" xr:uid="{00000000-0005-0000-0000-00005C7C0000}"/>
    <cellStyle name="Remarque 2 7 2 13" xfId="37176" xr:uid="{00000000-0005-0000-0000-00005D7C0000}"/>
    <cellStyle name="Remarque 2 7 2 2" xfId="3425" xr:uid="{00000000-0005-0000-0000-00005E7C0000}"/>
    <cellStyle name="Remarque 2 7 2 2 2" xfId="27439" xr:uid="{00000000-0005-0000-0000-00005F7C0000}"/>
    <cellStyle name="Remarque 2 7 2 2 2 2" xfId="51399" xr:uid="{00000000-0005-0000-0000-0000607C0000}"/>
    <cellStyle name="Remarque 2 7 2 2 3" xfId="14686" xr:uid="{00000000-0005-0000-0000-0000617C0000}"/>
    <cellStyle name="Remarque 2 7 2 2 4" xfId="38646" xr:uid="{00000000-0005-0000-0000-0000627C0000}"/>
    <cellStyle name="Remarque 2 7 2 3" xfId="4859" xr:uid="{00000000-0005-0000-0000-0000637C0000}"/>
    <cellStyle name="Remarque 2 7 2 3 2" xfId="28873" xr:uid="{00000000-0005-0000-0000-0000647C0000}"/>
    <cellStyle name="Remarque 2 7 2 3 2 2" xfId="52833" xr:uid="{00000000-0005-0000-0000-0000657C0000}"/>
    <cellStyle name="Remarque 2 7 2 3 3" xfId="16120" xr:uid="{00000000-0005-0000-0000-0000667C0000}"/>
    <cellStyle name="Remarque 2 7 2 3 4" xfId="40080" xr:uid="{00000000-0005-0000-0000-0000677C0000}"/>
    <cellStyle name="Remarque 2 7 2 4" xfId="6253" xr:uid="{00000000-0005-0000-0000-0000687C0000}"/>
    <cellStyle name="Remarque 2 7 2 4 2" xfId="30267" xr:uid="{00000000-0005-0000-0000-0000697C0000}"/>
    <cellStyle name="Remarque 2 7 2 4 2 2" xfId="54227" xr:uid="{00000000-0005-0000-0000-00006A7C0000}"/>
    <cellStyle name="Remarque 2 7 2 4 3" xfId="17514" xr:uid="{00000000-0005-0000-0000-00006B7C0000}"/>
    <cellStyle name="Remarque 2 7 2 4 4" xfId="41474" xr:uid="{00000000-0005-0000-0000-00006C7C0000}"/>
    <cellStyle name="Remarque 2 7 2 5" xfId="7641" xr:uid="{00000000-0005-0000-0000-00006D7C0000}"/>
    <cellStyle name="Remarque 2 7 2 5 2" xfId="31655" xr:uid="{00000000-0005-0000-0000-00006E7C0000}"/>
    <cellStyle name="Remarque 2 7 2 5 2 2" xfId="55615" xr:uid="{00000000-0005-0000-0000-00006F7C0000}"/>
    <cellStyle name="Remarque 2 7 2 5 3" xfId="18902" xr:uid="{00000000-0005-0000-0000-0000707C0000}"/>
    <cellStyle name="Remarque 2 7 2 5 4" xfId="42862" xr:uid="{00000000-0005-0000-0000-0000717C0000}"/>
    <cellStyle name="Remarque 2 7 2 6" xfId="9026" xr:uid="{00000000-0005-0000-0000-0000727C0000}"/>
    <cellStyle name="Remarque 2 7 2 6 2" xfId="33040" xr:uid="{00000000-0005-0000-0000-0000737C0000}"/>
    <cellStyle name="Remarque 2 7 2 6 2 2" xfId="57000" xr:uid="{00000000-0005-0000-0000-0000747C0000}"/>
    <cellStyle name="Remarque 2 7 2 6 3" xfId="20287" xr:uid="{00000000-0005-0000-0000-0000757C0000}"/>
    <cellStyle name="Remarque 2 7 2 6 4" xfId="44247" xr:uid="{00000000-0005-0000-0000-0000767C0000}"/>
    <cellStyle name="Remarque 2 7 2 7" xfId="10483" xr:uid="{00000000-0005-0000-0000-0000777C0000}"/>
    <cellStyle name="Remarque 2 7 2 7 2" xfId="34493" xr:uid="{00000000-0005-0000-0000-0000787C0000}"/>
    <cellStyle name="Remarque 2 7 2 7 2 2" xfId="58453" xr:uid="{00000000-0005-0000-0000-0000797C0000}"/>
    <cellStyle name="Remarque 2 7 2 7 3" xfId="21750" xr:uid="{00000000-0005-0000-0000-00007A7C0000}"/>
    <cellStyle name="Remarque 2 7 2 7 4" xfId="45710" xr:uid="{00000000-0005-0000-0000-00007B7C0000}"/>
    <cellStyle name="Remarque 2 7 2 8" xfId="12704" xr:uid="{00000000-0005-0000-0000-00007C7C0000}"/>
    <cellStyle name="Remarque 2 7 2 8 2" xfId="24009" xr:uid="{00000000-0005-0000-0000-00007D7C0000}"/>
    <cellStyle name="Remarque 2 7 2 8 3" xfId="47969" xr:uid="{00000000-0005-0000-0000-00007E7C0000}"/>
    <cellStyle name="Remarque 2 7 2 9" xfId="1955" xr:uid="{00000000-0005-0000-0000-00007F7C0000}"/>
    <cellStyle name="Remarque 2 7 2 9 2" xfId="25969" xr:uid="{00000000-0005-0000-0000-0000807C0000}"/>
    <cellStyle name="Remarque 2 7 2 9 3" xfId="49929" xr:uid="{00000000-0005-0000-0000-0000817C0000}"/>
    <cellStyle name="Remarque 2 7 20" xfId="383" xr:uid="{00000000-0005-0000-0000-0000827C0000}"/>
    <cellStyle name="Remarque 2 7 3" xfId="711" xr:uid="{00000000-0005-0000-0000-0000837C0000}"/>
    <cellStyle name="Remarque 2 7 3 10" xfId="24743" xr:uid="{00000000-0005-0000-0000-0000847C0000}"/>
    <cellStyle name="Remarque 2 7 3 10 2" xfId="48703" xr:uid="{00000000-0005-0000-0000-0000857C0000}"/>
    <cellStyle name="Remarque 2 7 3 11" xfId="36265" xr:uid="{00000000-0005-0000-0000-0000867C0000}"/>
    <cellStyle name="Remarque 2 7 3 11 2" xfId="60225" xr:uid="{00000000-0005-0000-0000-0000877C0000}"/>
    <cellStyle name="Remarque 2 7 3 12" xfId="13408" xr:uid="{00000000-0005-0000-0000-0000887C0000}"/>
    <cellStyle name="Remarque 2 7 3 13" xfId="37368" xr:uid="{00000000-0005-0000-0000-0000897C0000}"/>
    <cellStyle name="Remarque 2 7 3 2" xfId="3617" xr:uid="{00000000-0005-0000-0000-00008A7C0000}"/>
    <cellStyle name="Remarque 2 7 3 2 2" xfId="27631" xr:uid="{00000000-0005-0000-0000-00008B7C0000}"/>
    <cellStyle name="Remarque 2 7 3 2 2 2" xfId="51591" xr:uid="{00000000-0005-0000-0000-00008C7C0000}"/>
    <cellStyle name="Remarque 2 7 3 2 3" xfId="14878" xr:uid="{00000000-0005-0000-0000-00008D7C0000}"/>
    <cellStyle name="Remarque 2 7 3 2 4" xfId="38838" xr:uid="{00000000-0005-0000-0000-00008E7C0000}"/>
    <cellStyle name="Remarque 2 7 3 3" xfId="5051" xr:uid="{00000000-0005-0000-0000-00008F7C0000}"/>
    <cellStyle name="Remarque 2 7 3 3 2" xfId="29065" xr:uid="{00000000-0005-0000-0000-0000907C0000}"/>
    <cellStyle name="Remarque 2 7 3 3 2 2" xfId="53025" xr:uid="{00000000-0005-0000-0000-0000917C0000}"/>
    <cellStyle name="Remarque 2 7 3 3 3" xfId="16312" xr:uid="{00000000-0005-0000-0000-0000927C0000}"/>
    <cellStyle name="Remarque 2 7 3 3 4" xfId="40272" xr:uid="{00000000-0005-0000-0000-0000937C0000}"/>
    <cellStyle name="Remarque 2 7 3 4" xfId="6445" xr:uid="{00000000-0005-0000-0000-0000947C0000}"/>
    <cellStyle name="Remarque 2 7 3 4 2" xfId="30459" xr:uid="{00000000-0005-0000-0000-0000957C0000}"/>
    <cellStyle name="Remarque 2 7 3 4 2 2" xfId="54419" xr:uid="{00000000-0005-0000-0000-0000967C0000}"/>
    <cellStyle name="Remarque 2 7 3 4 3" xfId="17706" xr:uid="{00000000-0005-0000-0000-0000977C0000}"/>
    <cellStyle name="Remarque 2 7 3 4 4" xfId="41666" xr:uid="{00000000-0005-0000-0000-0000987C0000}"/>
    <cellStyle name="Remarque 2 7 3 5" xfId="7833" xr:uid="{00000000-0005-0000-0000-0000997C0000}"/>
    <cellStyle name="Remarque 2 7 3 5 2" xfId="31847" xr:uid="{00000000-0005-0000-0000-00009A7C0000}"/>
    <cellStyle name="Remarque 2 7 3 5 2 2" xfId="55807" xr:uid="{00000000-0005-0000-0000-00009B7C0000}"/>
    <cellStyle name="Remarque 2 7 3 5 3" xfId="19094" xr:uid="{00000000-0005-0000-0000-00009C7C0000}"/>
    <cellStyle name="Remarque 2 7 3 5 4" xfId="43054" xr:uid="{00000000-0005-0000-0000-00009D7C0000}"/>
    <cellStyle name="Remarque 2 7 3 6" xfId="9218" xr:uid="{00000000-0005-0000-0000-00009E7C0000}"/>
    <cellStyle name="Remarque 2 7 3 6 2" xfId="33232" xr:uid="{00000000-0005-0000-0000-00009F7C0000}"/>
    <cellStyle name="Remarque 2 7 3 6 2 2" xfId="57192" xr:uid="{00000000-0005-0000-0000-0000A07C0000}"/>
    <cellStyle name="Remarque 2 7 3 6 3" xfId="20479" xr:uid="{00000000-0005-0000-0000-0000A17C0000}"/>
    <cellStyle name="Remarque 2 7 3 6 4" xfId="44439" xr:uid="{00000000-0005-0000-0000-0000A27C0000}"/>
    <cellStyle name="Remarque 2 7 3 7" xfId="10675" xr:uid="{00000000-0005-0000-0000-0000A37C0000}"/>
    <cellStyle name="Remarque 2 7 3 7 2" xfId="34685" xr:uid="{00000000-0005-0000-0000-0000A47C0000}"/>
    <cellStyle name="Remarque 2 7 3 7 2 2" xfId="58645" xr:uid="{00000000-0005-0000-0000-0000A57C0000}"/>
    <cellStyle name="Remarque 2 7 3 7 3" xfId="21942" xr:uid="{00000000-0005-0000-0000-0000A67C0000}"/>
    <cellStyle name="Remarque 2 7 3 7 4" xfId="45902" xr:uid="{00000000-0005-0000-0000-0000A77C0000}"/>
    <cellStyle name="Remarque 2 7 3 8" xfId="11644" xr:uid="{00000000-0005-0000-0000-0000A87C0000}"/>
    <cellStyle name="Remarque 2 7 3 8 2" xfId="22912" xr:uid="{00000000-0005-0000-0000-0000A97C0000}"/>
    <cellStyle name="Remarque 2 7 3 8 3" xfId="46872" xr:uid="{00000000-0005-0000-0000-0000AA7C0000}"/>
    <cellStyle name="Remarque 2 7 3 9" xfId="2147" xr:uid="{00000000-0005-0000-0000-0000AB7C0000}"/>
    <cellStyle name="Remarque 2 7 3 9 2" xfId="26161" xr:uid="{00000000-0005-0000-0000-0000AC7C0000}"/>
    <cellStyle name="Remarque 2 7 3 9 3" xfId="50121" xr:uid="{00000000-0005-0000-0000-0000AD7C0000}"/>
    <cellStyle name="Remarque 2 7 4" xfId="905" xr:uid="{00000000-0005-0000-0000-0000AE7C0000}"/>
    <cellStyle name="Remarque 2 7 4 10" xfId="24937" xr:uid="{00000000-0005-0000-0000-0000AF7C0000}"/>
    <cellStyle name="Remarque 2 7 4 10 2" xfId="48897" xr:uid="{00000000-0005-0000-0000-0000B07C0000}"/>
    <cellStyle name="Remarque 2 7 4 11" xfId="36697" xr:uid="{00000000-0005-0000-0000-0000B17C0000}"/>
    <cellStyle name="Remarque 2 7 4 11 2" xfId="60657" xr:uid="{00000000-0005-0000-0000-0000B27C0000}"/>
    <cellStyle name="Remarque 2 7 4 12" xfId="13602" xr:uid="{00000000-0005-0000-0000-0000B37C0000}"/>
    <cellStyle name="Remarque 2 7 4 13" xfId="37562" xr:uid="{00000000-0005-0000-0000-0000B47C0000}"/>
    <cellStyle name="Remarque 2 7 4 2" xfId="3811" xr:uid="{00000000-0005-0000-0000-0000B57C0000}"/>
    <cellStyle name="Remarque 2 7 4 2 2" xfId="27825" xr:uid="{00000000-0005-0000-0000-0000B67C0000}"/>
    <cellStyle name="Remarque 2 7 4 2 2 2" xfId="51785" xr:uid="{00000000-0005-0000-0000-0000B77C0000}"/>
    <cellStyle name="Remarque 2 7 4 2 3" xfId="15072" xr:uid="{00000000-0005-0000-0000-0000B87C0000}"/>
    <cellStyle name="Remarque 2 7 4 2 4" xfId="39032" xr:uid="{00000000-0005-0000-0000-0000B97C0000}"/>
    <cellStyle name="Remarque 2 7 4 3" xfId="5245" xr:uid="{00000000-0005-0000-0000-0000BA7C0000}"/>
    <cellStyle name="Remarque 2 7 4 3 2" xfId="29259" xr:uid="{00000000-0005-0000-0000-0000BB7C0000}"/>
    <cellStyle name="Remarque 2 7 4 3 2 2" xfId="53219" xr:uid="{00000000-0005-0000-0000-0000BC7C0000}"/>
    <cellStyle name="Remarque 2 7 4 3 3" xfId="16506" xr:uid="{00000000-0005-0000-0000-0000BD7C0000}"/>
    <cellStyle name="Remarque 2 7 4 3 4" xfId="40466" xr:uid="{00000000-0005-0000-0000-0000BE7C0000}"/>
    <cellStyle name="Remarque 2 7 4 4" xfId="6639" xr:uid="{00000000-0005-0000-0000-0000BF7C0000}"/>
    <cellStyle name="Remarque 2 7 4 4 2" xfId="30653" xr:uid="{00000000-0005-0000-0000-0000C07C0000}"/>
    <cellStyle name="Remarque 2 7 4 4 2 2" xfId="54613" xr:uid="{00000000-0005-0000-0000-0000C17C0000}"/>
    <cellStyle name="Remarque 2 7 4 4 3" xfId="17900" xr:uid="{00000000-0005-0000-0000-0000C27C0000}"/>
    <cellStyle name="Remarque 2 7 4 4 4" xfId="41860" xr:uid="{00000000-0005-0000-0000-0000C37C0000}"/>
    <cellStyle name="Remarque 2 7 4 5" xfId="8027" xr:uid="{00000000-0005-0000-0000-0000C47C0000}"/>
    <cellStyle name="Remarque 2 7 4 5 2" xfId="32041" xr:uid="{00000000-0005-0000-0000-0000C57C0000}"/>
    <cellStyle name="Remarque 2 7 4 5 2 2" xfId="56001" xr:uid="{00000000-0005-0000-0000-0000C67C0000}"/>
    <cellStyle name="Remarque 2 7 4 5 3" xfId="19288" xr:uid="{00000000-0005-0000-0000-0000C77C0000}"/>
    <cellStyle name="Remarque 2 7 4 5 4" xfId="43248" xr:uid="{00000000-0005-0000-0000-0000C87C0000}"/>
    <cellStyle name="Remarque 2 7 4 6" xfId="9412" xr:uid="{00000000-0005-0000-0000-0000C97C0000}"/>
    <cellStyle name="Remarque 2 7 4 6 2" xfId="33426" xr:uid="{00000000-0005-0000-0000-0000CA7C0000}"/>
    <cellStyle name="Remarque 2 7 4 6 2 2" xfId="57386" xr:uid="{00000000-0005-0000-0000-0000CB7C0000}"/>
    <cellStyle name="Remarque 2 7 4 6 3" xfId="20673" xr:uid="{00000000-0005-0000-0000-0000CC7C0000}"/>
    <cellStyle name="Remarque 2 7 4 6 4" xfId="44633" xr:uid="{00000000-0005-0000-0000-0000CD7C0000}"/>
    <cellStyle name="Remarque 2 7 4 7" xfId="10869" xr:uid="{00000000-0005-0000-0000-0000CE7C0000}"/>
    <cellStyle name="Remarque 2 7 4 7 2" xfId="34879" xr:uid="{00000000-0005-0000-0000-0000CF7C0000}"/>
    <cellStyle name="Remarque 2 7 4 7 2 2" xfId="58839" xr:uid="{00000000-0005-0000-0000-0000D07C0000}"/>
    <cellStyle name="Remarque 2 7 4 7 3" xfId="22136" xr:uid="{00000000-0005-0000-0000-0000D17C0000}"/>
    <cellStyle name="Remarque 2 7 4 7 4" xfId="46096" xr:uid="{00000000-0005-0000-0000-0000D27C0000}"/>
    <cellStyle name="Remarque 2 7 4 8" xfId="12114" xr:uid="{00000000-0005-0000-0000-0000D37C0000}"/>
    <cellStyle name="Remarque 2 7 4 8 2" xfId="23397" xr:uid="{00000000-0005-0000-0000-0000D47C0000}"/>
    <cellStyle name="Remarque 2 7 4 8 3" xfId="47357" xr:uid="{00000000-0005-0000-0000-0000D57C0000}"/>
    <cellStyle name="Remarque 2 7 4 9" xfId="2341" xr:uid="{00000000-0005-0000-0000-0000D67C0000}"/>
    <cellStyle name="Remarque 2 7 4 9 2" xfId="26355" xr:uid="{00000000-0005-0000-0000-0000D77C0000}"/>
    <cellStyle name="Remarque 2 7 4 9 3" xfId="50315" xr:uid="{00000000-0005-0000-0000-0000D87C0000}"/>
    <cellStyle name="Remarque 2 7 5" xfId="1098" xr:uid="{00000000-0005-0000-0000-0000D97C0000}"/>
    <cellStyle name="Remarque 2 7 5 10" xfId="25130" xr:uid="{00000000-0005-0000-0000-0000DA7C0000}"/>
    <cellStyle name="Remarque 2 7 5 10 2" xfId="49090" xr:uid="{00000000-0005-0000-0000-0000DB7C0000}"/>
    <cellStyle name="Remarque 2 7 5 11" xfId="24052" xr:uid="{00000000-0005-0000-0000-0000DC7C0000}"/>
    <cellStyle name="Remarque 2 7 5 11 2" xfId="48012" xr:uid="{00000000-0005-0000-0000-0000DD7C0000}"/>
    <cellStyle name="Remarque 2 7 5 12" xfId="13795" xr:uid="{00000000-0005-0000-0000-0000DE7C0000}"/>
    <cellStyle name="Remarque 2 7 5 13" xfId="37755" xr:uid="{00000000-0005-0000-0000-0000DF7C0000}"/>
    <cellStyle name="Remarque 2 7 5 2" xfId="4004" xr:uid="{00000000-0005-0000-0000-0000E07C0000}"/>
    <cellStyle name="Remarque 2 7 5 2 2" xfId="28018" xr:uid="{00000000-0005-0000-0000-0000E17C0000}"/>
    <cellStyle name="Remarque 2 7 5 2 2 2" xfId="51978" xr:uid="{00000000-0005-0000-0000-0000E27C0000}"/>
    <cellStyle name="Remarque 2 7 5 2 3" xfId="15265" xr:uid="{00000000-0005-0000-0000-0000E37C0000}"/>
    <cellStyle name="Remarque 2 7 5 2 4" xfId="39225" xr:uid="{00000000-0005-0000-0000-0000E47C0000}"/>
    <cellStyle name="Remarque 2 7 5 3" xfId="5438" xr:uid="{00000000-0005-0000-0000-0000E57C0000}"/>
    <cellStyle name="Remarque 2 7 5 3 2" xfId="29452" xr:uid="{00000000-0005-0000-0000-0000E67C0000}"/>
    <cellStyle name="Remarque 2 7 5 3 2 2" xfId="53412" xr:uid="{00000000-0005-0000-0000-0000E77C0000}"/>
    <cellStyle name="Remarque 2 7 5 3 3" xfId="16699" xr:uid="{00000000-0005-0000-0000-0000E87C0000}"/>
    <cellStyle name="Remarque 2 7 5 3 4" xfId="40659" xr:uid="{00000000-0005-0000-0000-0000E97C0000}"/>
    <cellStyle name="Remarque 2 7 5 4" xfId="6832" xr:uid="{00000000-0005-0000-0000-0000EA7C0000}"/>
    <cellStyle name="Remarque 2 7 5 4 2" xfId="30846" xr:uid="{00000000-0005-0000-0000-0000EB7C0000}"/>
    <cellStyle name="Remarque 2 7 5 4 2 2" xfId="54806" xr:uid="{00000000-0005-0000-0000-0000EC7C0000}"/>
    <cellStyle name="Remarque 2 7 5 4 3" xfId="18093" xr:uid="{00000000-0005-0000-0000-0000ED7C0000}"/>
    <cellStyle name="Remarque 2 7 5 4 4" xfId="42053" xr:uid="{00000000-0005-0000-0000-0000EE7C0000}"/>
    <cellStyle name="Remarque 2 7 5 5" xfId="8220" xr:uid="{00000000-0005-0000-0000-0000EF7C0000}"/>
    <cellStyle name="Remarque 2 7 5 5 2" xfId="32234" xr:uid="{00000000-0005-0000-0000-0000F07C0000}"/>
    <cellStyle name="Remarque 2 7 5 5 2 2" xfId="56194" xr:uid="{00000000-0005-0000-0000-0000F17C0000}"/>
    <cellStyle name="Remarque 2 7 5 5 3" xfId="19481" xr:uid="{00000000-0005-0000-0000-0000F27C0000}"/>
    <cellStyle name="Remarque 2 7 5 5 4" xfId="43441" xr:uid="{00000000-0005-0000-0000-0000F37C0000}"/>
    <cellStyle name="Remarque 2 7 5 6" xfId="9605" xr:uid="{00000000-0005-0000-0000-0000F47C0000}"/>
    <cellStyle name="Remarque 2 7 5 6 2" xfId="33619" xr:uid="{00000000-0005-0000-0000-0000F57C0000}"/>
    <cellStyle name="Remarque 2 7 5 6 2 2" xfId="57579" xr:uid="{00000000-0005-0000-0000-0000F67C0000}"/>
    <cellStyle name="Remarque 2 7 5 6 3" xfId="20866" xr:uid="{00000000-0005-0000-0000-0000F77C0000}"/>
    <cellStyle name="Remarque 2 7 5 6 4" xfId="44826" xr:uid="{00000000-0005-0000-0000-0000F87C0000}"/>
    <cellStyle name="Remarque 2 7 5 7" xfId="11062" xr:uid="{00000000-0005-0000-0000-0000F97C0000}"/>
    <cellStyle name="Remarque 2 7 5 7 2" xfId="35072" xr:uid="{00000000-0005-0000-0000-0000FA7C0000}"/>
    <cellStyle name="Remarque 2 7 5 7 2 2" xfId="59032" xr:uid="{00000000-0005-0000-0000-0000FB7C0000}"/>
    <cellStyle name="Remarque 2 7 5 7 3" xfId="22329" xr:uid="{00000000-0005-0000-0000-0000FC7C0000}"/>
    <cellStyle name="Remarque 2 7 5 7 4" xfId="46289" xr:uid="{00000000-0005-0000-0000-0000FD7C0000}"/>
    <cellStyle name="Remarque 2 7 5 8" xfId="12035" xr:uid="{00000000-0005-0000-0000-0000FE7C0000}"/>
    <cellStyle name="Remarque 2 7 5 8 2" xfId="23315" xr:uid="{00000000-0005-0000-0000-0000FF7C0000}"/>
    <cellStyle name="Remarque 2 7 5 8 3" xfId="47275" xr:uid="{00000000-0005-0000-0000-0000007D0000}"/>
    <cellStyle name="Remarque 2 7 5 9" xfId="2534" xr:uid="{00000000-0005-0000-0000-0000017D0000}"/>
    <cellStyle name="Remarque 2 7 5 9 2" xfId="26548" xr:uid="{00000000-0005-0000-0000-0000027D0000}"/>
    <cellStyle name="Remarque 2 7 5 9 3" xfId="50508" xr:uid="{00000000-0005-0000-0000-0000037D0000}"/>
    <cellStyle name="Remarque 2 7 6" xfId="1265" xr:uid="{00000000-0005-0000-0000-0000047D0000}"/>
    <cellStyle name="Remarque 2 7 6 10" xfId="25297" xr:uid="{00000000-0005-0000-0000-0000057D0000}"/>
    <cellStyle name="Remarque 2 7 6 10 2" xfId="49257" xr:uid="{00000000-0005-0000-0000-0000067D0000}"/>
    <cellStyle name="Remarque 2 7 6 11" xfId="35844" xr:uid="{00000000-0005-0000-0000-0000077D0000}"/>
    <cellStyle name="Remarque 2 7 6 11 2" xfId="59804" xr:uid="{00000000-0005-0000-0000-0000087D0000}"/>
    <cellStyle name="Remarque 2 7 6 12" xfId="13962" xr:uid="{00000000-0005-0000-0000-0000097D0000}"/>
    <cellStyle name="Remarque 2 7 6 13" xfId="37922" xr:uid="{00000000-0005-0000-0000-00000A7D0000}"/>
    <cellStyle name="Remarque 2 7 6 2" xfId="4171" xr:uid="{00000000-0005-0000-0000-00000B7D0000}"/>
    <cellStyle name="Remarque 2 7 6 2 2" xfId="28185" xr:uid="{00000000-0005-0000-0000-00000C7D0000}"/>
    <cellStyle name="Remarque 2 7 6 2 2 2" xfId="52145" xr:uid="{00000000-0005-0000-0000-00000D7D0000}"/>
    <cellStyle name="Remarque 2 7 6 2 3" xfId="15432" xr:uid="{00000000-0005-0000-0000-00000E7D0000}"/>
    <cellStyle name="Remarque 2 7 6 2 4" xfId="39392" xr:uid="{00000000-0005-0000-0000-00000F7D0000}"/>
    <cellStyle name="Remarque 2 7 6 3" xfId="5605" xr:uid="{00000000-0005-0000-0000-0000107D0000}"/>
    <cellStyle name="Remarque 2 7 6 3 2" xfId="29619" xr:uid="{00000000-0005-0000-0000-0000117D0000}"/>
    <cellStyle name="Remarque 2 7 6 3 2 2" xfId="53579" xr:uid="{00000000-0005-0000-0000-0000127D0000}"/>
    <cellStyle name="Remarque 2 7 6 3 3" xfId="16866" xr:uid="{00000000-0005-0000-0000-0000137D0000}"/>
    <cellStyle name="Remarque 2 7 6 3 4" xfId="40826" xr:uid="{00000000-0005-0000-0000-0000147D0000}"/>
    <cellStyle name="Remarque 2 7 6 4" xfId="6999" xr:uid="{00000000-0005-0000-0000-0000157D0000}"/>
    <cellStyle name="Remarque 2 7 6 4 2" xfId="31013" xr:uid="{00000000-0005-0000-0000-0000167D0000}"/>
    <cellStyle name="Remarque 2 7 6 4 2 2" xfId="54973" xr:uid="{00000000-0005-0000-0000-0000177D0000}"/>
    <cellStyle name="Remarque 2 7 6 4 3" xfId="18260" xr:uid="{00000000-0005-0000-0000-0000187D0000}"/>
    <cellStyle name="Remarque 2 7 6 4 4" xfId="42220" xr:uid="{00000000-0005-0000-0000-0000197D0000}"/>
    <cellStyle name="Remarque 2 7 6 5" xfId="8387" xr:uid="{00000000-0005-0000-0000-00001A7D0000}"/>
    <cellStyle name="Remarque 2 7 6 5 2" xfId="32401" xr:uid="{00000000-0005-0000-0000-00001B7D0000}"/>
    <cellStyle name="Remarque 2 7 6 5 2 2" xfId="56361" xr:uid="{00000000-0005-0000-0000-00001C7D0000}"/>
    <cellStyle name="Remarque 2 7 6 5 3" xfId="19648" xr:uid="{00000000-0005-0000-0000-00001D7D0000}"/>
    <cellStyle name="Remarque 2 7 6 5 4" xfId="43608" xr:uid="{00000000-0005-0000-0000-00001E7D0000}"/>
    <cellStyle name="Remarque 2 7 6 6" xfId="9772" xr:uid="{00000000-0005-0000-0000-00001F7D0000}"/>
    <cellStyle name="Remarque 2 7 6 6 2" xfId="33786" xr:uid="{00000000-0005-0000-0000-0000207D0000}"/>
    <cellStyle name="Remarque 2 7 6 6 2 2" xfId="57746" xr:uid="{00000000-0005-0000-0000-0000217D0000}"/>
    <cellStyle name="Remarque 2 7 6 6 3" xfId="21033" xr:uid="{00000000-0005-0000-0000-0000227D0000}"/>
    <cellStyle name="Remarque 2 7 6 6 4" xfId="44993" xr:uid="{00000000-0005-0000-0000-0000237D0000}"/>
    <cellStyle name="Remarque 2 7 6 7" xfId="11229" xr:uid="{00000000-0005-0000-0000-0000247D0000}"/>
    <cellStyle name="Remarque 2 7 6 7 2" xfId="35239" xr:uid="{00000000-0005-0000-0000-0000257D0000}"/>
    <cellStyle name="Remarque 2 7 6 7 2 2" xfId="59199" xr:uid="{00000000-0005-0000-0000-0000267D0000}"/>
    <cellStyle name="Remarque 2 7 6 7 3" xfId="22496" xr:uid="{00000000-0005-0000-0000-0000277D0000}"/>
    <cellStyle name="Remarque 2 7 6 7 4" xfId="46456" xr:uid="{00000000-0005-0000-0000-0000287D0000}"/>
    <cellStyle name="Remarque 2 7 6 8" xfId="12231" xr:uid="{00000000-0005-0000-0000-0000297D0000}"/>
    <cellStyle name="Remarque 2 7 6 8 2" xfId="23515" xr:uid="{00000000-0005-0000-0000-00002A7D0000}"/>
    <cellStyle name="Remarque 2 7 6 8 3" xfId="47475" xr:uid="{00000000-0005-0000-0000-00002B7D0000}"/>
    <cellStyle name="Remarque 2 7 6 9" xfId="2701" xr:uid="{00000000-0005-0000-0000-00002C7D0000}"/>
    <cellStyle name="Remarque 2 7 6 9 2" xfId="26715" xr:uid="{00000000-0005-0000-0000-00002D7D0000}"/>
    <cellStyle name="Remarque 2 7 6 9 3" xfId="50675" xr:uid="{00000000-0005-0000-0000-00002E7D0000}"/>
    <cellStyle name="Remarque 2 7 7" xfId="1434" xr:uid="{00000000-0005-0000-0000-00002F7D0000}"/>
    <cellStyle name="Remarque 2 7 7 10" xfId="25466" xr:uid="{00000000-0005-0000-0000-0000307D0000}"/>
    <cellStyle name="Remarque 2 7 7 10 2" xfId="49426" xr:uid="{00000000-0005-0000-0000-0000317D0000}"/>
    <cellStyle name="Remarque 2 7 7 11" xfId="35979" xr:uid="{00000000-0005-0000-0000-0000327D0000}"/>
    <cellStyle name="Remarque 2 7 7 11 2" xfId="59939" xr:uid="{00000000-0005-0000-0000-0000337D0000}"/>
    <cellStyle name="Remarque 2 7 7 12" xfId="14131" xr:uid="{00000000-0005-0000-0000-0000347D0000}"/>
    <cellStyle name="Remarque 2 7 7 13" xfId="38091" xr:uid="{00000000-0005-0000-0000-0000357D0000}"/>
    <cellStyle name="Remarque 2 7 7 2" xfId="4340" xr:uid="{00000000-0005-0000-0000-0000367D0000}"/>
    <cellStyle name="Remarque 2 7 7 2 2" xfId="28354" xr:uid="{00000000-0005-0000-0000-0000377D0000}"/>
    <cellStyle name="Remarque 2 7 7 2 2 2" xfId="52314" xr:uid="{00000000-0005-0000-0000-0000387D0000}"/>
    <cellStyle name="Remarque 2 7 7 2 3" xfId="15601" xr:uid="{00000000-0005-0000-0000-0000397D0000}"/>
    <cellStyle name="Remarque 2 7 7 2 4" xfId="39561" xr:uid="{00000000-0005-0000-0000-00003A7D0000}"/>
    <cellStyle name="Remarque 2 7 7 3" xfId="5774" xr:uid="{00000000-0005-0000-0000-00003B7D0000}"/>
    <cellStyle name="Remarque 2 7 7 3 2" xfId="29788" xr:uid="{00000000-0005-0000-0000-00003C7D0000}"/>
    <cellStyle name="Remarque 2 7 7 3 2 2" xfId="53748" xr:uid="{00000000-0005-0000-0000-00003D7D0000}"/>
    <cellStyle name="Remarque 2 7 7 3 3" xfId="17035" xr:uid="{00000000-0005-0000-0000-00003E7D0000}"/>
    <cellStyle name="Remarque 2 7 7 3 4" xfId="40995" xr:uid="{00000000-0005-0000-0000-00003F7D0000}"/>
    <cellStyle name="Remarque 2 7 7 4" xfId="7168" xr:uid="{00000000-0005-0000-0000-0000407D0000}"/>
    <cellStyle name="Remarque 2 7 7 4 2" xfId="31182" xr:uid="{00000000-0005-0000-0000-0000417D0000}"/>
    <cellStyle name="Remarque 2 7 7 4 2 2" xfId="55142" xr:uid="{00000000-0005-0000-0000-0000427D0000}"/>
    <cellStyle name="Remarque 2 7 7 4 3" xfId="18429" xr:uid="{00000000-0005-0000-0000-0000437D0000}"/>
    <cellStyle name="Remarque 2 7 7 4 4" xfId="42389" xr:uid="{00000000-0005-0000-0000-0000447D0000}"/>
    <cellStyle name="Remarque 2 7 7 5" xfId="8556" xr:uid="{00000000-0005-0000-0000-0000457D0000}"/>
    <cellStyle name="Remarque 2 7 7 5 2" xfId="32570" xr:uid="{00000000-0005-0000-0000-0000467D0000}"/>
    <cellStyle name="Remarque 2 7 7 5 2 2" xfId="56530" xr:uid="{00000000-0005-0000-0000-0000477D0000}"/>
    <cellStyle name="Remarque 2 7 7 5 3" xfId="19817" xr:uid="{00000000-0005-0000-0000-0000487D0000}"/>
    <cellStyle name="Remarque 2 7 7 5 4" xfId="43777" xr:uid="{00000000-0005-0000-0000-0000497D0000}"/>
    <cellStyle name="Remarque 2 7 7 6" xfId="9941" xr:uid="{00000000-0005-0000-0000-00004A7D0000}"/>
    <cellStyle name="Remarque 2 7 7 6 2" xfId="33955" xr:uid="{00000000-0005-0000-0000-00004B7D0000}"/>
    <cellStyle name="Remarque 2 7 7 6 2 2" xfId="57915" xr:uid="{00000000-0005-0000-0000-00004C7D0000}"/>
    <cellStyle name="Remarque 2 7 7 6 3" xfId="21202" xr:uid="{00000000-0005-0000-0000-00004D7D0000}"/>
    <cellStyle name="Remarque 2 7 7 6 4" xfId="45162" xr:uid="{00000000-0005-0000-0000-00004E7D0000}"/>
    <cellStyle name="Remarque 2 7 7 7" xfId="11398" xr:uid="{00000000-0005-0000-0000-00004F7D0000}"/>
    <cellStyle name="Remarque 2 7 7 7 2" xfId="35408" xr:uid="{00000000-0005-0000-0000-0000507D0000}"/>
    <cellStyle name="Remarque 2 7 7 7 2 2" xfId="59368" xr:uid="{00000000-0005-0000-0000-0000517D0000}"/>
    <cellStyle name="Remarque 2 7 7 7 3" xfId="22665" xr:uid="{00000000-0005-0000-0000-0000527D0000}"/>
    <cellStyle name="Remarque 2 7 7 7 4" xfId="46625" xr:uid="{00000000-0005-0000-0000-0000537D0000}"/>
    <cellStyle name="Remarque 2 7 7 8" xfId="12112" xr:uid="{00000000-0005-0000-0000-0000547D0000}"/>
    <cellStyle name="Remarque 2 7 7 8 2" xfId="23395" xr:uid="{00000000-0005-0000-0000-0000557D0000}"/>
    <cellStyle name="Remarque 2 7 7 8 3" xfId="47355" xr:uid="{00000000-0005-0000-0000-0000567D0000}"/>
    <cellStyle name="Remarque 2 7 7 9" xfId="2870" xr:uid="{00000000-0005-0000-0000-0000577D0000}"/>
    <cellStyle name="Remarque 2 7 7 9 2" xfId="26884" xr:uid="{00000000-0005-0000-0000-0000587D0000}"/>
    <cellStyle name="Remarque 2 7 7 9 3" xfId="50844" xr:uid="{00000000-0005-0000-0000-0000597D0000}"/>
    <cellStyle name="Remarque 2 7 8" xfId="3289" xr:uid="{00000000-0005-0000-0000-00005A7D0000}"/>
    <cellStyle name="Remarque 2 7 8 2" xfId="27303" xr:uid="{00000000-0005-0000-0000-00005B7D0000}"/>
    <cellStyle name="Remarque 2 7 8 2 2" xfId="51263" xr:uid="{00000000-0005-0000-0000-00005C7D0000}"/>
    <cellStyle name="Remarque 2 7 8 3" xfId="14550" xr:uid="{00000000-0005-0000-0000-00005D7D0000}"/>
    <cellStyle name="Remarque 2 7 8 4" xfId="38510" xr:uid="{00000000-0005-0000-0000-00005E7D0000}"/>
    <cellStyle name="Remarque 2 7 9" xfId="4723" xr:uid="{00000000-0005-0000-0000-00005F7D0000}"/>
    <cellStyle name="Remarque 2 7 9 2" xfId="28737" xr:uid="{00000000-0005-0000-0000-0000607D0000}"/>
    <cellStyle name="Remarque 2 7 9 2 2" xfId="52697" xr:uid="{00000000-0005-0000-0000-0000617D0000}"/>
    <cellStyle name="Remarque 2 7 9 3" xfId="15984" xr:uid="{00000000-0005-0000-0000-0000627D0000}"/>
    <cellStyle name="Remarque 2 7 9 4" xfId="39944" xr:uid="{00000000-0005-0000-0000-0000637D0000}"/>
    <cellStyle name="Remarque 2 8" xfId="118" xr:uid="{00000000-0005-0000-0000-0000647D0000}"/>
    <cellStyle name="Remarque 2 8 10" xfId="24370" xr:uid="{00000000-0005-0000-0000-0000657D0000}"/>
    <cellStyle name="Remarque 2 8 10 2" xfId="48330" xr:uid="{00000000-0005-0000-0000-0000667D0000}"/>
    <cellStyle name="Remarque 2 8 11" xfId="36733" xr:uid="{00000000-0005-0000-0000-0000677D0000}"/>
    <cellStyle name="Remarque 2 8 11 2" xfId="60693" xr:uid="{00000000-0005-0000-0000-0000687D0000}"/>
    <cellStyle name="Remarque 2 8 12" xfId="13035" xr:uid="{00000000-0005-0000-0000-0000697D0000}"/>
    <cellStyle name="Remarque 2 8 13" xfId="36995" xr:uid="{00000000-0005-0000-0000-00006A7D0000}"/>
    <cellStyle name="Remarque 2 8 14" xfId="338" xr:uid="{00000000-0005-0000-0000-00006B7D0000}"/>
    <cellStyle name="Remarque 2 8 2" xfId="3244" xr:uid="{00000000-0005-0000-0000-00006C7D0000}"/>
    <cellStyle name="Remarque 2 8 2 2" xfId="27258" xr:uid="{00000000-0005-0000-0000-00006D7D0000}"/>
    <cellStyle name="Remarque 2 8 2 2 2" xfId="51218" xr:uid="{00000000-0005-0000-0000-00006E7D0000}"/>
    <cellStyle name="Remarque 2 8 2 3" xfId="14505" xr:uid="{00000000-0005-0000-0000-00006F7D0000}"/>
    <cellStyle name="Remarque 2 8 2 4" xfId="38465" xr:uid="{00000000-0005-0000-0000-0000707D0000}"/>
    <cellStyle name="Remarque 2 8 3" xfId="4678" xr:uid="{00000000-0005-0000-0000-0000717D0000}"/>
    <cellStyle name="Remarque 2 8 3 2" xfId="28692" xr:uid="{00000000-0005-0000-0000-0000727D0000}"/>
    <cellStyle name="Remarque 2 8 3 2 2" xfId="52652" xr:uid="{00000000-0005-0000-0000-0000737D0000}"/>
    <cellStyle name="Remarque 2 8 3 3" xfId="15939" xr:uid="{00000000-0005-0000-0000-0000747D0000}"/>
    <cellStyle name="Remarque 2 8 3 4" xfId="39899" xr:uid="{00000000-0005-0000-0000-0000757D0000}"/>
    <cellStyle name="Remarque 2 8 4" xfId="6072" xr:uid="{00000000-0005-0000-0000-0000767D0000}"/>
    <cellStyle name="Remarque 2 8 4 2" xfId="30086" xr:uid="{00000000-0005-0000-0000-0000777D0000}"/>
    <cellStyle name="Remarque 2 8 4 2 2" xfId="54046" xr:uid="{00000000-0005-0000-0000-0000787D0000}"/>
    <cellStyle name="Remarque 2 8 4 3" xfId="17333" xr:uid="{00000000-0005-0000-0000-0000797D0000}"/>
    <cellStyle name="Remarque 2 8 4 4" xfId="41293" xr:uid="{00000000-0005-0000-0000-00007A7D0000}"/>
    <cellStyle name="Remarque 2 8 5" xfId="7460" xr:uid="{00000000-0005-0000-0000-00007B7D0000}"/>
    <cellStyle name="Remarque 2 8 5 2" xfId="31474" xr:uid="{00000000-0005-0000-0000-00007C7D0000}"/>
    <cellStyle name="Remarque 2 8 5 2 2" xfId="55434" xr:uid="{00000000-0005-0000-0000-00007D7D0000}"/>
    <cellStyle name="Remarque 2 8 5 3" xfId="18721" xr:uid="{00000000-0005-0000-0000-00007E7D0000}"/>
    <cellStyle name="Remarque 2 8 5 4" xfId="42681" xr:uid="{00000000-0005-0000-0000-00007F7D0000}"/>
    <cellStyle name="Remarque 2 8 6" xfId="8845" xr:uid="{00000000-0005-0000-0000-0000807D0000}"/>
    <cellStyle name="Remarque 2 8 6 2" xfId="32859" xr:uid="{00000000-0005-0000-0000-0000817D0000}"/>
    <cellStyle name="Remarque 2 8 6 2 2" xfId="56819" xr:uid="{00000000-0005-0000-0000-0000827D0000}"/>
    <cellStyle name="Remarque 2 8 6 3" xfId="20106" xr:uid="{00000000-0005-0000-0000-0000837D0000}"/>
    <cellStyle name="Remarque 2 8 6 4" xfId="44066" xr:uid="{00000000-0005-0000-0000-0000847D0000}"/>
    <cellStyle name="Remarque 2 8 7" xfId="10302" xr:uid="{00000000-0005-0000-0000-0000857D0000}"/>
    <cellStyle name="Remarque 2 8 7 2" xfId="34312" xr:uid="{00000000-0005-0000-0000-0000867D0000}"/>
    <cellStyle name="Remarque 2 8 7 2 2" xfId="58272" xr:uid="{00000000-0005-0000-0000-0000877D0000}"/>
    <cellStyle name="Remarque 2 8 7 3" xfId="21569" xr:uid="{00000000-0005-0000-0000-0000887D0000}"/>
    <cellStyle name="Remarque 2 8 7 4" xfId="45529" xr:uid="{00000000-0005-0000-0000-0000897D0000}"/>
    <cellStyle name="Remarque 2 8 8" xfId="11964" xr:uid="{00000000-0005-0000-0000-00008A7D0000}"/>
    <cellStyle name="Remarque 2 8 8 2" xfId="23242" xr:uid="{00000000-0005-0000-0000-00008B7D0000}"/>
    <cellStyle name="Remarque 2 8 8 3" xfId="47202" xr:uid="{00000000-0005-0000-0000-00008C7D0000}"/>
    <cellStyle name="Remarque 2 8 9" xfId="1774" xr:uid="{00000000-0005-0000-0000-00008D7D0000}"/>
    <cellStyle name="Remarque 2 8 9 2" xfId="25788" xr:uid="{00000000-0005-0000-0000-00008E7D0000}"/>
    <cellStyle name="Remarque 2 8 9 3" xfId="49748" xr:uid="{00000000-0005-0000-0000-00008F7D0000}"/>
    <cellStyle name="Remarque 2 9" xfId="806" xr:uid="{00000000-0005-0000-0000-0000907D0000}"/>
    <cellStyle name="Remarque 2 9 10" xfId="24838" xr:uid="{00000000-0005-0000-0000-0000917D0000}"/>
    <cellStyle name="Remarque 2 9 10 2" xfId="48798" xr:uid="{00000000-0005-0000-0000-0000927D0000}"/>
    <cellStyle name="Remarque 2 9 11" xfId="36721" xr:uid="{00000000-0005-0000-0000-0000937D0000}"/>
    <cellStyle name="Remarque 2 9 11 2" xfId="60681" xr:uid="{00000000-0005-0000-0000-0000947D0000}"/>
    <cellStyle name="Remarque 2 9 12" xfId="13503" xr:uid="{00000000-0005-0000-0000-0000957D0000}"/>
    <cellStyle name="Remarque 2 9 13" xfId="37463" xr:uid="{00000000-0005-0000-0000-0000967D0000}"/>
    <cellStyle name="Remarque 2 9 2" xfId="3712" xr:uid="{00000000-0005-0000-0000-0000977D0000}"/>
    <cellStyle name="Remarque 2 9 2 2" xfId="27726" xr:uid="{00000000-0005-0000-0000-0000987D0000}"/>
    <cellStyle name="Remarque 2 9 2 2 2" xfId="51686" xr:uid="{00000000-0005-0000-0000-0000997D0000}"/>
    <cellStyle name="Remarque 2 9 2 3" xfId="14973" xr:uid="{00000000-0005-0000-0000-00009A7D0000}"/>
    <cellStyle name="Remarque 2 9 2 4" xfId="38933" xr:uid="{00000000-0005-0000-0000-00009B7D0000}"/>
    <cellStyle name="Remarque 2 9 3" xfId="5146" xr:uid="{00000000-0005-0000-0000-00009C7D0000}"/>
    <cellStyle name="Remarque 2 9 3 2" xfId="29160" xr:uid="{00000000-0005-0000-0000-00009D7D0000}"/>
    <cellStyle name="Remarque 2 9 3 2 2" xfId="53120" xr:uid="{00000000-0005-0000-0000-00009E7D0000}"/>
    <cellStyle name="Remarque 2 9 3 3" xfId="16407" xr:uid="{00000000-0005-0000-0000-00009F7D0000}"/>
    <cellStyle name="Remarque 2 9 3 4" xfId="40367" xr:uid="{00000000-0005-0000-0000-0000A07D0000}"/>
    <cellStyle name="Remarque 2 9 4" xfId="6540" xr:uid="{00000000-0005-0000-0000-0000A17D0000}"/>
    <cellStyle name="Remarque 2 9 4 2" xfId="30554" xr:uid="{00000000-0005-0000-0000-0000A27D0000}"/>
    <cellStyle name="Remarque 2 9 4 2 2" xfId="54514" xr:uid="{00000000-0005-0000-0000-0000A37D0000}"/>
    <cellStyle name="Remarque 2 9 4 3" xfId="17801" xr:uid="{00000000-0005-0000-0000-0000A47D0000}"/>
    <cellStyle name="Remarque 2 9 4 4" xfId="41761" xr:uid="{00000000-0005-0000-0000-0000A57D0000}"/>
    <cellStyle name="Remarque 2 9 5" xfId="7928" xr:uid="{00000000-0005-0000-0000-0000A67D0000}"/>
    <cellStyle name="Remarque 2 9 5 2" xfId="31942" xr:uid="{00000000-0005-0000-0000-0000A77D0000}"/>
    <cellStyle name="Remarque 2 9 5 2 2" xfId="55902" xr:uid="{00000000-0005-0000-0000-0000A87D0000}"/>
    <cellStyle name="Remarque 2 9 5 3" xfId="19189" xr:uid="{00000000-0005-0000-0000-0000A97D0000}"/>
    <cellStyle name="Remarque 2 9 5 4" xfId="43149" xr:uid="{00000000-0005-0000-0000-0000AA7D0000}"/>
    <cellStyle name="Remarque 2 9 6" xfId="9313" xr:uid="{00000000-0005-0000-0000-0000AB7D0000}"/>
    <cellStyle name="Remarque 2 9 6 2" xfId="33327" xr:uid="{00000000-0005-0000-0000-0000AC7D0000}"/>
    <cellStyle name="Remarque 2 9 6 2 2" xfId="57287" xr:uid="{00000000-0005-0000-0000-0000AD7D0000}"/>
    <cellStyle name="Remarque 2 9 6 3" xfId="20574" xr:uid="{00000000-0005-0000-0000-0000AE7D0000}"/>
    <cellStyle name="Remarque 2 9 6 4" xfId="44534" xr:uid="{00000000-0005-0000-0000-0000AF7D0000}"/>
    <cellStyle name="Remarque 2 9 7" xfId="10770" xr:uid="{00000000-0005-0000-0000-0000B07D0000}"/>
    <cellStyle name="Remarque 2 9 7 2" xfId="34780" xr:uid="{00000000-0005-0000-0000-0000B17D0000}"/>
    <cellStyle name="Remarque 2 9 7 2 2" xfId="58740" xr:uid="{00000000-0005-0000-0000-0000B27D0000}"/>
    <cellStyle name="Remarque 2 9 7 3" xfId="22037" xr:uid="{00000000-0005-0000-0000-0000B37D0000}"/>
    <cellStyle name="Remarque 2 9 7 4" xfId="45997" xr:uid="{00000000-0005-0000-0000-0000B47D0000}"/>
    <cellStyle name="Remarque 2 9 8" xfId="11576" xr:uid="{00000000-0005-0000-0000-0000B57D0000}"/>
    <cellStyle name="Remarque 2 9 8 2" xfId="22843" xr:uid="{00000000-0005-0000-0000-0000B67D0000}"/>
    <cellStyle name="Remarque 2 9 8 3" xfId="46803" xr:uid="{00000000-0005-0000-0000-0000B77D0000}"/>
    <cellStyle name="Remarque 2 9 9" xfId="2242" xr:uid="{00000000-0005-0000-0000-0000B87D0000}"/>
    <cellStyle name="Remarque 2 9 9 2" xfId="26256" xr:uid="{00000000-0005-0000-0000-0000B97D0000}"/>
    <cellStyle name="Remarque 2 9 9 3" xfId="50216" xr:uid="{00000000-0005-0000-0000-0000BA7D0000}"/>
    <cellStyle name="Remarque 3" xfId="36" xr:uid="{00000000-0005-0000-0000-0000BB7D0000}"/>
    <cellStyle name="Remarque 3 10" xfId="1193" xr:uid="{00000000-0005-0000-0000-0000BC7D0000}"/>
    <cellStyle name="Remarque 3 10 10" xfId="25225" xr:uid="{00000000-0005-0000-0000-0000BD7D0000}"/>
    <cellStyle name="Remarque 3 10 10 2" xfId="49185" xr:uid="{00000000-0005-0000-0000-0000BE7D0000}"/>
    <cellStyle name="Remarque 3 10 11" xfId="36214" xr:uid="{00000000-0005-0000-0000-0000BF7D0000}"/>
    <cellStyle name="Remarque 3 10 11 2" xfId="60174" xr:uid="{00000000-0005-0000-0000-0000C07D0000}"/>
    <cellStyle name="Remarque 3 10 12" xfId="13890" xr:uid="{00000000-0005-0000-0000-0000C17D0000}"/>
    <cellStyle name="Remarque 3 10 13" xfId="37850" xr:uid="{00000000-0005-0000-0000-0000C27D0000}"/>
    <cellStyle name="Remarque 3 10 2" xfId="4099" xr:uid="{00000000-0005-0000-0000-0000C37D0000}"/>
    <cellStyle name="Remarque 3 10 2 2" xfId="28113" xr:uid="{00000000-0005-0000-0000-0000C47D0000}"/>
    <cellStyle name="Remarque 3 10 2 2 2" xfId="52073" xr:uid="{00000000-0005-0000-0000-0000C57D0000}"/>
    <cellStyle name="Remarque 3 10 2 3" xfId="15360" xr:uid="{00000000-0005-0000-0000-0000C67D0000}"/>
    <cellStyle name="Remarque 3 10 2 4" xfId="39320" xr:uid="{00000000-0005-0000-0000-0000C77D0000}"/>
    <cellStyle name="Remarque 3 10 3" xfId="5533" xr:uid="{00000000-0005-0000-0000-0000C87D0000}"/>
    <cellStyle name="Remarque 3 10 3 2" xfId="29547" xr:uid="{00000000-0005-0000-0000-0000C97D0000}"/>
    <cellStyle name="Remarque 3 10 3 2 2" xfId="53507" xr:uid="{00000000-0005-0000-0000-0000CA7D0000}"/>
    <cellStyle name="Remarque 3 10 3 3" xfId="16794" xr:uid="{00000000-0005-0000-0000-0000CB7D0000}"/>
    <cellStyle name="Remarque 3 10 3 4" xfId="40754" xr:uid="{00000000-0005-0000-0000-0000CC7D0000}"/>
    <cellStyle name="Remarque 3 10 4" xfId="6927" xr:uid="{00000000-0005-0000-0000-0000CD7D0000}"/>
    <cellStyle name="Remarque 3 10 4 2" xfId="30941" xr:uid="{00000000-0005-0000-0000-0000CE7D0000}"/>
    <cellStyle name="Remarque 3 10 4 2 2" xfId="54901" xr:uid="{00000000-0005-0000-0000-0000CF7D0000}"/>
    <cellStyle name="Remarque 3 10 4 3" xfId="18188" xr:uid="{00000000-0005-0000-0000-0000D07D0000}"/>
    <cellStyle name="Remarque 3 10 4 4" xfId="42148" xr:uid="{00000000-0005-0000-0000-0000D17D0000}"/>
    <cellStyle name="Remarque 3 10 5" xfId="8315" xr:uid="{00000000-0005-0000-0000-0000D27D0000}"/>
    <cellStyle name="Remarque 3 10 5 2" xfId="32329" xr:uid="{00000000-0005-0000-0000-0000D37D0000}"/>
    <cellStyle name="Remarque 3 10 5 2 2" xfId="56289" xr:uid="{00000000-0005-0000-0000-0000D47D0000}"/>
    <cellStyle name="Remarque 3 10 5 3" xfId="19576" xr:uid="{00000000-0005-0000-0000-0000D57D0000}"/>
    <cellStyle name="Remarque 3 10 5 4" xfId="43536" xr:uid="{00000000-0005-0000-0000-0000D67D0000}"/>
    <cellStyle name="Remarque 3 10 6" xfId="9700" xr:uid="{00000000-0005-0000-0000-0000D77D0000}"/>
    <cellStyle name="Remarque 3 10 6 2" xfId="33714" xr:uid="{00000000-0005-0000-0000-0000D87D0000}"/>
    <cellStyle name="Remarque 3 10 6 2 2" xfId="57674" xr:uid="{00000000-0005-0000-0000-0000D97D0000}"/>
    <cellStyle name="Remarque 3 10 6 3" xfId="20961" xr:uid="{00000000-0005-0000-0000-0000DA7D0000}"/>
    <cellStyle name="Remarque 3 10 6 4" xfId="44921" xr:uid="{00000000-0005-0000-0000-0000DB7D0000}"/>
    <cellStyle name="Remarque 3 10 7" xfId="11157" xr:uid="{00000000-0005-0000-0000-0000DC7D0000}"/>
    <cellStyle name="Remarque 3 10 7 2" xfId="35167" xr:uid="{00000000-0005-0000-0000-0000DD7D0000}"/>
    <cellStyle name="Remarque 3 10 7 2 2" xfId="59127" xr:uid="{00000000-0005-0000-0000-0000DE7D0000}"/>
    <cellStyle name="Remarque 3 10 7 3" xfId="22424" xr:uid="{00000000-0005-0000-0000-0000DF7D0000}"/>
    <cellStyle name="Remarque 3 10 7 4" xfId="46384" xr:uid="{00000000-0005-0000-0000-0000E07D0000}"/>
    <cellStyle name="Remarque 3 10 8" xfId="12754" xr:uid="{00000000-0005-0000-0000-0000E17D0000}"/>
    <cellStyle name="Remarque 3 10 8 2" xfId="24061" xr:uid="{00000000-0005-0000-0000-0000E27D0000}"/>
    <cellStyle name="Remarque 3 10 8 3" xfId="48021" xr:uid="{00000000-0005-0000-0000-0000E37D0000}"/>
    <cellStyle name="Remarque 3 10 9" xfId="2629" xr:uid="{00000000-0005-0000-0000-0000E47D0000}"/>
    <cellStyle name="Remarque 3 10 9 2" xfId="26643" xr:uid="{00000000-0005-0000-0000-0000E57D0000}"/>
    <cellStyle name="Remarque 3 10 9 3" xfId="50603" xr:uid="{00000000-0005-0000-0000-0000E67D0000}"/>
    <cellStyle name="Remarque 3 11" xfId="1551" xr:uid="{00000000-0005-0000-0000-0000E77D0000}"/>
    <cellStyle name="Remarque 3 11 10" xfId="25583" xr:uid="{00000000-0005-0000-0000-0000E87D0000}"/>
    <cellStyle name="Remarque 3 11 10 2" xfId="49543" xr:uid="{00000000-0005-0000-0000-0000E97D0000}"/>
    <cellStyle name="Remarque 3 11 11" xfId="35699" xr:uid="{00000000-0005-0000-0000-0000EA7D0000}"/>
    <cellStyle name="Remarque 3 11 11 2" xfId="59659" xr:uid="{00000000-0005-0000-0000-0000EB7D0000}"/>
    <cellStyle name="Remarque 3 11 12" xfId="14248" xr:uid="{00000000-0005-0000-0000-0000EC7D0000}"/>
    <cellStyle name="Remarque 3 11 13" xfId="38208" xr:uid="{00000000-0005-0000-0000-0000ED7D0000}"/>
    <cellStyle name="Remarque 3 11 2" xfId="4457" xr:uid="{00000000-0005-0000-0000-0000EE7D0000}"/>
    <cellStyle name="Remarque 3 11 2 2" xfId="28471" xr:uid="{00000000-0005-0000-0000-0000EF7D0000}"/>
    <cellStyle name="Remarque 3 11 2 2 2" xfId="52431" xr:uid="{00000000-0005-0000-0000-0000F07D0000}"/>
    <cellStyle name="Remarque 3 11 2 3" xfId="15718" xr:uid="{00000000-0005-0000-0000-0000F17D0000}"/>
    <cellStyle name="Remarque 3 11 2 4" xfId="39678" xr:uid="{00000000-0005-0000-0000-0000F27D0000}"/>
    <cellStyle name="Remarque 3 11 3" xfId="5891" xr:uid="{00000000-0005-0000-0000-0000F37D0000}"/>
    <cellStyle name="Remarque 3 11 3 2" xfId="29905" xr:uid="{00000000-0005-0000-0000-0000F47D0000}"/>
    <cellStyle name="Remarque 3 11 3 2 2" xfId="53865" xr:uid="{00000000-0005-0000-0000-0000F57D0000}"/>
    <cellStyle name="Remarque 3 11 3 3" xfId="17152" xr:uid="{00000000-0005-0000-0000-0000F67D0000}"/>
    <cellStyle name="Remarque 3 11 3 4" xfId="41112" xr:uid="{00000000-0005-0000-0000-0000F77D0000}"/>
    <cellStyle name="Remarque 3 11 4" xfId="7285" xr:uid="{00000000-0005-0000-0000-0000F87D0000}"/>
    <cellStyle name="Remarque 3 11 4 2" xfId="31299" xr:uid="{00000000-0005-0000-0000-0000F97D0000}"/>
    <cellStyle name="Remarque 3 11 4 2 2" xfId="55259" xr:uid="{00000000-0005-0000-0000-0000FA7D0000}"/>
    <cellStyle name="Remarque 3 11 4 3" xfId="18546" xr:uid="{00000000-0005-0000-0000-0000FB7D0000}"/>
    <cellStyle name="Remarque 3 11 4 4" xfId="42506" xr:uid="{00000000-0005-0000-0000-0000FC7D0000}"/>
    <cellStyle name="Remarque 3 11 5" xfId="8673" xr:uid="{00000000-0005-0000-0000-0000FD7D0000}"/>
    <cellStyle name="Remarque 3 11 5 2" xfId="32687" xr:uid="{00000000-0005-0000-0000-0000FE7D0000}"/>
    <cellStyle name="Remarque 3 11 5 2 2" xfId="56647" xr:uid="{00000000-0005-0000-0000-0000FF7D0000}"/>
    <cellStyle name="Remarque 3 11 5 3" xfId="19934" xr:uid="{00000000-0005-0000-0000-0000007E0000}"/>
    <cellStyle name="Remarque 3 11 5 4" xfId="43894" xr:uid="{00000000-0005-0000-0000-0000017E0000}"/>
    <cellStyle name="Remarque 3 11 6" xfId="10058" xr:uid="{00000000-0005-0000-0000-0000027E0000}"/>
    <cellStyle name="Remarque 3 11 6 2" xfId="34072" xr:uid="{00000000-0005-0000-0000-0000037E0000}"/>
    <cellStyle name="Remarque 3 11 6 2 2" xfId="58032" xr:uid="{00000000-0005-0000-0000-0000047E0000}"/>
    <cellStyle name="Remarque 3 11 6 3" xfId="21319" xr:uid="{00000000-0005-0000-0000-0000057E0000}"/>
    <cellStyle name="Remarque 3 11 6 4" xfId="45279" xr:uid="{00000000-0005-0000-0000-0000067E0000}"/>
    <cellStyle name="Remarque 3 11 7" xfId="11515" xr:uid="{00000000-0005-0000-0000-0000077E0000}"/>
    <cellStyle name="Remarque 3 11 7 2" xfId="35525" xr:uid="{00000000-0005-0000-0000-0000087E0000}"/>
    <cellStyle name="Remarque 3 11 7 2 2" xfId="59485" xr:uid="{00000000-0005-0000-0000-0000097E0000}"/>
    <cellStyle name="Remarque 3 11 7 3" xfId="22782" xr:uid="{00000000-0005-0000-0000-00000A7E0000}"/>
    <cellStyle name="Remarque 3 11 7 4" xfId="46742" xr:uid="{00000000-0005-0000-0000-00000B7E0000}"/>
    <cellStyle name="Remarque 3 11 8" xfId="12479" xr:uid="{00000000-0005-0000-0000-00000C7E0000}"/>
    <cellStyle name="Remarque 3 11 8 2" xfId="23775" xr:uid="{00000000-0005-0000-0000-00000D7E0000}"/>
    <cellStyle name="Remarque 3 11 8 3" xfId="47735" xr:uid="{00000000-0005-0000-0000-00000E7E0000}"/>
    <cellStyle name="Remarque 3 11 9" xfId="2987" xr:uid="{00000000-0005-0000-0000-00000F7E0000}"/>
    <cellStyle name="Remarque 3 11 9 2" xfId="27001" xr:uid="{00000000-0005-0000-0000-0000107E0000}"/>
    <cellStyle name="Remarque 3 11 9 3" xfId="50961" xr:uid="{00000000-0005-0000-0000-0000117E0000}"/>
    <cellStyle name="Remarque 3 12" xfId="3068" xr:uid="{00000000-0005-0000-0000-0000127E0000}"/>
    <cellStyle name="Remarque 3 12 2" xfId="27082" xr:uid="{00000000-0005-0000-0000-0000137E0000}"/>
    <cellStyle name="Remarque 3 12 2 2" xfId="51042" xr:uid="{00000000-0005-0000-0000-0000147E0000}"/>
    <cellStyle name="Remarque 3 12 3" xfId="14329" xr:uid="{00000000-0005-0000-0000-0000157E0000}"/>
    <cellStyle name="Remarque 3 12 4" xfId="38289" xr:uid="{00000000-0005-0000-0000-0000167E0000}"/>
    <cellStyle name="Remarque 3 13" xfId="1625" xr:uid="{00000000-0005-0000-0000-0000177E0000}"/>
    <cellStyle name="Remarque 3 13 2" xfId="25640" xr:uid="{00000000-0005-0000-0000-0000187E0000}"/>
    <cellStyle name="Remarque 3 13 3" xfId="49600" xr:uid="{00000000-0005-0000-0000-0000197E0000}"/>
    <cellStyle name="Remarque 3 14" xfId="1620" xr:uid="{00000000-0005-0000-0000-00001A7E0000}"/>
    <cellStyle name="Remarque 3 15" xfId="162" xr:uid="{00000000-0005-0000-0000-00001B7E0000}"/>
    <cellStyle name="Remarque 3 2" xfId="37" xr:uid="{00000000-0005-0000-0000-00001C7E0000}"/>
    <cellStyle name="Remarque 3 2 10" xfId="300" xr:uid="{00000000-0005-0000-0000-00001D7E0000}"/>
    <cellStyle name="Remarque 3 2 10 10" xfId="24332" xr:uid="{00000000-0005-0000-0000-00001E7E0000}"/>
    <cellStyle name="Remarque 3 2 10 10 2" xfId="48292" xr:uid="{00000000-0005-0000-0000-00001F7E0000}"/>
    <cellStyle name="Remarque 3 2 10 11" xfId="36464" xr:uid="{00000000-0005-0000-0000-0000207E0000}"/>
    <cellStyle name="Remarque 3 2 10 11 2" xfId="60424" xr:uid="{00000000-0005-0000-0000-0000217E0000}"/>
    <cellStyle name="Remarque 3 2 10 12" xfId="12997" xr:uid="{00000000-0005-0000-0000-0000227E0000}"/>
    <cellStyle name="Remarque 3 2 10 13" xfId="36957" xr:uid="{00000000-0005-0000-0000-0000237E0000}"/>
    <cellStyle name="Remarque 3 2 10 2" xfId="3206" xr:uid="{00000000-0005-0000-0000-0000247E0000}"/>
    <cellStyle name="Remarque 3 2 10 2 2" xfId="27220" xr:uid="{00000000-0005-0000-0000-0000257E0000}"/>
    <cellStyle name="Remarque 3 2 10 2 2 2" xfId="51180" xr:uid="{00000000-0005-0000-0000-0000267E0000}"/>
    <cellStyle name="Remarque 3 2 10 2 3" xfId="14467" xr:uid="{00000000-0005-0000-0000-0000277E0000}"/>
    <cellStyle name="Remarque 3 2 10 2 4" xfId="38427" xr:uid="{00000000-0005-0000-0000-0000287E0000}"/>
    <cellStyle name="Remarque 3 2 10 3" xfId="4640" xr:uid="{00000000-0005-0000-0000-0000297E0000}"/>
    <cellStyle name="Remarque 3 2 10 3 2" xfId="28654" xr:uid="{00000000-0005-0000-0000-00002A7E0000}"/>
    <cellStyle name="Remarque 3 2 10 3 2 2" xfId="52614" xr:uid="{00000000-0005-0000-0000-00002B7E0000}"/>
    <cellStyle name="Remarque 3 2 10 3 3" xfId="15901" xr:uid="{00000000-0005-0000-0000-00002C7E0000}"/>
    <cellStyle name="Remarque 3 2 10 3 4" xfId="39861" xr:uid="{00000000-0005-0000-0000-00002D7E0000}"/>
    <cellStyle name="Remarque 3 2 10 4" xfId="6034" xr:uid="{00000000-0005-0000-0000-00002E7E0000}"/>
    <cellStyle name="Remarque 3 2 10 4 2" xfId="30048" xr:uid="{00000000-0005-0000-0000-00002F7E0000}"/>
    <cellStyle name="Remarque 3 2 10 4 2 2" xfId="54008" xr:uid="{00000000-0005-0000-0000-0000307E0000}"/>
    <cellStyle name="Remarque 3 2 10 4 3" xfId="17295" xr:uid="{00000000-0005-0000-0000-0000317E0000}"/>
    <cellStyle name="Remarque 3 2 10 4 4" xfId="41255" xr:uid="{00000000-0005-0000-0000-0000327E0000}"/>
    <cellStyle name="Remarque 3 2 10 5" xfId="7422" xr:uid="{00000000-0005-0000-0000-0000337E0000}"/>
    <cellStyle name="Remarque 3 2 10 5 2" xfId="31436" xr:uid="{00000000-0005-0000-0000-0000347E0000}"/>
    <cellStyle name="Remarque 3 2 10 5 2 2" xfId="55396" xr:uid="{00000000-0005-0000-0000-0000357E0000}"/>
    <cellStyle name="Remarque 3 2 10 5 3" xfId="18683" xr:uid="{00000000-0005-0000-0000-0000367E0000}"/>
    <cellStyle name="Remarque 3 2 10 5 4" xfId="42643" xr:uid="{00000000-0005-0000-0000-0000377E0000}"/>
    <cellStyle name="Remarque 3 2 10 6" xfId="8807" xr:uid="{00000000-0005-0000-0000-0000387E0000}"/>
    <cellStyle name="Remarque 3 2 10 6 2" xfId="32821" xr:uid="{00000000-0005-0000-0000-0000397E0000}"/>
    <cellStyle name="Remarque 3 2 10 6 2 2" xfId="56781" xr:uid="{00000000-0005-0000-0000-00003A7E0000}"/>
    <cellStyle name="Remarque 3 2 10 6 3" xfId="20068" xr:uid="{00000000-0005-0000-0000-00003B7E0000}"/>
    <cellStyle name="Remarque 3 2 10 6 4" xfId="44028" xr:uid="{00000000-0005-0000-0000-00003C7E0000}"/>
    <cellStyle name="Remarque 3 2 10 7" xfId="10264" xr:uid="{00000000-0005-0000-0000-00003D7E0000}"/>
    <cellStyle name="Remarque 3 2 10 7 2" xfId="34274" xr:uid="{00000000-0005-0000-0000-00003E7E0000}"/>
    <cellStyle name="Remarque 3 2 10 7 2 2" xfId="58234" xr:uid="{00000000-0005-0000-0000-00003F7E0000}"/>
    <cellStyle name="Remarque 3 2 10 7 3" xfId="21531" xr:uid="{00000000-0005-0000-0000-0000407E0000}"/>
    <cellStyle name="Remarque 3 2 10 7 4" xfId="45491" xr:uid="{00000000-0005-0000-0000-0000417E0000}"/>
    <cellStyle name="Remarque 3 2 10 8" xfId="11932" xr:uid="{00000000-0005-0000-0000-0000427E0000}"/>
    <cellStyle name="Remarque 3 2 10 8 2" xfId="23210" xr:uid="{00000000-0005-0000-0000-0000437E0000}"/>
    <cellStyle name="Remarque 3 2 10 8 3" xfId="47170" xr:uid="{00000000-0005-0000-0000-0000447E0000}"/>
    <cellStyle name="Remarque 3 2 10 9" xfId="1736" xr:uid="{00000000-0005-0000-0000-0000457E0000}"/>
    <cellStyle name="Remarque 3 2 10 9 2" xfId="25750" xr:uid="{00000000-0005-0000-0000-0000467E0000}"/>
    <cellStyle name="Remarque 3 2 10 9 3" xfId="49710" xr:uid="{00000000-0005-0000-0000-0000477E0000}"/>
    <cellStyle name="Remarque 3 2 11" xfId="1552" xr:uid="{00000000-0005-0000-0000-0000487E0000}"/>
    <cellStyle name="Remarque 3 2 11 10" xfId="25584" xr:uid="{00000000-0005-0000-0000-0000497E0000}"/>
    <cellStyle name="Remarque 3 2 11 10 2" xfId="49544" xr:uid="{00000000-0005-0000-0000-00004A7E0000}"/>
    <cellStyle name="Remarque 3 2 11 11" xfId="36805" xr:uid="{00000000-0005-0000-0000-00004B7E0000}"/>
    <cellStyle name="Remarque 3 2 11 11 2" xfId="60765" xr:uid="{00000000-0005-0000-0000-00004C7E0000}"/>
    <cellStyle name="Remarque 3 2 11 12" xfId="14249" xr:uid="{00000000-0005-0000-0000-00004D7E0000}"/>
    <cellStyle name="Remarque 3 2 11 13" xfId="38209" xr:uid="{00000000-0005-0000-0000-00004E7E0000}"/>
    <cellStyle name="Remarque 3 2 11 2" xfId="4458" xr:uid="{00000000-0005-0000-0000-00004F7E0000}"/>
    <cellStyle name="Remarque 3 2 11 2 2" xfId="28472" xr:uid="{00000000-0005-0000-0000-0000507E0000}"/>
    <cellStyle name="Remarque 3 2 11 2 2 2" xfId="52432" xr:uid="{00000000-0005-0000-0000-0000517E0000}"/>
    <cellStyle name="Remarque 3 2 11 2 3" xfId="15719" xr:uid="{00000000-0005-0000-0000-0000527E0000}"/>
    <cellStyle name="Remarque 3 2 11 2 4" xfId="39679" xr:uid="{00000000-0005-0000-0000-0000537E0000}"/>
    <cellStyle name="Remarque 3 2 11 3" xfId="5892" xr:uid="{00000000-0005-0000-0000-0000547E0000}"/>
    <cellStyle name="Remarque 3 2 11 3 2" xfId="29906" xr:uid="{00000000-0005-0000-0000-0000557E0000}"/>
    <cellStyle name="Remarque 3 2 11 3 2 2" xfId="53866" xr:uid="{00000000-0005-0000-0000-0000567E0000}"/>
    <cellStyle name="Remarque 3 2 11 3 3" xfId="17153" xr:uid="{00000000-0005-0000-0000-0000577E0000}"/>
    <cellStyle name="Remarque 3 2 11 3 4" xfId="41113" xr:uid="{00000000-0005-0000-0000-0000587E0000}"/>
    <cellStyle name="Remarque 3 2 11 4" xfId="7286" xr:uid="{00000000-0005-0000-0000-0000597E0000}"/>
    <cellStyle name="Remarque 3 2 11 4 2" xfId="31300" xr:uid="{00000000-0005-0000-0000-00005A7E0000}"/>
    <cellStyle name="Remarque 3 2 11 4 2 2" xfId="55260" xr:uid="{00000000-0005-0000-0000-00005B7E0000}"/>
    <cellStyle name="Remarque 3 2 11 4 3" xfId="18547" xr:uid="{00000000-0005-0000-0000-00005C7E0000}"/>
    <cellStyle name="Remarque 3 2 11 4 4" xfId="42507" xr:uid="{00000000-0005-0000-0000-00005D7E0000}"/>
    <cellStyle name="Remarque 3 2 11 5" xfId="8674" xr:uid="{00000000-0005-0000-0000-00005E7E0000}"/>
    <cellStyle name="Remarque 3 2 11 5 2" xfId="32688" xr:uid="{00000000-0005-0000-0000-00005F7E0000}"/>
    <cellStyle name="Remarque 3 2 11 5 2 2" xfId="56648" xr:uid="{00000000-0005-0000-0000-0000607E0000}"/>
    <cellStyle name="Remarque 3 2 11 5 3" xfId="19935" xr:uid="{00000000-0005-0000-0000-0000617E0000}"/>
    <cellStyle name="Remarque 3 2 11 5 4" xfId="43895" xr:uid="{00000000-0005-0000-0000-0000627E0000}"/>
    <cellStyle name="Remarque 3 2 11 6" xfId="10059" xr:uid="{00000000-0005-0000-0000-0000637E0000}"/>
    <cellStyle name="Remarque 3 2 11 6 2" xfId="34073" xr:uid="{00000000-0005-0000-0000-0000647E0000}"/>
    <cellStyle name="Remarque 3 2 11 6 2 2" xfId="58033" xr:uid="{00000000-0005-0000-0000-0000657E0000}"/>
    <cellStyle name="Remarque 3 2 11 6 3" xfId="21320" xr:uid="{00000000-0005-0000-0000-0000667E0000}"/>
    <cellStyle name="Remarque 3 2 11 6 4" xfId="45280" xr:uid="{00000000-0005-0000-0000-0000677E0000}"/>
    <cellStyle name="Remarque 3 2 11 7" xfId="11516" xr:uid="{00000000-0005-0000-0000-0000687E0000}"/>
    <cellStyle name="Remarque 3 2 11 7 2" xfId="35526" xr:uid="{00000000-0005-0000-0000-0000697E0000}"/>
    <cellStyle name="Remarque 3 2 11 7 2 2" xfId="59486" xr:uid="{00000000-0005-0000-0000-00006A7E0000}"/>
    <cellStyle name="Remarque 3 2 11 7 3" xfId="22783" xr:uid="{00000000-0005-0000-0000-00006B7E0000}"/>
    <cellStyle name="Remarque 3 2 11 7 4" xfId="46743" xr:uid="{00000000-0005-0000-0000-00006C7E0000}"/>
    <cellStyle name="Remarque 3 2 11 8" xfId="12295" xr:uid="{00000000-0005-0000-0000-00006D7E0000}"/>
    <cellStyle name="Remarque 3 2 11 8 2" xfId="23583" xr:uid="{00000000-0005-0000-0000-00006E7E0000}"/>
    <cellStyle name="Remarque 3 2 11 8 3" xfId="47543" xr:uid="{00000000-0005-0000-0000-00006F7E0000}"/>
    <cellStyle name="Remarque 3 2 11 9" xfId="2988" xr:uid="{00000000-0005-0000-0000-0000707E0000}"/>
    <cellStyle name="Remarque 3 2 11 9 2" xfId="27002" xr:uid="{00000000-0005-0000-0000-0000717E0000}"/>
    <cellStyle name="Remarque 3 2 11 9 3" xfId="50962" xr:uid="{00000000-0005-0000-0000-0000727E0000}"/>
    <cellStyle name="Remarque 3 2 12" xfId="3069" xr:uid="{00000000-0005-0000-0000-0000737E0000}"/>
    <cellStyle name="Remarque 3 2 12 2" xfId="27083" xr:uid="{00000000-0005-0000-0000-0000747E0000}"/>
    <cellStyle name="Remarque 3 2 12 2 2" xfId="51043" xr:uid="{00000000-0005-0000-0000-0000757E0000}"/>
    <cellStyle name="Remarque 3 2 12 3" xfId="14330" xr:uid="{00000000-0005-0000-0000-0000767E0000}"/>
    <cellStyle name="Remarque 3 2 12 4" xfId="38290" xr:uid="{00000000-0005-0000-0000-0000777E0000}"/>
    <cellStyle name="Remarque 3 2 13" xfId="1626" xr:uid="{00000000-0005-0000-0000-0000787E0000}"/>
    <cellStyle name="Remarque 3 2 13 2" xfId="25641" xr:uid="{00000000-0005-0000-0000-0000797E0000}"/>
    <cellStyle name="Remarque 3 2 13 3" xfId="49601" xr:uid="{00000000-0005-0000-0000-00007A7E0000}"/>
    <cellStyle name="Remarque 3 2 14" xfId="1616" xr:uid="{00000000-0005-0000-0000-00007B7E0000}"/>
    <cellStyle name="Remarque 3 2 15" xfId="163" xr:uid="{00000000-0005-0000-0000-00007C7E0000}"/>
    <cellStyle name="Remarque 3 2 2" xfId="60" xr:uid="{00000000-0005-0000-0000-00007D7E0000}"/>
    <cellStyle name="Remarque 3 2 2 10" xfId="1204" xr:uid="{00000000-0005-0000-0000-00007E7E0000}"/>
    <cellStyle name="Remarque 3 2 2 10 10" xfId="25236" xr:uid="{00000000-0005-0000-0000-00007F7E0000}"/>
    <cellStyle name="Remarque 3 2 2 10 10 2" xfId="49196" xr:uid="{00000000-0005-0000-0000-0000807E0000}"/>
    <cellStyle name="Remarque 3 2 2 10 11" xfId="35675" xr:uid="{00000000-0005-0000-0000-0000817E0000}"/>
    <cellStyle name="Remarque 3 2 2 10 11 2" xfId="59635" xr:uid="{00000000-0005-0000-0000-0000827E0000}"/>
    <cellStyle name="Remarque 3 2 2 10 12" xfId="13901" xr:uid="{00000000-0005-0000-0000-0000837E0000}"/>
    <cellStyle name="Remarque 3 2 2 10 13" xfId="37861" xr:uid="{00000000-0005-0000-0000-0000847E0000}"/>
    <cellStyle name="Remarque 3 2 2 10 2" xfId="4110" xr:uid="{00000000-0005-0000-0000-0000857E0000}"/>
    <cellStyle name="Remarque 3 2 2 10 2 2" xfId="28124" xr:uid="{00000000-0005-0000-0000-0000867E0000}"/>
    <cellStyle name="Remarque 3 2 2 10 2 2 2" xfId="52084" xr:uid="{00000000-0005-0000-0000-0000877E0000}"/>
    <cellStyle name="Remarque 3 2 2 10 2 3" xfId="15371" xr:uid="{00000000-0005-0000-0000-0000887E0000}"/>
    <cellStyle name="Remarque 3 2 2 10 2 4" xfId="39331" xr:uid="{00000000-0005-0000-0000-0000897E0000}"/>
    <cellStyle name="Remarque 3 2 2 10 3" xfId="5544" xr:uid="{00000000-0005-0000-0000-00008A7E0000}"/>
    <cellStyle name="Remarque 3 2 2 10 3 2" xfId="29558" xr:uid="{00000000-0005-0000-0000-00008B7E0000}"/>
    <cellStyle name="Remarque 3 2 2 10 3 2 2" xfId="53518" xr:uid="{00000000-0005-0000-0000-00008C7E0000}"/>
    <cellStyle name="Remarque 3 2 2 10 3 3" xfId="16805" xr:uid="{00000000-0005-0000-0000-00008D7E0000}"/>
    <cellStyle name="Remarque 3 2 2 10 3 4" xfId="40765" xr:uid="{00000000-0005-0000-0000-00008E7E0000}"/>
    <cellStyle name="Remarque 3 2 2 10 4" xfId="6938" xr:uid="{00000000-0005-0000-0000-00008F7E0000}"/>
    <cellStyle name="Remarque 3 2 2 10 4 2" xfId="30952" xr:uid="{00000000-0005-0000-0000-0000907E0000}"/>
    <cellStyle name="Remarque 3 2 2 10 4 2 2" xfId="54912" xr:uid="{00000000-0005-0000-0000-0000917E0000}"/>
    <cellStyle name="Remarque 3 2 2 10 4 3" xfId="18199" xr:uid="{00000000-0005-0000-0000-0000927E0000}"/>
    <cellStyle name="Remarque 3 2 2 10 4 4" xfId="42159" xr:uid="{00000000-0005-0000-0000-0000937E0000}"/>
    <cellStyle name="Remarque 3 2 2 10 5" xfId="8326" xr:uid="{00000000-0005-0000-0000-0000947E0000}"/>
    <cellStyle name="Remarque 3 2 2 10 5 2" xfId="32340" xr:uid="{00000000-0005-0000-0000-0000957E0000}"/>
    <cellStyle name="Remarque 3 2 2 10 5 2 2" xfId="56300" xr:uid="{00000000-0005-0000-0000-0000967E0000}"/>
    <cellStyle name="Remarque 3 2 2 10 5 3" xfId="19587" xr:uid="{00000000-0005-0000-0000-0000977E0000}"/>
    <cellStyle name="Remarque 3 2 2 10 5 4" xfId="43547" xr:uid="{00000000-0005-0000-0000-0000987E0000}"/>
    <cellStyle name="Remarque 3 2 2 10 6" xfId="9711" xr:uid="{00000000-0005-0000-0000-0000997E0000}"/>
    <cellStyle name="Remarque 3 2 2 10 6 2" xfId="33725" xr:uid="{00000000-0005-0000-0000-00009A7E0000}"/>
    <cellStyle name="Remarque 3 2 2 10 6 2 2" xfId="57685" xr:uid="{00000000-0005-0000-0000-00009B7E0000}"/>
    <cellStyle name="Remarque 3 2 2 10 6 3" xfId="20972" xr:uid="{00000000-0005-0000-0000-00009C7E0000}"/>
    <cellStyle name="Remarque 3 2 2 10 6 4" xfId="44932" xr:uid="{00000000-0005-0000-0000-00009D7E0000}"/>
    <cellStyle name="Remarque 3 2 2 10 7" xfId="11168" xr:uid="{00000000-0005-0000-0000-00009E7E0000}"/>
    <cellStyle name="Remarque 3 2 2 10 7 2" xfId="35178" xr:uid="{00000000-0005-0000-0000-00009F7E0000}"/>
    <cellStyle name="Remarque 3 2 2 10 7 2 2" xfId="59138" xr:uid="{00000000-0005-0000-0000-0000A07E0000}"/>
    <cellStyle name="Remarque 3 2 2 10 7 3" xfId="22435" xr:uid="{00000000-0005-0000-0000-0000A17E0000}"/>
    <cellStyle name="Remarque 3 2 2 10 7 4" xfId="46395" xr:uid="{00000000-0005-0000-0000-0000A27E0000}"/>
    <cellStyle name="Remarque 3 2 2 10 8" xfId="11648" xr:uid="{00000000-0005-0000-0000-0000A37E0000}"/>
    <cellStyle name="Remarque 3 2 2 10 8 2" xfId="22916" xr:uid="{00000000-0005-0000-0000-0000A47E0000}"/>
    <cellStyle name="Remarque 3 2 2 10 8 3" xfId="46876" xr:uid="{00000000-0005-0000-0000-0000A57E0000}"/>
    <cellStyle name="Remarque 3 2 2 10 9" xfId="2640" xr:uid="{00000000-0005-0000-0000-0000A67E0000}"/>
    <cellStyle name="Remarque 3 2 2 10 9 2" xfId="26654" xr:uid="{00000000-0005-0000-0000-0000A77E0000}"/>
    <cellStyle name="Remarque 3 2 2 10 9 3" xfId="50614" xr:uid="{00000000-0005-0000-0000-0000A87E0000}"/>
    <cellStyle name="Remarque 3 2 2 11" xfId="291" xr:uid="{00000000-0005-0000-0000-0000A97E0000}"/>
    <cellStyle name="Remarque 3 2 2 11 10" xfId="24323" xr:uid="{00000000-0005-0000-0000-0000AA7E0000}"/>
    <cellStyle name="Remarque 3 2 2 11 10 2" xfId="48283" xr:uid="{00000000-0005-0000-0000-0000AB7E0000}"/>
    <cellStyle name="Remarque 3 2 2 11 11" xfId="36127" xr:uid="{00000000-0005-0000-0000-0000AC7E0000}"/>
    <cellStyle name="Remarque 3 2 2 11 11 2" xfId="60087" xr:uid="{00000000-0005-0000-0000-0000AD7E0000}"/>
    <cellStyle name="Remarque 3 2 2 11 12" xfId="12988" xr:uid="{00000000-0005-0000-0000-0000AE7E0000}"/>
    <cellStyle name="Remarque 3 2 2 11 13" xfId="36948" xr:uid="{00000000-0005-0000-0000-0000AF7E0000}"/>
    <cellStyle name="Remarque 3 2 2 11 2" xfId="3197" xr:uid="{00000000-0005-0000-0000-0000B07E0000}"/>
    <cellStyle name="Remarque 3 2 2 11 2 2" xfId="27211" xr:uid="{00000000-0005-0000-0000-0000B17E0000}"/>
    <cellStyle name="Remarque 3 2 2 11 2 2 2" xfId="51171" xr:uid="{00000000-0005-0000-0000-0000B27E0000}"/>
    <cellStyle name="Remarque 3 2 2 11 2 3" xfId="14458" xr:uid="{00000000-0005-0000-0000-0000B37E0000}"/>
    <cellStyle name="Remarque 3 2 2 11 2 4" xfId="38418" xr:uid="{00000000-0005-0000-0000-0000B47E0000}"/>
    <cellStyle name="Remarque 3 2 2 11 3" xfId="4631" xr:uid="{00000000-0005-0000-0000-0000B57E0000}"/>
    <cellStyle name="Remarque 3 2 2 11 3 2" xfId="28645" xr:uid="{00000000-0005-0000-0000-0000B67E0000}"/>
    <cellStyle name="Remarque 3 2 2 11 3 2 2" xfId="52605" xr:uid="{00000000-0005-0000-0000-0000B77E0000}"/>
    <cellStyle name="Remarque 3 2 2 11 3 3" xfId="15892" xr:uid="{00000000-0005-0000-0000-0000B87E0000}"/>
    <cellStyle name="Remarque 3 2 2 11 3 4" xfId="39852" xr:uid="{00000000-0005-0000-0000-0000B97E0000}"/>
    <cellStyle name="Remarque 3 2 2 11 4" xfId="6025" xr:uid="{00000000-0005-0000-0000-0000BA7E0000}"/>
    <cellStyle name="Remarque 3 2 2 11 4 2" xfId="30039" xr:uid="{00000000-0005-0000-0000-0000BB7E0000}"/>
    <cellStyle name="Remarque 3 2 2 11 4 2 2" xfId="53999" xr:uid="{00000000-0005-0000-0000-0000BC7E0000}"/>
    <cellStyle name="Remarque 3 2 2 11 4 3" xfId="17286" xr:uid="{00000000-0005-0000-0000-0000BD7E0000}"/>
    <cellStyle name="Remarque 3 2 2 11 4 4" xfId="41246" xr:uid="{00000000-0005-0000-0000-0000BE7E0000}"/>
    <cellStyle name="Remarque 3 2 2 11 5" xfId="7413" xr:uid="{00000000-0005-0000-0000-0000BF7E0000}"/>
    <cellStyle name="Remarque 3 2 2 11 5 2" xfId="31427" xr:uid="{00000000-0005-0000-0000-0000C07E0000}"/>
    <cellStyle name="Remarque 3 2 2 11 5 2 2" xfId="55387" xr:uid="{00000000-0005-0000-0000-0000C17E0000}"/>
    <cellStyle name="Remarque 3 2 2 11 5 3" xfId="18674" xr:uid="{00000000-0005-0000-0000-0000C27E0000}"/>
    <cellStyle name="Remarque 3 2 2 11 5 4" xfId="42634" xr:uid="{00000000-0005-0000-0000-0000C37E0000}"/>
    <cellStyle name="Remarque 3 2 2 11 6" xfId="8798" xr:uid="{00000000-0005-0000-0000-0000C47E0000}"/>
    <cellStyle name="Remarque 3 2 2 11 6 2" xfId="32812" xr:uid="{00000000-0005-0000-0000-0000C57E0000}"/>
    <cellStyle name="Remarque 3 2 2 11 6 2 2" xfId="56772" xr:uid="{00000000-0005-0000-0000-0000C67E0000}"/>
    <cellStyle name="Remarque 3 2 2 11 6 3" xfId="20059" xr:uid="{00000000-0005-0000-0000-0000C77E0000}"/>
    <cellStyle name="Remarque 3 2 2 11 6 4" xfId="44019" xr:uid="{00000000-0005-0000-0000-0000C87E0000}"/>
    <cellStyle name="Remarque 3 2 2 11 7" xfId="10255" xr:uid="{00000000-0005-0000-0000-0000C97E0000}"/>
    <cellStyle name="Remarque 3 2 2 11 7 2" xfId="34265" xr:uid="{00000000-0005-0000-0000-0000CA7E0000}"/>
    <cellStyle name="Remarque 3 2 2 11 7 2 2" xfId="58225" xr:uid="{00000000-0005-0000-0000-0000CB7E0000}"/>
    <cellStyle name="Remarque 3 2 2 11 7 3" xfId="21522" xr:uid="{00000000-0005-0000-0000-0000CC7E0000}"/>
    <cellStyle name="Remarque 3 2 2 11 7 4" xfId="45482" xr:uid="{00000000-0005-0000-0000-0000CD7E0000}"/>
    <cellStyle name="Remarque 3 2 2 11 8" xfId="12358" xr:uid="{00000000-0005-0000-0000-0000CE7E0000}"/>
    <cellStyle name="Remarque 3 2 2 11 8 2" xfId="23647" xr:uid="{00000000-0005-0000-0000-0000CF7E0000}"/>
    <cellStyle name="Remarque 3 2 2 11 8 3" xfId="47607" xr:uid="{00000000-0005-0000-0000-0000D07E0000}"/>
    <cellStyle name="Remarque 3 2 2 11 9" xfId="1727" xr:uid="{00000000-0005-0000-0000-0000D17E0000}"/>
    <cellStyle name="Remarque 3 2 2 11 9 2" xfId="25741" xr:uid="{00000000-0005-0000-0000-0000D27E0000}"/>
    <cellStyle name="Remarque 3 2 2 11 9 3" xfId="49701" xr:uid="{00000000-0005-0000-0000-0000D37E0000}"/>
    <cellStyle name="Remarque 3 2 2 12" xfId="1565" xr:uid="{00000000-0005-0000-0000-0000D47E0000}"/>
    <cellStyle name="Remarque 3 2 2 12 10" xfId="25597" xr:uid="{00000000-0005-0000-0000-0000D57E0000}"/>
    <cellStyle name="Remarque 3 2 2 12 10 2" xfId="49557" xr:uid="{00000000-0005-0000-0000-0000D67E0000}"/>
    <cellStyle name="Remarque 3 2 2 12 11" xfId="23184" xr:uid="{00000000-0005-0000-0000-0000D77E0000}"/>
    <cellStyle name="Remarque 3 2 2 12 11 2" xfId="47144" xr:uid="{00000000-0005-0000-0000-0000D87E0000}"/>
    <cellStyle name="Remarque 3 2 2 12 12" xfId="14262" xr:uid="{00000000-0005-0000-0000-0000D97E0000}"/>
    <cellStyle name="Remarque 3 2 2 12 13" xfId="38222" xr:uid="{00000000-0005-0000-0000-0000DA7E0000}"/>
    <cellStyle name="Remarque 3 2 2 12 2" xfId="4471" xr:uid="{00000000-0005-0000-0000-0000DB7E0000}"/>
    <cellStyle name="Remarque 3 2 2 12 2 2" xfId="28485" xr:uid="{00000000-0005-0000-0000-0000DC7E0000}"/>
    <cellStyle name="Remarque 3 2 2 12 2 2 2" xfId="52445" xr:uid="{00000000-0005-0000-0000-0000DD7E0000}"/>
    <cellStyle name="Remarque 3 2 2 12 2 3" xfId="15732" xr:uid="{00000000-0005-0000-0000-0000DE7E0000}"/>
    <cellStyle name="Remarque 3 2 2 12 2 4" xfId="39692" xr:uid="{00000000-0005-0000-0000-0000DF7E0000}"/>
    <cellStyle name="Remarque 3 2 2 12 3" xfId="5905" xr:uid="{00000000-0005-0000-0000-0000E07E0000}"/>
    <cellStyle name="Remarque 3 2 2 12 3 2" xfId="29919" xr:uid="{00000000-0005-0000-0000-0000E17E0000}"/>
    <cellStyle name="Remarque 3 2 2 12 3 2 2" xfId="53879" xr:uid="{00000000-0005-0000-0000-0000E27E0000}"/>
    <cellStyle name="Remarque 3 2 2 12 3 3" xfId="17166" xr:uid="{00000000-0005-0000-0000-0000E37E0000}"/>
    <cellStyle name="Remarque 3 2 2 12 3 4" xfId="41126" xr:uid="{00000000-0005-0000-0000-0000E47E0000}"/>
    <cellStyle name="Remarque 3 2 2 12 4" xfId="7299" xr:uid="{00000000-0005-0000-0000-0000E57E0000}"/>
    <cellStyle name="Remarque 3 2 2 12 4 2" xfId="31313" xr:uid="{00000000-0005-0000-0000-0000E67E0000}"/>
    <cellStyle name="Remarque 3 2 2 12 4 2 2" xfId="55273" xr:uid="{00000000-0005-0000-0000-0000E77E0000}"/>
    <cellStyle name="Remarque 3 2 2 12 4 3" xfId="18560" xr:uid="{00000000-0005-0000-0000-0000E87E0000}"/>
    <cellStyle name="Remarque 3 2 2 12 4 4" xfId="42520" xr:uid="{00000000-0005-0000-0000-0000E97E0000}"/>
    <cellStyle name="Remarque 3 2 2 12 5" xfId="8687" xr:uid="{00000000-0005-0000-0000-0000EA7E0000}"/>
    <cellStyle name="Remarque 3 2 2 12 5 2" xfId="32701" xr:uid="{00000000-0005-0000-0000-0000EB7E0000}"/>
    <cellStyle name="Remarque 3 2 2 12 5 2 2" xfId="56661" xr:uid="{00000000-0005-0000-0000-0000EC7E0000}"/>
    <cellStyle name="Remarque 3 2 2 12 5 3" xfId="19948" xr:uid="{00000000-0005-0000-0000-0000ED7E0000}"/>
    <cellStyle name="Remarque 3 2 2 12 5 4" xfId="43908" xr:uid="{00000000-0005-0000-0000-0000EE7E0000}"/>
    <cellStyle name="Remarque 3 2 2 12 6" xfId="10072" xr:uid="{00000000-0005-0000-0000-0000EF7E0000}"/>
    <cellStyle name="Remarque 3 2 2 12 6 2" xfId="34086" xr:uid="{00000000-0005-0000-0000-0000F07E0000}"/>
    <cellStyle name="Remarque 3 2 2 12 6 2 2" xfId="58046" xr:uid="{00000000-0005-0000-0000-0000F17E0000}"/>
    <cellStyle name="Remarque 3 2 2 12 6 3" xfId="21333" xr:uid="{00000000-0005-0000-0000-0000F27E0000}"/>
    <cellStyle name="Remarque 3 2 2 12 6 4" xfId="45293" xr:uid="{00000000-0005-0000-0000-0000F37E0000}"/>
    <cellStyle name="Remarque 3 2 2 12 7" xfId="11529" xr:uid="{00000000-0005-0000-0000-0000F47E0000}"/>
    <cellStyle name="Remarque 3 2 2 12 7 2" xfId="35539" xr:uid="{00000000-0005-0000-0000-0000F57E0000}"/>
    <cellStyle name="Remarque 3 2 2 12 7 2 2" xfId="59499" xr:uid="{00000000-0005-0000-0000-0000F67E0000}"/>
    <cellStyle name="Remarque 3 2 2 12 7 3" xfId="22796" xr:uid="{00000000-0005-0000-0000-0000F77E0000}"/>
    <cellStyle name="Remarque 3 2 2 12 7 4" xfId="46756" xr:uid="{00000000-0005-0000-0000-0000F87E0000}"/>
    <cellStyle name="Remarque 3 2 2 12 8" xfId="11651" xr:uid="{00000000-0005-0000-0000-0000F97E0000}"/>
    <cellStyle name="Remarque 3 2 2 12 8 2" xfId="22919" xr:uid="{00000000-0005-0000-0000-0000FA7E0000}"/>
    <cellStyle name="Remarque 3 2 2 12 8 3" xfId="46879" xr:uid="{00000000-0005-0000-0000-0000FB7E0000}"/>
    <cellStyle name="Remarque 3 2 2 12 9" xfId="3001" xr:uid="{00000000-0005-0000-0000-0000FC7E0000}"/>
    <cellStyle name="Remarque 3 2 2 12 9 2" xfId="27015" xr:uid="{00000000-0005-0000-0000-0000FD7E0000}"/>
    <cellStyle name="Remarque 3 2 2 12 9 3" xfId="50975" xr:uid="{00000000-0005-0000-0000-0000FE7E0000}"/>
    <cellStyle name="Remarque 3 2 2 13" xfId="208" xr:uid="{00000000-0005-0000-0000-0000FF7E0000}"/>
    <cellStyle name="Remarque 3 2 2 13 10" xfId="36259" xr:uid="{00000000-0005-0000-0000-0000007F0000}"/>
    <cellStyle name="Remarque 3 2 2 13 10 2" xfId="60219" xr:uid="{00000000-0005-0000-0000-0000017F0000}"/>
    <cellStyle name="Remarque 3 2 2 13 11" xfId="14375" xr:uid="{00000000-0005-0000-0000-0000027F0000}"/>
    <cellStyle name="Remarque 3 2 2 13 12" xfId="38335" xr:uid="{00000000-0005-0000-0000-0000037F0000}"/>
    <cellStyle name="Remarque 3 2 2 13 2" xfId="4553" xr:uid="{00000000-0005-0000-0000-0000047F0000}"/>
    <cellStyle name="Remarque 3 2 2 13 2 2" xfId="28567" xr:uid="{00000000-0005-0000-0000-0000057F0000}"/>
    <cellStyle name="Remarque 3 2 2 13 2 2 2" xfId="52527" xr:uid="{00000000-0005-0000-0000-0000067F0000}"/>
    <cellStyle name="Remarque 3 2 2 13 2 3" xfId="15814" xr:uid="{00000000-0005-0000-0000-0000077F0000}"/>
    <cellStyle name="Remarque 3 2 2 13 2 4" xfId="39774" xr:uid="{00000000-0005-0000-0000-0000087F0000}"/>
    <cellStyle name="Remarque 3 2 2 13 3" xfId="5952" xr:uid="{00000000-0005-0000-0000-0000097F0000}"/>
    <cellStyle name="Remarque 3 2 2 13 3 2" xfId="29966" xr:uid="{00000000-0005-0000-0000-00000A7F0000}"/>
    <cellStyle name="Remarque 3 2 2 13 3 2 2" xfId="53926" xr:uid="{00000000-0005-0000-0000-00000B7F0000}"/>
    <cellStyle name="Remarque 3 2 2 13 3 3" xfId="17213" xr:uid="{00000000-0005-0000-0000-00000C7F0000}"/>
    <cellStyle name="Remarque 3 2 2 13 3 4" xfId="41173" xr:uid="{00000000-0005-0000-0000-00000D7F0000}"/>
    <cellStyle name="Remarque 3 2 2 13 4" xfId="7346" xr:uid="{00000000-0005-0000-0000-00000E7F0000}"/>
    <cellStyle name="Remarque 3 2 2 13 4 2" xfId="31360" xr:uid="{00000000-0005-0000-0000-00000F7F0000}"/>
    <cellStyle name="Remarque 3 2 2 13 4 2 2" xfId="55320" xr:uid="{00000000-0005-0000-0000-0000107F0000}"/>
    <cellStyle name="Remarque 3 2 2 13 4 3" xfId="18607" xr:uid="{00000000-0005-0000-0000-0000117F0000}"/>
    <cellStyle name="Remarque 3 2 2 13 4 4" xfId="42567" xr:uid="{00000000-0005-0000-0000-0000127F0000}"/>
    <cellStyle name="Remarque 3 2 2 13 5" xfId="8734" xr:uid="{00000000-0005-0000-0000-0000137F0000}"/>
    <cellStyle name="Remarque 3 2 2 13 5 2" xfId="32748" xr:uid="{00000000-0005-0000-0000-0000147F0000}"/>
    <cellStyle name="Remarque 3 2 2 13 5 2 2" xfId="56708" xr:uid="{00000000-0005-0000-0000-0000157F0000}"/>
    <cellStyle name="Remarque 3 2 2 13 5 3" xfId="19995" xr:uid="{00000000-0005-0000-0000-0000167F0000}"/>
    <cellStyle name="Remarque 3 2 2 13 5 4" xfId="43955" xr:uid="{00000000-0005-0000-0000-0000177F0000}"/>
    <cellStyle name="Remarque 3 2 2 13 6" xfId="10174" xr:uid="{00000000-0005-0000-0000-0000187F0000}"/>
    <cellStyle name="Remarque 3 2 2 13 6 2" xfId="34186" xr:uid="{00000000-0005-0000-0000-0000197F0000}"/>
    <cellStyle name="Remarque 3 2 2 13 6 2 2" xfId="58146" xr:uid="{00000000-0005-0000-0000-00001A7F0000}"/>
    <cellStyle name="Remarque 3 2 2 13 6 3" xfId="21439" xr:uid="{00000000-0005-0000-0000-00001B7F0000}"/>
    <cellStyle name="Remarque 3 2 2 13 6 4" xfId="45399" xr:uid="{00000000-0005-0000-0000-00001C7F0000}"/>
    <cellStyle name="Remarque 3 2 2 13 7" xfId="12504" xr:uid="{00000000-0005-0000-0000-00001D7F0000}"/>
    <cellStyle name="Remarque 3 2 2 13 7 2" xfId="23801" xr:uid="{00000000-0005-0000-0000-00001E7F0000}"/>
    <cellStyle name="Remarque 3 2 2 13 7 3" xfId="47761" xr:uid="{00000000-0005-0000-0000-00001F7F0000}"/>
    <cellStyle name="Remarque 3 2 2 13 8" xfId="3114" xr:uid="{00000000-0005-0000-0000-0000207F0000}"/>
    <cellStyle name="Remarque 3 2 2 13 8 2" xfId="27128" xr:uid="{00000000-0005-0000-0000-0000217F0000}"/>
    <cellStyle name="Remarque 3 2 2 13 8 3" xfId="51088" xr:uid="{00000000-0005-0000-0000-0000227F0000}"/>
    <cellStyle name="Remarque 3 2 2 13 9" xfId="24240" xr:uid="{00000000-0005-0000-0000-0000237F0000}"/>
    <cellStyle name="Remarque 3 2 2 13 9 2" xfId="48200" xr:uid="{00000000-0005-0000-0000-0000247F0000}"/>
    <cellStyle name="Remarque 3 2 2 14" xfId="3082" xr:uid="{00000000-0005-0000-0000-0000257F0000}"/>
    <cellStyle name="Remarque 3 2 2 14 2" xfId="27096" xr:uid="{00000000-0005-0000-0000-0000267F0000}"/>
    <cellStyle name="Remarque 3 2 2 14 2 2" xfId="51056" xr:uid="{00000000-0005-0000-0000-0000277F0000}"/>
    <cellStyle name="Remarque 3 2 2 14 3" xfId="14343" xr:uid="{00000000-0005-0000-0000-0000287F0000}"/>
    <cellStyle name="Remarque 3 2 2 14 4" xfId="38303" xr:uid="{00000000-0005-0000-0000-0000297F0000}"/>
    <cellStyle name="Remarque 3 2 2 15" xfId="1640" xr:uid="{00000000-0005-0000-0000-00002A7F0000}"/>
    <cellStyle name="Remarque 3 2 2 15 2" xfId="25654" xr:uid="{00000000-0005-0000-0000-00002B7F0000}"/>
    <cellStyle name="Remarque 3 2 2 15 3" xfId="49614" xr:uid="{00000000-0005-0000-0000-00002C7F0000}"/>
    <cellStyle name="Remarque 3 2 2 16" xfId="12920" xr:uid="{00000000-0005-0000-0000-00002D7F0000}"/>
    <cellStyle name="Remarque 3 2 2 17" xfId="1609" xr:uid="{00000000-0005-0000-0000-00002E7F0000}"/>
    <cellStyle name="Remarque 3 2 2 18" xfId="176" xr:uid="{00000000-0005-0000-0000-00002F7F0000}"/>
    <cellStyle name="Remarque 3 2 2 2" xfId="74" xr:uid="{00000000-0005-0000-0000-0000307F0000}"/>
    <cellStyle name="Remarque 3 2 2 2 10" xfId="1368" xr:uid="{00000000-0005-0000-0000-0000317F0000}"/>
    <cellStyle name="Remarque 3 2 2 2 10 10" xfId="25400" xr:uid="{00000000-0005-0000-0000-0000327F0000}"/>
    <cellStyle name="Remarque 3 2 2 2 10 10 2" xfId="49360" xr:uid="{00000000-0005-0000-0000-0000337F0000}"/>
    <cellStyle name="Remarque 3 2 2 2 10 11" xfId="36746" xr:uid="{00000000-0005-0000-0000-0000347F0000}"/>
    <cellStyle name="Remarque 3 2 2 2 10 11 2" xfId="60706" xr:uid="{00000000-0005-0000-0000-0000357F0000}"/>
    <cellStyle name="Remarque 3 2 2 2 10 12" xfId="14065" xr:uid="{00000000-0005-0000-0000-0000367F0000}"/>
    <cellStyle name="Remarque 3 2 2 2 10 13" xfId="38025" xr:uid="{00000000-0005-0000-0000-0000377F0000}"/>
    <cellStyle name="Remarque 3 2 2 2 10 2" xfId="4274" xr:uid="{00000000-0005-0000-0000-0000387F0000}"/>
    <cellStyle name="Remarque 3 2 2 2 10 2 2" xfId="28288" xr:uid="{00000000-0005-0000-0000-0000397F0000}"/>
    <cellStyle name="Remarque 3 2 2 2 10 2 2 2" xfId="52248" xr:uid="{00000000-0005-0000-0000-00003A7F0000}"/>
    <cellStyle name="Remarque 3 2 2 2 10 2 3" xfId="15535" xr:uid="{00000000-0005-0000-0000-00003B7F0000}"/>
    <cellStyle name="Remarque 3 2 2 2 10 2 4" xfId="39495" xr:uid="{00000000-0005-0000-0000-00003C7F0000}"/>
    <cellStyle name="Remarque 3 2 2 2 10 3" xfId="5708" xr:uid="{00000000-0005-0000-0000-00003D7F0000}"/>
    <cellStyle name="Remarque 3 2 2 2 10 3 2" xfId="29722" xr:uid="{00000000-0005-0000-0000-00003E7F0000}"/>
    <cellStyle name="Remarque 3 2 2 2 10 3 2 2" xfId="53682" xr:uid="{00000000-0005-0000-0000-00003F7F0000}"/>
    <cellStyle name="Remarque 3 2 2 2 10 3 3" xfId="16969" xr:uid="{00000000-0005-0000-0000-0000407F0000}"/>
    <cellStyle name="Remarque 3 2 2 2 10 3 4" xfId="40929" xr:uid="{00000000-0005-0000-0000-0000417F0000}"/>
    <cellStyle name="Remarque 3 2 2 2 10 4" xfId="7102" xr:uid="{00000000-0005-0000-0000-0000427F0000}"/>
    <cellStyle name="Remarque 3 2 2 2 10 4 2" xfId="31116" xr:uid="{00000000-0005-0000-0000-0000437F0000}"/>
    <cellStyle name="Remarque 3 2 2 2 10 4 2 2" xfId="55076" xr:uid="{00000000-0005-0000-0000-0000447F0000}"/>
    <cellStyle name="Remarque 3 2 2 2 10 4 3" xfId="18363" xr:uid="{00000000-0005-0000-0000-0000457F0000}"/>
    <cellStyle name="Remarque 3 2 2 2 10 4 4" xfId="42323" xr:uid="{00000000-0005-0000-0000-0000467F0000}"/>
    <cellStyle name="Remarque 3 2 2 2 10 5" xfId="8490" xr:uid="{00000000-0005-0000-0000-0000477F0000}"/>
    <cellStyle name="Remarque 3 2 2 2 10 5 2" xfId="32504" xr:uid="{00000000-0005-0000-0000-0000487F0000}"/>
    <cellStyle name="Remarque 3 2 2 2 10 5 2 2" xfId="56464" xr:uid="{00000000-0005-0000-0000-0000497F0000}"/>
    <cellStyle name="Remarque 3 2 2 2 10 5 3" xfId="19751" xr:uid="{00000000-0005-0000-0000-00004A7F0000}"/>
    <cellStyle name="Remarque 3 2 2 2 10 5 4" xfId="43711" xr:uid="{00000000-0005-0000-0000-00004B7F0000}"/>
    <cellStyle name="Remarque 3 2 2 2 10 6" xfId="9875" xr:uid="{00000000-0005-0000-0000-00004C7F0000}"/>
    <cellStyle name="Remarque 3 2 2 2 10 6 2" xfId="33889" xr:uid="{00000000-0005-0000-0000-00004D7F0000}"/>
    <cellStyle name="Remarque 3 2 2 2 10 6 2 2" xfId="57849" xr:uid="{00000000-0005-0000-0000-00004E7F0000}"/>
    <cellStyle name="Remarque 3 2 2 2 10 6 3" xfId="21136" xr:uid="{00000000-0005-0000-0000-00004F7F0000}"/>
    <cellStyle name="Remarque 3 2 2 2 10 6 4" xfId="45096" xr:uid="{00000000-0005-0000-0000-0000507F0000}"/>
    <cellStyle name="Remarque 3 2 2 2 10 7" xfId="11332" xr:uid="{00000000-0005-0000-0000-0000517F0000}"/>
    <cellStyle name="Remarque 3 2 2 2 10 7 2" xfId="35342" xr:uid="{00000000-0005-0000-0000-0000527F0000}"/>
    <cellStyle name="Remarque 3 2 2 2 10 7 2 2" xfId="59302" xr:uid="{00000000-0005-0000-0000-0000537F0000}"/>
    <cellStyle name="Remarque 3 2 2 2 10 7 3" xfId="22599" xr:uid="{00000000-0005-0000-0000-0000547F0000}"/>
    <cellStyle name="Remarque 3 2 2 2 10 7 4" xfId="46559" xr:uid="{00000000-0005-0000-0000-0000557F0000}"/>
    <cellStyle name="Remarque 3 2 2 2 10 8" xfId="12285" xr:uid="{00000000-0005-0000-0000-0000567F0000}"/>
    <cellStyle name="Remarque 3 2 2 2 10 8 2" xfId="23572" xr:uid="{00000000-0005-0000-0000-0000577F0000}"/>
    <cellStyle name="Remarque 3 2 2 2 10 8 3" xfId="47532" xr:uid="{00000000-0005-0000-0000-0000587F0000}"/>
    <cellStyle name="Remarque 3 2 2 2 10 9" xfId="2804" xr:uid="{00000000-0005-0000-0000-0000597F0000}"/>
    <cellStyle name="Remarque 3 2 2 2 10 9 2" xfId="26818" xr:uid="{00000000-0005-0000-0000-00005A7F0000}"/>
    <cellStyle name="Remarque 3 2 2 2 10 9 3" xfId="50778" xr:uid="{00000000-0005-0000-0000-00005B7F0000}"/>
    <cellStyle name="Remarque 3 2 2 2 11" xfId="1579" xr:uid="{00000000-0005-0000-0000-00005C7F0000}"/>
    <cellStyle name="Remarque 3 2 2 2 11 10" xfId="25611" xr:uid="{00000000-0005-0000-0000-00005D7F0000}"/>
    <cellStyle name="Remarque 3 2 2 2 11 10 2" xfId="49571" xr:uid="{00000000-0005-0000-0000-00005E7F0000}"/>
    <cellStyle name="Remarque 3 2 2 2 11 11" xfId="23110" xr:uid="{00000000-0005-0000-0000-00005F7F0000}"/>
    <cellStyle name="Remarque 3 2 2 2 11 11 2" xfId="47070" xr:uid="{00000000-0005-0000-0000-0000607F0000}"/>
    <cellStyle name="Remarque 3 2 2 2 11 12" xfId="14276" xr:uid="{00000000-0005-0000-0000-0000617F0000}"/>
    <cellStyle name="Remarque 3 2 2 2 11 13" xfId="38236" xr:uid="{00000000-0005-0000-0000-0000627F0000}"/>
    <cellStyle name="Remarque 3 2 2 2 11 2" xfId="4485" xr:uid="{00000000-0005-0000-0000-0000637F0000}"/>
    <cellStyle name="Remarque 3 2 2 2 11 2 2" xfId="28499" xr:uid="{00000000-0005-0000-0000-0000647F0000}"/>
    <cellStyle name="Remarque 3 2 2 2 11 2 2 2" xfId="52459" xr:uid="{00000000-0005-0000-0000-0000657F0000}"/>
    <cellStyle name="Remarque 3 2 2 2 11 2 3" xfId="15746" xr:uid="{00000000-0005-0000-0000-0000667F0000}"/>
    <cellStyle name="Remarque 3 2 2 2 11 2 4" xfId="39706" xr:uid="{00000000-0005-0000-0000-0000677F0000}"/>
    <cellStyle name="Remarque 3 2 2 2 11 3" xfId="5919" xr:uid="{00000000-0005-0000-0000-0000687F0000}"/>
    <cellStyle name="Remarque 3 2 2 2 11 3 2" xfId="29933" xr:uid="{00000000-0005-0000-0000-0000697F0000}"/>
    <cellStyle name="Remarque 3 2 2 2 11 3 2 2" xfId="53893" xr:uid="{00000000-0005-0000-0000-00006A7F0000}"/>
    <cellStyle name="Remarque 3 2 2 2 11 3 3" xfId="17180" xr:uid="{00000000-0005-0000-0000-00006B7F0000}"/>
    <cellStyle name="Remarque 3 2 2 2 11 3 4" xfId="41140" xr:uid="{00000000-0005-0000-0000-00006C7F0000}"/>
    <cellStyle name="Remarque 3 2 2 2 11 4" xfId="7313" xr:uid="{00000000-0005-0000-0000-00006D7F0000}"/>
    <cellStyle name="Remarque 3 2 2 2 11 4 2" xfId="31327" xr:uid="{00000000-0005-0000-0000-00006E7F0000}"/>
    <cellStyle name="Remarque 3 2 2 2 11 4 2 2" xfId="55287" xr:uid="{00000000-0005-0000-0000-00006F7F0000}"/>
    <cellStyle name="Remarque 3 2 2 2 11 4 3" xfId="18574" xr:uid="{00000000-0005-0000-0000-0000707F0000}"/>
    <cellStyle name="Remarque 3 2 2 2 11 4 4" xfId="42534" xr:uid="{00000000-0005-0000-0000-0000717F0000}"/>
    <cellStyle name="Remarque 3 2 2 2 11 5" xfId="8701" xr:uid="{00000000-0005-0000-0000-0000727F0000}"/>
    <cellStyle name="Remarque 3 2 2 2 11 5 2" xfId="32715" xr:uid="{00000000-0005-0000-0000-0000737F0000}"/>
    <cellStyle name="Remarque 3 2 2 2 11 5 2 2" xfId="56675" xr:uid="{00000000-0005-0000-0000-0000747F0000}"/>
    <cellStyle name="Remarque 3 2 2 2 11 5 3" xfId="19962" xr:uid="{00000000-0005-0000-0000-0000757F0000}"/>
    <cellStyle name="Remarque 3 2 2 2 11 5 4" xfId="43922" xr:uid="{00000000-0005-0000-0000-0000767F0000}"/>
    <cellStyle name="Remarque 3 2 2 2 11 6" xfId="10086" xr:uid="{00000000-0005-0000-0000-0000777F0000}"/>
    <cellStyle name="Remarque 3 2 2 2 11 6 2" xfId="34100" xr:uid="{00000000-0005-0000-0000-0000787F0000}"/>
    <cellStyle name="Remarque 3 2 2 2 11 6 2 2" xfId="58060" xr:uid="{00000000-0005-0000-0000-0000797F0000}"/>
    <cellStyle name="Remarque 3 2 2 2 11 6 3" xfId="21347" xr:uid="{00000000-0005-0000-0000-00007A7F0000}"/>
    <cellStyle name="Remarque 3 2 2 2 11 6 4" xfId="45307" xr:uid="{00000000-0005-0000-0000-00007B7F0000}"/>
    <cellStyle name="Remarque 3 2 2 2 11 7" xfId="11543" xr:uid="{00000000-0005-0000-0000-00007C7F0000}"/>
    <cellStyle name="Remarque 3 2 2 2 11 7 2" xfId="35553" xr:uid="{00000000-0005-0000-0000-00007D7F0000}"/>
    <cellStyle name="Remarque 3 2 2 2 11 7 2 2" xfId="59513" xr:uid="{00000000-0005-0000-0000-00007E7F0000}"/>
    <cellStyle name="Remarque 3 2 2 2 11 7 3" xfId="22810" xr:uid="{00000000-0005-0000-0000-00007F7F0000}"/>
    <cellStyle name="Remarque 3 2 2 2 11 7 4" xfId="46770" xr:uid="{00000000-0005-0000-0000-0000807F0000}"/>
    <cellStyle name="Remarque 3 2 2 2 11 8" xfId="11686" xr:uid="{00000000-0005-0000-0000-0000817F0000}"/>
    <cellStyle name="Remarque 3 2 2 2 11 8 2" xfId="22955" xr:uid="{00000000-0005-0000-0000-0000827F0000}"/>
    <cellStyle name="Remarque 3 2 2 2 11 8 3" xfId="46915" xr:uid="{00000000-0005-0000-0000-0000837F0000}"/>
    <cellStyle name="Remarque 3 2 2 2 11 9" xfId="3015" xr:uid="{00000000-0005-0000-0000-0000847F0000}"/>
    <cellStyle name="Remarque 3 2 2 2 11 9 2" xfId="27029" xr:uid="{00000000-0005-0000-0000-0000857F0000}"/>
    <cellStyle name="Remarque 3 2 2 2 11 9 3" xfId="50989" xr:uid="{00000000-0005-0000-0000-0000867F0000}"/>
    <cellStyle name="Remarque 3 2 2 2 12" xfId="1531" xr:uid="{00000000-0005-0000-0000-0000877F0000}"/>
    <cellStyle name="Remarque 3 2 2 2 12 10" xfId="25563" xr:uid="{00000000-0005-0000-0000-0000887F0000}"/>
    <cellStyle name="Remarque 3 2 2 2 12 10 2" xfId="49523" xr:uid="{00000000-0005-0000-0000-0000897F0000}"/>
    <cellStyle name="Remarque 3 2 2 2 12 11" xfId="35816" xr:uid="{00000000-0005-0000-0000-00008A7F0000}"/>
    <cellStyle name="Remarque 3 2 2 2 12 11 2" xfId="59776" xr:uid="{00000000-0005-0000-0000-00008B7F0000}"/>
    <cellStyle name="Remarque 3 2 2 2 12 12" xfId="14228" xr:uid="{00000000-0005-0000-0000-00008C7F0000}"/>
    <cellStyle name="Remarque 3 2 2 2 12 13" xfId="38188" xr:uid="{00000000-0005-0000-0000-00008D7F0000}"/>
    <cellStyle name="Remarque 3 2 2 2 12 2" xfId="4437" xr:uid="{00000000-0005-0000-0000-00008E7F0000}"/>
    <cellStyle name="Remarque 3 2 2 2 12 2 2" xfId="28451" xr:uid="{00000000-0005-0000-0000-00008F7F0000}"/>
    <cellStyle name="Remarque 3 2 2 2 12 2 2 2" xfId="52411" xr:uid="{00000000-0005-0000-0000-0000907F0000}"/>
    <cellStyle name="Remarque 3 2 2 2 12 2 3" xfId="15698" xr:uid="{00000000-0005-0000-0000-0000917F0000}"/>
    <cellStyle name="Remarque 3 2 2 2 12 2 4" xfId="39658" xr:uid="{00000000-0005-0000-0000-0000927F0000}"/>
    <cellStyle name="Remarque 3 2 2 2 12 3" xfId="5871" xr:uid="{00000000-0005-0000-0000-0000937F0000}"/>
    <cellStyle name="Remarque 3 2 2 2 12 3 2" xfId="29885" xr:uid="{00000000-0005-0000-0000-0000947F0000}"/>
    <cellStyle name="Remarque 3 2 2 2 12 3 2 2" xfId="53845" xr:uid="{00000000-0005-0000-0000-0000957F0000}"/>
    <cellStyle name="Remarque 3 2 2 2 12 3 3" xfId="17132" xr:uid="{00000000-0005-0000-0000-0000967F0000}"/>
    <cellStyle name="Remarque 3 2 2 2 12 3 4" xfId="41092" xr:uid="{00000000-0005-0000-0000-0000977F0000}"/>
    <cellStyle name="Remarque 3 2 2 2 12 4" xfId="7265" xr:uid="{00000000-0005-0000-0000-0000987F0000}"/>
    <cellStyle name="Remarque 3 2 2 2 12 4 2" xfId="31279" xr:uid="{00000000-0005-0000-0000-0000997F0000}"/>
    <cellStyle name="Remarque 3 2 2 2 12 4 2 2" xfId="55239" xr:uid="{00000000-0005-0000-0000-00009A7F0000}"/>
    <cellStyle name="Remarque 3 2 2 2 12 4 3" xfId="18526" xr:uid="{00000000-0005-0000-0000-00009B7F0000}"/>
    <cellStyle name="Remarque 3 2 2 2 12 4 4" xfId="42486" xr:uid="{00000000-0005-0000-0000-00009C7F0000}"/>
    <cellStyle name="Remarque 3 2 2 2 12 5" xfId="8653" xr:uid="{00000000-0005-0000-0000-00009D7F0000}"/>
    <cellStyle name="Remarque 3 2 2 2 12 5 2" xfId="32667" xr:uid="{00000000-0005-0000-0000-00009E7F0000}"/>
    <cellStyle name="Remarque 3 2 2 2 12 5 2 2" xfId="56627" xr:uid="{00000000-0005-0000-0000-00009F7F0000}"/>
    <cellStyle name="Remarque 3 2 2 2 12 5 3" xfId="19914" xr:uid="{00000000-0005-0000-0000-0000A07F0000}"/>
    <cellStyle name="Remarque 3 2 2 2 12 5 4" xfId="43874" xr:uid="{00000000-0005-0000-0000-0000A17F0000}"/>
    <cellStyle name="Remarque 3 2 2 2 12 6" xfId="10038" xr:uid="{00000000-0005-0000-0000-0000A27F0000}"/>
    <cellStyle name="Remarque 3 2 2 2 12 6 2" xfId="34052" xr:uid="{00000000-0005-0000-0000-0000A37F0000}"/>
    <cellStyle name="Remarque 3 2 2 2 12 6 2 2" xfId="58012" xr:uid="{00000000-0005-0000-0000-0000A47F0000}"/>
    <cellStyle name="Remarque 3 2 2 2 12 6 3" xfId="21299" xr:uid="{00000000-0005-0000-0000-0000A57F0000}"/>
    <cellStyle name="Remarque 3 2 2 2 12 6 4" xfId="45259" xr:uid="{00000000-0005-0000-0000-0000A67F0000}"/>
    <cellStyle name="Remarque 3 2 2 2 12 7" xfId="11495" xr:uid="{00000000-0005-0000-0000-0000A77F0000}"/>
    <cellStyle name="Remarque 3 2 2 2 12 7 2" xfId="35505" xr:uid="{00000000-0005-0000-0000-0000A87F0000}"/>
    <cellStyle name="Remarque 3 2 2 2 12 7 2 2" xfId="59465" xr:uid="{00000000-0005-0000-0000-0000A97F0000}"/>
    <cellStyle name="Remarque 3 2 2 2 12 7 3" xfId="22762" xr:uid="{00000000-0005-0000-0000-0000AA7F0000}"/>
    <cellStyle name="Remarque 3 2 2 2 12 7 4" xfId="46722" xr:uid="{00000000-0005-0000-0000-0000AB7F0000}"/>
    <cellStyle name="Remarque 3 2 2 2 12 8" xfId="12308" xr:uid="{00000000-0005-0000-0000-0000AC7F0000}"/>
    <cellStyle name="Remarque 3 2 2 2 12 8 2" xfId="23596" xr:uid="{00000000-0005-0000-0000-0000AD7F0000}"/>
    <cellStyle name="Remarque 3 2 2 2 12 8 3" xfId="47556" xr:uid="{00000000-0005-0000-0000-0000AE7F0000}"/>
    <cellStyle name="Remarque 3 2 2 2 12 9" xfId="2967" xr:uid="{00000000-0005-0000-0000-0000AF7F0000}"/>
    <cellStyle name="Remarque 3 2 2 2 12 9 2" xfId="26981" xr:uid="{00000000-0005-0000-0000-0000B07F0000}"/>
    <cellStyle name="Remarque 3 2 2 2 12 9 3" xfId="50941" xr:uid="{00000000-0005-0000-0000-0000B17F0000}"/>
    <cellStyle name="Remarque 3 2 2 2 13" xfId="1596" xr:uid="{00000000-0005-0000-0000-0000B27F0000}"/>
    <cellStyle name="Remarque 3 2 2 2 13 10" xfId="25628" xr:uid="{00000000-0005-0000-0000-0000B37F0000}"/>
    <cellStyle name="Remarque 3 2 2 2 13 10 2" xfId="49588" xr:uid="{00000000-0005-0000-0000-0000B47F0000}"/>
    <cellStyle name="Remarque 3 2 2 2 13 11" xfId="36855" xr:uid="{00000000-0005-0000-0000-0000B57F0000}"/>
    <cellStyle name="Remarque 3 2 2 2 13 11 2" xfId="60815" xr:uid="{00000000-0005-0000-0000-0000B67F0000}"/>
    <cellStyle name="Remarque 3 2 2 2 13 12" xfId="14293" xr:uid="{00000000-0005-0000-0000-0000B77F0000}"/>
    <cellStyle name="Remarque 3 2 2 2 13 13" xfId="38253" xr:uid="{00000000-0005-0000-0000-0000B87F0000}"/>
    <cellStyle name="Remarque 3 2 2 2 13 2" xfId="4502" xr:uid="{00000000-0005-0000-0000-0000B97F0000}"/>
    <cellStyle name="Remarque 3 2 2 2 13 2 2" xfId="28516" xr:uid="{00000000-0005-0000-0000-0000BA7F0000}"/>
    <cellStyle name="Remarque 3 2 2 2 13 2 2 2" xfId="52476" xr:uid="{00000000-0005-0000-0000-0000BB7F0000}"/>
    <cellStyle name="Remarque 3 2 2 2 13 2 3" xfId="15763" xr:uid="{00000000-0005-0000-0000-0000BC7F0000}"/>
    <cellStyle name="Remarque 3 2 2 2 13 2 4" xfId="39723" xr:uid="{00000000-0005-0000-0000-0000BD7F0000}"/>
    <cellStyle name="Remarque 3 2 2 2 13 3" xfId="5936" xr:uid="{00000000-0005-0000-0000-0000BE7F0000}"/>
    <cellStyle name="Remarque 3 2 2 2 13 3 2" xfId="29950" xr:uid="{00000000-0005-0000-0000-0000BF7F0000}"/>
    <cellStyle name="Remarque 3 2 2 2 13 3 2 2" xfId="53910" xr:uid="{00000000-0005-0000-0000-0000C07F0000}"/>
    <cellStyle name="Remarque 3 2 2 2 13 3 3" xfId="17197" xr:uid="{00000000-0005-0000-0000-0000C17F0000}"/>
    <cellStyle name="Remarque 3 2 2 2 13 3 4" xfId="41157" xr:uid="{00000000-0005-0000-0000-0000C27F0000}"/>
    <cellStyle name="Remarque 3 2 2 2 13 4" xfId="7330" xr:uid="{00000000-0005-0000-0000-0000C37F0000}"/>
    <cellStyle name="Remarque 3 2 2 2 13 4 2" xfId="31344" xr:uid="{00000000-0005-0000-0000-0000C47F0000}"/>
    <cellStyle name="Remarque 3 2 2 2 13 4 2 2" xfId="55304" xr:uid="{00000000-0005-0000-0000-0000C57F0000}"/>
    <cellStyle name="Remarque 3 2 2 2 13 4 3" xfId="18591" xr:uid="{00000000-0005-0000-0000-0000C67F0000}"/>
    <cellStyle name="Remarque 3 2 2 2 13 4 4" xfId="42551" xr:uid="{00000000-0005-0000-0000-0000C77F0000}"/>
    <cellStyle name="Remarque 3 2 2 2 13 5" xfId="8718" xr:uid="{00000000-0005-0000-0000-0000C87F0000}"/>
    <cellStyle name="Remarque 3 2 2 2 13 5 2" xfId="32732" xr:uid="{00000000-0005-0000-0000-0000C97F0000}"/>
    <cellStyle name="Remarque 3 2 2 2 13 5 2 2" xfId="56692" xr:uid="{00000000-0005-0000-0000-0000CA7F0000}"/>
    <cellStyle name="Remarque 3 2 2 2 13 5 3" xfId="19979" xr:uid="{00000000-0005-0000-0000-0000CB7F0000}"/>
    <cellStyle name="Remarque 3 2 2 2 13 5 4" xfId="43939" xr:uid="{00000000-0005-0000-0000-0000CC7F0000}"/>
    <cellStyle name="Remarque 3 2 2 2 13 6" xfId="10103" xr:uid="{00000000-0005-0000-0000-0000CD7F0000}"/>
    <cellStyle name="Remarque 3 2 2 2 13 6 2" xfId="34117" xr:uid="{00000000-0005-0000-0000-0000CE7F0000}"/>
    <cellStyle name="Remarque 3 2 2 2 13 6 2 2" xfId="58077" xr:uid="{00000000-0005-0000-0000-0000CF7F0000}"/>
    <cellStyle name="Remarque 3 2 2 2 13 6 3" xfId="21364" xr:uid="{00000000-0005-0000-0000-0000D07F0000}"/>
    <cellStyle name="Remarque 3 2 2 2 13 6 4" xfId="45324" xr:uid="{00000000-0005-0000-0000-0000D17F0000}"/>
    <cellStyle name="Remarque 3 2 2 2 13 7" xfId="11560" xr:uid="{00000000-0005-0000-0000-0000D27F0000}"/>
    <cellStyle name="Remarque 3 2 2 2 13 7 2" xfId="35570" xr:uid="{00000000-0005-0000-0000-0000D37F0000}"/>
    <cellStyle name="Remarque 3 2 2 2 13 7 2 2" xfId="59530" xr:uid="{00000000-0005-0000-0000-0000D47F0000}"/>
    <cellStyle name="Remarque 3 2 2 2 13 7 3" xfId="22827" xr:uid="{00000000-0005-0000-0000-0000D57F0000}"/>
    <cellStyle name="Remarque 3 2 2 2 13 7 4" xfId="46787" xr:uid="{00000000-0005-0000-0000-0000D67F0000}"/>
    <cellStyle name="Remarque 3 2 2 2 13 8" xfId="10123" xr:uid="{00000000-0005-0000-0000-0000D77F0000}"/>
    <cellStyle name="Remarque 3 2 2 2 13 8 2" xfId="21384" xr:uid="{00000000-0005-0000-0000-0000D87F0000}"/>
    <cellStyle name="Remarque 3 2 2 2 13 8 3" xfId="45344" xr:uid="{00000000-0005-0000-0000-0000D97F0000}"/>
    <cellStyle name="Remarque 3 2 2 2 13 9" xfId="3032" xr:uid="{00000000-0005-0000-0000-0000DA7F0000}"/>
    <cellStyle name="Remarque 3 2 2 2 13 9 2" xfId="27046" xr:uid="{00000000-0005-0000-0000-0000DB7F0000}"/>
    <cellStyle name="Remarque 3 2 2 2 13 9 3" xfId="51006" xr:uid="{00000000-0005-0000-0000-0000DC7F0000}"/>
    <cellStyle name="Remarque 3 2 2 2 14" xfId="221" xr:uid="{00000000-0005-0000-0000-0000DD7F0000}"/>
    <cellStyle name="Remarque 3 2 2 2 14 10" xfId="36198" xr:uid="{00000000-0005-0000-0000-0000DE7F0000}"/>
    <cellStyle name="Remarque 3 2 2 2 14 10 2" xfId="60158" xr:uid="{00000000-0005-0000-0000-0000DF7F0000}"/>
    <cellStyle name="Remarque 3 2 2 2 14 11" xfId="14388" xr:uid="{00000000-0005-0000-0000-0000E07F0000}"/>
    <cellStyle name="Remarque 3 2 2 2 14 12" xfId="38348" xr:uid="{00000000-0005-0000-0000-0000E17F0000}"/>
    <cellStyle name="Remarque 3 2 2 2 14 2" xfId="4566" xr:uid="{00000000-0005-0000-0000-0000E27F0000}"/>
    <cellStyle name="Remarque 3 2 2 2 14 2 2" xfId="28580" xr:uid="{00000000-0005-0000-0000-0000E37F0000}"/>
    <cellStyle name="Remarque 3 2 2 2 14 2 2 2" xfId="52540" xr:uid="{00000000-0005-0000-0000-0000E47F0000}"/>
    <cellStyle name="Remarque 3 2 2 2 14 2 3" xfId="15827" xr:uid="{00000000-0005-0000-0000-0000E57F0000}"/>
    <cellStyle name="Remarque 3 2 2 2 14 2 4" xfId="39787" xr:uid="{00000000-0005-0000-0000-0000E67F0000}"/>
    <cellStyle name="Remarque 3 2 2 2 14 3" xfId="5965" xr:uid="{00000000-0005-0000-0000-0000E77F0000}"/>
    <cellStyle name="Remarque 3 2 2 2 14 3 2" xfId="29979" xr:uid="{00000000-0005-0000-0000-0000E87F0000}"/>
    <cellStyle name="Remarque 3 2 2 2 14 3 2 2" xfId="53939" xr:uid="{00000000-0005-0000-0000-0000E97F0000}"/>
    <cellStyle name="Remarque 3 2 2 2 14 3 3" xfId="17226" xr:uid="{00000000-0005-0000-0000-0000EA7F0000}"/>
    <cellStyle name="Remarque 3 2 2 2 14 3 4" xfId="41186" xr:uid="{00000000-0005-0000-0000-0000EB7F0000}"/>
    <cellStyle name="Remarque 3 2 2 2 14 4" xfId="7359" xr:uid="{00000000-0005-0000-0000-0000EC7F0000}"/>
    <cellStyle name="Remarque 3 2 2 2 14 4 2" xfId="31373" xr:uid="{00000000-0005-0000-0000-0000ED7F0000}"/>
    <cellStyle name="Remarque 3 2 2 2 14 4 2 2" xfId="55333" xr:uid="{00000000-0005-0000-0000-0000EE7F0000}"/>
    <cellStyle name="Remarque 3 2 2 2 14 4 3" xfId="18620" xr:uid="{00000000-0005-0000-0000-0000EF7F0000}"/>
    <cellStyle name="Remarque 3 2 2 2 14 4 4" xfId="42580" xr:uid="{00000000-0005-0000-0000-0000F07F0000}"/>
    <cellStyle name="Remarque 3 2 2 2 14 5" xfId="8747" xr:uid="{00000000-0005-0000-0000-0000F17F0000}"/>
    <cellStyle name="Remarque 3 2 2 2 14 5 2" xfId="32761" xr:uid="{00000000-0005-0000-0000-0000F27F0000}"/>
    <cellStyle name="Remarque 3 2 2 2 14 5 2 2" xfId="56721" xr:uid="{00000000-0005-0000-0000-0000F37F0000}"/>
    <cellStyle name="Remarque 3 2 2 2 14 5 3" xfId="20008" xr:uid="{00000000-0005-0000-0000-0000F47F0000}"/>
    <cellStyle name="Remarque 3 2 2 2 14 5 4" xfId="43968" xr:uid="{00000000-0005-0000-0000-0000F57F0000}"/>
    <cellStyle name="Remarque 3 2 2 2 14 6" xfId="10187" xr:uid="{00000000-0005-0000-0000-0000F67F0000}"/>
    <cellStyle name="Remarque 3 2 2 2 14 6 2" xfId="34199" xr:uid="{00000000-0005-0000-0000-0000F77F0000}"/>
    <cellStyle name="Remarque 3 2 2 2 14 6 2 2" xfId="58159" xr:uid="{00000000-0005-0000-0000-0000F87F0000}"/>
    <cellStyle name="Remarque 3 2 2 2 14 6 3" xfId="21452" xr:uid="{00000000-0005-0000-0000-0000F97F0000}"/>
    <cellStyle name="Remarque 3 2 2 2 14 6 4" xfId="45412" xr:uid="{00000000-0005-0000-0000-0000FA7F0000}"/>
    <cellStyle name="Remarque 3 2 2 2 14 7" xfId="12482" xr:uid="{00000000-0005-0000-0000-0000FB7F0000}"/>
    <cellStyle name="Remarque 3 2 2 2 14 7 2" xfId="23779" xr:uid="{00000000-0005-0000-0000-0000FC7F0000}"/>
    <cellStyle name="Remarque 3 2 2 2 14 7 3" xfId="47739" xr:uid="{00000000-0005-0000-0000-0000FD7F0000}"/>
    <cellStyle name="Remarque 3 2 2 2 14 8" xfId="3127" xr:uid="{00000000-0005-0000-0000-0000FE7F0000}"/>
    <cellStyle name="Remarque 3 2 2 2 14 8 2" xfId="27141" xr:uid="{00000000-0005-0000-0000-0000FF7F0000}"/>
    <cellStyle name="Remarque 3 2 2 2 14 8 3" xfId="51101" xr:uid="{00000000-0005-0000-0000-000000800000}"/>
    <cellStyle name="Remarque 3 2 2 2 14 9" xfId="24253" xr:uid="{00000000-0005-0000-0000-000001800000}"/>
    <cellStyle name="Remarque 3 2 2 2 14 9 2" xfId="48213" xr:uid="{00000000-0005-0000-0000-000002800000}"/>
    <cellStyle name="Remarque 3 2 2 2 15" xfId="3096" xr:uid="{00000000-0005-0000-0000-000003800000}"/>
    <cellStyle name="Remarque 3 2 2 2 15 2" xfId="27110" xr:uid="{00000000-0005-0000-0000-000004800000}"/>
    <cellStyle name="Remarque 3 2 2 2 15 2 2" xfId="51070" xr:uid="{00000000-0005-0000-0000-000005800000}"/>
    <cellStyle name="Remarque 3 2 2 2 15 3" xfId="14357" xr:uid="{00000000-0005-0000-0000-000006800000}"/>
    <cellStyle name="Remarque 3 2 2 2 15 4" xfId="38317" xr:uid="{00000000-0005-0000-0000-000007800000}"/>
    <cellStyle name="Remarque 3 2 2 2 16" xfId="4535" xr:uid="{00000000-0005-0000-0000-000008800000}"/>
    <cellStyle name="Remarque 3 2 2 2 16 2" xfId="28549" xr:uid="{00000000-0005-0000-0000-000009800000}"/>
    <cellStyle name="Remarque 3 2 2 2 16 2 2" xfId="52509" xr:uid="{00000000-0005-0000-0000-00000A800000}"/>
    <cellStyle name="Remarque 3 2 2 2 16 3" xfId="15796" xr:uid="{00000000-0005-0000-0000-00000B800000}"/>
    <cellStyle name="Remarque 3 2 2 2 16 4" xfId="39756" xr:uid="{00000000-0005-0000-0000-00000C800000}"/>
    <cellStyle name="Remarque 3 2 2 2 17" xfId="3050" xr:uid="{00000000-0005-0000-0000-00000D800000}"/>
    <cellStyle name="Remarque 3 2 2 2 17 2" xfId="27064" xr:uid="{00000000-0005-0000-0000-00000E800000}"/>
    <cellStyle name="Remarque 3 2 2 2 17 2 2" xfId="51024" xr:uid="{00000000-0005-0000-0000-00000F800000}"/>
    <cellStyle name="Remarque 3 2 2 2 17 3" xfId="14311" xr:uid="{00000000-0005-0000-0000-000010800000}"/>
    <cellStyle name="Remarque 3 2 2 2 17 4" xfId="38271" xr:uid="{00000000-0005-0000-0000-000011800000}"/>
    <cellStyle name="Remarque 3 2 2 2 18" xfId="4515" xr:uid="{00000000-0005-0000-0000-000012800000}"/>
    <cellStyle name="Remarque 3 2 2 2 18 2" xfId="28529" xr:uid="{00000000-0005-0000-0000-000013800000}"/>
    <cellStyle name="Remarque 3 2 2 2 18 2 2" xfId="52489" xr:uid="{00000000-0005-0000-0000-000014800000}"/>
    <cellStyle name="Remarque 3 2 2 2 18 3" xfId="15776" xr:uid="{00000000-0005-0000-0000-000015800000}"/>
    <cellStyle name="Remarque 3 2 2 2 18 4" xfId="39736" xr:uid="{00000000-0005-0000-0000-000016800000}"/>
    <cellStyle name="Remarque 3 2 2 2 19" xfId="4518" xr:uid="{00000000-0005-0000-0000-000017800000}"/>
    <cellStyle name="Remarque 3 2 2 2 19 2" xfId="28532" xr:uid="{00000000-0005-0000-0000-000018800000}"/>
    <cellStyle name="Remarque 3 2 2 2 19 2 2" xfId="52492" xr:uid="{00000000-0005-0000-0000-000019800000}"/>
    <cellStyle name="Remarque 3 2 2 2 19 3" xfId="15779" xr:uid="{00000000-0005-0000-0000-00001A800000}"/>
    <cellStyle name="Remarque 3 2 2 2 19 4" xfId="39739" xr:uid="{00000000-0005-0000-0000-00001B800000}"/>
    <cellStyle name="Remarque 3 2 2 2 2" xfId="110" xr:uid="{00000000-0005-0000-0000-00001C800000}"/>
    <cellStyle name="Remarque 3 2 2 2 2 10" xfId="3169" xr:uid="{00000000-0005-0000-0000-00001D800000}"/>
    <cellStyle name="Remarque 3 2 2 2 2 10 2" xfId="27183" xr:uid="{00000000-0005-0000-0000-00001E800000}"/>
    <cellStyle name="Remarque 3 2 2 2 2 10 2 2" xfId="51143" xr:uid="{00000000-0005-0000-0000-00001F800000}"/>
    <cellStyle name="Remarque 3 2 2 2 2 10 3" xfId="14430" xr:uid="{00000000-0005-0000-0000-000020800000}"/>
    <cellStyle name="Remarque 3 2 2 2 2 10 4" xfId="38390" xr:uid="{00000000-0005-0000-0000-000021800000}"/>
    <cellStyle name="Remarque 3 2 2 2 2 11" xfId="4603" xr:uid="{00000000-0005-0000-0000-000022800000}"/>
    <cellStyle name="Remarque 3 2 2 2 2 11 2" xfId="28617" xr:uid="{00000000-0005-0000-0000-000023800000}"/>
    <cellStyle name="Remarque 3 2 2 2 2 11 2 2" xfId="52577" xr:uid="{00000000-0005-0000-0000-000024800000}"/>
    <cellStyle name="Remarque 3 2 2 2 2 11 3" xfId="15864" xr:uid="{00000000-0005-0000-0000-000025800000}"/>
    <cellStyle name="Remarque 3 2 2 2 2 11 4" xfId="39824" xr:uid="{00000000-0005-0000-0000-000026800000}"/>
    <cellStyle name="Remarque 3 2 2 2 2 12" xfId="5997" xr:uid="{00000000-0005-0000-0000-000027800000}"/>
    <cellStyle name="Remarque 3 2 2 2 2 12 2" xfId="30011" xr:uid="{00000000-0005-0000-0000-000028800000}"/>
    <cellStyle name="Remarque 3 2 2 2 2 12 2 2" xfId="53971" xr:uid="{00000000-0005-0000-0000-000029800000}"/>
    <cellStyle name="Remarque 3 2 2 2 2 12 3" xfId="17258" xr:uid="{00000000-0005-0000-0000-00002A800000}"/>
    <cellStyle name="Remarque 3 2 2 2 2 12 4" xfId="41218" xr:uid="{00000000-0005-0000-0000-00002B800000}"/>
    <cellStyle name="Remarque 3 2 2 2 2 13" xfId="7385" xr:uid="{00000000-0005-0000-0000-00002C800000}"/>
    <cellStyle name="Remarque 3 2 2 2 2 13 2" xfId="31399" xr:uid="{00000000-0005-0000-0000-00002D800000}"/>
    <cellStyle name="Remarque 3 2 2 2 2 13 2 2" xfId="55359" xr:uid="{00000000-0005-0000-0000-00002E800000}"/>
    <cellStyle name="Remarque 3 2 2 2 2 13 3" xfId="18646" xr:uid="{00000000-0005-0000-0000-00002F800000}"/>
    <cellStyle name="Remarque 3 2 2 2 2 13 4" xfId="42606" xr:uid="{00000000-0005-0000-0000-000030800000}"/>
    <cellStyle name="Remarque 3 2 2 2 2 14" xfId="8770" xr:uid="{00000000-0005-0000-0000-000031800000}"/>
    <cellStyle name="Remarque 3 2 2 2 2 14 2" xfId="32784" xr:uid="{00000000-0005-0000-0000-000032800000}"/>
    <cellStyle name="Remarque 3 2 2 2 2 14 2 2" xfId="56744" xr:uid="{00000000-0005-0000-0000-000033800000}"/>
    <cellStyle name="Remarque 3 2 2 2 2 14 3" xfId="20031" xr:uid="{00000000-0005-0000-0000-000034800000}"/>
    <cellStyle name="Remarque 3 2 2 2 2 14 4" xfId="43991" xr:uid="{00000000-0005-0000-0000-000035800000}"/>
    <cellStyle name="Remarque 3 2 2 2 2 15" xfId="10227" xr:uid="{00000000-0005-0000-0000-000036800000}"/>
    <cellStyle name="Remarque 3 2 2 2 2 15 2" xfId="34237" xr:uid="{00000000-0005-0000-0000-000037800000}"/>
    <cellStyle name="Remarque 3 2 2 2 2 15 2 2" xfId="58197" xr:uid="{00000000-0005-0000-0000-000038800000}"/>
    <cellStyle name="Remarque 3 2 2 2 2 15 3" xfId="21494" xr:uid="{00000000-0005-0000-0000-000039800000}"/>
    <cellStyle name="Remarque 3 2 2 2 2 15 4" xfId="45454" xr:uid="{00000000-0005-0000-0000-00003A800000}"/>
    <cellStyle name="Remarque 3 2 2 2 2 16" xfId="12740" xr:uid="{00000000-0005-0000-0000-00003B800000}"/>
    <cellStyle name="Remarque 3 2 2 2 2 16 2" xfId="24046" xr:uid="{00000000-0005-0000-0000-00003C800000}"/>
    <cellStyle name="Remarque 3 2 2 2 2 16 3" xfId="48006" xr:uid="{00000000-0005-0000-0000-00003D800000}"/>
    <cellStyle name="Remarque 3 2 2 2 2 17" xfId="1699" xr:uid="{00000000-0005-0000-0000-00003E800000}"/>
    <cellStyle name="Remarque 3 2 2 2 2 17 2" xfId="25713" xr:uid="{00000000-0005-0000-0000-00003F800000}"/>
    <cellStyle name="Remarque 3 2 2 2 2 17 3" xfId="49673" xr:uid="{00000000-0005-0000-0000-000040800000}"/>
    <cellStyle name="Remarque 3 2 2 2 2 18" xfId="24295" xr:uid="{00000000-0005-0000-0000-000041800000}"/>
    <cellStyle name="Remarque 3 2 2 2 2 18 2" xfId="48255" xr:uid="{00000000-0005-0000-0000-000042800000}"/>
    <cellStyle name="Remarque 3 2 2 2 2 19" xfId="36142" xr:uid="{00000000-0005-0000-0000-000043800000}"/>
    <cellStyle name="Remarque 3 2 2 2 2 19 2" xfId="60102" xr:uid="{00000000-0005-0000-0000-000044800000}"/>
    <cellStyle name="Remarque 3 2 2 2 2 2" xfId="438" xr:uid="{00000000-0005-0000-0000-000045800000}"/>
    <cellStyle name="Remarque 3 2 2 2 2 2 10" xfId="6172" xr:uid="{00000000-0005-0000-0000-000046800000}"/>
    <cellStyle name="Remarque 3 2 2 2 2 2 10 2" xfId="30186" xr:uid="{00000000-0005-0000-0000-000047800000}"/>
    <cellStyle name="Remarque 3 2 2 2 2 2 10 2 2" xfId="54146" xr:uid="{00000000-0005-0000-0000-000048800000}"/>
    <cellStyle name="Remarque 3 2 2 2 2 2 10 3" xfId="17433" xr:uid="{00000000-0005-0000-0000-000049800000}"/>
    <cellStyle name="Remarque 3 2 2 2 2 2 10 4" xfId="41393" xr:uid="{00000000-0005-0000-0000-00004A800000}"/>
    <cellStyle name="Remarque 3 2 2 2 2 2 11" xfId="7560" xr:uid="{00000000-0005-0000-0000-00004B800000}"/>
    <cellStyle name="Remarque 3 2 2 2 2 2 11 2" xfId="31574" xr:uid="{00000000-0005-0000-0000-00004C800000}"/>
    <cellStyle name="Remarque 3 2 2 2 2 2 11 2 2" xfId="55534" xr:uid="{00000000-0005-0000-0000-00004D800000}"/>
    <cellStyle name="Remarque 3 2 2 2 2 2 11 3" xfId="18821" xr:uid="{00000000-0005-0000-0000-00004E800000}"/>
    <cellStyle name="Remarque 3 2 2 2 2 2 11 4" xfId="42781" xr:uid="{00000000-0005-0000-0000-00004F800000}"/>
    <cellStyle name="Remarque 3 2 2 2 2 2 12" xfId="8945" xr:uid="{00000000-0005-0000-0000-000050800000}"/>
    <cellStyle name="Remarque 3 2 2 2 2 2 12 2" xfId="32959" xr:uid="{00000000-0005-0000-0000-000051800000}"/>
    <cellStyle name="Remarque 3 2 2 2 2 2 12 2 2" xfId="56919" xr:uid="{00000000-0005-0000-0000-000052800000}"/>
    <cellStyle name="Remarque 3 2 2 2 2 2 12 3" xfId="20206" xr:uid="{00000000-0005-0000-0000-000053800000}"/>
    <cellStyle name="Remarque 3 2 2 2 2 2 12 4" xfId="44166" xr:uid="{00000000-0005-0000-0000-000054800000}"/>
    <cellStyle name="Remarque 3 2 2 2 2 2 13" xfId="10402" xr:uid="{00000000-0005-0000-0000-000055800000}"/>
    <cellStyle name="Remarque 3 2 2 2 2 2 13 2" xfId="34412" xr:uid="{00000000-0005-0000-0000-000056800000}"/>
    <cellStyle name="Remarque 3 2 2 2 2 2 13 2 2" xfId="58372" xr:uid="{00000000-0005-0000-0000-000057800000}"/>
    <cellStyle name="Remarque 3 2 2 2 2 2 13 3" xfId="21669" xr:uid="{00000000-0005-0000-0000-000058800000}"/>
    <cellStyle name="Remarque 3 2 2 2 2 2 13 4" xfId="45629" xr:uid="{00000000-0005-0000-0000-000059800000}"/>
    <cellStyle name="Remarque 3 2 2 2 2 2 14" xfId="12855" xr:uid="{00000000-0005-0000-0000-00005A800000}"/>
    <cellStyle name="Remarque 3 2 2 2 2 2 14 2" xfId="24167" xr:uid="{00000000-0005-0000-0000-00005B800000}"/>
    <cellStyle name="Remarque 3 2 2 2 2 2 14 3" xfId="48127" xr:uid="{00000000-0005-0000-0000-00005C800000}"/>
    <cellStyle name="Remarque 3 2 2 2 2 2 15" xfId="1874" xr:uid="{00000000-0005-0000-0000-00005D800000}"/>
    <cellStyle name="Remarque 3 2 2 2 2 2 15 2" xfId="25888" xr:uid="{00000000-0005-0000-0000-00005E800000}"/>
    <cellStyle name="Remarque 3 2 2 2 2 2 15 3" xfId="49848" xr:uid="{00000000-0005-0000-0000-00005F800000}"/>
    <cellStyle name="Remarque 3 2 2 2 2 2 16" xfId="24470" xr:uid="{00000000-0005-0000-0000-000060800000}"/>
    <cellStyle name="Remarque 3 2 2 2 2 2 16 2" xfId="48430" xr:uid="{00000000-0005-0000-0000-000061800000}"/>
    <cellStyle name="Remarque 3 2 2 2 2 2 17" xfId="35946" xr:uid="{00000000-0005-0000-0000-000062800000}"/>
    <cellStyle name="Remarque 3 2 2 2 2 2 17 2" xfId="59906" xr:uid="{00000000-0005-0000-0000-000063800000}"/>
    <cellStyle name="Remarque 3 2 2 2 2 2 18" xfId="13135" xr:uid="{00000000-0005-0000-0000-000064800000}"/>
    <cellStyle name="Remarque 3 2 2 2 2 2 19" xfId="37095" xr:uid="{00000000-0005-0000-0000-000065800000}"/>
    <cellStyle name="Remarque 3 2 2 2 2 2 2" xfId="574" xr:uid="{00000000-0005-0000-0000-000066800000}"/>
    <cellStyle name="Remarque 3 2 2 2 2 2 2 10" xfId="24606" xr:uid="{00000000-0005-0000-0000-000067800000}"/>
    <cellStyle name="Remarque 3 2 2 2 2 2 2 10 2" xfId="48566" xr:uid="{00000000-0005-0000-0000-000068800000}"/>
    <cellStyle name="Remarque 3 2 2 2 2 2 2 11" xfId="36822" xr:uid="{00000000-0005-0000-0000-000069800000}"/>
    <cellStyle name="Remarque 3 2 2 2 2 2 2 11 2" xfId="60782" xr:uid="{00000000-0005-0000-0000-00006A800000}"/>
    <cellStyle name="Remarque 3 2 2 2 2 2 2 12" xfId="13271" xr:uid="{00000000-0005-0000-0000-00006B800000}"/>
    <cellStyle name="Remarque 3 2 2 2 2 2 2 13" xfId="37231" xr:uid="{00000000-0005-0000-0000-00006C800000}"/>
    <cellStyle name="Remarque 3 2 2 2 2 2 2 2" xfId="3480" xr:uid="{00000000-0005-0000-0000-00006D800000}"/>
    <cellStyle name="Remarque 3 2 2 2 2 2 2 2 2" xfId="27494" xr:uid="{00000000-0005-0000-0000-00006E800000}"/>
    <cellStyle name="Remarque 3 2 2 2 2 2 2 2 2 2" xfId="51454" xr:uid="{00000000-0005-0000-0000-00006F800000}"/>
    <cellStyle name="Remarque 3 2 2 2 2 2 2 2 3" xfId="14741" xr:uid="{00000000-0005-0000-0000-000070800000}"/>
    <cellStyle name="Remarque 3 2 2 2 2 2 2 2 4" xfId="38701" xr:uid="{00000000-0005-0000-0000-000071800000}"/>
    <cellStyle name="Remarque 3 2 2 2 2 2 2 3" xfId="4914" xr:uid="{00000000-0005-0000-0000-000072800000}"/>
    <cellStyle name="Remarque 3 2 2 2 2 2 2 3 2" xfId="28928" xr:uid="{00000000-0005-0000-0000-000073800000}"/>
    <cellStyle name="Remarque 3 2 2 2 2 2 2 3 2 2" xfId="52888" xr:uid="{00000000-0005-0000-0000-000074800000}"/>
    <cellStyle name="Remarque 3 2 2 2 2 2 2 3 3" xfId="16175" xr:uid="{00000000-0005-0000-0000-000075800000}"/>
    <cellStyle name="Remarque 3 2 2 2 2 2 2 3 4" xfId="40135" xr:uid="{00000000-0005-0000-0000-000076800000}"/>
    <cellStyle name="Remarque 3 2 2 2 2 2 2 4" xfId="6308" xr:uid="{00000000-0005-0000-0000-000077800000}"/>
    <cellStyle name="Remarque 3 2 2 2 2 2 2 4 2" xfId="30322" xr:uid="{00000000-0005-0000-0000-000078800000}"/>
    <cellStyle name="Remarque 3 2 2 2 2 2 2 4 2 2" xfId="54282" xr:uid="{00000000-0005-0000-0000-000079800000}"/>
    <cellStyle name="Remarque 3 2 2 2 2 2 2 4 3" xfId="17569" xr:uid="{00000000-0005-0000-0000-00007A800000}"/>
    <cellStyle name="Remarque 3 2 2 2 2 2 2 4 4" xfId="41529" xr:uid="{00000000-0005-0000-0000-00007B800000}"/>
    <cellStyle name="Remarque 3 2 2 2 2 2 2 5" xfId="7696" xr:uid="{00000000-0005-0000-0000-00007C800000}"/>
    <cellStyle name="Remarque 3 2 2 2 2 2 2 5 2" xfId="31710" xr:uid="{00000000-0005-0000-0000-00007D800000}"/>
    <cellStyle name="Remarque 3 2 2 2 2 2 2 5 2 2" xfId="55670" xr:uid="{00000000-0005-0000-0000-00007E800000}"/>
    <cellStyle name="Remarque 3 2 2 2 2 2 2 5 3" xfId="18957" xr:uid="{00000000-0005-0000-0000-00007F800000}"/>
    <cellStyle name="Remarque 3 2 2 2 2 2 2 5 4" xfId="42917" xr:uid="{00000000-0005-0000-0000-000080800000}"/>
    <cellStyle name="Remarque 3 2 2 2 2 2 2 6" xfId="9081" xr:uid="{00000000-0005-0000-0000-000081800000}"/>
    <cellStyle name="Remarque 3 2 2 2 2 2 2 6 2" xfId="33095" xr:uid="{00000000-0005-0000-0000-000082800000}"/>
    <cellStyle name="Remarque 3 2 2 2 2 2 2 6 2 2" xfId="57055" xr:uid="{00000000-0005-0000-0000-000083800000}"/>
    <cellStyle name="Remarque 3 2 2 2 2 2 2 6 3" xfId="20342" xr:uid="{00000000-0005-0000-0000-000084800000}"/>
    <cellStyle name="Remarque 3 2 2 2 2 2 2 6 4" xfId="44302" xr:uid="{00000000-0005-0000-0000-000085800000}"/>
    <cellStyle name="Remarque 3 2 2 2 2 2 2 7" xfId="10538" xr:uid="{00000000-0005-0000-0000-000086800000}"/>
    <cellStyle name="Remarque 3 2 2 2 2 2 2 7 2" xfId="34548" xr:uid="{00000000-0005-0000-0000-000087800000}"/>
    <cellStyle name="Remarque 3 2 2 2 2 2 2 7 2 2" xfId="58508" xr:uid="{00000000-0005-0000-0000-000088800000}"/>
    <cellStyle name="Remarque 3 2 2 2 2 2 2 7 3" xfId="21805" xr:uid="{00000000-0005-0000-0000-000089800000}"/>
    <cellStyle name="Remarque 3 2 2 2 2 2 2 7 4" xfId="45765" xr:uid="{00000000-0005-0000-0000-00008A800000}"/>
    <cellStyle name="Remarque 3 2 2 2 2 2 2 8" xfId="12518" xr:uid="{00000000-0005-0000-0000-00008B800000}"/>
    <cellStyle name="Remarque 3 2 2 2 2 2 2 8 2" xfId="23815" xr:uid="{00000000-0005-0000-0000-00008C800000}"/>
    <cellStyle name="Remarque 3 2 2 2 2 2 2 8 3" xfId="47775" xr:uid="{00000000-0005-0000-0000-00008D800000}"/>
    <cellStyle name="Remarque 3 2 2 2 2 2 2 9" xfId="2010" xr:uid="{00000000-0005-0000-0000-00008E800000}"/>
    <cellStyle name="Remarque 3 2 2 2 2 2 2 9 2" xfId="26024" xr:uid="{00000000-0005-0000-0000-00008F800000}"/>
    <cellStyle name="Remarque 3 2 2 2 2 2 2 9 3" xfId="49984" xr:uid="{00000000-0005-0000-0000-000090800000}"/>
    <cellStyle name="Remarque 3 2 2 2 2 2 3" xfId="766" xr:uid="{00000000-0005-0000-0000-000091800000}"/>
    <cellStyle name="Remarque 3 2 2 2 2 2 3 10" xfId="24798" xr:uid="{00000000-0005-0000-0000-000092800000}"/>
    <cellStyle name="Remarque 3 2 2 2 2 2 3 10 2" xfId="48758" xr:uid="{00000000-0005-0000-0000-000093800000}"/>
    <cellStyle name="Remarque 3 2 2 2 2 2 3 11" xfId="35915" xr:uid="{00000000-0005-0000-0000-000094800000}"/>
    <cellStyle name="Remarque 3 2 2 2 2 2 3 11 2" xfId="59875" xr:uid="{00000000-0005-0000-0000-000095800000}"/>
    <cellStyle name="Remarque 3 2 2 2 2 2 3 12" xfId="13463" xr:uid="{00000000-0005-0000-0000-000096800000}"/>
    <cellStyle name="Remarque 3 2 2 2 2 2 3 13" xfId="37423" xr:uid="{00000000-0005-0000-0000-000097800000}"/>
    <cellStyle name="Remarque 3 2 2 2 2 2 3 2" xfId="3672" xr:uid="{00000000-0005-0000-0000-000098800000}"/>
    <cellStyle name="Remarque 3 2 2 2 2 2 3 2 2" xfId="27686" xr:uid="{00000000-0005-0000-0000-000099800000}"/>
    <cellStyle name="Remarque 3 2 2 2 2 2 3 2 2 2" xfId="51646" xr:uid="{00000000-0005-0000-0000-00009A800000}"/>
    <cellStyle name="Remarque 3 2 2 2 2 2 3 2 3" xfId="14933" xr:uid="{00000000-0005-0000-0000-00009B800000}"/>
    <cellStyle name="Remarque 3 2 2 2 2 2 3 2 4" xfId="38893" xr:uid="{00000000-0005-0000-0000-00009C800000}"/>
    <cellStyle name="Remarque 3 2 2 2 2 2 3 3" xfId="5106" xr:uid="{00000000-0005-0000-0000-00009D800000}"/>
    <cellStyle name="Remarque 3 2 2 2 2 2 3 3 2" xfId="29120" xr:uid="{00000000-0005-0000-0000-00009E800000}"/>
    <cellStyle name="Remarque 3 2 2 2 2 2 3 3 2 2" xfId="53080" xr:uid="{00000000-0005-0000-0000-00009F800000}"/>
    <cellStyle name="Remarque 3 2 2 2 2 2 3 3 3" xfId="16367" xr:uid="{00000000-0005-0000-0000-0000A0800000}"/>
    <cellStyle name="Remarque 3 2 2 2 2 2 3 3 4" xfId="40327" xr:uid="{00000000-0005-0000-0000-0000A1800000}"/>
    <cellStyle name="Remarque 3 2 2 2 2 2 3 4" xfId="6500" xr:uid="{00000000-0005-0000-0000-0000A2800000}"/>
    <cellStyle name="Remarque 3 2 2 2 2 2 3 4 2" xfId="30514" xr:uid="{00000000-0005-0000-0000-0000A3800000}"/>
    <cellStyle name="Remarque 3 2 2 2 2 2 3 4 2 2" xfId="54474" xr:uid="{00000000-0005-0000-0000-0000A4800000}"/>
    <cellStyle name="Remarque 3 2 2 2 2 2 3 4 3" xfId="17761" xr:uid="{00000000-0005-0000-0000-0000A5800000}"/>
    <cellStyle name="Remarque 3 2 2 2 2 2 3 4 4" xfId="41721" xr:uid="{00000000-0005-0000-0000-0000A6800000}"/>
    <cellStyle name="Remarque 3 2 2 2 2 2 3 5" xfId="7888" xr:uid="{00000000-0005-0000-0000-0000A7800000}"/>
    <cellStyle name="Remarque 3 2 2 2 2 2 3 5 2" xfId="31902" xr:uid="{00000000-0005-0000-0000-0000A8800000}"/>
    <cellStyle name="Remarque 3 2 2 2 2 2 3 5 2 2" xfId="55862" xr:uid="{00000000-0005-0000-0000-0000A9800000}"/>
    <cellStyle name="Remarque 3 2 2 2 2 2 3 5 3" xfId="19149" xr:uid="{00000000-0005-0000-0000-0000AA800000}"/>
    <cellStyle name="Remarque 3 2 2 2 2 2 3 5 4" xfId="43109" xr:uid="{00000000-0005-0000-0000-0000AB800000}"/>
    <cellStyle name="Remarque 3 2 2 2 2 2 3 6" xfId="9273" xr:uid="{00000000-0005-0000-0000-0000AC800000}"/>
    <cellStyle name="Remarque 3 2 2 2 2 2 3 6 2" xfId="33287" xr:uid="{00000000-0005-0000-0000-0000AD800000}"/>
    <cellStyle name="Remarque 3 2 2 2 2 2 3 6 2 2" xfId="57247" xr:uid="{00000000-0005-0000-0000-0000AE800000}"/>
    <cellStyle name="Remarque 3 2 2 2 2 2 3 6 3" xfId="20534" xr:uid="{00000000-0005-0000-0000-0000AF800000}"/>
    <cellStyle name="Remarque 3 2 2 2 2 2 3 6 4" xfId="44494" xr:uid="{00000000-0005-0000-0000-0000B0800000}"/>
    <cellStyle name="Remarque 3 2 2 2 2 2 3 7" xfId="10730" xr:uid="{00000000-0005-0000-0000-0000B1800000}"/>
    <cellStyle name="Remarque 3 2 2 2 2 2 3 7 2" xfId="34740" xr:uid="{00000000-0005-0000-0000-0000B2800000}"/>
    <cellStyle name="Remarque 3 2 2 2 2 2 3 7 2 2" xfId="58700" xr:uid="{00000000-0005-0000-0000-0000B3800000}"/>
    <cellStyle name="Remarque 3 2 2 2 2 2 3 7 3" xfId="21997" xr:uid="{00000000-0005-0000-0000-0000B4800000}"/>
    <cellStyle name="Remarque 3 2 2 2 2 2 3 7 4" xfId="45957" xr:uid="{00000000-0005-0000-0000-0000B5800000}"/>
    <cellStyle name="Remarque 3 2 2 2 2 2 3 8" xfId="12541" xr:uid="{00000000-0005-0000-0000-0000B6800000}"/>
    <cellStyle name="Remarque 3 2 2 2 2 2 3 8 2" xfId="23839" xr:uid="{00000000-0005-0000-0000-0000B7800000}"/>
    <cellStyle name="Remarque 3 2 2 2 2 2 3 8 3" xfId="47799" xr:uid="{00000000-0005-0000-0000-0000B8800000}"/>
    <cellStyle name="Remarque 3 2 2 2 2 2 3 9" xfId="2202" xr:uid="{00000000-0005-0000-0000-0000B9800000}"/>
    <cellStyle name="Remarque 3 2 2 2 2 2 3 9 2" xfId="26216" xr:uid="{00000000-0005-0000-0000-0000BA800000}"/>
    <cellStyle name="Remarque 3 2 2 2 2 2 3 9 3" xfId="50176" xr:uid="{00000000-0005-0000-0000-0000BB800000}"/>
    <cellStyle name="Remarque 3 2 2 2 2 2 4" xfId="960" xr:uid="{00000000-0005-0000-0000-0000BC800000}"/>
    <cellStyle name="Remarque 3 2 2 2 2 2 4 10" xfId="24992" xr:uid="{00000000-0005-0000-0000-0000BD800000}"/>
    <cellStyle name="Remarque 3 2 2 2 2 2 4 10 2" xfId="48952" xr:uid="{00000000-0005-0000-0000-0000BE800000}"/>
    <cellStyle name="Remarque 3 2 2 2 2 2 4 11" xfId="36109" xr:uid="{00000000-0005-0000-0000-0000BF800000}"/>
    <cellStyle name="Remarque 3 2 2 2 2 2 4 11 2" xfId="60069" xr:uid="{00000000-0005-0000-0000-0000C0800000}"/>
    <cellStyle name="Remarque 3 2 2 2 2 2 4 12" xfId="13657" xr:uid="{00000000-0005-0000-0000-0000C1800000}"/>
    <cellStyle name="Remarque 3 2 2 2 2 2 4 13" xfId="37617" xr:uid="{00000000-0005-0000-0000-0000C2800000}"/>
    <cellStyle name="Remarque 3 2 2 2 2 2 4 2" xfId="3866" xr:uid="{00000000-0005-0000-0000-0000C3800000}"/>
    <cellStyle name="Remarque 3 2 2 2 2 2 4 2 2" xfId="27880" xr:uid="{00000000-0005-0000-0000-0000C4800000}"/>
    <cellStyle name="Remarque 3 2 2 2 2 2 4 2 2 2" xfId="51840" xr:uid="{00000000-0005-0000-0000-0000C5800000}"/>
    <cellStyle name="Remarque 3 2 2 2 2 2 4 2 3" xfId="15127" xr:uid="{00000000-0005-0000-0000-0000C6800000}"/>
    <cellStyle name="Remarque 3 2 2 2 2 2 4 2 4" xfId="39087" xr:uid="{00000000-0005-0000-0000-0000C7800000}"/>
    <cellStyle name="Remarque 3 2 2 2 2 2 4 3" xfId="5300" xr:uid="{00000000-0005-0000-0000-0000C8800000}"/>
    <cellStyle name="Remarque 3 2 2 2 2 2 4 3 2" xfId="29314" xr:uid="{00000000-0005-0000-0000-0000C9800000}"/>
    <cellStyle name="Remarque 3 2 2 2 2 2 4 3 2 2" xfId="53274" xr:uid="{00000000-0005-0000-0000-0000CA800000}"/>
    <cellStyle name="Remarque 3 2 2 2 2 2 4 3 3" xfId="16561" xr:uid="{00000000-0005-0000-0000-0000CB800000}"/>
    <cellStyle name="Remarque 3 2 2 2 2 2 4 3 4" xfId="40521" xr:uid="{00000000-0005-0000-0000-0000CC800000}"/>
    <cellStyle name="Remarque 3 2 2 2 2 2 4 4" xfId="6694" xr:uid="{00000000-0005-0000-0000-0000CD800000}"/>
    <cellStyle name="Remarque 3 2 2 2 2 2 4 4 2" xfId="30708" xr:uid="{00000000-0005-0000-0000-0000CE800000}"/>
    <cellStyle name="Remarque 3 2 2 2 2 2 4 4 2 2" xfId="54668" xr:uid="{00000000-0005-0000-0000-0000CF800000}"/>
    <cellStyle name="Remarque 3 2 2 2 2 2 4 4 3" xfId="17955" xr:uid="{00000000-0005-0000-0000-0000D0800000}"/>
    <cellStyle name="Remarque 3 2 2 2 2 2 4 4 4" xfId="41915" xr:uid="{00000000-0005-0000-0000-0000D1800000}"/>
    <cellStyle name="Remarque 3 2 2 2 2 2 4 5" xfId="8082" xr:uid="{00000000-0005-0000-0000-0000D2800000}"/>
    <cellStyle name="Remarque 3 2 2 2 2 2 4 5 2" xfId="32096" xr:uid="{00000000-0005-0000-0000-0000D3800000}"/>
    <cellStyle name="Remarque 3 2 2 2 2 2 4 5 2 2" xfId="56056" xr:uid="{00000000-0005-0000-0000-0000D4800000}"/>
    <cellStyle name="Remarque 3 2 2 2 2 2 4 5 3" xfId="19343" xr:uid="{00000000-0005-0000-0000-0000D5800000}"/>
    <cellStyle name="Remarque 3 2 2 2 2 2 4 5 4" xfId="43303" xr:uid="{00000000-0005-0000-0000-0000D6800000}"/>
    <cellStyle name="Remarque 3 2 2 2 2 2 4 6" xfId="9467" xr:uid="{00000000-0005-0000-0000-0000D7800000}"/>
    <cellStyle name="Remarque 3 2 2 2 2 2 4 6 2" xfId="33481" xr:uid="{00000000-0005-0000-0000-0000D8800000}"/>
    <cellStyle name="Remarque 3 2 2 2 2 2 4 6 2 2" xfId="57441" xr:uid="{00000000-0005-0000-0000-0000D9800000}"/>
    <cellStyle name="Remarque 3 2 2 2 2 2 4 6 3" xfId="20728" xr:uid="{00000000-0005-0000-0000-0000DA800000}"/>
    <cellStyle name="Remarque 3 2 2 2 2 2 4 6 4" xfId="44688" xr:uid="{00000000-0005-0000-0000-0000DB800000}"/>
    <cellStyle name="Remarque 3 2 2 2 2 2 4 7" xfId="10924" xr:uid="{00000000-0005-0000-0000-0000DC800000}"/>
    <cellStyle name="Remarque 3 2 2 2 2 2 4 7 2" xfId="34934" xr:uid="{00000000-0005-0000-0000-0000DD800000}"/>
    <cellStyle name="Remarque 3 2 2 2 2 2 4 7 2 2" xfId="58894" xr:uid="{00000000-0005-0000-0000-0000DE800000}"/>
    <cellStyle name="Remarque 3 2 2 2 2 2 4 7 3" xfId="22191" xr:uid="{00000000-0005-0000-0000-0000DF800000}"/>
    <cellStyle name="Remarque 3 2 2 2 2 2 4 7 4" xfId="46151" xr:uid="{00000000-0005-0000-0000-0000E0800000}"/>
    <cellStyle name="Remarque 3 2 2 2 2 2 4 8" xfId="12381" xr:uid="{00000000-0005-0000-0000-0000E1800000}"/>
    <cellStyle name="Remarque 3 2 2 2 2 2 4 8 2" xfId="23670" xr:uid="{00000000-0005-0000-0000-0000E2800000}"/>
    <cellStyle name="Remarque 3 2 2 2 2 2 4 8 3" xfId="47630" xr:uid="{00000000-0005-0000-0000-0000E3800000}"/>
    <cellStyle name="Remarque 3 2 2 2 2 2 4 9" xfId="2396" xr:uid="{00000000-0005-0000-0000-0000E4800000}"/>
    <cellStyle name="Remarque 3 2 2 2 2 2 4 9 2" xfId="26410" xr:uid="{00000000-0005-0000-0000-0000E5800000}"/>
    <cellStyle name="Remarque 3 2 2 2 2 2 4 9 3" xfId="50370" xr:uid="{00000000-0005-0000-0000-0000E6800000}"/>
    <cellStyle name="Remarque 3 2 2 2 2 2 5" xfId="1153" xr:uid="{00000000-0005-0000-0000-0000E7800000}"/>
    <cellStyle name="Remarque 3 2 2 2 2 2 5 10" xfId="25185" xr:uid="{00000000-0005-0000-0000-0000E8800000}"/>
    <cellStyle name="Remarque 3 2 2 2 2 2 5 10 2" xfId="49145" xr:uid="{00000000-0005-0000-0000-0000E9800000}"/>
    <cellStyle name="Remarque 3 2 2 2 2 2 5 11" xfId="36233" xr:uid="{00000000-0005-0000-0000-0000EA800000}"/>
    <cellStyle name="Remarque 3 2 2 2 2 2 5 11 2" xfId="60193" xr:uid="{00000000-0005-0000-0000-0000EB800000}"/>
    <cellStyle name="Remarque 3 2 2 2 2 2 5 12" xfId="13850" xr:uid="{00000000-0005-0000-0000-0000EC800000}"/>
    <cellStyle name="Remarque 3 2 2 2 2 2 5 13" xfId="37810" xr:uid="{00000000-0005-0000-0000-0000ED800000}"/>
    <cellStyle name="Remarque 3 2 2 2 2 2 5 2" xfId="4059" xr:uid="{00000000-0005-0000-0000-0000EE800000}"/>
    <cellStyle name="Remarque 3 2 2 2 2 2 5 2 2" xfId="28073" xr:uid="{00000000-0005-0000-0000-0000EF800000}"/>
    <cellStyle name="Remarque 3 2 2 2 2 2 5 2 2 2" xfId="52033" xr:uid="{00000000-0005-0000-0000-0000F0800000}"/>
    <cellStyle name="Remarque 3 2 2 2 2 2 5 2 3" xfId="15320" xr:uid="{00000000-0005-0000-0000-0000F1800000}"/>
    <cellStyle name="Remarque 3 2 2 2 2 2 5 2 4" xfId="39280" xr:uid="{00000000-0005-0000-0000-0000F2800000}"/>
    <cellStyle name="Remarque 3 2 2 2 2 2 5 3" xfId="5493" xr:uid="{00000000-0005-0000-0000-0000F3800000}"/>
    <cellStyle name="Remarque 3 2 2 2 2 2 5 3 2" xfId="29507" xr:uid="{00000000-0005-0000-0000-0000F4800000}"/>
    <cellStyle name="Remarque 3 2 2 2 2 2 5 3 2 2" xfId="53467" xr:uid="{00000000-0005-0000-0000-0000F5800000}"/>
    <cellStyle name="Remarque 3 2 2 2 2 2 5 3 3" xfId="16754" xr:uid="{00000000-0005-0000-0000-0000F6800000}"/>
    <cellStyle name="Remarque 3 2 2 2 2 2 5 3 4" xfId="40714" xr:uid="{00000000-0005-0000-0000-0000F7800000}"/>
    <cellStyle name="Remarque 3 2 2 2 2 2 5 4" xfId="6887" xr:uid="{00000000-0005-0000-0000-0000F8800000}"/>
    <cellStyle name="Remarque 3 2 2 2 2 2 5 4 2" xfId="30901" xr:uid="{00000000-0005-0000-0000-0000F9800000}"/>
    <cellStyle name="Remarque 3 2 2 2 2 2 5 4 2 2" xfId="54861" xr:uid="{00000000-0005-0000-0000-0000FA800000}"/>
    <cellStyle name="Remarque 3 2 2 2 2 2 5 4 3" xfId="18148" xr:uid="{00000000-0005-0000-0000-0000FB800000}"/>
    <cellStyle name="Remarque 3 2 2 2 2 2 5 4 4" xfId="42108" xr:uid="{00000000-0005-0000-0000-0000FC800000}"/>
    <cellStyle name="Remarque 3 2 2 2 2 2 5 5" xfId="8275" xr:uid="{00000000-0005-0000-0000-0000FD800000}"/>
    <cellStyle name="Remarque 3 2 2 2 2 2 5 5 2" xfId="32289" xr:uid="{00000000-0005-0000-0000-0000FE800000}"/>
    <cellStyle name="Remarque 3 2 2 2 2 2 5 5 2 2" xfId="56249" xr:uid="{00000000-0005-0000-0000-0000FF800000}"/>
    <cellStyle name="Remarque 3 2 2 2 2 2 5 5 3" xfId="19536" xr:uid="{00000000-0005-0000-0000-000000810000}"/>
    <cellStyle name="Remarque 3 2 2 2 2 2 5 5 4" xfId="43496" xr:uid="{00000000-0005-0000-0000-000001810000}"/>
    <cellStyle name="Remarque 3 2 2 2 2 2 5 6" xfId="9660" xr:uid="{00000000-0005-0000-0000-000002810000}"/>
    <cellStyle name="Remarque 3 2 2 2 2 2 5 6 2" xfId="33674" xr:uid="{00000000-0005-0000-0000-000003810000}"/>
    <cellStyle name="Remarque 3 2 2 2 2 2 5 6 2 2" xfId="57634" xr:uid="{00000000-0005-0000-0000-000004810000}"/>
    <cellStyle name="Remarque 3 2 2 2 2 2 5 6 3" xfId="20921" xr:uid="{00000000-0005-0000-0000-000005810000}"/>
    <cellStyle name="Remarque 3 2 2 2 2 2 5 6 4" xfId="44881" xr:uid="{00000000-0005-0000-0000-000006810000}"/>
    <cellStyle name="Remarque 3 2 2 2 2 2 5 7" xfId="11117" xr:uid="{00000000-0005-0000-0000-000007810000}"/>
    <cellStyle name="Remarque 3 2 2 2 2 2 5 7 2" xfId="35127" xr:uid="{00000000-0005-0000-0000-000008810000}"/>
    <cellStyle name="Remarque 3 2 2 2 2 2 5 7 2 2" xfId="59087" xr:uid="{00000000-0005-0000-0000-000009810000}"/>
    <cellStyle name="Remarque 3 2 2 2 2 2 5 7 3" xfId="22384" xr:uid="{00000000-0005-0000-0000-00000A810000}"/>
    <cellStyle name="Remarque 3 2 2 2 2 2 5 7 4" xfId="46344" xr:uid="{00000000-0005-0000-0000-00000B810000}"/>
    <cellStyle name="Remarque 3 2 2 2 2 2 5 8" xfId="11943" xr:uid="{00000000-0005-0000-0000-00000C810000}"/>
    <cellStyle name="Remarque 3 2 2 2 2 2 5 8 2" xfId="23221" xr:uid="{00000000-0005-0000-0000-00000D810000}"/>
    <cellStyle name="Remarque 3 2 2 2 2 2 5 8 3" xfId="47181" xr:uid="{00000000-0005-0000-0000-00000E810000}"/>
    <cellStyle name="Remarque 3 2 2 2 2 2 5 9" xfId="2589" xr:uid="{00000000-0005-0000-0000-00000F810000}"/>
    <cellStyle name="Remarque 3 2 2 2 2 2 5 9 2" xfId="26603" xr:uid="{00000000-0005-0000-0000-000010810000}"/>
    <cellStyle name="Remarque 3 2 2 2 2 2 5 9 3" xfId="50563" xr:uid="{00000000-0005-0000-0000-000011810000}"/>
    <cellStyle name="Remarque 3 2 2 2 2 2 6" xfId="1320" xr:uid="{00000000-0005-0000-0000-000012810000}"/>
    <cellStyle name="Remarque 3 2 2 2 2 2 6 10" xfId="25352" xr:uid="{00000000-0005-0000-0000-000013810000}"/>
    <cellStyle name="Remarque 3 2 2 2 2 2 6 10 2" xfId="49312" xr:uid="{00000000-0005-0000-0000-000014810000}"/>
    <cellStyle name="Remarque 3 2 2 2 2 2 6 11" xfId="36553" xr:uid="{00000000-0005-0000-0000-000015810000}"/>
    <cellStyle name="Remarque 3 2 2 2 2 2 6 11 2" xfId="60513" xr:uid="{00000000-0005-0000-0000-000016810000}"/>
    <cellStyle name="Remarque 3 2 2 2 2 2 6 12" xfId="14017" xr:uid="{00000000-0005-0000-0000-000017810000}"/>
    <cellStyle name="Remarque 3 2 2 2 2 2 6 13" xfId="37977" xr:uid="{00000000-0005-0000-0000-000018810000}"/>
    <cellStyle name="Remarque 3 2 2 2 2 2 6 2" xfId="4226" xr:uid="{00000000-0005-0000-0000-000019810000}"/>
    <cellStyle name="Remarque 3 2 2 2 2 2 6 2 2" xfId="28240" xr:uid="{00000000-0005-0000-0000-00001A810000}"/>
    <cellStyle name="Remarque 3 2 2 2 2 2 6 2 2 2" xfId="52200" xr:uid="{00000000-0005-0000-0000-00001B810000}"/>
    <cellStyle name="Remarque 3 2 2 2 2 2 6 2 3" xfId="15487" xr:uid="{00000000-0005-0000-0000-00001C810000}"/>
    <cellStyle name="Remarque 3 2 2 2 2 2 6 2 4" xfId="39447" xr:uid="{00000000-0005-0000-0000-00001D810000}"/>
    <cellStyle name="Remarque 3 2 2 2 2 2 6 3" xfId="5660" xr:uid="{00000000-0005-0000-0000-00001E810000}"/>
    <cellStyle name="Remarque 3 2 2 2 2 2 6 3 2" xfId="29674" xr:uid="{00000000-0005-0000-0000-00001F810000}"/>
    <cellStyle name="Remarque 3 2 2 2 2 2 6 3 2 2" xfId="53634" xr:uid="{00000000-0005-0000-0000-000020810000}"/>
    <cellStyle name="Remarque 3 2 2 2 2 2 6 3 3" xfId="16921" xr:uid="{00000000-0005-0000-0000-000021810000}"/>
    <cellStyle name="Remarque 3 2 2 2 2 2 6 3 4" xfId="40881" xr:uid="{00000000-0005-0000-0000-000022810000}"/>
    <cellStyle name="Remarque 3 2 2 2 2 2 6 4" xfId="7054" xr:uid="{00000000-0005-0000-0000-000023810000}"/>
    <cellStyle name="Remarque 3 2 2 2 2 2 6 4 2" xfId="31068" xr:uid="{00000000-0005-0000-0000-000024810000}"/>
    <cellStyle name="Remarque 3 2 2 2 2 2 6 4 2 2" xfId="55028" xr:uid="{00000000-0005-0000-0000-000025810000}"/>
    <cellStyle name="Remarque 3 2 2 2 2 2 6 4 3" xfId="18315" xr:uid="{00000000-0005-0000-0000-000026810000}"/>
    <cellStyle name="Remarque 3 2 2 2 2 2 6 4 4" xfId="42275" xr:uid="{00000000-0005-0000-0000-000027810000}"/>
    <cellStyle name="Remarque 3 2 2 2 2 2 6 5" xfId="8442" xr:uid="{00000000-0005-0000-0000-000028810000}"/>
    <cellStyle name="Remarque 3 2 2 2 2 2 6 5 2" xfId="32456" xr:uid="{00000000-0005-0000-0000-000029810000}"/>
    <cellStyle name="Remarque 3 2 2 2 2 2 6 5 2 2" xfId="56416" xr:uid="{00000000-0005-0000-0000-00002A810000}"/>
    <cellStyle name="Remarque 3 2 2 2 2 2 6 5 3" xfId="19703" xr:uid="{00000000-0005-0000-0000-00002B810000}"/>
    <cellStyle name="Remarque 3 2 2 2 2 2 6 5 4" xfId="43663" xr:uid="{00000000-0005-0000-0000-00002C810000}"/>
    <cellStyle name="Remarque 3 2 2 2 2 2 6 6" xfId="9827" xr:uid="{00000000-0005-0000-0000-00002D810000}"/>
    <cellStyle name="Remarque 3 2 2 2 2 2 6 6 2" xfId="33841" xr:uid="{00000000-0005-0000-0000-00002E810000}"/>
    <cellStyle name="Remarque 3 2 2 2 2 2 6 6 2 2" xfId="57801" xr:uid="{00000000-0005-0000-0000-00002F810000}"/>
    <cellStyle name="Remarque 3 2 2 2 2 2 6 6 3" xfId="21088" xr:uid="{00000000-0005-0000-0000-000030810000}"/>
    <cellStyle name="Remarque 3 2 2 2 2 2 6 6 4" xfId="45048" xr:uid="{00000000-0005-0000-0000-000031810000}"/>
    <cellStyle name="Remarque 3 2 2 2 2 2 6 7" xfId="11284" xr:uid="{00000000-0005-0000-0000-000032810000}"/>
    <cellStyle name="Remarque 3 2 2 2 2 2 6 7 2" xfId="35294" xr:uid="{00000000-0005-0000-0000-000033810000}"/>
    <cellStyle name="Remarque 3 2 2 2 2 2 6 7 2 2" xfId="59254" xr:uid="{00000000-0005-0000-0000-000034810000}"/>
    <cellStyle name="Remarque 3 2 2 2 2 2 6 7 3" xfId="22551" xr:uid="{00000000-0005-0000-0000-000035810000}"/>
    <cellStyle name="Remarque 3 2 2 2 2 2 6 7 4" xfId="46511" xr:uid="{00000000-0005-0000-0000-000036810000}"/>
    <cellStyle name="Remarque 3 2 2 2 2 2 6 8" xfId="11921" xr:uid="{00000000-0005-0000-0000-000037810000}"/>
    <cellStyle name="Remarque 3 2 2 2 2 2 6 8 2" xfId="23199" xr:uid="{00000000-0005-0000-0000-000038810000}"/>
    <cellStyle name="Remarque 3 2 2 2 2 2 6 8 3" xfId="47159" xr:uid="{00000000-0005-0000-0000-000039810000}"/>
    <cellStyle name="Remarque 3 2 2 2 2 2 6 9" xfId="2756" xr:uid="{00000000-0005-0000-0000-00003A810000}"/>
    <cellStyle name="Remarque 3 2 2 2 2 2 6 9 2" xfId="26770" xr:uid="{00000000-0005-0000-0000-00003B810000}"/>
    <cellStyle name="Remarque 3 2 2 2 2 2 6 9 3" xfId="50730" xr:uid="{00000000-0005-0000-0000-00003C810000}"/>
    <cellStyle name="Remarque 3 2 2 2 2 2 7" xfId="1489" xr:uid="{00000000-0005-0000-0000-00003D810000}"/>
    <cellStyle name="Remarque 3 2 2 2 2 2 7 10" xfId="25521" xr:uid="{00000000-0005-0000-0000-00003E810000}"/>
    <cellStyle name="Remarque 3 2 2 2 2 2 7 10 2" xfId="49481" xr:uid="{00000000-0005-0000-0000-00003F810000}"/>
    <cellStyle name="Remarque 3 2 2 2 2 2 7 11" xfId="36653" xr:uid="{00000000-0005-0000-0000-000040810000}"/>
    <cellStyle name="Remarque 3 2 2 2 2 2 7 11 2" xfId="60613" xr:uid="{00000000-0005-0000-0000-000041810000}"/>
    <cellStyle name="Remarque 3 2 2 2 2 2 7 12" xfId="14186" xr:uid="{00000000-0005-0000-0000-000042810000}"/>
    <cellStyle name="Remarque 3 2 2 2 2 2 7 13" xfId="38146" xr:uid="{00000000-0005-0000-0000-000043810000}"/>
    <cellStyle name="Remarque 3 2 2 2 2 2 7 2" xfId="4395" xr:uid="{00000000-0005-0000-0000-000044810000}"/>
    <cellStyle name="Remarque 3 2 2 2 2 2 7 2 2" xfId="28409" xr:uid="{00000000-0005-0000-0000-000045810000}"/>
    <cellStyle name="Remarque 3 2 2 2 2 2 7 2 2 2" xfId="52369" xr:uid="{00000000-0005-0000-0000-000046810000}"/>
    <cellStyle name="Remarque 3 2 2 2 2 2 7 2 3" xfId="15656" xr:uid="{00000000-0005-0000-0000-000047810000}"/>
    <cellStyle name="Remarque 3 2 2 2 2 2 7 2 4" xfId="39616" xr:uid="{00000000-0005-0000-0000-000048810000}"/>
    <cellStyle name="Remarque 3 2 2 2 2 2 7 3" xfId="5829" xr:uid="{00000000-0005-0000-0000-000049810000}"/>
    <cellStyle name="Remarque 3 2 2 2 2 2 7 3 2" xfId="29843" xr:uid="{00000000-0005-0000-0000-00004A810000}"/>
    <cellStyle name="Remarque 3 2 2 2 2 2 7 3 2 2" xfId="53803" xr:uid="{00000000-0005-0000-0000-00004B810000}"/>
    <cellStyle name="Remarque 3 2 2 2 2 2 7 3 3" xfId="17090" xr:uid="{00000000-0005-0000-0000-00004C810000}"/>
    <cellStyle name="Remarque 3 2 2 2 2 2 7 3 4" xfId="41050" xr:uid="{00000000-0005-0000-0000-00004D810000}"/>
    <cellStyle name="Remarque 3 2 2 2 2 2 7 4" xfId="7223" xr:uid="{00000000-0005-0000-0000-00004E810000}"/>
    <cellStyle name="Remarque 3 2 2 2 2 2 7 4 2" xfId="31237" xr:uid="{00000000-0005-0000-0000-00004F810000}"/>
    <cellStyle name="Remarque 3 2 2 2 2 2 7 4 2 2" xfId="55197" xr:uid="{00000000-0005-0000-0000-000050810000}"/>
    <cellStyle name="Remarque 3 2 2 2 2 2 7 4 3" xfId="18484" xr:uid="{00000000-0005-0000-0000-000051810000}"/>
    <cellStyle name="Remarque 3 2 2 2 2 2 7 4 4" xfId="42444" xr:uid="{00000000-0005-0000-0000-000052810000}"/>
    <cellStyle name="Remarque 3 2 2 2 2 2 7 5" xfId="8611" xr:uid="{00000000-0005-0000-0000-000053810000}"/>
    <cellStyle name="Remarque 3 2 2 2 2 2 7 5 2" xfId="32625" xr:uid="{00000000-0005-0000-0000-000054810000}"/>
    <cellStyle name="Remarque 3 2 2 2 2 2 7 5 2 2" xfId="56585" xr:uid="{00000000-0005-0000-0000-000055810000}"/>
    <cellStyle name="Remarque 3 2 2 2 2 2 7 5 3" xfId="19872" xr:uid="{00000000-0005-0000-0000-000056810000}"/>
    <cellStyle name="Remarque 3 2 2 2 2 2 7 5 4" xfId="43832" xr:uid="{00000000-0005-0000-0000-000057810000}"/>
    <cellStyle name="Remarque 3 2 2 2 2 2 7 6" xfId="9996" xr:uid="{00000000-0005-0000-0000-000058810000}"/>
    <cellStyle name="Remarque 3 2 2 2 2 2 7 6 2" xfId="34010" xr:uid="{00000000-0005-0000-0000-000059810000}"/>
    <cellStyle name="Remarque 3 2 2 2 2 2 7 6 2 2" xfId="57970" xr:uid="{00000000-0005-0000-0000-00005A810000}"/>
    <cellStyle name="Remarque 3 2 2 2 2 2 7 6 3" xfId="21257" xr:uid="{00000000-0005-0000-0000-00005B810000}"/>
    <cellStyle name="Remarque 3 2 2 2 2 2 7 6 4" xfId="45217" xr:uid="{00000000-0005-0000-0000-00005C810000}"/>
    <cellStyle name="Remarque 3 2 2 2 2 2 7 7" xfId="11453" xr:uid="{00000000-0005-0000-0000-00005D810000}"/>
    <cellStyle name="Remarque 3 2 2 2 2 2 7 7 2" xfId="35463" xr:uid="{00000000-0005-0000-0000-00005E810000}"/>
    <cellStyle name="Remarque 3 2 2 2 2 2 7 7 2 2" xfId="59423" xr:uid="{00000000-0005-0000-0000-00005F810000}"/>
    <cellStyle name="Remarque 3 2 2 2 2 2 7 7 3" xfId="22720" xr:uid="{00000000-0005-0000-0000-000060810000}"/>
    <cellStyle name="Remarque 3 2 2 2 2 2 7 7 4" xfId="46680" xr:uid="{00000000-0005-0000-0000-000061810000}"/>
    <cellStyle name="Remarque 3 2 2 2 2 2 7 8" xfId="11913" xr:uid="{00000000-0005-0000-0000-000062810000}"/>
    <cellStyle name="Remarque 3 2 2 2 2 2 7 8 2" xfId="23191" xr:uid="{00000000-0005-0000-0000-000063810000}"/>
    <cellStyle name="Remarque 3 2 2 2 2 2 7 8 3" xfId="47151" xr:uid="{00000000-0005-0000-0000-000064810000}"/>
    <cellStyle name="Remarque 3 2 2 2 2 2 7 9" xfId="2925" xr:uid="{00000000-0005-0000-0000-000065810000}"/>
    <cellStyle name="Remarque 3 2 2 2 2 2 7 9 2" xfId="26939" xr:uid="{00000000-0005-0000-0000-000066810000}"/>
    <cellStyle name="Remarque 3 2 2 2 2 2 7 9 3" xfId="50899" xr:uid="{00000000-0005-0000-0000-000067810000}"/>
    <cellStyle name="Remarque 3 2 2 2 2 2 8" xfId="3344" xr:uid="{00000000-0005-0000-0000-000068810000}"/>
    <cellStyle name="Remarque 3 2 2 2 2 2 8 2" xfId="27358" xr:uid="{00000000-0005-0000-0000-000069810000}"/>
    <cellStyle name="Remarque 3 2 2 2 2 2 8 2 2" xfId="51318" xr:uid="{00000000-0005-0000-0000-00006A810000}"/>
    <cellStyle name="Remarque 3 2 2 2 2 2 8 3" xfId="14605" xr:uid="{00000000-0005-0000-0000-00006B810000}"/>
    <cellStyle name="Remarque 3 2 2 2 2 2 8 4" xfId="38565" xr:uid="{00000000-0005-0000-0000-00006C810000}"/>
    <cellStyle name="Remarque 3 2 2 2 2 2 9" xfId="4778" xr:uid="{00000000-0005-0000-0000-00006D810000}"/>
    <cellStyle name="Remarque 3 2 2 2 2 2 9 2" xfId="28792" xr:uid="{00000000-0005-0000-0000-00006E810000}"/>
    <cellStyle name="Remarque 3 2 2 2 2 2 9 2 2" xfId="52752" xr:uid="{00000000-0005-0000-0000-00006F810000}"/>
    <cellStyle name="Remarque 3 2 2 2 2 2 9 3" xfId="16039" xr:uid="{00000000-0005-0000-0000-000070810000}"/>
    <cellStyle name="Remarque 3 2 2 2 2 2 9 4" xfId="39999" xr:uid="{00000000-0005-0000-0000-000071810000}"/>
    <cellStyle name="Remarque 3 2 2 2 2 20" xfId="12960" xr:uid="{00000000-0005-0000-0000-000072810000}"/>
    <cellStyle name="Remarque 3 2 2 2 2 21" xfId="36920" xr:uid="{00000000-0005-0000-0000-000073810000}"/>
    <cellStyle name="Remarque 3 2 2 2 2 22" xfId="263" xr:uid="{00000000-0005-0000-0000-000074810000}"/>
    <cellStyle name="Remarque 3 2 2 2 2 3" xfId="362" xr:uid="{00000000-0005-0000-0000-000075810000}"/>
    <cellStyle name="Remarque 3 2 2 2 2 3 10" xfId="24394" xr:uid="{00000000-0005-0000-0000-000076810000}"/>
    <cellStyle name="Remarque 3 2 2 2 2 3 10 2" xfId="48354" xr:uid="{00000000-0005-0000-0000-000077810000}"/>
    <cellStyle name="Remarque 3 2 2 2 2 3 11" xfId="35900" xr:uid="{00000000-0005-0000-0000-000078810000}"/>
    <cellStyle name="Remarque 3 2 2 2 2 3 11 2" xfId="59860" xr:uid="{00000000-0005-0000-0000-000079810000}"/>
    <cellStyle name="Remarque 3 2 2 2 2 3 12" xfId="13059" xr:uid="{00000000-0005-0000-0000-00007A810000}"/>
    <cellStyle name="Remarque 3 2 2 2 2 3 13" xfId="37019" xr:uid="{00000000-0005-0000-0000-00007B810000}"/>
    <cellStyle name="Remarque 3 2 2 2 2 3 2" xfId="3268" xr:uid="{00000000-0005-0000-0000-00007C810000}"/>
    <cellStyle name="Remarque 3 2 2 2 2 3 2 2" xfId="27282" xr:uid="{00000000-0005-0000-0000-00007D810000}"/>
    <cellStyle name="Remarque 3 2 2 2 2 3 2 2 2" xfId="51242" xr:uid="{00000000-0005-0000-0000-00007E810000}"/>
    <cellStyle name="Remarque 3 2 2 2 2 3 2 3" xfId="14529" xr:uid="{00000000-0005-0000-0000-00007F810000}"/>
    <cellStyle name="Remarque 3 2 2 2 2 3 2 4" xfId="38489" xr:uid="{00000000-0005-0000-0000-000080810000}"/>
    <cellStyle name="Remarque 3 2 2 2 2 3 3" xfId="4702" xr:uid="{00000000-0005-0000-0000-000081810000}"/>
    <cellStyle name="Remarque 3 2 2 2 2 3 3 2" xfId="28716" xr:uid="{00000000-0005-0000-0000-000082810000}"/>
    <cellStyle name="Remarque 3 2 2 2 2 3 3 2 2" xfId="52676" xr:uid="{00000000-0005-0000-0000-000083810000}"/>
    <cellStyle name="Remarque 3 2 2 2 2 3 3 3" xfId="15963" xr:uid="{00000000-0005-0000-0000-000084810000}"/>
    <cellStyle name="Remarque 3 2 2 2 2 3 3 4" xfId="39923" xr:uid="{00000000-0005-0000-0000-000085810000}"/>
    <cellStyle name="Remarque 3 2 2 2 2 3 4" xfId="6096" xr:uid="{00000000-0005-0000-0000-000086810000}"/>
    <cellStyle name="Remarque 3 2 2 2 2 3 4 2" xfId="30110" xr:uid="{00000000-0005-0000-0000-000087810000}"/>
    <cellStyle name="Remarque 3 2 2 2 2 3 4 2 2" xfId="54070" xr:uid="{00000000-0005-0000-0000-000088810000}"/>
    <cellStyle name="Remarque 3 2 2 2 2 3 4 3" xfId="17357" xr:uid="{00000000-0005-0000-0000-000089810000}"/>
    <cellStyle name="Remarque 3 2 2 2 2 3 4 4" xfId="41317" xr:uid="{00000000-0005-0000-0000-00008A810000}"/>
    <cellStyle name="Remarque 3 2 2 2 2 3 5" xfId="7484" xr:uid="{00000000-0005-0000-0000-00008B810000}"/>
    <cellStyle name="Remarque 3 2 2 2 2 3 5 2" xfId="31498" xr:uid="{00000000-0005-0000-0000-00008C810000}"/>
    <cellStyle name="Remarque 3 2 2 2 2 3 5 2 2" xfId="55458" xr:uid="{00000000-0005-0000-0000-00008D810000}"/>
    <cellStyle name="Remarque 3 2 2 2 2 3 5 3" xfId="18745" xr:uid="{00000000-0005-0000-0000-00008E810000}"/>
    <cellStyle name="Remarque 3 2 2 2 2 3 5 4" xfId="42705" xr:uid="{00000000-0005-0000-0000-00008F810000}"/>
    <cellStyle name="Remarque 3 2 2 2 2 3 6" xfId="8869" xr:uid="{00000000-0005-0000-0000-000090810000}"/>
    <cellStyle name="Remarque 3 2 2 2 2 3 6 2" xfId="32883" xr:uid="{00000000-0005-0000-0000-000091810000}"/>
    <cellStyle name="Remarque 3 2 2 2 2 3 6 2 2" xfId="56843" xr:uid="{00000000-0005-0000-0000-000092810000}"/>
    <cellStyle name="Remarque 3 2 2 2 2 3 6 3" xfId="20130" xr:uid="{00000000-0005-0000-0000-000093810000}"/>
    <cellStyle name="Remarque 3 2 2 2 2 3 6 4" xfId="44090" xr:uid="{00000000-0005-0000-0000-000094810000}"/>
    <cellStyle name="Remarque 3 2 2 2 2 3 7" xfId="10326" xr:uid="{00000000-0005-0000-0000-000095810000}"/>
    <cellStyle name="Remarque 3 2 2 2 2 3 7 2" xfId="34336" xr:uid="{00000000-0005-0000-0000-000096810000}"/>
    <cellStyle name="Remarque 3 2 2 2 2 3 7 2 2" xfId="58296" xr:uid="{00000000-0005-0000-0000-000097810000}"/>
    <cellStyle name="Remarque 3 2 2 2 2 3 7 3" xfId="21593" xr:uid="{00000000-0005-0000-0000-000098810000}"/>
    <cellStyle name="Remarque 3 2 2 2 2 3 7 4" xfId="45553" xr:uid="{00000000-0005-0000-0000-000099810000}"/>
    <cellStyle name="Remarque 3 2 2 2 2 3 8" xfId="12348" xr:uid="{00000000-0005-0000-0000-00009A810000}"/>
    <cellStyle name="Remarque 3 2 2 2 2 3 8 2" xfId="23636" xr:uid="{00000000-0005-0000-0000-00009B810000}"/>
    <cellStyle name="Remarque 3 2 2 2 2 3 8 3" xfId="47596" xr:uid="{00000000-0005-0000-0000-00009C810000}"/>
    <cellStyle name="Remarque 3 2 2 2 2 3 9" xfId="1798" xr:uid="{00000000-0005-0000-0000-00009D810000}"/>
    <cellStyle name="Remarque 3 2 2 2 2 3 9 2" xfId="25812" xr:uid="{00000000-0005-0000-0000-00009E810000}"/>
    <cellStyle name="Remarque 3 2 2 2 2 3 9 3" xfId="49772" xr:uid="{00000000-0005-0000-0000-00009F810000}"/>
    <cellStyle name="Remarque 3 2 2 2 2 4" xfId="498" xr:uid="{00000000-0005-0000-0000-0000A0810000}"/>
    <cellStyle name="Remarque 3 2 2 2 2 4 10" xfId="24530" xr:uid="{00000000-0005-0000-0000-0000A1810000}"/>
    <cellStyle name="Remarque 3 2 2 2 2 4 10 2" xfId="48490" xr:uid="{00000000-0005-0000-0000-0000A2810000}"/>
    <cellStyle name="Remarque 3 2 2 2 2 4 11" xfId="35889" xr:uid="{00000000-0005-0000-0000-0000A3810000}"/>
    <cellStyle name="Remarque 3 2 2 2 2 4 11 2" xfId="59849" xr:uid="{00000000-0005-0000-0000-0000A4810000}"/>
    <cellStyle name="Remarque 3 2 2 2 2 4 12" xfId="13195" xr:uid="{00000000-0005-0000-0000-0000A5810000}"/>
    <cellStyle name="Remarque 3 2 2 2 2 4 13" xfId="37155" xr:uid="{00000000-0005-0000-0000-0000A6810000}"/>
    <cellStyle name="Remarque 3 2 2 2 2 4 2" xfId="3404" xr:uid="{00000000-0005-0000-0000-0000A7810000}"/>
    <cellStyle name="Remarque 3 2 2 2 2 4 2 2" xfId="27418" xr:uid="{00000000-0005-0000-0000-0000A8810000}"/>
    <cellStyle name="Remarque 3 2 2 2 2 4 2 2 2" xfId="51378" xr:uid="{00000000-0005-0000-0000-0000A9810000}"/>
    <cellStyle name="Remarque 3 2 2 2 2 4 2 3" xfId="14665" xr:uid="{00000000-0005-0000-0000-0000AA810000}"/>
    <cellStyle name="Remarque 3 2 2 2 2 4 2 4" xfId="38625" xr:uid="{00000000-0005-0000-0000-0000AB810000}"/>
    <cellStyle name="Remarque 3 2 2 2 2 4 3" xfId="4838" xr:uid="{00000000-0005-0000-0000-0000AC810000}"/>
    <cellStyle name="Remarque 3 2 2 2 2 4 3 2" xfId="28852" xr:uid="{00000000-0005-0000-0000-0000AD810000}"/>
    <cellStyle name="Remarque 3 2 2 2 2 4 3 2 2" xfId="52812" xr:uid="{00000000-0005-0000-0000-0000AE810000}"/>
    <cellStyle name="Remarque 3 2 2 2 2 4 3 3" xfId="16099" xr:uid="{00000000-0005-0000-0000-0000AF810000}"/>
    <cellStyle name="Remarque 3 2 2 2 2 4 3 4" xfId="40059" xr:uid="{00000000-0005-0000-0000-0000B0810000}"/>
    <cellStyle name="Remarque 3 2 2 2 2 4 4" xfId="6232" xr:uid="{00000000-0005-0000-0000-0000B1810000}"/>
    <cellStyle name="Remarque 3 2 2 2 2 4 4 2" xfId="30246" xr:uid="{00000000-0005-0000-0000-0000B2810000}"/>
    <cellStyle name="Remarque 3 2 2 2 2 4 4 2 2" xfId="54206" xr:uid="{00000000-0005-0000-0000-0000B3810000}"/>
    <cellStyle name="Remarque 3 2 2 2 2 4 4 3" xfId="17493" xr:uid="{00000000-0005-0000-0000-0000B4810000}"/>
    <cellStyle name="Remarque 3 2 2 2 2 4 4 4" xfId="41453" xr:uid="{00000000-0005-0000-0000-0000B5810000}"/>
    <cellStyle name="Remarque 3 2 2 2 2 4 5" xfId="7620" xr:uid="{00000000-0005-0000-0000-0000B6810000}"/>
    <cellStyle name="Remarque 3 2 2 2 2 4 5 2" xfId="31634" xr:uid="{00000000-0005-0000-0000-0000B7810000}"/>
    <cellStyle name="Remarque 3 2 2 2 2 4 5 2 2" xfId="55594" xr:uid="{00000000-0005-0000-0000-0000B8810000}"/>
    <cellStyle name="Remarque 3 2 2 2 2 4 5 3" xfId="18881" xr:uid="{00000000-0005-0000-0000-0000B9810000}"/>
    <cellStyle name="Remarque 3 2 2 2 2 4 5 4" xfId="42841" xr:uid="{00000000-0005-0000-0000-0000BA810000}"/>
    <cellStyle name="Remarque 3 2 2 2 2 4 6" xfId="9005" xr:uid="{00000000-0005-0000-0000-0000BB810000}"/>
    <cellStyle name="Remarque 3 2 2 2 2 4 6 2" xfId="33019" xr:uid="{00000000-0005-0000-0000-0000BC810000}"/>
    <cellStyle name="Remarque 3 2 2 2 2 4 6 2 2" xfId="56979" xr:uid="{00000000-0005-0000-0000-0000BD810000}"/>
    <cellStyle name="Remarque 3 2 2 2 2 4 6 3" xfId="20266" xr:uid="{00000000-0005-0000-0000-0000BE810000}"/>
    <cellStyle name="Remarque 3 2 2 2 2 4 6 4" xfId="44226" xr:uid="{00000000-0005-0000-0000-0000BF810000}"/>
    <cellStyle name="Remarque 3 2 2 2 2 4 7" xfId="10462" xr:uid="{00000000-0005-0000-0000-0000C0810000}"/>
    <cellStyle name="Remarque 3 2 2 2 2 4 7 2" xfId="34472" xr:uid="{00000000-0005-0000-0000-0000C1810000}"/>
    <cellStyle name="Remarque 3 2 2 2 2 4 7 2 2" xfId="58432" xr:uid="{00000000-0005-0000-0000-0000C2810000}"/>
    <cellStyle name="Remarque 3 2 2 2 2 4 7 3" xfId="21729" xr:uid="{00000000-0005-0000-0000-0000C3810000}"/>
    <cellStyle name="Remarque 3 2 2 2 2 4 7 4" xfId="45689" xr:uid="{00000000-0005-0000-0000-0000C4810000}"/>
    <cellStyle name="Remarque 3 2 2 2 2 4 8" xfId="12891" xr:uid="{00000000-0005-0000-0000-0000C5810000}"/>
    <cellStyle name="Remarque 3 2 2 2 2 4 8 2" xfId="24203" xr:uid="{00000000-0005-0000-0000-0000C6810000}"/>
    <cellStyle name="Remarque 3 2 2 2 2 4 8 3" xfId="48163" xr:uid="{00000000-0005-0000-0000-0000C7810000}"/>
    <cellStyle name="Remarque 3 2 2 2 2 4 9" xfId="1934" xr:uid="{00000000-0005-0000-0000-0000C8810000}"/>
    <cellStyle name="Remarque 3 2 2 2 2 4 9 2" xfId="25948" xr:uid="{00000000-0005-0000-0000-0000C9810000}"/>
    <cellStyle name="Remarque 3 2 2 2 2 4 9 3" xfId="49908" xr:uid="{00000000-0005-0000-0000-0000CA810000}"/>
    <cellStyle name="Remarque 3 2 2 2 2 5" xfId="690" xr:uid="{00000000-0005-0000-0000-0000CB810000}"/>
    <cellStyle name="Remarque 3 2 2 2 2 5 10" xfId="24722" xr:uid="{00000000-0005-0000-0000-0000CC810000}"/>
    <cellStyle name="Remarque 3 2 2 2 2 5 10 2" xfId="48682" xr:uid="{00000000-0005-0000-0000-0000CD810000}"/>
    <cellStyle name="Remarque 3 2 2 2 2 5 11" xfId="36644" xr:uid="{00000000-0005-0000-0000-0000CE810000}"/>
    <cellStyle name="Remarque 3 2 2 2 2 5 11 2" xfId="60604" xr:uid="{00000000-0005-0000-0000-0000CF810000}"/>
    <cellStyle name="Remarque 3 2 2 2 2 5 12" xfId="13387" xr:uid="{00000000-0005-0000-0000-0000D0810000}"/>
    <cellStyle name="Remarque 3 2 2 2 2 5 13" xfId="37347" xr:uid="{00000000-0005-0000-0000-0000D1810000}"/>
    <cellStyle name="Remarque 3 2 2 2 2 5 2" xfId="3596" xr:uid="{00000000-0005-0000-0000-0000D2810000}"/>
    <cellStyle name="Remarque 3 2 2 2 2 5 2 2" xfId="27610" xr:uid="{00000000-0005-0000-0000-0000D3810000}"/>
    <cellStyle name="Remarque 3 2 2 2 2 5 2 2 2" xfId="51570" xr:uid="{00000000-0005-0000-0000-0000D4810000}"/>
    <cellStyle name="Remarque 3 2 2 2 2 5 2 3" xfId="14857" xr:uid="{00000000-0005-0000-0000-0000D5810000}"/>
    <cellStyle name="Remarque 3 2 2 2 2 5 2 4" xfId="38817" xr:uid="{00000000-0005-0000-0000-0000D6810000}"/>
    <cellStyle name="Remarque 3 2 2 2 2 5 3" xfId="5030" xr:uid="{00000000-0005-0000-0000-0000D7810000}"/>
    <cellStyle name="Remarque 3 2 2 2 2 5 3 2" xfId="29044" xr:uid="{00000000-0005-0000-0000-0000D8810000}"/>
    <cellStyle name="Remarque 3 2 2 2 2 5 3 2 2" xfId="53004" xr:uid="{00000000-0005-0000-0000-0000D9810000}"/>
    <cellStyle name="Remarque 3 2 2 2 2 5 3 3" xfId="16291" xr:uid="{00000000-0005-0000-0000-0000DA810000}"/>
    <cellStyle name="Remarque 3 2 2 2 2 5 3 4" xfId="40251" xr:uid="{00000000-0005-0000-0000-0000DB810000}"/>
    <cellStyle name="Remarque 3 2 2 2 2 5 4" xfId="6424" xr:uid="{00000000-0005-0000-0000-0000DC810000}"/>
    <cellStyle name="Remarque 3 2 2 2 2 5 4 2" xfId="30438" xr:uid="{00000000-0005-0000-0000-0000DD810000}"/>
    <cellStyle name="Remarque 3 2 2 2 2 5 4 2 2" xfId="54398" xr:uid="{00000000-0005-0000-0000-0000DE810000}"/>
    <cellStyle name="Remarque 3 2 2 2 2 5 4 3" xfId="17685" xr:uid="{00000000-0005-0000-0000-0000DF810000}"/>
    <cellStyle name="Remarque 3 2 2 2 2 5 4 4" xfId="41645" xr:uid="{00000000-0005-0000-0000-0000E0810000}"/>
    <cellStyle name="Remarque 3 2 2 2 2 5 5" xfId="7812" xr:uid="{00000000-0005-0000-0000-0000E1810000}"/>
    <cellStyle name="Remarque 3 2 2 2 2 5 5 2" xfId="31826" xr:uid="{00000000-0005-0000-0000-0000E2810000}"/>
    <cellStyle name="Remarque 3 2 2 2 2 5 5 2 2" xfId="55786" xr:uid="{00000000-0005-0000-0000-0000E3810000}"/>
    <cellStyle name="Remarque 3 2 2 2 2 5 5 3" xfId="19073" xr:uid="{00000000-0005-0000-0000-0000E4810000}"/>
    <cellStyle name="Remarque 3 2 2 2 2 5 5 4" xfId="43033" xr:uid="{00000000-0005-0000-0000-0000E5810000}"/>
    <cellStyle name="Remarque 3 2 2 2 2 5 6" xfId="9197" xr:uid="{00000000-0005-0000-0000-0000E6810000}"/>
    <cellStyle name="Remarque 3 2 2 2 2 5 6 2" xfId="33211" xr:uid="{00000000-0005-0000-0000-0000E7810000}"/>
    <cellStyle name="Remarque 3 2 2 2 2 5 6 2 2" xfId="57171" xr:uid="{00000000-0005-0000-0000-0000E8810000}"/>
    <cellStyle name="Remarque 3 2 2 2 2 5 6 3" xfId="20458" xr:uid="{00000000-0005-0000-0000-0000E9810000}"/>
    <cellStyle name="Remarque 3 2 2 2 2 5 6 4" xfId="44418" xr:uid="{00000000-0005-0000-0000-0000EA810000}"/>
    <cellStyle name="Remarque 3 2 2 2 2 5 7" xfId="10654" xr:uid="{00000000-0005-0000-0000-0000EB810000}"/>
    <cellStyle name="Remarque 3 2 2 2 2 5 7 2" xfId="34664" xr:uid="{00000000-0005-0000-0000-0000EC810000}"/>
    <cellStyle name="Remarque 3 2 2 2 2 5 7 2 2" xfId="58624" xr:uid="{00000000-0005-0000-0000-0000ED810000}"/>
    <cellStyle name="Remarque 3 2 2 2 2 5 7 3" xfId="21921" xr:uid="{00000000-0005-0000-0000-0000EE810000}"/>
    <cellStyle name="Remarque 3 2 2 2 2 5 7 4" xfId="45881" xr:uid="{00000000-0005-0000-0000-0000EF810000}"/>
    <cellStyle name="Remarque 3 2 2 2 2 5 8" xfId="12530" xr:uid="{00000000-0005-0000-0000-0000F0810000}"/>
    <cellStyle name="Remarque 3 2 2 2 2 5 8 2" xfId="23827" xr:uid="{00000000-0005-0000-0000-0000F1810000}"/>
    <cellStyle name="Remarque 3 2 2 2 2 5 8 3" xfId="47787" xr:uid="{00000000-0005-0000-0000-0000F2810000}"/>
    <cellStyle name="Remarque 3 2 2 2 2 5 9" xfId="2126" xr:uid="{00000000-0005-0000-0000-0000F3810000}"/>
    <cellStyle name="Remarque 3 2 2 2 2 5 9 2" xfId="26140" xr:uid="{00000000-0005-0000-0000-0000F4810000}"/>
    <cellStyle name="Remarque 3 2 2 2 2 5 9 3" xfId="50100" xr:uid="{00000000-0005-0000-0000-0000F5810000}"/>
    <cellStyle name="Remarque 3 2 2 2 2 6" xfId="884" xr:uid="{00000000-0005-0000-0000-0000F6810000}"/>
    <cellStyle name="Remarque 3 2 2 2 2 6 10" xfId="24916" xr:uid="{00000000-0005-0000-0000-0000F7810000}"/>
    <cellStyle name="Remarque 3 2 2 2 2 6 10 2" xfId="48876" xr:uid="{00000000-0005-0000-0000-0000F8810000}"/>
    <cellStyle name="Remarque 3 2 2 2 2 6 11" xfId="36597" xr:uid="{00000000-0005-0000-0000-0000F9810000}"/>
    <cellStyle name="Remarque 3 2 2 2 2 6 11 2" xfId="60557" xr:uid="{00000000-0005-0000-0000-0000FA810000}"/>
    <cellStyle name="Remarque 3 2 2 2 2 6 12" xfId="13581" xr:uid="{00000000-0005-0000-0000-0000FB810000}"/>
    <cellStyle name="Remarque 3 2 2 2 2 6 13" xfId="37541" xr:uid="{00000000-0005-0000-0000-0000FC810000}"/>
    <cellStyle name="Remarque 3 2 2 2 2 6 2" xfId="3790" xr:uid="{00000000-0005-0000-0000-0000FD810000}"/>
    <cellStyle name="Remarque 3 2 2 2 2 6 2 2" xfId="27804" xr:uid="{00000000-0005-0000-0000-0000FE810000}"/>
    <cellStyle name="Remarque 3 2 2 2 2 6 2 2 2" xfId="51764" xr:uid="{00000000-0005-0000-0000-0000FF810000}"/>
    <cellStyle name="Remarque 3 2 2 2 2 6 2 3" xfId="15051" xr:uid="{00000000-0005-0000-0000-000000820000}"/>
    <cellStyle name="Remarque 3 2 2 2 2 6 2 4" xfId="39011" xr:uid="{00000000-0005-0000-0000-000001820000}"/>
    <cellStyle name="Remarque 3 2 2 2 2 6 3" xfId="5224" xr:uid="{00000000-0005-0000-0000-000002820000}"/>
    <cellStyle name="Remarque 3 2 2 2 2 6 3 2" xfId="29238" xr:uid="{00000000-0005-0000-0000-000003820000}"/>
    <cellStyle name="Remarque 3 2 2 2 2 6 3 2 2" xfId="53198" xr:uid="{00000000-0005-0000-0000-000004820000}"/>
    <cellStyle name="Remarque 3 2 2 2 2 6 3 3" xfId="16485" xr:uid="{00000000-0005-0000-0000-000005820000}"/>
    <cellStyle name="Remarque 3 2 2 2 2 6 3 4" xfId="40445" xr:uid="{00000000-0005-0000-0000-000006820000}"/>
    <cellStyle name="Remarque 3 2 2 2 2 6 4" xfId="6618" xr:uid="{00000000-0005-0000-0000-000007820000}"/>
    <cellStyle name="Remarque 3 2 2 2 2 6 4 2" xfId="30632" xr:uid="{00000000-0005-0000-0000-000008820000}"/>
    <cellStyle name="Remarque 3 2 2 2 2 6 4 2 2" xfId="54592" xr:uid="{00000000-0005-0000-0000-000009820000}"/>
    <cellStyle name="Remarque 3 2 2 2 2 6 4 3" xfId="17879" xr:uid="{00000000-0005-0000-0000-00000A820000}"/>
    <cellStyle name="Remarque 3 2 2 2 2 6 4 4" xfId="41839" xr:uid="{00000000-0005-0000-0000-00000B820000}"/>
    <cellStyle name="Remarque 3 2 2 2 2 6 5" xfId="8006" xr:uid="{00000000-0005-0000-0000-00000C820000}"/>
    <cellStyle name="Remarque 3 2 2 2 2 6 5 2" xfId="32020" xr:uid="{00000000-0005-0000-0000-00000D820000}"/>
    <cellStyle name="Remarque 3 2 2 2 2 6 5 2 2" xfId="55980" xr:uid="{00000000-0005-0000-0000-00000E820000}"/>
    <cellStyle name="Remarque 3 2 2 2 2 6 5 3" xfId="19267" xr:uid="{00000000-0005-0000-0000-00000F820000}"/>
    <cellStyle name="Remarque 3 2 2 2 2 6 5 4" xfId="43227" xr:uid="{00000000-0005-0000-0000-000010820000}"/>
    <cellStyle name="Remarque 3 2 2 2 2 6 6" xfId="9391" xr:uid="{00000000-0005-0000-0000-000011820000}"/>
    <cellStyle name="Remarque 3 2 2 2 2 6 6 2" xfId="33405" xr:uid="{00000000-0005-0000-0000-000012820000}"/>
    <cellStyle name="Remarque 3 2 2 2 2 6 6 2 2" xfId="57365" xr:uid="{00000000-0005-0000-0000-000013820000}"/>
    <cellStyle name="Remarque 3 2 2 2 2 6 6 3" xfId="20652" xr:uid="{00000000-0005-0000-0000-000014820000}"/>
    <cellStyle name="Remarque 3 2 2 2 2 6 6 4" xfId="44612" xr:uid="{00000000-0005-0000-0000-000015820000}"/>
    <cellStyle name="Remarque 3 2 2 2 2 6 7" xfId="10848" xr:uid="{00000000-0005-0000-0000-000016820000}"/>
    <cellStyle name="Remarque 3 2 2 2 2 6 7 2" xfId="34858" xr:uid="{00000000-0005-0000-0000-000017820000}"/>
    <cellStyle name="Remarque 3 2 2 2 2 6 7 2 2" xfId="58818" xr:uid="{00000000-0005-0000-0000-000018820000}"/>
    <cellStyle name="Remarque 3 2 2 2 2 6 7 3" xfId="22115" xr:uid="{00000000-0005-0000-0000-000019820000}"/>
    <cellStyle name="Remarque 3 2 2 2 2 6 7 4" xfId="46075" xr:uid="{00000000-0005-0000-0000-00001A820000}"/>
    <cellStyle name="Remarque 3 2 2 2 2 6 8" xfId="12378" xr:uid="{00000000-0005-0000-0000-00001B820000}"/>
    <cellStyle name="Remarque 3 2 2 2 2 6 8 2" xfId="23667" xr:uid="{00000000-0005-0000-0000-00001C820000}"/>
    <cellStyle name="Remarque 3 2 2 2 2 6 8 3" xfId="47627" xr:uid="{00000000-0005-0000-0000-00001D820000}"/>
    <cellStyle name="Remarque 3 2 2 2 2 6 9" xfId="2320" xr:uid="{00000000-0005-0000-0000-00001E820000}"/>
    <cellStyle name="Remarque 3 2 2 2 2 6 9 2" xfId="26334" xr:uid="{00000000-0005-0000-0000-00001F820000}"/>
    <cellStyle name="Remarque 3 2 2 2 2 6 9 3" xfId="50294" xr:uid="{00000000-0005-0000-0000-000020820000}"/>
    <cellStyle name="Remarque 3 2 2 2 2 7" xfId="1077" xr:uid="{00000000-0005-0000-0000-000021820000}"/>
    <cellStyle name="Remarque 3 2 2 2 2 7 10" xfId="25109" xr:uid="{00000000-0005-0000-0000-000022820000}"/>
    <cellStyle name="Remarque 3 2 2 2 2 7 10 2" xfId="49069" xr:uid="{00000000-0005-0000-0000-000023820000}"/>
    <cellStyle name="Remarque 3 2 2 2 2 7 11" xfId="35755" xr:uid="{00000000-0005-0000-0000-000024820000}"/>
    <cellStyle name="Remarque 3 2 2 2 2 7 11 2" xfId="59715" xr:uid="{00000000-0005-0000-0000-000025820000}"/>
    <cellStyle name="Remarque 3 2 2 2 2 7 12" xfId="13774" xr:uid="{00000000-0005-0000-0000-000026820000}"/>
    <cellStyle name="Remarque 3 2 2 2 2 7 13" xfId="37734" xr:uid="{00000000-0005-0000-0000-000027820000}"/>
    <cellStyle name="Remarque 3 2 2 2 2 7 2" xfId="3983" xr:uid="{00000000-0005-0000-0000-000028820000}"/>
    <cellStyle name="Remarque 3 2 2 2 2 7 2 2" xfId="27997" xr:uid="{00000000-0005-0000-0000-000029820000}"/>
    <cellStyle name="Remarque 3 2 2 2 2 7 2 2 2" xfId="51957" xr:uid="{00000000-0005-0000-0000-00002A820000}"/>
    <cellStyle name="Remarque 3 2 2 2 2 7 2 3" xfId="15244" xr:uid="{00000000-0005-0000-0000-00002B820000}"/>
    <cellStyle name="Remarque 3 2 2 2 2 7 2 4" xfId="39204" xr:uid="{00000000-0005-0000-0000-00002C820000}"/>
    <cellStyle name="Remarque 3 2 2 2 2 7 3" xfId="5417" xr:uid="{00000000-0005-0000-0000-00002D820000}"/>
    <cellStyle name="Remarque 3 2 2 2 2 7 3 2" xfId="29431" xr:uid="{00000000-0005-0000-0000-00002E820000}"/>
    <cellStyle name="Remarque 3 2 2 2 2 7 3 2 2" xfId="53391" xr:uid="{00000000-0005-0000-0000-00002F820000}"/>
    <cellStyle name="Remarque 3 2 2 2 2 7 3 3" xfId="16678" xr:uid="{00000000-0005-0000-0000-000030820000}"/>
    <cellStyle name="Remarque 3 2 2 2 2 7 3 4" xfId="40638" xr:uid="{00000000-0005-0000-0000-000031820000}"/>
    <cellStyle name="Remarque 3 2 2 2 2 7 4" xfId="6811" xr:uid="{00000000-0005-0000-0000-000032820000}"/>
    <cellStyle name="Remarque 3 2 2 2 2 7 4 2" xfId="30825" xr:uid="{00000000-0005-0000-0000-000033820000}"/>
    <cellStyle name="Remarque 3 2 2 2 2 7 4 2 2" xfId="54785" xr:uid="{00000000-0005-0000-0000-000034820000}"/>
    <cellStyle name="Remarque 3 2 2 2 2 7 4 3" xfId="18072" xr:uid="{00000000-0005-0000-0000-000035820000}"/>
    <cellStyle name="Remarque 3 2 2 2 2 7 4 4" xfId="42032" xr:uid="{00000000-0005-0000-0000-000036820000}"/>
    <cellStyle name="Remarque 3 2 2 2 2 7 5" xfId="8199" xr:uid="{00000000-0005-0000-0000-000037820000}"/>
    <cellStyle name="Remarque 3 2 2 2 2 7 5 2" xfId="32213" xr:uid="{00000000-0005-0000-0000-000038820000}"/>
    <cellStyle name="Remarque 3 2 2 2 2 7 5 2 2" xfId="56173" xr:uid="{00000000-0005-0000-0000-000039820000}"/>
    <cellStyle name="Remarque 3 2 2 2 2 7 5 3" xfId="19460" xr:uid="{00000000-0005-0000-0000-00003A820000}"/>
    <cellStyle name="Remarque 3 2 2 2 2 7 5 4" xfId="43420" xr:uid="{00000000-0005-0000-0000-00003B820000}"/>
    <cellStyle name="Remarque 3 2 2 2 2 7 6" xfId="9584" xr:uid="{00000000-0005-0000-0000-00003C820000}"/>
    <cellStyle name="Remarque 3 2 2 2 2 7 6 2" xfId="33598" xr:uid="{00000000-0005-0000-0000-00003D820000}"/>
    <cellStyle name="Remarque 3 2 2 2 2 7 6 2 2" xfId="57558" xr:uid="{00000000-0005-0000-0000-00003E820000}"/>
    <cellStyle name="Remarque 3 2 2 2 2 7 6 3" xfId="20845" xr:uid="{00000000-0005-0000-0000-00003F820000}"/>
    <cellStyle name="Remarque 3 2 2 2 2 7 6 4" xfId="44805" xr:uid="{00000000-0005-0000-0000-000040820000}"/>
    <cellStyle name="Remarque 3 2 2 2 2 7 7" xfId="11041" xr:uid="{00000000-0005-0000-0000-000041820000}"/>
    <cellStyle name="Remarque 3 2 2 2 2 7 7 2" xfId="35051" xr:uid="{00000000-0005-0000-0000-000042820000}"/>
    <cellStyle name="Remarque 3 2 2 2 2 7 7 2 2" xfId="59011" xr:uid="{00000000-0005-0000-0000-000043820000}"/>
    <cellStyle name="Remarque 3 2 2 2 2 7 7 3" xfId="22308" xr:uid="{00000000-0005-0000-0000-000044820000}"/>
    <cellStyle name="Remarque 3 2 2 2 2 7 7 4" xfId="46268" xr:uid="{00000000-0005-0000-0000-000045820000}"/>
    <cellStyle name="Remarque 3 2 2 2 2 7 8" xfId="12178" xr:uid="{00000000-0005-0000-0000-000046820000}"/>
    <cellStyle name="Remarque 3 2 2 2 2 7 8 2" xfId="23461" xr:uid="{00000000-0005-0000-0000-000047820000}"/>
    <cellStyle name="Remarque 3 2 2 2 2 7 8 3" xfId="47421" xr:uid="{00000000-0005-0000-0000-000048820000}"/>
    <cellStyle name="Remarque 3 2 2 2 2 7 9" xfId="2513" xr:uid="{00000000-0005-0000-0000-000049820000}"/>
    <cellStyle name="Remarque 3 2 2 2 2 7 9 2" xfId="26527" xr:uid="{00000000-0005-0000-0000-00004A820000}"/>
    <cellStyle name="Remarque 3 2 2 2 2 7 9 3" xfId="50487" xr:uid="{00000000-0005-0000-0000-00004B820000}"/>
    <cellStyle name="Remarque 3 2 2 2 2 8" xfId="1244" xr:uid="{00000000-0005-0000-0000-00004C820000}"/>
    <cellStyle name="Remarque 3 2 2 2 2 8 10" xfId="25276" xr:uid="{00000000-0005-0000-0000-00004D820000}"/>
    <cellStyle name="Remarque 3 2 2 2 2 8 10 2" xfId="49236" xr:uid="{00000000-0005-0000-0000-00004E820000}"/>
    <cellStyle name="Remarque 3 2 2 2 2 8 11" xfId="36122" xr:uid="{00000000-0005-0000-0000-00004F820000}"/>
    <cellStyle name="Remarque 3 2 2 2 2 8 11 2" xfId="60082" xr:uid="{00000000-0005-0000-0000-000050820000}"/>
    <cellStyle name="Remarque 3 2 2 2 2 8 12" xfId="13941" xr:uid="{00000000-0005-0000-0000-000051820000}"/>
    <cellStyle name="Remarque 3 2 2 2 2 8 13" xfId="37901" xr:uid="{00000000-0005-0000-0000-000052820000}"/>
    <cellStyle name="Remarque 3 2 2 2 2 8 2" xfId="4150" xr:uid="{00000000-0005-0000-0000-000053820000}"/>
    <cellStyle name="Remarque 3 2 2 2 2 8 2 2" xfId="28164" xr:uid="{00000000-0005-0000-0000-000054820000}"/>
    <cellStyle name="Remarque 3 2 2 2 2 8 2 2 2" xfId="52124" xr:uid="{00000000-0005-0000-0000-000055820000}"/>
    <cellStyle name="Remarque 3 2 2 2 2 8 2 3" xfId="15411" xr:uid="{00000000-0005-0000-0000-000056820000}"/>
    <cellStyle name="Remarque 3 2 2 2 2 8 2 4" xfId="39371" xr:uid="{00000000-0005-0000-0000-000057820000}"/>
    <cellStyle name="Remarque 3 2 2 2 2 8 3" xfId="5584" xr:uid="{00000000-0005-0000-0000-000058820000}"/>
    <cellStyle name="Remarque 3 2 2 2 2 8 3 2" xfId="29598" xr:uid="{00000000-0005-0000-0000-000059820000}"/>
    <cellStyle name="Remarque 3 2 2 2 2 8 3 2 2" xfId="53558" xr:uid="{00000000-0005-0000-0000-00005A820000}"/>
    <cellStyle name="Remarque 3 2 2 2 2 8 3 3" xfId="16845" xr:uid="{00000000-0005-0000-0000-00005B820000}"/>
    <cellStyle name="Remarque 3 2 2 2 2 8 3 4" xfId="40805" xr:uid="{00000000-0005-0000-0000-00005C820000}"/>
    <cellStyle name="Remarque 3 2 2 2 2 8 4" xfId="6978" xr:uid="{00000000-0005-0000-0000-00005D820000}"/>
    <cellStyle name="Remarque 3 2 2 2 2 8 4 2" xfId="30992" xr:uid="{00000000-0005-0000-0000-00005E820000}"/>
    <cellStyle name="Remarque 3 2 2 2 2 8 4 2 2" xfId="54952" xr:uid="{00000000-0005-0000-0000-00005F820000}"/>
    <cellStyle name="Remarque 3 2 2 2 2 8 4 3" xfId="18239" xr:uid="{00000000-0005-0000-0000-000060820000}"/>
    <cellStyle name="Remarque 3 2 2 2 2 8 4 4" xfId="42199" xr:uid="{00000000-0005-0000-0000-000061820000}"/>
    <cellStyle name="Remarque 3 2 2 2 2 8 5" xfId="8366" xr:uid="{00000000-0005-0000-0000-000062820000}"/>
    <cellStyle name="Remarque 3 2 2 2 2 8 5 2" xfId="32380" xr:uid="{00000000-0005-0000-0000-000063820000}"/>
    <cellStyle name="Remarque 3 2 2 2 2 8 5 2 2" xfId="56340" xr:uid="{00000000-0005-0000-0000-000064820000}"/>
    <cellStyle name="Remarque 3 2 2 2 2 8 5 3" xfId="19627" xr:uid="{00000000-0005-0000-0000-000065820000}"/>
    <cellStyle name="Remarque 3 2 2 2 2 8 5 4" xfId="43587" xr:uid="{00000000-0005-0000-0000-000066820000}"/>
    <cellStyle name="Remarque 3 2 2 2 2 8 6" xfId="9751" xr:uid="{00000000-0005-0000-0000-000067820000}"/>
    <cellStyle name="Remarque 3 2 2 2 2 8 6 2" xfId="33765" xr:uid="{00000000-0005-0000-0000-000068820000}"/>
    <cellStyle name="Remarque 3 2 2 2 2 8 6 2 2" xfId="57725" xr:uid="{00000000-0005-0000-0000-000069820000}"/>
    <cellStyle name="Remarque 3 2 2 2 2 8 6 3" xfId="21012" xr:uid="{00000000-0005-0000-0000-00006A820000}"/>
    <cellStyle name="Remarque 3 2 2 2 2 8 6 4" xfId="44972" xr:uid="{00000000-0005-0000-0000-00006B820000}"/>
    <cellStyle name="Remarque 3 2 2 2 2 8 7" xfId="11208" xr:uid="{00000000-0005-0000-0000-00006C820000}"/>
    <cellStyle name="Remarque 3 2 2 2 2 8 7 2" xfId="35218" xr:uid="{00000000-0005-0000-0000-00006D820000}"/>
    <cellStyle name="Remarque 3 2 2 2 2 8 7 2 2" xfId="59178" xr:uid="{00000000-0005-0000-0000-00006E820000}"/>
    <cellStyle name="Remarque 3 2 2 2 2 8 7 3" xfId="22475" xr:uid="{00000000-0005-0000-0000-00006F820000}"/>
    <cellStyle name="Remarque 3 2 2 2 2 8 7 4" xfId="46435" xr:uid="{00000000-0005-0000-0000-000070820000}"/>
    <cellStyle name="Remarque 3 2 2 2 2 8 8" xfId="11918" xr:uid="{00000000-0005-0000-0000-000071820000}"/>
    <cellStyle name="Remarque 3 2 2 2 2 8 8 2" xfId="23196" xr:uid="{00000000-0005-0000-0000-000072820000}"/>
    <cellStyle name="Remarque 3 2 2 2 2 8 8 3" xfId="47156" xr:uid="{00000000-0005-0000-0000-000073820000}"/>
    <cellStyle name="Remarque 3 2 2 2 2 8 9" xfId="2680" xr:uid="{00000000-0005-0000-0000-000074820000}"/>
    <cellStyle name="Remarque 3 2 2 2 2 8 9 2" xfId="26694" xr:uid="{00000000-0005-0000-0000-000075820000}"/>
    <cellStyle name="Remarque 3 2 2 2 2 8 9 3" xfId="50654" xr:uid="{00000000-0005-0000-0000-000076820000}"/>
    <cellStyle name="Remarque 3 2 2 2 2 9" xfId="1413" xr:uid="{00000000-0005-0000-0000-000077820000}"/>
    <cellStyle name="Remarque 3 2 2 2 2 9 10" xfId="25445" xr:uid="{00000000-0005-0000-0000-000078820000}"/>
    <cellStyle name="Remarque 3 2 2 2 2 9 10 2" xfId="49405" xr:uid="{00000000-0005-0000-0000-000079820000}"/>
    <cellStyle name="Remarque 3 2 2 2 2 9 11" xfId="35647" xr:uid="{00000000-0005-0000-0000-00007A820000}"/>
    <cellStyle name="Remarque 3 2 2 2 2 9 11 2" xfId="59607" xr:uid="{00000000-0005-0000-0000-00007B820000}"/>
    <cellStyle name="Remarque 3 2 2 2 2 9 12" xfId="14110" xr:uid="{00000000-0005-0000-0000-00007C820000}"/>
    <cellStyle name="Remarque 3 2 2 2 2 9 13" xfId="38070" xr:uid="{00000000-0005-0000-0000-00007D820000}"/>
    <cellStyle name="Remarque 3 2 2 2 2 9 2" xfId="4319" xr:uid="{00000000-0005-0000-0000-00007E820000}"/>
    <cellStyle name="Remarque 3 2 2 2 2 9 2 2" xfId="28333" xr:uid="{00000000-0005-0000-0000-00007F820000}"/>
    <cellStyle name="Remarque 3 2 2 2 2 9 2 2 2" xfId="52293" xr:uid="{00000000-0005-0000-0000-000080820000}"/>
    <cellStyle name="Remarque 3 2 2 2 2 9 2 3" xfId="15580" xr:uid="{00000000-0005-0000-0000-000081820000}"/>
    <cellStyle name="Remarque 3 2 2 2 2 9 2 4" xfId="39540" xr:uid="{00000000-0005-0000-0000-000082820000}"/>
    <cellStyle name="Remarque 3 2 2 2 2 9 3" xfId="5753" xr:uid="{00000000-0005-0000-0000-000083820000}"/>
    <cellStyle name="Remarque 3 2 2 2 2 9 3 2" xfId="29767" xr:uid="{00000000-0005-0000-0000-000084820000}"/>
    <cellStyle name="Remarque 3 2 2 2 2 9 3 2 2" xfId="53727" xr:uid="{00000000-0005-0000-0000-000085820000}"/>
    <cellStyle name="Remarque 3 2 2 2 2 9 3 3" xfId="17014" xr:uid="{00000000-0005-0000-0000-000086820000}"/>
    <cellStyle name="Remarque 3 2 2 2 2 9 3 4" xfId="40974" xr:uid="{00000000-0005-0000-0000-000087820000}"/>
    <cellStyle name="Remarque 3 2 2 2 2 9 4" xfId="7147" xr:uid="{00000000-0005-0000-0000-000088820000}"/>
    <cellStyle name="Remarque 3 2 2 2 2 9 4 2" xfId="31161" xr:uid="{00000000-0005-0000-0000-000089820000}"/>
    <cellStyle name="Remarque 3 2 2 2 2 9 4 2 2" xfId="55121" xr:uid="{00000000-0005-0000-0000-00008A820000}"/>
    <cellStyle name="Remarque 3 2 2 2 2 9 4 3" xfId="18408" xr:uid="{00000000-0005-0000-0000-00008B820000}"/>
    <cellStyle name="Remarque 3 2 2 2 2 9 4 4" xfId="42368" xr:uid="{00000000-0005-0000-0000-00008C820000}"/>
    <cellStyle name="Remarque 3 2 2 2 2 9 5" xfId="8535" xr:uid="{00000000-0005-0000-0000-00008D820000}"/>
    <cellStyle name="Remarque 3 2 2 2 2 9 5 2" xfId="32549" xr:uid="{00000000-0005-0000-0000-00008E820000}"/>
    <cellStyle name="Remarque 3 2 2 2 2 9 5 2 2" xfId="56509" xr:uid="{00000000-0005-0000-0000-00008F820000}"/>
    <cellStyle name="Remarque 3 2 2 2 2 9 5 3" xfId="19796" xr:uid="{00000000-0005-0000-0000-000090820000}"/>
    <cellStyle name="Remarque 3 2 2 2 2 9 5 4" xfId="43756" xr:uid="{00000000-0005-0000-0000-000091820000}"/>
    <cellStyle name="Remarque 3 2 2 2 2 9 6" xfId="9920" xr:uid="{00000000-0005-0000-0000-000092820000}"/>
    <cellStyle name="Remarque 3 2 2 2 2 9 6 2" xfId="33934" xr:uid="{00000000-0005-0000-0000-000093820000}"/>
    <cellStyle name="Remarque 3 2 2 2 2 9 6 2 2" xfId="57894" xr:uid="{00000000-0005-0000-0000-000094820000}"/>
    <cellStyle name="Remarque 3 2 2 2 2 9 6 3" xfId="21181" xr:uid="{00000000-0005-0000-0000-000095820000}"/>
    <cellStyle name="Remarque 3 2 2 2 2 9 6 4" xfId="45141" xr:uid="{00000000-0005-0000-0000-000096820000}"/>
    <cellStyle name="Remarque 3 2 2 2 2 9 7" xfId="11377" xr:uid="{00000000-0005-0000-0000-000097820000}"/>
    <cellStyle name="Remarque 3 2 2 2 2 9 7 2" xfId="35387" xr:uid="{00000000-0005-0000-0000-000098820000}"/>
    <cellStyle name="Remarque 3 2 2 2 2 9 7 2 2" xfId="59347" xr:uid="{00000000-0005-0000-0000-000099820000}"/>
    <cellStyle name="Remarque 3 2 2 2 2 9 7 3" xfId="22644" xr:uid="{00000000-0005-0000-0000-00009A820000}"/>
    <cellStyle name="Remarque 3 2 2 2 2 9 7 4" xfId="46604" xr:uid="{00000000-0005-0000-0000-00009B820000}"/>
    <cellStyle name="Remarque 3 2 2 2 2 9 8" xfId="12125" xr:uid="{00000000-0005-0000-0000-00009C820000}"/>
    <cellStyle name="Remarque 3 2 2 2 2 9 8 2" xfId="23408" xr:uid="{00000000-0005-0000-0000-00009D820000}"/>
    <cellStyle name="Remarque 3 2 2 2 2 9 8 3" xfId="47368" xr:uid="{00000000-0005-0000-0000-00009E820000}"/>
    <cellStyle name="Remarque 3 2 2 2 2 9 9" xfId="2849" xr:uid="{00000000-0005-0000-0000-00009F820000}"/>
    <cellStyle name="Remarque 3 2 2 2 2 9 9 2" xfId="26863" xr:uid="{00000000-0005-0000-0000-0000A0820000}"/>
    <cellStyle name="Remarque 3 2 2 2 2 9 9 3" xfId="50823" xr:uid="{00000000-0005-0000-0000-0000A1820000}"/>
    <cellStyle name="Remarque 3 2 2 2 20" xfId="10156" xr:uid="{00000000-0005-0000-0000-0000A2820000}"/>
    <cellStyle name="Remarque 3 2 2 2 20 2" xfId="34168" xr:uid="{00000000-0005-0000-0000-0000A3820000}"/>
    <cellStyle name="Remarque 3 2 2 2 20 2 2" xfId="58128" xr:uid="{00000000-0005-0000-0000-0000A4820000}"/>
    <cellStyle name="Remarque 3 2 2 2 20 3" xfId="21421" xr:uid="{00000000-0005-0000-0000-0000A5820000}"/>
    <cellStyle name="Remarque 3 2 2 2 20 4" xfId="45381" xr:uid="{00000000-0005-0000-0000-0000A6820000}"/>
    <cellStyle name="Remarque 3 2 2 2 21" xfId="12230" xr:uid="{00000000-0005-0000-0000-0000A7820000}"/>
    <cellStyle name="Remarque 3 2 2 2 21 2" xfId="23514" xr:uid="{00000000-0005-0000-0000-0000A8820000}"/>
    <cellStyle name="Remarque 3 2 2 2 21 3" xfId="47474" xr:uid="{00000000-0005-0000-0000-0000A9820000}"/>
    <cellStyle name="Remarque 3 2 2 2 22" xfId="1654" xr:uid="{00000000-0005-0000-0000-0000AA820000}"/>
    <cellStyle name="Remarque 3 2 2 2 22 2" xfId="25668" xr:uid="{00000000-0005-0000-0000-0000AB820000}"/>
    <cellStyle name="Remarque 3 2 2 2 22 3" xfId="49628" xr:uid="{00000000-0005-0000-0000-0000AC820000}"/>
    <cellStyle name="Remarque 3 2 2 2 23" xfId="24222" xr:uid="{00000000-0005-0000-0000-0000AD820000}"/>
    <cellStyle name="Remarque 3 2 2 2 23 2" xfId="48182" xr:uid="{00000000-0005-0000-0000-0000AE820000}"/>
    <cellStyle name="Remarque 3 2 2 2 24" xfId="36661" xr:uid="{00000000-0005-0000-0000-0000AF820000}"/>
    <cellStyle name="Remarque 3 2 2 2 24 2" xfId="60621" xr:uid="{00000000-0005-0000-0000-0000B0820000}"/>
    <cellStyle name="Remarque 3 2 2 2 25" xfId="12934" xr:uid="{00000000-0005-0000-0000-0000B1820000}"/>
    <cellStyle name="Remarque 3 2 2 2 26" xfId="36875" xr:uid="{00000000-0005-0000-0000-0000B2820000}"/>
    <cellStyle name="Remarque 3 2 2 2 27" xfId="190" xr:uid="{00000000-0005-0000-0000-0000B3820000}"/>
    <cellStyle name="Remarque 3 2 2 2 3" xfId="150" xr:uid="{00000000-0005-0000-0000-0000B4820000}"/>
    <cellStyle name="Remarque 3 2 2 2 3 10" xfId="6146" xr:uid="{00000000-0005-0000-0000-0000B5820000}"/>
    <cellStyle name="Remarque 3 2 2 2 3 10 2" xfId="30160" xr:uid="{00000000-0005-0000-0000-0000B6820000}"/>
    <cellStyle name="Remarque 3 2 2 2 3 10 2 2" xfId="54120" xr:uid="{00000000-0005-0000-0000-0000B7820000}"/>
    <cellStyle name="Remarque 3 2 2 2 3 10 3" xfId="17407" xr:uid="{00000000-0005-0000-0000-0000B8820000}"/>
    <cellStyle name="Remarque 3 2 2 2 3 10 4" xfId="41367" xr:uid="{00000000-0005-0000-0000-0000B9820000}"/>
    <cellStyle name="Remarque 3 2 2 2 3 11" xfId="7534" xr:uid="{00000000-0005-0000-0000-0000BA820000}"/>
    <cellStyle name="Remarque 3 2 2 2 3 11 2" xfId="31548" xr:uid="{00000000-0005-0000-0000-0000BB820000}"/>
    <cellStyle name="Remarque 3 2 2 2 3 11 2 2" xfId="55508" xr:uid="{00000000-0005-0000-0000-0000BC820000}"/>
    <cellStyle name="Remarque 3 2 2 2 3 11 3" xfId="18795" xr:uid="{00000000-0005-0000-0000-0000BD820000}"/>
    <cellStyle name="Remarque 3 2 2 2 3 11 4" xfId="42755" xr:uid="{00000000-0005-0000-0000-0000BE820000}"/>
    <cellStyle name="Remarque 3 2 2 2 3 12" xfId="8919" xr:uid="{00000000-0005-0000-0000-0000BF820000}"/>
    <cellStyle name="Remarque 3 2 2 2 3 12 2" xfId="32933" xr:uid="{00000000-0005-0000-0000-0000C0820000}"/>
    <cellStyle name="Remarque 3 2 2 2 3 12 2 2" xfId="56893" xr:uid="{00000000-0005-0000-0000-0000C1820000}"/>
    <cellStyle name="Remarque 3 2 2 2 3 12 3" xfId="20180" xr:uid="{00000000-0005-0000-0000-0000C2820000}"/>
    <cellStyle name="Remarque 3 2 2 2 3 12 4" xfId="44140" xr:uid="{00000000-0005-0000-0000-0000C3820000}"/>
    <cellStyle name="Remarque 3 2 2 2 3 13" xfId="10376" xr:uid="{00000000-0005-0000-0000-0000C4820000}"/>
    <cellStyle name="Remarque 3 2 2 2 3 13 2" xfId="34386" xr:uid="{00000000-0005-0000-0000-0000C5820000}"/>
    <cellStyle name="Remarque 3 2 2 2 3 13 2 2" xfId="58346" xr:uid="{00000000-0005-0000-0000-0000C6820000}"/>
    <cellStyle name="Remarque 3 2 2 2 3 13 3" xfId="21643" xr:uid="{00000000-0005-0000-0000-0000C7820000}"/>
    <cellStyle name="Remarque 3 2 2 2 3 13 4" xfId="45603" xr:uid="{00000000-0005-0000-0000-0000C8820000}"/>
    <cellStyle name="Remarque 3 2 2 2 3 14" xfId="12723" xr:uid="{00000000-0005-0000-0000-0000C9820000}"/>
    <cellStyle name="Remarque 3 2 2 2 3 14 2" xfId="24029" xr:uid="{00000000-0005-0000-0000-0000CA820000}"/>
    <cellStyle name="Remarque 3 2 2 2 3 14 3" xfId="47989" xr:uid="{00000000-0005-0000-0000-0000CB820000}"/>
    <cellStyle name="Remarque 3 2 2 2 3 15" xfId="1848" xr:uid="{00000000-0005-0000-0000-0000CC820000}"/>
    <cellStyle name="Remarque 3 2 2 2 3 15 2" xfId="25862" xr:uid="{00000000-0005-0000-0000-0000CD820000}"/>
    <cellStyle name="Remarque 3 2 2 2 3 15 3" xfId="49822" xr:uid="{00000000-0005-0000-0000-0000CE820000}"/>
    <cellStyle name="Remarque 3 2 2 2 3 16" xfId="24444" xr:uid="{00000000-0005-0000-0000-0000CF820000}"/>
    <cellStyle name="Remarque 3 2 2 2 3 16 2" xfId="48404" xr:uid="{00000000-0005-0000-0000-0000D0820000}"/>
    <cellStyle name="Remarque 3 2 2 2 3 17" xfId="35641" xr:uid="{00000000-0005-0000-0000-0000D1820000}"/>
    <cellStyle name="Remarque 3 2 2 2 3 17 2" xfId="59601" xr:uid="{00000000-0005-0000-0000-0000D2820000}"/>
    <cellStyle name="Remarque 3 2 2 2 3 18" xfId="13109" xr:uid="{00000000-0005-0000-0000-0000D3820000}"/>
    <cellStyle name="Remarque 3 2 2 2 3 19" xfId="37069" xr:uid="{00000000-0005-0000-0000-0000D4820000}"/>
    <cellStyle name="Remarque 3 2 2 2 3 2" xfId="548" xr:uid="{00000000-0005-0000-0000-0000D5820000}"/>
    <cellStyle name="Remarque 3 2 2 2 3 2 10" xfId="24580" xr:uid="{00000000-0005-0000-0000-0000D6820000}"/>
    <cellStyle name="Remarque 3 2 2 2 3 2 10 2" xfId="48540" xr:uid="{00000000-0005-0000-0000-0000D7820000}"/>
    <cellStyle name="Remarque 3 2 2 2 3 2 11" xfId="36598" xr:uid="{00000000-0005-0000-0000-0000D8820000}"/>
    <cellStyle name="Remarque 3 2 2 2 3 2 11 2" xfId="60558" xr:uid="{00000000-0005-0000-0000-0000D9820000}"/>
    <cellStyle name="Remarque 3 2 2 2 3 2 12" xfId="13245" xr:uid="{00000000-0005-0000-0000-0000DA820000}"/>
    <cellStyle name="Remarque 3 2 2 2 3 2 13" xfId="37205" xr:uid="{00000000-0005-0000-0000-0000DB820000}"/>
    <cellStyle name="Remarque 3 2 2 2 3 2 2" xfId="3454" xr:uid="{00000000-0005-0000-0000-0000DC820000}"/>
    <cellStyle name="Remarque 3 2 2 2 3 2 2 2" xfId="27468" xr:uid="{00000000-0005-0000-0000-0000DD820000}"/>
    <cellStyle name="Remarque 3 2 2 2 3 2 2 2 2" xfId="51428" xr:uid="{00000000-0005-0000-0000-0000DE820000}"/>
    <cellStyle name="Remarque 3 2 2 2 3 2 2 3" xfId="14715" xr:uid="{00000000-0005-0000-0000-0000DF820000}"/>
    <cellStyle name="Remarque 3 2 2 2 3 2 2 4" xfId="38675" xr:uid="{00000000-0005-0000-0000-0000E0820000}"/>
    <cellStyle name="Remarque 3 2 2 2 3 2 3" xfId="4888" xr:uid="{00000000-0005-0000-0000-0000E1820000}"/>
    <cellStyle name="Remarque 3 2 2 2 3 2 3 2" xfId="28902" xr:uid="{00000000-0005-0000-0000-0000E2820000}"/>
    <cellStyle name="Remarque 3 2 2 2 3 2 3 2 2" xfId="52862" xr:uid="{00000000-0005-0000-0000-0000E3820000}"/>
    <cellStyle name="Remarque 3 2 2 2 3 2 3 3" xfId="16149" xr:uid="{00000000-0005-0000-0000-0000E4820000}"/>
    <cellStyle name="Remarque 3 2 2 2 3 2 3 4" xfId="40109" xr:uid="{00000000-0005-0000-0000-0000E5820000}"/>
    <cellStyle name="Remarque 3 2 2 2 3 2 4" xfId="6282" xr:uid="{00000000-0005-0000-0000-0000E6820000}"/>
    <cellStyle name="Remarque 3 2 2 2 3 2 4 2" xfId="30296" xr:uid="{00000000-0005-0000-0000-0000E7820000}"/>
    <cellStyle name="Remarque 3 2 2 2 3 2 4 2 2" xfId="54256" xr:uid="{00000000-0005-0000-0000-0000E8820000}"/>
    <cellStyle name="Remarque 3 2 2 2 3 2 4 3" xfId="17543" xr:uid="{00000000-0005-0000-0000-0000E9820000}"/>
    <cellStyle name="Remarque 3 2 2 2 3 2 4 4" xfId="41503" xr:uid="{00000000-0005-0000-0000-0000EA820000}"/>
    <cellStyle name="Remarque 3 2 2 2 3 2 5" xfId="7670" xr:uid="{00000000-0005-0000-0000-0000EB820000}"/>
    <cellStyle name="Remarque 3 2 2 2 3 2 5 2" xfId="31684" xr:uid="{00000000-0005-0000-0000-0000EC820000}"/>
    <cellStyle name="Remarque 3 2 2 2 3 2 5 2 2" xfId="55644" xr:uid="{00000000-0005-0000-0000-0000ED820000}"/>
    <cellStyle name="Remarque 3 2 2 2 3 2 5 3" xfId="18931" xr:uid="{00000000-0005-0000-0000-0000EE820000}"/>
    <cellStyle name="Remarque 3 2 2 2 3 2 5 4" xfId="42891" xr:uid="{00000000-0005-0000-0000-0000EF820000}"/>
    <cellStyle name="Remarque 3 2 2 2 3 2 6" xfId="9055" xr:uid="{00000000-0005-0000-0000-0000F0820000}"/>
    <cellStyle name="Remarque 3 2 2 2 3 2 6 2" xfId="33069" xr:uid="{00000000-0005-0000-0000-0000F1820000}"/>
    <cellStyle name="Remarque 3 2 2 2 3 2 6 2 2" xfId="57029" xr:uid="{00000000-0005-0000-0000-0000F2820000}"/>
    <cellStyle name="Remarque 3 2 2 2 3 2 6 3" xfId="20316" xr:uid="{00000000-0005-0000-0000-0000F3820000}"/>
    <cellStyle name="Remarque 3 2 2 2 3 2 6 4" xfId="44276" xr:uid="{00000000-0005-0000-0000-0000F4820000}"/>
    <cellStyle name="Remarque 3 2 2 2 3 2 7" xfId="10512" xr:uid="{00000000-0005-0000-0000-0000F5820000}"/>
    <cellStyle name="Remarque 3 2 2 2 3 2 7 2" xfId="34522" xr:uid="{00000000-0005-0000-0000-0000F6820000}"/>
    <cellStyle name="Remarque 3 2 2 2 3 2 7 2 2" xfId="58482" xr:uid="{00000000-0005-0000-0000-0000F7820000}"/>
    <cellStyle name="Remarque 3 2 2 2 3 2 7 3" xfId="21779" xr:uid="{00000000-0005-0000-0000-0000F8820000}"/>
    <cellStyle name="Remarque 3 2 2 2 3 2 7 4" xfId="45739" xr:uid="{00000000-0005-0000-0000-0000F9820000}"/>
    <cellStyle name="Remarque 3 2 2 2 3 2 8" xfId="12083" xr:uid="{00000000-0005-0000-0000-0000FA820000}"/>
    <cellStyle name="Remarque 3 2 2 2 3 2 8 2" xfId="23366" xr:uid="{00000000-0005-0000-0000-0000FB820000}"/>
    <cellStyle name="Remarque 3 2 2 2 3 2 8 3" xfId="47326" xr:uid="{00000000-0005-0000-0000-0000FC820000}"/>
    <cellStyle name="Remarque 3 2 2 2 3 2 9" xfId="1984" xr:uid="{00000000-0005-0000-0000-0000FD820000}"/>
    <cellStyle name="Remarque 3 2 2 2 3 2 9 2" xfId="25998" xr:uid="{00000000-0005-0000-0000-0000FE820000}"/>
    <cellStyle name="Remarque 3 2 2 2 3 2 9 3" xfId="49958" xr:uid="{00000000-0005-0000-0000-0000FF820000}"/>
    <cellStyle name="Remarque 3 2 2 2 3 20" xfId="412" xr:uid="{00000000-0005-0000-0000-000000830000}"/>
    <cellStyle name="Remarque 3 2 2 2 3 3" xfId="740" xr:uid="{00000000-0005-0000-0000-000001830000}"/>
    <cellStyle name="Remarque 3 2 2 2 3 3 10" xfId="24772" xr:uid="{00000000-0005-0000-0000-000002830000}"/>
    <cellStyle name="Remarque 3 2 2 2 3 3 10 2" xfId="48732" xr:uid="{00000000-0005-0000-0000-000003830000}"/>
    <cellStyle name="Remarque 3 2 2 2 3 3 11" xfId="35849" xr:uid="{00000000-0005-0000-0000-000004830000}"/>
    <cellStyle name="Remarque 3 2 2 2 3 3 11 2" xfId="59809" xr:uid="{00000000-0005-0000-0000-000005830000}"/>
    <cellStyle name="Remarque 3 2 2 2 3 3 12" xfId="13437" xr:uid="{00000000-0005-0000-0000-000006830000}"/>
    <cellStyle name="Remarque 3 2 2 2 3 3 13" xfId="37397" xr:uid="{00000000-0005-0000-0000-000007830000}"/>
    <cellStyle name="Remarque 3 2 2 2 3 3 2" xfId="3646" xr:uid="{00000000-0005-0000-0000-000008830000}"/>
    <cellStyle name="Remarque 3 2 2 2 3 3 2 2" xfId="27660" xr:uid="{00000000-0005-0000-0000-000009830000}"/>
    <cellStyle name="Remarque 3 2 2 2 3 3 2 2 2" xfId="51620" xr:uid="{00000000-0005-0000-0000-00000A830000}"/>
    <cellStyle name="Remarque 3 2 2 2 3 3 2 3" xfId="14907" xr:uid="{00000000-0005-0000-0000-00000B830000}"/>
    <cellStyle name="Remarque 3 2 2 2 3 3 2 4" xfId="38867" xr:uid="{00000000-0005-0000-0000-00000C830000}"/>
    <cellStyle name="Remarque 3 2 2 2 3 3 3" xfId="5080" xr:uid="{00000000-0005-0000-0000-00000D830000}"/>
    <cellStyle name="Remarque 3 2 2 2 3 3 3 2" xfId="29094" xr:uid="{00000000-0005-0000-0000-00000E830000}"/>
    <cellStyle name="Remarque 3 2 2 2 3 3 3 2 2" xfId="53054" xr:uid="{00000000-0005-0000-0000-00000F830000}"/>
    <cellStyle name="Remarque 3 2 2 2 3 3 3 3" xfId="16341" xr:uid="{00000000-0005-0000-0000-000010830000}"/>
    <cellStyle name="Remarque 3 2 2 2 3 3 3 4" xfId="40301" xr:uid="{00000000-0005-0000-0000-000011830000}"/>
    <cellStyle name="Remarque 3 2 2 2 3 3 4" xfId="6474" xr:uid="{00000000-0005-0000-0000-000012830000}"/>
    <cellStyle name="Remarque 3 2 2 2 3 3 4 2" xfId="30488" xr:uid="{00000000-0005-0000-0000-000013830000}"/>
    <cellStyle name="Remarque 3 2 2 2 3 3 4 2 2" xfId="54448" xr:uid="{00000000-0005-0000-0000-000014830000}"/>
    <cellStyle name="Remarque 3 2 2 2 3 3 4 3" xfId="17735" xr:uid="{00000000-0005-0000-0000-000015830000}"/>
    <cellStyle name="Remarque 3 2 2 2 3 3 4 4" xfId="41695" xr:uid="{00000000-0005-0000-0000-000016830000}"/>
    <cellStyle name="Remarque 3 2 2 2 3 3 5" xfId="7862" xr:uid="{00000000-0005-0000-0000-000017830000}"/>
    <cellStyle name="Remarque 3 2 2 2 3 3 5 2" xfId="31876" xr:uid="{00000000-0005-0000-0000-000018830000}"/>
    <cellStyle name="Remarque 3 2 2 2 3 3 5 2 2" xfId="55836" xr:uid="{00000000-0005-0000-0000-000019830000}"/>
    <cellStyle name="Remarque 3 2 2 2 3 3 5 3" xfId="19123" xr:uid="{00000000-0005-0000-0000-00001A830000}"/>
    <cellStyle name="Remarque 3 2 2 2 3 3 5 4" xfId="43083" xr:uid="{00000000-0005-0000-0000-00001B830000}"/>
    <cellStyle name="Remarque 3 2 2 2 3 3 6" xfId="9247" xr:uid="{00000000-0005-0000-0000-00001C830000}"/>
    <cellStyle name="Remarque 3 2 2 2 3 3 6 2" xfId="33261" xr:uid="{00000000-0005-0000-0000-00001D830000}"/>
    <cellStyle name="Remarque 3 2 2 2 3 3 6 2 2" xfId="57221" xr:uid="{00000000-0005-0000-0000-00001E830000}"/>
    <cellStyle name="Remarque 3 2 2 2 3 3 6 3" xfId="20508" xr:uid="{00000000-0005-0000-0000-00001F830000}"/>
    <cellStyle name="Remarque 3 2 2 2 3 3 6 4" xfId="44468" xr:uid="{00000000-0005-0000-0000-000020830000}"/>
    <cellStyle name="Remarque 3 2 2 2 3 3 7" xfId="10704" xr:uid="{00000000-0005-0000-0000-000021830000}"/>
    <cellStyle name="Remarque 3 2 2 2 3 3 7 2" xfId="34714" xr:uid="{00000000-0005-0000-0000-000022830000}"/>
    <cellStyle name="Remarque 3 2 2 2 3 3 7 2 2" xfId="58674" xr:uid="{00000000-0005-0000-0000-000023830000}"/>
    <cellStyle name="Remarque 3 2 2 2 3 3 7 3" xfId="21971" xr:uid="{00000000-0005-0000-0000-000024830000}"/>
    <cellStyle name="Remarque 3 2 2 2 3 3 7 4" xfId="45931" xr:uid="{00000000-0005-0000-0000-000025830000}"/>
    <cellStyle name="Remarque 3 2 2 2 3 3 8" xfId="12582" xr:uid="{00000000-0005-0000-0000-000026830000}"/>
    <cellStyle name="Remarque 3 2 2 2 3 3 8 2" xfId="23882" xr:uid="{00000000-0005-0000-0000-000027830000}"/>
    <cellStyle name="Remarque 3 2 2 2 3 3 8 3" xfId="47842" xr:uid="{00000000-0005-0000-0000-000028830000}"/>
    <cellStyle name="Remarque 3 2 2 2 3 3 9" xfId="2176" xr:uid="{00000000-0005-0000-0000-000029830000}"/>
    <cellStyle name="Remarque 3 2 2 2 3 3 9 2" xfId="26190" xr:uid="{00000000-0005-0000-0000-00002A830000}"/>
    <cellStyle name="Remarque 3 2 2 2 3 3 9 3" xfId="50150" xr:uid="{00000000-0005-0000-0000-00002B830000}"/>
    <cellStyle name="Remarque 3 2 2 2 3 4" xfId="934" xr:uid="{00000000-0005-0000-0000-00002C830000}"/>
    <cellStyle name="Remarque 3 2 2 2 3 4 10" xfId="24966" xr:uid="{00000000-0005-0000-0000-00002D830000}"/>
    <cellStyle name="Remarque 3 2 2 2 3 4 10 2" xfId="48926" xr:uid="{00000000-0005-0000-0000-00002E830000}"/>
    <cellStyle name="Remarque 3 2 2 2 3 4 11" xfId="36663" xr:uid="{00000000-0005-0000-0000-00002F830000}"/>
    <cellStyle name="Remarque 3 2 2 2 3 4 11 2" xfId="60623" xr:uid="{00000000-0005-0000-0000-000030830000}"/>
    <cellStyle name="Remarque 3 2 2 2 3 4 12" xfId="13631" xr:uid="{00000000-0005-0000-0000-000031830000}"/>
    <cellStyle name="Remarque 3 2 2 2 3 4 13" xfId="37591" xr:uid="{00000000-0005-0000-0000-000032830000}"/>
    <cellStyle name="Remarque 3 2 2 2 3 4 2" xfId="3840" xr:uid="{00000000-0005-0000-0000-000033830000}"/>
    <cellStyle name="Remarque 3 2 2 2 3 4 2 2" xfId="27854" xr:uid="{00000000-0005-0000-0000-000034830000}"/>
    <cellStyle name="Remarque 3 2 2 2 3 4 2 2 2" xfId="51814" xr:uid="{00000000-0005-0000-0000-000035830000}"/>
    <cellStyle name="Remarque 3 2 2 2 3 4 2 3" xfId="15101" xr:uid="{00000000-0005-0000-0000-000036830000}"/>
    <cellStyle name="Remarque 3 2 2 2 3 4 2 4" xfId="39061" xr:uid="{00000000-0005-0000-0000-000037830000}"/>
    <cellStyle name="Remarque 3 2 2 2 3 4 3" xfId="5274" xr:uid="{00000000-0005-0000-0000-000038830000}"/>
    <cellStyle name="Remarque 3 2 2 2 3 4 3 2" xfId="29288" xr:uid="{00000000-0005-0000-0000-000039830000}"/>
    <cellStyle name="Remarque 3 2 2 2 3 4 3 2 2" xfId="53248" xr:uid="{00000000-0005-0000-0000-00003A830000}"/>
    <cellStyle name="Remarque 3 2 2 2 3 4 3 3" xfId="16535" xr:uid="{00000000-0005-0000-0000-00003B830000}"/>
    <cellStyle name="Remarque 3 2 2 2 3 4 3 4" xfId="40495" xr:uid="{00000000-0005-0000-0000-00003C830000}"/>
    <cellStyle name="Remarque 3 2 2 2 3 4 4" xfId="6668" xr:uid="{00000000-0005-0000-0000-00003D830000}"/>
    <cellStyle name="Remarque 3 2 2 2 3 4 4 2" xfId="30682" xr:uid="{00000000-0005-0000-0000-00003E830000}"/>
    <cellStyle name="Remarque 3 2 2 2 3 4 4 2 2" xfId="54642" xr:uid="{00000000-0005-0000-0000-00003F830000}"/>
    <cellStyle name="Remarque 3 2 2 2 3 4 4 3" xfId="17929" xr:uid="{00000000-0005-0000-0000-000040830000}"/>
    <cellStyle name="Remarque 3 2 2 2 3 4 4 4" xfId="41889" xr:uid="{00000000-0005-0000-0000-000041830000}"/>
    <cellStyle name="Remarque 3 2 2 2 3 4 5" xfId="8056" xr:uid="{00000000-0005-0000-0000-000042830000}"/>
    <cellStyle name="Remarque 3 2 2 2 3 4 5 2" xfId="32070" xr:uid="{00000000-0005-0000-0000-000043830000}"/>
    <cellStyle name="Remarque 3 2 2 2 3 4 5 2 2" xfId="56030" xr:uid="{00000000-0005-0000-0000-000044830000}"/>
    <cellStyle name="Remarque 3 2 2 2 3 4 5 3" xfId="19317" xr:uid="{00000000-0005-0000-0000-000045830000}"/>
    <cellStyle name="Remarque 3 2 2 2 3 4 5 4" xfId="43277" xr:uid="{00000000-0005-0000-0000-000046830000}"/>
    <cellStyle name="Remarque 3 2 2 2 3 4 6" xfId="9441" xr:uid="{00000000-0005-0000-0000-000047830000}"/>
    <cellStyle name="Remarque 3 2 2 2 3 4 6 2" xfId="33455" xr:uid="{00000000-0005-0000-0000-000048830000}"/>
    <cellStyle name="Remarque 3 2 2 2 3 4 6 2 2" xfId="57415" xr:uid="{00000000-0005-0000-0000-000049830000}"/>
    <cellStyle name="Remarque 3 2 2 2 3 4 6 3" xfId="20702" xr:uid="{00000000-0005-0000-0000-00004A830000}"/>
    <cellStyle name="Remarque 3 2 2 2 3 4 6 4" xfId="44662" xr:uid="{00000000-0005-0000-0000-00004B830000}"/>
    <cellStyle name="Remarque 3 2 2 2 3 4 7" xfId="10898" xr:uid="{00000000-0005-0000-0000-00004C830000}"/>
    <cellStyle name="Remarque 3 2 2 2 3 4 7 2" xfId="34908" xr:uid="{00000000-0005-0000-0000-00004D830000}"/>
    <cellStyle name="Remarque 3 2 2 2 3 4 7 2 2" xfId="58868" xr:uid="{00000000-0005-0000-0000-00004E830000}"/>
    <cellStyle name="Remarque 3 2 2 2 3 4 7 3" xfId="22165" xr:uid="{00000000-0005-0000-0000-00004F830000}"/>
    <cellStyle name="Remarque 3 2 2 2 3 4 7 4" xfId="46125" xr:uid="{00000000-0005-0000-0000-000050830000}"/>
    <cellStyle name="Remarque 3 2 2 2 3 4 8" xfId="12675" xr:uid="{00000000-0005-0000-0000-000051830000}"/>
    <cellStyle name="Remarque 3 2 2 2 3 4 8 2" xfId="23980" xr:uid="{00000000-0005-0000-0000-000052830000}"/>
    <cellStyle name="Remarque 3 2 2 2 3 4 8 3" xfId="47940" xr:uid="{00000000-0005-0000-0000-000053830000}"/>
    <cellStyle name="Remarque 3 2 2 2 3 4 9" xfId="2370" xr:uid="{00000000-0005-0000-0000-000054830000}"/>
    <cellStyle name="Remarque 3 2 2 2 3 4 9 2" xfId="26384" xr:uid="{00000000-0005-0000-0000-000055830000}"/>
    <cellStyle name="Remarque 3 2 2 2 3 4 9 3" xfId="50344" xr:uid="{00000000-0005-0000-0000-000056830000}"/>
    <cellStyle name="Remarque 3 2 2 2 3 5" xfId="1127" xr:uid="{00000000-0005-0000-0000-000057830000}"/>
    <cellStyle name="Remarque 3 2 2 2 3 5 10" xfId="25159" xr:uid="{00000000-0005-0000-0000-000058830000}"/>
    <cellStyle name="Remarque 3 2 2 2 3 5 10 2" xfId="49119" xr:uid="{00000000-0005-0000-0000-000059830000}"/>
    <cellStyle name="Remarque 3 2 2 2 3 5 11" xfId="35887" xr:uid="{00000000-0005-0000-0000-00005A830000}"/>
    <cellStyle name="Remarque 3 2 2 2 3 5 11 2" xfId="59847" xr:uid="{00000000-0005-0000-0000-00005B830000}"/>
    <cellStyle name="Remarque 3 2 2 2 3 5 12" xfId="13824" xr:uid="{00000000-0005-0000-0000-00005C830000}"/>
    <cellStyle name="Remarque 3 2 2 2 3 5 13" xfId="37784" xr:uid="{00000000-0005-0000-0000-00005D830000}"/>
    <cellStyle name="Remarque 3 2 2 2 3 5 2" xfId="4033" xr:uid="{00000000-0005-0000-0000-00005E830000}"/>
    <cellStyle name="Remarque 3 2 2 2 3 5 2 2" xfId="28047" xr:uid="{00000000-0005-0000-0000-00005F830000}"/>
    <cellStyle name="Remarque 3 2 2 2 3 5 2 2 2" xfId="52007" xr:uid="{00000000-0005-0000-0000-000060830000}"/>
    <cellStyle name="Remarque 3 2 2 2 3 5 2 3" xfId="15294" xr:uid="{00000000-0005-0000-0000-000061830000}"/>
    <cellStyle name="Remarque 3 2 2 2 3 5 2 4" xfId="39254" xr:uid="{00000000-0005-0000-0000-000062830000}"/>
    <cellStyle name="Remarque 3 2 2 2 3 5 3" xfId="5467" xr:uid="{00000000-0005-0000-0000-000063830000}"/>
    <cellStyle name="Remarque 3 2 2 2 3 5 3 2" xfId="29481" xr:uid="{00000000-0005-0000-0000-000064830000}"/>
    <cellStyle name="Remarque 3 2 2 2 3 5 3 2 2" xfId="53441" xr:uid="{00000000-0005-0000-0000-000065830000}"/>
    <cellStyle name="Remarque 3 2 2 2 3 5 3 3" xfId="16728" xr:uid="{00000000-0005-0000-0000-000066830000}"/>
    <cellStyle name="Remarque 3 2 2 2 3 5 3 4" xfId="40688" xr:uid="{00000000-0005-0000-0000-000067830000}"/>
    <cellStyle name="Remarque 3 2 2 2 3 5 4" xfId="6861" xr:uid="{00000000-0005-0000-0000-000068830000}"/>
    <cellStyle name="Remarque 3 2 2 2 3 5 4 2" xfId="30875" xr:uid="{00000000-0005-0000-0000-000069830000}"/>
    <cellStyle name="Remarque 3 2 2 2 3 5 4 2 2" xfId="54835" xr:uid="{00000000-0005-0000-0000-00006A830000}"/>
    <cellStyle name="Remarque 3 2 2 2 3 5 4 3" xfId="18122" xr:uid="{00000000-0005-0000-0000-00006B830000}"/>
    <cellStyle name="Remarque 3 2 2 2 3 5 4 4" xfId="42082" xr:uid="{00000000-0005-0000-0000-00006C830000}"/>
    <cellStyle name="Remarque 3 2 2 2 3 5 5" xfId="8249" xr:uid="{00000000-0005-0000-0000-00006D830000}"/>
    <cellStyle name="Remarque 3 2 2 2 3 5 5 2" xfId="32263" xr:uid="{00000000-0005-0000-0000-00006E830000}"/>
    <cellStyle name="Remarque 3 2 2 2 3 5 5 2 2" xfId="56223" xr:uid="{00000000-0005-0000-0000-00006F830000}"/>
    <cellStyle name="Remarque 3 2 2 2 3 5 5 3" xfId="19510" xr:uid="{00000000-0005-0000-0000-000070830000}"/>
    <cellStyle name="Remarque 3 2 2 2 3 5 5 4" xfId="43470" xr:uid="{00000000-0005-0000-0000-000071830000}"/>
    <cellStyle name="Remarque 3 2 2 2 3 5 6" xfId="9634" xr:uid="{00000000-0005-0000-0000-000072830000}"/>
    <cellStyle name="Remarque 3 2 2 2 3 5 6 2" xfId="33648" xr:uid="{00000000-0005-0000-0000-000073830000}"/>
    <cellStyle name="Remarque 3 2 2 2 3 5 6 2 2" xfId="57608" xr:uid="{00000000-0005-0000-0000-000074830000}"/>
    <cellStyle name="Remarque 3 2 2 2 3 5 6 3" xfId="20895" xr:uid="{00000000-0005-0000-0000-000075830000}"/>
    <cellStyle name="Remarque 3 2 2 2 3 5 6 4" xfId="44855" xr:uid="{00000000-0005-0000-0000-000076830000}"/>
    <cellStyle name="Remarque 3 2 2 2 3 5 7" xfId="11091" xr:uid="{00000000-0005-0000-0000-000077830000}"/>
    <cellStyle name="Remarque 3 2 2 2 3 5 7 2" xfId="35101" xr:uid="{00000000-0005-0000-0000-000078830000}"/>
    <cellStyle name="Remarque 3 2 2 2 3 5 7 2 2" xfId="59061" xr:uid="{00000000-0005-0000-0000-000079830000}"/>
    <cellStyle name="Remarque 3 2 2 2 3 5 7 3" xfId="22358" xr:uid="{00000000-0005-0000-0000-00007A830000}"/>
    <cellStyle name="Remarque 3 2 2 2 3 5 7 4" xfId="46318" xr:uid="{00000000-0005-0000-0000-00007B830000}"/>
    <cellStyle name="Remarque 3 2 2 2 3 5 8" xfId="12058" xr:uid="{00000000-0005-0000-0000-00007C830000}"/>
    <cellStyle name="Remarque 3 2 2 2 3 5 8 2" xfId="23339" xr:uid="{00000000-0005-0000-0000-00007D830000}"/>
    <cellStyle name="Remarque 3 2 2 2 3 5 8 3" xfId="47299" xr:uid="{00000000-0005-0000-0000-00007E830000}"/>
    <cellStyle name="Remarque 3 2 2 2 3 5 9" xfId="2563" xr:uid="{00000000-0005-0000-0000-00007F830000}"/>
    <cellStyle name="Remarque 3 2 2 2 3 5 9 2" xfId="26577" xr:uid="{00000000-0005-0000-0000-000080830000}"/>
    <cellStyle name="Remarque 3 2 2 2 3 5 9 3" xfId="50537" xr:uid="{00000000-0005-0000-0000-000081830000}"/>
    <cellStyle name="Remarque 3 2 2 2 3 6" xfId="1294" xr:uid="{00000000-0005-0000-0000-000082830000}"/>
    <cellStyle name="Remarque 3 2 2 2 3 6 10" xfId="25326" xr:uid="{00000000-0005-0000-0000-000083830000}"/>
    <cellStyle name="Remarque 3 2 2 2 3 6 10 2" xfId="49286" xr:uid="{00000000-0005-0000-0000-000084830000}"/>
    <cellStyle name="Remarque 3 2 2 2 3 6 11" xfId="36083" xr:uid="{00000000-0005-0000-0000-000085830000}"/>
    <cellStyle name="Remarque 3 2 2 2 3 6 11 2" xfId="60043" xr:uid="{00000000-0005-0000-0000-000086830000}"/>
    <cellStyle name="Remarque 3 2 2 2 3 6 12" xfId="13991" xr:uid="{00000000-0005-0000-0000-000087830000}"/>
    <cellStyle name="Remarque 3 2 2 2 3 6 13" xfId="37951" xr:uid="{00000000-0005-0000-0000-000088830000}"/>
    <cellStyle name="Remarque 3 2 2 2 3 6 2" xfId="4200" xr:uid="{00000000-0005-0000-0000-000089830000}"/>
    <cellStyle name="Remarque 3 2 2 2 3 6 2 2" xfId="28214" xr:uid="{00000000-0005-0000-0000-00008A830000}"/>
    <cellStyle name="Remarque 3 2 2 2 3 6 2 2 2" xfId="52174" xr:uid="{00000000-0005-0000-0000-00008B830000}"/>
    <cellStyle name="Remarque 3 2 2 2 3 6 2 3" xfId="15461" xr:uid="{00000000-0005-0000-0000-00008C830000}"/>
    <cellStyle name="Remarque 3 2 2 2 3 6 2 4" xfId="39421" xr:uid="{00000000-0005-0000-0000-00008D830000}"/>
    <cellStyle name="Remarque 3 2 2 2 3 6 3" xfId="5634" xr:uid="{00000000-0005-0000-0000-00008E830000}"/>
    <cellStyle name="Remarque 3 2 2 2 3 6 3 2" xfId="29648" xr:uid="{00000000-0005-0000-0000-00008F830000}"/>
    <cellStyle name="Remarque 3 2 2 2 3 6 3 2 2" xfId="53608" xr:uid="{00000000-0005-0000-0000-000090830000}"/>
    <cellStyle name="Remarque 3 2 2 2 3 6 3 3" xfId="16895" xr:uid="{00000000-0005-0000-0000-000091830000}"/>
    <cellStyle name="Remarque 3 2 2 2 3 6 3 4" xfId="40855" xr:uid="{00000000-0005-0000-0000-000092830000}"/>
    <cellStyle name="Remarque 3 2 2 2 3 6 4" xfId="7028" xr:uid="{00000000-0005-0000-0000-000093830000}"/>
    <cellStyle name="Remarque 3 2 2 2 3 6 4 2" xfId="31042" xr:uid="{00000000-0005-0000-0000-000094830000}"/>
    <cellStyle name="Remarque 3 2 2 2 3 6 4 2 2" xfId="55002" xr:uid="{00000000-0005-0000-0000-000095830000}"/>
    <cellStyle name="Remarque 3 2 2 2 3 6 4 3" xfId="18289" xr:uid="{00000000-0005-0000-0000-000096830000}"/>
    <cellStyle name="Remarque 3 2 2 2 3 6 4 4" xfId="42249" xr:uid="{00000000-0005-0000-0000-000097830000}"/>
    <cellStyle name="Remarque 3 2 2 2 3 6 5" xfId="8416" xr:uid="{00000000-0005-0000-0000-000098830000}"/>
    <cellStyle name="Remarque 3 2 2 2 3 6 5 2" xfId="32430" xr:uid="{00000000-0005-0000-0000-000099830000}"/>
    <cellStyle name="Remarque 3 2 2 2 3 6 5 2 2" xfId="56390" xr:uid="{00000000-0005-0000-0000-00009A830000}"/>
    <cellStyle name="Remarque 3 2 2 2 3 6 5 3" xfId="19677" xr:uid="{00000000-0005-0000-0000-00009B830000}"/>
    <cellStyle name="Remarque 3 2 2 2 3 6 5 4" xfId="43637" xr:uid="{00000000-0005-0000-0000-00009C830000}"/>
    <cellStyle name="Remarque 3 2 2 2 3 6 6" xfId="9801" xr:uid="{00000000-0005-0000-0000-00009D830000}"/>
    <cellStyle name="Remarque 3 2 2 2 3 6 6 2" xfId="33815" xr:uid="{00000000-0005-0000-0000-00009E830000}"/>
    <cellStyle name="Remarque 3 2 2 2 3 6 6 2 2" xfId="57775" xr:uid="{00000000-0005-0000-0000-00009F830000}"/>
    <cellStyle name="Remarque 3 2 2 2 3 6 6 3" xfId="21062" xr:uid="{00000000-0005-0000-0000-0000A0830000}"/>
    <cellStyle name="Remarque 3 2 2 2 3 6 6 4" xfId="45022" xr:uid="{00000000-0005-0000-0000-0000A1830000}"/>
    <cellStyle name="Remarque 3 2 2 2 3 6 7" xfId="11258" xr:uid="{00000000-0005-0000-0000-0000A2830000}"/>
    <cellStyle name="Remarque 3 2 2 2 3 6 7 2" xfId="35268" xr:uid="{00000000-0005-0000-0000-0000A3830000}"/>
    <cellStyle name="Remarque 3 2 2 2 3 6 7 2 2" xfId="59228" xr:uid="{00000000-0005-0000-0000-0000A4830000}"/>
    <cellStyle name="Remarque 3 2 2 2 3 6 7 3" xfId="22525" xr:uid="{00000000-0005-0000-0000-0000A5830000}"/>
    <cellStyle name="Remarque 3 2 2 2 3 6 7 4" xfId="46485" xr:uid="{00000000-0005-0000-0000-0000A6830000}"/>
    <cellStyle name="Remarque 3 2 2 2 3 6 8" xfId="12806" xr:uid="{00000000-0005-0000-0000-0000A7830000}"/>
    <cellStyle name="Remarque 3 2 2 2 3 6 8 2" xfId="24117" xr:uid="{00000000-0005-0000-0000-0000A8830000}"/>
    <cellStyle name="Remarque 3 2 2 2 3 6 8 3" xfId="48077" xr:uid="{00000000-0005-0000-0000-0000A9830000}"/>
    <cellStyle name="Remarque 3 2 2 2 3 6 9" xfId="2730" xr:uid="{00000000-0005-0000-0000-0000AA830000}"/>
    <cellStyle name="Remarque 3 2 2 2 3 6 9 2" xfId="26744" xr:uid="{00000000-0005-0000-0000-0000AB830000}"/>
    <cellStyle name="Remarque 3 2 2 2 3 6 9 3" xfId="50704" xr:uid="{00000000-0005-0000-0000-0000AC830000}"/>
    <cellStyle name="Remarque 3 2 2 2 3 7" xfId="1463" xr:uid="{00000000-0005-0000-0000-0000AD830000}"/>
    <cellStyle name="Remarque 3 2 2 2 3 7 10" xfId="25495" xr:uid="{00000000-0005-0000-0000-0000AE830000}"/>
    <cellStyle name="Remarque 3 2 2 2 3 7 10 2" xfId="49455" xr:uid="{00000000-0005-0000-0000-0000AF830000}"/>
    <cellStyle name="Remarque 3 2 2 2 3 7 11" xfId="36660" xr:uid="{00000000-0005-0000-0000-0000B0830000}"/>
    <cellStyle name="Remarque 3 2 2 2 3 7 11 2" xfId="60620" xr:uid="{00000000-0005-0000-0000-0000B1830000}"/>
    <cellStyle name="Remarque 3 2 2 2 3 7 12" xfId="14160" xr:uid="{00000000-0005-0000-0000-0000B2830000}"/>
    <cellStyle name="Remarque 3 2 2 2 3 7 13" xfId="38120" xr:uid="{00000000-0005-0000-0000-0000B3830000}"/>
    <cellStyle name="Remarque 3 2 2 2 3 7 2" xfId="4369" xr:uid="{00000000-0005-0000-0000-0000B4830000}"/>
    <cellStyle name="Remarque 3 2 2 2 3 7 2 2" xfId="28383" xr:uid="{00000000-0005-0000-0000-0000B5830000}"/>
    <cellStyle name="Remarque 3 2 2 2 3 7 2 2 2" xfId="52343" xr:uid="{00000000-0005-0000-0000-0000B6830000}"/>
    <cellStyle name="Remarque 3 2 2 2 3 7 2 3" xfId="15630" xr:uid="{00000000-0005-0000-0000-0000B7830000}"/>
    <cellStyle name="Remarque 3 2 2 2 3 7 2 4" xfId="39590" xr:uid="{00000000-0005-0000-0000-0000B8830000}"/>
    <cellStyle name="Remarque 3 2 2 2 3 7 3" xfId="5803" xr:uid="{00000000-0005-0000-0000-0000B9830000}"/>
    <cellStyle name="Remarque 3 2 2 2 3 7 3 2" xfId="29817" xr:uid="{00000000-0005-0000-0000-0000BA830000}"/>
    <cellStyle name="Remarque 3 2 2 2 3 7 3 2 2" xfId="53777" xr:uid="{00000000-0005-0000-0000-0000BB830000}"/>
    <cellStyle name="Remarque 3 2 2 2 3 7 3 3" xfId="17064" xr:uid="{00000000-0005-0000-0000-0000BC830000}"/>
    <cellStyle name="Remarque 3 2 2 2 3 7 3 4" xfId="41024" xr:uid="{00000000-0005-0000-0000-0000BD830000}"/>
    <cellStyle name="Remarque 3 2 2 2 3 7 4" xfId="7197" xr:uid="{00000000-0005-0000-0000-0000BE830000}"/>
    <cellStyle name="Remarque 3 2 2 2 3 7 4 2" xfId="31211" xr:uid="{00000000-0005-0000-0000-0000BF830000}"/>
    <cellStyle name="Remarque 3 2 2 2 3 7 4 2 2" xfId="55171" xr:uid="{00000000-0005-0000-0000-0000C0830000}"/>
    <cellStyle name="Remarque 3 2 2 2 3 7 4 3" xfId="18458" xr:uid="{00000000-0005-0000-0000-0000C1830000}"/>
    <cellStyle name="Remarque 3 2 2 2 3 7 4 4" xfId="42418" xr:uid="{00000000-0005-0000-0000-0000C2830000}"/>
    <cellStyle name="Remarque 3 2 2 2 3 7 5" xfId="8585" xr:uid="{00000000-0005-0000-0000-0000C3830000}"/>
    <cellStyle name="Remarque 3 2 2 2 3 7 5 2" xfId="32599" xr:uid="{00000000-0005-0000-0000-0000C4830000}"/>
    <cellStyle name="Remarque 3 2 2 2 3 7 5 2 2" xfId="56559" xr:uid="{00000000-0005-0000-0000-0000C5830000}"/>
    <cellStyle name="Remarque 3 2 2 2 3 7 5 3" xfId="19846" xr:uid="{00000000-0005-0000-0000-0000C6830000}"/>
    <cellStyle name="Remarque 3 2 2 2 3 7 5 4" xfId="43806" xr:uid="{00000000-0005-0000-0000-0000C7830000}"/>
    <cellStyle name="Remarque 3 2 2 2 3 7 6" xfId="9970" xr:uid="{00000000-0005-0000-0000-0000C8830000}"/>
    <cellStyle name="Remarque 3 2 2 2 3 7 6 2" xfId="33984" xr:uid="{00000000-0005-0000-0000-0000C9830000}"/>
    <cellStyle name="Remarque 3 2 2 2 3 7 6 2 2" xfId="57944" xr:uid="{00000000-0005-0000-0000-0000CA830000}"/>
    <cellStyle name="Remarque 3 2 2 2 3 7 6 3" xfId="21231" xr:uid="{00000000-0005-0000-0000-0000CB830000}"/>
    <cellStyle name="Remarque 3 2 2 2 3 7 6 4" xfId="45191" xr:uid="{00000000-0005-0000-0000-0000CC830000}"/>
    <cellStyle name="Remarque 3 2 2 2 3 7 7" xfId="11427" xr:uid="{00000000-0005-0000-0000-0000CD830000}"/>
    <cellStyle name="Remarque 3 2 2 2 3 7 7 2" xfId="35437" xr:uid="{00000000-0005-0000-0000-0000CE830000}"/>
    <cellStyle name="Remarque 3 2 2 2 3 7 7 2 2" xfId="59397" xr:uid="{00000000-0005-0000-0000-0000CF830000}"/>
    <cellStyle name="Remarque 3 2 2 2 3 7 7 3" xfId="22694" xr:uid="{00000000-0005-0000-0000-0000D0830000}"/>
    <cellStyle name="Remarque 3 2 2 2 3 7 7 4" xfId="46654" xr:uid="{00000000-0005-0000-0000-0000D1830000}"/>
    <cellStyle name="Remarque 3 2 2 2 3 7 8" xfId="11731" xr:uid="{00000000-0005-0000-0000-0000D2830000}"/>
    <cellStyle name="Remarque 3 2 2 2 3 7 8 2" xfId="23002" xr:uid="{00000000-0005-0000-0000-0000D3830000}"/>
    <cellStyle name="Remarque 3 2 2 2 3 7 8 3" xfId="46962" xr:uid="{00000000-0005-0000-0000-0000D4830000}"/>
    <cellStyle name="Remarque 3 2 2 2 3 7 9" xfId="2899" xr:uid="{00000000-0005-0000-0000-0000D5830000}"/>
    <cellStyle name="Remarque 3 2 2 2 3 7 9 2" xfId="26913" xr:uid="{00000000-0005-0000-0000-0000D6830000}"/>
    <cellStyle name="Remarque 3 2 2 2 3 7 9 3" xfId="50873" xr:uid="{00000000-0005-0000-0000-0000D7830000}"/>
    <cellStyle name="Remarque 3 2 2 2 3 8" xfId="3318" xr:uid="{00000000-0005-0000-0000-0000D8830000}"/>
    <cellStyle name="Remarque 3 2 2 2 3 8 2" xfId="27332" xr:uid="{00000000-0005-0000-0000-0000D9830000}"/>
    <cellStyle name="Remarque 3 2 2 2 3 8 2 2" xfId="51292" xr:uid="{00000000-0005-0000-0000-0000DA830000}"/>
    <cellStyle name="Remarque 3 2 2 2 3 8 3" xfId="14579" xr:uid="{00000000-0005-0000-0000-0000DB830000}"/>
    <cellStyle name="Remarque 3 2 2 2 3 8 4" xfId="38539" xr:uid="{00000000-0005-0000-0000-0000DC830000}"/>
    <cellStyle name="Remarque 3 2 2 2 3 9" xfId="4752" xr:uid="{00000000-0005-0000-0000-0000DD830000}"/>
    <cellStyle name="Remarque 3 2 2 2 3 9 2" xfId="28766" xr:uid="{00000000-0005-0000-0000-0000DE830000}"/>
    <cellStyle name="Remarque 3 2 2 2 3 9 2 2" xfId="52726" xr:uid="{00000000-0005-0000-0000-0000DF830000}"/>
    <cellStyle name="Remarque 3 2 2 2 3 9 3" xfId="16013" xr:uid="{00000000-0005-0000-0000-0000E0830000}"/>
    <cellStyle name="Remarque 3 2 2 2 3 9 4" xfId="39973" xr:uid="{00000000-0005-0000-0000-0000E1830000}"/>
    <cellStyle name="Remarque 3 2 2 2 4" xfId="452" xr:uid="{00000000-0005-0000-0000-0000E2830000}"/>
    <cellStyle name="Remarque 3 2 2 2 4 10" xfId="6186" xr:uid="{00000000-0005-0000-0000-0000E3830000}"/>
    <cellStyle name="Remarque 3 2 2 2 4 10 2" xfId="30200" xr:uid="{00000000-0005-0000-0000-0000E4830000}"/>
    <cellStyle name="Remarque 3 2 2 2 4 10 2 2" xfId="54160" xr:uid="{00000000-0005-0000-0000-0000E5830000}"/>
    <cellStyle name="Remarque 3 2 2 2 4 10 3" xfId="17447" xr:uid="{00000000-0005-0000-0000-0000E6830000}"/>
    <cellStyle name="Remarque 3 2 2 2 4 10 4" xfId="41407" xr:uid="{00000000-0005-0000-0000-0000E7830000}"/>
    <cellStyle name="Remarque 3 2 2 2 4 11" xfId="7574" xr:uid="{00000000-0005-0000-0000-0000E8830000}"/>
    <cellStyle name="Remarque 3 2 2 2 4 11 2" xfId="31588" xr:uid="{00000000-0005-0000-0000-0000E9830000}"/>
    <cellStyle name="Remarque 3 2 2 2 4 11 2 2" xfId="55548" xr:uid="{00000000-0005-0000-0000-0000EA830000}"/>
    <cellStyle name="Remarque 3 2 2 2 4 11 3" xfId="18835" xr:uid="{00000000-0005-0000-0000-0000EB830000}"/>
    <cellStyle name="Remarque 3 2 2 2 4 11 4" xfId="42795" xr:uid="{00000000-0005-0000-0000-0000EC830000}"/>
    <cellStyle name="Remarque 3 2 2 2 4 12" xfId="8959" xr:uid="{00000000-0005-0000-0000-0000ED830000}"/>
    <cellStyle name="Remarque 3 2 2 2 4 12 2" xfId="32973" xr:uid="{00000000-0005-0000-0000-0000EE830000}"/>
    <cellStyle name="Remarque 3 2 2 2 4 12 2 2" xfId="56933" xr:uid="{00000000-0005-0000-0000-0000EF830000}"/>
    <cellStyle name="Remarque 3 2 2 2 4 12 3" xfId="20220" xr:uid="{00000000-0005-0000-0000-0000F0830000}"/>
    <cellStyle name="Remarque 3 2 2 2 4 12 4" xfId="44180" xr:uid="{00000000-0005-0000-0000-0000F1830000}"/>
    <cellStyle name="Remarque 3 2 2 2 4 13" xfId="10416" xr:uid="{00000000-0005-0000-0000-0000F2830000}"/>
    <cellStyle name="Remarque 3 2 2 2 4 13 2" xfId="34426" xr:uid="{00000000-0005-0000-0000-0000F3830000}"/>
    <cellStyle name="Remarque 3 2 2 2 4 13 2 2" xfId="58386" xr:uid="{00000000-0005-0000-0000-0000F4830000}"/>
    <cellStyle name="Remarque 3 2 2 2 4 13 3" xfId="21683" xr:uid="{00000000-0005-0000-0000-0000F5830000}"/>
    <cellStyle name="Remarque 3 2 2 2 4 13 4" xfId="45643" xr:uid="{00000000-0005-0000-0000-0000F6830000}"/>
    <cellStyle name="Remarque 3 2 2 2 4 14" xfId="12004" xr:uid="{00000000-0005-0000-0000-0000F7830000}"/>
    <cellStyle name="Remarque 3 2 2 2 4 14 2" xfId="23283" xr:uid="{00000000-0005-0000-0000-0000F8830000}"/>
    <cellStyle name="Remarque 3 2 2 2 4 14 3" xfId="47243" xr:uid="{00000000-0005-0000-0000-0000F9830000}"/>
    <cellStyle name="Remarque 3 2 2 2 4 15" xfId="1888" xr:uid="{00000000-0005-0000-0000-0000FA830000}"/>
    <cellStyle name="Remarque 3 2 2 2 4 15 2" xfId="25902" xr:uid="{00000000-0005-0000-0000-0000FB830000}"/>
    <cellStyle name="Remarque 3 2 2 2 4 15 3" xfId="49862" xr:uid="{00000000-0005-0000-0000-0000FC830000}"/>
    <cellStyle name="Remarque 3 2 2 2 4 16" xfId="24484" xr:uid="{00000000-0005-0000-0000-0000FD830000}"/>
    <cellStyle name="Remarque 3 2 2 2 4 16 2" xfId="48444" xr:uid="{00000000-0005-0000-0000-0000FE830000}"/>
    <cellStyle name="Remarque 3 2 2 2 4 17" xfId="36118" xr:uid="{00000000-0005-0000-0000-0000FF830000}"/>
    <cellStyle name="Remarque 3 2 2 2 4 17 2" xfId="60078" xr:uid="{00000000-0005-0000-0000-000000840000}"/>
    <cellStyle name="Remarque 3 2 2 2 4 18" xfId="13149" xr:uid="{00000000-0005-0000-0000-000001840000}"/>
    <cellStyle name="Remarque 3 2 2 2 4 19" xfId="37109" xr:uid="{00000000-0005-0000-0000-000002840000}"/>
    <cellStyle name="Remarque 3 2 2 2 4 2" xfId="588" xr:uid="{00000000-0005-0000-0000-000003840000}"/>
    <cellStyle name="Remarque 3 2 2 2 4 2 10" xfId="24620" xr:uid="{00000000-0005-0000-0000-000004840000}"/>
    <cellStyle name="Remarque 3 2 2 2 4 2 10 2" xfId="48580" xr:uid="{00000000-0005-0000-0000-000005840000}"/>
    <cellStyle name="Remarque 3 2 2 2 4 2 11" xfId="36511" xr:uid="{00000000-0005-0000-0000-000006840000}"/>
    <cellStyle name="Remarque 3 2 2 2 4 2 11 2" xfId="60471" xr:uid="{00000000-0005-0000-0000-000007840000}"/>
    <cellStyle name="Remarque 3 2 2 2 4 2 12" xfId="13285" xr:uid="{00000000-0005-0000-0000-000008840000}"/>
    <cellStyle name="Remarque 3 2 2 2 4 2 13" xfId="37245" xr:uid="{00000000-0005-0000-0000-000009840000}"/>
    <cellStyle name="Remarque 3 2 2 2 4 2 2" xfId="3494" xr:uid="{00000000-0005-0000-0000-00000A840000}"/>
    <cellStyle name="Remarque 3 2 2 2 4 2 2 2" xfId="27508" xr:uid="{00000000-0005-0000-0000-00000B840000}"/>
    <cellStyle name="Remarque 3 2 2 2 4 2 2 2 2" xfId="51468" xr:uid="{00000000-0005-0000-0000-00000C840000}"/>
    <cellStyle name="Remarque 3 2 2 2 4 2 2 3" xfId="14755" xr:uid="{00000000-0005-0000-0000-00000D840000}"/>
    <cellStyle name="Remarque 3 2 2 2 4 2 2 4" xfId="38715" xr:uid="{00000000-0005-0000-0000-00000E840000}"/>
    <cellStyle name="Remarque 3 2 2 2 4 2 3" xfId="4928" xr:uid="{00000000-0005-0000-0000-00000F840000}"/>
    <cellStyle name="Remarque 3 2 2 2 4 2 3 2" xfId="28942" xr:uid="{00000000-0005-0000-0000-000010840000}"/>
    <cellStyle name="Remarque 3 2 2 2 4 2 3 2 2" xfId="52902" xr:uid="{00000000-0005-0000-0000-000011840000}"/>
    <cellStyle name="Remarque 3 2 2 2 4 2 3 3" xfId="16189" xr:uid="{00000000-0005-0000-0000-000012840000}"/>
    <cellStyle name="Remarque 3 2 2 2 4 2 3 4" xfId="40149" xr:uid="{00000000-0005-0000-0000-000013840000}"/>
    <cellStyle name="Remarque 3 2 2 2 4 2 4" xfId="6322" xr:uid="{00000000-0005-0000-0000-000014840000}"/>
    <cellStyle name="Remarque 3 2 2 2 4 2 4 2" xfId="30336" xr:uid="{00000000-0005-0000-0000-000015840000}"/>
    <cellStyle name="Remarque 3 2 2 2 4 2 4 2 2" xfId="54296" xr:uid="{00000000-0005-0000-0000-000016840000}"/>
    <cellStyle name="Remarque 3 2 2 2 4 2 4 3" xfId="17583" xr:uid="{00000000-0005-0000-0000-000017840000}"/>
    <cellStyle name="Remarque 3 2 2 2 4 2 4 4" xfId="41543" xr:uid="{00000000-0005-0000-0000-000018840000}"/>
    <cellStyle name="Remarque 3 2 2 2 4 2 5" xfId="7710" xr:uid="{00000000-0005-0000-0000-000019840000}"/>
    <cellStyle name="Remarque 3 2 2 2 4 2 5 2" xfId="31724" xr:uid="{00000000-0005-0000-0000-00001A840000}"/>
    <cellStyle name="Remarque 3 2 2 2 4 2 5 2 2" xfId="55684" xr:uid="{00000000-0005-0000-0000-00001B840000}"/>
    <cellStyle name="Remarque 3 2 2 2 4 2 5 3" xfId="18971" xr:uid="{00000000-0005-0000-0000-00001C840000}"/>
    <cellStyle name="Remarque 3 2 2 2 4 2 5 4" xfId="42931" xr:uid="{00000000-0005-0000-0000-00001D840000}"/>
    <cellStyle name="Remarque 3 2 2 2 4 2 6" xfId="9095" xr:uid="{00000000-0005-0000-0000-00001E840000}"/>
    <cellStyle name="Remarque 3 2 2 2 4 2 6 2" xfId="33109" xr:uid="{00000000-0005-0000-0000-00001F840000}"/>
    <cellStyle name="Remarque 3 2 2 2 4 2 6 2 2" xfId="57069" xr:uid="{00000000-0005-0000-0000-000020840000}"/>
    <cellStyle name="Remarque 3 2 2 2 4 2 6 3" xfId="20356" xr:uid="{00000000-0005-0000-0000-000021840000}"/>
    <cellStyle name="Remarque 3 2 2 2 4 2 6 4" xfId="44316" xr:uid="{00000000-0005-0000-0000-000022840000}"/>
    <cellStyle name="Remarque 3 2 2 2 4 2 7" xfId="10552" xr:uid="{00000000-0005-0000-0000-000023840000}"/>
    <cellStyle name="Remarque 3 2 2 2 4 2 7 2" xfId="34562" xr:uid="{00000000-0005-0000-0000-000024840000}"/>
    <cellStyle name="Remarque 3 2 2 2 4 2 7 2 2" xfId="58522" xr:uid="{00000000-0005-0000-0000-000025840000}"/>
    <cellStyle name="Remarque 3 2 2 2 4 2 7 3" xfId="21819" xr:uid="{00000000-0005-0000-0000-000026840000}"/>
    <cellStyle name="Remarque 3 2 2 2 4 2 7 4" xfId="45779" xr:uid="{00000000-0005-0000-0000-000027840000}"/>
    <cellStyle name="Remarque 3 2 2 2 4 2 8" xfId="12695" xr:uid="{00000000-0005-0000-0000-000028840000}"/>
    <cellStyle name="Remarque 3 2 2 2 4 2 8 2" xfId="24000" xr:uid="{00000000-0005-0000-0000-000029840000}"/>
    <cellStyle name="Remarque 3 2 2 2 4 2 8 3" xfId="47960" xr:uid="{00000000-0005-0000-0000-00002A840000}"/>
    <cellStyle name="Remarque 3 2 2 2 4 2 9" xfId="2024" xr:uid="{00000000-0005-0000-0000-00002B840000}"/>
    <cellStyle name="Remarque 3 2 2 2 4 2 9 2" xfId="26038" xr:uid="{00000000-0005-0000-0000-00002C840000}"/>
    <cellStyle name="Remarque 3 2 2 2 4 2 9 3" xfId="49998" xr:uid="{00000000-0005-0000-0000-00002D840000}"/>
    <cellStyle name="Remarque 3 2 2 2 4 3" xfId="780" xr:uid="{00000000-0005-0000-0000-00002E840000}"/>
    <cellStyle name="Remarque 3 2 2 2 4 3 10" xfId="24812" xr:uid="{00000000-0005-0000-0000-00002F840000}"/>
    <cellStyle name="Remarque 3 2 2 2 4 3 10 2" xfId="48772" xr:uid="{00000000-0005-0000-0000-000030840000}"/>
    <cellStyle name="Remarque 3 2 2 2 4 3 11" xfId="36434" xr:uid="{00000000-0005-0000-0000-000031840000}"/>
    <cellStyle name="Remarque 3 2 2 2 4 3 11 2" xfId="60394" xr:uid="{00000000-0005-0000-0000-000032840000}"/>
    <cellStyle name="Remarque 3 2 2 2 4 3 12" xfId="13477" xr:uid="{00000000-0005-0000-0000-000033840000}"/>
    <cellStyle name="Remarque 3 2 2 2 4 3 13" xfId="37437" xr:uid="{00000000-0005-0000-0000-000034840000}"/>
    <cellStyle name="Remarque 3 2 2 2 4 3 2" xfId="3686" xr:uid="{00000000-0005-0000-0000-000035840000}"/>
    <cellStyle name="Remarque 3 2 2 2 4 3 2 2" xfId="27700" xr:uid="{00000000-0005-0000-0000-000036840000}"/>
    <cellStyle name="Remarque 3 2 2 2 4 3 2 2 2" xfId="51660" xr:uid="{00000000-0005-0000-0000-000037840000}"/>
    <cellStyle name="Remarque 3 2 2 2 4 3 2 3" xfId="14947" xr:uid="{00000000-0005-0000-0000-000038840000}"/>
    <cellStyle name="Remarque 3 2 2 2 4 3 2 4" xfId="38907" xr:uid="{00000000-0005-0000-0000-000039840000}"/>
    <cellStyle name="Remarque 3 2 2 2 4 3 3" xfId="5120" xr:uid="{00000000-0005-0000-0000-00003A840000}"/>
    <cellStyle name="Remarque 3 2 2 2 4 3 3 2" xfId="29134" xr:uid="{00000000-0005-0000-0000-00003B840000}"/>
    <cellStyle name="Remarque 3 2 2 2 4 3 3 2 2" xfId="53094" xr:uid="{00000000-0005-0000-0000-00003C840000}"/>
    <cellStyle name="Remarque 3 2 2 2 4 3 3 3" xfId="16381" xr:uid="{00000000-0005-0000-0000-00003D840000}"/>
    <cellStyle name="Remarque 3 2 2 2 4 3 3 4" xfId="40341" xr:uid="{00000000-0005-0000-0000-00003E840000}"/>
    <cellStyle name="Remarque 3 2 2 2 4 3 4" xfId="6514" xr:uid="{00000000-0005-0000-0000-00003F840000}"/>
    <cellStyle name="Remarque 3 2 2 2 4 3 4 2" xfId="30528" xr:uid="{00000000-0005-0000-0000-000040840000}"/>
    <cellStyle name="Remarque 3 2 2 2 4 3 4 2 2" xfId="54488" xr:uid="{00000000-0005-0000-0000-000041840000}"/>
    <cellStyle name="Remarque 3 2 2 2 4 3 4 3" xfId="17775" xr:uid="{00000000-0005-0000-0000-000042840000}"/>
    <cellStyle name="Remarque 3 2 2 2 4 3 4 4" xfId="41735" xr:uid="{00000000-0005-0000-0000-000043840000}"/>
    <cellStyle name="Remarque 3 2 2 2 4 3 5" xfId="7902" xr:uid="{00000000-0005-0000-0000-000044840000}"/>
    <cellStyle name="Remarque 3 2 2 2 4 3 5 2" xfId="31916" xr:uid="{00000000-0005-0000-0000-000045840000}"/>
    <cellStyle name="Remarque 3 2 2 2 4 3 5 2 2" xfId="55876" xr:uid="{00000000-0005-0000-0000-000046840000}"/>
    <cellStyle name="Remarque 3 2 2 2 4 3 5 3" xfId="19163" xr:uid="{00000000-0005-0000-0000-000047840000}"/>
    <cellStyle name="Remarque 3 2 2 2 4 3 5 4" xfId="43123" xr:uid="{00000000-0005-0000-0000-000048840000}"/>
    <cellStyle name="Remarque 3 2 2 2 4 3 6" xfId="9287" xr:uid="{00000000-0005-0000-0000-000049840000}"/>
    <cellStyle name="Remarque 3 2 2 2 4 3 6 2" xfId="33301" xr:uid="{00000000-0005-0000-0000-00004A840000}"/>
    <cellStyle name="Remarque 3 2 2 2 4 3 6 2 2" xfId="57261" xr:uid="{00000000-0005-0000-0000-00004B840000}"/>
    <cellStyle name="Remarque 3 2 2 2 4 3 6 3" xfId="20548" xr:uid="{00000000-0005-0000-0000-00004C840000}"/>
    <cellStyle name="Remarque 3 2 2 2 4 3 6 4" xfId="44508" xr:uid="{00000000-0005-0000-0000-00004D840000}"/>
    <cellStyle name="Remarque 3 2 2 2 4 3 7" xfId="10744" xr:uid="{00000000-0005-0000-0000-00004E840000}"/>
    <cellStyle name="Remarque 3 2 2 2 4 3 7 2" xfId="34754" xr:uid="{00000000-0005-0000-0000-00004F840000}"/>
    <cellStyle name="Remarque 3 2 2 2 4 3 7 2 2" xfId="58714" xr:uid="{00000000-0005-0000-0000-000050840000}"/>
    <cellStyle name="Remarque 3 2 2 2 4 3 7 3" xfId="22011" xr:uid="{00000000-0005-0000-0000-000051840000}"/>
    <cellStyle name="Remarque 3 2 2 2 4 3 7 4" xfId="45971" xr:uid="{00000000-0005-0000-0000-000052840000}"/>
    <cellStyle name="Remarque 3 2 2 2 4 3 8" xfId="12454" xr:uid="{00000000-0005-0000-0000-000053840000}"/>
    <cellStyle name="Remarque 3 2 2 2 4 3 8 2" xfId="23748" xr:uid="{00000000-0005-0000-0000-000054840000}"/>
    <cellStyle name="Remarque 3 2 2 2 4 3 8 3" xfId="47708" xr:uid="{00000000-0005-0000-0000-000055840000}"/>
    <cellStyle name="Remarque 3 2 2 2 4 3 9" xfId="2216" xr:uid="{00000000-0005-0000-0000-000056840000}"/>
    <cellStyle name="Remarque 3 2 2 2 4 3 9 2" xfId="26230" xr:uid="{00000000-0005-0000-0000-000057840000}"/>
    <cellStyle name="Remarque 3 2 2 2 4 3 9 3" xfId="50190" xr:uid="{00000000-0005-0000-0000-000058840000}"/>
    <cellStyle name="Remarque 3 2 2 2 4 4" xfId="974" xr:uid="{00000000-0005-0000-0000-000059840000}"/>
    <cellStyle name="Remarque 3 2 2 2 4 4 10" xfId="25006" xr:uid="{00000000-0005-0000-0000-00005A840000}"/>
    <cellStyle name="Remarque 3 2 2 2 4 4 10 2" xfId="48966" xr:uid="{00000000-0005-0000-0000-00005B840000}"/>
    <cellStyle name="Remarque 3 2 2 2 4 4 11" xfId="36226" xr:uid="{00000000-0005-0000-0000-00005C840000}"/>
    <cellStyle name="Remarque 3 2 2 2 4 4 11 2" xfId="60186" xr:uid="{00000000-0005-0000-0000-00005D840000}"/>
    <cellStyle name="Remarque 3 2 2 2 4 4 12" xfId="13671" xr:uid="{00000000-0005-0000-0000-00005E840000}"/>
    <cellStyle name="Remarque 3 2 2 2 4 4 13" xfId="37631" xr:uid="{00000000-0005-0000-0000-00005F840000}"/>
    <cellStyle name="Remarque 3 2 2 2 4 4 2" xfId="3880" xr:uid="{00000000-0005-0000-0000-000060840000}"/>
    <cellStyle name="Remarque 3 2 2 2 4 4 2 2" xfId="27894" xr:uid="{00000000-0005-0000-0000-000061840000}"/>
    <cellStyle name="Remarque 3 2 2 2 4 4 2 2 2" xfId="51854" xr:uid="{00000000-0005-0000-0000-000062840000}"/>
    <cellStyle name="Remarque 3 2 2 2 4 4 2 3" xfId="15141" xr:uid="{00000000-0005-0000-0000-000063840000}"/>
    <cellStyle name="Remarque 3 2 2 2 4 4 2 4" xfId="39101" xr:uid="{00000000-0005-0000-0000-000064840000}"/>
    <cellStyle name="Remarque 3 2 2 2 4 4 3" xfId="5314" xr:uid="{00000000-0005-0000-0000-000065840000}"/>
    <cellStyle name="Remarque 3 2 2 2 4 4 3 2" xfId="29328" xr:uid="{00000000-0005-0000-0000-000066840000}"/>
    <cellStyle name="Remarque 3 2 2 2 4 4 3 2 2" xfId="53288" xr:uid="{00000000-0005-0000-0000-000067840000}"/>
    <cellStyle name="Remarque 3 2 2 2 4 4 3 3" xfId="16575" xr:uid="{00000000-0005-0000-0000-000068840000}"/>
    <cellStyle name="Remarque 3 2 2 2 4 4 3 4" xfId="40535" xr:uid="{00000000-0005-0000-0000-000069840000}"/>
    <cellStyle name="Remarque 3 2 2 2 4 4 4" xfId="6708" xr:uid="{00000000-0005-0000-0000-00006A840000}"/>
    <cellStyle name="Remarque 3 2 2 2 4 4 4 2" xfId="30722" xr:uid="{00000000-0005-0000-0000-00006B840000}"/>
    <cellStyle name="Remarque 3 2 2 2 4 4 4 2 2" xfId="54682" xr:uid="{00000000-0005-0000-0000-00006C840000}"/>
    <cellStyle name="Remarque 3 2 2 2 4 4 4 3" xfId="17969" xr:uid="{00000000-0005-0000-0000-00006D840000}"/>
    <cellStyle name="Remarque 3 2 2 2 4 4 4 4" xfId="41929" xr:uid="{00000000-0005-0000-0000-00006E840000}"/>
    <cellStyle name="Remarque 3 2 2 2 4 4 5" xfId="8096" xr:uid="{00000000-0005-0000-0000-00006F840000}"/>
    <cellStyle name="Remarque 3 2 2 2 4 4 5 2" xfId="32110" xr:uid="{00000000-0005-0000-0000-000070840000}"/>
    <cellStyle name="Remarque 3 2 2 2 4 4 5 2 2" xfId="56070" xr:uid="{00000000-0005-0000-0000-000071840000}"/>
    <cellStyle name="Remarque 3 2 2 2 4 4 5 3" xfId="19357" xr:uid="{00000000-0005-0000-0000-000072840000}"/>
    <cellStyle name="Remarque 3 2 2 2 4 4 5 4" xfId="43317" xr:uid="{00000000-0005-0000-0000-000073840000}"/>
    <cellStyle name="Remarque 3 2 2 2 4 4 6" xfId="9481" xr:uid="{00000000-0005-0000-0000-000074840000}"/>
    <cellStyle name="Remarque 3 2 2 2 4 4 6 2" xfId="33495" xr:uid="{00000000-0005-0000-0000-000075840000}"/>
    <cellStyle name="Remarque 3 2 2 2 4 4 6 2 2" xfId="57455" xr:uid="{00000000-0005-0000-0000-000076840000}"/>
    <cellStyle name="Remarque 3 2 2 2 4 4 6 3" xfId="20742" xr:uid="{00000000-0005-0000-0000-000077840000}"/>
    <cellStyle name="Remarque 3 2 2 2 4 4 6 4" xfId="44702" xr:uid="{00000000-0005-0000-0000-000078840000}"/>
    <cellStyle name="Remarque 3 2 2 2 4 4 7" xfId="10938" xr:uid="{00000000-0005-0000-0000-000079840000}"/>
    <cellStyle name="Remarque 3 2 2 2 4 4 7 2" xfId="34948" xr:uid="{00000000-0005-0000-0000-00007A840000}"/>
    <cellStyle name="Remarque 3 2 2 2 4 4 7 2 2" xfId="58908" xr:uid="{00000000-0005-0000-0000-00007B840000}"/>
    <cellStyle name="Remarque 3 2 2 2 4 4 7 3" xfId="22205" xr:uid="{00000000-0005-0000-0000-00007C840000}"/>
    <cellStyle name="Remarque 3 2 2 2 4 4 7 4" xfId="46165" xr:uid="{00000000-0005-0000-0000-00007D840000}"/>
    <cellStyle name="Remarque 3 2 2 2 4 4 8" xfId="12175" xr:uid="{00000000-0005-0000-0000-00007E840000}"/>
    <cellStyle name="Remarque 3 2 2 2 4 4 8 2" xfId="23458" xr:uid="{00000000-0005-0000-0000-00007F840000}"/>
    <cellStyle name="Remarque 3 2 2 2 4 4 8 3" xfId="47418" xr:uid="{00000000-0005-0000-0000-000080840000}"/>
    <cellStyle name="Remarque 3 2 2 2 4 4 9" xfId="2410" xr:uid="{00000000-0005-0000-0000-000081840000}"/>
    <cellStyle name="Remarque 3 2 2 2 4 4 9 2" xfId="26424" xr:uid="{00000000-0005-0000-0000-000082840000}"/>
    <cellStyle name="Remarque 3 2 2 2 4 4 9 3" xfId="50384" xr:uid="{00000000-0005-0000-0000-000083840000}"/>
    <cellStyle name="Remarque 3 2 2 2 4 5" xfId="1167" xr:uid="{00000000-0005-0000-0000-000084840000}"/>
    <cellStyle name="Remarque 3 2 2 2 4 5 10" xfId="25199" xr:uid="{00000000-0005-0000-0000-000085840000}"/>
    <cellStyle name="Remarque 3 2 2 2 4 5 10 2" xfId="49159" xr:uid="{00000000-0005-0000-0000-000086840000}"/>
    <cellStyle name="Remarque 3 2 2 2 4 5 11" xfId="36513" xr:uid="{00000000-0005-0000-0000-000087840000}"/>
    <cellStyle name="Remarque 3 2 2 2 4 5 11 2" xfId="60473" xr:uid="{00000000-0005-0000-0000-000088840000}"/>
    <cellStyle name="Remarque 3 2 2 2 4 5 12" xfId="13864" xr:uid="{00000000-0005-0000-0000-000089840000}"/>
    <cellStyle name="Remarque 3 2 2 2 4 5 13" xfId="37824" xr:uid="{00000000-0005-0000-0000-00008A840000}"/>
    <cellStyle name="Remarque 3 2 2 2 4 5 2" xfId="4073" xr:uid="{00000000-0005-0000-0000-00008B840000}"/>
    <cellStyle name="Remarque 3 2 2 2 4 5 2 2" xfId="28087" xr:uid="{00000000-0005-0000-0000-00008C840000}"/>
    <cellStyle name="Remarque 3 2 2 2 4 5 2 2 2" xfId="52047" xr:uid="{00000000-0005-0000-0000-00008D840000}"/>
    <cellStyle name="Remarque 3 2 2 2 4 5 2 3" xfId="15334" xr:uid="{00000000-0005-0000-0000-00008E840000}"/>
    <cellStyle name="Remarque 3 2 2 2 4 5 2 4" xfId="39294" xr:uid="{00000000-0005-0000-0000-00008F840000}"/>
    <cellStyle name="Remarque 3 2 2 2 4 5 3" xfId="5507" xr:uid="{00000000-0005-0000-0000-000090840000}"/>
    <cellStyle name="Remarque 3 2 2 2 4 5 3 2" xfId="29521" xr:uid="{00000000-0005-0000-0000-000091840000}"/>
    <cellStyle name="Remarque 3 2 2 2 4 5 3 2 2" xfId="53481" xr:uid="{00000000-0005-0000-0000-000092840000}"/>
    <cellStyle name="Remarque 3 2 2 2 4 5 3 3" xfId="16768" xr:uid="{00000000-0005-0000-0000-000093840000}"/>
    <cellStyle name="Remarque 3 2 2 2 4 5 3 4" xfId="40728" xr:uid="{00000000-0005-0000-0000-000094840000}"/>
    <cellStyle name="Remarque 3 2 2 2 4 5 4" xfId="6901" xr:uid="{00000000-0005-0000-0000-000095840000}"/>
    <cellStyle name="Remarque 3 2 2 2 4 5 4 2" xfId="30915" xr:uid="{00000000-0005-0000-0000-000096840000}"/>
    <cellStyle name="Remarque 3 2 2 2 4 5 4 2 2" xfId="54875" xr:uid="{00000000-0005-0000-0000-000097840000}"/>
    <cellStyle name="Remarque 3 2 2 2 4 5 4 3" xfId="18162" xr:uid="{00000000-0005-0000-0000-000098840000}"/>
    <cellStyle name="Remarque 3 2 2 2 4 5 4 4" xfId="42122" xr:uid="{00000000-0005-0000-0000-000099840000}"/>
    <cellStyle name="Remarque 3 2 2 2 4 5 5" xfId="8289" xr:uid="{00000000-0005-0000-0000-00009A840000}"/>
    <cellStyle name="Remarque 3 2 2 2 4 5 5 2" xfId="32303" xr:uid="{00000000-0005-0000-0000-00009B840000}"/>
    <cellStyle name="Remarque 3 2 2 2 4 5 5 2 2" xfId="56263" xr:uid="{00000000-0005-0000-0000-00009C840000}"/>
    <cellStyle name="Remarque 3 2 2 2 4 5 5 3" xfId="19550" xr:uid="{00000000-0005-0000-0000-00009D840000}"/>
    <cellStyle name="Remarque 3 2 2 2 4 5 5 4" xfId="43510" xr:uid="{00000000-0005-0000-0000-00009E840000}"/>
    <cellStyle name="Remarque 3 2 2 2 4 5 6" xfId="9674" xr:uid="{00000000-0005-0000-0000-00009F840000}"/>
    <cellStyle name="Remarque 3 2 2 2 4 5 6 2" xfId="33688" xr:uid="{00000000-0005-0000-0000-0000A0840000}"/>
    <cellStyle name="Remarque 3 2 2 2 4 5 6 2 2" xfId="57648" xr:uid="{00000000-0005-0000-0000-0000A1840000}"/>
    <cellStyle name="Remarque 3 2 2 2 4 5 6 3" xfId="20935" xr:uid="{00000000-0005-0000-0000-0000A2840000}"/>
    <cellStyle name="Remarque 3 2 2 2 4 5 6 4" xfId="44895" xr:uid="{00000000-0005-0000-0000-0000A3840000}"/>
    <cellStyle name="Remarque 3 2 2 2 4 5 7" xfId="11131" xr:uid="{00000000-0005-0000-0000-0000A4840000}"/>
    <cellStyle name="Remarque 3 2 2 2 4 5 7 2" xfId="35141" xr:uid="{00000000-0005-0000-0000-0000A5840000}"/>
    <cellStyle name="Remarque 3 2 2 2 4 5 7 2 2" xfId="59101" xr:uid="{00000000-0005-0000-0000-0000A6840000}"/>
    <cellStyle name="Remarque 3 2 2 2 4 5 7 3" xfId="22398" xr:uid="{00000000-0005-0000-0000-0000A7840000}"/>
    <cellStyle name="Remarque 3 2 2 2 4 5 7 4" xfId="46358" xr:uid="{00000000-0005-0000-0000-0000A8840000}"/>
    <cellStyle name="Remarque 3 2 2 2 4 5 8" xfId="11837" xr:uid="{00000000-0005-0000-0000-0000A9840000}"/>
    <cellStyle name="Remarque 3 2 2 2 4 5 8 2" xfId="23112" xr:uid="{00000000-0005-0000-0000-0000AA840000}"/>
    <cellStyle name="Remarque 3 2 2 2 4 5 8 3" xfId="47072" xr:uid="{00000000-0005-0000-0000-0000AB840000}"/>
    <cellStyle name="Remarque 3 2 2 2 4 5 9" xfId="2603" xr:uid="{00000000-0005-0000-0000-0000AC840000}"/>
    <cellStyle name="Remarque 3 2 2 2 4 5 9 2" xfId="26617" xr:uid="{00000000-0005-0000-0000-0000AD840000}"/>
    <cellStyle name="Remarque 3 2 2 2 4 5 9 3" xfId="50577" xr:uid="{00000000-0005-0000-0000-0000AE840000}"/>
    <cellStyle name="Remarque 3 2 2 2 4 6" xfId="1334" xr:uid="{00000000-0005-0000-0000-0000AF840000}"/>
    <cellStyle name="Remarque 3 2 2 2 4 6 10" xfId="25366" xr:uid="{00000000-0005-0000-0000-0000B0840000}"/>
    <cellStyle name="Remarque 3 2 2 2 4 6 10 2" xfId="49326" xr:uid="{00000000-0005-0000-0000-0000B1840000}"/>
    <cellStyle name="Remarque 3 2 2 2 4 6 11" xfId="36120" xr:uid="{00000000-0005-0000-0000-0000B2840000}"/>
    <cellStyle name="Remarque 3 2 2 2 4 6 11 2" xfId="60080" xr:uid="{00000000-0005-0000-0000-0000B3840000}"/>
    <cellStyle name="Remarque 3 2 2 2 4 6 12" xfId="14031" xr:uid="{00000000-0005-0000-0000-0000B4840000}"/>
    <cellStyle name="Remarque 3 2 2 2 4 6 13" xfId="37991" xr:uid="{00000000-0005-0000-0000-0000B5840000}"/>
    <cellStyle name="Remarque 3 2 2 2 4 6 2" xfId="4240" xr:uid="{00000000-0005-0000-0000-0000B6840000}"/>
    <cellStyle name="Remarque 3 2 2 2 4 6 2 2" xfId="28254" xr:uid="{00000000-0005-0000-0000-0000B7840000}"/>
    <cellStyle name="Remarque 3 2 2 2 4 6 2 2 2" xfId="52214" xr:uid="{00000000-0005-0000-0000-0000B8840000}"/>
    <cellStyle name="Remarque 3 2 2 2 4 6 2 3" xfId="15501" xr:uid="{00000000-0005-0000-0000-0000B9840000}"/>
    <cellStyle name="Remarque 3 2 2 2 4 6 2 4" xfId="39461" xr:uid="{00000000-0005-0000-0000-0000BA840000}"/>
    <cellStyle name="Remarque 3 2 2 2 4 6 3" xfId="5674" xr:uid="{00000000-0005-0000-0000-0000BB840000}"/>
    <cellStyle name="Remarque 3 2 2 2 4 6 3 2" xfId="29688" xr:uid="{00000000-0005-0000-0000-0000BC840000}"/>
    <cellStyle name="Remarque 3 2 2 2 4 6 3 2 2" xfId="53648" xr:uid="{00000000-0005-0000-0000-0000BD840000}"/>
    <cellStyle name="Remarque 3 2 2 2 4 6 3 3" xfId="16935" xr:uid="{00000000-0005-0000-0000-0000BE840000}"/>
    <cellStyle name="Remarque 3 2 2 2 4 6 3 4" xfId="40895" xr:uid="{00000000-0005-0000-0000-0000BF840000}"/>
    <cellStyle name="Remarque 3 2 2 2 4 6 4" xfId="7068" xr:uid="{00000000-0005-0000-0000-0000C0840000}"/>
    <cellStyle name="Remarque 3 2 2 2 4 6 4 2" xfId="31082" xr:uid="{00000000-0005-0000-0000-0000C1840000}"/>
    <cellStyle name="Remarque 3 2 2 2 4 6 4 2 2" xfId="55042" xr:uid="{00000000-0005-0000-0000-0000C2840000}"/>
    <cellStyle name="Remarque 3 2 2 2 4 6 4 3" xfId="18329" xr:uid="{00000000-0005-0000-0000-0000C3840000}"/>
    <cellStyle name="Remarque 3 2 2 2 4 6 4 4" xfId="42289" xr:uid="{00000000-0005-0000-0000-0000C4840000}"/>
    <cellStyle name="Remarque 3 2 2 2 4 6 5" xfId="8456" xr:uid="{00000000-0005-0000-0000-0000C5840000}"/>
    <cellStyle name="Remarque 3 2 2 2 4 6 5 2" xfId="32470" xr:uid="{00000000-0005-0000-0000-0000C6840000}"/>
    <cellStyle name="Remarque 3 2 2 2 4 6 5 2 2" xfId="56430" xr:uid="{00000000-0005-0000-0000-0000C7840000}"/>
    <cellStyle name="Remarque 3 2 2 2 4 6 5 3" xfId="19717" xr:uid="{00000000-0005-0000-0000-0000C8840000}"/>
    <cellStyle name="Remarque 3 2 2 2 4 6 5 4" xfId="43677" xr:uid="{00000000-0005-0000-0000-0000C9840000}"/>
    <cellStyle name="Remarque 3 2 2 2 4 6 6" xfId="9841" xr:uid="{00000000-0005-0000-0000-0000CA840000}"/>
    <cellStyle name="Remarque 3 2 2 2 4 6 6 2" xfId="33855" xr:uid="{00000000-0005-0000-0000-0000CB840000}"/>
    <cellStyle name="Remarque 3 2 2 2 4 6 6 2 2" xfId="57815" xr:uid="{00000000-0005-0000-0000-0000CC840000}"/>
    <cellStyle name="Remarque 3 2 2 2 4 6 6 3" xfId="21102" xr:uid="{00000000-0005-0000-0000-0000CD840000}"/>
    <cellStyle name="Remarque 3 2 2 2 4 6 6 4" xfId="45062" xr:uid="{00000000-0005-0000-0000-0000CE840000}"/>
    <cellStyle name="Remarque 3 2 2 2 4 6 7" xfId="11298" xr:uid="{00000000-0005-0000-0000-0000CF840000}"/>
    <cellStyle name="Remarque 3 2 2 2 4 6 7 2" xfId="35308" xr:uid="{00000000-0005-0000-0000-0000D0840000}"/>
    <cellStyle name="Remarque 3 2 2 2 4 6 7 2 2" xfId="59268" xr:uid="{00000000-0005-0000-0000-0000D1840000}"/>
    <cellStyle name="Remarque 3 2 2 2 4 6 7 3" xfId="22565" xr:uid="{00000000-0005-0000-0000-0000D2840000}"/>
    <cellStyle name="Remarque 3 2 2 2 4 6 7 4" xfId="46525" xr:uid="{00000000-0005-0000-0000-0000D3840000}"/>
    <cellStyle name="Remarque 3 2 2 2 4 6 8" xfId="12341" xr:uid="{00000000-0005-0000-0000-0000D4840000}"/>
    <cellStyle name="Remarque 3 2 2 2 4 6 8 2" xfId="23629" xr:uid="{00000000-0005-0000-0000-0000D5840000}"/>
    <cellStyle name="Remarque 3 2 2 2 4 6 8 3" xfId="47589" xr:uid="{00000000-0005-0000-0000-0000D6840000}"/>
    <cellStyle name="Remarque 3 2 2 2 4 6 9" xfId="2770" xr:uid="{00000000-0005-0000-0000-0000D7840000}"/>
    <cellStyle name="Remarque 3 2 2 2 4 6 9 2" xfId="26784" xr:uid="{00000000-0005-0000-0000-0000D8840000}"/>
    <cellStyle name="Remarque 3 2 2 2 4 6 9 3" xfId="50744" xr:uid="{00000000-0005-0000-0000-0000D9840000}"/>
    <cellStyle name="Remarque 3 2 2 2 4 7" xfId="1503" xr:uid="{00000000-0005-0000-0000-0000DA840000}"/>
    <cellStyle name="Remarque 3 2 2 2 4 7 10" xfId="25535" xr:uid="{00000000-0005-0000-0000-0000DB840000}"/>
    <cellStyle name="Remarque 3 2 2 2 4 7 10 2" xfId="49495" xr:uid="{00000000-0005-0000-0000-0000DC840000}"/>
    <cellStyle name="Remarque 3 2 2 2 4 7 11" xfId="36016" xr:uid="{00000000-0005-0000-0000-0000DD840000}"/>
    <cellStyle name="Remarque 3 2 2 2 4 7 11 2" xfId="59976" xr:uid="{00000000-0005-0000-0000-0000DE840000}"/>
    <cellStyle name="Remarque 3 2 2 2 4 7 12" xfId="14200" xr:uid="{00000000-0005-0000-0000-0000DF840000}"/>
    <cellStyle name="Remarque 3 2 2 2 4 7 13" xfId="38160" xr:uid="{00000000-0005-0000-0000-0000E0840000}"/>
    <cellStyle name="Remarque 3 2 2 2 4 7 2" xfId="4409" xr:uid="{00000000-0005-0000-0000-0000E1840000}"/>
    <cellStyle name="Remarque 3 2 2 2 4 7 2 2" xfId="28423" xr:uid="{00000000-0005-0000-0000-0000E2840000}"/>
    <cellStyle name="Remarque 3 2 2 2 4 7 2 2 2" xfId="52383" xr:uid="{00000000-0005-0000-0000-0000E3840000}"/>
    <cellStyle name="Remarque 3 2 2 2 4 7 2 3" xfId="15670" xr:uid="{00000000-0005-0000-0000-0000E4840000}"/>
    <cellStyle name="Remarque 3 2 2 2 4 7 2 4" xfId="39630" xr:uid="{00000000-0005-0000-0000-0000E5840000}"/>
    <cellStyle name="Remarque 3 2 2 2 4 7 3" xfId="5843" xr:uid="{00000000-0005-0000-0000-0000E6840000}"/>
    <cellStyle name="Remarque 3 2 2 2 4 7 3 2" xfId="29857" xr:uid="{00000000-0005-0000-0000-0000E7840000}"/>
    <cellStyle name="Remarque 3 2 2 2 4 7 3 2 2" xfId="53817" xr:uid="{00000000-0005-0000-0000-0000E8840000}"/>
    <cellStyle name="Remarque 3 2 2 2 4 7 3 3" xfId="17104" xr:uid="{00000000-0005-0000-0000-0000E9840000}"/>
    <cellStyle name="Remarque 3 2 2 2 4 7 3 4" xfId="41064" xr:uid="{00000000-0005-0000-0000-0000EA840000}"/>
    <cellStyle name="Remarque 3 2 2 2 4 7 4" xfId="7237" xr:uid="{00000000-0005-0000-0000-0000EB840000}"/>
    <cellStyle name="Remarque 3 2 2 2 4 7 4 2" xfId="31251" xr:uid="{00000000-0005-0000-0000-0000EC840000}"/>
    <cellStyle name="Remarque 3 2 2 2 4 7 4 2 2" xfId="55211" xr:uid="{00000000-0005-0000-0000-0000ED840000}"/>
    <cellStyle name="Remarque 3 2 2 2 4 7 4 3" xfId="18498" xr:uid="{00000000-0005-0000-0000-0000EE840000}"/>
    <cellStyle name="Remarque 3 2 2 2 4 7 4 4" xfId="42458" xr:uid="{00000000-0005-0000-0000-0000EF840000}"/>
    <cellStyle name="Remarque 3 2 2 2 4 7 5" xfId="8625" xr:uid="{00000000-0005-0000-0000-0000F0840000}"/>
    <cellStyle name="Remarque 3 2 2 2 4 7 5 2" xfId="32639" xr:uid="{00000000-0005-0000-0000-0000F1840000}"/>
    <cellStyle name="Remarque 3 2 2 2 4 7 5 2 2" xfId="56599" xr:uid="{00000000-0005-0000-0000-0000F2840000}"/>
    <cellStyle name="Remarque 3 2 2 2 4 7 5 3" xfId="19886" xr:uid="{00000000-0005-0000-0000-0000F3840000}"/>
    <cellStyle name="Remarque 3 2 2 2 4 7 5 4" xfId="43846" xr:uid="{00000000-0005-0000-0000-0000F4840000}"/>
    <cellStyle name="Remarque 3 2 2 2 4 7 6" xfId="10010" xr:uid="{00000000-0005-0000-0000-0000F5840000}"/>
    <cellStyle name="Remarque 3 2 2 2 4 7 6 2" xfId="34024" xr:uid="{00000000-0005-0000-0000-0000F6840000}"/>
    <cellStyle name="Remarque 3 2 2 2 4 7 6 2 2" xfId="57984" xr:uid="{00000000-0005-0000-0000-0000F7840000}"/>
    <cellStyle name="Remarque 3 2 2 2 4 7 6 3" xfId="21271" xr:uid="{00000000-0005-0000-0000-0000F8840000}"/>
    <cellStyle name="Remarque 3 2 2 2 4 7 6 4" xfId="45231" xr:uid="{00000000-0005-0000-0000-0000F9840000}"/>
    <cellStyle name="Remarque 3 2 2 2 4 7 7" xfId="11467" xr:uid="{00000000-0005-0000-0000-0000FA840000}"/>
    <cellStyle name="Remarque 3 2 2 2 4 7 7 2" xfId="35477" xr:uid="{00000000-0005-0000-0000-0000FB840000}"/>
    <cellStyle name="Remarque 3 2 2 2 4 7 7 2 2" xfId="59437" xr:uid="{00000000-0005-0000-0000-0000FC840000}"/>
    <cellStyle name="Remarque 3 2 2 2 4 7 7 3" xfId="22734" xr:uid="{00000000-0005-0000-0000-0000FD840000}"/>
    <cellStyle name="Remarque 3 2 2 2 4 7 7 4" xfId="46694" xr:uid="{00000000-0005-0000-0000-0000FE840000}"/>
    <cellStyle name="Remarque 3 2 2 2 4 7 8" xfId="12762" xr:uid="{00000000-0005-0000-0000-0000FF840000}"/>
    <cellStyle name="Remarque 3 2 2 2 4 7 8 2" xfId="24069" xr:uid="{00000000-0005-0000-0000-000000850000}"/>
    <cellStyle name="Remarque 3 2 2 2 4 7 8 3" xfId="48029" xr:uid="{00000000-0005-0000-0000-000001850000}"/>
    <cellStyle name="Remarque 3 2 2 2 4 7 9" xfId="2939" xr:uid="{00000000-0005-0000-0000-000002850000}"/>
    <cellStyle name="Remarque 3 2 2 2 4 7 9 2" xfId="26953" xr:uid="{00000000-0005-0000-0000-000003850000}"/>
    <cellStyle name="Remarque 3 2 2 2 4 7 9 3" xfId="50913" xr:uid="{00000000-0005-0000-0000-000004850000}"/>
    <cellStyle name="Remarque 3 2 2 2 4 8" xfId="3358" xr:uid="{00000000-0005-0000-0000-000005850000}"/>
    <cellStyle name="Remarque 3 2 2 2 4 8 2" xfId="27372" xr:uid="{00000000-0005-0000-0000-000006850000}"/>
    <cellStyle name="Remarque 3 2 2 2 4 8 2 2" xfId="51332" xr:uid="{00000000-0005-0000-0000-000007850000}"/>
    <cellStyle name="Remarque 3 2 2 2 4 8 3" xfId="14619" xr:uid="{00000000-0005-0000-0000-000008850000}"/>
    <cellStyle name="Remarque 3 2 2 2 4 8 4" xfId="38579" xr:uid="{00000000-0005-0000-0000-000009850000}"/>
    <cellStyle name="Remarque 3 2 2 2 4 9" xfId="4792" xr:uid="{00000000-0005-0000-0000-00000A850000}"/>
    <cellStyle name="Remarque 3 2 2 2 4 9 2" xfId="28806" xr:uid="{00000000-0005-0000-0000-00000B850000}"/>
    <cellStyle name="Remarque 3 2 2 2 4 9 2 2" xfId="52766" xr:uid="{00000000-0005-0000-0000-00000C850000}"/>
    <cellStyle name="Remarque 3 2 2 2 4 9 3" xfId="16053" xr:uid="{00000000-0005-0000-0000-00000D850000}"/>
    <cellStyle name="Remarque 3 2 2 2 4 9 4" xfId="40013" xr:uid="{00000000-0005-0000-0000-00000E850000}"/>
    <cellStyle name="Remarque 3 2 2 2 5" xfId="295" xr:uid="{00000000-0005-0000-0000-00000F850000}"/>
    <cellStyle name="Remarque 3 2 2 2 5 10" xfId="24327" xr:uid="{00000000-0005-0000-0000-000010850000}"/>
    <cellStyle name="Remarque 3 2 2 2 5 10 2" xfId="48287" xr:uid="{00000000-0005-0000-0000-000011850000}"/>
    <cellStyle name="Remarque 3 2 2 2 5 11" xfId="36416" xr:uid="{00000000-0005-0000-0000-000012850000}"/>
    <cellStyle name="Remarque 3 2 2 2 5 11 2" xfId="60376" xr:uid="{00000000-0005-0000-0000-000013850000}"/>
    <cellStyle name="Remarque 3 2 2 2 5 12" xfId="12992" xr:uid="{00000000-0005-0000-0000-000014850000}"/>
    <cellStyle name="Remarque 3 2 2 2 5 13" xfId="36952" xr:uid="{00000000-0005-0000-0000-000015850000}"/>
    <cellStyle name="Remarque 3 2 2 2 5 2" xfId="3201" xr:uid="{00000000-0005-0000-0000-000016850000}"/>
    <cellStyle name="Remarque 3 2 2 2 5 2 2" xfId="27215" xr:uid="{00000000-0005-0000-0000-000017850000}"/>
    <cellStyle name="Remarque 3 2 2 2 5 2 2 2" xfId="51175" xr:uid="{00000000-0005-0000-0000-000018850000}"/>
    <cellStyle name="Remarque 3 2 2 2 5 2 3" xfId="14462" xr:uid="{00000000-0005-0000-0000-000019850000}"/>
    <cellStyle name="Remarque 3 2 2 2 5 2 4" xfId="38422" xr:uid="{00000000-0005-0000-0000-00001A850000}"/>
    <cellStyle name="Remarque 3 2 2 2 5 3" xfId="4635" xr:uid="{00000000-0005-0000-0000-00001B850000}"/>
    <cellStyle name="Remarque 3 2 2 2 5 3 2" xfId="28649" xr:uid="{00000000-0005-0000-0000-00001C850000}"/>
    <cellStyle name="Remarque 3 2 2 2 5 3 2 2" xfId="52609" xr:uid="{00000000-0005-0000-0000-00001D850000}"/>
    <cellStyle name="Remarque 3 2 2 2 5 3 3" xfId="15896" xr:uid="{00000000-0005-0000-0000-00001E850000}"/>
    <cellStyle name="Remarque 3 2 2 2 5 3 4" xfId="39856" xr:uid="{00000000-0005-0000-0000-00001F850000}"/>
    <cellStyle name="Remarque 3 2 2 2 5 4" xfId="6029" xr:uid="{00000000-0005-0000-0000-000020850000}"/>
    <cellStyle name="Remarque 3 2 2 2 5 4 2" xfId="30043" xr:uid="{00000000-0005-0000-0000-000021850000}"/>
    <cellStyle name="Remarque 3 2 2 2 5 4 2 2" xfId="54003" xr:uid="{00000000-0005-0000-0000-000022850000}"/>
    <cellStyle name="Remarque 3 2 2 2 5 4 3" xfId="17290" xr:uid="{00000000-0005-0000-0000-000023850000}"/>
    <cellStyle name="Remarque 3 2 2 2 5 4 4" xfId="41250" xr:uid="{00000000-0005-0000-0000-000024850000}"/>
    <cellStyle name="Remarque 3 2 2 2 5 5" xfId="7417" xr:uid="{00000000-0005-0000-0000-000025850000}"/>
    <cellStyle name="Remarque 3 2 2 2 5 5 2" xfId="31431" xr:uid="{00000000-0005-0000-0000-000026850000}"/>
    <cellStyle name="Remarque 3 2 2 2 5 5 2 2" xfId="55391" xr:uid="{00000000-0005-0000-0000-000027850000}"/>
    <cellStyle name="Remarque 3 2 2 2 5 5 3" xfId="18678" xr:uid="{00000000-0005-0000-0000-000028850000}"/>
    <cellStyle name="Remarque 3 2 2 2 5 5 4" xfId="42638" xr:uid="{00000000-0005-0000-0000-000029850000}"/>
    <cellStyle name="Remarque 3 2 2 2 5 6" xfId="8802" xr:uid="{00000000-0005-0000-0000-00002A850000}"/>
    <cellStyle name="Remarque 3 2 2 2 5 6 2" xfId="32816" xr:uid="{00000000-0005-0000-0000-00002B850000}"/>
    <cellStyle name="Remarque 3 2 2 2 5 6 2 2" xfId="56776" xr:uid="{00000000-0005-0000-0000-00002C850000}"/>
    <cellStyle name="Remarque 3 2 2 2 5 6 3" xfId="20063" xr:uid="{00000000-0005-0000-0000-00002D850000}"/>
    <cellStyle name="Remarque 3 2 2 2 5 6 4" xfId="44023" xr:uid="{00000000-0005-0000-0000-00002E850000}"/>
    <cellStyle name="Remarque 3 2 2 2 5 7" xfId="10259" xr:uid="{00000000-0005-0000-0000-00002F850000}"/>
    <cellStyle name="Remarque 3 2 2 2 5 7 2" xfId="34269" xr:uid="{00000000-0005-0000-0000-000030850000}"/>
    <cellStyle name="Remarque 3 2 2 2 5 7 2 2" xfId="58229" xr:uid="{00000000-0005-0000-0000-000031850000}"/>
    <cellStyle name="Remarque 3 2 2 2 5 7 3" xfId="21526" xr:uid="{00000000-0005-0000-0000-000032850000}"/>
    <cellStyle name="Remarque 3 2 2 2 5 7 4" xfId="45486" xr:uid="{00000000-0005-0000-0000-000033850000}"/>
    <cellStyle name="Remarque 3 2 2 2 5 8" xfId="12804" xr:uid="{00000000-0005-0000-0000-000034850000}"/>
    <cellStyle name="Remarque 3 2 2 2 5 8 2" xfId="24115" xr:uid="{00000000-0005-0000-0000-000035850000}"/>
    <cellStyle name="Remarque 3 2 2 2 5 8 3" xfId="48075" xr:uid="{00000000-0005-0000-0000-000036850000}"/>
    <cellStyle name="Remarque 3 2 2 2 5 9" xfId="1731" xr:uid="{00000000-0005-0000-0000-000037850000}"/>
    <cellStyle name="Remarque 3 2 2 2 5 9 2" xfId="25745" xr:uid="{00000000-0005-0000-0000-000038850000}"/>
    <cellStyle name="Remarque 3 2 2 2 5 9 3" xfId="49705" xr:uid="{00000000-0005-0000-0000-000039850000}"/>
    <cellStyle name="Remarque 3 2 2 2 6" xfId="645" xr:uid="{00000000-0005-0000-0000-00003A850000}"/>
    <cellStyle name="Remarque 3 2 2 2 6 10" xfId="24677" xr:uid="{00000000-0005-0000-0000-00003B850000}"/>
    <cellStyle name="Remarque 3 2 2 2 6 10 2" xfId="48637" xr:uid="{00000000-0005-0000-0000-00003C850000}"/>
    <cellStyle name="Remarque 3 2 2 2 6 11" xfId="35860" xr:uid="{00000000-0005-0000-0000-00003D850000}"/>
    <cellStyle name="Remarque 3 2 2 2 6 11 2" xfId="59820" xr:uid="{00000000-0005-0000-0000-00003E850000}"/>
    <cellStyle name="Remarque 3 2 2 2 6 12" xfId="13342" xr:uid="{00000000-0005-0000-0000-00003F850000}"/>
    <cellStyle name="Remarque 3 2 2 2 6 13" xfId="37302" xr:uid="{00000000-0005-0000-0000-000040850000}"/>
    <cellStyle name="Remarque 3 2 2 2 6 2" xfId="3551" xr:uid="{00000000-0005-0000-0000-000041850000}"/>
    <cellStyle name="Remarque 3 2 2 2 6 2 2" xfId="27565" xr:uid="{00000000-0005-0000-0000-000042850000}"/>
    <cellStyle name="Remarque 3 2 2 2 6 2 2 2" xfId="51525" xr:uid="{00000000-0005-0000-0000-000043850000}"/>
    <cellStyle name="Remarque 3 2 2 2 6 2 3" xfId="14812" xr:uid="{00000000-0005-0000-0000-000044850000}"/>
    <cellStyle name="Remarque 3 2 2 2 6 2 4" xfId="38772" xr:uid="{00000000-0005-0000-0000-000045850000}"/>
    <cellStyle name="Remarque 3 2 2 2 6 3" xfId="4985" xr:uid="{00000000-0005-0000-0000-000046850000}"/>
    <cellStyle name="Remarque 3 2 2 2 6 3 2" xfId="28999" xr:uid="{00000000-0005-0000-0000-000047850000}"/>
    <cellStyle name="Remarque 3 2 2 2 6 3 2 2" xfId="52959" xr:uid="{00000000-0005-0000-0000-000048850000}"/>
    <cellStyle name="Remarque 3 2 2 2 6 3 3" xfId="16246" xr:uid="{00000000-0005-0000-0000-000049850000}"/>
    <cellStyle name="Remarque 3 2 2 2 6 3 4" xfId="40206" xr:uid="{00000000-0005-0000-0000-00004A850000}"/>
    <cellStyle name="Remarque 3 2 2 2 6 4" xfId="6379" xr:uid="{00000000-0005-0000-0000-00004B850000}"/>
    <cellStyle name="Remarque 3 2 2 2 6 4 2" xfId="30393" xr:uid="{00000000-0005-0000-0000-00004C850000}"/>
    <cellStyle name="Remarque 3 2 2 2 6 4 2 2" xfId="54353" xr:uid="{00000000-0005-0000-0000-00004D850000}"/>
    <cellStyle name="Remarque 3 2 2 2 6 4 3" xfId="17640" xr:uid="{00000000-0005-0000-0000-00004E850000}"/>
    <cellStyle name="Remarque 3 2 2 2 6 4 4" xfId="41600" xr:uid="{00000000-0005-0000-0000-00004F850000}"/>
    <cellStyle name="Remarque 3 2 2 2 6 5" xfId="7767" xr:uid="{00000000-0005-0000-0000-000050850000}"/>
    <cellStyle name="Remarque 3 2 2 2 6 5 2" xfId="31781" xr:uid="{00000000-0005-0000-0000-000051850000}"/>
    <cellStyle name="Remarque 3 2 2 2 6 5 2 2" xfId="55741" xr:uid="{00000000-0005-0000-0000-000052850000}"/>
    <cellStyle name="Remarque 3 2 2 2 6 5 3" xfId="19028" xr:uid="{00000000-0005-0000-0000-000053850000}"/>
    <cellStyle name="Remarque 3 2 2 2 6 5 4" xfId="42988" xr:uid="{00000000-0005-0000-0000-000054850000}"/>
    <cellStyle name="Remarque 3 2 2 2 6 6" xfId="9152" xr:uid="{00000000-0005-0000-0000-000055850000}"/>
    <cellStyle name="Remarque 3 2 2 2 6 6 2" xfId="33166" xr:uid="{00000000-0005-0000-0000-000056850000}"/>
    <cellStyle name="Remarque 3 2 2 2 6 6 2 2" xfId="57126" xr:uid="{00000000-0005-0000-0000-000057850000}"/>
    <cellStyle name="Remarque 3 2 2 2 6 6 3" xfId="20413" xr:uid="{00000000-0005-0000-0000-000058850000}"/>
    <cellStyle name="Remarque 3 2 2 2 6 6 4" xfId="44373" xr:uid="{00000000-0005-0000-0000-000059850000}"/>
    <cellStyle name="Remarque 3 2 2 2 6 7" xfId="10609" xr:uid="{00000000-0005-0000-0000-00005A850000}"/>
    <cellStyle name="Remarque 3 2 2 2 6 7 2" xfId="34619" xr:uid="{00000000-0005-0000-0000-00005B850000}"/>
    <cellStyle name="Remarque 3 2 2 2 6 7 2 2" xfId="58579" xr:uid="{00000000-0005-0000-0000-00005C850000}"/>
    <cellStyle name="Remarque 3 2 2 2 6 7 3" xfId="21876" xr:uid="{00000000-0005-0000-0000-00005D850000}"/>
    <cellStyle name="Remarque 3 2 2 2 6 7 4" xfId="45836" xr:uid="{00000000-0005-0000-0000-00005E850000}"/>
    <cellStyle name="Remarque 3 2 2 2 6 8" xfId="11833" xr:uid="{00000000-0005-0000-0000-00005F850000}"/>
    <cellStyle name="Remarque 3 2 2 2 6 8 2" xfId="23107" xr:uid="{00000000-0005-0000-0000-000060850000}"/>
    <cellStyle name="Remarque 3 2 2 2 6 8 3" xfId="47067" xr:uid="{00000000-0005-0000-0000-000061850000}"/>
    <cellStyle name="Remarque 3 2 2 2 6 9" xfId="2081" xr:uid="{00000000-0005-0000-0000-000062850000}"/>
    <cellStyle name="Remarque 3 2 2 2 6 9 2" xfId="26095" xr:uid="{00000000-0005-0000-0000-000063850000}"/>
    <cellStyle name="Remarque 3 2 2 2 6 9 3" xfId="50055" xr:uid="{00000000-0005-0000-0000-000064850000}"/>
    <cellStyle name="Remarque 3 2 2 2 7" xfId="839" xr:uid="{00000000-0005-0000-0000-000065850000}"/>
    <cellStyle name="Remarque 3 2 2 2 7 10" xfId="24871" xr:uid="{00000000-0005-0000-0000-000066850000}"/>
    <cellStyle name="Remarque 3 2 2 2 7 10 2" xfId="48831" xr:uid="{00000000-0005-0000-0000-000067850000}"/>
    <cellStyle name="Remarque 3 2 2 2 7 11" xfId="35913" xr:uid="{00000000-0005-0000-0000-000068850000}"/>
    <cellStyle name="Remarque 3 2 2 2 7 11 2" xfId="59873" xr:uid="{00000000-0005-0000-0000-000069850000}"/>
    <cellStyle name="Remarque 3 2 2 2 7 12" xfId="13536" xr:uid="{00000000-0005-0000-0000-00006A850000}"/>
    <cellStyle name="Remarque 3 2 2 2 7 13" xfId="37496" xr:uid="{00000000-0005-0000-0000-00006B850000}"/>
    <cellStyle name="Remarque 3 2 2 2 7 2" xfId="3745" xr:uid="{00000000-0005-0000-0000-00006C850000}"/>
    <cellStyle name="Remarque 3 2 2 2 7 2 2" xfId="27759" xr:uid="{00000000-0005-0000-0000-00006D850000}"/>
    <cellStyle name="Remarque 3 2 2 2 7 2 2 2" xfId="51719" xr:uid="{00000000-0005-0000-0000-00006E850000}"/>
    <cellStyle name="Remarque 3 2 2 2 7 2 3" xfId="15006" xr:uid="{00000000-0005-0000-0000-00006F850000}"/>
    <cellStyle name="Remarque 3 2 2 2 7 2 4" xfId="38966" xr:uid="{00000000-0005-0000-0000-000070850000}"/>
    <cellStyle name="Remarque 3 2 2 2 7 3" xfId="5179" xr:uid="{00000000-0005-0000-0000-000071850000}"/>
    <cellStyle name="Remarque 3 2 2 2 7 3 2" xfId="29193" xr:uid="{00000000-0005-0000-0000-000072850000}"/>
    <cellStyle name="Remarque 3 2 2 2 7 3 2 2" xfId="53153" xr:uid="{00000000-0005-0000-0000-000073850000}"/>
    <cellStyle name="Remarque 3 2 2 2 7 3 3" xfId="16440" xr:uid="{00000000-0005-0000-0000-000074850000}"/>
    <cellStyle name="Remarque 3 2 2 2 7 3 4" xfId="40400" xr:uid="{00000000-0005-0000-0000-000075850000}"/>
    <cellStyle name="Remarque 3 2 2 2 7 4" xfId="6573" xr:uid="{00000000-0005-0000-0000-000076850000}"/>
    <cellStyle name="Remarque 3 2 2 2 7 4 2" xfId="30587" xr:uid="{00000000-0005-0000-0000-000077850000}"/>
    <cellStyle name="Remarque 3 2 2 2 7 4 2 2" xfId="54547" xr:uid="{00000000-0005-0000-0000-000078850000}"/>
    <cellStyle name="Remarque 3 2 2 2 7 4 3" xfId="17834" xr:uid="{00000000-0005-0000-0000-000079850000}"/>
    <cellStyle name="Remarque 3 2 2 2 7 4 4" xfId="41794" xr:uid="{00000000-0005-0000-0000-00007A850000}"/>
    <cellStyle name="Remarque 3 2 2 2 7 5" xfId="7961" xr:uid="{00000000-0005-0000-0000-00007B850000}"/>
    <cellStyle name="Remarque 3 2 2 2 7 5 2" xfId="31975" xr:uid="{00000000-0005-0000-0000-00007C850000}"/>
    <cellStyle name="Remarque 3 2 2 2 7 5 2 2" xfId="55935" xr:uid="{00000000-0005-0000-0000-00007D850000}"/>
    <cellStyle name="Remarque 3 2 2 2 7 5 3" xfId="19222" xr:uid="{00000000-0005-0000-0000-00007E850000}"/>
    <cellStyle name="Remarque 3 2 2 2 7 5 4" xfId="43182" xr:uid="{00000000-0005-0000-0000-00007F850000}"/>
    <cellStyle name="Remarque 3 2 2 2 7 6" xfId="9346" xr:uid="{00000000-0005-0000-0000-000080850000}"/>
    <cellStyle name="Remarque 3 2 2 2 7 6 2" xfId="33360" xr:uid="{00000000-0005-0000-0000-000081850000}"/>
    <cellStyle name="Remarque 3 2 2 2 7 6 2 2" xfId="57320" xr:uid="{00000000-0005-0000-0000-000082850000}"/>
    <cellStyle name="Remarque 3 2 2 2 7 6 3" xfId="20607" xr:uid="{00000000-0005-0000-0000-000083850000}"/>
    <cellStyle name="Remarque 3 2 2 2 7 6 4" xfId="44567" xr:uid="{00000000-0005-0000-0000-000084850000}"/>
    <cellStyle name="Remarque 3 2 2 2 7 7" xfId="10803" xr:uid="{00000000-0005-0000-0000-000085850000}"/>
    <cellStyle name="Remarque 3 2 2 2 7 7 2" xfId="34813" xr:uid="{00000000-0005-0000-0000-000086850000}"/>
    <cellStyle name="Remarque 3 2 2 2 7 7 2 2" xfId="58773" xr:uid="{00000000-0005-0000-0000-000087850000}"/>
    <cellStyle name="Remarque 3 2 2 2 7 7 3" xfId="22070" xr:uid="{00000000-0005-0000-0000-000088850000}"/>
    <cellStyle name="Remarque 3 2 2 2 7 7 4" xfId="46030" xr:uid="{00000000-0005-0000-0000-000089850000}"/>
    <cellStyle name="Remarque 3 2 2 2 7 8" xfId="12616" xr:uid="{00000000-0005-0000-0000-00008A850000}"/>
    <cellStyle name="Remarque 3 2 2 2 7 8 2" xfId="23918" xr:uid="{00000000-0005-0000-0000-00008B850000}"/>
    <cellStyle name="Remarque 3 2 2 2 7 8 3" xfId="47878" xr:uid="{00000000-0005-0000-0000-00008C850000}"/>
    <cellStyle name="Remarque 3 2 2 2 7 9" xfId="2275" xr:uid="{00000000-0005-0000-0000-00008D850000}"/>
    <cellStyle name="Remarque 3 2 2 2 7 9 2" xfId="26289" xr:uid="{00000000-0005-0000-0000-00008E850000}"/>
    <cellStyle name="Remarque 3 2 2 2 7 9 3" xfId="50249" xr:uid="{00000000-0005-0000-0000-00008F850000}"/>
    <cellStyle name="Remarque 3 2 2 2 8" xfId="1032" xr:uid="{00000000-0005-0000-0000-000090850000}"/>
    <cellStyle name="Remarque 3 2 2 2 8 10" xfId="25064" xr:uid="{00000000-0005-0000-0000-000091850000}"/>
    <cellStyle name="Remarque 3 2 2 2 8 10 2" xfId="49024" xr:uid="{00000000-0005-0000-0000-000092850000}"/>
    <cellStyle name="Remarque 3 2 2 2 8 11" xfId="35858" xr:uid="{00000000-0005-0000-0000-000093850000}"/>
    <cellStyle name="Remarque 3 2 2 2 8 11 2" xfId="59818" xr:uid="{00000000-0005-0000-0000-000094850000}"/>
    <cellStyle name="Remarque 3 2 2 2 8 12" xfId="13729" xr:uid="{00000000-0005-0000-0000-000095850000}"/>
    <cellStyle name="Remarque 3 2 2 2 8 13" xfId="37689" xr:uid="{00000000-0005-0000-0000-000096850000}"/>
    <cellStyle name="Remarque 3 2 2 2 8 2" xfId="3938" xr:uid="{00000000-0005-0000-0000-000097850000}"/>
    <cellStyle name="Remarque 3 2 2 2 8 2 2" xfId="27952" xr:uid="{00000000-0005-0000-0000-000098850000}"/>
    <cellStyle name="Remarque 3 2 2 2 8 2 2 2" xfId="51912" xr:uid="{00000000-0005-0000-0000-000099850000}"/>
    <cellStyle name="Remarque 3 2 2 2 8 2 3" xfId="15199" xr:uid="{00000000-0005-0000-0000-00009A850000}"/>
    <cellStyle name="Remarque 3 2 2 2 8 2 4" xfId="39159" xr:uid="{00000000-0005-0000-0000-00009B850000}"/>
    <cellStyle name="Remarque 3 2 2 2 8 3" xfId="5372" xr:uid="{00000000-0005-0000-0000-00009C850000}"/>
    <cellStyle name="Remarque 3 2 2 2 8 3 2" xfId="29386" xr:uid="{00000000-0005-0000-0000-00009D850000}"/>
    <cellStyle name="Remarque 3 2 2 2 8 3 2 2" xfId="53346" xr:uid="{00000000-0005-0000-0000-00009E850000}"/>
    <cellStyle name="Remarque 3 2 2 2 8 3 3" xfId="16633" xr:uid="{00000000-0005-0000-0000-00009F850000}"/>
    <cellStyle name="Remarque 3 2 2 2 8 3 4" xfId="40593" xr:uid="{00000000-0005-0000-0000-0000A0850000}"/>
    <cellStyle name="Remarque 3 2 2 2 8 4" xfId="6766" xr:uid="{00000000-0005-0000-0000-0000A1850000}"/>
    <cellStyle name="Remarque 3 2 2 2 8 4 2" xfId="30780" xr:uid="{00000000-0005-0000-0000-0000A2850000}"/>
    <cellStyle name="Remarque 3 2 2 2 8 4 2 2" xfId="54740" xr:uid="{00000000-0005-0000-0000-0000A3850000}"/>
    <cellStyle name="Remarque 3 2 2 2 8 4 3" xfId="18027" xr:uid="{00000000-0005-0000-0000-0000A4850000}"/>
    <cellStyle name="Remarque 3 2 2 2 8 4 4" xfId="41987" xr:uid="{00000000-0005-0000-0000-0000A5850000}"/>
    <cellStyle name="Remarque 3 2 2 2 8 5" xfId="8154" xr:uid="{00000000-0005-0000-0000-0000A6850000}"/>
    <cellStyle name="Remarque 3 2 2 2 8 5 2" xfId="32168" xr:uid="{00000000-0005-0000-0000-0000A7850000}"/>
    <cellStyle name="Remarque 3 2 2 2 8 5 2 2" xfId="56128" xr:uid="{00000000-0005-0000-0000-0000A8850000}"/>
    <cellStyle name="Remarque 3 2 2 2 8 5 3" xfId="19415" xr:uid="{00000000-0005-0000-0000-0000A9850000}"/>
    <cellStyle name="Remarque 3 2 2 2 8 5 4" xfId="43375" xr:uid="{00000000-0005-0000-0000-0000AA850000}"/>
    <cellStyle name="Remarque 3 2 2 2 8 6" xfId="9539" xr:uid="{00000000-0005-0000-0000-0000AB850000}"/>
    <cellStyle name="Remarque 3 2 2 2 8 6 2" xfId="33553" xr:uid="{00000000-0005-0000-0000-0000AC850000}"/>
    <cellStyle name="Remarque 3 2 2 2 8 6 2 2" xfId="57513" xr:uid="{00000000-0005-0000-0000-0000AD850000}"/>
    <cellStyle name="Remarque 3 2 2 2 8 6 3" xfId="20800" xr:uid="{00000000-0005-0000-0000-0000AE850000}"/>
    <cellStyle name="Remarque 3 2 2 2 8 6 4" xfId="44760" xr:uid="{00000000-0005-0000-0000-0000AF850000}"/>
    <cellStyle name="Remarque 3 2 2 2 8 7" xfId="10996" xr:uid="{00000000-0005-0000-0000-0000B0850000}"/>
    <cellStyle name="Remarque 3 2 2 2 8 7 2" xfId="35006" xr:uid="{00000000-0005-0000-0000-0000B1850000}"/>
    <cellStyle name="Remarque 3 2 2 2 8 7 2 2" xfId="58966" xr:uid="{00000000-0005-0000-0000-0000B2850000}"/>
    <cellStyle name="Remarque 3 2 2 2 8 7 3" xfId="22263" xr:uid="{00000000-0005-0000-0000-0000B3850000}"/>
    <cellStyle name="Remarque 3 2 2 2 8 7 4" xfId="46223" xr:uid="{00000000-0005-0000-0000-0000B4850000}"/>
    <cellStyle name="Remarque 3 2 2 2 8 8" xfId="12209" xr:uid="{00000000-0005-0000-0000-0000B5850000}"/>
    <cellStyle name="Remarque 3 2 2 2 8 8 2" xfId="23493" xr:uid="{00000000-0005-0000-0000-0000B6850000}"/>
    <cellStyle name="Remarque 3 2 2 2 8 8 3" xfId="47453" xr:uid="{00000000-0005-0000-0000-0000B7850000}"/>
    <cellStyle name="Remarque 3 2 2 2 8 9" xfId="2468" xr:uid="{00000000-0005-0000-0000-0000B8850000}"/>
    <cellStyle name="Remarque 3 2 2 2 8 9 2" xfId="26482" xr:uid="{00000000-0005-0000-0000-0000B9850000}"/>
    <cellStyle name="Remarque 3 2 2 2 8 9 3" xfId="50442" xr:uid="{00000000-0005-0000-0000-0000BA850000}"/>
    <cellStyle name="Remarque 3 2 2 2 9" xfId="1218" xr:uid="{00000000-0005-0000-0000-0000BB850000}"/>
    <cellStyle name="Remarque 3 2 2 2 9 10" xfId="25250" xr:uid="{00000000-0005-0000-0000-0000BC850000}"/>
    <cellStyle name="Remarque 3 2 2 2 9 10 2" xfId="49210" xr:uid="{00000000-0005-0000-0000-0000BD850000}"/>
    <cellStyle name="Remarque 3 2 2 2 9 11" xfId="36570" xr:uid="{00000000-0005-0000-0000-0000BE850000}"/>
    <cellStyle name="Remarque 3 2 2 2 9 11 2" xfId="60530" xr:uid="{00000000-0005-0000-0000-0000BF850000}"/>
    <cellStyle name="Remarque 3 2 2 2 9 12" xfId="13915" xr:uid="{00000000-0005-0000-0000-0000C0850000}"/>
    <cellStyle name="Remarque 3 2 2 2 9 13" xfId="37875" xr:uid="{00000000-0005-0000-0000-0000C1850000}"/>
    <cellStyle name="Remarque 3 2 2 2 9 2" xfId="4124" xr:uid="{00000000-0005-0000-0000-0000C2850000}"/>
    <cellStyle name="Remarque 3 2 2 2 9 2 2" xfId="28138" xr:uid="{00000000-0005-0000-0000-0000C3850000}"/>
    <cellStyle name="Remarque 3 2 2 2 9 2 2 2" xfId="52098" xr:uid="{00000000-0005-0000-0000-0000C4850000}"/>
    <cellStyle name="Remarque 3 2 2 2 9 2 3" xfId="15385" xr:uid="{00000000-0005-0000-0000-0000C5850000}"/>
    <cellStyle name="Remarque 3 2 2 2 9 2 4" xfId="39345" xr:uid="{00000000-0005-0000-0000-0000C6850000}"/>
    <cellStyle name="Remarque 3 2 2 2 9 3" xfId="5558" xr:uid="{00000000-0005-0000-0000-0000C7850000}"/>
    <cellStyle name="Remarque 3 2 2 2 9 3 2" xfId="29572" xr:uid="{00000000-0005-0000-0000-0000C8850000}"/>
    <cellStyle name="Remarque 3 2 2 2 9 3 2 2" xfId="53532" xr:uid="{00000000-0005-0000-0000-0000C9850000}"/>
    <cellStyle name="Remarque 3 2 2 2 9 3 3" xfId="16819" xr:uid="{00000000-0005-0000-0000-0000CA850000}"/>
    <cellStyle name="Remarque 3 2 2 2 9 3 4" xfId="40779" xr:uid="{00000000-0005-0000-0000-0000CB850000}"/>
    <cellStyle name="Remarque 3 2 2 2 9 4" xfId="6952" xr:uid="{00000000-0005-0000-0000-0000CC850000}"/>
    <cellStyle name="Remarque 3 2 2 2 9 4 2" xfId="30966" xr:uid="{00000000-0005-0000-0000-0000CD850000}"/>
    <cellStyle name="Remarque 3 2 2 2 9 4 2 2" xfId="54926" xr:uid="{00000000-0005-0000-0000-0000CE850000}"/>
    <cellStyle name="Remarque 3 2 2 2 9 4 3" xfId="18213" xr:uid="{00000000-0005-0000-0000-0000CF850000}"/>
    <cellStyle name="Remarque 3 2 2 2 9 4 4" xfId="42173" xr:uid="{00000000-0005-0000-0000-0000D0850000}"/>
    <cellStyle name="Remarque 3 2 2 2 9 5" xfId="8340" xr:uid="{00000000-0005-0000-0000-0000D1850000}"/>
    <cellStyle name="Remarque 3 2 2 2 9 5 2" xfId="32354" xr:uid="{00000000-0005-0000-0000-0000D2850000}"/>
    <cellStyle name="Remarque 3 2 2 2 9 5 2 2" xfId="56314" xr:uid="{00000000-0005-0000-0000-0000D3850000}"/>
    <cellStyle name="Remarque 3 2 2 2 9 5 3" xfId="19601" xr:uid="{00000000-0005-0000-0000-0000D4850000}"/>
    <cellStyle name="Remarque 3 2 2 2 9 5 4" xfId="43561" xr:uid="{00000000-0005-0000-0000-0000D5850000}"/>
    <cellStyle name="Remarque 3 2 2 2 9 6" xfId="9725" xr:uid="{00000000-0005-0000-0000-0000D6850000}"/>
    <cellStyle name="Remarque 3 2 2 2 9 6 2" xfId="33739" xr:uid="{00000000-0005-0000-0000-0000D7850000}"/>
    <cellStyle name="Remarque 3 2 2 2 9 6 2 2" xfId="57699" xr:uid="{00000000-0005-0000-0000-0000D8850000}"/>
    <cellStyle name="Remarque 3 2 2 2 9 6 3" xfId="20986" xr:uid="{00000000-0005-0000-0000-0000D9850000}"/>
    <cellStyle name="Remarque 3 2 2 2 9 6 4" xfId="44946" xr:uid="{00000000-0005-0000-0000-0000DA850000}"/>
    <cellStyle name="Remarque 3 2 2 2 9 7" xfId="11182" xr:uid="{00000000-0005-0000-0000-0000DB850000}"/>
    <cellStyle name="Remarque 3 2 2 2 9 7 2" xfId="35192" xr:uid="{00000000-0005-0000-0000-0000DC850000}"/>
    <cellStyle name="Remarque 3 2 2 2 9 7 2 2" xfId="59152" xr:uid="{00000000-0005-0000-0000-0000DD850000}"/>
    <cellStyle name="Remarque 3 2 2 2 9 7 3" xfId="22449" xr:uid="{00000000-0005-0000-0000-0000DE850000}"/>
    <cellStyle name="Remarque 3 2 2 2 9 7 4" xfId="46409" xr:uid="{00000000-0005-0000-0000-0000DF850000}"/>
    <cellStyle name="Remarque 3 2 2 2 9 8" xfId="12803" xr:uid="{00000000-0005-0000-0000-0000E0850000}"/>
    <cellStyle name="Remarque 3 2 2 2 9 8 2" xfId="24114" xr:uid="{00000000-0005-0000-0000-0000E1850000}"/>
    <cellStyle name="Remarque 3 2 2 2 9 8 3" xfId="48074" xr:uid="{00000000-0005-0000-0000-0000E2850000}"/>
    <cellStyle name="Remarque 3 2 2 2 9 9" xfId="2654" xr:uid="{00000000-0005-0000-0000-0000E3850000}"/>
    <cellStyle name="Remarque 3 2 2 2 9 9 2" xfId="26668" xr:uid="{00000000-0005-0000-0000-0000E4850000}"/>
    <cellStyle name="Remarque 3 2 2 2 9 9 3" xfId="50628" xr:uid="{00000000-0005-0000-0000-0000E5850000}"/>
    <cellStyle name="Remarque 3 2 2 3" xfId="96" xr:uid="{00000000-0005-0000-0000-0000E6850000}"/>
    <cellStyle name="Remarque 3 2 2 3 10" xfId="36897" xr:uid="{00000000-0005-0000-0000-0000E7850000}"/>
    <cellStyle name="Remarque 3 2 2 3 11" xfId="240" xr:uid="{00000000-0005-0000-0000-0000E8850000}"/>
    <cellStyle name="Remarque 3 2 2 3 2" xfId="474" xr:uid="{00000000-0005-0000-0000-0000E9850000}"/>
    <cellStyle name="Remarque 3 2 2 3 2 10" xfId="6208" xr:uid="{00000000-0005-0000-0000-0000EA850000}"/>
    <cellStyle name="Remarque 3 2 2 3 2 10 2" xfId="30222" xr:uid="{00000000-0005-0000-0000-0000EB850000}"/>
    <cellStyle name="Remarque 3 2 2 3 2 10 2 2" xfId="54182" xr:uid="{00000000-0005-0000-0000-0000EC850000}"/>
    <cellStyle name="Remarque 3 2 2 3 2 10 3" xfId="17469" xr:uid="{00000000-0005-0000-0000-0000ED850000}"/>
    <cellStyle name="Remarque 3 2 2 3 2 10 4" xfId="41429" xr:uid="{00000000-0005-0000-0000-0000EE850000}"/>
    <cellStyle name="Remarque 3 2 2 3 2 11" xfId="7596" xr:uid="{00000000-0005-0000-0000-0000EF850000}"/>
    <cellStyle name="Remarque 3 2 2 3 2 11 2" xfId="31610" xr:uid="{00000000-0005-0000-0000-0000F0850000}"/>
    <cellStyle name="Remarque 3 2 2 3 2 11 2 2" xfId="55570" xr:uid="{00000000-0005-0000-0000-0000F1850000}"/>
    <cellStyle name="Remarque 3 2 2 3 2 11 3" xfId="18857" xr:uid="{00000000-0005-0000-0000-0000F2850000}"/>
    <cellStyle name="Remarque 3 2 2 3 2 11 4" xfId="42817" xr:uid="{00000000-0005-0000-0000-0000F3850000}"/>
    <cellStyle name="Remarque 3 2 2 3 2 12" xfId="8981" xr:uid="{00000000-0005-0000-0000-0000F4850000}"/>
    <cellStyle name="Remarque 3 2 2 3 2 12 2" xfId="32995" xr:uid="{00000000-0005-0000-0000-0000F5850000}"/>
    <cellStyle name="Remarque 3 2 2 3 2 12 2 2" xfId="56955" xr:uid="{00000000-0005-0000-0000-0000F6850000}"/>
    <cellStyle name="Remarque 3 2 2 3 2 12 3" xfId="20242" xr:uid="{00000000-0005-0000-0000-0000F7850000}"/>
    <cellStyle name="Remarque 3 2 2 3 2 12 4" xfId="44202" xr:uid="{00000000-0005-0000-0000-0000F8850000}"/>
    <cellStyle name="Remarque 3 2 2 3 2 13" xfId="10438" xr:uid="{00000000-0005-0000-0000-0000F9850000}"/>
    <cellStyle name="Remarque 3 2 2 3 2 13 2" xfId="34448" xr:uid="{00000000-0005-0000-0000-0000FA850000}"/>
    <cellStyle name="Remarque 3 2 2 3 2 13 2 2" xfId="58408" xr:uid="{00000000-0005-0000-0000-0000FB850000}"/>
    <cellStyle name="Remarque 3 2 2 3 2 13 3" xfId="21705" xr:uid="{00000000-0005-0000-0000-0000FC850000}"/>
    <cellStyle name="Remarque 3 2 2 3 2 13 4" xfId="45665" xr:uid="{00000000-0005-0000-0000-0000FD850000}"/>
    <cellStyle name="Remarque 3 2 2 3 2 14" xfId="12779" xr:uid="{00000000-0005-0000-0000-0000FE850000}"/>
    <cellStyle name="Remarque 3 2 2 3 2 14 2" xfId="24087" xr:uid="{00000000-0005-0000-0000-0000FF850000}"/>
    <cellStyle name="Remarque 3 2 2 3 2 14 3" xfId="48047" xr:uid="{00000000-0005-0000-0000-000000860000}"/>
    <cellStyle name="Remarque 3 2 2 3 2 15" xfId="1910" xr:uid="{00000000-0005-0000-0000-000001860000}"/>
    <cellStyle name="Remarque 3 2 2 3 2 15 2" xfId="25924" xr:uid="{00000000-0005-0000-0000-000002860000}"/>
    <cellStyle name="Remarque 3 2 2 3 2 15 3" xfId="49884" xr:uid="{00000000-0005-0000-0000-000003860000}"/>
    <cellStyle name="Remarque 3 2 2 3 2 16" xfId="24506" xr:uid="{00000000-0005-0000-0000-000004860000}"/>
    <cellStyle name="Remarque 3 2 2 3 2 16 2" xfId="48466" xr:uid="{00000000-0005-0000-0000-000005860000}"/>
    <cellStyle name="Remarque 3 2 2 3 2 17" xfId="35919" xr:uid="{00000000-0005-0000-0000-000006860000}"/>
    <cellStyle name="Remarque 3 2 2 3 2 17 2" xfId="59879" xr:uid="{00000000-0005-0000-0000-000007860000}"/>
    <cellStyle name="Remarque 3 2 2 3 2 18" xfId="13171" xr:uid="{00000000-0005-0000-0000-000008860000}"/>
    <cellStyle name="Remarque 3 2 2 3 2 19" xfId="37131" xr:uid="{00000000-0005-0000-0000-000009860000}"/>
    <cellStyle name="Remarque 3 2 2 3 2 2" xfId="610" xr:uid="{00000000-0005-0000-0000-00000A860000}"/>
    <cellStyle name="Remarque 3 2 2 3 2 2 10" xfId="24642" xr:uid="{00000000-0005-0000-0000-00000B860000}"/>
    <cellStyle name="Remarque 3 2 2 3 2 2 10 2" xfId="48602" xr:uid="{00000000-0005-0000-0000-00000C860000}"/>
    <cellStyle name="Remarque 3 2 2 3 2 2 11" xfId="36573" xr:uid="{00000000-0005-0000-0000-00000D860000}"/>
    <cellStyle name="Remarque 3 2 2 3 2 2 11 2" xfId="60533" xr:uid="{00000000-0005-0000-0000-00000E860000}"/>
    <cellStyle name="Remarque 3 2 2 3 2 2 12" xfId="13307" xr:uid="{00000000-0005-0000-0000-00000F860000}"/>
    <cellStyle name="Remarque 3 2 2 3 2 2 13" xfId="37267" xr:uid="{00000000-0005-0000-0000-000010860000}"/>
    <cellStyle name="Remarque 3 2 2 3 2 2 2" xfId="3516" xr:uid="{00000000-0005-0000-0000-000011860000}"/>
    <cellStyle name="Remarque 3 2 2 3 2 2 2 2" xfId="27530" xr:uid="{00000000-0005-0000-0000-000012860000}"/>
    <cellStyle name="Remarque 3 2 2 3 2 2 2 2 2" xfId="51490" xr:uid="{00000000-0005-0000-0000-000013860000}"/>
    <cellStyle name="Remarque 3 2 2 3 2 2 2 3" xfId="14777" xr:uid="{00000000-0005-0000-0000-000014860000}"/>
    <cellStyle name="Remarque 3 2 2 3 2 2 2 4" xfId="38737" xr:uid="{00000000-0005-0000-0000-000015860000}"/>
    <cellStyle name="Remarque 3 2 2 3 2 2 3" xfId="4950" xr:uid="{00000000-0005-0000-0000-000016860000}"/>
    <cellStyle name="Remarque 3 2 2 3 2 2 3 2" xfId="28964" xr:uid="{00000000-0005-0000-0000-000017860000}"/>
    <cellStyle name="Remarque 3 2 2 3 2 2 3 2 2" xfId="52924" xr:uid="{00000000-0005-0000-0000-000018860000}"/>
    <cellStyle name="Remarque 3 2 2 3 2 2 3 3" xfId="16211" xr:uid="{00000000-0005-0000-0000-000019860000}"/>
    <cellStyle name="Remarque 3 2 2 3 2 2 3 4" xfId="40171" xr:uid="{00000000-0005-0000-0000-00001A860000}"/>
    <cellStyle name="Remarque 3 2 2 3 2 2 4" xfId="6344" xr:uid="{00000000-0005-0000-0000-00001B860000}"/>
    <cellStyle name="Remarque 3 2 2 3 2 2 4 2" xfId="30358" xr:uid="{00000000-0005-0000-0000-00001C860000}"/>
    <cellStyle name="Remarque 3 2 2 3 2 2 4 2 2" xfId="54318" xr:uid="{00000000-0005-0000-0000-00001D860000}"/>
    <cellStyle name="Remarque 3 2 2 3 2 2 4 3" xfId="17605" xr:uid="{00000000-0005-0000-0000-00001E860000}"/>
    <cellStyle name="Remarque 3 2 2 3 2 2 4 4" xfId="41565" xr:uid="{00000000-0005-0000-0000-00001F860000}"/>
    <cellStyle name="Remarque 3 2 2 3 2 2 5" xfId="7732" xr:uid="{00000000-0005-0000-0000-000020860000}"/>
    <cellStyle name="Remarque 3 2 2 3 2 2 5 2" xfId="31746" xr:uid="{00000000-0005-0000-0000-000021860000}"/>
    <cellStyle name="Remarque 3 2 2 3 2 2 5 2 2" xfId="55706" xr:uid="{00000000-0005-0000-0000-000022860000}"/>
    <cellStyle name="Remarque 3 2 2 3 2 2 5 3" xfId="18993" xr:uid="{00000000-0005-0000-0000-000023860000}"/>
    <cellStyle name="Remarque 3 2 2 3 2 2 5 4" xfId="42953" xr:uid="{00000000-0005-0000-0000-000024860000}"/>
    <cellStyle name="Remarque 3 2 2 3 2 2 6" xfId="9117" xr:uid="{00000000-0005-0000-0000-000025860000}"/>
    <cellStyle name="Remarque 3 2 2 3 2 2 6 2" xfId="33131" xr:uid="{00000000-0005-0000-0000-000026860000}"/>
    <cellStyle name="Remarque 3 2 2 3 2 2 6 2 2" xfId="57091" xr:uid="{00000000-0005-0000-0000-000027860000}"/>
    <cellStyle name="Remarque 3 2 2 3 2 2 6 3" xfId="20378" xr:uid="{00000000-0005-0000-0000-000028860000}"/>
    <cellStyle name="Remarque 3 2 2 3 2 2 6 4" xfId="44338" xr:uid="{00000000-0005-0000-0000-000029860000}"/>
    <cellStyle name="Remarque 3 2 2 3 2 2 7" xfId="10574" xr:uid="{00000000-0005-0000-0000-00002A860000}"/>
    <cellStyle name="Remarque 3 2 2 3 2 2 7 2" xfId="34584" xr:uid="{00000000-0005-0000-0000-00002B860000}"/>
    <cellStyle name="Remarque 3 2 2 3 2 2 7 2 2" xfId="58544" xr:uid="{00000000-0005-0000-0000-00002C860000}"/>
    <cellStyle name="Remarque 3 2 2 3 2 2 7 3" xfId="21841" xr:uid="{00000000-0005-0000-0000-00002D860000}"/>
    <cellStyle name="Remarque 3 2 2 3 2 2 7 4" xfId="45801" xr:uid="{00000000-0005-0000-0000-00002E860000}"/>
    <cellStyle name="Remarque 3 2 2 3 2 2 8" xfId="12468" xr:uid="{00000000-0005-0000-0000-00002F860000}"/>
    <cellStyle name="Remarque 3 2 2 3 2 2 8 2" xfId="23763" xr:uid="{00000000-0005-0000-0000-000030860000}"/>
    <cellStyle name="Remarque 3 2 2 3 2 2 8 3" xfId="47723" xr:uid="{00000000-0005-0000-0000-000031860000}"/>
    <cellStyle name="Remarque 3 2 2 3 2 2 9" xfId="2046" xr:uid="{00000000-0005-0000-0000-000032860000}"/>
    <cellStyle name="Remarque 3 2 2 3 2 2 9 2" xfId="26060" xr:uid="{00000000-0005-0000-0000-000033860000}"/>
    <cellStyle name="Remarque 3 2 2 3 2 2 9 3" xfId="50020" xr:uid="{00000000-0005-0000-0000-000034860000}"/>
    <cellStyle name="Remarque 3 2 2 3 2 3" xfId="802" xr:uid="{00000000-0005-0000-0000-000035860000}"/>
    <cellStyle name="Remarque 3 2 2 3 2 3 10" xfId="24834" xr:uid="{00000000-0005-0000-0000-000036860000}"/>
    <cellStyle name="Remarque 3 2 2 3 2 3 10 2" xfId="48794" xr:uid="{00000000-0005-0000-0000-000037860000}"/>
    <cellStyle name="Remarque 3 2 2 3 2 3 11" xfId="35649" xr:uid="{00000000-0005-0000-0000-000038860000}"/>
    <cellStyle name="Remarque 3 2 2 3 2 3 11 2" xfId="59609" xr:uid="{00000000-0005-0000-0000-000039860000}"/>
    <cellStyle name="Remarque 3 2 2 3 2 3 12" xfId="13499" xr:uid="{00000000-0005-0000-0000-00003A860000}"/>
    <cellStyle name="Remarque 3 2 2 3 2 3 13" xfId="37459" xr:uid="{00000000-0005-0000-0000-00003B860000}"/>
    <cellStyle name="Remarque 3 2 2 3 2 3 2" xfId="3708" xr:uid="{00000000-0005-0000-0000-00003C860000}"/>
    <cellStyle name="Remarque 3 2 2 3 2 3 2 2" xfId="27722" xr:uid="{00000000-0005-0000-0000-00003D860000}"/>
    <cellStyle name="Remarque 3 2 2 3 2 3 2 2 2" xfId="51682" xr:uid="{00000000-0005-0000-0000-00003E860000}"/>
    <cellStyle name="Remarque 3 2 2 3 2 3 2 3" xfId="14969" xr:uid="{00000000-0005-0000-0000-00003F860000}"/>
    <cellStyle name="Remarque 3 2 2 3 2 3 2 4" xfId="38929" xr:uid="{00000000-0005-0000-0000-000040860000}"/>
    <cellStyle name="Remarque 3 2 2 3 2 3 3" xfId="5142" xr:uid="{00000000-0005-0000-0000-000041860000}"/>
    <cellStyle name="Remarque 3 2 2 3 2 3 3 2" xfId="29156" xr:uid="{00000000-0005-0000-0000-000042860000}"/>
    <cellStyle name="Remarque 3 2 2 3 2 3 3 2 2" xfId="53116" xr:uid="{00000000-0005-0000-0000-000043860000}"/>
    <cellStyle name="Remarque 3 2 2 3 2 3 3 3" xfId="16403" xr:uid="{00000000-0005-0000-0000-000044860000}"/>
    <cellStyle name="Remarque 3 2 2 3 2 3 3 4" xfId="40363" xr:uid="{00000000-0005-0000-0000-000045860000}"/>
    <cellStyle name="Remarque 3 2 2 3 2 3 4" xfId="6536" xr:uid="{00000000-0005-0000-0000-000046860000}"/>
    <cellStyle name="Remarque 3 2 2 3 2 3 4 2" xfId="30550" xr:uid="{00000000-0005-0000-0000-000047860000}"/>
    <cellStyle name="Remarque 3 2 2 3 2 3 4 2 2" xfId="54510" xr:uid="{00000000-0005-0000-0000-000048860000}"/>
    <cellStyle name="Remarque 3 2 2 3 2 3 4 3" xfId="17797" xr:uid="{00000000-0005-0000-0000-000049860000}"/>
    <cellStyle name="Remarque 3 2 2 3 2 3 4 4" xfId="41757" xr:uid="{00000000-0005-0000-0000-00004A860000}"/>
    <cellStyle name="Remarque 3 2 2 3 2 3 5" xfId="7924" xr:uid="{00000000-0005-0000-0000-00004B860000}"/>
    <cellStyle name="Remarque 3 2 2 3 2 3 5 2" xfId="31938" xr:uid="{00000000-0005-0000-0000-00004C860000}"/>
    <cellStyle name="Remarque 3 2 2 3 2 3 5 2 2" xfId="55898" xr:uid="{00000000-0005-0000-0000-00004D860000}"/>
    <cellStyle name="Remarque 3 2 2 3 2 3 5 3" xfId="19185" xr:uid="{00000000-0005-0000-0000-00004E860000}"/>
    <cellStyle name="Remarque 3 2 2 3 2 3 5 4" xfId="43145" xr:uid="{00000000-0005-0000-0000-00004F860000}"/>
    <cellStyle name="Remarque 3 2 2 3 2 3 6" xfId="9309" xr:uid="{00000000-0005-0000-0000-000050860000}"/>
    <cellStyle name="Remarque 3 2 2 3 2 3 6 2" xfId="33323" xr:uid="{00000000-0005-0000-0000-000051860000}"/>
    <cellStyle name="Remarque 3 2 2 3 2 3 6 2 2" xfId="57283" xr:uid="{00000000-0005-0000-0000-000052860000}"/>
    <cellStyle name="Remarque 3 2 2 3 2 3 6 3" xfId="20570" xr:uid="{00000000-0005-0000-0000-000053860000}"/>
    <cellStyle name="Remarque 3 2 2 3 2 3 6 4" xfId="44530" xr:uid="{00000000-0005-0000-0000-000054860000}"/>
    <cellStyle name="Remarque 3 2 2 3 2 3 7" xfId="10766" xr:uid="{00000000-0005-0000-0000-000055860000}"/>
    <cellStyle name="Remarque 3 2 2 3 2 3 7 2" xfId="34776" xr:uid="{00000000-0005-0000-0000-000056860000}"/>
    <cellStyle name="Remarque 3 2 2 3 2 3 7 2 2" xfId="58736" xr:uid="{00000000-0005-0000-0000-000057860000}"/>
    <cellStyle name="Remarque 3 2 2 3 2 3 7 3" xfId="22033" xr:uid="{00000000-0005-0000-0000-000058860000}"/>
    <cellStyle name="Remarque 3 2 2 3 2 3 7 4" xfId="45993" xr:uid="{00000000-0005-0000-0000-000059860000}"/>
    <cellStyle name="Remarque 3 2 2 3 2 3 8" xfId="12838" xr:uid="{00000000-0005-0000-0000-00005A860000}"/>
    <cellStyle name="Remarque 3 2 2 3 2 3 8 2" xfId="24149" xr:uid="{00000000-0005-0000-0000-00005B860000}"/>
    <cellStyle name="Remarque 3 2 2 3 2 3 8 3" xfId="48109" xr:uid="{00000000-0005-0000-0000-00005C860000}"/>
    <cellStyle name="Remarque 3 2 2 3 2 3 9" xfId="2238" xr:uid="{00000000-0005-0000-0000-00005D860000}"/>
    <cellStyle name="Remarque 3 2 2 3 2 3 9 2" xfId="26252" xr:uid="{00000000-0005-0000-0000-00005E860000}"/>
    <cellStyle name="Remarque 3 2 2 3 2 3 9 3" xfId="50212" xr:uid="{00000000-0005-0000-0000-00005F860000}"/>
    <cellStyle name="Remarque 3 2 2 3 2 4" xfId="996" xr:uid="{00000000-0005-0000-0000-000060860000}"/>
    <cellStyle name="Remarque 3 2 2 3 2 4 10" xfId="25028" xr:uid="{00000000-0005-0000-0000-000061860000}"/>
    <cellStyle name="Remarque 3 2 2 3 2 4 10 2" xfId="48988" xr:uid="{00000000-0005-0000-0000-000062860000}"/>
    <cellStyle name="Remarque 3 2 2 3 2 4 11" xfId="36361" xr:uid="{00000000-0005-0000-0000-000063860000}"/>
    <cellStyle name="Remarque 3 2 2 3 2 4 11 2" xfId="60321" xr:uid="{00000000-0005-0000-0000-000064860000}"/>
    <cellStyle name="Remarque 3 2 2 3 2 4 12" xfId="13693" xr:uid="{00000000-0005-0000-0000-000065860000}"/>
    <cellStyle name="Remarque 3 2 2 3 2 4 13" xfId="37653" xr:uid="{00000000-0005-0000-0000-000066860000}"/>
    <cellStyle name="Remarque 3 2 2 3 2 4 2" xfId="3902" xr:uid="{00000000-0005-0000-0000-000067860000}"/>
    <cellStyle name="Remarque 3 2 2 3 2 4 2 2" xfId="27916" xr:uid="{00000000-0005-0000-0000-000068860000}"/>
    <cellStyle name="Remarque 3 2 2 3 2 4 2 2 2" xfId="51876" xr:uid="{00000000-0005-0000-0000-000069860000}"/>
    <cellStyle name="Remarque 3 2 2 3 2 4 2 3" xfId="15163" xr:uid="{00000000-0005-0000-0000-00006A860000}"/>
    <cellStyle name="Remarque 3 2 2 3 2 4 2 4" xfId="39123" xr:uid="{00000000-0005-0000-0000-00006B860000}"/>
    <cellStyle name="Remarque 3 2 2 3 2 4 3" xfId="5336" xr:uid="{00000000-0005-0000-0000-00006C860000}"/>
    <cellStyle name="Remarque 3 2 2 3 2 4 3 2" xfId="29350" xr:uid="{00000000-0005-0000-0000-00006D860000}"/>
    <cellStyle name="Remarque 3 2 2 3 2 4 3 2 2" xfId="53310" xr:uid="{00000000-0005-0000-0000-00006E860000}"/>
    <cellStyle name="Remarque 3 2 2 3 2 4 3 3" xfId="16597" xr:uid="{00000000-0005-0000-0000-00006F860000}"/>
    <cellStyle name="Remarque 3 2 2 3 2 4 3 4" xfId="40557" xr:uid="{00000000-0005-0000-0000-000070860000}"/>
    <cellStyle name="Remarque 3 2 2 3 2 4 4" xfId="6730" xr:uid="{00000000-0005-0000-0000-000071860000}"/>
    <cellStyle name="Remarque 3 2 2 3 2 4 4 2" xfId="30744" xr:uid="{00000000-0005-0000-0000-000072860000}"/>
    <cellStyle name="Remarque 3 2 2 3 2 4 4 2 2" xfId="54704" xr:uid="{00000000-0005-0000-0000-000073860000}"/>
    <cellStyle name="Remarque 3 2 2 3 2 4 4 3" xfId="17991" xr:uid="{00000000-0005-0000-0000-000074860000}"/>
    <cellStyle name="Remarque 3 2 2 3 2 4 4 4" xfId="41951" xr:uid="{00000000-0005-0000-0000-000075860000}"/>
    <cellStyle name="Remarque 3 2 2 3 2 4 5" xfId="8118" xr:uid="{00000000-0005-0000-0000-000076860000}"/>
    <cellStyle name="Remarque 3 2 2 3 2 4 5 2" xfId="32132" xr:uid="{00000000-0005-0000-0000-000077860000}"/>
    <cellStyle name="Remarque 3 2 2 3 2 4 5 2 2" xfId="56092" xr:uid="{00000000-0005-0000-0000-000078860000}"/>
    <cellStyle name="Remarque 3 2 2 3 2 4 5 3" xfId="19379" xr:uid="{00000000-0005-0000-0000-000079860000}"/>
    <cellStyle name="Remarque 3 2 2 3 2 4 5 4" xfId="43339" xr:uid="{00000000-0005-0000-0000-00007A860000}"/>
    <cellStyle name="Remarque 3 2 2 3 2 4 6" xfId="9503" xr:uid="{00000000-0005-0000-0000-00007B860000}"/>
    <cellStyle name="Remarque 3 2 2 3 2 4 6 2" xfId="33517" xr:uid="{00000000-0005-0000-0000-00007C860000}"/>
    <cellStyle name="Remarque 3 2 2 3 2 4 6 2 2" xfId="57477" xr:uid="{00000000-0005-0000-0000-00007D860000}"/>
    <cellStyle name="Remarque 3 2 2 3 2 4 6 3" xfId="20764" xr:uid="{00000000-0005-0000-0000-00007E860000}"/>
    <cellStyle name="Remarque 3 2 2 3 2 4 6 4" xfId="44724" xr:uid="{00000000-0005-0000-0000-00007F860000}"/>
    <cellStyle name="Remarque 3 2 2 3 2 4 7" xfId="10960" xr:uid="{00000000-0005-0000-0000-000080860000}"/>
    <cellStyle name="Remarque 3 2 2 3 2 4 7 2" xfId="34970" xr:uid="{00000000-0005-0000-0000-000081860000}"/>
    <cellStyle name="Remarque 3 2 2 3 2 4 7 2 2" xfId="58930" xr:uid="{00000000-0005-0000-0000-000082860000}"/>
    <cellStyle name="Remarque 3 2 2 3 2 4 7 3" xfId="22227" xr:uid="{00000000-0005-0000-0000-000083860000}"/>
    <cellStyle name="Remarque 3 2 2 3 2 4 7 4" xfId="46187" xr:uid="{00000000-0005-0000-0000-000084860000}"/>
    <cellStyle name="Remarque 3 2 2 3 2 4 8" xfId="11848" xr:uid="{00000000-0005-0000-0000-000085860000}"/>
    <cellStyle name="Remarque 3 2 2 3 2 4 8 2" xfId="23124" xr:uid="{00000000-0005-0000-0000-000086860000}"/>
    <cellStyle name="Remarque 3 2 2 3 2 4 8 3" xfId="47084" xr:uid="{00000000-0005-0000-0000-000087860000}"/>
    <cellStyle name="Remarque 3 2 2 3 2 4 9" xfId="2432" xr:uid="{00000000-0005-0000-0000-000088860000}"/>
    <cellStyle name="Remarque 3 2 2 3 2 4 9 2" xfId="26446" xr:uid="{00000000-0005-0000-0000-000089860000}"/>
    <cellStyle name="Remarque 3 2 2 3 2 4 9 3" xfId="50406" xr:uid="{00000000-0005-0000-0000-00008A860000}"/>
    <cellStyle name="Remarque 3 2 2 3 2 5" xfId="1189" xr:uid="{00000000-0005-0000-0000-00008B860000}"/>
    <cellStyle name="Remarque 3 2 2 3 2 5 10" xfId="25221" xr:uid="{00000000-0005-0000-0000-00008C860000}"/>
    <cellStyle name="Remarque 3 2 2 3 2 5 10 2" xfId="49181" xr:uid="{00000000-0005-0000-0000-00008D860000}"/>
    <cellStyle name="Remarque 3 2 2 3 2 5 11" xfId="36357" xr:uid="{00000000-0005-0000-0000-00008E860000}"/>
    <cellStyle name="Remarque 3 2 2 3 2 5 11 2" xfId="60317" xr:uid="{00000000-0005-0000-0000-00008F860000}"/>
    <cellStyle name="Remarque 3 2 2 3 2 5 12" xfId="13886" xr:uid="{00000000-0005-0000-0000-000090860000}"/>
    <cellStyle name="Remarque 3 2 2 3 2 5 13" xfId="37846" xr:uid="{00000000-0005-0000-0000-000091860000}"/>
    <cellStyle name="Remarque 3 2 2 3 2 5 2" xfId="4095" xr:uid="{00000000-0005-0000-0000-000092860000}"/>
    <cellStyle name="Remarque 3 2 2 3 2 5 2 2" xfId="28109" xr:uid="{00000000-0005-0000-0000-000093860000}"/>
    <cellStyle name="Remarque 3 2 2 3 2 5 2 2 2" xfId="52069" xr:uid="{00000000-0005-0000-0000-000094860000}"/>
    <cellStyle name="Remarque 3 2 2 3 2 5 2 3" xfId="15356" xr:uid="{00000000-0005-0000-0000-000095860000}"/>
    <cellStyle name="Remarque 3 2 2 3 2 5 2 4" xfId="39316" xr:uid="{00000000-0005-0000-0000-000096860000}"/>
    <cellStyle name="Remarque 3 2 2 3 2 5 3" xfId="5529" xr:uid="{00000000-0005-0000-0000-000097860000}"/>
    <cellStyle name="Remarque 3 2 2 3 2 5 3 2" xfId="29543" xr:uid="{00000000-0005-0000-0000-000098860000}"/>
    <cellStyle name="Remarque 3 2 2 3 2 5 3 2 2" xfId="53503" xr:uid="{00000000-0005-0000-0000-000099860000}"/>
    <cellStyle name="Remarque 3 2 2 3 2 5 3 3" xfId="16790" xr:uid="{00000000-0005-0000-0000-00009A860000}"/>
    <cellStyle name="Remarque 3 2 2 3 2 5 3 4" xfId="40750" xr:uid="{00000000-0005-0000-0000-00009B860000}"/>
    <cellStyle name="Remarque 3 2 2 3 2 5 4" xfId="6923" xr:uid="{00000000-0005-0000-0000-00009C860000}"/>
    <cellStyle name="Remarque 3 2 2 3 2 5 4 2" xfId="30937" xr:uid="{00000000-0005-0000-0000-00009D860000}"/>
    <cellStyle name="Remarque 3 2 2 3 2 5 4 2 2" xfId="54897" xr:uid="{00000000-0005-0000-0000-00009E860000}"/>
    <cellStyle name="Remarque 3 2 2 3 2 5 4 3" xfId="18184" xr:uid="{00000000-0005-0000-0000-00009F860000}"/>
    <cellStyle name="Remarque 3 2 2 3 2 5 4 4" xfId="42144" xr:uid="{00000000-0005-0000-0000-0000A0860000}"/>
    <cellStyle name="Remarque 3 2 2 3 2 5 5" xfId="8311" xr:uid="{00000000-0005-0000-0000-0000A1860000}"/>
    <cellStyle name="Remarque 3 2 2 3 2 5 5 2" xfId="32325" xr:uid="{00000000-0005-0000-0000-0000A2860000}"/>
    <cellStyle name="Remarque 3 2 2 3 2 5 5 2 2" xfId="56285" xr:uid="{00000000-0005-0000-0000-0000A3860000}"/>
    <cellStyle name="Remarque 3 2 2 3 2 5 5 3" xfId="19572" xr:uid="{00000000-0005-0000-0000-0000A4860000}"/>
    <cellStyle name="Remarque 3 2 2 3 2 5 5 4" xfId="43532" xr:uid="{00000000-0005-0000-0000-0000A5860000}"/>
    <cellStyle name="Remarque 3 2 2 3 2 5 6" xfId="9696" xr:uid="{00000000-0005-0000-0000-0000A6860000}"/>
    <cellStyle name="Remarque 3 2 2 3 2 5 6 2" xfId="33710" xr:uid="{00000000-0005-0000-0000-0000A7860000}"/>
    <cellStyle name="Remarque 3 2 2 3 2 5 6 2 2" xfId="57670" xr:uid="{00000000-0005-0000-0000-0000A8860000}"/>
    <cellStyle name="Remarque 3 2 2 3 2 5 6 3" xfId="20957" xr:uid="{00000000-0005-0000-0000-0000A9860000}"/>
    <cellStyle name="Remarque 3 2 2 3 2 5 6 4" xfId="44917" xr:uid="{00000000-0005-0000-0000-0000AA860000}"/>
    <cellStyle name="Remarque 3 2 2 3 2 5 7" xfId="11153" xr:uid="{00000000-0005-0000-0000-0000AB860000}"/>
    <cellStyle name="Remarque 3 2 2 3 2 5 7 2" xfId="35163" xr:uid="{00000000-0005-0000-0000-0000AC860000}"/>
    <cellStyle name="Remarque 3 2 2 3 2 5 7 2 2" xfId="59123" xr:uid="{00000000-0005-0000-0000-0000AD860000}"/>
    <cellStyle name="Remarque 3 2 2 3 2 5 7 3" xfId="22420" xr:uid="{00000000-0005-0000-0000-0000AE860000}"/>
    <cellStyle name="Remarque 3 2 2 3 2 5 7 4" xfId="46380" xr:uid="{00000000-0005-0000-0000-0000AF860000}"/>
    <cellStyle name="Remarque 3 2 2 3 2 5 8" xfId="12241" xr:uid="{00000000-0005-0000-0000-0000B0860000}"/>
    <cellStyle name="Remarque 3 2 2 3 2 5 8 2" xfId="23525" xr:uid="{00000000-0005-0000-0000-0000B1860000}"/>
    <cellStyle name="Remarque 3 2 2 3 2 5 8 3" xfId="47485" xr:uid="{00000000-0005-0000-0000-0000B2860000}"/>
    <cellStyle name="Remarque 3 2 2 3 2 5 9" xfId="2625" xr:uid="{00000000-0005-0000-0000-0000B3860000}"/>
    <cellStyle name="Remarque 3 2 2 3 2 5 9 2" xfId="26639" xr:uid="{00000000-0005-0000-0000-0000B4860000}"/>
    <cellStyle name="Remarque 3 2 2 3 2 5 9 3" xfId="50599" xr:uid="{00000000-0005-0000-0000-0000B5860000}"/>
    <cellStyle name="Remarque 3 2 2 3 2 6" xfId="1356" xr:uid="{00000000-0005-0000-0000-0000B6860000}"/>
    <cellStyle name="Remarque 3 2 2 3 2 6 10" xfId="25388" xr:uid="{00000000-0005-0000-0000-0000B7860000}"/>
    <cellStyle name="Remarque 3 2 2 3 2 6 10 2" xfId="49348" xr:uid="{00000000-0005-0000-0000-0000B8860000}"/>
    <cellStyle name="Remarque 3 2 2 3 2 6 11" xfId="35856" xr:uid="{00000000-0005-0000-0000-0000B9860000}"/>
    <cellStyle name="Remarque 3 2 2 3 2 6 11 2" xfId="59816" xr:uid="{00000000-0005-0000-0000-0000BA860000}"/>
    <cellStyle name="Remarque 3 2 2 3 2 6 12" xfId="14053" xr:uid="{00000000-0005-0000-0000-0000BB860000}"/>
    <cellStyle name="Remarque 3 2 2 3 2 6 13" xfId="38013" xr:uid="{00000000-0005-0000-0000-0000BC860000}"/>
    <cellStyle name="Remarque 3 2 2 3 2 6 2" xfId="4262" xr:uid="{00000000-0005-0000-0000-0000BD860000}"/>
    <cellStyle name="Remarque 3 2 2 3 2 6 2 2" xfId="28276" xr:uid="{00000000-0005-0000-0000-0000BE860000}"/>
    <cellStyle name="Remarque 3 2 2 3 2 6 2 2 2" xfId="52236" xr:uid="{00000000-0005-0000-0000-0000BF860000}"/>
    <cellStyle name="Remarque 3 2 2 3 2 6 2 3" xfId="15523" xr:uid="{00000000-0005-0000-0000-0000C0860000}"/>
    <cellStyle name="Remarque 3 2 2 3 2 6 2 4" xfId="39483" xr:uid="{00000000-0005-0000-0000-0000C1860000}"/>
    <cellStyle name="Remarque 3 2 2 3 2 6 3" xfId="5696" xr:uid="{00000000-0005-0000-0000-0000C2860000}"/>
    <cellStyle name="Remarque 3 2 2 3 2 6 3 2" xfId="29710" xr:uid="{00000000-0005-0000-0000-0000C3860000}"/>
    <cellStyle name="Remarque 3 2 2 3 2 6 3 2 2" xfId="53670" xr:uid="{00000000-0005-0000-0000-0000C4860000}"/>
    <cellStyle name="Remarque 3 2 2 3 2 6 3 3" xfId="16957" xr:uid="{00000000-0005-0000-0000-0000C5860000}"/>
    <cellStyle name="Remarque 3 2 2 3 2 6 3 4" xfId="40917" xr:uid="{00000000-0005-0000-0000-0000C6860000}"/>
    <cellStyle name="Remarque 3 2 2 3 2 6 4" xfId="7090" xr:uid="{00000000-0005-0000-0000-0000C7860000}"/>
    <cellStyle name="Remarque 3 2 2 3 2 6 4 2" xfId="31104" xr:uid="{00000000-0005-0000-0000-0000C8860000}"/>
    <cellStyle name="Remarque 3 2 2 3 2 6 4 2 2" xfId="55064" xr:uid="{00000000-0005-0000-0000-0000C9860000}"/>
    <cellStyle name="Remarque 3 2 2 3 2 6 4 3" xfId="18351" xr:uid="{00000000-0005-0000-0000-0000CA860000}"/>
    <cellStyle name="Remarque 3 2 2 3 2 6 4 4" xfId="42311" xr:uid="{00000000-0005-0000-0000-0000CB860000}"/>
    <cellStyle name="Remarque 3 2 2 3 2 6 5" xfId="8478" xr:uid="{00000000-0005-0000-0000-0000CC860000}"/>
    <cellStyle name="Remarque 3 2 2 3 2 6 5 2" xfId="32492" xr:uid="{00000000-0005-0000-0000-0000CD860000}"/>
    <cellStyle name="Remarque 3 2 2 3 2 6 5 2 2" xfId="56452" xr:uid="{00000000-0005-0000-0000-0000CE860000}"/>
    <cellStyle name="Remarque 3 2 2 3 2 6 5 3" xfId="19739" xr:uid="{00000000-0005-0000-0000-0000CF860000}"/>
    <cellStyle name="Remarque 3 2 2 3 2 6 5 4" xfId="43699" xr:uid="{00000000-0005-0000-0000-0000D0860000}"/>
    <cellStyle name="Remarque 3 2 2 3 2 6 6" xfId="9863" xr:uid="{00000000-0005-0000-0000-0000D1860000}"/>
    <cellStyle name="Remarque 3 2 2 3 2 6 6 2" xfId="33877" xr:uid="{00000000-0005-0000-0000-0000D2860000}"/>
    <cellStyle name="Remarque 3 2 2 3 2 6 6 2 2" xfId="57837" xr:uid="{00000000-0005-0000-0000-0000D3860000}"/>
    <cellStyle name="Remarque 3 2 2 3 2 6 6 3" xfId="21124" xr:uid="{00000000-0005-0000-0000-0000D4860000}"/>
    <cellStyle name="Remarque 3 2 2 3 2 6 6 4" xfId="45084" xr:uid="{00000000-0005-0000-0000-0000D5860000}"/>
    <cellStyle name="Remarque 3 2 2 3 2 6 7" xfId="11320" xr:uid="{00000000-0005-0000-0000-0000D6860000}"/>
    <cellStyle name="Remarque 3 2 2 3 2 6 7 2" xfId="35330" xr:uid="{00000000-0005-0000-0000-0000D7860000}"/>
    <cellStyle name="Remarque 3 2 2 3 2 6 7 2 2" xfId="59290" xr:uid="{00000000-0005-0000-0000-0000D8860000}"/>
    <cellStyle name="Remarque 3 2 2 3 2 6 7 3" xfId="22587" xr:uid="{00000000-0005-0000-0000-0000D9860000}"/>
    <cellStyle name="Remarque 3 2 2 3 2 6 7 4" xfId="46547" xr:uid="{00000000-0005-0000-0000-0000DA860000}"/>
    <cellStyle name="Remarque 3 2 2 3 2 6 8" xfId="11818" xr:uid="{00000000-0005-0000-0000-0000DB860000}"/>
    <cellStyle name="Remarque 3 2 2 3 2 6 8 2" xfId="23092" xr:uid="{00000000-0005-0000-0000-0000DC860000}"/>
    <cellStyle name="Remarque 3 2 2 3 2 6 8 3" xfId="47052" xr:uid="{00000000-0005-0000-0000-0000DD860000}"/>
    <cellStyle name="Remarque 3 2 2 3 2 6 9" xfId="2792" xr:uid="{00000000-0005-0000-0000-0000DE860000}"/>
    <cellStyle name="Remarque 3 2 2 3 2 6 9 2" xfId="26806" xr:uid="{00000000-0005-0000-0000-0000DF860000}"/>
    <cellStyle name="Remarque 3 2 2 3 2 6 9 3" xfId="50766" xr:uid="{00000000-0005-0000-0000-0000E0860000}"/>
    <cellStyle name="Remarque 3 2 2 3 2 7" xfId="1525" xr:uid="{00000000-0005-0000-0000-0000E1860000}"/>
    <cellStyle name="Remarque 3 2 2 3 2 7 10" xfId="25557" xr:uid="{00000000-0005-0000-0000-0000E2860000}"/>
    <cellStyle name="Remarque 3 2 2 3 2 7 10 2" xfId="49517" xr:uid="{00000000-0005-0000-0000-0000E3860000}"/>
    <cellStyle name="Remarque 3 2 2 3 2 7 11" xfId="36174" xr:uid="{00000000-0005-0000-0000-0000E4860000}"/>
    <cellStyle name="Remarque 3 2 2 3 2 7 11 2" xfId="60134" xr:uid="{00000000-0005-0000-0000-0000E5860000}"/>
    <cellStyle name="Remarque 3 2 2 3 2 7 12" xfId="14222" xr:uid="{00000000-0005-0000-0000-0000E6860000}"/>
    <cellStyle name="Remarque 3 2 2 3 2 7 13" xfId="38182" xr:uid="{00000000-0005-0000-0000-0000E7860000}"/>
    <cellStyle name="Remarque 3 2 2 3 2 7 2" xfId="4431" xr:uid="{00000000-0005-0000-0000-0000E8860000}"/>
    <cellStyle name="Remarque 3 2 2 3 2 7 2 2" xfId="28445" xr:uid="{00000000-0005-0000-0000-0000E9860000}"/>
    <cellStyle name="Remarque 3 2 2 3 2 7 2 2 2" xfId="52405" xr:uid="{00000000-0005-0000-0000-0000EA860000}"/>
    <cellStyle name="Remarque 3 2 2 3 2 7 2 3" xfId="15692" xr:uid="{00000000-0005-0000-0000-0000EB860000}"/>
    <cellStyle name="Remarque 3 2 2 3 2 7 2 4" xfId="39652" xr:uid="{00000000-0005-0000-0000-0000EC860000}"/>
    <cellStyle name="Remarque 3 2 2 3 2 7 3" xfId="5865" xr:uid="{00000000-0005-0000-0000-0000ED860000}"/>
    <cellStyle name="Remarque 3 2 2 3 2 7 3 2" xfId="29879" xr:uid="{00000000-0005-0000-0000-0000EE860000}"/>
    <cellStyle name="Remarque 3 2 2 3 2 7 3 2 2" xfId="53839" xr:uid="{00000000-0005-0000-0000-0000EF860000}"/>
    <cellStyle name="Remarque 3 2 2 3 2 7 3 3" xfId="17126" xr:uid="{00000000-0005-0000-0000-0000F0860000}"/>
    <cellStyle name="Remarque 3 2 2 3 2 7 3 4" xfId="41086" xr:uid="{00000000-0005-0000-0000-0000F1860000}"/>
    <cellStyle name="Remarque 3 2 2 3 2 7 4" xfId="7259" xr:uid="{00000000-0005-0000-0000-0000F2860000}"/>
    <cellStyle name="Remarque 3 2 2 3 2 7 4 2" xfId="31273" xr:uid="{00000000-0005-0000-0000-0000F3860000}"/>
    <cellStyle name="Remarque 3 2 2 3 2 7 4 2 2" xfId="55233" xr:uid="{00000000-0005-0000-0000-0000F4860000}"/>
    <cellStyle name="Remarque 3 2 2 3 2 7 4 3" xfId="18520" xr:uid="{00000000-0005-0000-0000-0000F5860000}"/>
    <cellStyle name="Remarque 3 2 2 3 2 7 4 4" xfId="42480" xr:uid="{00000000-0005-0000-0000-0000F6860000}"/>
    <cellStyle name="Remarque 3 2 2 3 2 7 5" xfId="8647" xr:uid="{00000000-0005-0000-0000-0000F7860000}"/>
    <cellStyle name="Remarque 3 2 2 3 2 7 5 2" xfId="32661" xr:uid="{00000000-0005-0000-0000-0000F8860000}"/>
    <cellStyle name="Remarque 3 2 2 3 2 7 5 2 2" xfId="56621" xr:uid="{00000000-0005-0000-0000-0000F9860000}"/>
    <cellStyle name="Remarque 3 2 2 3 2 7 5 3" xfId="19908" xr:uid="{00000000-0005-0000-0000-0000FA860000}"/>
    <cellStyle name="Remarque 3 2 2 3 2 7 5 4" xfId="43868" xr:uid="{00000000-0005-0000-0000-0000FB860000}"/>
    <cellStyle name="Remarque 3 2 2 3 2 7 6" xfId="10032" xr:uid="{00000000-0005-0000-0000-0000FC860000}"/>
    <cellStyle name="Remarque 3 2 2 3 2 7 6 2" xfId="34046" xr:uid="{00000000-0005-0000-0000-0000FD860000}"/>
    <cellStyle name="Remarque 3 2 2 3 2 7 6 2 2" xfId="58006" xr:uid="{00000000-0005-0000-0000-0000FE860000}"/>
    <cellStyle name="Remarque 3 2 2 3 2 7 6 3" xfId="21293" xr:uid="{00000000-0005-0000-0000-0000FF860000}"/>
    <cellStyle name="Remarque 3 2 2 3 2 7 6 4" xfId="45253" xr:uid="{00000000-0005-0000-0000-000000870000}"/>
    <cellStyle name="Remarque 3 2 2 3 2 7 7" xfId="11489" xr:uid="{00000000-0005-0000-0000-000001870000}"/>
    <cellStyle name="Remarque 3 2 2 3 2 7 7 2" xfId="35499" xr:uid="{00000000-0005-0000-0000-000002870000}"/>
    <cellStyle name="Remarque 3 2 2 3 2 7 7 2 2" xfId="59459" xr:uid="{00000000-0005-0000-0000-000003870000}"/>
    <cellStyle name="Remarque 3 2 2 3 2 7 7 3" xfId="22756" xr:uid="{00000000-0005-0000-0000-000004870000}"/>
    <cellStyle name="Remarque 3 2 2 3 2 7 7 4" xfId="46716" xr:uid="{00000000-0005-0000-0000-000005870000}"/>
    <cellStyle name="Remarque 3 2 2 3 2 7 8" xfId="12181" xr:uid="{00000000-0005-0000-0000-000006870000}"/>
    <cellStyle name="Remarque 3 2 2 3 2 7 8 2" xfId="23464" xr:uid="{00000000-0005-0000-0000-000007870000}"/>
    <cellStyle name="Remarque 3 2 2 3 2 7 8 3" xfId="47424" xr:uid="{00000000-0005-0000-0000-000008870000}"/>
    <cellStyle name="Remarque 3 2 2 3 2 7 9" xfId="2961" xr:uid="{00000000-0005-0000-0000-000009870000}"/>
    <cellStyle name="Remarque 3 2 2 3 2 7 9 2" xfId="26975" xr:uid="{00000000-0005-0000-0000-00000A870000}"/>
    <cellStyle name="Remarque 3 2 2 3 2 7 9 3" xfId="50935" xr:uid="{00000000-0005-0000-0000-00000B870000}"/>
    <cellStyle name="Remarque 3 2 2 3 2 8" xfId="3380" xr:uid="{00000000-0005-0000-0000-00000C870000}"/>
    <cellStyle name="Remarque 3 2 2 3 2 8 2" xfId="27394" xr:uid="{00000000-0005-0000-0000-00000D870000}"/>
    <cellStyle name="Remarque 3 2 2 3 2 8 2 2" xfId="51354" xr:uid="{00000000-0005-0000-0000-00000E870000}"/>
    <cellStyle name="Remarque 3 2 2 3 2 8 3" xfId="14641" xr:uid="{00000000-0005-0000-0000-00000F870000}"/>
    <cellStyle name="Remarque 3 2 2 3 2 8 4" xfId="38601" xr:uid="{00000000-0005-0000-0000-000010870000}"/>
    <cellStyle name="Remarque 3 2 2 3 2 9" xfId="4814" xr:uid="{00000000-0005-0000-0000-000011870000}"/>
    <cellStyle name="Remarque 3 2 2 3 2 9 2" xfId="28828" xr:uid="{00000000-0005-0000-0000-000012870000}"/>
    <cellStyle name="Remarque 3 2 2 3 2 9 2 2" xfId="52788" xr:uid="{00000000-0005-0000-0000-000013870000}"/>
    <cellStyle name="Remarque 3 2 2 3 2 9 3" xfId="16075" xr:uid="{00000000-0005-0000-0000-000014870000}"/>
    <cellStyle name="Remarque 3 2 2 3 2 9 4" xfId="40035" xr:uid="{00000000-0005-0000-0000-000015870000}"/>
    <cellStyle name="Remarque 3 2 2 3 3" xfId="278" xr:uid="{00000000-0005-0000-0000-000016870000}"/>
    <cellStyle name="Remarque 3 2 2 3 3 10" xfId="24310" xr:uid="{00000000-0005-0000-0000-000017870000}"/>
    <cellStyle name="Remarque 3 2 2 3 3 10 2" xfId="48270" xr:uid="{00000000-0005-0000-0000-000018870000}"/>
    <cellStyle name="Remarque 3 2 2 3 3 11" xfId="36276" xr:uid="{00000000-0005-0000-0000-000019870000}"/>
    <cellStyle name="Remarque 3 2 2 3 3 11 2" xfId="60236" xr:uid="{00000000-0005-0000-0000-00001A870000}"/>
    <cellStyle name="Remarque 3 2 2 3 3 12" xfId="12975" xr:uid="{00000000-0005-0000-0000-00001B870000}"/>
    <cellStyle name="Remarque 3 2 2 3 3 13" xfId="36935" xr:uid="{00000000-0005-0000-0000-00001C870000}"/>
    <cellStyle name="Remarque 3 2 2 3 3 2" xfId="3184" xr:uid="{00000000-0005-0000-0000-00001D870000}"/>
    <cellStyle name="Remarque 3 2 2 3 3 2 2" xfId="27198" xr:uid="{00000000-0005-0000-0000-00001E870000}"/>
    <cellStyle name="Remarque 3 2 2 3 3 2 2 2" xfId="51158" xr:uid="{00000000-0005-0000-0000-00001F870000}"/>
    <cellStyle name="Remarque 3 2 2 3 3 2 3" xfId="14445" xr:uid="{00000000-0005-0000-0000-000020870000}"/>
    <cellStyle name="Remarque 3 2 2 3 3 2 4" xfId="38405" xr:uid="{00000000-0005-0000-0000-000021870000}"/>
    <cellStyle name="Remarque 3 2 2 3 3 3" xfId="4618" xr:uid="{00000000-0005-0000-0000-000022870000}"/>
    <cellStyle name="Remarque 3 2 2 3 3 3 2" xfId="28632" xr:uid="{00000000-0005-0000-0000-000023870000}"/>
    <cellStyle name="Remarque 3 2 2 3 3 3 2 2" xfId="52592" xr:uid="{00000000-0005-0000-0000-000024870000}"/>
    <cellStyle name="Remarque 3 2 2 3 3 3 3" xfId="15879" xr:uid="{00000000-0005-0000-0000-000025870000}"/>
    <cellStyle name="Remarque 3 2 2 3 3 3 4" xfId="39839" xr:uid="{00000000-0005-0000-0000-000026870000}"/>
    <cellStyle name="Remarque 3 2 2 3 3 4" xfId="6012" xr:uid="{00000000-0005-0000-0000-000027870000}"/>
    <cellStyle name="Remarque 3 2 2 3 3 4 2" xfId="30026" xr:uid="{00000000-0005-0000-0000-000028870000}"/>
    <cellStyle name="Remarque 3 2 2 3 3 4 2 2" xfId="53986" xr:uid="{00000000-0005-0000-0000-000029870000}"/>
    <cellStyle name="Remarque 3 2 2 3 3 4 3" xfId="17273" xr:uid="{00000000-0005-0000-0000-00002A870000}"/>
    <cellStyle name="Remarque 3 2 2 3 3 4 4" xfId="41233" xr:uid="{00000000-0005-0000-0000-00002B870000}"/>
    <cellStyle name="Remarque 3 2 2 3 3 5" xfId="7400" xr:uid="{00000000-0005-0000-0000-00002C870000}"/>
    <cellStyle name="Remarque 3 2 2 3 3 5 2" xfId="31414" xr:uid="{00000000-0005-0000-0000-00002D870000}"/>
    <cellStyle name="Remarque 3 2 2 3 3 5 2 2" xfId="55374" xr:uid="{00000000-0005-0000-0000-00002E870000}"/>
    <cellStyle name="Remarque 3 2 2 3 3 5 3" xfId="18661" xr:uid="{00000000-0005-0000-0000-00002F870000}"/>
    <cellStyle name="Remarque 3 2 2 3 3 5 4" xfId="42621" xr:uid="{00000000-0005-0000-0000-000030870000}"/>
    <cellStyle name="Remarque 3 2 2 3 3 6" xfId="8785" xr:uid="{00000000-0005-0000-0000-000031870000}"/>
    <cellStyle name="Remarque 3 2 2 3 3 6 2" xfId="32799" xr:uid="{00000000-0005-0000-0000-000032870000}"/>
    <cellStyle name="Remarque 3 2 2 3 3 6 2 2" xfId="56759" xr:uid="{00000000-0005-0000-0000-000033870000}"/>
    <cellStyle name="Remarque 3 2 2 3 3 6 3" xfId="20046" xr:uid="{00000000-0005-0000-0000-000034870000}"/>
    <cellStyle name="Remarque 3 2 2 3 3 6 4" xfId="44006" xr:uid="{00000000-0005-0000-0000-000035870000}"/>
    <cellStyle name="Remarque 3 2 2 3 3 7" xfId="10242" xr:uid="{00000000-0005-0000-0000-000036870000}"/>
    <cellStyle name="Remarque 3 2 2 3 3 7 2" xfId="34252" xr:uid="{00000000-0005-0000-0000-000037870000}"/>
    <cellStyle name="Remarque 3 2 2 3 3 7 2 2" xfId="58212" xr:uid="{00000000-0005-0000-0000-000038870000}"/>
    <cellStyle name="Remarque 3 2 2 3 3 7 3" xfId="21509" xr:uid="{00000000-0005-0000-0000-000039870000}"/>
    <cellStyle name="Remarque 3 2 2 3 3 7 4" xfId="45469" xr:uid="{00000000-0005-0000-0000-00003A870000}"/>
    <cellStyle name="Remarque 3 2 2 3 3 8" xfId="12380" xr:uid="{00000000-0005-0000-0000-00003B870000}"/>
    <cellStyle name="Remarque 3 2 2 3 3 8 2" xfId="23669" xr:uid="{00000000-0005-0000-0000-00003C870000}"/>
    <cellStyle name="Remarque 3 2 2 3 3 8 3" xfId="47629" xr:uid="{00000000-0005-0000-0000-00003D870000}"/>
    <cellStyle name="Remarque 3 2 2 3 3 9" xfId="1714" xr:uid="{00000000-0005-0000-0000-00003E870000}"/>
    <cellStyle name="Remarque 3 2 2 3 3 9 2" xfId="25728" xr:uid="{00000000-0005-0000-0000-00003F870000}"/>
    <cellStyle name="Remarque 3 2 2 3 3 9 3" xfId="49688" xr:uid="{00000000-0005-0000-0000-000040870000}"/>
    <cellStyle name="Remarque 3 2 2 3 4" xfId="667" xr:uid="{00000000-0005-0000-0000-000041870000}"/>
    <cellStyle name="Remarque 3 2 2 3 4 10" xfId="24699" xr:uid="{00000000-0005-0000-0000-000042870000}"/>
    <cellStyle name="Remarque 3 2 2 3 4 10 2" xfId="48659" xr:uid="{00000000-0005-0000-0000-000043870000}"/>
    <cellStyle name="Remarque 3 2 2 3 4 11" xfId="34142" xr:uid="{00000000-0005-0000-0000-000044870000}"/>
    <cellStyle name="Remarque 3 2 2 3 4 11 2" xfId="58102" xr:uid="{00000000-0005-0000-0000-000045870000}"/>
    <cellStyle name="Remarque 3 2 2 3 4 12" xfId="13364" xr:uid="{00000000-0005-0000-0000-000046870000}"/>
    <cellStyle name="Remarque 3 2 2 3 4 13" xfId="37324" xr:uid="{00000000-0005-0000-0000-000047870000}"/>
    <cellStyle name="Remarque 3 2 2 3 4 2" xfId="3573" xr:uid="{00000000-0005-0000-0000-000048870000}"/>
    <cellStyle name="Remarque 3 2 2 3 4 2 2" xfId="27587" xr:uid="{00000000-0005-0000-0000-000049870000}"/>
    <cellStyle name="Remarque 3 2 2 3 4 2 2 2" xfId="51547" xr:uid="{00000000-0005-0000-0000-00004A870000}"/>
    <cellStyle name="Remarque 3 2 2 3 4 2 3" xfId="14834" xr:uid="{00000000-0005-0000-0000-00004B870000}"/>
    <cellStyle name="Remarque 3 2 2 3 4 2 4" xfId="38794" xr:uid="{00000000-0005-0000-0000-00004C870000}"/>
    <cellStyle name="Remarque 3 2 2 3 4 3" xfId="5007" xr:uid="{00000000-0005-0000-0000-00004D870000}"/>
    <cellStyle name="Remarque 3 2 2 3 4 3 2" xfId="29021" xr:uid="{00000000-0005-0000-0000-00004E870000}"/>
    <cellStyle name="Remarque 3 2 2 3 4 3 2 2" xfId="52981" xr:uid="{00000000-0005-0000-0000-00004F870000}"/>
    <cellStyle name="Remarque 3 2 2 3 4 3 3" xfId="16268" xr:uid="{00000000-0005-0000-0000-000050870000}"/>
    <cellStyle name="Remarque 3 2 2 3 4 3 4" xfId="40228" xr:uid="{00000000-0005-0000-0000-000051870000}"/>
    <cellStyle name="Remarque 3 2 2 3 4 4" xfId="6401" xr:uid="{00000000-0005-0000-0000-000052870000}"/>
    <cellStyle name="Remarque 3 2 2 3 4 4 2" xfId="30415" xr:uid="{00000000-0005-0000-0000-000053870000}"/>
    <cellStyle name="Remarque 3 2 2 3 4 4 2 2" xfId="54375" xr:uid="{00000000-0005-0000-0000-000054870000}"/>
    <cellStyle name="Remarque 3 2 2 3 4 4 3" xfId="17662" xr:uid="{00000000-0005-0000-0000-000055870000}"/>
    <cellStyle name="Remarque 3 2 2 3 4 4 4" xfId="41622" xr:uid="{00000000-0005-0000-0000-000056870000}"/>
    <cellStyle name="Remarque 3 2 2 3 4 5" xfId="7789" xr:uid="{00000000-0005-0000-0000-000057870000}"/>
    <cellStyle name="Remarque 3 2 2 3 4 5 2" xfId="31803" xr:uid="{00000000-0005-0000-0000-000058870000}"/>
    <cellStyle name="Remarque 3 2 2 3 4 5 2 2" xfId="55763" xr:uid="{00000000-0005-0000-0000-000059870000}"/>
    <cellStyle name="Remarque 3 2 2 3 4 5 3" xfId="19050" xr:uid="{00000000-0005-0000-0000-00005A870000}"/>
    <cellStyle name="Remarque 3 2 2 3 4 5 4" xfId="43010" xr:uid="{00000000-0005-0000-0000-00005B870000}"/>
    <cellStyle name="Remarque 3 2 2 3 4 6" xfId="9174" xr:uid="{00000000-0005-0000-0000-00005C870000}"/>
    <cellStyle name="Remarque 3 2 2 3 4 6 2" xfId="33188" xr:uid="{00000000-0005-0000-0000-00005D870000}"/>
    <cellStyle name="Remarque 3 2 2 3 4 6 2 2" xfId="57148" xr:uid="{00000000-0005-0000-0000-00005E870000}"/>
    <cellStyle name="Remarque 3 2 2 3 4 6 3" xfId="20435" xr:uid="{00000000-0005-0000-0000-00005F870000}"/>
    <cellStyle name="Remarque 3 2 2 3 4 6 4" xfId="44395" xr:uid="{00000000-0005-0000-0000-000060870000}"/>
    <cellStyle name="Remarque 3 2 2 3 4 7" xfId="10631" xr:uid="{00000000-0005-0000-0000-000061870000}"/>
    <cellStyle name="Remarque 3 2 2 3 4 7 2" xfId="34641" xr:uid="{00000000-0005-0000-0000-000062870000}"/>
    <cellStyle name="Remarque 3 2 2 3 4 7 2 2" xfId="58601" xr:uid="{00000000-0005-0000-0000-000063870000}"/>
    <cellStyle name="Remarque 3 2 2 3 4 7 3" xfId="21898" xr:uid="{00000000-0005-0000-0000-000064870000}"/>
    <cellStyle name="Remarque 3 2 2 3 4 7 4" xfId="45858" xr:uid="{00000000-0005-0000-0000-000065870000}"/>
    <cellStyle name="Remarque 3 2 2 3 4 8" xfId="12567" xr:uid="{00000000-0005-0000-0000-000066870000}"/>
    <cellStyle name="Remarque 3 2 2 3 4 8 2" xfId="23867" xr:uid="{00000000-0005-0000-0000-000067870000}"/>
    <cellStyle name="Remarque 3 2 2 3 4 8 3" xfId="47827" xr:uid="{00000000-0005-0000-0000-000068870000}"/>
    <cellStyle name="Remarque 3 2 2 3 4 9" xfId="2103" xr:uid="{00000000-0005-0000-0000-000069870000}"/>
    <cellStyle name="Remarque 3 2 2 3 4 9 2" xfId="26117" xr:uid="{00000000-0005-0000-0000-00006A870000}"/>
    <cellStyle name="Remarque 3 2 2 3 4 9 3" xfId="50077" xr:uid="{00000000-0005-0000-0000-00006B870000}"/>
    <cellStyle name="Remarque 3 2 2 3 5" xfId="861" xr:uid="{00000000-0005-0000-0000-00006C870000}"/>
    <cellStyle name="Remarque 3 2 2 3 5 10" xfId="24893" xr:uid="{00000000-0005-0000-0000-00006D870000}"/>
    <cellStyle name="Remarque 3 2 2 3 5 10 2" xfId="48853" xr:uid="{00000000-0005-0000-0000-00006E870000}"/>
    <cellStyle name="Remarque 3 2 2 3 5 11" xfId="35953" xr:uid="{00000000-0005-0000-0000-00006F870000}"/>
    <cellStyle name="Remarque 3 2 2 3 5 11 2" xfId="59913" xr:uid="{00000000-0005-0000-0000-000070870000}"/>
    <cellStyle name="Remarque 3 2 2 3 5 12" xfId="13558" xr:uid="{00000000-0005-0000-0000-000071870000}"/>
    <cellStyle name="Remarque 3 2 2 3 5 13" xfId="37518" xr:uid="{00000000-0005-0000-0000-000072870000}"/>
    <cellStyle name="Remarque 3 2 2 3 5 2" xfId="3767" xr:uid="{00000000-0005-0000-0000-000073870000}"/>
    <cellStyle name="Remarque 3 2 2 3 5 2 2" xfId="27781" xr:uid="{00000000-0005-0000-0000-000074870000}"/>
    <cellStyle name="Remarque 3 2 2 3 5 2 2 2" xfId="51741" xr:uid="{00000000-0005-0000-0000-000075870000}"/>
    <cellStyle name="Remarque 3 2 2 3 5 2 3" xfId="15028" xr:uid="{00000000-0005-0000-0000-000076870000}"/>
    <cellStyle name="Remarque 3 2 2 3 5 2 4" xfId="38988" xr:uid="{00000000-0005-0000-0000-000077870000}"/>
    <cellStyle name="Remarque 3 2 2 3 5 3" xfId="5201" xr:uid="{00000000-0005-0000-0000-000078870000}"/>
    <cellStyle name="Remarque 3 2 2 3 5 3 2" xfId="29215" xr:uid="{00000000-0005-0000-0000-000079870000}"/>
    <cellStyle name="Remarque 3 2 2 3 5 3 2 2" xfId="53175" xr:uid="{00000000-0005-0000-0000-00007A870000}"/>
    <cellStyle name="Remarque 3 2 2 3 5 3 3" xfId="16462" xr:uid="{00000000-0005-0000-0000-00007B870000}"/>
    <cellStyle name="Remarque 3 2 2 3 5 3 4" xfId="40422" xr:uid="{00000000-0005-0000-0000-00007C870000}"/>
    <cellStyle name="Remarque 3 2 2 3 5 4" xfId="6595" xr:uid="{00000000-0005-0000-0000-00007D870000}"/>
    <cellStyle name="Remarque 3 2 2 3 5 4 2" xfId="30609" xr:uid="{00000000-0005-0000-0000-00007E870000}"/>
    <cellStyle name="Remarque 3 2 2 3 5 4 2 2" xfId="54569" xr:uid="{00000000-0005-0000-0000-00007F870000}"/>
    <cellStyle name="Remarque 3 2 2 3 5 4 3" xfId="17856" xr:uid="{00000000-0005-0000-0000-000080870000}"/>
    <cellStyle name="Remarque 3 2 2 3 5 4 4" xfId="41816" xr:uid="{00000000-0005-0000-0000-000081870000}"/>
    <cellStyle name="Remarque 3 2 2 3 5 5" xfId="7983" xr:uid="{00000000-0005-0000-0000-000082870000}"/>
    <cellStyle name="Remarque 3 2 2 3 5 5 2" xfId="31997" xr:uid="{00000000-0005-0000-0000-000083870000}"/>
    <cellStyle name="Remarque 3 2 2 3 5 5 2 2" xfId="55957" xr:uid="{00000000-0005-0000-0000-000084870000}"/>
    <cellStyle name="Remarque 3 2 2 3 5 5 3" xfId="19244" xr:uid="{00000000-0005-0000-0000-000085870000}"/>
    <cellStyle name="Remarque 3 2 2 3 5 5 4" xfId="43204" xr:uid="{00000000-0005-0000-0000-000086870000}"/>
    <cellStyle name="Remarque 3 2 2 3 5 6" xfId="9368" xr:uid="{00000000-0005-0000-0000-000087870000}"/>
    <cellStyle name="Remarque 3 2 2 3 5 6 2" xfId="33382" xr:uid="{00000000-0005-0000-0000-000088870000}"/>
    <cellStyle name="Remarque 3 2 2 3 5 6 2 2" xfId="57342" xr:uid="{00000000-0005-0000-0000-000089870000}"/>
    <cellStyle name="Remarque 3 2 2 3 5 6 3" xfId="20629" xr:uid="{00000000-0005-0000-0000-00008A870000}"/>
    <cellStyle name="Remarque 3 2 2 3 5 6 4" xfId="44589" xr:uid="{00000000-0005-0000-0000-00008B870000}"/>
    <cellStyle name="Remarque 3 2 2 3 5 7" xfId="10825" xr:uid="{00000000-0005-0000-0000-00008C870000}"/>
    <cellStyle name="Remarque 3 2 2 3 5 7 2" xfId="34835" xr:uid="{00000000-0005-0000-0000-00008D870000}"/>
    <cellStyle name="Remarque 3 2 2 3 5 7 2 2" xfId="58795" xr:uid="{00000000-0005-0000-0000-00008E870000}"/>
    <cellStyle name="Remarque 3 2 2 3 5 7 3" xfId="22092" xr:uid="{00000000-0005-0000-0000-00008F870000}"/>
    <cellStyle name="Remarque 3 2 2 3 5 7 4" xfId="46052" xr:uid="{00000000-0005-0000-0000-000090870000}"/>
    <cellStyle name="Remarque 3 2 2 3 5 8" xfId="12845" xr:uid="{00000000-0005-0000-0000-000091870000}"/>
    <cellStyle name="Remarque 3 2 2 3 5 8 2" xfId="24157" xr:uid="{00000000-0005-0000-0000-000092870000}"/>
    <cellStyle name="Remarque 3 2 2 3 5 8 3" xfId="48117" xr:uid="{00000000-0005-0000-0000-000093870000}"/>
    <cellStyle name="Remarque 3 2 2 3 5 9" xfId="2297" xr:uid="{00000000-0005-0000-0000-000094870000}"/>
    <cellStyle name="Remarque 3 2 2 3 5 9 2" xfId="26311" xr:uid="{00000000-0005-0000-0000-000095870000}"/>
    <cellStyle name="Remarque 3 2 2 3 5 9 3" xfId="50271" xr:uid="{00000000-0005-0000-0000-000096870000}"/>
    <cellStyle name="Remarque 3 2 2 3 6" xfId="1054" xr:uid="{00000000-0005-0000-0000-000097870000}"/>
    <cellStyle name="Remarque 3 2 2 3 6 10" xfId="25086" xr:uid="{00000000-0005-0000-0000-000098870000}"/>
    <cellStyle name="Remarque 3 2 2 3 6 10 2" xfId="49046" xr:uid="{00000000-0005-0000-0000-000099870000}"/>
    <cellStyle name="Remarque 3 2 2 3 6 11" xfId="35983" xr:uid="{00000000-0005-0000-0000-00009A870000}"/>
    <cellStyle name="Remarque 3 2 2 3 6 11 2" xfId="59943" xr:uid="{00000000-0005-0000-0000-00009B870000}"/>
    <cellStyle name="Remarque 3 2 2 3 6 12" xfId="13751" xr:uid="{00000000-0005-0000-0000-00009C870000}"/>
    <cellStyle name="Remarque 3 2 2 3 6 13" xfId="37711" xr:uid="{00000000-0005-0000-0000-00009D870000}"/>
    <cellStyle name="Remarque 3 2 2 3 6 2" xfId="3960" xr:uid="{00000000-0005-0000-0000-00009E870000}"/>
    <cellStyle name="Remarque 3 2 2 3 6 2 2" xfId="27974" xr:uid="{00000000-0005-0000-0000-00009F870000}"/>
    <cellStyle name="Remarque 3 2 2 3 6 2 2 2" xfId="51934" xr:uid="{00000000-0005-0000-0000-0000A0870000}"/>
    <cellStyle name="Remarque 3 2 2 3 6 2 3" xfId="15221" xr:uid="{00000000-0005-0000-0000-0000A1870000}"/>
    <cellStyle name="Remarque 3 2 2 3 6 2 4" xfId="39181" xr:uid="{00000000-0005-0000-0000-0000A2870000}"/>
    <cellStyle name="Remarque 3 2 2 3 6 3" xfId="5394" xr:uid="{00000000-0005-0000-0000-0000A3870000}"/>
    <cellStyle name="Remarque 3 2 2 3 6 3 2" xfId="29408" xr:uid="{00000000-0005-0000-0000-0000A4870000}"/>
    <cellStyle name="Remarque 3 2 2 3 6 3 2 2" xfId="53368" xr:uid="{00000000-0005-0000-0000-0000A5870000}"/>
    <cellStyle name="Remarque 3 2 2 3 6 3 3" xfId="16655" xr:uid="{00000000-0005-0000-0000-0000A6870000}"/>
    <cellStyle name="Remarque 3 2 2 3 6 3 4" xfId="40615" xr:uid="{00000000-0005-0000-0000-0000A7870000}"/>
    <cellStyle name="Remarque 3 2 2 3 6 4" xfId="6788" xr:uid="{00000000-0005-0000-0000-0000A8870000}"/>
    <cellStyle name="Remarque 3 2 2 3 6 4 2" xfId="30802" xr:uid="{00000000-0005-0000-0000-0000A9870000}"/>
    <cellStyle name="Remarque 3 2 2 3 6 4 2 2" xfId="54762" xr:uid="{00000000-0005-0000-0000-0000AA870000}"/>
    <cellStyle name="Remarque 3 2 2 3 6 4 3" xfId="18049" xr:uid="{00000000-0005-0000-0000-0000AB870000}"/>
    <cellStyle name="Remarque 3 2 2 3 6 4 4" xfId="42009" xr:uid="{00000000-0005-0000-0000-0000AC870000}"/>
    <cellStyle name="Remarque 3 2 2 3 6 5" xfId="8176" xr:uid="{00000000-0005-0000-0000-0000AD870000}"/>
    <cellStyle name="Remarque 3 2 2 3 6 5 2" xfId="32190" xr:uid="{00000000-0005-0000-0000-0000AE870000}"/>
    <cellStyle name="Remarque 3 2 2 3 6 5 2 2" xfId="56150" xr:uid="{00000000-0005-0000-0000-0000AF870000}"/>
    <cellStyle name="Remarque 3 2 2 3 6 5 3" xfId="19437" xr:uid="{00000000-0005-0000-0000-0000B0870000}"/>
    <cellStyle name="Remarque 3 2 2 3 6 5 4" xfId="43397" xr:uid="{00000000-0005-0000-0000-0000B1870000}"/>
    <cellStyle name="Remarque 3 2 2 3 6 6" xfId="9561" xr:uid="{00000000-0005-0000-0000-0000B2870000}"/>
    <cellStyle name="Remarque 3 2 2 3 6 6 2" xfId="33575" xr:uid="{00000000-0005-0000-0000-0000B3870000}"/>
    <cellStyle name="Remarque 3 2 2 3 6 6 2 2" xfId="57535" xr:uid="{00000000-0005-0000-0000-0000B4870000}"/>
    <cellStyle name="Remarque 3 2 2 3 6 6 3" xfId="20822" xr:uid="{00000000-0005-0000-0000-0000B5870000}"/>
    <cellStyle name="Remarque 3 2 2 3 6 6 4" xfId="44782" xr:uid="{00000000-0005-0000-0000-0000B6870000}"/>
    <cellStyle name="Remarque 3 2 2 3 6 7" xfId="11018" xr:uid="{00000000-0005-0000-0000-0000B7870000}"/>
    <cellStyle name="Remarque 3 2 2 3 6 7 2" xfId="35028" xr:uid="{00000000-0005-0000-0000-0000B8870000}"/>
    <cellStyle name="Remarque 3 2 2 3 6 7 2 2" xfId="58988" xr:uid="{00000000-0005-0000-0000-0000B9870000}"/>
    <cellStyle name="Remarque 3 2 2 3 6 7 3" xfId="22285" xr:uid="{00000000-0005-0000-0000-0000BA870000}"/>
    <cellStyle name="Remarque 3 2 2 3 6 7 4" xfId="46245" xr:uid="{00000000-0005-0000-0000-0000BB870000}"/>
    <cellStyle name="Remarque 3 2 2 3 6 8" xfId="11737" xr:uid="{00000000-0005-0000-0000-0000BC870000}"/>
    <cellStyle name="Remarque 3 2 2 3 6 8 2" xfId="23008" xr:uid="{00000000-0005-0000-0000-0000BD870000}"/>
    <cellStyle name="Remarque 3 2 2 3 6 8 3" xfId="46968" xr:uid="{00000000-0005-0000-0000-0000BE870000}"/>
    <cellStyle name="Remarque 3 2 2 3 6 9" xfId="2490" xr:uid="{00000000-0005-0000-0000-0000BF870000}"/>
    <cellStyle name="Remarque 3 2 2 3 6 9 2" xfId="26504" xr:uid="{00000000-0005-0000-0000-0000C0870000}"/>
    <cellStyle name="Remarque 3 2 2 3 6 9 3" xfId="50464" xr:uid="{00000000-0005-0000-0000-0000C1870000}"/>
    <cellStyle name="Remarque 3 2 2 3 7" xfId="1390" xr:uid="{00000000-0005-0000-0000-0000C2870000}"/>
    <cellStyle name="Remarque 3 2 2 3 7 10" xfId="25422" xr:uid="{00000000-0005-0000-0000-0000C3870000}"/>
    <cellStyle name="Remarque 3 2 2 3 7 10 2" xfId="49382" xr:uid="{00000000-0005-0000-0000-0000C4870000}"/>
    <cellStyle name="Remarque 3 2 2 3 7 11" xfId="36569" xr:uid="{00000000-0005-0000-0000-0000C5870000}"/>
    <cellStyle name="Remarque 3 2 2 3 7 11 2" xfId="60529" xr:uid="{00000000-0005-0000-0000-0000C6870000}"/>
    <cellStyle name="Remarque 3 2 2 3 7 12" xfId="14087" xr:uid="{00000000-0005-0000-0000-0000C7870000}"/>
    <cellStyle name="Remarque 3 2 2 3 7 13" xfId="38047" xr:uid="{00000000-0005-0000-0000-0000C8870000}"/>
    <cellStyle name="Remarque 3 2 2 3 7 2" xfId="4296" xr:uid="{00000000-0005-0000-0000-0000C9870000}"/>
    <cellStyle name="Remarque 3 2 2 3 7 2 2" xfId="28310" xr:uid="{00000000-0005-0000-0000-0000CA870000}"/>
    <cellStyle name="Remarque 3 2 2 3 7 2 2 2" xfId="52270" xr:uid="{00000000-0005-0000-0000-0000CB870000}"/>
    <cellStyle name="Remarque 3 2 2 3 7 2 3" xfId="15557" xr:uid="{00000000-0005-0000-0000-0000CC870000}"/>
    <cellStyle name="Remarque 3 2 2 3 7 2 4" xfId="39517" xr:uid="{00000000-0005-0000-0000-0000CD870000}"/>
    <cellStyle name="Remarque 3 2 2 3 7 3" xfId="5730" xr:uid="{00000000-0005-0000-0000-0000CE870000}"/>
    <cellStyle name="Remarque 3 2 2 3 7 3 2" xfId="29744" xr:uid="{00000000-0005-0000-0000-0000CF870000}"/>
    <cellStyle name="Remarque 3 2 2 3 7 3 2 2" xfId="53704" xr:uid="{00000000-0005-0000-0000-0000D0870000}"/>
    <cellStyle name="Remarque 3 2 2 3 7 3 3" xfId="16991" xr:uid="{00000000-0005-0000-0000-0000D1870000}"/>
    <cellStyle name="Remarque 3 2 2 3 7 3 4" xfId="40951" xr:uid="{00000000-0005-0000-0000-0000D2870000}"/>
    <cellStyle name="Remarque 3 2 2 3 7 4" xfId="7124" xr:uid="{00000000-0005-0000-0000-0000D3870000}"/>
    <cellStyle name="Remarque 3 2 2 3 7 4 2" xfId="31138" xr:uid="{00000000-0005-0000-0000-0000D4870000}"/>
    <cellStyle name="Remarque 3 2 2 3 7 4 2 2" xfId="55098" xr:uid="{00000000-0005-0000-0000-0000D5870000}"/>
    <cellStyle name="Remarque 3 2 2 3 7 4 3" xfId="18385" xr:uid="{00000000-0005-0000-0000-0000D6870000}"/>
    <cellStyle name="Remarque 3 2 2 3 7 4 4" xfId="42345" xr:uid="{00000000-0005-0000-0000-0000D7870000}"/>
    <cellStyle name="Remarque 3 2 2 3 7 5" xfId="8512" xr:uid="{00000000-0005-0000-0000-0000D8870000}"/>
    <cellStyle name="Remarque 3 2 2 3 7 5 2" xfId="32526" xr:uid="{00000000-0005-0000-0000-0000D9870000}"/>
    <cellStyle name="Remarque 3 2 2 3 7 5 2 2" xfId="56486" xr:uid="{00000000-0005-0000-0000-0000DA870000}"/>
    <cellStyle name="Remarque 3 2 2 3 7 5 3" xfId="19773" xr:uid="{00000000-0005-0000-0000-0000DB870000}"/>
    <cellStyle name="Remarque 3 2 2 3 7 5 4" xfId="43733" xr:uid="{00000000-0005-0000-0000-0000DC870000}"/>
    <cellStyle name="Remarque 3 2 2 3 7 6" xfId="9897" xr:uid="{00000000-0005-0000-0000-0000DD870000}"/>
    <cellStyle name="Remarque 3 2 2 3 7 6 2" xfId="33911" xr:uid="{00000000-0005-0000-0000-0000DE870000}"/>
    <cellStyle name="Remarque 3 2 2 3 7 6 2 2" xfId="57871" xr:uid="{00000000-0005-0000-0000-0000DF870000}"/>
    <cellStyle name="Remarque 3 2 2 3 7 6 3" xfId="21158" xr:uid="{00000000-0005-0000-0000-0000E0870000}"/>
    <cellStyle name="Remarque 3 2 2 3 7 6 4" xfId="45118" xr:uid="{00000000-0005-0000-0000-0000E1870000}"/>
    <cellStyle name="Remarque 3 2 2 3 7 7" xfId="11354" xr:uid="{00000000-0005-0000-0000-0000E2870000}"/>
    <cellStyle name="Remarque 3 2 2 3 7 7 2" xfId="35364" xr:uid="{00000000-0005-0000-0000-0000E3870000}"/>
    <cellStyle name="Remarque 3 2 2 3 7 7 2 2" xfId="59324" xr:uid="{00000000-0005-0000-0000-0000E4870000}"/>
    <cellStyle name="Remarque 3 2 2 3 7 7 3" xfId="22621" xr:uid="{00000000-0005-0000-0000-0000E5870000}"/>
    <cellStyle name="Remarque 3 2 2 3 7 7 4" xfId="46581" xr:uid="{00000000-0005-0000-0000-0000E6870000}"/>
    <cellStyle name="Remarque 3 2 2 3 7 8" xfId="11763" xr:uid="{00000000-0005-0000-0000-0000E7870000}"/>
    <cellStyle name="Remarque 3 2 2 3 7 8 2" xfId="23035" xr:uid="{00000000-0005-0000-0000-0000E8870000}"/>
    <cellStyle name="Remarque 3 2 2 3 7 8 3" xfId="46995" xr:uid="{00000000-0005-0000-0000-0000E9870000}"/>
    <cellStyle name="Remarque 3 2 2 3 7 9" xfId="2826" xr:uid="{00000000-0005-0000-0000-0000EA870000}"/>
    <cellStyle name="Remarque 3 2 2 3 7 9 2" xfId="26840" xr:uid="{00000000-0005-0000-0000-0000EB870000}"/>
    <cellStyle name="Remarque 3 2 2 3 7 9 3" xfId="50800" xr:uid="{00000000-0005-0000-0000-0000EC870000}"/>
    <cellStyle name="Remarque 3 2 2 3 8" xfId="3146" xr:uid="{00000000-0005-0000-0000-0000ED870000}"/>
    <cellStyle name="Remarque 3 2 2 3 8 2" xfId="27160" xr:uid="{00000000-0005-0000-0000-0000EE870000}"/>
    <cellStyle name="Remarque 3 2 2 3 8 2 2" xfId="51120" xr:uid="{00000000-0005-0000-0000-0000EF870000}"/>
    <cellStyle name="Remarque 3 2 2 3 8 3" xfId="14407" xr:uid="{00000000-0005-0000-0000-0000F0870000}"/>
    <cellStyle name="Remarque 3 2 2 3 8 4" xfId="38367" xr:uid="{00000000-0005-0000-0000-0000F1870000}"/>
    <cellStyle name="Remarque 3 2 2 3 9" xfId="1676" xr:uid="{00000000-0005-0000-0000-0000F2870000}"/>
    <cellStyle name="Remarque 3 2 2 3 9 2" xfId="25690" xr:uid="{00000000-0005-0000-0000-0000F3870000}"/>
    <cellStyle name="Remarque 3 2 2 3 9 3" xfId="49650" xr:uid="{00000000-0005-0000-0000-0000F4870000}"/>
    <cellStyle name="Remarque 3 2 2 4" xfId="136" xr:uid="{00000000-0005-0000-0000-0000F5870000}"/>
    <cellStyle name="Remarque 3 2 2 4 10" xfId="6132" xr:uid="{00000000-0005-0000-0000-0000F6870000}"/>
    <cellStyle name="Remarque 3 2 2 4 10 2" xfId="30146" xr:uid="{00000000-0005-0000-0000-0000F7870000}"/>
    <cellStyle name="Remarque 3 2 2 4 10 2 2" xfId="54106" xr:uid="{00000000-0005-0000-0000-0000F8870000}"/>
    <cellStyle name="Remarque 3 2 2 4 10 3" xfId="17393" xr:uid="{00000000-0005-0000-0000-0000F9870000}"/>
    <cellStyle name="Remarque 3 2 2 4 10 4" xfId="41353" xr:uid="{00000000-0005-0000-0000-0000FA870000}"/>
    <cellStyle name="Remarque 3 2 2 4 11" xfId="7520" xr:uid="{00000000-0005-0000-0000-0000FB870000}"/>
    <cellStyle name="Remarque 3 2 2 4 11 2" xfId="31534" xr:uid="{00000000-0005-0000-0000-0000FC870000}"/>
    <cellStyle name="Remarque 3 2 2 4 11 2 2" xfId="55494" xr:uid="{00000000-0005-0000-0000-0000FD870000}"/>
    <cellStyle name="Remarque 3 2 2 4 11 3" xfId="18781" xr:uid="{00000000-0005-0000-0000-0000FE870000}"/>
    <cellStyle name="Remarque 3 2 2 4 11 4" xfId="42741" xr:uid="{00000000-0005-0000-0000-0000FF870000}"/>
    <cellStyle name="Remarque 3 2 2 4 12" xfId="8905" xr:uid="{00000000-0005-0000-0000-000000880000}"/>
    <cellStyle name="Remarque 3 2 2 4 12 2" xfId="32919" xr:uid="{00000000-0005-0000-0000-000001880000}"/>
    <cellStyle name="Remarque 3 2 2 4 12 2 2" xfId="56879" xr:uid="{00000000-0005-0000-0000-000002880000}"/>
    <cellStyle name="Remarque 3 2 2 4 12 3" xfId="20166" xr:uid="{00000000-0005-0000-0000-000003880000}"/>
    <cellStyle name="Remarque 3 2 2 4 12 4" xfId="44126" xr:uid="{00000000-0005-0000-0000-000004880000}"/>
    <cellStyle name="Remarque 3 2 2 4 13" xfId="10362" xr:uid="{00000000-0005-0000-0000-000005880000}"/>
    <cellStyle name="Remarque 3 2 2 4 13 2" xfId="34372" xr:uid="{00000000-0005-0000-0000-000006880000}"/>
    <cellStyle name="Remarque 3 2 2 4 13 2 2" xfId="58332" xr:uid="{00000000-0005-0000-0000-000007880000}"/>
    <cellStyle name="Remarque 3 2 2 4 13 3" xfId="21629" xr:uid="{00000000-0005-0000-0000-000008880000}"/>
    <cellStyle name="Remarque 3 2 2 4 13 4" xfId="45589" xr:uid="{00000000-0005-0000-0000-000009880000}"/>
    <cellStyle name="Remarque 3 2 2 4 14" xfId="12807" xr:uid="{00000000-0005-0000-0000-00000A880000}"/>
    <cellStyle name="Remarque 3 2 2 4 14 2" xfId="24118" xr:uid="{00000000-0005-0000-0000-00000B880000}"/>
    <cellStyle name="Remarque 3 2 2 4 14 3" xfId="48078" xr:uid="{00000000-0005-0000-0000-00000C880000}"/>
    <cellStyle name="Remarque 3 2 2 4 15" xfId="1834" xr:uid="{00000000-0005-0000-0000-00000D880000}"/>
    <cellStyle name="Remarque 3 2 2 4 15 2" xfId="25848" xr:uid="{00000000-0005-0000-0000-00000E880000}"/>
    <cellStyle name="Remarque 3 2 2 4 15 3" xfId="49808" xr:uid="{00000000-0005-0000-0000-00000F880000}"/>
    <cellStyle name="Remarque 3 2 2 4 16" xfId="24430" xr:uid="{00000000-0005-0000-0000-000010880000}"/>
    <cellStyle name="Remarque 3 2 2 4 16 2" xfId="48390" xr:uid="{00000000-0005-0000-0000-000011880000}"/>
    <cellStyle name="Remarque 3 2 2 4 17" xfId="35906" xr:uid="{00000000-0005-0000-0000-000012880000}"/>
    <cellStyle name="Remarque 3 2 2 4 17 2" xfId="59866" xr:uid="{00000000-0005-0000-0000-000013880000}"/>
    <cellStyle name="Remarque 3 2 2 4 18" xfId="13095" xr:uid="{00000000-0005-0000-0000-000014880000}"/>
    <cellStyle name="Remarque 3 2 2 4 19" xfId="37055" xr:uid="{00000000-0005-0000-0000-000015880000}"/>
    <cellStyle name="Remarque 3 2 2 4 2" xfId="534" xr:uid="{00000000-0005-0000-0000-000016880000}"/>
    <cellStyle name="Remarque 3 2 2 4 2 10" xfId="24566" xr:uid="{00000000-0005-0000-0000-000017880000}"/>
    <cellStyle name="Remarque 3 2 2 4 2 10 2" xfId="48526" xr:uid="{00000000-0005-0000-0000-000018880000}"/>
    <cellStyle name="Remarque 3 2 2 4 2 11" xfId="36642" xr:uid="{00000000-0005-0000-0000-000019880000}"/>
    <cellStyle name="Remarque 3 2 2 4 2 11 2" xfId="60602" xr:uid="{00000000-0005-0000-0000-00001A880000}"/>
    <cellStyle name="Remarque 3 2 2 4 2 12" xfId="13231" xr:uid="{00000000-0005-0000-0000-00001B880000}"/>
    <cellStyle name="Remarque 3 2 2 4 2 13" xfId="37191" xr:uid="{00000000-0005-0000-0000-00001C880000}"/>
    <cellStyle name="Remarque 3 2 2 4 2 2" xfId="3440" xr:uid="{00000000-0005-0000-0000-00001D880000}"/>
    <cellStyle name="Remarque 3 2 2 4 2 2 2" xfId="27454" xr:uid="{00000000-0005-0000-0000-00001E880000}"/>
    <cellStyle name="Remarque 3 2 2 4 2 2 2 2" xfId="51414" xr:uid="{00000000-0005-0000-0000-00001F880000}"/>
    <cellStyle name="Remarque 3 2 2 4 2 2 3" xfId="14701" xr:uid="{00000000-0005-0000-0000-000020880000}"/>
    <cellStyle name="Remarque 3 2 2 4 2 2 4" xfId="38661" xr:uid="{00000000-0005-0000-0000-000021880000}"/>
    <cellStyle name="Remarque 3 2 2 4 2 3" xfId="4874" xr:uid="{00000000-0005-0000-0000-000022880000}"/>
    <cellStyle name="Remarque 3 2 2 4 2 3 2" xfId="28888" xr:uid="{00000000-0005-0000-0000-000023880000}"/>
    <cellStyle name="Remarque 3 2 2 4 2 3 2 2" xfId="52848" xr:uid="{00000000-0005-0000-0000-000024880000}"/>
    <cellStyle name="Remarque 3 2 2 4 2 3 3" xfId="16135" xr:uid="{00000000-0005-0000-0000-000025880000}"/>
    <cellStyle name="Remarque 3 2 2 4 2 3 4" xfId="40095" xr:uid="{00000000-0005-0000-0000-000026880000}"/>
    <cellStyle name="Remarque 3 2 2 4 2 4" xfId="6268" xr:uid="{00000000-0005-0000-0000-000027880000}"/>
    <cellStyle name="Remarque 3 2 2 4 2 4 2" xfId="30282" xr:uid="{00000000-0005-0000-0000-000028880000}"/>
    <cellStyle name="Remarque 3 2 2 4 2 4 2 2" xfId="54242" xr:uid="{00000000-0005-0000-0000-000029880000}"/>
    <cellStyle name="Remarque 3 2 2 4 2 4 3" xfId="17529" xr:uid="{00000000-0005-0000-0000-00002A880000}"/>
    <cellStyle name="Remarque 3 2 2 4 2 4 4" xfId="41489" xr:uid="{00000000-0005-0000-0000-00002B880000}"/>
    <cellStyle name="Remarque 3 2 2 4 2 5" xfId="7656" xr:uid="{00000000-0005-0000-0000-00002C880000}"/>
    <cellStyle name="Remarque 3 2 2 4 2 5 2" xfId="31670" xr:uid="{00000000-0005-0000-0000-00002D880000}"/>
    <cellStyle name="Remarque 3 2 2 4 2 5 2 2" xfId="55630" xr:uid="{00000000-0005-0000-0000-00002E880000}"/>
    <cellStyle name="Remarque 3 2 2 4 2 5 3" xfId="18917" xr:uid="{00000000-0005-0000-0000-00002F880000}"/>
    <cellStyle name="Remarque 3 2 2 4 2 5 4" xfId="42877" xr:uid="{00000000-0005-0000-0000-000030880000}"/>
    <cellStyle name="Remarque 3 2 2 4 2 6" xfId="9041" xr:uid="{00000000-0005-0000-0000-000031880000}"/>
    <cellStyle name="Remarque 3 2 2 4 2 6 2" xfId="33055" xr:uid="{00000000-0005-0000-0000-000032880000}"/>
    <cellStyle name="Remarque 3 2 2 4 2 6 2 2" xfId="57015" xr:uid="{00000000-0005-0000-0000-000033880000}"/>
    <cellStyle name="Remarque 3 2 2 4 2 6 3" xfId="20302" xr:uid="{00000000-0005-0000-0000-000034880000}"/>
    <cellStyle name="Remarque 3 2 2 4 2 6 4" xfId="44262" xr:uid="{00000000-0005-0000-0000-000035880000}"/>
    <cellStyle name="Remarque 3 2 2 4 2 7" xfId="10498" xr:uid="{00000000-0005-0000-0000-000036880000}"/>
    <cellStyle name="Remarque 3 2 2 4 2 7 2" xfId="34508" xr:uid="{00000000-0005-0000-0000-000037880000}"/>
    <cellStyle name="Remarque 3 2 2 4 2 7 2 2" xfId="58468" xr:uid="{00000000-0005-0000-0000-000038880000}"/>
    <cellStyle name="Remarque 3 2 2 4 2 7 3" xfId="21765" xr:uid="{00000000-0005-0000-0000-000039880000}"/>
    <cellStyle name="Remarque 3 2 2 4 2 7 4" xfId="45725" xr:uid="{00000000-0005-0000-0000-00003A880000}"/>
    <cellStyle name="Remarque 3 2 2 4 2 8" xfId="12179" xr:uid="{00000000-0005-0000-0000-00003B880000}"/>
    <cellStyle name="Remarque 3 2 2 4 2 8 2" xfId="23462" xr:uid="{00000000-0005-0000-0000-00003C880000}"/>
    <cellStyle name="Remarque 3 2 2 4 2 8 3" xfId="47422" xr:uid="{00000000-0005-0000-0000-00003D880000}"/>
    <cellStyle name="Remarque 3 2 2 4 2 9" xfId="1970" xr:uid="{00000000-0005-0000-0000-00003E880000}"/>
    <cellStyle name="Remarque 3 2 2 4 2 9 2" xfId="25984" xr:uid="{00000000-0005-0000-0000-00003F880000}"/>
    <cellStyle name="Remarque 3 2 2 4 2 9 3" xfId="49944" xr:uid="{00000000-0005-0000-0000-000040880000}"/>
    <cellStyle name="Remarque 3 2 2 4 20" xfId="398" xr:uid="{00000000-0005-0000-0000-000041880000}"/>
    <cellStyle name="Remarque 3 2 2 4 3" xfId="726" xr:uid="{00000000-0005-0000-0000-000042880000}"/>
    <cellStyle name="Remarque 3 2 2 4 3 10" xfId="24758" xr:uid="{00000000-0005-0000-0000-000043880000}"/>
    <cellStyle name="Remarque 3 2 2 4 3 10 2" xfId="48718" xr:uid="{00000000-0005-0000-0000-000044880000}"/>
    <cellStyle name="Remarque 3 2 2 4 3 11" xfId="35674" xr:uid="{00000000-0005-0000-0000-000045880000}"/>
    <cellStyle name="Remarque 3 2 2 4 3 11 2" xfId="59634" xr:uid="{00000000-0005-0000-0000-000046880000}"/>
    <cellStyle name="Remarque 3 2 2 4 3 12" xfId="13423" xr:uid="{00000000-0005-0000-0000-000047880000}"/>
    <cellStyle name="Remarque 3 2 2 4 3 13" xfId="37383" xr:uid="{00000000-0005-0000-0000-000048880000}"/>
    <cellStyle name="Remarque 3 2 2 4 3 2" xfId="3632" xr:uid="{00000000-0005-0000-0000-000049880000}"/>
    <cellStyle name="Remarque 3 2 2 4 3 2 2" xfId="27646" xr:uid="{00000000-0005-0000-0000-00004A880000}"/>
    <cellStyle name="Remarque 3 2 2 4 3 2 2 2" xfId="51606" xr:uid="{00000000-0005-0000-0000-00004B880000}"/>
    <cellStyle name="Remarque 3 2 2 4 3 2 3" xfId="14893" xr:uid="{00000000-0005-0000-0000-00004C880000}"/>
    <cellStyle name="Remarque 3 2 2 4 3 2 4" xfId="38853" xr:uid="{00000000-0005-0000-0000-00004D880000}"/>
    <cellStyle name="Remarque 3 2 2 4 3 3" xfId="5066" xr:uid="{00000000-0005-0000-0000-00004E880000}"/>
    <cellStyle name="Remarque 3 2 2 4 3 3 2" xfId="29080" xr:uid="{00000000-0005-0000-0000-00004F880000}"/>
    <cellStyle name="Remarque 3 2 2 4 3 3 2 2" xfId="53040" xr:uid="{00000000-0005-0000-0000-000050880000}"/>
    <cellStyle name="Remarque 3 2 2 4 3 3 3" xfId="16327" xr:uid="{00000000-0005-0000-0000-000051880000}"/>
    <cellStyle name="Remarque 3 2 2 4 3 3 4" xfId="40287" xr:uid="{00000000-0005-0000-0000-000052880000}"/>
    <cellStyle name="Remarque 3 2 2 4 3 4" xfId="6460" xr:uid="{00000000-0005-0000-0000-000053880000}"/>
    <cellStyle name="Remarque 3 2 2 4 3 4 2" xfId="30474" xr:uid="{00000000-0005-0000-0000-000054880000}"/>
    <cellStyle name="Remarque 3 2 2 4 3 4 2 2" xfId="54434" xr:uid="{00000000-0005-0000-0000-000055880000}"/>
    <cellStyle name="Remarque 3 2 2 4 3 4 3" xfId="17721" xr:uid="{00000000-0005-0000-0000-000056880000}"/>
    <cellStyle name="Remarque 3 2 2 4 3 4 4" xfId="41681" xr:uid="{00000000-0005-0000-0000-000057880000}"/>
    <cellStyle name="Remarque 3 2 2 4 3 5" xfId="7848" xr:uid="{00000000-0005-0000-0000-000058880000}"/>
    <cellStyle name="Remarque 3 2 2 4 3 5 2" xfId="31862" xr:uid="{00000000-0005-0000-0000-000059880000}"/>
    <cellStyle name="Remarque 3 2 2 4 3 5 2 2" xfId="55822" xr:uid="{00000000-0005-0000-0000-00005A880000}"/>
    <cellStyle name="Remarque 3 2 2 4 3 5 3" xfId="19109" xr:uid="{00000000-0005-0000-0000-00005B880000}"/>
    <cellStyle name="Remarque 3 2 2 4 3 5 4" xfId="43069" xr:uid="{00000000-0005-0000-0000-00005C880000}"/>
    <cellStyle name="Remarque 3 2 2 4 3 6" xfId="9233" xr:uid="{00000000-0005-0000-0000-00005D880000}"/>
    <cellStyle name="Remarque 3 2 2 4 3 6 2" xfId="33247" xr:uid="{00000000-0005-0000-0000-00005E880000}"/>
    <cellStyle name="Remarque 3 2 2 4 3 6 2 2" xfId="57207" xr:uid="{00000000-0005-0000-0000-00005F880000}"/>
    <cellStyle name="Remarque 3 2 2 4 3 6 3" xfId="20494" xr:uid="{00000000-0005-0000-0000-000060880000}"/>
    <cellStyle name="Remarque 3 2 2 4 3 6 4" xfId="44454" xr:uid="{00000000-0005-0000-0000-000061880000}"/>
    <cellStyle name="Remarque 3 2 2 4 3 7" xfId="10690" xr:uid="{00000000-0005-0000-0000-000062880000}"/>
    <cellStyle name="Remarque 3 2 2 4 3 7 2" xfId="34700" xr:uid="{00000000-0005-0000-0000-000063880000}"/>
    <cellStyle name="Remarque 3 2 2 4 3 7 2 2" xfId="58660" xr:uid="{00000000-0005-0000-0000-000064880000}"/>
    <cellStyle name="Remarque 3 2 2 4 3 7 3" xfId="21957" xr:uid="{00000000-0005-0000-0000-000065880000}"/>
    <cellStyle name="Remarque 3 2 2 4 3 7 4" xfId="45917" xr:uid="{00000000-0005-0000-0000-000066880000}"/>
    <cellStyle name="Remarque 3 2 2 4 3 8" xfId="11713" xr:uid="{00000000-0005-0000-0000-000067880000}"/>
    <cellStyle name="Remarque 3 2 2 4 3 8 2" xfId="22983" xr:uid="{00000000-0005-0000-0000-000068880000}"/>
    <cellStyle name="Remarque 3 2 2 4 3 8 3" xfId="46943" xr:uid="{00000000-0005-0000-0000-000069880000}"/>
    <cellStyle name="Remarque 3 2 2 4 3 9" xfId="2162" xr:uid="{00000000-0005-0000-0000-00006A880000}"/>
    <cellStyle name="Remarque 3 2 2 4 3 9 2" xfId="26176" xr:uid="{00000000-0005-0000-0000-00006B880000}"/>
    <cellStyle name="Remarque 3 2 2 4 3 9 3" xfId="50136" xr:uid="{00000000-0005-0000-0000-00006C880000}"/>
    <cellStyle name="Remarque 3 2 2 4 4" xfId="920" xr:uid="{00000000-0005-0000-0000-00006D880000}"/>
    <cellStyle name="Remarque 3 2 2 4 4 10" xfId="24952" xr:uid="{00000000-0005-0000-0000-00006E880000}"/>
    <cellStyle name="Remarque 3 2 2 4 4 10 2" xfId="48912" xr:uid="{00000000-0005-0000-0000-00006F880000}"/>
    <cellStyle name="Remarque 3 2 2 4 4 11" xfId="36800" xr:uid="{00000000-0005-0000-0000-000070880000}"/>
    <cellStyle name="Remarque 3 2 2 4 4 11 2" xfId="60760" xr:uid="{00000000-0005-0000-0000-000071880000}"/>
    <cellStyle name="Remarque 3 2 2 4 4 12" xfId="13617" xr:uid="{00000000-0005-0000-0000-000072880000}"/>
    <cellStyle name="Remarque 3 2 2 4 4 13" xfId="37577" xr:uid="{00000000-0005-0000-0000-000073880000}"/>
    <cellStyle name="Remarque 3 2 2 4 4 2" xfId="3826" xr:uid="{00000000-0005-0000-0000-000074880000}"/>
    <cellStyle name="Remarque 3 2 2 4 4 2 2" xfId="27840" xr:uid="{00000000-0005-0000-0000-000075880000}"/>
    <cellStyle name="Remarque 3 2 2 4 4 2 2 2" xfId="51800" xr:uid="{00000000-0005-0000-0000-000076880000}"/>
    <cellStyle name="Remarque 3 2 2 4 4 2 3" xfId="15087" xr:uid="{00000000-0005-0000-0000-000077880000}"/>
    <cellStyle name="Remarque 3 2 2 4 4 2 4" xfId="39047" xr:uid="{00000000-0005-0000-0000-000078880000}"/>
    <cellStyle name="Remarque 3 2 2 4 4 3" xfId="5260" xr:uid="{00000000-0005-0000-0000-000079880000}"/>
    <cellStyle name="Remarque 3 2 2 4 4 3 2" xfId="29274" xr:uid="{00000000-0005-0000-0000-00007A880000}"/>
    <cellStyle name="Remarque 3 2 2 4 4 3 2 2" xfId="53234" xr:uid="{00000000-0005-0000-0000-00007B880000}"/>
    <cellStyle name="Remarque 3 2 2 4 4 3 3" xfId="16521" xr:uid="{00000000-0005-0000-0000-00007C880000}"/>
    <cellStyle name="Remarque 3 2 2 4 4 3 4" xfId="40481" xr:uid="{00000000-0005-0000-0000-00007D880000}"/>
    <cellStyle name="Remarque 3 2 2 4 4 4" xfId="6654" xr:uid="{00000000-0005-0000-0000-00007E880000}"/>
    <cellStyle name="Remarque 3 2 2 4 4 4 2" xfId="30668" xr:uid="{00000000-0005-0000-0000-00007F880000}"/>
    <cellStyle name="Remarque 3 2 2 4 4 4 2 2" xfId="54628" xr:uid="{00000000-0005-0000-0000-000080880000}"/>
    <cellStyle name="Remarque 3 2 2 4 4 4 3" xfId="17915" xr:uid="{00000000-0005-0000-0000-000081880000}"/>
    <cellStyle name="Remarque 3 2 2 4 4 4 4" xfId="41875" xr:uid="{00000000-0005-0000-0000-000082880000}"/>
    <cellStyle name="Remarque 3 2 2 4 4 5" xfId="8042" xr:uid="{00000000-0005-0000-0000-000083880000}"/>
    <cellStyle name="Remarque 3 2 2 4 4 5 2" xfId="32056" xr:uid="{00000000-0005-0000-0000-000084880000}"/>
    <cellStyle name="Remarque 3 2 2 4 4 5 2 2" xfId="56016" xr:uid="{00000000-0005-0000-0000-000085880000}"/>
    <cellStyle name="Remarque 3 2 2 4 4 5 3" xfId="19303" xr:uid="{00000000-0005-0000-0000-000086880000}"/>
    <cellStyle name="Remarque 3 2 2 4 4 5 4" xfId="43263" xr:uid="{00000000-0005-0000-0000-000087880000}"/>
    <cellStyle name="Remarque 3 2 2 4 4 6" xfId="9427" xr:uid="{00000000-0005-0000-0000-000088880000}"/>
    <cellStyle name="Remarque 3 2 2 4 4 6 2" xfId="33441" xr:uid="{00000000-0005-0000-0000-000089880000}"/>
    <cellStyle name="Remarque 3 2 2 4 4 6 2 2" xfId="57401" xr:uid="{00000000-0005-0000-0000-00008A880000}"/>
    <cellStyle name="Remarque 3 2 2 4 4 6 3" xfId="20688" xr:uid="{00000000-0005-0000-0000-00008B880000}"/>
    <cellStyle name="Remarque 3 2 2 4 4 6 4" xfId="44648" xr:uid="{00000000-0005-0000-0000-00008C880000}"/>
    <cellStyle name="Remarque 3 2 2 4 4 7" xfId="10884" xr:uid="{00000000-0005-0000-0000-00008D880000}"/>
    <cellStyle name="Remarque 3 2 2 4 4 7 2" xfId="34894" xr:uid="{00000000-0005-0000-0000-00008E880000}"/>
    <cellStyle name="Remarque 3 2 2 4 4 7 2 2" xfId="58854" xr:uid="{00000000-0005-0000-0000-00008F880000}"/>
    <cellStyle name="Remarque 3 2 2 4 4 7 3" xfId="22151" xr:uid="{00000000-0005-0000-0000-000090880000}"/>
    <cellStyle name="Remarque 3 2 2 4 4 7 4" xfId="46111" xr:uid="{00000000-0005-0000-0000-000091880000}"/>
    <cellStyle name="Remarque 3 2 2 4 4 8" xfId="11845" xr:uid="{00000000-0005-0000-0000-000092880000}"/>
    <cellStyle name="Remarque 3 2 2 4 4 8 2" xfId="23121" xr:uid="{00000000-0005-0000-0000-000093880000}"/>
    <cellStyle name="Remarque 3 2 2 4 4 8 3" xfId="47081" xr:uid="{00000000-0005-0000-0000-000094880000}"/>
    <cellStyle name="Remarque 3 2 2 4 4 9" xfId="2356" xr:uid="{00000000-0005-0000-0000-000095880000}"/>
    <cellStyle name="Remarque 3 2 2 4 4 9 2" xfId="26370" xr:uid="{00000000-0005-0000-0000-000096880000}"/>
    <cellStyle name="Remarque 3 2 2 4 4 9 3" xfId="50330" xr:uid="{00000000-0005-0000-0000-000097880000}"/>
    <cellStyle name="Remarque 3 2 2 4 5" xfId="1113" xr:uid="{00000000-0005-0000-0000-000098880000}"/>
    <cellStyle name="Remarque 3 2 2 4 5 10" xfId="25145" xr:uid="{00000000-0005-0000-0000-000099880000}"/>
    <cellStyle name="Remarque 3 2 2 4 5 10 2" xfId="49105" xr:uid="{00000000-0005-0000-0000-00009A880000}"/>
    <cellStyle name="Remarque 3 2 2 4 5 11" xfId="35880" xr:uid="{00000000-0005-0000-0000-00009B880000}"/>
    <cellStyle name="Remarque 3 2 2 4 5 11 2" xfId="59840" xr:uid="{00000000-0005-0000-0000-00009C880000}"/>
    <cellStyle name="Remarque 3 2 2 4 5 12" xfId="13810" xr:uid="{00000000-0005-0000-0000-00009D880000}"/>
    <cellStyle name="Remarque 3 2 2 4 5 13" xfId="37770" xr:uid="{00000000-0005-0000-0000-00009E880000}"/>
    <cellStyle name="Remarque 3 2 2 4 5 2" xfId="4019" xr:uid="{00000000-0005-0000-0000-00009F880000}"/>
    <cellStyle name="Remarque 3 2 2 4 5 2 2" xfId="28033" xr:uid="{00000000-0005-0000-0000-0000A0880000}"/>
    <cellStyle name="Remarque 3 2 2 4 5 2 2 2" xfId="51993" xr:uid="{00000000-0005-0000-0000-0000A1880000}"/>
    <cellStyle name="Remarque 3 2 2 4 5 2 3" xfId="15280" xr:uid="{00000000-0005-0000-0000-0000A2880000}"/>
    <cellStyle name="Remarque 3 2 2 4 5 2 4" xfId="39240" xr:uid="{00000000-0005-0000-0000-0000A3880000}"/>
    <cellStyle name="Remarque 3 2 2 4 5 3" xfId="5453" xr:uid="{00000000-0005-0000-0000-0000A4880000}"/>
    <cellStyle name="Remarque 3 2 2 4 5 3 2" xfId="29467" xr:uid="{00000000-0005-0000-0000-0000A5880000}"/>
    <cellStyle name="Remarque 3 2 2 4 5 3 2 2" xfId="53427" xr:uid="{00000000-0005-0000-0000-0000A6880000}"/>
    <cellStyle name="Remarque 3 2 2 4 5 3 3" xfId="16714" xr:uid="{00000000-0005-0000-0000-0000A7880000}"/>
    <cellStyle name="Remarque 3 2 2 4 5 3 4" xfId="40674" xr:uid="{00000000-0005-0000-0000-0000A8880000}"/>
    <cellStyle name="Remarque 3 2 2 4 5 4" xfId="6847" xr:uid="{00000000-0005-0000-0000-0000A9880000}"/>
    <cellStyle name="Remarque 3 2 2 4 5 4 2" xfId="30861" xr:uid="{00000000-0005-0000-0000-0000AA880000}"/>
    <cellStyle name="Remarque 3 2 2 4 5 4 2 2" xfId="54821" xr:uid="{00000000-0005-0000-0000-0000AB880000}"/>
    <cellStyle name="Remarque 3 2 2 4 5 4 3" xfId="18108" xr:uid="{00000000-0005-0000-0000-0000AC880000}"/>
    <cellStyle name="Remarque 3 2 2 4 5 4 4" xfId="42068" xr:uid="{00000000-0005-0000-0000-0000AD880000}"/>
    <cellStyle name="Remarque 3 2 2 4 5 5" xfId="8235" xr:uid="{00000000-0005-0000-0000-0000AE880000}"/>
    <cellStyle name="Remarque 3 2 2 4 5 5 2" xfId="32249" xr:uid="{00000000-0005-0000-0000-0000AF880000}"/>
    <cellStyle name="Remarque 3 2 2 4 5 5 2 2" xfId="56209" xr:uid="{00000000-0005-0000-0000-0000B0880000}"/>
    <cellStyle name="Remarque 3 2 2 4 5 5 3" xfId="19496" xr:uid="{00000000-0005-0000-0000-0000B1880000}"/>
    <cellStyle name="Remarque 3 2 2 4 5 5 4" xfId="43456" xr:uid="{00000000-0005-0000-0000-0000B2880000}"/>
    <cellStyle name="Remarque 3 2 2 4 5 6" xfId="9620" xr:uid="{00000000-0005-0000-0000-0000B3880000}"/>
    <cellStyle name="Remarque 3 2 2 4 5 6 2" xfId="33634" xr:uid="{00000000-0005-0000-0000-0000B4880000}"/>
    <cellStyle name="Remarque 3 2 2 4 5 6 2 2" xfId="57594" xr:uid="{00000000-0005-0000-0000-0000B5880000}"/>
    <cellStyle name="Remarque 3 2 2 4 5 6 3" xfId="20881" xr:uid="{00000000-0005-0000-0000-0000B6880000}"/>
    <cellStyle name="Remarque 3 2 2 4 5 6 4" xfId="44841" xr:uid="{00000000-0005-0000-0000-0000B7880000}"/>
    <cellStyle name="Remarque 3 2 2 4 5 7" xfId="11077" xr:uid="{00000000-0005-0000-0000-0000B8880000}"/>
    <cellStyle name="Remarque 3 2 2 4 5 7 2" xfId="35087" xr:uid="{00000000-0005-0000-0000-0000B9880000}"/>
    <cellStyle name="Remarque 3 2 2 4 5 7 2 2" xfId="59047" xr:uid="{00000000-0005-0000-0000-0000BA880000}"/>
    <cellStyle name="Remarque 3 2 2 4 5 7 3" xfId="22344" xr:uid="{00000000-0005-0000-0000-0000BB880000}"/>
    <cellStyle name="Remarque 3 2 2 4 5 7 4" xfId="46304" xr:uid="{00000000-0005-0000-0000-0000BC880000}"/>
    <cellStyle name="Remarque 3 2 2 4 5 8" xfId="12681" xr:uid="{00000000-0005-0000-0000-0000BD880000}"/>
    <cellStyle name="Remarque 3 2 2 4 5 8 2" xfId="23986" xr:uid="{00000000-0005-0000-0000-0000BE880000}"/>
    <cellStyle name="Remarque 3 2 2 4 5 8 3" xfId="47946" xr:uid="{00000000-0005-0000-0000-0000BF880000}"/>
    <cellStyle name="Remarque 3 2 2 4 5 9" xfId="2549" xr:uid="{00000000-0005-0000-0000-0000C0880000}"/>
    <cellStyle name="Remarque 3 2 2 4 5 9 2" xfId="26563" xr:uid="{00000000-0005-0000-0000-0000C1880000}"/>
    <cellStyle name="Remarque 3 2 2 4 5 9 3" xfId="50523" xr:uid="{00000000-0005-0000-0000-0000C2880000}"/>
    <cellStyle name="Remarque 3 2 2 4 6" xfId="1280" xr:uid="{00000000-0005-0000-0000-0000C3880000}"/>
    <cellStyle name="Remarque 3 2 2 4 6 10" xfId="25312" xr:uid="{00000000-0005-0000-0000-0000C4880000}"/>
    <cellStyle name="Remarque 3 2 2 4 6 10 2" xfId="49272" xr:uid="{00000000-0005-0000-0000-0000C5880000}"/>
    <cellStyle name="Remarque 3 2 2 4 6 11" xfId="36373" xr:uid="{00000000-0005-0000-0000-0000C6880000}"/>
    <cellStyle name="Remarque 3 2 2 4 6 11 2" xfId="60333" xr:uid="{00000000-0005-0000-0000-0000C7880000}"/>
    <cellStyle name="Remarque 3 2 2 4 6 12" xfId="13977" xr:uid="{00000000-0005-0000-0000-0000C8880000}"/>
    <cellStyle name="Remarque 3 2 2 4 6 13" xfId="37937" xr:uid="{00000000-0005-0000-0000-0000C9880000}"/>
    <cellStyle name="Remarque 3 2 2 4 6 2" xfId="4186" xr:uid="{00000000-0005-0000-0000-0000CA880000}"/>
    <cellStyle name="Remarque 3 2 2 4 6 2 2" xfId="28200" xr:uid="{00000000-0005-0000-0000-0000CB880000}"/>
    <cellStyle name="Remarque 3 2 2 4 6 2 2 2" xfId="52160" xr:uid="{00000000-0005-0000-0000-0000CC880000}"/>
    <cellStyle name="Remarque 3 2 2 4 6 2 3" xfId="15447" xr:uid="{00000000-0005-0000-0000-0000CD880000}"/>
    <cellStyle name="Remarque 3 2 2 4 6 2 4" xfId="39407" xr:uid="{00000000-0005-0000-0000-0000CE880000}"/>
    <cellStyle name="Remarque 3 2 2 4 6 3" xfId="5620" xr:uid="{00000000-0005-0000-0000-0000CF880000}"/>
    <cellStyle name="Remarque 3 2 2 4 6 3 2" xfId="29634" xr:uid="{00000000-0005-0000-0000-0000D0880000}"/>
    <cellStyle name="Remarque 3 2 2 4 6 3 2 2" xfId="53594" xr:uid="{00000000-0005-0000-0000-0000D1880000}"/>
    <cellStyle name="Remarque 3 2 2 4 6 3 3" xfId="16881" xr:uid="{00000000-0005-0000-0000-0000D2880000}"/>
    <cellStyle name="Remarque 3 2 2 4 6 3 4" xfId="40841" xr:uid="{00000000-0005-0000-0000-0000D3880000}"/>
    <cellStyle name="Remarque 3 2 2 4 6 4" xfId="7014" xr:uid="{00000000-0005-0000-0000-0000D4880000}"/>
    <cellStyle name="Remarque 3 2 2 4 6 4 2" xfId="31028" xr:uid="{00000000-0005-0000-0000-0000D5880000}"/>
    <cellStyle name="Remarque 3 2 2 4 6 4 2 2" xfId="54988" xr:uid="{00000000-0005-0000-0000-0000D6880000}"/>
    <cellStyle name="Remarque 3 2 2 4 6 4 3" xfId="18275" xr:uid="{00000000-0005-0000-0000-0000D7880000}"/>
    <cellStyle name="Remarque 3 2 2 4 6 4 4" xfId="42235" xr:uid="{00000000-0005-0000-0000-0000D8880000}"/>
    <cellStyle name="Remarque 3 2 2 4 6 5" xfId="8402" xr:uid="{00000000-0005-0000-0000-0000D9880000}"/>
    <cellStyle name="Remarque 3 2 2 4 6 5 2" xfId="32416" xr:uid="{00000000-0005-0000-0000-0000DA880000}"/>
    <cellStyle name="Remarque 3 2 2 4 6 5 2 2" xfId="56376" xr:uid="{00000000-0005-0000-0000-0000DB880000}"/>
    <cellStyle name="Remarque 3 2 2 4 6 5 3" xfId="19663" xr:uid="{00000000-0005-0000-0000-0000DC880000}"/>
    <cellStyle name="Remarque 3 2 2 4 6 5 4" xfId="43623" xr:uid="{00000000-0005-0000-0000-0000DD880000}"/>
    <cellStyle name="Remarque 3 2 2 4 6 6" xfId="9787" xr:uid="{00000000-0005-0000-0000-0000DE880000}"/>
    <cellStyle name="Remarque 3 2 2 4 6 6 2" xfId="33801" xr:uid="{00000000-0005-0000-0000-0000DF880000}"/>
    <cellStyle name="Remarque 3 2 2 4 6 6 2 2" xfId="57761" xr:uid="{00000000-0005-0000-0000-0000E0880000}"/>
    <cellStyle name="Remarque 3 2 2 4 6 6 3" xfId="21048" xr:uid="{00000000-0005-0000-0000-0000E1880000}"/>
    <cellStyle name="Remarque 3 2 2 4 6 6 4" xfId="45008" xr:uid="{00000000-0005-0000-0000-0000E2880000}"/>
    <cellStyle name="Remarque 3 2 2 4 6 7" xfId="11244" xr:uid="{00000000-0005-0000-0000-0000E3880000}"/>
    <cellStyle name="Remarque 3 2 2 4 6 7 2" xfId="35254" xr:uid="{00000000-0005-0000-0000-0000E4880000}"/>
    <cellStyle name="Remarque 3 2 2 4 6 7 2 2" xfId="59214" xr:uid="{00000000-0005-0000-0000-0000E5880000}"/>
    <cellStyle name="Remarque 3 2 2 4 6 7 3" xfId="22511" xr:uid="{00000000-0005-0000-0000-0000E6880000}"/>
    <cellStyle name="Remarque 3 2 2 4 6 7 4" xfId="46471" xr:uid="{00000000-0005-0000-0000-0000E7880000}"/>
    <cellStyle name="Remarque 3 2 2 4 6 8" xfId="11670" xr:uid="{00000000-0005-0000-0000-0000E8880000}"/>
    <cellStyle name="Remarque 3 2 2 4 6 8 2" xfId="22938" xr:uid="{00000000-0005-0000-0000-0000E9880000}"/>
    <cellStyle name="Remarque 3 2 2 4 6 8 3" xfId="46898" xr:uid="{00000000-0005-0000-0000-0000EA880000}"/>
    <cellStyle name="Remarque 3 2 2 4 6 9" xfId="2716" xr:uid="{00000000-0005-0000-0000-0000EB880000}"/>
    <cellStyle name="Remarque 3 2 2 4 6 9 2" xfId="26730" xr:uid="{00000000-0005-0000-0000-0000EC880000}"/>
    <cellStyle name="Remarque 3 2 2 4 6 9 3" xfId="50690" xr:uid="{00000000-0005-0000-0000-0000ED880000}"/>
    <cellStyle name="Remarque 3 2 2 4 7" xfId="1449" xr:uid="{00000000-0005-0000-0000-0000EE880000}"/>
    <cellStyle name="Remarque 3 2 2 4 7 10" xfId="25481" xr:uid="{00000000-0005-0000-0000-0000EF880000}"/>
    <cellStyle name="Remarque 3 2 2 4 7 10 2" xfId="49441" xr:uid="{00000000-0005-0000-0000-0000F0880000}"/>
    <cellStyle name="Remarque 3 2 2 4 7 11" xfId="36052" xr:uid="{00000000-0005-0000-0000-0000F1880000}"/>
    <cellStyle name="Remarque 3 2 2 4 7 11 2" xfId="60012" xr:uid="{00000000-0005-0000-0000-0000F2880000}"/>
    <cellStyle name="Remarque 3 2 2 4 7 12" xfId="14146" xr:uid="{00000000-0005-0000-0000-0000F3880000}"/>
    <cellStyle name="Remarque 3 2 2 4 7 13" xfId="38106" xr:uid="{00000000-0005-0000-0000-0000F4880000}"/>
    <cellStyle name="Remarque 3 2 2 4 7 2" xfId="4355" xr:uid="{00000000-0005-0000-0000-0000F5880000}"/>
    <cellStyle name="Remarque 3 2 2 4 7 2 2" xfId="28369" xr:uid="{00000000-0005-0000-0000-0000F6880000}"/>
    <cellStyle name="Remarque 3 2 2 4 7 2 2 2" xfId="52329" xr:uid="{00000000-0005-0000-0000-0000F7880000}"/>
    <cellStyle name="Remarque 3 2 2 4 7 2 3" xfId="15616" xr:uid="{00000000-0005-0000-0000-0000F8880000}"/>
    <cellStyle name="Remarque 3 2 2 4 7 2 4" xfId="39576" xr:uid="{00000000-0005-0000-0000-0000F9880000}"/>
    <cellStyle name="Remarque 3 2 2 4 7 3" xfId="5789" xr:uid="{00000000-0005-0000-0000-0000FA880000}"/>
    <cellStyle name="Remarque 3 2 2 4 7 3 2" xfId="29803" xr:uid="{00000000-0005-0000-0000-0000FB880000}"/>
    <cellStyle name="Remarque 3 2 2 4 7 3 2 2" xfId="53763" xr:uid="{00000000-0005-0000-0000-0000FC880000}"/>
    <cellStyle name="Remarque 3 2 2 4 7 3 3" xfId="17050" xr:uid="{00000000-0005-0000-0000-0000FD880000}"/>
    <cellStyle name="Remarque 3 2 2 4 7 3 4" xfId="41010" xr:uid="{00000000-0005-0000-0000-0000FE880000}"/>
    <cellStyle name="Remarque 3 2 2 4 7 4" xfId="7183" xr:uid="{00000000-0005-0000-0000-0000FF880000}"/>
    <cellStyle name="Remarque 3 2 2 4 7 4 2" xfId="31197" xr:uid="{00000000-0005-0000-0000-000000890000}"/>
    <cellStyle name="Remarque 3 2 2 4 7 4 2 2" xfId="55157" xr:uid="{00000000-0005-0000-0000-000001890000}"/>
    <cellStyle name="Remarque 3 2 2 4 7 4 3" xfId="18444" xr:uid="{00000000-0005-0000-0000-000002890000}"/>
    <cellStyle name="Remarque 3 2 2 4 7 4 4" xfId="42404" xr:uid="{00000000-0005-0000-0000-000003890000}"/>
    <cellStyle name="Remarque 3 2 2 4 7 5" xfId="8571" xr:uid="{00000000-0005-0000-0000-000004890000}"/>
    <cellStyle name="Remarque 3 2 2 4 7 5 2" xfId="32585" xr:uid="{00000000-0005-0000-0000-000005890000}"/>
    <cellStyle name="Remarque 3 2 2 4 7 5 2 2" xfId="56545" xr:uid="{00000000-0005-0000-0000-000006890000}"/>
    <cellStyle name="Remarque 3 2 2 4 7 5 3" xfId="19832" xr:uid="{00000000-0005-0000-0000-000007890000}"/>
    <cellStyle name="Remarque 3 2 2 4 7 5 4" xfId="43792" xr:uid="{00000000-0005-0000-0000-000008890000}"/>
    <cellStyle name="Remarque 3 2 2 4 7 6" xfId="9956" xr:uid="{00000000-0005-0000-0000-000009890000}"/>
    <cellStyle name="Remarque 3 2 2 4 7 6 2" xfId="33970" xr:uid="{00000000-0005-0000-0000-00000A890000}"/>
    <cellStyle name="Remarque 3 2 2 4 7 6 2 2" xfId="57930" xr:uid="{00000000-0005-0000-0000-00000B890000}"/>
    <cellStyle name="Remarque 3 2 2 4 7 6 3" xfId="21217" xr:uid="{00000000-0005-0000-0000-00000C890000}"/>
    <cellStyle name="Remarque 3 2 2 4 7 6 4" xfId="45177" xr:uid="{00000000-0005-0000-0000-00000D890000}"/>
    <cellStyle name="Remarque 3 2 2 4 7 7" xfId="11413" xr:uid="{00000000-0005-0000-0000-00000E890000}"/>
    <cellStyle name="Remarque 3 2 2 4 7 7 2" xfId="35423" xr:uid="{00000000-0005-0000-0000-00000F890000}"/>
    <cellStyle name="Remarque 3 2 2 4 7 7 2 2" xfId="59383" xr:uid="{00000000-0005-0000-0000-000010890000}"/>
    <cellStyle name="Remarque 3 2 2 4 7 7 3" xfId="22680" xr:uid="{00000000-0005-0000-0000-000011890000}"/>
    <cellStyle name="Remarque 3 2 2 4 7 7 4" xfId="46640" xr:uid="{00000000-0005-0000-0000-000012890000}"/>
    <cellStyle name="Remarque 3 2 2 4 7 8" xfId="10118" xr:uid="{00000000-0005-0000-0000-000013890000}"/>
    <cellStyle name="Remarque 3 2 2 4 7 8 2" xfId="21379" xr:uid="{00000000-0005-0000-0000-000014890000}"/>
    <cellStyle name="Remarque 3 2 2 4 7 8 3" xfId="45339" xr:uid="{00000000-0005-0000-0000-000015890000}"/>
    <cellStyle name="Remarque 3 2 2 4 7 9" xfId="2885" xr:uid="{00000000-0005-0000-0000-000016890000}"/>
    <cellStyle name="Remarque 3 2 2 4 7 9 2" xfId="26899" xr:uid="{00000000-0005-0000-0000-000017890000}"/>
    <cellStyle name="Remarque 3 2 2 4 7 9 3" xfId="50859" xr:uid="{00000000-0005-0000-0000-000018890000}"/>
    <cellStyle name="Remarque 3 2 2 4 8" xfId="3304" xr:uid="{00000000-0005-0000-0000-000019890000}"/>
    <cellStyle name="Remarque 3 2 2 4 8 2" xfId="27318" xr:uid="{00000000-0005-0000-0000-00001A890000}"/>
    <cellStyle name="Remarque 3 2 2 4 8 2 2" xfId="51278" xr:uid="{00000000-0005-0000-0000-00001B890000}"/>
    <cellStyle name="Remarque 3 2 2 4 8 3" xfId="14565" xr:uid="{00000000-0005-0000-0000-00001C890000}"/>
    <cellStyle name="Remarque 3 2 2 4 8 4" xfId="38525" xr:uid="{00000000-0005-0000-0000-00001D890000}"/>
    <cellStyle name="Remarque 3 2 2 4 9" xfId="4738" xr:uid="{00000000-0005-0000-0000-00001E890000}"/>
    <cellStyle name="Remarque 3 2 2 4 9 2" xfId="28752" xr:uid="{00000000-0005-0000-0000-00001F890000}"/>
    <cellStyle name="Remarque 3 2 2 4 9 2 2" xfId="52712" xr:uid="{00000000-0005-0000-0000-000020890000}"/>
    <cellStyle name="Remarque 3 2 2 4 9 3" xfId="15999" xr:uid="{00000000-0005-0000-0000-000021890000}"/>
    <cellStyle name="Remarque 3 2 2 4 9 4" xfId="39959" xr:uid="{00000000-0005-0000-0000-000022890000}"/>
    <cellStyle name="Remarque 3 2 2 5" xfId="379" xr:uid="{00000000-0005-0000-0000-000023890000}"/>
    <cellStyle name="Remarque 3 2 2 5 10" xfId="6113" xr:uid="{00000000-0005-0000-0000-000024890000}"/>
    <cellStyle name="Remarque 3 2 2 5 10 2" xfId="30127" xr:uid="{00000000-0005-0000-0000-000025890000}"/>
    <cellStyle name="Remarque 3 2 2 5 10 2 2" xfId="54087" xr:uid="{00000000-0005-0000-0000-000026890000}"/>
    <cellStyle name="Remarque 3 2 2 5 10 3" xfId="17374" xr:uid="{00000000-0005-0000-0000-000027890000}"/>
    <cellStyle name="Remarque 3 2 2 5 10 4" xfId="41334" xr:uid="{00000000-0005-0000-0000-000028890000}"/>
    <cellStyle name="Remarque 3 2 2 5 11" xfId="7501" xr:uid="{00000000-0005-0000-0000-000029890000}"/>
    <cellStyle name="Remarque 3 2 2 5 11 2" xfId="31515" xr:uid="{00000000-0005-0000-0000-00002A890000}"/>
    <cellStyle name="Remarque 3 2 2 5 11 2 2" xfId="55475" xr:uid="{00000000-0005-0000-0000-00002B890000}"/>
    <cellStyle name="Remarque 3 2 2 5 11 3" xfId="18762" xr:uid="{00000000-0005-0000-0000-00002C890000}"/>
    <cellStyle name="Remarque 3 2 2 5 11 4" xfId="42722" xr:uid="{00000000-0005-0000-0000-00002D890000}"/>
    <cellStyle name="Remarque 3 2 2 5 12" xfId="8886" xr:uid="{00000000-0005-0000-0000-00002E890000}"/>
    <cellStyle name="Remarque 3 2 2 5 12 2" xfId="32900" xr:uid="{00000000-0005-0000-0000-00002F890000}"/>
    <cellStyle name="Remarque 3 2 2 5 12 2 2" xfId="56860" xr:uid="{00000000-0005-0000-0000-000030890000}"/>
    <cellStyle name="Remarque 3 2 2 5 12 3" xfId="20147" xr:uid="{00000000-0005-0000-0000-000031890000}"/>
    <cellStyle name="Remarque 3 2 2 5 12 4" xfId="44107" xr:uid="{00000000-0005-0000-0000-000032890000}"/>
    <cellStyle name="Remarque 3 2 2 5 13" xfId="10343" xr:uid="{00000000-0005-0000-0000-000033890000}"/>
    <cellStyle name="Remarque 3 2 2 5 13 2" xfId="34353" xr:uid="{00000000-0005-0000-0000-000034890000}"/>
    <cellStyle name="Remarque 3 2 2 5 13 2 2" xfId="58313" xr:uid="{00000000-0005-0000-0000-000035890000}"/>
    <cellStyle name="Remarque 3 2 2 5 13 3" xfId="21610" xr:uid="{00000000-0005-0000-0000-000036890000}"/>
    <cellStyle name="Remarque 3 2 2 5 13 4" xfId="45570" xr:uid="{00000000-0005-0000-0000-000037890000}"/>
    <cellStyle name="Remarque 3 2 2 5 14" xfId="11757" xr:uid="{00000000-0005-0000-0000-000038890000}"/>
    <cellStyle name="Remarque 3 2 2 5 14 2" xfId="23029" xr:uid="{00000000-0005-0000-0000-000039890000}"/>
    <cellStyle name="Remarque 3 2 2 5 14 3" xfId="46989" xr:uid="{00000000-0005-0000-0000-00003A890000}"/>
    <cellStyle name="Remarque 3 2 2 5 15" xfId="1815" xr:uid="{00000000-0005-0000-0000-00003B890000}"/>
    <cellStyle name="Remarque 3 2 2 5 15 2" xfId="25829" xr:uid="{00000000-0005-0000-0000-00003C890000}"/>
    <cellStyle name="Remarque 3 2 2 5 15 3" xfId="49789" xr:uid="{00000000-0005-0000-0000-00003D890000}"/>
    <cellStyle name="Remarque 3 2 2 5 16" xfId="24411" xr:uid="{00000000-0005-0000-0000-00003E890000}"/>
    <cellStyle name="Remarque 3 2 2 5 16 2" xfId="48371" xr:uid="{00000000-0005-0000-0000-00003F890000}"/>
    <cellStyle name="Remarque 3 2 2 5 17" xfId="36351" xr:uid="{00000000-0005-0000-0000-000040890000}"/>
    <cellStyle name="Remarque 3 2 2 5 17 2" xfId="60311" xr:uid="{00000000-0005-0000-0000-000041890000}"/>
    <cellStyle name="Remarque 3 2 2 5 18" xfId="13076" xr:uid="{00000000-0005-0000-0000-000042890000}"/>
    <cellStyle name="Remarque 3 2 2 5 19" xfId="37036" xr:uid="{00000000-0005-0000-0000-000043890000}"/>
    <cellStyle name="Remarque 3 2 2 5 2" xfId="515" xr:uid="{00000000-0005-0000-0000-000044890000}"/>
    <cellStyle name="Remarque 3 2 2 5 2 10" xfId="24547" xr:uid="{00000000-0005-0000-0000-000045890000}"/>
    <cellStyle name="Remarque 3 2 2 5 2 10 2" xfId="48507" xr:uid="{00000000-0005-0000-0000-000046890000}"/>
    <cellStyle name="Remarque 3 2 2 5 2 11" xfId="36592" xr:uid="{00000000-0005-0000-0000-000047890000}"/>
    <cellStyle name="Remarque 3 2 2 5 2 11 2" xfId="60552" xr:uid="{00000000-0005-0000-0000-000048890000}"/>
    <cellStyle name="Remarque 3 2 2 5 2 12" xfId="13212" xr:uid="{00000000-0005-0000-0000-000049890000}"/>
    <cellStyle name="Remarque 3 2 2 5 2 13" xfId="37172" xr:uid="{00000000-0005-0000-0000-00004A890000}"/>
    <cellStyle name="Remarque 3 2 2 5 2 2" xfId="3421" xr:uid="{00000000-0005-0000-0000-00004B890000}"/>
    <cellStyle name="Remarque 3 2 2 5 2 2 2" xfId="27435" xr:uid="{00000000-0005-0000-0000-00004C890000}"/>
    <cellStyle name="Remarque 3 2 2 5 2 2 2 2" xfId="51395" xr:uid="{00000000-0005-0000-0000-00004D890000}"/>
    <cellStyle name="Remarque 3 2 2 5 2 2 3" xfId="14682" xr:uid="{00000000-0005-0000-0000-00004E890000}"/>
    <cellStyle name="Remarque 3 2 2 5 2 2 4" xfId="38642" xr:uid="{00000000-0005-0000-0000-00004F890000}"/>
    <cellStyle name="Remarque 3 2 2 5 2 3" xfId="4855" xr:uid="{00000000-0005-0000-0000-000050890000}"/>
    <cellStyle name="Remarque 3 2 2 5 2 3 2" xfId="28869" xr:uid="{00000000-0005-0000-0000-000051890000}"/>
    <cellStyle name="Remarque 3 2 2 5 2 3 2 2" xfId="52829" xr:uid="{00000000-0005-0000-0000-000052890000}"/>
    <cellStyle name="Remarque 3 2 2 5 2 3 3" xfId="16116" xr:uid="{00000000-0005-0000-0000-000053890000}"/>
    <cellStyle name="Remarque 3 2 2 5 2 3 4" xfId="40076" xr:uid="{00000000-0005-0000-0000-000054890000}"/>
    <cellStyle name="Remarque 3 2 2 5 2 4" xfId="6249" xr:uid="{00000000-0005-0000-0000-000055890000}"/>
    <cellStyle name="Remarque 3 2 2 5 2 4 2" xfId="30263" xr:uid="{00000000-0005-0000-0000-000056890000}"/>
    <cellStyle name="Remarque 3 2 2 5 2 4 2 2" xfId="54223" xr:uid="{00000000-0005-0000-0000-000057890000}"/>
    <cellStyle name="Remarque 3 2 2 5 2 4 3" xfId="17510" xr:uid="{00000000-0005-0000-0000-000058890000}"/>
    <cellStyle name="Remarque 3 2 2 5 2 4 4" xfId="41470" xr:uid="{00000000-0005-0000-0000-000059890000}"/>
    <cellStyle name="Remarque 3 2 2 5 2 5" xfId="7637" xr:uid="{00000000-0005-0000-0000-00005A890000}"/>
    <cellStyle name="Remarque 3 2 2 5 2 5 2" xfId="31651" xr:uid="{00000000-0005-0000-0000-00005B890000}"/>
    <cellStyle name="Remarque 3 2 2 5 2 5 2 2" xfId="55611" xr:uid="{00000000-0005-0000-0000-00005C890000}"/>
    <cellStyle name="Remarque 3 2 2 5 2 5 3" xfId="18898" xr:uid="{00000000-0005-0000-0000-00005D890000}"/>
    <cellStyle name="Remarque 3 2 2 5 2 5 4" xfId="42858" xr:uid="{00000000-0005-0000-0000-00005E890000}"/>
    <cellStyle name="Remarque 3 2 2 5 2 6" xfId="9022" xr:uid="{00000000-0005-0000-0000-00005F890000}"/>
    <cellStyle name="Remarque 3 2 2 5 2 6 2" xfId="33036" xr:uid="{00000000-0005-0000-0000-000060890000}"/>
    <cellStyle name="Remarque 3 2 2 5 2 6 2 2" xfId="56996" xr:uid="{00000000-0005-0000-0000-000061890000}"/>
    <cellStyle name="Remarque 3 2 2 5 2 6 3" xfId="20283" xr:uid="{00000000-0005-0000-0000-000062890000}"/>
    <cellStyle name="Remarque 3 2 2 5 2 6 4" xfId="44243" xr:uid="{00000000-0005-0000-0000-000063890000}"/>
    <cellStyle name="Remarque 3 2 2 5 2 7" xfId="10479" xr:uid="{00000000-0005-0000-0000-000064890000}"/>
    <cellStyle name="Remarque 3 2 2 5 2 7 2" xfId="34489" xr:uid="{00000000-0005-0000-0000-000065890000}"/>
    <cellStyle name="Remarque 3 2 2 5 2 7 2 2" xfId="58449" xr:uid="{00000000-0005-0000-0000-000066890000}"/>
    <cellStyle name="Remarque 3 2 2 5 2 7 3" xfId="21746" xr:uid="{00000000-0005-0000-0000-000067890000}"/>
    <cellStyle name="Remarque 3 2 2 5 2 7 4" xfId="45706" xr:uid="{00000000-0005-0000-0000-000068890000}"/>
    <cellStyle name="Remarque 3 2 2 5 2 8" xfId="12257" xr:uid="{00000000-0005-0000-0000-000069890000}"/>
    <cellStyle name="Remarque 3 2 2 5 2 8 2" xfId="23542" xr:uid="{00000000-0005-0000-0000-00006A890000}"/>
    <cellStyle name="Remarque 3 2 2 5 2 8 3" xfId="47502" xr:uid="{00000000-0005-0000-0000-00006B890000}"/>
    <cellStyle name="Remarque 3 2 2 5 2 9" xfId="1951" xr:uid="{00000000-0005-0000-0000-00006C890000}"/>
    <cellStyle name="Remarque 3 2 2 5 2 9 2" xfId="25965" xr:uid="{00000000-0005-0000-0000-00006D890000}"/>
    <cellStyle name="Remarque 3 2 2 5 2 9 3" xfId="49925" xr:uid="{00000000-0005-0000-0000-00006E890000}"/>
    <cellStyle name="Remarque 3 2 2 5 3" xfId="707" xr:uid="{00000000-0005-0000-0000-00006F890000}"/>
    <cellStyle name="Remarque 3 2 2 5 3 10" xfId="24739" xr:uid="{00000000-0005-0000-0000-000070890000}"/>
    <cellStyle name="Remarque 3 2 2 5 3 10 2" xfId="48699" xr:uid="{00000000-0005-0000-0000-000071890000}"/>
    <cellStyle name="Remarque 3 2 2 5 3 11" xfId="35770" xr:uid="{00000000-0005-0000-0000-000072890000}"/>
    <cellStyle name="Remarque 3 2 2 5 3 11 2" xfId="59730" xr:uid="{00000000-0005-0000-0000-000073890000}"/>
    <cellStyle name="Remarque 3 2 2 5 3 12" xfId="13404" xr:uid="{00000000-0005-0000-0000-000074890000}"/>
    <cellStyle name="Remarque 3 2 2 5 3 13" xfId="37364" xr:uid="{00000000-0005-0000-0000-000075890000}"/>
    <cellStyle name="Remarque 3 2 2 5 3 2" xfId="3613" xr:uid="{00000000-0005-0000-0000-000076890000}"/>
    <cellStyle name="Remarque 3 2 2 5 3 2 2" xfId="27627" xr:uid="{00000000-0005-0000-0000-000077890000}"/>
    <cellStyle name="Remarque 3 2 2 5 3 2 2 2" xfId="51587" xr:uid="{00000000-0005-0000-0000-000078890000}"/>
    <cellStyle name="Remarque 3 2 2 5 3 2 3" xfId="14874" xr:uid="{00000000-0005-0000-0000-000079890000}"/>
    <cellStyle name="Remarque 3 2 2 5 3 2 4" xfId="38834" xr:uid="{00000000-0005-0000-0000-00007A890000}"/>
    <cellStyle name="Remarque 3 2 2 5 3 3" xfId="5047" xr:uid="{00000000-0005-0000-0000-00007B890000}"/>
    <cellStyle name="Remarque 3 2 2 5 3 3 2" xfId="29061" xr:uid="{00000000-0005-0000-0000-00007C890000}"/>
    <cellStyle name="Remarque 3 2 2 5 3 3 2 2" xfId="53021" xr:uid="{00000000-0005-0000-0000-00007D890000}"/>
    <cellStyle name="Remarque 3 2 2 5 3 3 3" xfId="16308" xr:uid="{00000000-0005-0000-0000-00007E890000}"/>
    <cellStyle name="Remarque 3 2 2 5 3 3 4" xfId="40268" xr:uid="{00000000-0005-0000-0000-00007F890000}"/>
    <cellStyle name="Remarque 3 2 2 5 3 4" xfId="6441" xr:uid="{00000000-0005-0000-0000-000080890000}"/>
    <cellStyle name="Remarque 3 2 2 5 3 4 2" xfId="30455" xr:uid="{00000000-0005-0000-0000-000081890000}"/>
    <cellStyle name="Remarque 3 2 2 5 3 4 2 2" xfId="54415" xr:uid="{00000000-0005-0000-0000-000082890000}"/>
    <cellStyle name="Remarque 3 2 2 5 3 4 3" xfId="17702" xr:uid="{00000000-0005-0000-0000-000083890000}"/>
    <cellStyle name="Remarque 3 2 2 5 3 4 4" xfId="41662" xr:uid="{00000000-0005-0000-0000-000084890000}"/>
    <cellStyle name="Remarque 3 2 2 5 3 5" xfId="7829" xr:uid="{00000000-0005-0000-0000-000085890000}"/>
    <cellStyle name="Remarque 3 2 2 5 3 5 2" xfId="31843" xr:uid="{00000000-0005-0000-0000-000086890000}"/>
    <cellStyle name="Remarque 3 2 2 5 3 5 2 2" xfId="55803" xr:uid="{00000000-0005-0000-0000-000087890000}"/>
    <cellStyle name="Remarque 3 2 2 5 3 5 3" xfId="19090" xr:uid="{00000000-0005-0000-0000-000088890000}"/>
    <cellStyle name="Remarque 3 2 2 5 3 5 4" xfId="43050" xr:uid="{00000000-0005-0000-0000-000089890000}"/>
    <cellStyle name="Remarque 3 2 2 5 3 6" xfId="9214" xr:uid="{00000000-0005-0000-0000-00008A890000}"/>
    <cellStyle name="Remarque 3 2 2 5 3 6 2" xfId="33228" xr:uid="{00000000-0005-0000-0000-00008B890000}"/>
    <cellStyle name="Remarque 3 2 2 5 3 6 2 2" xfId="57188" xr:uid="{00000000-0005-0000-0000-00008C890000}"/>
    <cellStyle name="Remarque 3 2 2 5 3 6 3" xfId="20475" xr:uid="{00000000-0005-0000-0000-00008D890000}"/>
    <cellStyle name="Remarque 3 2 2 5 3 6 4" xfId="44435" xr:uid="{00000000-0005-0000-0000-00008E890000}"/>
    <cellStyle name="Remarque 3 2 2 5 3 7" xfId="10671" xr:uid="{00000000-0005-0000-0000-00008F890000}"/>
    <cellStyle name="Remarque 3 2 2 5 3 7 2" xfId="34681" xr:uid="{00000000-0005-0000-0000-000090890000}"/>
    <cellStyle name="Remarque 3 2 2 5 3 7 2 2" xfId="58641" xr:uid="{00000000-0005-0000-0000-000091890000}"/>
    <cellStyle name="Remarque 3 2 2 5 3 7 3" xfId="21938" xr:uid="{00000000-0005-0000-0000-000092890000}"/>
    <cellStyle name="Remarque 3 2 2 5 3 7 4" xfId="45898" xr:uid="{00000000-0005-0000-0000-000093890000}"/>
    <cellStyle name="Remarque 3 2 2 5 3 8" xfId="12694" xr:uid="{00000000-0005-0000-0000-000094890000}"/>
    <cellStyle name="Remarque 3 2 2 5 3 8 2" xfId="23999" xr:uid="{00000000-0005-0000-0000-000095890000}"/>
    <cellStyle name="Remarque 3 2 2 5 3 8 3" xfId="47959" xr:uid="{00000000-0005-0000-0000-000096890000}"/>
    <cellStyle name="Remarque 3 2 2 5 3 9" xfId="2143" xr:uid="{00000000-0005-0000-0000-000097890000}"/>
    <cellStyle name="Remarque 3 2 2 5 3 9 2" xfId="26157" xr:uid="{00000000-0005-0000-0000-000098890000}"/>
    <cellStyle name="Remarque 3 2 2 5 3 9 3" xfId="50117" xr:uid="{00000000-0005-0000-0000-000099890000}"/>
    <cellStyle name="Remarque 3 2 2 5 4" xfId="901" xr:uid="{00000000-0005-0000-0000-00009A890000}"/>
    <cellStyle name="Remarque 3 2 2 5 4 10" xfId="24933" xr:uid="{00000000-0005-0000-0000-00009B890000}"/>
    <cellStyle name="Remarque 3 2 2 5 4 10 2" xfId="48893" xr:uid="{00000000-0005-0000-0000-00009C890000}"/>
    <cellStyle name="Remarque 3 2 2 5 4 11" xfId="36720" xr:uid="{00000000-0005-0000-0000-00009D890000}"/>
    <cellStyle name="Remarque 3 2 2 5 4 11 2" xfId="60680" xr:uid="{00000000-0005-0000-0000-00009E890000}"/>
    <cellStyle name="Remarque 3 2 2 5 4 12" xfId="13598" xr:uid="{00000000-0005-0000-0000-00009F890000}"/>
    <cellStyle name="Remarque 3 2 2 5 4 13" xfId="37558" xr:uid="{00000000-0005-0000-0000-0000A0890000}"/>
    <cellStyle name="Remarque 3 2 2 5 4 2" xfId="3807" xr:uid="{00000000-0005-0000-0000-0000A1890000}"/>
    <cellStyle name="Remarque 3 2 2 5 4 2 2" xfId="27821" xr:uid="{00000000-0005-0000-0000-0000A2890000}"/>
    <cellStyle name="Remarque 3 2 2 5 4 2 2 2" xfId="51781" xr:uid="{00000000-0005-0000-0000-0000A3890000}"/>
    <cellStyle name="Remarque 3 2 2 5 4 2 3" xfId="15068" xr:uid="{00000000-0005-0000-0000-0000A4890000}"/>
    <cellStyle name="Remarque 3 2 2 5 4 2 4" xfId="39028" xr:uid="{00000000-0005-0000-0000-0000A5890000}"/>
    <cellStyle name="Remarque 3 2 2 5 4 3" xfId="5241" xr:uid="{00000000-0005-0000-0000-0000A6890000}"/>
    <cellStyle name="Remarque 3 2 2 5 4 3 2" xfId="29255" xr:uid="{00000000-0005-0000-0000-0000A7890000}"/>
    <cellStyle name="Remarque 3 2 2 5 4 3 2 2" xfId="53215" xr:uid="{00000000-0005-0000-0000-0000A8890000}"/>
    <cellStyle name="Remarque 3 2 2 5 4 3 3" xfId="16502" xr:uid="{00000000-0005-0000-0000-0000A9890000}"/>
    <cellStyle name="Remarque 3 2 2 5 4 3 4" xfId="40462" xr:uid="{00000000-0005-0000-0000-0000AA890000}"/>
    <cellStyle name="Remarque 3 2 2 5 4 4" xfId="6635" xr:uid="{00000000-0005-0000-0000-0000AB890000}"/>
    <cellStyle name="Remarque 3 2 2 5 4 4 2" xfId="30649" xr:uid="{00000000-0005-0000-0000-0000AC890000}"/>
    <cellStyle name="Remarque 3 2 2 5 4 4 2 2" xfId="54609" xr:uid="{00000000-0005-0000-0000-0000AD890000}"/>
    <cellStyle name="Remarque 3 2 2 5 4 4 3" xfId="17896" xr:uid="{00000000-0005-0000-0000-0000AE890000}"/>
    <cellStyle name="Remarque 3 2 2 5 4 4 4" xfId="41856" xr:uid="{00000000-0005-0000-0000-0000AF890000}"/>
    <cellStyle name="Remarque 3 2 2 5 4 5" xfId="8023" xr:uid="{00000000-0005-0000-0000-0000B0890000}"/>
    <cellStyle name="Remarque 3 2 2 5 4 5 2" xfId="32037" xr:uid="{00000000-0005-0000-0000-0000B1890000}"/>
    <cellStyle name="Remarque 3 2 2 5 4 5 2 2" xfId="55997" xr:uid="{00000000-0005-0000-0000-0000B2890000}"/>
    <cellStyle name="Remarque 3 2 2 5 4 5 3" xfId="19284" xr:uid="{00000000-0005-0000-0000-0000B3890000}"/>
    <cellStyle name="Remarque 3 2 2 5 4 5 4" xfId="43244" xr:uid="{00000000-0005-0000-0000-0000B4890000}"/>
    <cellStyle name="Remarque 3 2 2 5 4 6" xfId="9408" xr:uid="{00000000-0005-0000-0000-0000B5890000}"/>
    <cellStyle name="Remarque 3 2 2 5 4 6 2" xfId="33422" xr:uid="{00000000-0005-0000-0000-0000B6890000}"/>
    <cellStyle name="Remarque 3 2 2 5 4 6 2 2" xfId="57382" xr:uid="{00000000-0005-0000-0000-0000B7890000}"/>
    <cellStyle name="Remarque 3 2 2 5 4 6 3" xfId="20669" xr:uid="{00000000-0005-0000-0000-0000B8890000}"/>
    <cellStyle name="Remarque 3 2 2 5 4 6 4" xfId="44629" xr:uid="{00000000-0005-0000-0000-0000B9890000}"/>
    <cellStyle name="Remarque 3 2 2 5 4 7" xfId="10865" xr:uid="{00000000-0005-0000-0000-0000BA890000}"/>
    <cellStyle name="Remarque 3 2 2 5 4 7 2" xfId="34875" xr:uid="{00000000-0005-0000-0000-0000BB890000}"/>
    <cellStyle name="Remarque 3 2 2 5 4 7 2 2" xfId="58835" xr:uid="{00000000-0005-0000-0000-0000BC890000}"/>
    <cellStyle name="Remarque 3 2 2 5 4 7 3" xfId="22132" xr:uid="{00000000-0005-0000-0000-0000BD890000}"/>
    <cellStyle name="Remarque 3 2 2 5 4 7 4" xfId="46092" xr:uid="{00000000-0005-0000-0000-0000BE890000}"/>
    <cellStyle name="Remarque 3 2 2 5 4 8" xfId="12802" xr:uid="{00000000-0005-0000-0000-0000BF890000}"/>
    <cellStyle name="Remarque 3 2 2 5 4 8 2" xfId="24113" xr:uid="{00000000-0005-0000-0000-0000C0890000}"/>
    <cellStyle name="Remarque 3 2 2 5 4 8 3" xfId="48073" xr:uid="{00000000-0005-0000-0000-0000C1890000}"/>
    <cellStyle name="Remarque 3 2 2 5 4 9" xfId="2337" xr:uid="{00000000-0005-0000-0000-0000C2890000}"/>
    <cellStyle name="Remarque 3 2 2 5 4 9 2" xfId="26351" xr:uid="{00000000-0005-0000-0000-0000C3890000}"/>
    <cellStyle name="Remarque 3 2 2 5 4 9 3" xfId="50311" xr:uid="{00000000-0005-0000-0000-0000C4890000}"/>
    <cellStyle name="Remarque 3 2 2 5 5" xfId="1094" xr:uid="{00000000-0005-0000-0000-0000C5890000}"/>
    <cellStyle name="Remarque 3 2 2 5 5 10" xfId="25126" xr:uid="{00000000-0005-0000-0000-0000C6890000}"/>
    <cellStyle name="Remarque 3 2 2 5 5 10 2" xfId="49086" xr:uid="{00000000-0005-0000-0000-0000C7890000}"/>
    <cellStyle name="Remarque 3 2 2 5 5 11" xfId="36760" xr:uid="{00000000-0005-0000-0000-0000C8890000}"/>
    <cellStyle name="Remarque 3 2 2 5 5 11 2" xfId="60720" xr:uid="{00000000-0005-0000-0000-0000C9890000}"/>
    <cellStyle name="Remarque 3 2 2 5 5 12" xfId="13791" xr:uid="{00000000-0005-0000-0000-0000CA890000}"/>
    <cellStyle name="Remarque 3 2 2 5 5 13" xfId="37751" xr:uid="{00000000-0005-0000-0000-0000CB890000}"/>
    <cellStyle name="Remarque 3 2 2 5 5 2" xfId="4000" xr:uid="{00000000-0005-0000-0000-0000CC890000}"/>
    <cellStyle name="Remarque 3 2 2 5 5 2 2" xfId="28014" xr:uid="{00000000-0005-0000-0000-0000CD890000}"/>
    <cellStyle name="Remarque 3 2 2 5 5 2 2 2" xfId="51974" xr:uid="{00000000-0005-0000-0000-0000CE890000}"/>
    <cellStyle name="Remarque 3 2 2 5 5 2 3" xfId="15261" xr:uid="{00000000-0005-0000-0000-0000CF890000}"/>
    <cellStyle name="Remarque 3 2 2 5 5 2 4" xfId="39221" xr:uid="{00000000-0005-0000-0000-0000D0890000}"/>
    <cellStyle name="Remarque 3 2 2 5 5 3" xfId="5434" xr:uid="{00000000-0005-0000-0000-0000D1890000}"/>
    <cellStyle name="Remarque 3 2 2 5 5 3 2" xfId="29448" xr:uid="{00000000-0005-0000-0000-0000D2890000}"/>
    <cellStyle name="Remarque 3 2 2 5 5 3 2 2" xfId="53408" xr:uid="{00000000-0005-0000-0000-0000D3890000}"/>
    <cellStyle name="Remarque 3 2 2 5 5 3 3" xfId="16695" xr:uid="{00000000-0005-0000-0000-0000D4890000}"/>
    <cellStyle name="Remarque 3 2 2 5 5 3 4" xfId="40655" xr:uid="{00000000-0005-0000-0000-0000D5890000}"/>
    <cellStyle name="Remarque 3 2 2 5 5 4" xfId="6828" xr:uid="{00000000-0005-0000-0000-0000D6890000}"/>
    <cellStyle name="Remarque 3 2 2 5 5 4 2" xfId="30842" xr:uid="{00000000-0005-0000-0000-0000D7890000}"/>
    <cellStyle name="Remarque 3 2 2 5 5 4 2 2" xfId="54802" xr:uid="{00000000-0005-0000-0000-0000D8890000}"/>
    <cellStyle name="Remarque 3 2 2 5 5 4 3" xfId="18089" xr:uid="{00000000-0005-0000-0000-0000D9890000}"/>
    <cellStyle name="Remarque 3 2 2 5 5 4 4" xfId="42049" xr:uid="{00000000-0005-0000-0000-0000DA890000}"/>
    <cellStyle name="Remarque 3 2 2 5 5 5" xfId="8216" xr:uid="{00000000-0005-0000-0000-0000DB890000}"/>
    <cellStyle name="Remarque 3 2 2 5 5 5 2" xfId="32230" xr:uid="{00000000-0005-0000-0000-0000DC890000}"/>
    <cellStyle name="Remarque 3 2 2 5 5 5 2 2" xfId="56190" xr:uid="{00000000-0005-0000-0000-0000DD890000}"/>
    <cellStyle name="Remarque 3 2 2 5 5 5 3" xfId="19477" xr:uid="{00000000-0005-0000-0000-0000DE890000}"/>
    <cellStyle name="Remarque 3 2 2 5 5 5 4" xfId="43437" xr:uid="{00000000-0005-0000-0000-0000DF890000}"/>
    <cellStyle name="Remarque 3 2 2 5 5 6" xfId="9601" xr:uid="{00000000-0005-0000-0000-0000E0890000}"/>
    <cellStyle name="Remarque 3 2 2 5 5 6 2" xfId="33615" xr:uid="{00000000-0005-0000-0000-0000E1890000}"/>
    <cellStyle name="Remarque 3 2 2 5 5 6 2 2" xfId="57575" xr:uid="{00000000-0005-0000-0000-0000E2890000}"/>
    <cellStyle name="Remarque 3 2 2 5 5 6 3" xfId="20862" xr:uid="{00000000-0005-0000-0000-0000E3890000}"/>
    <cellStyle name="Remarque 3 2 2 5 5 6 4" xfId="44822" xr:uid="{00000000-0005-0000-0000-0000E4890000}"/>
    <cellStyle name="Remarque 3 2 2 5 5 7" xfId="11058" xr:uid="{00000000-0005-0000-0000-0000E5890000}"/>
    <cellStyle name="Remarque 3 2 2 5 5 7 2" xfId="35068" xr:uid="{00000000-0005-0000-0000-0000E6890000}"/>
    <cellStyle name="Remarque 3 2 2 5 5 7 2 2" xfId="59028" xr:uid="{00000000-0005-0000-0000-0000E7890000}"/>
    <cellStyle name="Remarque 3 2 2 5 5 7 3" xfId="22325" xr:uid="{00000000-0005-0000-0000-0000E8890000}"/>
    <cellStyle name="Remarque 3 2 2 5 5 7 4" xfId="46285" xr:uid="{00000000-0005-0000-0000-0000E9890000}"/>
    <cellStyle name="Remarque 3 2 2 5 5 8" xfId="12724" xr:uid="{00000000-0005-0000-0000-0000EA890000}"/>
    <cellStyle name="Remarque 3 2 2 5 5 8 2" xfId="24030" xr:uid="{00000000-0005-0000-0000-0000EB890000}"/>
    <cellStyle name="Remarque 3 2 2 5 5 8 3" xfId="47990" xr:uid="{00000000-0005-0000-0000-0000EC890000}"/>
    <cellStyle name="Remarque 3 2 2 5 5 9" xfId="2530" xr:uid="{00000000-0005-0000-0000-0000ED890000}"/>
    <cellStyle name="Remarque 3 2 2 5 5 9 2" xfId="26544" xr:uid="{00000000-0005-0000-0000-0000EE890000}"/>
    <cellStyle name="Remarque 3 2 2 5 5 9 3" xfId="50504" xr:uid="{00000000-0005-0000-0000-0000EF890000}"/>
    <cellStyle name="Remarque 3 2 2 5 6" xfId="1261" xr:uid="{00000000-0005-0000-0000-0000F0890000}"/>
    <cellStyle name="Remarque 3 2 2 5 6 10" xfId="25293" xr:uid="{00000000-0005-0000-0000-0000F1890000}"/>
    <cellStyle name="Remarque 3 2 2 5 6 10 2" xfId="49253" xr:uid="{00000000-0005-0000-0000-0000F2890000}"/>
    <cellStyle name="Remarque 3 2 2 5 6 11" xfId="36451" xr:uid="{00000000-0005-0000-0000-0000F3890000}"/>
    <cellStyle name="Remarque 3 2 2 5 6 11 2" xfId="60411" xr:uid="{00000000-0005-0000-0000-0000F4890000}"/>
    <cellStyle name="Remarque 3 2 2 5 6 12" xfId="13958" xr:uid="{00000000-0005-0000-0000-0000F5890000}"/>
    <cellStyle name="Remarque 3 2 2 5 6 13" xfId="37918" xr:uid="{00000000-0005-0000-0000-0000F6890000}"/>
    <cellStyle name="Remarque 3 2 2 5 6 2" xfId="4167" xr:uid="{00000000-0005-0000-0000-0000F7890000}"/>
    <cellStyle name="Remarque 3 2 2 5 6 2 2" xfId="28181" xr:uid="{00000000-0005-0000-0000-0000F8890000}"/>
    <cellStyle name="Remarque 3 2 2 5 6 2 2 2" xfId="52141" xr:uid="{00000000-0005-0000-0000-0000F9890000}"/>
    <cellStyle name="Remarque 3 2 2 5 6 2 3" xfId="15428" xr:uid="{00000000-0005-0000-0000-0000FA890000}"/>
    <cellStyle name="Remarque 3 2 2 5 6 2 4" xfId="39388" xr:uid="{00000000-0005-0000-0000-0000FB890000}"/>
    <cellStyle name="Remarque 3 2 2 5 6 3" xfId="5601" xr:uid="{00000000-0005-0000-0000-0000FC890000}"/>
    <cellStyle name="Remarque 3 2 2 5 6 3 2" xfId="29615" xr:uid="{00000000-0005-0000-0000-0000FD890000}"/>
    <cellStyle name="Remarque 3 2 2 5 6 3 2 2" xfId="53575" xr:uid="{00000000-0005-0000-0000-0000FE890000}"/>
    <cellStyle name="Remarque 3 2 2 5 6 3 3" xfId="16862" xr:uid="{00000000-0005-0000-0000-0000FF890000}"/>
    <cellStyle name="Remarque 3 2 2 5 6 3 4" xfId="40822" xr:uid="{00000000-0005-0000-0000-0000008A0000}"/>
    <cellStyle name="Remarque 3 2 2 5 6 4" xfId="6995" xr:uid="{00000000-0005-0000-0000-0000018A0000}"/>
    <cellStyle name="Remarque 3 2 2 5 6 4 2" xfId="31009" xr:uid="{00000000-0005-0000-0000-0000028A0000}"/>
    <cellStyle name="Remarque 3 2 2 5 6 4 2 2" xfId="54969" xr:uid="{00000000-0005-0000-0000-0000038A0000}"/>
    <cellStyle name="Remarque 3 2 2 5 6 4 3" xfId="18256" xr:uid="{00000000-0005-0000-0000-0000048A0000}"/>
    <cellStyle name="Remarque 3 2 2 5 6 4 4" xfId="42216" xr:uid="{00000000-0005-0000-0000-0000058A0000}"/>
    <cellStyle name="Remarque 3 2 2 5 6 5" xfId="8383" xr:uid="{00000000-0005-0000-0000-0000068A0000}"/>
    <cellStyle name="Remarque 3 2 2 5 6 5 2" xfId="32397" xr:uid="{00000000-0005-0000-0000-0000078A0000}"/>
    <cellStyle name="Remarque 3 2 2 5 6 5 2 2" xfId="56357" xr:uid="{00000000-0005-0000-0000-0000088A0000}"/>
    <cellStyle name="Remarque 3 2 2 5 6 5 3" xfId="19644" xr:uid="{00000000-0005-0000-0000-0000098A0000}"/>
    <cellStyle name="Remarque 3 2 2 5 6 5 4" xfId="43604" xr:uid="{00000000-0005-0000-0000-00000A8A0000}"/>
    <cellStyle name="Remarque 3 2 2 5 6 6" xfId="9768" xr:uid="{00000000-0005-0000-0000-00000B8A0000}"/>
    <cellStyle name="Remarque 3 2 2 5 6 6 2" xfId="33782" xr:uid="{00000000-0005-0000-0000-00000C8A0000}"/>
    <cellStyle name="Remarque 3 2 2 5 6 6 2 2" xfId="57742" xr:uid="{00000000-0005-0000-0000-00000D8A0000}"/>
    <cellStyle name="Remarque 3 2 2 5 6 6 3" xfId="21029" xr:uid="{00000000-0005-0000-0000-00000E8A0000}"/>
    <cellStyle name="Remarque 3 2 2 5 6 6 4" xfId="44989" xr:uid="{00000000-0005-0000-0000-00000F8A0000}"/>
    <cellStyle name="Remarque 3 2 2 5 6 7" xfId="11225" xr:uid="{00000000-0005-0000-0000-0000108A0000}"/>
    <cellStyle name="Remarque 3 2 2 5 6 7 2" xfId="35235" xr:uid="{00000000-0005-0000-0000-0000118A0000}"/>
    <cellStyle name="Remarque 3 2 2 5 6 7 2 2" xfId="59195" xr:uid="{00000000-0005-0000-0000-0000128A0000}"/>
    <cellStyle name="Remarque 3 2 2 5 6 7 3" xfId="22492" xr:uid="{00000000-0005-0000-0000-0000138A0000}"/>
    <cellStyle name="Remarque 3 2 2 5 6 7 4" xfId="46452" xr:uid="{00000000-0005-0000-0000-0000148A0000}"/>
    <cellStyle name="Remarque 3 2 2 5 6 8" xfId="11693" xr:uid="{00000000-0005-0000-0000-0000158A0000}"/>
    <cellStyle name="Remarque 3 2 2 5 6 8 2" xfId="22962" xr:uid="{00000000-0005-0000-0000-0000168A0000}"/>
    <cellStyle name="Remarque 3 2 2 5 6 8 3" xfId="46922" xr:uid="{00000000-0005-0000-0000-0000178A0000}"/>
    <cellStyle name="Remarque 3 2 2 5 6 9" xfId="2697" xr:uid="{00000000-0005-0000-0000-0000188A0000}"/>
    <cellStyle name="Remarque 3 2 2 5 6 9 2" xfId="26711" xr:uid="{00000000-0005-0000-0000-0000198A0000}"/>
    <cellStyle name="Remarque 3 2 2 5 6 9 3" xfId="50671" xr:uid="{00000000-0005-0000-0000-00001A8A0000}"/>
    <cellStyle name="Remarque 3 2 2 5 7" xfId="1430" xr:uid="{00000000-0005-0000-0000-00001B8A0000}"/>
    <cellStyle name="Remarque 3 2 2 5 7 10" xfId="25462" xr:uid="{00000000-0005-0000-0000-00001C8A0000}"/>
    <cellStyle name="Remarque 3 2 2 5 7 10 2" xfId="49422" xr:uid="{00000000-0005-0000-0000-00001D8A0000}"/>
    <cellStyle name="Remarque 3 2 2 5 7 11" xfId="35722" xr:uid="{00000000-0005-0000-0000-00001E8A0000}"/>
    <cellStyle name="Remarque 3 2 2 5 7 11 2" xfId="59682" xr:uid="{00000000-0005-0000-0000-00001F8A0000}"/>
    <cellStyle name="Remarque 3 2 2 5 7 12" xfId="14127" xr:uid="{00000000-0005-0000-0000-0000208A0000}"/>
    <cellStyle name="Remarque 3 2 2 5 7 13" xfId="38087" xr:uid="{00000000-0005-0000-0000-0000218A0000}"/>
    <cellStyle name="Remarque 3 2 2 5 7 2" xfId="4336" xr:uid="{00000000-0005-0000-0000-0000228A0000}"/>
    <cellStyle name="Remarque 3 2 2 5 7 2 2" xfId="28350" xr:uid="{00000000-0005-0000-0000-0000238A0000}"/>
    <cellStyle name="Remarque 3 2 2 5 7 2 2 2" xfId="52310" xr:uid="{00000000-0005-0000-0000-0000248A0000}"/>
    <cellStyle name="Remarque 3 2 2 5 7 2 3" xfId="15597" xr:uid="{00000000-0005-0000-0000-0000258A0000}"/>
    <cellStyle name="Remarque 3 2 2 5 7 2 4" xfId="39557" xr:uid="{00000000-0005-0000-0000-0000268A0000}"/>
    <cellStyle name="Remarque 3 2 2 5 7 3" xfId="5770" xr:uid="{00000000-0005-0000-0000-0000278A0000}"/>
    <cellStyle name="Remarque 3 2 2 5 7 3 2" xfId="29784" xr:uid="{00000000-0005-0000-0000-0000288A0000}"/>
    <cellStyle name="Remarque 3 2 2 5 7 3 2 2" xfId="53744" xr:uid="{00000000-0005-0000-0000-0000298A0000}"/>
    <cellStyle name="Remarque 3 2 2 5 7 3 3" xfId="17031" xr:uid="{00000000-0005-0000-0000-00002A8A0000}"/>
    <cellStyle name="Remarque 3 2 2 5 7 3 4" xfId="40991" xr:uid="{00000000-0005-0000-0000-00002B8A0000}"/>
    <cellStyle name="Remarque 3 2 2 5 7 4" xfId="7164" xr:uid="{00000000-0005-0000-0000-00002C8A0000}"/>
    <cellStyle name="Remarque 3 2 2 5 7 4 2" xfId="31178" xr:uid="{00000000-0005-0000-0000-00002D8A0000}"/>
    <cellStyle name="Remarque 3 2 2 5 7 4 2 2" xfId="55138" xr:uid="{00000000-0005-0000-0000-00002E8A0000}"/>
    <cellStyle name="Remarque 3 2 2 5 7 4 3" xfId="18425" xr:uid="{00000000-0005-0000-0000-00002F8A0000}"/>
    <cellStyle name="Remarque 3 2 2 5 7 4 4" xfId="42385" xr:uid="{00000000-0005-0000-0000-0000308A0000}"/>
    <cellStyle name="Remarque 3 2 2 5 7 5" xfId="8552" xr:uid="{00000000-0005-0000-0000-0000318A0000}"/>
    <cellStyle name="Remarque 3 2 2 5 7 5 2" xfId="32566" xr:uid="{00000000-0005-0000-0000-0000328A0000}"/>
    <cellStyle name="Remarque 3 2 2 5 7 5 2 2" xfId="56526" xr:uid="{00000000-0005-0000-0000-0000338A0000}"/>
    <cellStyle name="Remarque 3 2 2 5 7 5 3" xfId="19813" xr:uid="{00000000-0005-0000-0000-0000348A0000}"/>
    <cellStyle name="Remarque 3 2 2 5 7 5 4" xfId="43773" xr:uid="{00000000-0005-0000-0000-0000358A0000}"/>
    <cellStyle name="Remarque 3 2 2 5 7 6" xfId="9937" xr:uid="{00000000-0005-0000-0000-0000368A0000}"/>
    <cellStyle name="Remarque 3 2 2 5 7 6 2" xfId="33951" xr:uid="{00000000-0005-0000-0000-0000378A0000}"/>
    <cellStyle name="Remarque 3 2 2 5 7 6 2 2" xfId="57911" xr:uid="{00000000-0005-0000-0000-0000388A0000}"/>
    <cellStyle name="Remarque 3 2 2 5 7 6 3" xfId="21198" xr:uid="{00000000-0005-0000-0000-0000398A0000}"/>
    <cellStyle name="Remarque 3 2 2 5 7 6 4" xfId="45158" xr:uid="{00000000-0005-0000-0000-00003A8A0000}"/>
    <cellStyle name="Remarque 3 2 2 5 7 7" xfId="11394" xr:uid="{00000000-0005-0000-0000-00003B8A0000}"/>
    <cellStyle name="Remarque 3 2 2 5 7 7 2" xfId="35404" xr:uid="{00000000-0005-0000-0000-00003C8A0000}"/>
    <cellStyle name="Remarque 3 2 2 5 7 7 2 2" xfId="59364" xr:uid="{00000000-0005-0000-0000-00003D8A0000}"/>
    <cellStyle name="Remarque 3 2 2 5 7 7 3" xfId="22661" xr:uid="{00000000-0005-0000-0000-00003E8A0000}"/>
    <cellStyle name="Remarque 3 2 2 5 7 7 4" xfId="46621" xr:uid="{00000000-0005-0000-0000-00003F8A0000}"/>
    <cellStyle name="Remarque 3 2 2 5 7 8" xfId="12800" xr:uid="{00000000-0005-0000-0000-0000408A0000}"/>
    <cellStyle name="Remarque 3 2 2 5 7 8 2" xfId="24110" xr:uid="{00000000-0005-0000-0000-0000418A0000}"/>
    <cellStyle name="Remarque 3 2 2 5 7 8 3" xfId="48070" xr:uid="{00000000-0005-0000-0000-0000428A0000}"/>
    <cellStyle name="Remarque 3 2 2 5 7 9" xfId="2866" xr:uid="{00000000-0005-0000-0000-0000438A0000}"/>
    <cellStyle name="Remarque 3 2 2 5 7 9 2" xfId="26880" xr:uid="{00000000-0005-0000-0000-0000448A0000}"/>
    <cellStyle name="Remarque 3 2 2 5 7 9 3" xfId="50840" xr:uid="{00000000-0005-0000-0000-0000458A0000}"/>
    <cellStyle name="Remarque 3 2 2 5 8" xfId="3285" xr:uid="{00000000-0005-0000-0000-0000468A0000}"/>
    <cellStyle name="Remarque 3 2 2 5 8 2" xfId="27299" xr:uid="{00000000-0005-0000-0000-0000478A0000}"/>
    <cellStyle name="Remarque 3 2 2 5 8 2 2" xfId="51259" xr:uid="{00000000-0005-0000-0000-0000488A0000}"/>
    <cellStyle name="Remarque 3 2 2 5 8 3" xfId="14546" xr:uid="{00000000-0005-0000-0000-0000498A0000}"/>
    <cellStyle name="Remarque 3 2 2 5 8 4" xfId="38506" xr:uid="{00000000-0005-0000-0000-00004A8A0000}"/>
    <cellStyle name="Remarque 3 2 2 5 9" xfId="4719" xr:uid="{00000000-0005-0000-0000-00004B8A0000}"/>
    <cellStyle name="Remarque 3 2 2 5 9 2" xfId="28733" xr:uid="{00000000-0005-0000-0000-00004C8A0000}"/>
    <cellStyle name="Remarque 3 2 2 5 9 2 2" xfId="52693" xr:uid="{00000000-0005-0000-0000-00004D8A0000}"/>
    <cellStyle name="Remarque 3 2 2 5 9 3" xfId="15980" xr:uid="{00000000-0005-0000-0000-00004E8A0000}"/>
    <cellStyle name="Remarque 3 2 2 5 9 4" xfId="39940" xr:uid="{00000000-0005-0000-0000-00004F8A0000}"/>
    <cellStyle name="Remarque 3 2 2 6" xfId="335" xr:uid="{00000000-0005-0000-0000-0000508A0000}"/>
    <cellStyle name="Remarque 3 2 2 6 10" xfId="24367" xr:uid="{00000000-0005-0000-0000-0000518A0000}"/>
    <cellStyle name="Remarque 3 2 2 6 10 2" xfId="48327" xr:uid="{00000000-0005-0000-0000-0000528A0000}"/>
    <cellStyle name="Remarque 3 2 2 6 11" xfId="36449" xr:uid="{00000000-0005-0000-0000-0000538A0000}"/>
    <cellStyle name="Remarque 3 2 2 6 11 2" xfId="60409" xr:uid="{00000000-0005-0000-0000-0000548A0000}"/>
    <cellStyle name="Remarque 3 2 2 6 12" xfId="13032" xr:uid="{00000000-0005-0000-0000-0000558A0000}"/>
    <cellStyle name="Remarque 3 2 2 6 13" xfId="36992" xr:uid="{00000000-0005-0000-0000-0000568A0000}"/>
    <cellStyle name="Remarque 3 2 2 6 2" xfId="3241" xr:uid="{00000000-0005-0000-0000-0000578A0000}"/>
    <cellStyle name="Remarque 3 2 2 6 2 2" xfId="27255" xr:uid="{00000000-0005-0000-0000-0000588A0000}"/>
    <cellStyle name="Remarque 3 2 2 6 2 2 2" xfId="51215" xr:uid="{00000000-0005-0000-0000-0000598A0000}"/>
    <cellStyle name="Remarque 3 2 2 6 2 3" xfId="14502" xr:uid="{00000000-0005-0000-0000-00005A8A0000}"/>
    <cellStyle name="Remarque 3 2 2 6 2 4" xfId="38462" xr:uid="{00000000-0005-0000-0000-00005B8A0000}"/>
    <cellStyle name="Remarque 3 2 2 6 3" xfId="4675" xr:uid="{00000000-0005-0000-0000-00005C8A0000}"/>
    <cellStyle name="Remarque 3 2 2 6 3 2" xfId="28689" xr:uid="{00000000-0005-0000-0000-00005D8A0000}"/>
    <cellStyle name="Remarque 3 2 2 6 3 2 2" xfId="52649" xr:uid="{00000000-0005-0000-0000-00005E8A0000}"/>
    <cellStyle name="Remarque 3 2 2 6 3 3" xfId="15936" xr:uid="{00000000-0005-0000-0000-00005F8A0000}"/>
    <cellStyle name="Remarque 3 2 2 6 3 4" xfId="39896" xr:uid="{00000000-0005-0000-0000-0000608A0000}"/>
    <cellStyle name="Remarque 3 2 2 6 4" xfId="6069" xr:uid="{00000000-0005-0000-0000-0000618A0000}"/>
    <cellStyle name="Remarque 3 2 2 6 4 2" xfId="30083" xr:uid="{00000000-0005-0000-0000-0000628A0000}"/>
    <cellStyle name="Remarque 3 2 2 6 4 2 2" xfId="54043" xr:uid="{00000000-0005-0000-0000-0000638A0000}"/>
    <cellStyle name="Remarque 3 2 2 6 4 3" xfId="17330" xr:uid="{00000000-0005-0000-0000-0000648A0000}"/>
    <cellStyle name="Remarque 3 2 2 6 4 4" xfId="41290" xr:uid="{00000000-0005-0000-0000-0000658A0000}"/>
    <cellStyle name="Remarque 3 2 2 6 5" xfId="7457" xr:uid="{00000000-0005-0000-0000-0000668A0000}"/>
    <cellStyle name="Remarque 3 2 2 6 5 2" xfId="31471" xr:uid="{00000000-0005-0000-0000-0000678A0000}"/>
    <cellStyle name="Remarque 3 2 2 6 5 2 2" xfId="55431" xr:uid="{00000000-0005-0000-0000-0000688A0000}"/>
    <cellStyle name="Remarque 3 2 2 6 5 3" xfId="18718" xr:uid="{00000000-0005-0000-0000-0000698A0000}"/>
    <cellStyle name="Remarque 3 2 2 6 5 4" xfId="42678" xr:uid="{00000000-0005-0000-0000-00006A8A0000}"/>
    <cellStyle name="Remarque 3 2 2 6 6" xfId="8842" xr:uid="{00000000-0005-0000-0000-00006B8A0000}"/>
    <cellStyle name="Remarque 3 2 2 6 6 2" xfId="32856" xr:uid="{00000000-0005-0000-0000-00006C8A0000}"/>
    <cellStyle name="Remarque 3 2 2 6 6 2 2" xfId="56816" xr:uid="{00000000-0005-0000-0000-00006D8A0000}"/>
    <cellStyle name="Remarque 3 2 2 6 6 3" xfId="20103" xr:uid="{00000000-0005-0000-0000-00006E8A0000}"/>
    <cellStyle name="Remarque 3 2 2 6 6 4" xfId="44063" xr:uid="{00000000-0005-0000-0000-00006F8A0000}"/>
    <cellStyle name="Remarque 3 2 2 6 7" xfId="10299" xr:uid="{00000000-0005-0000-0000-0000708A0000}"/>
    <cellStyle name="Remarque 3 2 2 6 7 2" xfId="34309" xr:uid="{00000000-0005-0000-0000-0000718A0000}"/>
    <cellStyle name="Remarque 3 2 2 6 7 2 2" xfId="58269" xr:uid="{00000000-0005-0000-0000-0000728A0000}"/>
    <cellStyle name="Remarque 3 2 2 6 7 3" xfId="21566" xr:uid="{00000000-0005-0000-0000-0000738A0000}"/>
    <cellStyle name="Remarque 3 2 2 6 7 4" xfId="45526" xr:uid="{00000000-0005-0000-0000-0000748A0000}"/>
    <cellStyle name="Remarque 3 2 2 6 8" xfId="11707" xr:uid="{00000000-0005-0000-0000-0000758A0000}"/>
    <cellStyle name="Remarque 3 2 2 6 8 2" xfId="22976" xr:uid="{00000000-0005-0000-0000-0000768A0000}"/>
    <cellStyle name="Remarque 3 2 2 6 8 3" xfId="46936" xr:uid="{00000000-0005-0000-0000-0000778A0000}"/>
    <cellStyle name="Remarque 3 2 2 6 9" xfId="1771" xr:uid="{00000000-0005-0000-0000-0000788A0000}"/>
    <cellStyle name="Remarque 3 2 2 6 9 2" xfId="25785" xr:uid="{00000000-0005-0000-0000-0000798A0000}"/>
    <cellStyle name="Remarque 3 2 2 6 9 3" xfId="49745" xr:uid="{00000000-0005-0000-0000-00007A8A0000}"/>
    <cellStyle name="Remarque 3 2 2 7" xfId="631" xr:uid="{00000000-0005-0000-0000-00007B8A0000}"/>
    <cellStyle name="Remarque 3 2 2 7 10" xfId="24663" xr:uid="{00000000-0005-0000-0000-00007C8A0000}"/>
    <cellStyle name="Remarque 3 2 2 7 10 2" xfId="48623" xr:uid="{00000000-0005-0000-0000-00007D8A0000}"/>
    <cellStyle name="Remarque 3 2 2 7 11" xfId="36398" xr:uid="{00000000-0005-0000-0000-00007E8A0000}"/>
    <cellStyle name="Remarque 3 2 2 7 11 2" xfId="60358" xr:uid="{00000000-0005-0000-0000-00007F8A0000}"/>
    <cellStyle name="Remarque 3 2 2 7 12" xfId="13328" xr:uid="{00000000-0005-0000-0000-0000808A0000}"/>
    <cellStyle name="Remarque 3 2 2 7 13" xfId="37288" xr:uid="{00000000-0005-0000-0000-0000818A0000}"/>
    <cellStyle name="Remarque 3 2 2 7 2" xfId="3537" xr:uid="{00000000-0005-0000-0000-0000828A0000}"/>
    <cellStyle name="Remarque 3 2 2 7 2 2" xfId="27551" xr:uid="{00000000-0005-0000-0000-0000838A0000}"/>
    <cellStyle name="Remarque 3 2 2 7 2 2 2" xfId="51511" xr:uid="{00000000-0005-0000-0000-0000848A0000}"/>
    <cellStyle name="Remarque 3 2 2 7 2 3" xfId="14798" xr:uid="{00000000-0005-0000-0000-0000858A0000}"/>
    <cellStyle name="Remarque 3 2 2 7 2 4" xfId="38758" xr:uid="{00000000-0005-0000-0000-0000868A0000}"/>
    <cellStyle name="Remarque 3 2 2 7 3" xfId="4971" xr:uid="{00000000-0005-0000-0000-0000878A0000}"/>
    <cellStyle name="Remarque 3 2 2 7 3 2" xfId="28985" xr:uid="{00000000-0005-0000-0000-0000888A0000}"/>
    <cellStyle name="Remarque 3 2 2 7 3 2 2" xfId="52945" xr:uid="{00000000-0005-0000-0000-0000898A0000}"/>
    <cellStyle name="Remarque 3 2 2 7 3 3" xfId="16232" xr:uid="{00000000-0005-0000-0000-00008A8A0000}"/>
    <cellStyle name="Remarque 3 2 2 7 3 4" xfId="40192" xr:uid="{00000000-0005-0000-0000-00008B8A0000}"/>
    <cellStyle name="Remarque 3 2 2 7 4" xfId="6365" xr:uid="{00000000-0005-0000-0000-00008C8A0000}"/>
    <cellStyle name="Remarque 3 2 2 7 4 2" xfId="30379" xr:uid="{00000000-0005-0000-0000-00008D8A0000}"/>
    <cellStyle name="Remarque 3 2 2 7 4 2 2" xfId="54339" xr:uid="{00000000-0005-0000-0000-00008E8A0000}"/>
    <cellStyle name="Remarque 3 2 2 7 4 3" xfId="17626" xr:uid="{00000000-0005-0000-0000-00008F8A0000}"/>
    <cellStyle name="Remarque 3 2 2 7 4 4" xfId="41586" xr:uid="{00000000-0005-0000-0000-0000908A0000}"/>
    <cellStyle name="Remarque 3 2 2 7 5" xfId="7753" xr:uid="{00000000-0005-0000-0000-0000918A0000}"/>
    <cellStyle name="Remarque 3 2 2 7 5 2" xfId="31767" xr:uid="{00000000-0005-0000-0000-0000928A0000}"/>
    <cellStyle name="Remarque 3 2 2 7 5 2 2" xfId="55727" xr:uid="{00000000-0005-0000-0000-0000938A0000}"/>
    <cellStyle name="Remarque 3 2 2 7 5 3" xfId="19014" xr:uid="{00000000-0005-0000-0000-0000948A0000}"/>
    <cellStyle name="Remarque 3 2 2 7 5 4" xfId="42974" xr:uid="{00000000-0005-0000-0000-0000958A0000}"/>
    <cellStyle name="Remarque 3 2 2 7 6" xfId="9138" xr:uid="{00000000-0005-0000-0000-0000968A0000}"/>
    <cellStyle name="Remarque 3 2 2 7 6 2" xfId="33152" xr:uid="{00000000-0005-0000-0000-0000978A0000}"/>
    <cellStyle name="Remarque 3 2 2 7 6 2 2" xfId="57112" xr:uid="{00000000-0005-0000-0000-0000988A0000}"/>
    <cellStyle name="Remarque 3 2 2 7 6 3" xfId="20399" xr:uid="{00000000-0005-0000-0000-0000998A0000}"/>
    <cellStyle name="Remarque 3 2 2 7 6 4" xfId="44359" xr:uid="{00000000-0005-0000-0000-00009A8A0000}"/>
    <cellStyle name="Remarque 3 2 2 7 7" xfId="10595" xr:uid="{00000000-0005-0000-0000-00009B8A0000}"/>
    <cellStyle name="Remarque 3 2 2 7 7 2" xfId="34605" xr:uid="{00000000-0005-0000-0000-00009C8A0000}"/>
    <cellStyle name="Remarque 3 2 2 7 7 2 2" xfId="58565" xr:uid="{00000000-0005-0000-0000-00009D8A0000}"/>
    <cellStyle name="Remarque 3 2 2 7 7 3" xfId="21862" xr:uid="{00000000-0005-0000-0000-00009E8A0000}"/>
    <cellStyle name="Remarque 3 2 2 7 7 4" xfId="45822" xr:uid="{00000000-0005-0000-0000-00009F8A0000}"/>
    <cellStyle name="Remarque 3 2 2 7 8" xfId="12074" xr:uid="{00000000-0005-0000-0000-0000A08A0000}"/>
    <cellStyle name="Remarque 3 2 2 7 8 2" xfId="23355" xr:uid="{00000000-0005-0000-0000-0000A18A0000}"/>
    <cellStyle name="Remarque 3 2 2 7 8 3" xfId="47315" xr:uid="{00000000-0005-0000-0000-0000A28A0000}"/>
    <cellStyle name="Remarque 3 2 2 7 9" xfId="2067" xr:uid="{00000000-0005-0000-0000-0000A38A0000}"/>
    <cellStyle name="Remarque 3 2 2 7 9 2" xfId="26081" xr:uid="{00000000-0005-0000-0000-0000A48A0000}"/>
    <cellStyle name="Remarque 3 2 2 7 9 3" xfId="50041" xr:uid="{00000000-0005-0000-0000-0000A58A0000}"/>
    <cellStyle name="Remarque 3 2 2 8" xfId="825" xr:uid="{00000000-0005-0000-0000-0000A68A0000}"/>
    <cellStyle name="Remarque 3 2 2 8 10" xfId="24857" xr:uid="{00000000-0005-0000-0000-0000A78A0000}"/>
    <cellStyle name="Remarque 3 2 2 8 10 2" xfId="48817" xr:uid="{00000000-0005-0000-0000-0000A88A0000}"/>
    <cellStyle name="Remarque 3 2 2 8 11" xfId="35836" xr:uid="{00000000-0005-0000-0000-0000A98A0000}"/>
    <cellStyle name="Remarque 3 2 2 8 11 2" xfId="59796" xr:uid="{00000000-0005-0000-0000-0000AA8A0000}"/>
    <cellStyle name="Remarque 3 2 2 8 12" xfId="13522" xr:uid="{00000000-0005-0000-0000-0000AB8A0000}"/>
    <cellStyle name="Remarque 3 2 2 8 13" xfId="37482" xr:uid="{00000000-0005-0000-0000-0000AC8A0000}"/>
    <cellStyle name="Remarque 3 2 2 8 2" xfId="3731" xr:uid="{00000000-0005-0000-0000-0000AD8A0000}"/>
    <cellStyle name="Remarque 3 2 2 8 2 2" xfId="27745" xr:uid="{00000000-0005-0000-0000-0000AE8A0000}"/>
    <cellStyle name="Remarque 3 2 2 8 2 2 2" xfId="51705" xr:uid="{00000000-0005-0000-0000-0000AF8A0000}"/>
    <cellStyle name="Remarque 3 2 2 8 2 3" xfId="14992" xr:uid="{00000000-0005-0000-0000-0000B08A0000}"/>
    <cellStyle name="Remarque 3 2 2 8 2 4" xfId="38952" xr:uid="{00000000-0005-0000-0000-0000B18A0000}"/>
    <cellStyle name="Remarque 3 2 2 8 3" xfId="5165" xr:uid="{00000000-0005-0000-0000-0000B28A0000}"/>
    <cellStyle name="Remarque 3 2 2 8 3 2" xfId="29179" xr:uid="{00000000-0005-0000-0000-0000B38A0000}"/>
    <cellStyle name="Remarque 3 2 2 8 3 2 2" xfId="53139" xr:uid="{00000000-0005-0000-0000-0000B48A0000}"/>
    <cellStyle name="Remarque 3 2 2 8 3 3" xfId="16426" xr:uid="{00000000-0005-0000-0000-0000B58A0000}"/>
    <cellStyle name="Remarque 3 2 2 8 3 4" xfId="40386" xr:uid="{00000000-0005-0000-0000-0000B68A0000}"/>
    <cellStyle name="Remarque 3 2 2 8 4" xfId="6559" xr:uid="{00000000-0005-0000-0000-0000B78A0000}"/>
    <cellStyle name="Remarque 3 2 2 8 4 2" xfId="30573" xr:uid="{00000000-0005-0000-0000-0000B88A0000}"/>
    <cellStyle name="Remarque 3 2 2 8 4 2 2" xfId="54533" xr:uid="{00000000-0005-0000-0000-0000B98A0000}"/>
    <cellStyle name="Remarque 3 2 2 8 4 3" xfId="17820" xr:uid="{00000000-0005-0000-0000-0000BA8A0000}"/>
    <cellStyle name="Remarque 3 2 2 8 4 4" xfId="41780" xr:uid="{00000000-0005-0000-0000-0000BB8A0000}"/>
    <cellStyle name="Remarque 3 2 2 8 5" xfId="7947" xr:uid="{00000000-0005-0000-0000-0000BC8A0000}"/>
    <cellStyle name="Remarque 3 2 2 8 5 2" xfId="31961" xr:uid="{00000000-0005-0000-0000-0000BD8A0000}"/>
    <cellStyle name="Remarque 3 2 2 8 5 2 2" xfId="55921" xr:uid="{00000000-0005-0000-0000-0000BE8A0000}"/>
    <cellStyle name="Remarque 3 2 2 8 5 3" xfId="19208" xr:uid="{00000000-0005-0000-0000-0000BF8A0000}"/>
    <cellStyle name="Remarque 3 2 2 8 5 4" xfId="43168" xr:uid="{00000000-0005-0000-0000-0000C08A0000}"/>
    <cellStyle name="Remarque 3 2 2 8 6" xfId="9332" xr:uid="{00000000-0005-0000-0000-0000C18A0000}"/>
    <cellStyle name="Remarque 3 2 2 8 6 2" xfId="33346" xr:uid="{00000000-0005-0000-0000-0000C28A0000}"/>
    <cellStyle name="Remarque 3 2 2 8 6 2 2" xfId="57306" xr:uid="{00000000-0005-0000-0000-0000C38A0000}"/>
    <cellStyle name="Remarque 3 2 2 8 6 3" xfId="20593" xr:uid="{00000000-0005-0000-0000-0000C48A0000}"/>
    <cellStyle name="Remarque 3 2 2 8 6 4" xfId="44553" xr:uid="{00000000-0005-0000-0000-0000C58A0000}"/>
    <cellStyle name="Remarque 3 2 2 8 7" xfId="10789" xr:uid="{00000000-0005-0000-0000-0000C68A0000}"/>
    <cellStyle name="Remarque 3 2 2 8 7 2" xfId="34799" xr:uid="{00000000-0005-0000-0000-0000C78A0000}"/>
    <cellStyle name="Remarque 3 2 2 8 7 2 2" xfId="58759" xr:uid="{00000000-0005-0000-0000-0000C88A0000}"/>
    <cellStyle name="Remarque 3 2 2 8 7 3" xfId="22056" xr:uid="{00000000-0005-0000-0000-0000C98A0000}"/>
    <cellStyle name="Remarque 3 2 2 8 7 4" xfId="46016" xr:uid="{00000000-0005-0000-0000-0000CA8A0000}"/>
    <cellStyle name="Remarque 3 2 2 8 8" xfId="11745" xr:uid="{00000000-0005-0000-0000-0000CB8A0000}"/>
    <cellStyle name="Remarque 3 2 2 8 8 2" xfId="23017" xr:uid="{00000000-0005-0000-0000-0000CC8A0000}"/>
    <cellStyle name="Remarque 3 2 2 8 8 3" xfId="46977" xr:uid="{00000000-0005-0000-0000-0000CD8A0000}"/>
    <cellStyle name="Remarque 3 2 2 8 9" xfId="2261" xr:uid="{00000000-0005-0000-0000-0000CE8A0000}"/>
    <cellStyle name="Remarque 3 2 2 8 9 2" xfId="26275" xr:uid="{00000000-0005-0000-0000-0000CF8A0000}"/>
    <cellStyle name="Remarque 3 2 2 8 9 3" xfId="50235" xr:uid="{00000000-0005-0000-0000-0000D08A0000}"/>
    <cellStyle name="Remarque 3 2 2 9" xfId="1018" xr:uid="{00000000-0005-0000-0000-0000D18A0000}"/>
    <cellStyle name="Remarque 3 2 2 9 10" xfId="25050" xr:uid="{00000000-0005-0000-0000-0000D28A0000}"/>
    <cellStyle name="Remarque 3 2 2 9 10 2" xfId="49010" xr:uid="{00000000-0005-0000-0000-0000D38A0000}"/>
    <cellStyle name="Remarque 3 2 2 9 11" xfId="36680" xr:uid="{00000000-0005-0000-0000-0000D48A0000}"/>
    <cellStyle name="Remarque 3 2 2 9 11 2" xfId="60640" xr:uid="{00000000-0005-0000-0000-0000D58A0000}"/>
    <cellStyle name="Remarque 3 2 2 9 12" xfId="13715" xr:uid="{00000000-0005-0000-0000-0000D68A0000}"/>
    <cellStyle name="Remarque 3 2 2 9 13" xfId="37675" xr:uid="{00000000-0005-0000-0000-0000D78A0000}"/>
    <cellStyle name="Remarque 3 2 2 9 2" xfId="3924" xr:uid="{00000000-0005-0000-0000-0000D88A0000}"/>
    <cellStyle name="Remarque 3 2 2 9 2 2" xfId="27938" xr:uid="{00000000-0005-0000-0000-0000D98A0000}"/>
    <cellStyle name="Remarque 3 2 2 9 2 2 2" xfId="51898" xr:uid="{00000000-0005-0000-0000-0000DA8A0000}"/>
    <cellStyle name="Remarque 3 2 2 9 2 3" xfId="15185" xr:uid="{00000000-0005-0000-0000-0000DB8A0000}"/>
    <cellStyle name="Remarque 3 2 2 9 2 4" xfId="39145" xr:uid="{00000000-0005-0000-0000-0000DC8A0000}"/>
    <cellStyle name="Remarque 3 2 2 9 3" xfId="5358" xr:uid="{00000000-0005-0000-0000-0000DD8A0000}"/>
    <cellStyle name="Remarque 3 2 2 9 3 2" xfId="29372" xr:uid="{00000000-0005-0000-0000-0000DE8A0000}"/>
    <cellStyle name="Remarque 3 2 2 9 3 2 2" xfId="53332" xr:uid="{00000000-0005-0000-0000-0000DF8A0000}"/>
    <cellStyle name="Remarque 3 2 2 9 3 3" xfId="16619" xr:uid="{00000000-0005-0000-0000-0000E08A0000}"/>
    <cellStyle name="Remarque 3 2 2 9 3 4" xfId="40579" xr:uid="{00000000-0005-0000-0000-0000E18A0000}"/>
    <cellStyle name="Remarque 3 2 2 9 4" xfId="6752" xr:uid="{00000000-0005-0000-0000-0000E28A0000}"/>
    <cellStyle name="Remarque 3 2 2 9 4 2" xfId="30766" xr:uid="{00000000-0005-0000-0000-0000E38A0000}"/>
    <cellStyle name="Remarque 3 2 2 9 4 2 2" xfId="54726" xr:uid="{00000000-0005-0000-0000-0000E48A0000}"/>
    <cellStyle name="Remarque 3 2 2 9 4 3" xfId="18013" xr:uid="{00000000-0005-0000-0000-0000E58A0000}"/>
    <cellStyle name="Remarque 3 2 2 9 4 4" xfId="41973" xr:uid="{00000000-0005-0000-0000-0000E68A0000}"/>
    <cellStyle name="Remarque 3 2 2 9 5" xfId="8140" xr:uid="{00000000-0005-0000-0000-0000E78A0000}"/>
    <cellStyle name="Remarque 3 2 2 9 5 2" xfId="32154" xr:uid="{00000000-0005-0000-0000-0000E88A0000}"/>
    <cellStyle name="Remarque 3 2 2 9 5 2 2" xfId="56114" xr:uid="{00000000-0005-0000-0000-0000E98A0000}"/>
    <cellStyle name="Remarque 3 2 2 9 5 3" xfId="19401" xr:uid="{00000000-0005-0000-0000-0000EA8A0000}"/>
    <cellStyle name="Remarque 3 2 2 9 5 4" xfId="43361" xr:uid="{00000000-0005-0000-0000-0000EB8A0000}"/>
    <cellStyle name="Remarque 3 2 2 9 6" xfId="9525" xr:uid="{00000000-0005-0000-0000-0000EC8A0000}"/>
    <cellStyle name="Remarque 3 2 2 9 6 2" xfId="33539" xr:uid="{00000000-0005-0000-0000-0000ED8A0000}"/>
    <cellStyle name="Remarque 3 2 2 9 6 2 2" xfId="57499" xr:uid="{00000000-0005-0000-0000-0000EE8A0000}"/>
    <cellStyle name="Remarque 3 2 2 9 6 3" xfId="20786" xr:uid="{00000000-0005-0000-0000-0000EF8A0000}"/>
    <cellStyle name="Remarque 3 2 2 9 6 4" xfId="44746" xr:uid="{00000000-0005-0000-0000-0000F08A0000}"/>
    <cellStyle name="Remarque 3 2 2 9 7" xfId="10982" xr:uid="{00000000-0005-0000-0000-0000F18A0000}"/>
    <cellStyle name="Remarque 3 2 2 9 7 2" xfId="34992" xr:uid="{00000000-0005-0000-0000-0000F28A0000}"/>
    <cellStyle name="Remarque 3 2 2 9 7 2 2" xfId="58952" xr:uid="{00000000-0005-0000-0000-0000F38A0000}"/>
    <cellStyle name="Remarque 3 2 2 9 7 3" xfId="22249" xr:uid="{00000000-0005-0000-0000-0000F48A0000}"/>
    <cellStyle name="Remarque 3 2 2 9 7 4" xfId="46209" xr:uid="{00000000-0005-0000-0000-0000F58A0000}"/>
    <cellStyle name="Remarque 3 2 2 9 8" xfId="12336" xr:uid="{00000000-0005-0000-0000-0000F68A0000}"/>
    <cellStyle name="Remarque 3 2 2 9 8 2" xfId="23624" xr:uid="{00000000-0005-0000-0000-0000F78A0000}"/>
    <cellStyle name="Remarque 3 2 2 9 8 3" xfId="47584" xr:uid="{00000000-0005-0000-0000-0000F88A0000}"/>
    <cellStyle name="Remarque 3 2 2 9 9" xfId="2454" xr:uid="{00000000-0005-0000-0000-0000F98A0000}"/>
    <cellStyle name="Remarque 3 2 2 9 9 2" xfId="26468" xr:uid="{00000000-0005-0000-0000-0000FA8A0000}"/>
    <cellStyle name="Remarque 3 2 2 9 9 3" xfId="50428" xr:uid="{00000000-0005-0000-0000-0000FB8A0000}"/>
    <cellStyle name="Remarque 3 2 3" xfId="47" xr:uid="{00000000-0005-0000-0000-0000FC8A0000}"/>
    <cellStyle name="Remarque 3 2 3 10" xfId="3156" xr:uid="{00000000-0005-0000-0000-0000FD8A0000}"/>
    <cellStyle name="Remarque 3 2 3 10 2" xfId="27170" xr:uid="{00000000-0005-0000-0000-0000FE8A0000}"/>
    <cellStyle name="Remarque 3 2 3 10 2 2" xfId="51130" xr:uid="{00000000-0005-0000-0000-0000FF8A0000}"/>
    <cellStyle name="Remarque 3 2 3 10 3" xfId="14417" xr:uid="{00000000-0005-0000-0000-0000008B0000}"/>
    <cellStyle name="Remarque 3 2 3 10 4" xfId="38377" xr:uid="{00000000-0005-0000-0000-0000018B0000}"/>
    <cellStyle name="Remarque 3 2 3 11" xfId="4590" xr:uid="{00000000-0005-0000-0000-0000028B0000}"/>
    <cellStyle name="Remarque 3 2 3 11 2" xfId="28604" xr:uid="{00000000-0005-0000-0000-0000038B0000}"/>
    <cellStyle name="Remarque 3 2 3 11 2 2" xfId="52564" xr:uid="{00000000-0005-0000-0000-0000048B0000}"/>
    <cellStyle name="Remarque 3 2 3 11 3" xfId="15851" xr:uid="{00000000-0005-0000-0000-0000058B0000}"/>
    <cellStyle name="Remarque 3 2 3 11 4" xfId="39811" xr:uid="{00000000-0005-0000-0000-0000068B0000}"/>
    <cellStyle name="Remarque 3 2 3 12" xfId="5984" xr:uid="{00000000-0005-0000-0000-0000078B0000}"/>
    <cellStyle name="Remarque 3 2 3 12 2" xfId="29998" xr:uid="{00000000-0005-0000-0000-0000088B0000}"/>
    <cellStyle name="Remarque 3 2 3 12 2 2" xfId="53958" xr:uid="{00000000-0005-0000-0000-0000098B0000}"/>
    <cellStyle name="Remarque 3 2 3 12 3" xfId="17245" xr:uid="{00000000-0005-0000-0000-00000A8B0000}"/>
    <cellStyle name="Remarque 3 2 3 12 4" xfId="41205" xr:uid="{00000000-0005-0000-0000-00000B8B0000}"/>
    <cellStyle name="Remarque 3 2 3 13" xfId="7372" xr:uid="{00000000-0005-0000-0000-00000C8B0000}"/>
    <cellStyle name="Remarque 3 2 3 13 2" xfId="31386" xr:uid="{00000000-0005-0000-0000-00000D8B0000}"/>
    <cellStyle name="Remarque 3 2 3 13 2 2" xfId="55346" xr:uid="{00000000-0005-0000-0000-00000E8B0000}"/>
    <cellStyle name="Remarque 3 2 3 13 3" xfId="18633" xr:uid="{00000000-0005-0000-0000-00000F8B0000}"/>
    <cellStyle name="Remarque 3 2 3 13 4" xfId="42593" xr:uid="{00000000-0005-0000-0000-0000108B0000}"/>
    <cellStyle name="Remarque 3 2 3 14" xfId="8757" xr:uid="{00000000-0005-0000-0000-0000118B0000}"/>
    <cellStyle name="Remarque 3 2 3 14 2" xfId="32771" xr:uid="{00000000-0005-0000-0000-0000128B0000}"/>
    <cellStyle name="Remarque 3 2 3 14 2 2" xfId="56731" xr:uid="{00000000-0005-0000-0000-0000138B0000}"/>
    <cellStyle name="Remarque 3 2 3 14 3" xfId="20018" xr:uid="{00000000-0005-0000-0000-0000148B0000}"/>
    <cellStyle name="Remarque 3 2 3 14 4" xfId="43978" xr:uid="{00000000-0005-0000-0000-0000158B0000}"/>
    <cellStyle name="Remarque 3 2 3 15" xfId="10214" xr:uid="{00000000-0005-0000-0000-0000168B0000}"/>
    <cellStyle name="Remarque 3 2 3 15 2" xfId="34224" xr:uid="{00000000-0005-0000-0000-0000178B0000}"/>
    <cellStyle name="Remarque 3 2 3 15 2 2" xfId="58184" xr:uid="{00000000-0005-0000-0000-0000188B0000}"/>
    <cellStyle name="Remarque 3 2 3 15 3" xfId="21481" xr:uid="{00000000-0005-0000-0000-0000198B0000}"/>
    <cellStyle name="Remarque 3 2 3 15 4" xfId="45441" xr:uid="{00000000-0005-0000-0000-00001A8B0000}"/>
    <cellStyle name="Remarque 3 2 3 16" xfId="12839" xr:uid="{00000000-0005-0000-0000-00001B8B0000}"/>
    <cellStyle name="Remarque 3 2 3 16 2" xfId="24150" xr:uid="{00000000-0005-0000-0000-00001C8B0000}"/>
    <cellStyle name="Remarque 3 2 3 16 3" xfId="48110" xr:uid="{00000000-0005-0000-0000-00001D8B0000}"/>
    <cellStyle name="Remarque 3 2 3 17" xfId="1686" xr:uid="{00000000-0005-0000-0000-00001E8B0000}"/>
    <cellStyle name="Remarque 3 2 3 17 2" xfId="25700" xr:uid="{00000000-0005-0000-0000-00001F8B0000}"/>
    <cellStyle name="Remarque 3 2 3 17 3" xfId="49660" xr:uid="{00000000-0005-0000-0000-0000208B0000}"/>
    <cellStyle name="Remarque 3 2 3 18" xfId="24282" xr:uid="{00000000-0005-0000-0000-0000218B0000}"/>
    <cellStyle name="Remarque 3 2 3 18 2" xfId="48242" xr:uid="{00000000-0005-0000-0000-0000228B0000}"/>
    <cellStyle name="Remarque 3 2 3 19" xfId="35882" xr:uid="{00000000-0005-0000-0000-0000238B0000}"/>
    <cellStyle name="Remarque 3 2 3 19 2" xfId="59842" xr:uid="{00000000-0005-0000-0000-0000248B0000}"/>
    <cellStyle name="Remarque 3 2 3 2" xfId="425" xr:uid="{00000000-0005-0000-0000-0000258B0000}"/>
    <cellStyle name="Remarque 3 2 3 2 10" xfId="6159" xr:uid="{00000000-0005-0000-0000-0000268B0000}"/>
    <cellStyle name="Remarque 3 2 3 2 10 2" xfId="30173" xr:uid="{00000000-0005-0000-0000-0000278B0000}"/>
    <cellStyle name="Remarque 3 2 3 2 10 2 2" xfId="54133" xr:uid="{00000000-0005-0000-0000-0000288B0000}"/>
    <cellStyle name="Remarque 3 2 3 2 10 3" xfId="17420" xr:uid="{00000000-0005-0000-0000-0000298B0000}"/>
    <cellStyle name="Remarque 3 2 3 2 10 4" xfId="41380" xr:uid="{00000000-0005-0000-0000-00002A8B0000}"/>
    <cellStyle name="Remarque 3 2 3 2 11" xfId="7547" xr:uid="{00000000-0005-0000-0000-00002B8B0000}"/>
    <cellStyle name="Remarque 3 2 3 2 11 2" xfId="31561" xr:uid="{00000000-0005-0000-0000-00002C8B0000}"/>
    <cellStyle name="Remarque 3 2 3 2 11 2 2" xfId="55521" xr:uid="{00000000-0005-0000-0000-00002D8B0000}"/>
    <cellStyle name="Remarque 3 2 3 2 11 3" xfId="18808" xr:uid="{00000000-0005-0000-0000-00002E8B0000}"/>
    <cellStyle name="Remarque 3 2 3 2 11 4" xfId="42768" xr:uid="{00000000-0005-0000-0000-00002F8B0000}"/>
    <cellStyle name="Remarque 3 2 3 2 12" xfId="8932" xr:uid="{00000000-0005-0000-0000-0000308B0000}"/>
    <cellStyle name="Remarque 3 2 3 2 12 2" xfId="32946" xr:uid="{00000000-0005-0000-0000-0000318B0000}"/>
    <cellStyle name="Remarque 3 2 3 2 12 2 2" xfId="56906" xr:uid="{00000000-0005-0000-0000-0000328B0000}"/>
    <cellStyle name="Remarque 3 2 3 2 12 3" xfId="20193" xr:uid="{00000000-0005-0000-0000-0000338B0000}"/>
    <cellStyle name="Remarque 3 2 3 2 12 4" xfId="44153" xr:uid="{00000000-0005-0000-0000-0000348B0000}"/>
    <cellStyle name="Remarque 3 2 3 2 13" xfId="10389" xr:uid="{00000000-0005-0000-0000-0000358B0000}"/>
    <cellStyle name="Remarque 3 2 3 2 13 2" xfId="34399" xr:uid="{00000000-0005-0000-0000-0000368B0000}"/>
    <cellStyle name="Remarque 3 2 3 2 13 2 2" xfId="58359" xr:uid="{00000000-0005-0000-0000-0000378B0000}"/>
    <cellStyle name="Remarque 3 2 3 2 13 3" xfId="21656" xr:uid="{00000000-0005-0000-0000-0000388B0000}"/>
    <cellStyle name="Remarque 3 2 3 2 13 4" xfId="45616" xr:uid="{00000000-0005-0000-0000-0000398B0000}"/>
    <cellStyle name="Remarque 3 2 3 2 14" xfId="11794" xr:uid="{00000000-0005-0000-0000-00003A8B0000}"/>
    <cellStyle name="Remarque 3 2 3 2 14 2" xfId="23068" xr:uid="{00000000-0005-0000-0000-00003B8B0000}"/>
    <cellStyle name="Remarque 3 2 3 2 14 3" xfId="47028" xr:uid="{00000000-0005-0000-0000-00003C8B0000}"/>
    <cellStyle name="Remarque 3 2 3 2 15" xfId="1861" xr:uid="{00000000-0005-0000-0000-00003D8B0000}"/>
    <cellStyle name="Remarque 3 2 3 2 15 2" xfId="25875" xr:uid="{00000000-0005-0000-0000-00003E8B0000}"/>
    <cellStyle name="Remarque 3 2 3 2 15 3" xfId="49835" xr:uid="{00000000-0005-0000-0000-00003F8B0000}"/>
    <cellStyle name="Remarque 3 2 3 2 16" xfId="24457" xr:uid="{00000000-0005-0000-0000-0000408B0000}"/>
    <cellStyle name="Remarque 3 2 3 2 16 2" xfId="48417" xr:uid="{00000000-0005-0000-0000-0000418B0000}"/>
    <cellStyle name="Remarque 3 2 3 2 17" xfId="36607" xr:uid="{00000000-0005-0000-0000-0000428B0000}"/>
    <cellStyle name="Remarque 3 2 3 2 17 2" xfId="60567" xr:uid="{00000000-0005-0000-0000-0000438B0000}"/>
    <cellStyle name="Remarque 3 2 3 2 18" xfId="13122" xr:uid="{00000000-0005-0000-0000-0000448B0000}"/>
    <cellStyle name="Remarque 3 2 3 2 19" xfId="37082" xr:uid="{00000000-0005-0000-0000-0000458B0000}"/>
    <cellStyle name="Remarque 3 2 3 2 2" xfId="561" xr:uid="{00000000-0005-0000-0000-0000468B0000}"/>
    <cellStyle name="Remarque 3 2 3 2 2 10" xfId="24593" xr:uid="{00000000-0005-0000-0000-0000478B0000}"/>
    <cellStyle name="Remarque 3 2 3 2 2 10 2" xfId="48553" xr:uid="{00000000-0005-0000-0000-0000488B0000}"/>
    <cellStyle name="Remarque 3 2 3 2 2 11" xfId="35736" xr:uid="{00000000-0005-0000-0000-0000498B0000}"/>
    <cellStyle name="Remarque 3 2 3 2 2 11 2" xfId="59696" xr:uid="{00000000-0005-0000-0000-00004A8B0000}"/>
    <cellStyle name="Remarque 3 2 3 2 2 12" xfId="13258" xr:uid="{00000000-0005-0000-0000-00004B8B0000}"/>
    <cellStyle name="Remarque 3 2 3 2 2 13" xfId="37218" xr:uid="{00000000-0005-0000-0000-00004C8B0000}"/>
    <cellStyle name="Remarque 3 2 3 2 2 2" xfId="3467" xr:uid="{00000000-0005-0000-0000-00004D8B0000}"/>
    <cellStyle name="Remarque 3 2 3 2 2 2 2" xfId="27481" xr:uid="{00000000-0005-0000-0000-00004E8B0000}"/>
    <cellStyle name="Remarque 3 2 3 2 2 2 2 2" xfId="51441" xr:uid="{00000000-0005-0000-0000-00004F8B0000}"/>
    <cellStyle name="Remarque 3 2 3 2 2 2 3" xfId="14728" xr:uid="{00000000-0005-0000-0000-0000508B0000}"/>
    <cellStyle name="Remarque 3 2 3 2 2 2 4" xfId="38688" xr:uid="{00000000-0005-0000-0000-0000518B0000}"/>
    <cellStyle name="Remarque 3 2 3 2 2 3" xfId="4901" xr:uid="{00000000-0005-0000-0000-0000528B0000}"/>
    <cellStyle name="Remarque 3 2 3 2 2 3 2" xfId="28915" xr:uid="{00000000-0005-0000-0000-0000538B0000}"/>
    <cellStyle name="Remarque 3 2 3 2 2 3 2 2" xfId="52875" xr:uid="{00000000-0005-0000-0000-0000548B0000}"/>
    <cellStyle name="Remarque 3 2 3 2 2 3 3" xfId="16162" xr:uid="{00000000-0005-0000-0000-0000558B0000}"/>
    <cellStyle name="Remarque 3 2 3 2 2 3 4" xfId="40122" xr:uid="{00000000-0005-0000-0000-0000568B0000}"/>
    <cellStyle name="Remarque 3 2 3 2 2 4" xfId="6295" xr:uid="{00000000-0005-0000-0000-0000578B0000}"/>
    <cellStyle name="Remarque 3 2 3 2 2 4 2" xfId="30309" xr:uid="{00000000-0005-0000-0000-0000588B0000}"/>
    <cellStyle name="Remarque 3 2 3 2 2 4 2 2" xfId="54269" xr:uid="{00000000-0005-0000-0000-0000598B0000}"/>
    <cellStyle name="Remarque 3 2 3 2 2 4 3" xfId="17556" xr:uid="{00000000-0005-0000-0000-00005A8B0000}"/>
    <cellStyle name="Remarque 3 2 3 2 2 4 4" xfId="41516" xr:uid="{00000000-0005-0000-0000-00005B8B0000}"/>
    <cellStyle name="Remarque 3 2 3 2 2 5" xfId="7683" xr:uid="{00000000-0005-0000-0000-00005C8B0000}"/>
    <cellStyle name="Remarque 3 2 3 2 2 5 2" xfId="31697" xr:uid="{00000000-0005-0000-0000-00005D8B0000}"/>
    <cellStyle name="Remarque 3 2 3 2 2 5 2 2" xfId="55657" xr:uid="{00000000-0005-0000-0000-00005E8B0000}"/>
    <cellStyle name="Remarque 3 2 3 2 2 5 3" xfId="18944" xr:uid="{00000000-0005-0000-0000-00005F8B0000}"/>
    <cellStyle name="Remarque 3 2 3 2 2 5 4" xfId="42904" xr:uid="{00000000-0005-0000-0000-0000608B0000}"/>
    <cellStyle name="Remarque 3 2 3 2 2 6" xfId="9068" xr:uid="{00000000-0005-0000-0000-0000618B0000}"/>
    <cellStyle name="Remarque 3 2 3 2 2 6 2" xfId="33082" xr:uid="{00000000-0005-0000-0000-0000628B0000}"/>
    <cellStyle name="Remarque 3 2 3 2 2 6 2 2" xfId="57042" xr:uid="{00000000-0005-0000-0000-0000638B0000}"/>
    <cellStyle name="Remarque 3 2 3 2 2 6 3" xfId="20329" xr:uid="{00000000-0005-0000-0000-0000648B0000}"/>
    <cellStyle name="Remarque 3 2 3 2 2 6 4" xfId="44289" xr:uid="{00000000-0005-0000-0000-0000658B0000}"/>
    <cellStyle name="Remarque 3 2 3 2 2 7" xfId="10525" xr:uid="{00000000-0005-0000-0000-0000668B0000}"/>
    <cellStyle name="Remarque 3 2 3 2 2 7 2" xfId="34535" xr:uid="{00000000-0005-0000-0000-0000678B0000}"/>
    <cellStyle name="Remarque 3 2 3 2 2 7 2 2" xfId="58495" xr:uid="{00000000-0005-0000-0000-0000688B0000}"/>
    <cellStyle name="Remarque 3 2 3 2 2 7 3" xfId="21792" xr:uid="{00000000-0005-0000-0000-0000698B0000}"/>
    <cellStyle name="Remarque 3 2 3 2 2 7 4" xfId="45752" xr:uid="{00000000-0005-0000-0000-00006A8B0000}"/>
    <cellStyle name="Remarque 3 2 3 2 2 8" xfId="12293" xr:uid="{00000000-0005-0000-0000-00006B8B0000}"/>
    <cellStyle name="Remarque 3 2 3 2 2 8 2" xfId="23581" xr:uid="{00000000-0005-0000-0000-00006C8B0000}"/>
    <cellStyle name="Remarque 3 2 3 2 2 8 3" xfId="47541" xr:uid="{00000000-0005-0000-0000-00006D8B0000}"/>
    <cellStyle name="Remarque 3 2 3 2 2 9" xfId="1997" xr:uid="{00000000-0005-0000-0000-00006E8B0000}"/>
    <cellStyle name="Remarque 3 2 3 2 2 9 2" xfId="26011" xr:uid="{00000000-0005-0000-0000-00006F8B0000}"/>
    <cellStyle name="Remarque 3 2 3 2 2 9 3" xfId="49971" xr:uid="{00000000-0005-0000-0000-0000708B0000}"/>
    <cellStyle name="Remarque 3 2 3 2 3" xfId="753" xr:uid="{00000000-0005-0000-0000-0000718B0000}"/>
    <cellStyle name="Remarque 3 2 3 2 3 10" xfId="24785" xr:uid="{00000000-0005-0000-0000-0000728B0000}"/>
    <cellStyle name="Remarque 3 2 3 2 3 10 2" xfId="48745" xr:uid="{00000000-0005-0000-0000-0000738B0000}"/>
    <cellStyle name="Remarque 3 2 3 2 3 11" xfId="36155" xr:uid="{00000000-0005-0000-0000-0000748B0000}"/>
    <cellStyle name="Remarque 3 2 3 2 3 11 2" xfId="60115" xr:uid="{00000000-0005-0000-0000-0000758B0000}"/>
    <cellStyle name="Remarque 3 2 3 2 3 12" xfId="13450" xr:uid="{00000000-0005-0000-0000-0000768B0000}"/>
    <cellStyle name="Remarque 3 2 3 2 3 13" xfId="37410" xr:uid="{00000000-0005-0000-0000-0000778B0000}"/>
    <cellStyle name="Remarque 3 2 3 2 3 2" xfId="3659" xr:uid="{00000000-0005-0000-0000-0000788B0000}"/>
    <cellStyle name="Remarque 3 2 3 2 3 2 2" xfId="27673" xr:uid="{00000000-0005-0000-0000-0000798B0000}"/>
    <cellStyle name="Remarque 3 2 3 2 3 2 2 2" xfId="51633" xr:uid="{00000000-0005-0000-0000-00007A8B0000}"/>
    <cellStyle name="Remarque 3 2 3 2 3 2 3" xfId="14920" xr:uid="{00000000-0005-0000-0000-00007B8B0000}"/>
    <cellStyle name="Remarque 3 2 3 2 3 2 4" xfId="38880" xr:uid="{00000000-0005-0000-0000-00007C8B0000}"/>
    <cellStyle name="Remarque 3 2 3 2 3 3" xfId="5093" xr:uid="{00000000-0005-0000-0000-00007D8B0000}"/>
    <cellStyle name="Remarque 3 2 3 2 3 3 2" xfId="29107" xr:uid="{00000000-0005-0000-0000-00007E8B0000}"/>
    <cellStyle name="Remarque 3 2 3 2 3 3 2 2" xfId="53067" xr:uid="{00000000-0005-0000-0000-00007F8B0000}"/>
    <cellStyle name="Remarque 3 2 3 2 3 3 3" xfId="16354" xr:uid="{00000000-0005-0000-0000-0000808B0000}"/>
    <cellStyle name="Remarque 3 2 3 2 3 3 4" xfId="40314" xr:uid="{00000000-0005-0000-0000-0000818B0000}"/>
    <cellStyle name="Remarque 3 2 3 2 3 4" xfId="6487" xr:uid="{00000000-0005-0000-0000-0000828B0000}"/>
    <cellStyle name="Remarque 3 2 3 2 3 4 2" xfId="30501" xr:uid="{00000000-0005-0000-0000-0000838B0000}"/>
    <cellStyle name="Remarque 3 2 3 2 3 4 2 2" xfId="54461" xr:uid="{00000000-0005-0000-0000-0000848B0000}"/>
    <cellStyle name="Remarque 3 2 3 2 3 4 3" xfId="17748" xr:uid="{00000000-0005-0000-0000-0000858B0000}"/>
    <cellStyle name="Remarque 3 2 3 2 3 4 4" xfId="41708" xr:uid="{00000000-0005-0000-0000-0000868B0000}"/>
    <cellStyle name="Remarque 3 2 3 2 3 5" xfId="7875" xr:uid="{00000000-0005-0000-0000-0000878B0000}"/>
    <cellStyle name="Remarque 3 2 3 2 3 5 2" xfId="31889" xr:uid="{00000000-0005-0000-0000-0000888B0000}"/>
    <cellStyle name="Remarque 3 2 3 2 3 5 2 2" xfId="55849" xr:uid="{00000000-0005-0000-0000-0000898B0000}"/>
    <cellStyle name="Remarque 3 2 3 2 3 5 3" xfId="19136" xr:uid="{00000000-0005-0000-0000-00008A8B0000}"/>
    <cellStyle name="Remarque 3 2 3 2 3 5 4" xfId="43096" xr:uid="{00000000-0005-0000-0000-00008B8B0000}"/>
    <cellStyle name="Remarque 3 2 3 2 3 6" xfId="9260" xr:uid="{00000000-0005-0000-0000-00008C8B0000}"/>
    <cellStyle name="Remarque 3 2 3 2 3 6 2" xfId="33274" xr:uid="{00000000-0005-0000-0000-00008D8B0000}"/>
    <cellStyle name="Remarque 3 2 3 2 3 6 2 2" xfId="57234" xr:uid="{00000000-0005-0000-0000-00008E8B0000}"/>
    <cellStyle name="Remarque 3 2 3 2 3 6 3" xfId="20521" xr:uid="{00000000-0005-0000-0000-00008F8B0000}"/>
    <cellStyle name="Remarque 3 2 3 2 3 6 4" xfId="44481" xr:uid="{00000000-0005-0000-0000-0000908B0000}"/>
    <cellStyle name="Remarque 3 2 3 2 3 7" xfId="10717" xr:uid="{00000000-0005-0000-0000-0000918B0000}"/>
    <cellStyle name="Remarque 3 2 3 2 3 7 2" xfId="34727" xr:uid="{00000000-0005-0000-0000-0000928B0000}"/>
    <cellStyle name="Remarque 3 2 3 2 3 7 2 2" xfId="58687" xr:uid="{00000000-0005-0000-0000-0000938B0000}"/>
    <cellStyle name="Remarque 3 2 3 2 3 7 3" xfId="21984" xr:uid="{00000000-0005-0000-0000-0000948B0000}"/>
    <cellStyle name="Remarque 3 2 3 2 3 7 4" xfId="45944" xr:uid="{00000000-0005-0000-0000-0000958B0000}"/>
    <cellStyle name="Remarque 3 2 3 2 3 8" xfId="12705" xr:uid="{00000000-0005-0000-0000-0000968B0000}"/>
    <cellStyle name="Remarque 3 2 3 2 3 8 2" xfId="24010" xr:uid="{00000000-0005-0000-0000-0000978B0000}"/>
    <cellStyle name="Remarque 3 2 3 2 3 8 3" xfId="47970" xr:uid="{00000000-0005-0000-0000-0000988B0000}"/>
    <cellStyle name="Remarque 3 2 3 2 3 9" xfId="2189" xr:uid="{00000000-0005-0000-0000-0000998B0000}"/>
    <cellStyle name="Remarque 3 2 3 2 3 9 2" xfId="26203" xr:uid="{00000000-0005-0000-0000-00009A8B0000}"/>
    <cellStyle name="Remarque 3 2 3 2 3 9 3" xfId="50163" xr:uid="{00000000-0005-0000-0000-00009B8B0000}"/>
    <cellStyle name="Remarque 3 2 3 2 4" xfId="947" xr:uid="{00000000-0005-0000-0000-00009C8B0000}"/>
    <cellStyle name="Remarque 3 2 3 2 4 10" xfId="24979" xr:uid="{00000000-0005-0000-0000-00009D8B0000}"/>
    <cellStyle name="Remarque 3 2 3 2 4 10 2" xfId="48939" xr:uid="{00000000-0005-0000-0000-00009E8B0000}"/>
    <cellStyle name="Remarque 3 2 3 2 4 11" xfId="35922" xr:uid="{00000000-0005-0000-0000-00009F8B0000}"/>
    <cellStyle name="Remarque 3 2 3 2 4 11 2" xfId="59882" xr:uid="{00000000-0005-0000-0000-0000A08B0000}"/>
    <cellStyle name="Remarque 3 2 3 2 4 12" xfId="13644" xr:uid="{00000000-0005-0000-0000-0000A18B0000}"/>
    <cellStyle name="Remarque 3 2 3 2 4 13" xfId="37604" xr:uid="{00000000-0005-0000-0000-0000A28B0000}"/>
    <cellStyle name="Remarque 3 2 3 2 4 2" xfId="3853" xr:uid="{00000000-0005-0000-0000-0000A38B0000}"/>
    <cellStyle name="Remarque 3 2 3 2 4 2 2" xfId="27867" xr:uid="{00000000-0005-0000-0000-0000A48B0000}"/>
    <cellStyle name="Remarque 3 2 3 2 4 2 2 2" xfId="51827" xr:uid="{00000000-0005-0000-0000-0000A58B0000}"/>
    <cellStyle name="Remarque 3 2 3 2 4 2 3" xfId="15114" xr:uid="{00000000-0005-0000-0000-0000A68B0000}"/>
    <cellStyle name="Remarque 3 2 3 2 4 2 4" xfId="39074" xr:uid="{00000000-0005-0000-0000-0000A78B0000}"/>
    <cellStyle name="Remarque 3 2 3 2 4 3" xfId="5287" xr:uid="{00000000-0005-0000-0000-0000A88B0000}"/>
    <cellStyle name="Remarque 3 2 3 2 4 3 2" xfId="29301" xr:uid="{00000000-0005-0000-0000-0000A98B0000}"/>
    <cellStyle name="Remarque 3 2 3 2 4 3 2 2" xfId="53261" xr:uid="{00000000-0005-0000-0000-0000AA8B0000}"/>
    <cellStyle name="Remarque 3 2 3 2 4 3 3" xfId="16548" xr:uid="{00000000-0005-0000-0000-0000AB8B0000}"/>
    <cellStyle name="Remarque 3 2 3 2 4 3 4" xfId="40508" xr:uid="{00000000-0005-0000-0000-0000AC8B0000}"/>
    <cellStyle name="Remarque 3 2 3 2 4 4" xfId="6681" xr:uid="{00000000-0005-0000-0000-0000AD8B0000}"/>
    <cellStyle name="Remarque 3 2 3 2 4 4 2" xfId="30695" xr:uid="{00000000-0005-0000-0000-0000AE8B0000}"/>
    <cellStyle name="Remarque 3 2 3 2 4 4 2 2" xfId="54655" xr:uid="{00000000-0005-0000-0000-0000AF8B0000}"/>
    <cellStyle name="Remarque 3 2 3 2 4 4 3" xfId="17942" xr:uid="{00000000-0005-0000-0000-0000B08B0000}"/>
    <cellStyle name="Remarque 3 2 3 2 4 4 4" xfId="41902" xr:uid="{00000000-0005-0000-0000-0000B18B0000}"/>
    <cellStyle name="Remarque 3 2 3 2 4 5" xfId="8069" xr:uid="{00000000-0005-0000-0000-0000B28B0000}"/>
    <cellStyle name="Remarque 3 2 3 2 4 5 2" xfId="32083" xr:uid="{00000000-0005-0000-0000-0000B38B0000}"/>
    <cellStyle name="Remarque 3 2 3 2 4 5 2 2" xfId="56043" xr:uid="{00000000-0005-0000-0000-0000B48B0000}"/>
    <cellStyle name="Remarque 3 2 3 2 4 5 3" xfId="19330" xr:uid="{00000000-0005-0000-0000-0000B58B0000}"/>
    <cellStyle name="Remarque 3 2 3 2 4 5 4" xfId="43290" xr:uid="{00000000-0005-0000-0000-0000B68B0000}"/>
    <cellStyle name="Remarque 3 2 3 2 4 6" xfId="9454" xr:uid="{00000000-0005-0000-0000-0000B78B0000}"/>
    <cellStyle name="Remarque 3 2 3 2 4 6 2" xfId="33468" xr:uid="{00000000-0005-0000-0000-0000B88B0000}"/>
    <cellStyle name="Remarque 3 2 3 2 4 6 2 2" xfId="57428" xr:uid="{00000000-0005-0000-0000-0000B98B0000}"/>
    <cellStyle name="Remarque 3 2 3 2 4 6 3" xfId="20715" xr:uid="{00000000-0005-0000-0000-0000BA8B0000}"/>
    <cellStyle name="Remarque 3 2 3 2 4 6 4" xfId="44675" xr:uid="{00000000-0005-0000-0000-0000BB8B0000}"/>
    <cellStyle name="Remarque 3 2 3 2 4 7" xfId="10911" xr:uid="{00000000-0005-0000-0000-0000BC8B0000}"/>
    <cellStyle name="Remarque 3 2 3 2 4 7 2" xfId="34921" xr:uid="{00000000-0005-0000-0000-0000BD8B0000}"/>
    <cellStyle name="Remarque 3 2 3 2 4 7 2 2" xfId="58881" xr:uid="{00000000-0005-0000-0000-0000BE8B0000}"/>
    <cellStyle name="Remarque 3 2 3 2 4 7 3" xfId="22178" xr:uid="{00000000-0005-0000-0000-0000BF8B0000}"/>
    <cellStyle name="Remarque 3 2 3 2 4 7 4" xfId="46138" xr:uid="{00000000-0005-0000-0000-0000C08B0000}"/>
    <cellStyle name="Remarque 3 2 3 2 4 8" xfId="12417" xr:uid="{00000000-0005-0000-0000-0000C18B0000}"/>
    <cellStyle name="Remarque 3 2 3 2 4 8 2" xfId="23708" xr:uid="{00000000-0005-0000-0000-0000C28B0000}"/>
    <cellStyle name="Remarque 3 2 3 2 4 8 3" xfId="47668" xr:uid="{00000000-0005-0000-0000-0000C38B0000}"/>
    <cellStyle name="Remarque 3 2 3 2 4 9" xfId="2383" xr:uid="{00000000-0005-0000-0000-0000C48B0000}"/>
    <cellStyle name="Remarque 3 2 3 2 4 9 2" xfId="26397" xr:uid="{00000000-0005-0000-0000-0000C58B0000}"/>
    <cellStyle name="Remarque 3 2 3 2 4 9 3" xfId="50357" xr:uid="{00000000-0005-0000-0000-0000C68B0000}"/>
    <cellStyle name="Remarque 3 2 3 2 5" xfId="1140" xr:uid="{00000000-0005-0000-0000-0000C78B0000}"/>
    <cellStyle name="Remarque 3 2 3 2 5 10" xfId="25172" xr:uid="{00000000-0005-0000-0000-0000C88B0000}"/>
    <cellStyle name="Remarque 3 2 3 2 5 10 2" xfId="49132" xr:uid="{00000000-0005-0000-0000-0000C98B0000}"/>
    <cellStyle name="Remarque 3 2 3 2 5 11" xfId="35851" xr:uid="{00000000-0005-0000-0000-0000CA8B0000}"/>
    <cellStyle name="Remarque 3 2 3 2 5 11 2" xfId="59811" xr:uid="{00000000-0005-0000-0000-0000CB8B0000}"/>
    <cellStyle name="Remarque 3 2 3 2 5 12" xfId="13837" xr:uid="{00000000-0005-0000-0000-0000CC8B0000}"/>
    <cellStyle name="Remarque 3 2 3 2 5 13" xfId="37797" xr:uid="{00000000-0005-0000-0000-0000CD8B0000}"/>
    <cellStyle name="Remarque 3 2 3 2 5 2" xfId="4046" xr:uid="{00000000-0005-0000-0000-0000CE8B0000}"/>
    <cellStyle name="Remarque 3 2 3 2 5 2 2" xfId="28060" xr:uid="{00000000-0005-0000-0000-0000CF8B0000}"/>
    <cellStyle name="Remarque 3 2 3 2 5 2 2 2" xfId="52020" xr:uid="{00000000-0005-0000-0000-0000D08B0000}"/>
    <cellStyle name="Remarque 3 2 3 2 5 2 3" xfId="15307" xr:uid="{00000000-0005-0000-0000-0000D18B0000}"/>
    <cellStyle name="Remarque 3 2 3 2 5 2 4" xfId="39267" xr:uid="{00000000-0005-0000-0000-0000D28B0000}"/>
    <cellStyle name="Remarque 3 2 3 2 5 3" xfId="5480" xr:uid="{00000000-0005-0000-0000-0000D38B0000}"/>
    <cellStyle name="Remarque 3 2 3 2 5 3 2" xfId="29494" xr:uid="{00000000-0005-0000-0000-0000D48B0000}"/>
    <cellStyle name="Remarque 3 2 3 2 5 3 2 2" xfId="53454" xr:uid="{00000000-0005-0000-0000-0000D58B0000}"/>
    <cellStyle name="Remarque 3 2 3 2 5 3 3" xfId="16741" xr:uid="{00000000-0005-0000-0000-0000D68B0000}"/>
    <cellStyle name="Remarque 3 2 3 2 5 3 4" xfId="40701" xr:uid="{00000000-0005-0000-0000-0000D78B0000}"/>
    <cellStyle name="Remarque 3 2 3 2 5 4" xfId="6874" xr:uid="{00000000-0005-0000-0000-0000D88B0000}"/>
    <cellStyle name="Remarque 3 2 3 2 5 4 2" xfId="30888" xr:uid="{00000000-0005-0000-0000-0000D98B0000}"/>
    <cellStyle name="Remarque 3 2 3 2 5 4 2 2" xfId="54848" xr:uid="{00000000-0005-0000-0000-0000DA8B0000}"/>
    <cellStyle name="Remarque 3 2 3 2 5 4 3" xfId="18135" xr:uid="{00000000-0005-0000-0000-0000DB8B0000}"/>
    <cellStyle name="Remarque 3 2 3 2 5 4 4" xfId="42095" xr:uid="{00000000-0005-0000-0000-0000DC8B0000}"/>
    <cellStyle name="Remarque 3 2 3 2 5 5" xfId="8262" xr:uid="{00000000-0005-0000-0000-0000DD8B0000}"/>
    <cellStyle name="Remarque 3 2 3 2 5 5 2" xfId="32276" xr:uid="{00000000-0005-0000-0000-0000DE8B0000}"/>
    <cellStyle name="Remarque 3 2 3 2 5 5 2 2" xfId="56236" xr:uid="{00000000-0005-0000-0000-0000DF8B0000}"/>
    <cellStyle name="Remarque 3 2 3 2 5 5 3" xfId="19523" xr:uid="{00000000-0005-0000-0000-0000E08B0000}"/>
    <cellStyle name="Remarque 3 2 3 2 5 5 4" xfId="43483" xr:uid="{00000000-0005-0000-0000-0000E18B0000}"/>
    <cellStyle name="Remarque 3 2 3 2 5 6" xfId="9647" xr:uid="{00000000-0005-0000-0000-0000E28B0000}"/>
    <cellStyle name="Remarque 3 2 3 2 5 6 2" xfId="33661" xr:uid="{00000000-0005-0000-0000-0000E38B0000}"/>
    <cellStyle name="Remarque 3 2 3 2 5 6 2 2" xfId="57621" xr:uid="{00000000-0005-0000-0000-0000E48B0000}"/>
    <cellStyle name="Remarque 3 2 3 2 5 6 3" xfId="20908" xr:uid="{00000000-0005-0000-0000-0000E58B0000}"/>
    <cellStyle name="Remarque 3 2 3 2 5 6 4" xfId="44868" xr:uid="{00000000-0005-0000-0000-0000E68B0000}"/>
    <cellStyle name="Remarque 3 2 3 2 5 7" xfId="11104" xr:uid="{00000000-0005-0000-0000-0000E78B0000}"/>
    <cellStyle name="Remarque 3 2 3 2 5 7 2" xfId="35114" xr:uid="{00000000-0005-0000-0000-0000E88B0000}"/>
    <cellStyle name="Remarque 3 2 3 2 5 7 2 2" xfId="59074" xr:uid="{00000000-0005-0000-0000-0000E98B0000}"/>
    <cellStyle name="Remarque 3 2 3 2 5 7 3" xfId="22371" xr:uid="{00000000-0005-0000-0000-0000EA8B0000}"/>
    <cellStyle name="Remarque 3 2 3 2 5 7 4" xfId="46331" xr:uid="{00000000-0005-0000-0000-0000EB8B0000}"/>
    <cellStyle name="Remarque 3 2 3 2 5 8" xfId="11945" xr:uid="{00000000-0005-0000-0000-0000EC8B0000}"/>
    <cellStyle name="Remarque 3 2 3 2 5 8 2" xfId="23223" xr:uid="{00000000-0005-0000-0000-0000ED8B0000}"/>
    <cellStyle name="Remarque 3 2 3 2 5 8 3" xfId="47183" xr:uid="{00000000-0005-0000-0000-0000EE8B0000}"/>
    <cellStyle name="Remarque 3 2 3 2 5 9" xfId="2576" xr:uid="{00000000-0005-0000-0000-0000EF8B0000}"/>
    <cellStyle name="Remarque 3 2 3 2 5 9 2" xfId="26590" xr:uid="{00000000-0005-0000-0000-0000F08B0000}"/>
    <cellStyle name="Remarque 3 2 3 2 5 9 3" xfId="50550" xr:uid="{00000000-0005-0000-0000-0000F18B0000}"/>
    <cellStyle name="Remarque 3 2 3 2 6" xfId="1307" xr:uid="{00000000-0005-0000-0000-0000F28B0000}"/>
    <cellStyle name="Remarque 3 2 3 2 6 10" xfId="25339" xr:uid="{00000000-0005-0000-0000-0000F38B0000}"/>
    <cellStyle name="Remarque 3 2 3 2 6 10 2" xfId="49299" xr:uid="{00000000-0005-0000-0000-0000F48B0000}"/>
    <cellStyle name="Remarque 3 2 3 2 6 11" xfId="35719" xr:uid="{00000000-0005-0000-0000-0000F58B0000}"/>
    <cellStyle name="Remarque 3 2 3 2 6 11 2" xfId="59679" xr:uid="{00000000-0005-0000-0000-0000F68B0000}"/>
    <cellStyle name="Remarque 3 2 3 2 6 12" xfId="14004" xr:uid="{00000000-0005-0000-0000-0000F78B0000}"/>
    <cellStyle name="Remarque 3 2 3 2 6 13" xfId="37964" xr:uid="{00000000-0005-0000-0000-0000F88B0000}"/>
    <cellStyle name="Remarque 3 2 3 2 6 2" xfId="4213" xr:uid="{00000000-0005-0000-0000-0000F98B0000}"/>
    <cellStyle name="Remarque 3 2 3 2 6 2 2" xfId="28227" xr:uid="{00000000-0005-0000-0000-0000FA8B0000}"/>
    <cellStyle name="Remarque 3 2 3 2 6 2 2 2" xfId="52187" xr:uid="{00000000-0005-0000-0000-0000FB8B0000}"/>
    <cellStyle name="Remarque 3 2 3 2 6 2 3" xfId="15474" xr:uid="{00000000-0005-0000-0000-0000FC8B0000}"/>
    <cellStyle name="Remarque 3 2 3 2 6 2 4" xfId="39434" xr:uid="{00000000-0005-0000-0000-0000FD8B0000}"/>
    <cellStyle name="Remarque 3 2 3 2 6 3" xfId="5647" xr:uid="{00000000-0005-0000-0000-0000FE8B0000}"/>
    <cellStyle name="Remarque 3 2 3 2 6 3 2" xfId="29661" xr:uid="{00000000-0005-0000-0000-0000FF8B0000}"/>
    <cellStyle name="Remarque 3 2 3 2 6 3 2 2" xfId="53621" xr:uid="{00000000-0005-0000-0000-0000008C0000}"/>
    <cellStyle name="Remarque 3 2 3 2 6 3 3" xfId="16908" xr:uid="{00000000-0005-0000-0000-0000018C0000}"/>
    <cellStyle name="Remarque 3 2 3 2 6 3 4" xfId="40868" xr:uid="{00000000-0005-0000-0000-0000028C0000}"/>
    <cellStyle name="Remarque 3 2 3 2 6 4" xfId="7041" xr:uid="{00000000-0005-0000-0000-0000038C0000}"/>
    <cellStyle name="Remarque 3 2 3 2 6 4 2" xfId="31055" xr:uid="{00000000-0005-0000-0000-0000048C0000}"/>
    <cellStyle name="Remarque 3 2 3 2 6 4 2 2" xfId="55015" xr:uid="{00000000-0005-0000-0000-0000058C0000}"/>
    <cellStyle name="Remarque 3 2 3 2 6 4 3" xfId="18302" xr:uid="{00000000-0005-0000-0000-0000068C0000}"/>
    <cellStyle name="Remarque 3 2 3 2 6 4 4" xfId="42262" xr:uid="{00000000-0005-0000-0000-0000078C0000}"/>
    <cellStyle name="Remarque 3 2 3 2 6 5" xfId="8429" xr:uid="{00000000-0005-0000-0000-0000088C0000}"/>
    <cellStyle name="Remarque 3 2 3 2 6 5 2" xfId="32443" xr:uid="{00000000-0005-0000-0000-0000098C0000}"/>
    <cellStyle name="Remarque 3 2 3 2 6 5 2 2" xfId="56403" xr:uid="{00000000-0005-0000-0000-00000A8C0000}"/>
    <cellStyle name="Remarque 3 2 3 2 6 5 3" xfId="19690" xr:uid="{00000000-0005-0000-0000-00000B8C0000}"/>
    <cellStyle name="Remarque 3 2 3 2 6 5 4" xfId="43650" xr:uid="{00000000-0005-0000-0000-00000C8C0000}"/>
    <cellStyle name="Remarque 3 2 3 2 6 6" xfId="9814" xr:uid="{00000000-0005-0000-0000-00000D8C0000}"/>
    <cellStyle name="Remarque 3 2 3 2 6 6 2" xfId="33828" xr:uid="{00000000-0005-0000-0000-00000E8C0000}"/>
    <cellStyle name="Remarque 3 2 3 2 6 6 2 2" xfId="57788" xr:uid="{00000000-0005-0000-0000-00000F8C0000}"/>
    <cellStyle name="Remarque 3 2 3 2 6 6 3" xfId="21075" xr:uid="{00000000-0005-0000-0000-0000108C0000}"/>
    <cellStyle name="Remarque 3 2 3 2 6 6 4" xfId="45035" xr:uid="{00000000-0005-0000-0000-0000118C0000}"/>
    <cellStyle name="Remarque 3 2 3 2 6 7" xfId="11271" xr:uid="{00000000-0005-0000-0000-0000128C0000}"/>
    <cellStyle name="Remarque 3 2 3 2 6 7 2" xfId="35281" xr:uid="{00000000-0005-0000-0000-0000138C0000}"/>
    <cellStyle name="Remarque 3 2 3 2 6 7 2 2" xfId="59241" xr:uid="{00000000-0005-0000-0000-0000148C0000}"/>
    <cellStyle name="Remarque 3 2 3 2 6 7 3" xfId="22538" xr:uid="{00000000-0005-0000-0000-0000158C0000}"/>
    <cellStyle name="Remarque 3 2 3 2 6 7 4" xfId="46498" xr:uid="{00000000-0005-0000-0000-0000168C0000}"/>
    <cellStyle name="Remarque 3 2 3 2 6 8" xfId="11768" xr:uid="{00000000-0005-0000-0000-0000178C0000}"/>
    <cellStyle name="Remarque 3 2 3 2 6 8 2" xfId="23041" xr:uid="{00000000-0005-0000-0000-0000188C0000}"/>
    <cellStyle name="Remarque 3 2 3 2 6 8 3" xfId="47001" xr:uid="{00000000-0005-0000-0000-0000198C0000}"/>
    <cellStyle name="Remarque 3 2 3 2 6 9" xfId="2743" xr:uid="{00000000-0005-0000-0000-00001A8C0000}"/>
    <cellStyle name="Remarque 3 2 3 2 6 9 2" xfId="26757" xr:uid="{00000000-0005-0000-0000-00001B8C0000}"/>
    <cellStyle name="Remarque 3 2 3 2 6 9 3" xfId="50717" xr:uid="{00000000-0005-0000-0000-00001C8C0000}"/>
    <cellStyle name="Remarque 3 2 3 2 7" xfId="1476" xr:uid="{00000000-0005-0000-0000-00001D8C0000}"/>
    <cellStyle name="Remarque 3 2 3 2 7 10" xfId="25508" xr:uid="{00000000-0005-0000-0000-00001E8C0000}"/>
    <cellStyle name="Remarque 3 2 3 2 7 10 2" xfId="49468" xr:uid="{00000000-0005-0000-0000-00001F8C0000}"/>
    <cellStyle name="Remarque 3 2 3 2 7 11" xfId="35665" xr:uid="{00000000-0005-0000-0000-0000208C0000}"/>
    <cellStyle name="Remarque 3 2 3 2 7 11 2" xfId="59625" xr:uid="{00000000-0005-0000-0000-0000218C0000}"/>
    <cellStyle name="Remarque 3 2 3 2 7 12" xfId="14173" xr:uid="{00000000-0005-0000-0000-0000228C0000}"/>
    <cellStyle name="Remarque 3 2 3 2 7 13" xfId="38133" xr:uid="{00000000-0005-0000-0000-0000238C0000}"/>
    <cellStyle name="Remarque 3 2 3 2 7 2" xfId="4382" xr:uid="{00000000-0005-0000-0000-0000248C0000}"/>
    <cellStyle name="Remarque 3 2 3 2 7 2 2" xfId="28396" xr:uid="{00000000-0005-0000-0000-0000258C0000}"/>
    <cellStyle name="Remarque 3 2 3 2 7 2 2 2" xfId="52356" xr:uid="{00000000-0005-0000-0000-0000268C0000}"/>
    <cellStyle name="Remarque 3 2 3 2 7 2 3" xfId="15643" xr:uid="{00000000-0005-0000-0000-0000278C0000}"/>
    <cellStyle name="Remarque 3 2 3 2 7 2 4" xfId="39603" xr:uid="{00000000-0005-0000-0000-0000288C0000}"/>
    <cellStyle name="Remarque 3 2 3 2 7 3" xfId="5816" xr:uid="{00000000-0005-0000-0000-0000298C0000}"/>
    <cellStyle name="Remarque 3 2 3 2 7 3 2" xfId="29830" xr:uid="{00000000-0005-0000-0000-00002A8C0000}"/>
    <cellStyle name="Remarque 3 2 3 2 7 3 2 2" xfId="53790" xr:uid="{00000000-0005-0000-0000-00002B8C0000}"/>
    <cellStyle name="Remarque 3 2 3 2 7 3 3" xfId="17077" xr:uid="{00000000-0005-0000-0000-00002C8C0000}"/>
    <cellStyle name="Remarque 3 2 3 2 7 3 4" xfId="41037" xr:uid="{00000000-0005-0000-0000-00002D8C0000}"/>
    <cellStyle name="Remarque 3 2 3 2 7 4" xfId="7210" xr:uid="{00000000-0005-0000-0000-00002E8C0000}"/>
    <cellStyle name="Remarque 3 2 3 2 7 4 2" xfId="31224" xr:uid="{00000000-0005-0000-0000-00002F8C0000}"/>
    <cellStyle name="Remarque 3 2 3 2 7 4 2 2" xfId="55184" xr:uid="{00000000-0005-0000-0000-0000308C0000}"/>
    <cellStyle name="Remarque 3 2 3 2 7 4 3" xfId="18471" xr:uid="{00000000-0005-0000-0000-0000318C0000}"/>
    <cellStyle name="Remarque 3 2 3 2 7 4 4" xfId="42431" xr:uid="{00000000-0005-0000-0000-0000328C0000}"/>
    <cellStyle name="Remarque 3 2 3 2 7 5" xfId="8598" xr:uid="{00000000-0005-0000-0000-0000338C0000}"/>
    <cellStyle name="Remarque 3 2 3 2 7 5 2" xfId="32612" xr:uid="{00000000-0005-0000-0000-0000348C0000}"/>
    <cellStyle name="Remarque 3 2 3 2 7 5 2 2" xfId="56572" xr:uid="{00000000-0005-0000-0000-0000358C0000}"/>
    <cellStyle name="Remarque 3 2 3 2 7 5 3" xfId="19859" xr:uid="{00000000-0005-0000-0000-0000368C0000}"/>
    <cellStyle name="Remarque 3 2 3 2 7 5 4" xfId="43819" xr:uid="{00000000-0005-0000-0000-0000378C0000}"/>
    <cellStyle name="Remarque 3 2 3 2 7 6" xfId="9983" xr:uid="{00000000-0005-0000-0000-0000388C0000}"/>
    <cellStyle name="Remarque 3 2 3 2 7 6 2" xfId="33997" xr:uid="{00000000-0005-0000-0000-0000398C0000}"/>
    <cellStyle name="Remarque 3 2 3 2 7 6 2 2" xfId="57957" xr:uid="{00000000-0005-0000-0000-00003A8C0000}"/>
    <cellStyle name="Remarque 3 2 3 2 7 6 3" xfId="21244" xr:uid="{00000000-0005-0000-0000-00003B8C0000}"/>
    <cellStyle name="Remarque 3 2 3 2 7 6 4" xfId="45204" xr:uid="{00000000-0005-0000-0000-00003C8C0000}"/>
    <cellStyle name="Remarque 3 2 3 2 7 7" xfId="11440" xr:uid="{00000000-0005-0000-0000-00003D8C0000}"/>
    <cellStyle name="Remarque 3 2 3 2 7 7 2" xfId="35450" xr:uid="{00000000-0005-0000-0000-00003E8C0000}"/>
    <cellStyle name="Remarque 3 2 3 2 7 7 2 2" xfId="59410" xr:uid="{00000000-0005-0000-0000-00003F8C0000}"/>
    <cellStyle name="Remarque 3 2 3 2 7 7 3" xfId="22707" xr:uid="{00000000-0005-0000-0000-0000408C0000}"/>
    <cellStyle name="Remarque 3 2 3 2 7 7 4" xfId="46667" xr:uid="{00000000-0005-0000-0000-0000418C0000}"/>
    <cellStyle name="Remarque 3 2 3 2 7 8" xfId="11594" xr:uid="{00000000-0005-0000-0000-0000428C0000}"/>
    <cellStyle name="Remarque 3 2 3 2 7 8 2" xfId="22861" xr:uid="{00000000-0005-0000-0000-0000438C0000}"/>
    <cellStyle name="Remarque 3 2 3 2 7 8 3" xfId="46821" xr:uid="{00000000-0005-0000-0000-0000448C0000}"/>
    <cellStyle name="Remarque 3 2 3 2 7 9" xfId="2912" xr:uid="{00000000-0005-0000-0000-0000458C0000}"/>
    <cellStyle name="Remarque 3 2 3 2 7 9 2" xfId="26926" xr:uid="{00000000-0005-0000-0000-0000468C0000}"/>
    <cellStyle name="Remarque 3 2 3 2 7 9 3" xfId="50886" xr:uid="{00000000-0005-0000-0000-0000478C0000}"/>
    <cellStyle name="Remarque 3 2 3 2 8" xfId="3331" xr:uid="{00000000-0005-0000-0000-0000488C0000}"/>
    <cellStyle name="Remarque 3 2 3 2 8 2" xfId="27345" xr:uid="{00000000-0005-0000-0000-0000498C0000}"/>
    <cellStyle name="Remarque 3 2 3 2 8 2 2" xfId="51305" xr:uid="{00000000-0005-0000-0000-00004A8C0000}"/>
    <cellStyle name="Remarque 3 2 3 2 8 3" xfId="14592" xr:uid="{00000000-0005-0000-0000-00004B8C0000}"/>
    <cellStyle name="Remarque 3 2 3 2 8 4" xfId="38552" xr:uid="{00000000-0005-0000-0000-00004C8C0000}"/>
    <cellStyle name="Remarque 3 2 3 2 9" xfId="4765" xr:uid="{00000000-0005-0000-0000-00004D8C0000}"/>
    <cellStyle name="Remarque 3 2 3 2 9 2" xfId="28779" xr:uid="{00000000-0005-0000-0000-00004E8C0000}"/>
    <cellStyle name="Remarque 3 2 3 2 9 2 2" xfId="52739" xr:uid="{00000000-0005-0000-0000-00004F8C0000}"/>
    <cellStyle name="Remarque 3 2 3 2 9 3" xfId="16026" xr:uid="{00000000-0005-0000-0000-0000508C0000}"/>
    <cellStyle name="Remarque 3 2 3 2 9 4" xfId="39986" xr:uid="{00000000-0005-0000-0000-0000518C0000}"/>
    <cellStyle name="Remarque 3 2 3 20" xfId="12947" xr:uid="{00000000-0005-0000-0000-0000528C0000}"/>
    <cellStyle name="Remarque 3 2 3 21" xfId="36907" xr:uid="{00000000-0005-0000-0000-0000538C0000}"/>
    <cellStyle name="Remarque 3 2 3 22" xfId="250" xr:uid="{00000000-0005-0000-0000-0000548C0000}"/>
    <cellStyle name="Remarque 3 2 3 3" xfId="349" xr:uid="{00000000-0005-0000-0000-0000558C0000}"/>
    <cellStyle name="Remarque 3 2 3 3 10" xfId="24381" xr:uid="{00000000-0005-0000-0000-0000568C0000}"/>
    <cellStyle name="Remarque 3 2 3 3 10 2" xfId="48341" xr:uid="{00000000-0005-0000-0000-0000578C0000}"/>
    <cellStyle name="Remarque 3 2 3 3 11" xfId="36119" xr:uid="{00000000-0005-0000-0000-0000588C0000}"/>
    <cellStyle name="Remarque 3 2 3 3 11 2" xfId="60079" xr:uid="{00000000-0005-0000-0000-0000598C0000}"/>
    <cellStyle name="Remarque 3 2 3 3 12" xfId="13046" xr:uid="{00000000-0005-0000-0000-00005A8C0000}"/>
    <cellStyle name="Remarque 3 2 3 3 13" xfId="37006" xr:uid="{00000000-0005-0000-0000-00005B8C0000}"/>
    <cellStyle name="Remarque 3 2 3 3 2" xfId="3255" xr:uid="{00000000-0005-0000-0000-00005C8C0000}"/>
    <cellStyle name="Remarque 3 2 3 3 2 2" xfId="27269" xr:uid="{00000000-0005-0000-0000-00005D8C0000}"/>
    <cellStyle name="Remarque 3 2 3 3 2 2 2" xfId="51229" xr:uid="{00000000-0005-0000-0000-00005E8C0000}"/>
    <cellStyle name="Remarque 3 2 3 3 2 3" xfId="14516" xr:uid="{00000000-0005-0000-0000-00005F8C0000}"/>
    <cellStyle name="Remarque 3 2 3 3 2 4" xfId="38476" xr:uid="{00000000-0005-0000-0000-0000608C0000}"/>
    <cellStyle name="Remarque 3 2 3 3 3" xfId="4689" xr:uid="{00000000-0005-0000-0000-0000618C0000}"/>
    <cellStyle name="Remarque 3 2 3 3 3 2" xfId="28703" xr:uid="{00000000-0005-0000-0000-0000628C0000}"/>
    <cellStyle name="Remarque 3 2 3 3 3 2 2" xfId="52663" xr:uid="{00000000-0005-0000-0000-0000638C0000}"/>
    <cellStyle name="Remarque 3 2 3 3 3 3" xfId="15950" xr:uid="{00000000-0005-0000-0000-0000648C0000}"/>
    <cellStyle name="Remarque 3 2 3 3 3 4" xfId="39910" xr:uid="{00000000-0005-0000-0000-0000658C0000}"/>
    <cellStyle name="Remarque 3 2 3 3 4" xfId="6083" xr:uid="{00000000-0005-0000-0000-0000668C0000}"/>
    <cellStyle name="Remarque 3 2 3 3 4 2" xfId="30097" xr:uid="{00000000-0005-0000-0000-0000678C0000}"/>
    <cellStyle name="Remarque 3 2 3 3 4 2 2" xfId="54057" xr:uid="{00000000-0005-0000-0000-0000688C0000}"/>
    <cellStyle name="Remarque 3 2 3 3 4 3" xfId="17344" xr:uid="{00000000-0005-0000-0000-0000698C0000}"/>
    <cellStyle name="Remarque 3 2 3 3 4 4" xfId="41304" xr:uid="{00000000-0005-0000-0000-00006A8C0000}"/>
    <cellStyle name="Remarque 3 2 3 3 5" xfId="7471" xr:uid="{00000000-0005-0000-0000-00006B8C0000}"/>
    <cellStyle name="Remarque 3 2 3 3 5 2" xfId="31485" xr:uid="{00000000-0005-0000-0000-00006C8C0000}"/>
    <cellStyle name="Remarque 3 2 3 3 5 2 2" xfId="55445" xr:uid="{00000000-0005-0000-0000-00006D8C0000}"/>
    <cellStyle name="Remarque 3 2 3 3 5 3" xfId="18732" xr:uid="{00000000-0005-0000-0000-00006E8C0000}"/>
    <cellStyle name="Remarque 3 2 3 3 5 4" xfId="42692" xr:uid="{00000000-0005-0000-0000-00006F8C0000}"/>
    <cellStyle name="Remarque 3 2 3 3 6" xfId="8856" xr:uid="{00000000-0005-0000-0000-0000708C0000}"/>
    <cellStyle name="Remarque 3 2 3 3 6 2" xfId="32870" xr:uid="{00000000-0005-0000-0000-0000718C0000}"/>
    <cellStyle name="Remarque 3 2 3 3 6 2 2" xfId="56830" xr:uid="{00000000-0005-0000-0000-0000728C0000}"/>
    <cellStyle name="Remarque 3 2 3 3 6 3" xfId="20117" xr:uid="{00000000-0005-0000-0000-0000738C0000}"/>
    <cellStyle name="Remarque 3 2 3 3 6 4" xfId="44077" xr:uid="{00000000-0005-0000-0000-0000748C0000}"/>
    <cellStyle name="Remarque 3 2 3 3 7" xfId="10313" xr:uid="{00000000-0005-0000-0000-0000758C0000}"/>
    <cellStyle name="Remarque 3 2 3 3 7 2" xfId="34323" xr:uid="{00000000-0005-0000-0000-0000768C0000}"/>
    <cellStyle name="Remarque 3 2 3 3 7 2 2" xfId="58283" xr:uid="{00000000-0005-0000-0000-0000778C0000}"/>
    <cellStyle name="Remarque 3 2 3 3 7 3" xfId="21580" xr:uid="{00000000-0005-0000-0000-0000788C0000}"/>
    <cellStyle name="Remarque 3 2 3 3 7 4" xfId="45540" xr:uid="{00000000-0005-0000-0000-0000798C0000}"/>
    <cellStyle name="Remarque 3 2 3 3 8" xfId="12392" xr:uid="{00000000-0005-0000-0000-00007A8C0000}"/>
    <cellStyle name="Remarque 3 2 3 3 8 2" xfId="23682" xr:uid="{00000000-0005-0000-0000-00007B8C0000}"/>
    <cellStyle name="Remarque 3 2 3 3 8 3" xfId="47642" xr:uid="{00000000-0005-0000-0000-00007C8C0000}"/>
    <cellStyle name="Remarque 3 2 3 3 9" xfId="1785" xr:uid="{00000000-0005-0000-0000-00007D8C0000}"/>
    <cellStyle name="Remarque 3 2 3 3 9 2" xfId="25799" xr:uid="{00000000-0005-0000-0000-00007E8C0000}"/>
    <cellStyle name="Remarque 3 2 3 3 9 3" xfId="49759" xr:uid="{00000000-0005-0000-0000-00007F8C0000}"/>
    <cellStyle name="Remarque 3 2 3 4" xfId="485" xr:uid="{00000000-0005-0000-0000-0000808C0000}"/>
    <cellStyle name="Remarque 3 2 3 4 10" xfId="24517" xr:uid="{00000000-0005-0000-0000-0000818C0000}"/>
    <cellStyle name="Remarque 3 2 3 4 10 2" xfId="48477" xr:uid="{00000000-0005-0000-0000-0000828C0000}"/>
    <cellStyle name="Remarque 3 2 3 4 11" xfId="36786" xr:uid="{00000000-0005-0000-0000-0000838C0000}"/>
    <cellStyle name="Remarque 3 2 3 4 11 2" xfId="60746" xr:uid="{00000000-0005-0000-0000-0000848C0000}"/>
    <cellStyle name="Remarque 3 2 3 4 12" xfId="13182" xr:uid="{00000000-0005-0000-0000-0000858C0000}"/>
    <cellStyle name="Remarque 3 2 3 4 13" xfId="37142" xr:uid="{00000000-0005-0000-0000-0000868C0000}"/>
    <cellStyle name="Remarque 3 2 3 4 2" xfId="3391" xr:uid="{00000000-0005-0000-0000-0000878C0000}"/>
    <cellStyle name="Remarque 3 2 3 4 2 2" xfId="27405" xr:uid="{00000000-0005-0000-0000-0000888C0000}"/>
    <cellStyle name="Remarque 3 2 3 4 2 2 2" xfId="51365" xr:uid="{00000000-0005-0000-0000-0000898C0000}"/>
    <cellStyle name="Remarque 3 2 3 4 2 3" xfId="14652" xr:uid="{00000000-0005-0000-0000-00008A8C0000}"/>
    <cellStyle name="Remarque 3 2 3 4 2 4" xfId="38612" xr:uid="{00000000-0005-0000-0000-00008B8C0000}"/>
    <cellStyle name="Remarque 3 2 3 4 3" xfId="4825" xr:uid="{00000000-0005-0000-0000-00008C8C0000}"/>
    <cellStyle name="Remarque 3 2 3 4 3 2" xfId="28839" xr:uid="{00000000-0005-0000-0000-00008D8C0000}"/>
    <cellStyle name="Remarque 3 2 3 4 3 2 2" xfId="52799" xr:uid="{00000000-0005-0000-0000-00008E8C0000}"/>
    <cellStyle name="Remarque 3 2 3 4 3 3" xfId="16086" xr:uid="{00000000-0005-0000-0000-00008F8C0000}"/>
    <cellStyle name="Remarque 3 2 3 4 3 4" xfId="40046" xr:uid="{00000000-0005-0000-0000-0000908C0000}"/>
    <cellStyle name="Remarque 3 2 3 4 4" xfId="6219" xr:uid="{00000000-0005-0000-0000-0000918C0000}"/>
    <cellStyle name="Remarque 3 2 3 4 4 2" xfId="30233" xr:uid="{00000000-0005-0000-0000-0000928C0000}"/>
    <cellStyle name="Remarque 3 2 3 4 4 2 2" xfId="54193" xr:uid="{00000000-0005-0000-0000-0000938C0000}"/>
    <cellStyle name="Remarque 3 2 3 4 4 3" xfId="17480" xr:uid="{00000000-0005-0000-0000-0000948C0000}"/>
    <cellStyle name="Remarque 3 2 3 4 4 4" xfId="41440" xr:uid="{00000000-0005-0000-0000-0000958C0000}"/>
    <cellStyle name="Remarque 3 2 3 4 5" xfId="7607" xr:uid="{00000000-0005-0000-0000-0000968C0000}"/>
    <cellStyle name="Remarque 3 2 3 4 5 2" xfId="31621" xr:uid="{00000000-0005-0000-0000-0000978C0000}"/>
    <cellStyle name="Remarque 3 2 3 4 5 2 2" xfId="55581" xr:uid="{00000000-0005-0000-0000-0000988C0000}"/>
    <cellStyle name="Remarque 3 2 3 4 5 3" xfId="18868" xr:uid="{00000000-0005-0000-0000-0000998C0000}"/>
    <cellStyle name="Remarque 3 2 3 4 5 4" xfId="42828" xr:uid="{00000000-0005-0000-0000-00009A8C0000}"/>
    <cellStyle name="Remarque 3 2 3 4 6" xfId="8992" xr:uid="{00000000-0005-0000-0000-00009B8C0000}"/>
    <cellStyle name="Remarque 3 2 3 4 6 2" xfId="33006" xr:uid="{00000000-0005-0000-0000-00009C8C0000}"/>
    <cellStyle name="Remarque 3 2 3 4 6 2 2" xfId="56966" xr:uid="{00000000-0005-0000-0000-00009D8C0000}"/>
    <cellStyle name="Remarque 3 2 3 4 6 3" xfId="20253" xr:uid="{00000000-0005-0000-0000-00009E8C0000}"/>
    <cellStyle name="Remarque 3 2 3 4 6 4" xfId="44213" xr:uid="{00000000-0005-0000-0000-00009F8C0000}"/>
    <cellStyle name="Remarque 3 2 3 4 7" xfId="10449" xr:uid="{00000000-0005-0000-0000-0000A08C0000}"/>
    <cellStyle name="Remarque 3 2 3 4 7 2" xfId="34459" xr:uid="{00000000-0005-0000-0000-0000A18C0000}"/>
    <cellStyle name="Remarque 3 2 3 4 7 2 2" xfId="58419" xr:uid="{00000000-0005-0000-0000-0000A28C0000}"/>
    <cellStyle name="Remarque 3 2 3 4 7 3" xfId="21716" xr:uid="{00000000-0005-0000-0000-0000A38C0000}"/>
    <cellStyle name="Remarque 3 2 3 4 7 4" xfId="45676" xr:uid="{00000000-0005-0000-0000-0000A48C0000}"/>
    <cellStyle name="Remarque 3 2 3 4 8" xfId="12024" xr:uid="{00000000-0005-0000-0000-0000A58C0000}"/>
    <cellStyle name="Remarque 3 2 3 4 8 2" xfId="23303" xr:uid="{00000000-0005-0000-0000-0000A68C0000}"/>
    <cellStyle name="Remarque 3 2 3 4 8 3" xfId="47263" xr:uid="{00000000-0005-0000-0000-0000A78C0000}"/>
    <cellStyle name="Remarque 3 2 3 4 9" xfId="1921" xr:uid="{00000000-0005-0000-0000-0000A88C0000}"/>
    <cellStyle name="Remarque 3 2 3 4 9 2" xfId="25935" xr:uid="{00000000-0005-0000-0000-0000A98C0000}"/>
    <cellStyle name="Remarque 3 2 3 4 9 3" xfId="49895" xr:uid="{00000000-0005-0000-0000-0000AA8C0000}"/>
    <cellStyle name="Remarque 3 2 3 5" xfId="677" xr:uid="{00000000-0005-0000-0000-0000AB8C0000}"/>
    <cellStyle name="Remarque 3 2 3 5 10" xfId="24709" xr:uid="{00000000-0005-0000-0000-0000AC8C0000}"/>
    <cellStyle name="Remarque 3 2 3 5 10 2" xfId="48669" xr:uid="{00000000-0005-0000-0000-0000AD8C0000}"/>
    <cellStyle name="Remarque 3 2 3 5 11" xfId="36150" xr:uid="{00000000-0005-0000-0000-0000AE8C0000}"/>
    <cellStyle name="Remarque 3 2 3 5 11 2" xfId="60110" xr:uid="{00000000-0005-0000-0000-0000AF8C0000}"/>
    <cellStyle name="Remarque 3 2 3 5 12" xfId="13374" xr:uid="{00000000-0005-0000-0000-0000B08C0000}"/>
    <cellStyle name="Remarque 3 2 3 5 13" xfId="37334" xr:uid="{00000000-0005-0000-0000-0000B18C0000}"/>
    <cellStyle name="Remarque 3 2 3 5 2" xfId="3583" xr:uid="{00000000-0005-0000-0000-0000B28C0000}"/>
    <cellStyle name="Remarque 3 2 3 5 2 2" xfId="27597" xr:uid="{00000000-0005-0000-0000-0000B38C0000}"/>
    <cellStyle name="Remarque 3 2 3 5 2 2 2" xfId="51557" xr:uid="{00000000-0005-0000-0000-0000B48C0000}"/>
    <cellStyle name="Remarque 3 2 3 5 2 3" xfId="14844" xr:uid="{00000000-0005-0000-0000-0000B58C0000}"/>
    <cellStyle name="Remarque 3 2 3 5 2 4" xfId="38804" xr:uid="{00000000-0005-0000-0000-0000B68C0000}"/>
    <cellStyle name="Remarque 3 2 3 5 3" xfId="5017" xr:uid="{00000000-0005-0000-0000-0000B78C0000}"/>
    <cellStyle name="Remarque 3 2 3 5 3 2" xfId="29031" xr:uid="{00000000-0005-0000-0000-0000B88C0000}"/>
    <cellStyle name="Remarque 3 2 3 5 3 2 2" xfId="52991" xr:uid="{00000000-0005-0000-0000-0000B98C0000}"/>
    <cellStyle name="Remarque 3 2 3 5 3 3" xfId="16278" xr:uid="{00000000-0005-0000-0000-0000BA8C0000}"/>
    <cellStyle name="Remarque 3 2 3 5 3 4" xfId="40238" xr:uid="{00000000-0005-0000-0000-0000BB8C0000}"/>
    <cellStyle name="Remarque 3 2 3 5 4" xfId="6411" xr:uid="{00000000-0005-0000-0000-0000BC8C0000}"/>
    <cellStyle name="Remarque 3 2 3 5 4 2" xfId="30425" xr:uid="{00000000-0005-0000-0000-0000BD8C0000}"/>
    <cellStyle name="Remarque 3 2 3 5 4 2 2" xfId="54385" xr:uid="{00000000-0005-0000-0000-0000BE8C0000}"/>
    <cellStyle name="Remarque 3 2 3 5 4 3" xfId="17672" xr:uid="{00000000-0005-0000-0000-0000BF8C0000}"/>
    <cellStyle name="Remarque 3 2 3 5 4 4" xfId="41632" xr:uid="{00000000-0005-0000-0000-0000C08C0000}"/>
    <cellStyle name="Remarque 3 2 3 5 5" xfId="7799" xr:uid="{00000000-0005-0000-0000-0000C18C0000}"/>
    <cellStyle name="Remarque 3 2 3 5 5 2" xfId="31813" xr:uid="{00000000-0005-0000-0000-0000C28C0000}"/>
    <cellStyle name="Remarque 3 2 3 5 5 2 2" xfId="55773" xr:uid="{00000000-0005-0000-0000-0000C38C0000}"/>
    <cellStyle name="Remarque 3 2 3 5 5 3" xfId="19060" xr:uid="{00000000-0005-0000-0000-0000C48C0000}"/>
    <cellStyle name="Remarque 3 2 3 5 5 4" xfId="43020" xr:uid="{00000000-0005-0000-0000-0000C58C0000}"/>
    <cellStyle name="Remarque 3 2 3 5 6" xfId="9184" xr:uid="{00000000-0005-0000-0000-0000C68C0000}"/>
    <cellStyle name="Remarque 3 2 3 5 6 2" xfId="33198" xr:uid="{00000000-0005-0000-0000-0000C78C0000}"/>
    <cellStyle name="Remarque 3 2 3 5 6 2 2" xfId="57158" xr:uid="{00000000-0005-0000-0000-0000C88C0000}"/>
    <cellStyle name="Remarque 3 2 3 5 6 3" xfId="20445" xr:uid="{00000000-0005-0000-0000-0000C98C0000}"/>
    <cellStyle name="Remarque 3 2 3 5 6 4" xfId="44405" xr:uid="{00000000-0005-0000-0000-0000CA8C0000}"/>
    <cellStyle name="Remarque 3 2 3 5 7" xfId="10641" xr:uid="{00000000-0005-0000-0000-0000CB8C0000}"/>
    <cellStyle name="Remarque 3 2 3 5 7 2" xfId="34651" xr:uid="{00000000-0005-0000-0000-0000CC8C0000}"/>
    <cellStyle name="Remarque 3 2 3 5 7 2 2" xfId="58611" xr:uid="{00000000-0005-0000-0000-0000CD8C0000}"/>
    <cellStyle name="Remarque 3 2 3 5 7 3" xfId="21908" xr:uid="{00000000-0005-0000-0000-0000CE8C0000}"/>
    <cellStyle name="Remarque 3 2 3 5 7 4" xfId="45868" xr:uid="{00000000-0005-0000-0000-0000CF8C0000}"/>
    <cellStyle name="Remarque 3 2 3 5 8" xfId="12111" xr:uid="{00000000-0005-0000-0000-0000D08C0000}"/>
    <cellStyle name="Remarque 3 2 3 5 8 2" xfId="23394" xr:uid="{00000000-0005-0000-0000-0000D18C0000}"/>
    <cellStyle name="Remarque 3 2 3 5 8 3" xfId="47354" xr:uid="{00000000-0005-0000-0000-0000D28C0000}"/>
    <cellStyle name="Remarque 3 2 3 5 9" xfId="2113" xr:uid="{00000000-0005-0000-0000-0000D38C0000}"/>
    <cellStyle name="Remarque 3 2 3 5 9 2" xfId="26127" xr:uid="{00000000-0005-0000-0000-0000D48C0000}"/>
    <cellStyle name="Remarque 3 2 3 5 9 3" xfId="50087" xr:uid="{00000000-0005-0000-0000-0000D58C0000}"/>
    <cellStyle name="Remarque 3 2 3 6" xfId="871" xr:uid="{00000000-0005-0000-0000-0000D68C0000}"/>
    <cellStyle name="Remarque 3 2 3 6 10" xfId="24903" xr:uid="{00000000-0005-0000-0000-0000D78C0000}"/>
    <cellStyle name="Remarque 3 2 3 6 10 2" xfId="48863" xr:uid="{00000000-0005-0000-0000-0000D88C0000}"/>
    <cellStyle name="Remarque 3 2 3 6 11" xfId="36430" xr:uid="{00000000-0005-0000-0000-0000D98C0000}"/>
    <cellStyle name="Remarque 3 2 3 6 11 2" xfId="60390" xr:uid="{00000000-0005-0000-0000-0000DA8C0000}"/>
    <cellStyle name="Remarque 3 2 3 6 12" xfId="13568" xr:uid="{00000000-0005-0000-0000-0000DB8C0000}"/>
    <cellStyle name="Remarque 3 2 3 6 13" xfId="37528" xr:uid="{00000000-0005-0000-0000-0000DC8C0000}"/>
    <cellStyle name="Remarque 3 2 3 6 2" xfId="3777" xr:uid="{00000000-0005-0000-0000-0000DD8C0000}"/>
    <cellStyle name="Remarque 3 2 3 6 2 2" xfId="27791" xr:uid="{00000000-0005-0000-0000-0000DE8C0000}"/>
    <cellStyle name="Remarque 3 2 3 6 2 2 2" xfId="51751" xr:uid="{00000000-0005-0000-0000-0000DF8C0000}"/>
    <cellStyle name="Remarque 3 2 3 6 2 3" xfId="15038" xr:uid="{00000000-0005-0000-0000-0000E08C0000}"/>
    <cellStyle name="Remarque 3 2 3 6 2 4" xfId="38998" xr:uid="{00000000-0005-0000-0000-0000E18C0000}"/>
    <cellStyle name="Remarque 3 2 3 6 3" xfId="5211" xr:uid="{00000000-0005-0000-0000-0000E28C0000}"/>
    <cellStyle name="Remarque 3 2 3 6 3 2" xfId="29225" xr:uid="{00000000-0005-0000-0000-0000E38C0000}"/>
    <cellStyle name="Remarque 3 2 3 6 3 2 2" xfId="53185" xr:uid="{00000000-0005-0000-0000-0000E48C0000}"/>
    <cellStyle name="Remarque 3 2 3 6 3 3" xfId="16472" xr:uid="{00000000-0005-0000-0000-0000E58C0000}"/>
    <cellStyle name="Remarque 3 2 3 6 3 4" xfId="40432" xr:uid="{00000000-0005-0000-0000-0000E68C0000}"/>
    <cellStyle name="Remarque 3 2 3 6 4" xfId="6605" xr:uid="{00000000-0005-0000-0000-0000E78C0000}"/>
    <cellStyle name="Remarque 3 2 3 6 4 2" xfId="30619" xr:uid="{00000000-0005-0000-0000-0000E88C0000}"/>
    <cellStyle name="Remarque 3 2 3 6 4 2 2" xfId="54579" xr:uid="{00000000-0005-0000-0000-0000E98C0000}"/>
    <cellStyle name="Remarque 3 2 3 6 4 3" xfId="17866" xr:uid="{00000000-0005-0000-0000-0000EA8C0000}"/>
    <cellStyle name="Remarque 3 2 3 6 4 4" xfId="41826" xr:uid="{00000000-0005-0000-0000-0000EB8C0000}"/>
    <cellStyle name="Remarque 3 2 3 6 5" xfId="7993" xr:uid="{00000000-0005-0000-0000-0000EC8C0000}"/>
    <cellStyle name="Remarque 3 2 3 6 5 2" xfId="32007" xr:uid="{00000000-0005-0000-0000-0000ED8C0000}"/>
    <cellStyle name="Remarque 3 2 3 6 5 2 2" xfId="55967" xr:uid="{00000000-0005-0000-0000-0000EE8C0000}"/>
    <cellStyle name="Remarque 3 2 3 6 5 3" xfId="19254" xr:uid="{00000000-0005-0000-0000-0000EF8C0000}"/>
    <cellStyle name="Remarque 3 2 3 6 5 4" xfId="43214" xr:uid="{00000000-0005-0000-0000-0000F08C0000}"/>
    <cellStyle name="Remarque 3 2 3 6 6" xfId="9378" xr:uid="{00000000-0005-0000-0000-0000F18C0000}"/>
    <cellStyle name="Remarque 3 2 3 6 6 2" xfId="33392" xr:uid="{00000000-0005-0000-0000-0000F28C0000}"/>
    <cellStyle name="Remarque 3 2 3 6 6 2 2" xfId="57352" xr:uid="{00000000-0005-0000-0000-0000F38C0000}"/>
    <cellStyle name="Remarque 3 2 3 6 6 3" xfId="20639" xr:uid="{00000000-0005-0000-0000-0000F48C0000}"/>
    <cellStyle name="Remarque 3 2 3 6 6 4" xfId="44599" xr:uid="{00000000-0005-0000-0000-0000F58C0000}"/>
    <cellStyle name="Remarque 3 2 3 6 7" xfId="10835" xr:uid="{00000000-0005-0000-0000-0000F68C0000}"/>
    <cellStyle name="Remarque 3 2 3 6 7 2" xfId="34845" xr:uid="{00000000-0005-0000-0000-0000F78C0000}"/>
    <cellStyle name="Remarque 3 2 3 6 7 2 2" xfId="58805" xr:uid="{00000000-0005-0000-0000-0000F88C0000}"/>
    <cellStyle name="Remarque 3 2 3 6 7 3" xfId="22102" xr:uid="{00000000-0005-0000-0000-0000F98C0000}"/>
    <cellStyle name="Remarque 3 2 3 6 7 4" xfId="46062" xr:uid="{00000000-0005-0000-0000-0000FA8C0000}"/>
    <cellStyle name="Remarque 3 2 3 6 8" xfId="12411" xr:uid="{00000000-0005-0000-0000-0000FB8C0000}"/>
    <cellStyle name="Remarque 3 2 3 6 8 2" xfId="23702" xr:uid="{00000000-0005-0000-0000-0000FC8C0000}"/>
    <cellStyle name="Remarque 3 2 3 6 8 3" xfId="47662" xr:uid="{00000000-0005-0000-0000-0000FD8C0000}"/>
    <cellStyle name="Remarque 3 2 3 6 9" xfId="2307" xr:uid="{00000000-0005-0000-0000-0000FE8C0000}"/>
    <cellStyle name="Remarque 3 2 3 6 9 2" xfId="26321" xr:uid="{00000000-0005-0000-0000-0000FF8C0000}"/>
    <cellStyle name="Remarque 3 2 3 6 9 3" xfId="50281" xr:uid="{00000000-0005-0000-0000-0000008D0000}"/>
    <cellStyle name="Remarque 3 2 3 7" xfId="1064" xr:uid="{00000000-0005-0000-0000-0000018D0000}"/>
    <cellStyle name="Remarque 3 2 3 7 10" xfId="25096" xr:uid="{00000000-0005-0000-0000-0000028D0000}"/>
    <cellStyle name="Remarque 3 2 3 7 10 2" xfId="49056" xr:uid="{00000000-0005-0000-0000-0000038D0000}"/>
    <cellStyle name="Remarque 3 2 3 7 11" xfId="35875" xr:uid="{00000000-0005-0000-0000-0000048D0000}"/>
    <cellStyle name="Remarque 3 2 3 7 11 2" xfId="59835" xr:uid="{00000000-0005-0000-0000-0000058D0000}"/>
    <cellStyle name="Remarque 3 2 3 7 12" xfId="13761" xr:uid="{00000000-0005-0000-0000-0000068D0000}"/>
    <cellStyle name="Remarque 3 2 3 7 13" xfId="37721" xr:uid="{00000000-0005-0000-0000-0000078D0000}"/>
    <cellStyle name="Remarque 3 2 3 7 2" xfId="3970" xr:uid="{00000000-0005-0000-0000-0000088D0000}"/>
    <cellStyle name="Remarque 3 2 3 7 2 2" xfId="27984" xr:uid="{00000000-0005-0000-0000-0000098D0000}"/>
    <cellStyle name="Remarque 3 2 3 7 2 2 2" xfId="51944" xr:uid="{00000000-0005-0000-0000-00000A8D0000}"/>
    <cellStyle name="Remarque 3 2 3 7 2 3" xfId="15231" xr:uid="{00000000-0005-0000-0000-00000B8D0000}"/>
    <cellStyle name="Remarque 3 2 3 7 2 4" xfId="39191" xr:uid="{00000000-0005-0000-0000-00000C8D0000}"/>
    <cellStyle name="Remarque 3 2 3 7 3" xfId="5404" xr:uid="{00000000-0005-0000-0000-00000D8D0000}"/>
    <cellStyle name="Remarque 3 2 3 7 3 2" xfId="29418" xr:uid="{00000000-0005-0000-0000-00000E8D0000}"/>
    <cellStyle name="Remarque 3 2 3 7 3 2 2" xfId="53378" xr:uid="{00000000-0005-0000-0000-00000F8D0000}"/>
    <cellStyle name="Remarque 3 2 3 7 3 3" xfId="16665" xr:uid="{00000000-0005-0000-0000-0000108D0000}"/>
    <cellStyle name="Remarque 3 2 3 7 3 4" xfId="40625" xr:uid="{00000000-0005-0000-0000-0000118D0000}"/>
    <cellStyle name="Remarque 3 2 3 7 4" xfId="6798" xr:uid="{00000000-0005-0000-0000-0000128D0000}"/>
    <cellStyle name="Remarque 3 2 3 7 4 2" xfId="30812" xr:uid="{00000000-0005-0000-0000-0000138D0000}"/>
    <cellStyle name="Remarque 3 2 3 7 4 2 2" xfId="54772" xr:uid="{00000000-0005-0000-0000-0000148D0000}"/>
    <cellStyle name="Remarque 3 2 3 7 4 3" xfId="18059" xr:uid="{00000000-0005-0000-0000-0000158D0000}"/>
    <cellStyle name="Remarque 3 2 3 7 4 4" xfId="42019" xr:uid="{00000000-0005-0000-0000-0000168D0000}"/>
    <cellStyle name="Remarque 3 2 3 7 5" xfId="8186" xr:uid="{00000000-0005-0000-0000-0000178D0000}"/>
    <cellStyle name="Remarque 3 2 3 7 5 2" xfId="32200" xr:uid="{00000000-0005-0000-0000-0000188D0000}"/>
    <cellStyle name="Remarque 3 2 3 7 5 2 2" xfId="56160" xr:uid="{00000000-0005-0000-0000-0000198D0000}"/>
    <cellStyle name="Remarque 3 2 3 7 5 3" xfId="19447" xr:uid="{00000000-0005-0000-0000-00001A8D0000}"/>
    <cellStyle name="Remarque 3 2 3 7 5 4" xfId="43407" xr:uid="{00000000-0005-0000-0000-00001B8D0000}"/>
    <cellStyle name="Remarque 3 2 3 7 6" xfId="9571" xr:uid="{00000000-0005-0000-0000-00001C8D0000}"/>
    <cellStyle name="Remarque 3 2 3 7 6 2" xfId="33585" xr:uid="{00000000-0005-0000-0000-00001D8D0000}"/>
    <cellStyle name="Remarque 3 2 3 7 6 2 2" xfId="57545" xr:uid="{00000000-0005-0000-0000-00001E8D0000}"/>
    <cellStyle name="Remarque 3 2 3 7 6 3" xfId="20832" xr:uid="{00000000-0005-0000-0000-00001F8D0000}"/>
    <cellStyle name="Remarque 3 2 3 7 6 4" xfId="44792" xr:uid="{00000000-0005-0000-0000-0000208D0000}"/>
    <cellStyle name="Remarque 3 2 3 7 7" xfId="11028" xr:uid="{00000000-0005-0000-0000-0000218D0000}"/>
    <cellStyle name="Remarque 3 2 3 7 7 2" xfId="35038" xr:uid="{00000000-0005-0000-0000-0000228D0000}"/>
    <cellStyle name="Remarque 3 2 3 7 7 2 2" xfId="58998" xr:uid="{00000000-0005-0000-0000-0000238D0000}"/>
    <cellStyle name="Remarque 3 2 3 7 7 3" xfId="22295" xr:uid="{00000000-0005-0000-0000-0000248D0000}"/>
    <cellStyle name="Remarque 3 2 3 7 7 4" xfId="46255" xr:uid="{00000000-0005-0000-0000-0000258D0000}"/>
    <cellStyle name="Remarque 3 2 3 7 8" xfId="12200" xr:uid="{00000000-0005-0000-0000-0000268D0000}"/>
    <cellStyle name="Remarque 3 2 3 7 8 2" xfId="23483" xr:uid="{00000000-0005-0000-0000-0000278D0000}"/>
    <cellStyle name="Remarque 3 2 3 7 8 3" xfId="47443" xr:uid="{00000000-0005-0000-0000-0000288D0000}"/>
    <cellStyle name="Remarque 3 2 3 7 9" xfId="2500" xr:uid="{00000000-0005-0000-0000-0000298D0000}"/>
    <cellStyle name="Remarque 3 2 3 7 9 2" xfId="26514" xr:uid="{00000000-0005-0000-0000-00002A8D0000}"/>
    <cellStyle name="Remarque 3 2 3 7 9 3" xfId="50474" xr:uid="{00000000-0005-0000-0000-00002B8D0000}"/>
    <cellStyle name="Remarque 3 2 3 8" xfId="1231" xr:uid="{00000000-0005-0000-0000-00002C8D0000}"/>
    <cellStyle name="Remarque 3 2 3 8 10" xfId="25263" xr:uid="{00000000-0005-0000-0000-00002D8D0000}"/>
    <cellStyle name="Remarque 3 2 3 8 10 2" xfId="49223" xr:uid="{00000000-0005-0000-0000-00002E8D0000}"/>
    <cellStyle name="Remarque 3 2 3 8 11" xfId="36193" xr:uid="{00000000-0005-0000-0000-00002F8D0000}"/>
    <cellStyle name="Remarque 3 2 3 8 11 2" xfId="60153" xr:uid="{00000000-0005-0000-0000-0000308D0000}"/>
    <cellStyle name="Remarque 3 2 3 8 12" xfId="13928" xr:uid="{00000000-0005-0000-0000-0000318D0000}"/>
    <cellStyle name="Remarque 3 2 3 8 13" xfId="37888" xr:uid="{00000000-0005-0000-0000-0000328D0000}"/>
    <cellStyle name="Remarque 3 2 3 8 2" xfId="4137" xr:uid="{00000000-0005-0000-0000-0000338D0000}"/>
    <cellStyle name="Remarque 3 2 3 8 2 2" xfId="28151" xr:uid="{00000000-0005-0000-0000-0000348D0000}"/>
    <cellStyle name="Remarque 3 2 3 8 2 2 2" xfId="52111" xr:uid="{00000000-0005-0000-0000-0000358D0000}"/>
    <cellStyle name="Remarque 3 2 3 8 2 3" xfId="15398" xr:uid="{00000000-0005-0000-0000-0000368D0000}"/>
    <cellStyle name="Remarque 3 2 3 8 2 4" xfId="39358" xr:uid="{00000000-0005-0000-0000-0000378D0000}"/>
    <cellStyle name="Remarque 3 2 3 8 3" xfId="5571" xr:uid="{00000000-0005-0000-0000-0000388D0000}"/>
    <cellStyle name="Remarque 3 2 3 8 3 2" xfId="29585" xr:uid="{00000000-0005-0000-0000-0000398D0000}"/>
    <cellStyle name="Remarque 3 2 3 8 3 2 2" xfId="53545" xr:uid="{00000000-0005-0000-0000-00003A8D0000}"/>
    <cellStyle name="Remarque 3 2 3 8 3 3" xfId="16832" xr:uid="{00000000-0005-0000-0000-00003B8D0000}"/>
    <cellStyle name="Remarque 3 2 3 8 3 4" xfId="40792" xr:uid="{00000000-0005-0000-0000-00003C8D0000}"/>
    <cellStyle name="Remarque 3 2 3 8 4" xfId="6965" xr:uid="{00000000-0005-0000-0000-00003D8D0000}"/>
    <cellStyle name="Remarque 3 2 3 8 4 2" xfId="30979" xr:uid="{00000000-0005-0000-0000-00003E8D0000}"/>
    <cellStyle name="Remarque 3 2 3 8 4 2 2" xfId="54939" xr:uid="{00000000-0005-0000-0000-00003F8D0000}"/>
    <cellStyle name="Remarque 3 2 3 8 4 3" xfId="18226" xr:uid="{00000000-0005-0000-0000-0000408D0000}"/>
    <cellStyle name="Remarque 3 2 3 8 4 4" xfId="42186" xr:uid="{00000000-0005-0000-0000-0000418D0000}"/>
    <cellStyle name="Remarque 3 2 3 8 5" xfId="8353" xr:uid="{00000000-0005-0000-0000-0000428D0000}"/>
    <cellStyle name="Remarque 3 2 3 8 5 2" xfId="32367" xr:uid="{00000000-0005-0000-0000-0000438D0000}"/>
    <cellStyle name="Remarque 3 2 3 8 5 2 2" xfId="56327" xr:uid="{00000000-0005-0000-0000-0000448D0000}"/>
    <cellStyle name="Remarque 3 2 3 8 5 3" xfId="19614" xr:uid="{00000000-0005-0000-0000-0000458D0000}"/>
    <cellStyle name="Remarque 3 2 3 8 5 4" xfId="43574" xr:uid="{00000000-0005-0000-0000-0000468D0000}"/>
    <cellStyle name="Remarque 3 2 3 8 6" xfId="9738" xr:uid="{00000000-0005-0000-0000-0000478D0000}"/>
    <cellStyle name="Remarque 3 2 3 8 6 2" xfId="33752" xr:uid="{00000000-0005-0000-0000-0000488D0000}"/>
    <cellStyle name="Remarque 3 2 3 8 6 2 2" xfId="57712" xr:uid="{00000000-0005-0000-0000-0000498D0000}"/>
    <cellStyle name="Remarque 3 2 3 8 6 3" xfId="20999" xr:uid="{00000000-0005-0000-0000-00004A8D0000}"/>
    <cellStyle name="Remarque 3 2 3 8 6 4" xfId="44959" xr:uid="{00000000-0005-0000-0000-00004B8D0000}"/>
    <cellStyle name="Remarque 3 2 3 8 7" xfId="11195" xr:uid="{00000000-0005-0000-0000-00004C8D0000}"/>
    <cellStyle name="Remarque 3 2 3 8 7 2" xfId="35205" xr:uid="{00000000-0005-0000-0000-00004D8D0000}"/>
    <cellStyle name="Remarque 3 2 3 8 7 2 2" xfId="59165" xr:uid="{00000000-0005-0000-0000-00004E8D0000}"/>
    <cellStyle name="Remarque 3 2 3 8 7 3" xfId="22462" xr:uid="{00000000-0005-0000-0000-00004F8D0000}"/>
    <cellStyle name="Remarque 3 2 3 8 7 4" xfId="46422" xr:uid="{00000000-0005-0000-0000-0000508D0000}"/>
    <cellStyle name="Remarque 3 2 3 8 8" xfId="11765" xr:uid="{00000000-0005-0000-0000-0000518D0000}"/>
    <cellStyle name="Remarque 3 2 3 8 8 2" xfId="23038" xr:uid="{00000000-0005-0000-0000-0000528D0000}"/>
    <cellStyle name="Remarque 3 2 3 8 8 3" xfId="46998" xr:uid="{00000000-0005-0000-0000-0000538D0000}"/>
    <cellStyle name="Remarque 3 2 3 8 9" xfId="2667" xr:uid="{00000000-0005-0000-0000-0000548D0000}"/>
    <cellStyle name="Remarque 3 2 3 8 9 2" xfId="26681" xr:uid="{00000000-0005-0000-0000-0000558D0000}"/>
    <cellStyle name="Remarque 3 2 3 8 9 3" xfId="50641" xr:uid="{00000000-0005-0000-0000-0000568D0000}"/>
    <cellStyle name="Remarque 3 2 3 9" xfId="1400" xr:uid="{00000000-0005-0000-0000-0000578D0000}"/>
    <cellStyle name="Remarque 3 2 3 9 10" xfId="25432" xr:uid="{00000000-0005-0000-0000-0000588D0000}"/>
    <cellStyle name="Remarque 3 2 3 9 10 2" xfId="49392" xr:uid="{00000000-0005-0000-0000-0000598D0000}"/>
    <cellStyle name="Remarque 3 2 3 9 11" xfId="36670" xr:uid="{00000000-0005-0000-0000-00005A8D0000}"/>
    <cellStyle name="Remarque 3 2 3 9 11 2" xfId="60630" xr:uid="{00000000-0005-0000-0000-00005B8D0000}"/>
    <cellStyle name="Remarque 3 2 3 9 12" xfId="14097" xr:uid="{00000000-0005-0000-0000-00005C8D0000}"/>
    <cellStyle name="Remarque 3 2 3 9 13" xfId="38057" xr:uid="{00000000-0005-0000-0000-00005D8D0000}"/>
    <cellStyle name="Remarque 3 2 3 9 2" xfId="4306" xr:uid="{00000000-0005-0000-0000-00005E8D0000}"/>
    <cellStyle name="Remarque 3 2 3 9 2 2" xfId="28320" xr:uid="{00000000-0005-0000-0000-00005F8D0000}"/>
    <cellStyle name="Remarque 3 2 3 9 2 2 2" xfId="52280" xr:uid="{00000000-0005-0000-0000-0000608D0000}"/>
    <cellStyle name="Remarque 3 2 3 9 2 3" xfId="15567" xr:uid="{00000000-0005-0000-0000-0000618D0000}"/>
    <cellStyle name="Remarque 3 2 3 9 2 4" xfId="39527" xr:uid="{00000000-0005-0000-0000-0000628D0000}"/>
    <cellStyle name="Remarque 3 2 3 9 3" xfId="5740" xr:uid="{00000000-0005-0000-0000-0000638D0000}"/>
    <cellStyle name="Remarque 3 2 3 9 3 2" xfId="29754" xr:uid="{00000000-0005-0000-0000-0000648D0000}"/>
    <cellStyle name="Remarque 3 2 3 9 3 2 2" xfId="53714" xr:uid="{00000000-0005-0000-0000-0000658D0000}"/>
    <cellStyle name="Remarque 3 2 3 9 3 3" xfId="17001" xr:uid="{00000000-0005-0000-0000-0000668D0000}"/>
    <cellStyle name="Remarque 3 2 3 9 3 4" xfId="40961" xr:uid="{00000000-0005-0000-0000-0000678D0000}"/>
    <cellStyle name="Remarque 3 2 3 9 4" xfId="7134" xr:uid="{00000000-0005-0000-0000-0000688D0000}"/>
    <cellStyle name="Remarque 3 2 3 9 4 2" xfId="31148" xr:uid="{00000000-0005-0000-0000-0000698D0000}"/>
    <cellStyle name="Remarque 3 2 3 9 4 2 2" xfId="55108" xr:uid="{00000000-0005-0000-0000-00006A8D0000}"/>
    <cellStyle name="Remarque 3 2 3 9 4 3" xfId="18395" xr:uid="{00000000-0005-0000-0000-00006B8D0000}"/>
    <cellStyle name="Remarque 3 2 3 9 4 4" xfId="42355" xr:uid="{00000000-0005-0000-0000-00006C8D0000}"/>
    <cellStyle name="Remarque 3 2 3 9 5" xfId="8522" xr:uid="{00000000-0005-0000-0000-00006D8D0000}"/>
    <cellStyle name="Remarque 3 2 3 9 5 2" xfId="32536" xr:uid="{00000000-0005-0000-0000-00006E8D0000}"/>
    <cellStyle name="Remarque 3 2 3 9 5 2 2" xfId="56496" xr:uid="{00000000-0005-0000-0000-00006F8D0000}"/>
    <cellStyle name="Remarque 3 2 3 9 5 3" xfId="19783" xr:uid="{00000000-0005-0000-0000-0000708D0000}"/>
    <cellStyle name="Remarque 3 2 3 9 5 4" xfId="43743" xr:uid="{00000000-0005-0000-0000-0000718D0000}"/>
    <cellStyle name="Remarque 3 2 3 9 6" xfId="9907" xr:uid="{00000000-0005-0000-0000-0000728D0000}"/>
    <cellStyle name="Remarque 3 2 3 9 6 2" xfId="33921" xr:uid="{00000000-0005-0000-0000-0000738D0000}"/>
    <cellStyle name="Remarque 3 2 3 9 6 2 2" xfId="57881" xr:uid="{00000000-0005-0000-0000-0000748D0000}"/>
    <cellStyle name="Remarque 3 2 3 9 6 3" xfId="21168" xr:uid="{00000000-0005-0000-0000-0000758D0000}"/>
    <cellStyle name="Remarque 3 2 3 9 6 4" xfId="45128" xr:uid="{00000000-0005-0000-0000-0000768D0000}"/>
    <cellStyle name="Remarque 3 2 3 9 7" xfId="11364" xr:uid="{00000000-0005-0000-0000-0000778D0000}"/>
    <cellStyle name="Remarque 3 2 3 9 7 2" xfId="35374" xr:uid="{00000000-0005-0000-0000-0000788D0000}"/>
    <cellStyle name="Remarque 3 2 3 9 7 2 2" xfId="59334" xr:uid="{00000000-0005-0000-0000-0000798D0000}"/>
    <cellStyle name="Remarque 3 2 3 9 7 3" xfId="22631" xr:uid="{00000000-0005-0000-0000-00007A8D0000}"/>
    <cellStyle name="Remarque 3 2 3 9 7 4" xfId="46591" xr:uid="{00000000-0005-0000-0000-00007B8D0000}"/>
    <cellStyle name="Remarque 3 2 3 9 8" xfId="12147" xr:uid="{00000000-0005-0000-0000-00007C8D0000}"/>
    <cellStyle name="Remarque 3 2 3 9 8 2" xfId="23430" xr:uid="{00000000-0005-0000-0000-00007D8D0000}"/>
    <cellStyle name="Remarque 3 2 3 9 8 3" xfId="47390" xr:uid="{00000000-0005-0000-0000-00007E8D0000}"/>
    <cellStyle name="Remarque 3 2 3 9 9" xfId="2836" xr:uid="{00000000-0005-0000-0000-00007F8D0000}"/>
    <cellStyle name="Remarque 3 2 3 9 9 2" xfId="26850" xr:uid="{00000000-0005-0000-0000-0000808D0000}"/>
    <cellStyle name="Remarque 3 2 3 9 9 3" xfId="50810" xr:uid="{00000000-0005-0000-0000-0000818D0000}"/>
    <cellStyle name="Remarque 3 2 4" xfId="83" xr:uid="{00000000-0005-0000-0000-0000828D0000}"/>
    <cellStyle name="Remarque 3 2 4 10" xfId="36886" xr:uid="{00000000-0005-0000-0000-0000838D0000}"/>
    <cellStyle name="Remarque 3 2 4 11" xfId="229" xr:uid="{00000000-0005-0000-0000-0000848D0000}"/>
    <cellStyle name="Remarque 3 2 4 2" xfId="463" xr:uid="{00000000-0005-0000-0000-0000858D0000}"/>
    <cellStyle name="Remarque 3 2 4 2 10" xfId="6197" xr:uid="{00000000-0005-0000-0000-0000868D0000}"/>
    <cellStyle name="Remarque 3 2 4 2 10 2" xfId="30211" xr:uid="{00000000-0005-0000-0000-0000878D0000}"/>
    <cellStyle name="Remarque 3 2 4 2 10 2 2" xfId="54171" xr:uid="{00000000-0005-0000-0000-0000888D0000}"/>
    <cellStyle name="Remarque 3 2 4 2 10 3" xfId="17458" xr:uid="{00000000-0005-0000-0000-0000898D0000}"/>
    <cellStyle name="Remarque 3 2 4 2 10 4" xfId="41418" xr:uid="{00000000-0005-0000-0000-00008A8D0000}"/>
    <cellStyle name="Remarque 3 2 4 2 11" xfId="7585" xr:uid="{00000000-0005-0000-0000-00008B8D0000}"/>
    <cellStyle name="Remarque 3 2 4 2 11 2" xfId="31599" xr:uid="{00000000-0005-0000-0000-00008C8D0000}"/>
    <cellStyle name="Remarque 3 2 4 2 11 2 2" xfId="55559" xr:uid="{00000000-0005-0000-0000-00008D8D0000}"/>
    <cellStyle name="Remarque 3 2 4 2 11 3" xfId="18846" xr:uid="{00000000-0005-0000-0000-00008E8D0000}"/>
    <cellStyle name="Remarque 3 2 4 2 11 4" xfId="42806" xr:uid="{00000000-0005-0000-0000-00008F8D0000}"/>
    <cellStyle name="Remarque 3 2 4 2 12" xfId="8970" xr:uid="{00000000-0005-0000-0000-0000908D0000}"/>
    <cellStyle name="Remarque 3 2 4 2 12 2" xfId="32984" xr:uid="{00000000-0005-0000-0000-0000918D0000}"/>
    <cellStyle name="Remarque 3 2 4 2 12 2 2" xfId="56944" xr:uid="{00000000-0005-0000-0000-0000928D0000}"/>
    <cellStyle name="Remarque 3 2 4 2 12 3" xfId="20231" xr:uid="{00000000-0005-0000-0000-0000938D0000}"/>
    <cellStyle name="Remarque 3 2 4 2 12 4" xfId="44191" xr:uid="{00000000-0005-0000-0000-0000948D0000}"/>
    <cellStyle name="Remarque 3 2 4 2 13" xfId="10427" xr:uid="{00000000-0005-0000-0000-0000958D0000}"/>
    <cellStyle name="Remarque 3 2 4 2 13 2" xfId="34437" xr:uid="{00000000-0005-0000-0000-0000968D0000}"/>
    <cellStyle name="Remarque 3 2 4 2 13 2 2" xfId="58397" xr:uid="{00000000-0005-0000-0000-0000978D0000}"/>
    <cellStyle name="Remarque 3 2 4 2 13 3" xfId="21694" xr:uid="{00000000-0005-0000-0000-0000988D0000}"/>
    <cellStyle name="Remarque 3 2 4 2 13 4" xfId="45654" xr:uid="{00000000-0005-0000-0000-0000998D0000}"/>
    <cellStyle name="Remarque 3 2 4 2 14" xfId="12370" xr:uid="{00000000-0005-0000-0000-00009A8D0000}"/>
    <cellStyle name="Remarque 3 2 4 2 14 2" xfId="23659" xr:uid="{00000000-0005-0000-0000-00009B8D0000}"/>
    <cellStyle name="Remarque 3 2 4 2 14 3" xfId="47619" xr:uid="{00000000-0005-0000-0000-00009C8D0000}"/>
    <cellStyle name="Remarque 3 2 4 2 15" xfId="1899" xr:uid="{00000000-0005-0000-0000-00009D8D0000}"/>
    <cellStyle name="Remarque 3 2 4 2 15 2" xfId="25913" xr:uid="{00000000-0005-0000-0000-00009E8D0000}"/>
    <cellStyle name="Remarque 3 2 4 2 15 3" xfId="49873" xr:uid="{00000000-0005-0000-0000-00009F8D0000}"/>
    <cellStyle name="Remarque 3 2 4 2 16" xfId="24495" xr:uid="{00000000-0005-0000-0000-0000A08D0000}"/>
    <cellStyle name="Remarque 3 2 4 2 16 2" xfId="48455" xr:uid="{00000000-0005-0000-0000-0000A18D0000}"/>
    <cellStyle name="Remarque 3 2 4 2 17" xfId="36345" xr:uid="{00000000-0005-0000-0000-0000A28D0000}"/>
    <cellStyle name="Remarque 3 2 4 2 17 2" xfId="60305" xr:uid="{00000000-0005-0000-0000-0000A38D0000}"/>
    <cellStyle name="Remarque 3 2 4 2 18" xfId="13160" xr:uid="{00000000-0005-0000-0000-0000A48D0000}"/>
    <cellStyle name="Remarque 3 2 4 2 19" xfId="37120" xr:uid="{00000000-0005-0000-0000-0000A58D0000}"/>
    <cellStyle name="Remarque 3 2 4 2 2" xfId="599" xr:uid="{00000000-0005-0000-0000-0000A68D0000}"/>
    <cellStyle name="Remarque 3 2 4 2 2 10" xfId="24631" xr:uid="{00000000-0005-0000-0000-0000A78D0000}"/>
    <cellStyle name="Remarque 3 2 4 2 2 10 2" xfId="48591" xr:uid="{00000000-0005-0000-0000-0000A88D0000}"/>
    <cellStyle name="Remarque 3 2 4 2 2 11" xfId="35731" xr:uid="{00000000-0005-0000-0000-0000A98D0000}"/>
    <cellStyle name="Remarque 3 2 4 2 2 11 2" xfId="59691" xr:uid="{00000000-0005-0000-0000-0000AA8D0000}"/>
    <cellStyle name="Remarque 3 2 4 2 2 12" xfId="13296" xr:uid="{00000000-0005-0000-0000-0000AB8D0000}"/>
    <cellStyle name="Remarque 3 2 4 2 2 13" xfId="37256" xr:uid="{00000000-0005-0000-0000-0000AC8D0000}"/>
    <cellStyle name="Remarque 3 2 4 2 2 2" xfId="3505" xr:uid="{00000000-0005-0000-0000-0000AD8D0000}"/>
    <cellStyle name="Remarque 3 2 4 2 2 2 2" xfId="27519" xr:uid="{00000000-0005-0000-0000-0000AE8D0000}"/>
    <cellStyle name="Remarque 3 2 4 2 2 2 2 2" xfId="51479" xr:uid="{00000000-0005-0000-0000-0000AF8D0000}"/>
    <cellStyle name="Remarque 3 2 4 2 2 2 3" xfId="14766" xr:uid="{00000000-0005-0000-0000-0000B08D0000}"/>
    <cellStyle name="Remarque 3 2 4 2 2 2 4" xfId="38726" xr:uid="{00000000-0005-0000-0000-0000B18D0000}"/>
    <cellStyle name="Remarque 3 2 4 2 2 3" xfId="4939" xr:uid="{00000000-0005-0000-0000-0000B28D0000}"/>
    <cellStyle name="Remarque 3 2 4 2 2 3 2" xfId="28953" xr:uid="{00000000-0005-0000-0000-0000B38D0000}"/>
    <cellStyle name="Remarque 3 2 4 2 2 3 2 2" xfId="52913" xr:uid="{00000000-0005-0000-0000-0000B48D0000}"/>
    <cellStyle name="Remarque 3 2 4 2 2 3 3" xfId="16200" xr:uid="{00000000-0005-0000-0000-0000B58D0000}"/>
    <cellStyle name="Remarque 3 2 4 2 2 3 4" xfId="40160" xr:uid="{00000000-0005-0000-0000-0000B68D0000}"/>
    <cellStyle name="Remarque 3 2 4 2 2 4" xfId="6333" xr:uid="{00000000-0005-0000-0000-0000B78D0000}"/>
    <cellStyle name="Remarque 3 2 4 2 2 4 2" xfId="30347" xr:uid="{00000000-0005-0000-0000-0000B88D0000}"/>
    <cellStyle name="Remarque 3 2 4 2 2 4 2 2" xfId="54307" xr:uid="{00000000-0005-0000-0000-0000B98D0000}"/>
    <cellStyle name="Remarque 3 2 4 2 2 4 3" xfId="17594" xr:uid="{00000000-0005-0000-0000-0000BA8D0000}"/>
    <cellStyle name="Remarque 3 2 4 2 2 4 4" xfId="41554" xr:uid="{00000000-0005-0000-0000-0000BB8D0000}"/>
    <cellStyle name="Remarque 3 2 4 2 2 5" xfId="7721" xr:uid="{00000000-0005-0000-0000-0000BC8D0000}"/>
    <cellStyle name="Remarque 3 2 4 2 2 5 2" xfId="31735" xr:uid="{00000000-0005-0000-0000-0000BD8D0000}"/>
    <cellStyle name="Remarque 3 2 4 2 2 5 2 2" xfId="55695" xr:uid="{00000000-0005-0000-0000-0000BE8D0000}"/>
    <cellStyle name="Remarque 3 2 4 2 2 5 3" xfId="18982" xr:uid="{00000000-0005-0000-0000-0000BF8D0000}"/>
    <cellStyle name="Remarque 3 2 4 2 2 5 4" xfId="42942" xr:uid="{00000000-0005-0000-0000-0000C08D0000}"/>
    <cellStyle name="Remarque 3 2 4 2 2 6" xfId="9106" xr:uid="{00000000-0005-0000-0000-0000C18D0000}"/>
    <cellStyle name="Remarque 3 2 4 2 2 6 2" xfId="33120" xr:uid="{00000000-0005-0000-0000-0000C28D0000}"/>
    <cellStyle name="Remarque 3 2 4 2 2 6 2 2" xfId="57080" xr:uid="{00000000-0005-0000-0000-0000C38D0000}"/>
    <cellStyle name="Remarque 3 2 4 2 2 6 3" xfId="20367" xr:uid="{00000000-0005-0000-0000-0000C48D0000}"/>
    <cellStyle name="Remarque 3 2 4 2 2 6 4" xfId="44327" xr:uid="{00000000-0005-0000-0000-0000C58D0000}"/>
    <cellStyle name="Remarque 3 2 4 2 2 7" xfId="10563" xr:uid="{00000000-0005-0000-0000-0000C68D0000}"/>
    <cellStyle name="Remarque 3 2 4 2 2 7 2" xfId="34573" xr:uid="{00000000-0005-0000-0000-0000C78D0000}"/>
    <cellStyle name="Remarque 3 2 4 2 2 7 2 2" xfId="58533" xr:uid="{00000000-0005-0000-0000-0000C88D0000}"/>
    <cellStyle name="Remarque 3 2 4 2 2 7 3" xfId="21830" xr:uid="{00000000-0005-0000-0000-0000C98D0000}"/>
    <cellStyle name="Remarque 3 2 4 2 2 7 4" xfId="45790" xr:uid="{00000000-0005-0000-0000-0000CA8D0000}"/>
    <cellStyle name="Remarque 3 2 4 2 2 8" xfId="11821" xr:uid="{00000000-0005-0000-0000-0000CB8D0000}"/>
    <cellStyle name="Remarque 3 2 4 2 2 8 2" xfId="23095" xr:uid="{00000000-0005-0000-0000-0000CC8D0000}"/>
    <cellStyle name="Remarque 3 2 4 2 2 8 3" xfId="47055" xr:uid="{00000000-0005-0000-0000-0000CD8D0000}"/>
    <cellStyle name="Remarque 3 2 4 2 2 9" xfId="2035" xr:uid="{00000000-0005-0000-0000-0000CE8D0000}"/>
    <cellStyle name="Remarque 3 2 4 2 2 9 2" xfId="26049" xr:uid="{00000000-0005-0000-0000-0000CF8D0000}"/>
    <cellStyle name="Remarque 3 2 4 2 2 9 3" xfId="50009" xr:uid="{00000000-0005-0000-0000-0000D08D0000}"/>
    <cellStyle name="Remarque 3 2 4 2 3" xfId="791" xr:uid="{00000000-0005-0000-0000-0000D18D0000}"/>
    <cellStyle name="Remarque 3 2 4 2 3 10" xfId="24823" xr:uid="{00000000-0005-0000-0000-0000D28D0000}"/>
    <cellStyle name="Remarque 3 2 4 2 3 10 2" xfId="48783" xr:uid="{00000000-0005-0000-0000-0000D38D0000}"/>
    <cellStyle name="Remarque 3 2 4 2 3 11" xfId="35929" xr:uid="{00000000-0005-0000-0000-0000D48D0000}"/>
    <cellStyle name="Remarque 3 2 4 2 3 11 2" xfId="59889" xr:uid="{00000000-0005-0000-0000-0000D58D0000}"/>
    <cellStyle name="Remarque 3 2 4 2 3 12" xfId="13488" xr:uid="{00000000-0005-0000-0000-0000D68D0000}"/>
    <cellStyle name="Remarque 3 2 4 2 3 13" xfId="37448" xr:uid="{00000000-0005-0000-0000-0000D78D0000}"/>
    <cellStyle name="Remarque 3 2 4 2 3 2" xfId="3697" xr:uid="{00000000-0005-0000-0000-0000D88D0000}"/>
    <cellStyle name="Remarque 3 2 4 2 3 2 2" xfId="27711" xr:uid="{00000000-0005-0000-0000-0000D98D0000}"/>
    <cellStyle name="Remarque 3 2 4 2 3 2 2 2" xfId="51671" xr:uid="{00000000-0005-0000-0000-0000DA8D0000}"/>
    <cellStyle name="Remarque 3 2 4 2 3 2 3" xfId="14958" xr:uid="{00000000-0005-0000-0000-0000DB8D0000}"/>
    <cellStyle name="Remarque 3 2 4 2 3 2 4" xfId="38918" xr:uid="{00000000-0005-0000-0000-0000DC8D0000}"/>
    <cellStyle name="Remarque 3 2 4 2 3 3" xfId="5131" xr:uid="{00000000-0005-0000-0000-0000DD8D0000}"/>
    <cellStyle name="Remarque 3 2 4 2 3 3 2" xfId="29145" xr:uid="{00000000-0005-0000-0000-0000DE8D0000}"/>
    <cellStyle name="Remarque 3 2 4 2 3 3 2 2" xfId="53105" xr:uid="{00000000-0005-0000-0000-0000DF8D0000}"/>
    <cellStyle name="Remarque 3 2 4 2 3 3 3" xfId="16392" xr:uid="{00000000-0005-0000-0000-0000E08D0000}"/>
    <cellStyle name="Remarque 3 2 4 2 3 3 4" xfId="40352" xr:uid="{00000000-0005-0000-0000-0000E18D0000}"/>
    <cellStyle name="Remarque 3 2 4 2 3 4" xfId="6525" xr:uid="{00000000-0005-0000-0000-0000E28D0000}"/>
    <cellStyle name="Remarque 3 2 4 2 3 4 2" xfId="30539" xr:uid="{00000000-0005-0000-0000-0000E38D0000}"/>
    <cellStyle name="Remarque 3 2 4 2 3 4 2 2" xfId="54499" xr:uid="{00000000-0005-0000-0000-0000E48D0000}"/>
    <cellStyle name="Remarque 3 2 4 2 3 4 3" xfId="17786" xr:uid="{00000000-0005-0000-0000-0000E58D0000}"/>
    <cellStyle name="Remarque 3 2 4 2 3 4 4" xfId="41746" xr:uid="{00000000-0005-0000-0000-0000E68D0000}"/>
    <cellStyle name="Remarque 3 2 4 2 3 5" xfId="7913" xr:uid="{00000000-0005-0000-0000-0000E78D0000}"/>
    <cellStyle name="Remarque 3 2 4 2 3 5 2" xfId="31927" xr:uid="{00000000-0005-0000-0000-0000E88D0000}"/>
    <cellStyle name="Remarque 3 2 4 2 3 5 2 2" xfId="55887" xr:uid="{00000000-0005-0000-0000-0000E98D0000}"/>
    <cellStyle name="Remarque 3 2 4 2 3 5 3" xfId="19174" xr:uid="{00000000-0005-0000-0000-0000EA8D0000}"/>
    <cellStyle name="Remarque 3 2 4 2 3 5 4" xfId="43134" xr:uid="{00000000-0005-0000-0000-0000EB8D0000}"/>
    <cellStyle name="Remarque 3 2 4 2 3 6" xfId="9298" xr:uid="{00000000-0005-0000-0000-0000EC8D0000}"/>
    <cellStyle name="Remarque 3 2 4 2 3 6 2" xfId="33312" xr:uid="{00000000-0005-0000-0000-0000ED8D0000}"/>
    <cellStyle name="Remarque 3 2 4 2 3 6 2 2" xfId="57272" xr:uid="{00000000-0005-0000-0000-0000EE8D0000}"/>
    <cellStyle name="Remarque 3 2 4 2 3 6 3" xfId="20559" xr:uid="{00000000-0005-0000-0000-0000EF8D0000}"/>
    <cellStyle name="Remarque 3 2 4 2 3 6 4" xfId="44519" xr:uid="{00000000-0005-0000-0000-0000F08D0000}"/>
    <cellStyle name="Remarque 3 2 4 2 3 7" xfId="10755" xr:uid="{00000000-0005-0000-0000-0000F18D0000}"/>
    <cellStyle name="Remarque 3 2 4 2 3 7 2" xfId="34765" xr:uid="{00000000-0005-0000-0000-0000F28D0000}"/>
    <cellStyle name="Remarque 3 2 4 2 3 7 2 2" xfId="58725" xr:uid="{00000000-0005-0000-0000-0000F38D0000}"/>
    <cellStyle name="Remarque 3 2 4 2 3 7 3" xfId="22022" xr:uid="{00000000-0005-0000-0000-0000F48D0000}"/>
    <cellStyle name="Remarque 3 2 4 2 3 7 4" xfId="45982" xr:uid="{00000000-0005-0000-0000-0000F58D0000}"/>
    <cellStyle name="Remarque 3 2 4 2 3 8" xfId="11725" xr:uid="{00000000-0005-0000-0000-0000F68D0000}"/>
    <cellStyle name="Remarque 3 2 4 2 3 8 2" xfId="22996" xr:uid="{00000000-0005-0000-0000-0000F78D0000}"/>
    <cellStyle name="Remarque 3 2 4 2 3 8 3" xfId="46956" xr:uid="{00000000-0005-0000-0000-0000F88D0000}"/>
    <cellStyle name="Remarque 3 2 4 2 3 9" xfId="2227" xr:uid="{00000000-0005-0000-0000-0000F98D0000}"/>
    <cellStyle name="Remarque 3 2 4 2 3 9 2" xfId="26241" xr:uid="{00000000-0005-0000-0000-0000FA8D0000}"/>
    <cellStyle name="Remarque 3 2 4 2 3 9 3" xfId="50201" xr:uid="{00000000-0005-0000-0000-0000FB8D0000}"/>
    <cellStyle name="Remarque 3 2 4 2 4" xfId="985" xr:uid="{00000000-0005-0000-0000-0000FC8D0000}"/>
    <cellStyle name="Remarque 3 2 4 2 4 10" xfId="25017" xr:uid="{00000000-0005-0000-0000-0000FD8D0000}"/>
    <cellStyle name="Remarque 3 2 4 2 4 10 2" xfId="48977" xr:uid="{00000000-0005-0000-0000-0000FE8D0000}"/>
    <cellStyle name="Remarque 3 2 4 2 4 11" xfId="34152" xr:uid="{00000000-0005-0000-0000-0000FF8D0000}"/>
    <cellStyle name="Remarque 3 2 4 2 4 11 2" xfId="58112" xr:uid="{00000000-0005-0000-0000-0000008E0000}"/>
    <cellStyle name="Remarque 3 2 4 2 4 12" xfId="13682" xr:uid="{00000000-0005-0000-0000-0000018E0000}"/>
    <cellStyle name="Remarque 3 2 4 2 4 13" xfId="37642" xr:uid="{00000000-0005-0000-0000-0000028E0000}"/>
    <cellStyle name="Remarque 3 2 4 2 4 2" xfId="3891" xr:uid="{00000000-0005-0000-0000-0000038E0000}"/>
    <cellStyle name="Remarque 3 2 4 2 4 2 2" xfId="27905" xr:uid="{00000000-0005-0000-0000-0000048E0000}"/>
    <cellStyle name="Remarque 3 2 4 2 4 2 2 2" xfId="51865" xr:uid="{00000000-0005-0000-0000-0000058E0000}"/>
    <cellStyle name="Remarque 3 2 4 2 4 2 3" xfId="15152" xr:uid="{00000000-0005-0000-0000-0000068E0000}"/>
    <cellStyle name="Remarque 3 2 4 2 4 2 4" xfId="39112" xr:uid="{00000000-0005-0000-0000-0000078E0000}"/>
    <cellStyle name="Remarque 3 2 4 2 4 3" xfId="5325" xr:uid="{00000000-0005-0000-0000-0000088E0000}"/>
    <cellStyle name="Remarque 3 2 4 2 4 3 2" xfId="29339" xr:uid="{00000000-0005-0000-0000-0000098E0000}"/>
    <cellStyle name="Remarque 3 2 4 2 4 3 2 2" xfId="53299" xr:uid="{00000000-0005-0000-0000-00000A8E0000}"/>
    <cellStyle name="Remarque 3 2 4 2 4 3 3" xfId="16586" xr:uid="{00000000-0005-0000-0000-00000B8E0000}"/>
    <cellStyle name="Remarque 3 2 4 2 4 3 4" xfId="40546" xr:uid="{00000000-0005-0000-0000-00000C8E0000}"/>
    <cellStyle name="Remarque 3 2 4 2 4 4" xfId="6719" xr:uid="{00000000-0005-0000-0000-00000D8E0000}"/>
    <cellStyle name="Remarque 3 2 4 2 4 4 2" xfId="30733" xr:uid="{00000000-0005-0000-0000-00000E8E0000}"/>
    <cellStyle name="Remarque 3 2 4 2 4 4 2 2" xfId="54693" xr:uid="{00000000-0005-0000-0000-00000F8E0000}"/>
    <cellStyle name="Remarque 3 2 4 2 4 4 3" xfId="17980" xr:uid="{00000000-0005-0000-0000-0000108E0000}"/>
    <cellStyle name="Remarque 3 2 4 2 4 4 4" xfId="41940" xr:uid="{00000000-0005-0000-0000-0000118E0000}"/>
    <cellStyle name="Remarque 3 2 4 2 4 5" xfId="8107" xr:uid="{00000000-0005-0000-0000-0000128E0000}"/>
    <cellStyle name="Remarque 3 2 4 2 4 5 2" xfId="32121" xr:uid="{00000000-0005-0000-0000-0000138E0000}"/>
    <cellStyle name="Remarque 3 2 4 2 4 5 2 2" xfId="56081" xr:uid="{00000000-0005-0000-0000-0000148E0000}"/>
    <cellStyle name="Remarque 3 2 4 2 4 5 3" xfId="19368" xr:uid="{00000000-0005-0000-0000-0000158E0000}"/>
    <cellStyle name="Remarque 3 2 4 2 4 5 4" xfId="43328" xr:uid="{00000000-0005-0000-0000-0000168E0000}"/>
    <cellStyle name="Remarque 3 2 4 2 4 6" xfId="9492" xr:uid="{00000000-0005-0000-0000-0000178E0000}"/>
    <cellStyle name="Remarque 3 2 4 2 4 6 2" xfId="33506" xr:uid="{00000000-0005-0000-0000-0000188E0000}"/>
    <cellStyle name="Remarque 3 2 4 2 4 6 2 2" xfId="57466" xr:uid="{00000000-0005-0000-0000-0000198E0000}"/>
    <cellStyle name="Remarque 3 2 4 2 4 6 3" xfId="20753" xr:uid="{00000000-0005-0000-0000-00001A8E0000}"/>
    <cellStyle name="Remarque 3 2 4 2 4 6 4" xfId="44713" xr:uid="{00000000-0005-0000-0000-00001B8E0000}"/>
    <cellStyle name="Remarque 3 2 4 2 4 7" xfId="10949" xr:uid="{00000000-0005-0000-0000-00001C8E0000}"/>
    <cellStyle name="Remarque 3 2 4 2 4 7 2" xfId="34959" xr:uid="{00000000-0005-0000-0000-00001D8E0000}"/>
    <cellStyle name="Remarque 3 2 4 2 4 7 2 2" xfId="58919" xr:uid="{00000000-0005-0000-0000-00001E8E0000}"/>
    <cellStyle name="Remarque 3 2 4 2 4 7 3" xfId="22216" xr:uid="{00000000-0005-0000-0000-00001F8E0000}"/>
    <cellStyle name="Remarque 3 2 4 2 4 7 4" xfId="46176" xr:uid="{00000000-0005-0000-0000-0000208E0000}"/>
    <cellStyle name="Remarque 3 2 4 2 4 8" xfId="12607" xr:uid="{00000000-0005-0000-0000-0000218E0000}"/>
    <cellStyle name="Remarque 3 2 4 2 4 8 2" xfId="23909" xr:uid="{00000000-0005-0000-0000-0000228E0000}"/>
    <cellStyle name="Remarque 3 2 4 2 4 8 3" xfId="47869" xr:uid="{00000000-0005-0000-0000-0000238E0000}"/>
    <cellStyle name="Remarque 3 2 4 2 4 9" xfId="2421" xr:uid="{00000000-0005-0000-0000-0000248E0000}"/>
    <cellStyle name="Remarque 3 2 4 2 4 9 2" xfId="26435" xr:uid="{00000000-0005-0000-0000-0000258E0000}"/>
    <cellStyle name="Remarque 3 2 4 2 4 9 3" xfId="50395" xr:uid="{00000000-0005-0000-0000-0000268E0000}"/>
    <cellStyle name="Remarque 3 2 4 2 5" xfId="1178" xr:uid="{00000000-0005-0000-0000-0000278E0000}"/>
    <cellStyle name="Remarque 3 2 4 2 5 10" xfId="25210" xr:uid="{00000000-0005-0000-0000-0000288E0000}"/>
    <cellStyle name="Remarque 3 2 4 2 5 10 2" xfId="49170" xr:uid="{00000000-0005-0000-0000-0000298E0000}"/>
    <cellStyle name="Remarque 3 2 4 2 5 11" xfId="35829" xr:uid="{00000000-0005-0000-0000-00002A8E0000}"/>
    <cellStyle name="Remarque 3 2 4 2 5 11 2" xfId="59789" xr:uid="{00000000-0005-0000-0000-00002B8E0000}"/>
    <cellStyle name="Remarque 3 2 4 2 5 12" xfId="13875" xr:uid="{00000000-0005-0000-0000-00002C8E0000}"/>
    <cellStyle name="Remarque 3 2 4 2 5 13" xfId="37835" xr:uid="{00000000-0005-0000-0000-00002D8E0000}"/>
    <cellStyle name="Remarque 3 2 4 2 5 2" xfId="4084" xr:uid="{00000000-0005-0000-0000-00002E8E0000}"/>
    <cellStyle name="Remarque 3 2 4 2 5 2 2" xfId="28098" xr:uid="{00000000-0005-0000-0000-00002F8E0000}"/>
    <cellStyle name="Remarque 3 2 4 2 5 2 2 2" xfId="52058" xr:uid="{00000000-0005-0000-0000-0000308E0000}"/>
    <cellStyle name="Remarque 3 2 4 2 5 2 3" xfId="15345" xr:uid="{00000000-0005-0000-0000-0000318E0000}"/>
    <cellStyle name="Remarque 3 2 4 2 5 2 4" xfId="39305" xr:uid="{00000000-0005-0000-0000-0000328E0000}"/>
    <cellStyle name="Remarque 3 2 4 2 5 3" xfId="5518" xr:uid="{00000000-0005-0000-0000-0000338E0000}"/>
    <cellStyle name="Remarque 3 2 4 2 5 3 2" xfId="29532" xr:uid="{00000000-0005-0000-0000-0000348E0000}"/>
    <cellStyle name="Remarque 3 2 4 2 5 3 2 2" xfId="53492" xr:uid="{00000000-0005-0000-0000-0000358E0000}"/>
    <cellStyle name="Remarque 3 2 4 2 5 3 3" xfId="16779" xr:uid="{00000000-0005-0000-0000-0000368E0000}"/>
    <cellStyle name="Remarque 3 2 4 2 5 3 4" xfId="40739" xr:uid="{00000000-0005-0000-0000-0000378E0000}"/>
    <cellStyle name="Remarque 3 2 4 2 5 4" xfId="6912" xr:uid="{00000000-0005-0000-0000-0000388E0000}"/>
    <cellStyle name="Remarque 3 2 4 2 5 4 2" xfId="30926" xr:uid="{00000000-0005-0000-0000-0000398E0000}"/>
    <cellStyle name="Remarque 3 2 4 2 5 4 2 2" xfId="54886" xr:uid="{00000000-0005-0000-0000-00003A8E0000}"/>
    <cellStyle name="Remarque 3 2 4 2 5 4 3" xfId="18173" xr:uid="{00000000-0005-0000-0000-00003B8E0000}"/>
    <cellStyle name="Remarque 3 2 4 2 5 4 4" xfId="42133" xr:uid="{00000000-0005-0000-0000-00003C8E0000}"/>
    <cellStyle name="Remarque 3 2 4 2 5 5" xfId="8300" xr:uid="{00000000-0005-0000-0000-00003D8E0000}"/>
    <cellStyle name="Remarque 3 2 4 2 5 5 2" xfId="32314" xr:uid="{00000000-0005-0000-0000-00003E8E0000}"/>
    <cellStyle name="Remarque 3 2 4 2 5 5 2 2" xfId="56274" xr:uid="{00000000-0005-0000-0000-00003F8E0000}"/>
    <cellStyle name="Remarque 3 2 4 2 5 5 3" xfId="19561" xr:uid="{00000000-0005-0000-0000-0000408E0000}"/>
    <cellStyle name="Remarque 3 2 4 2 5 5 4" xfId="43521" xr:uid="{00000000-0005-0000-0000-0000418E0000}"/>
    <cellStyle name="Remarque 3 2 4 2 5 6" xfId="9685" xr:uid="{00000000-0005-0000-0000-0000428E0000}"/>
    <cellStyle name="Remarque 3 2 4 2 5 6 2" xfId="33699" xr:uid="{00000000-0005-0000-0000-0000438E0000}"/>
    <cellStyle name="Remarque 3 2 4 2 5 6 2 2" xfId="57659" xr:uid="{00000000-0005-0000-0000-0000448E0000}"/>
    <cellStyle name="Remarque 3 2 4 2 5 6 3" xfId="20946" xr:uid="{00000000-0005-0000-0000-0000458E0000}"/>
    <cellStyle name="Remarque 3 2 4 2 5 6 4" xfId="44906" xr:uid="{00000000-0005-0000-0000-0000468E0000}"/>
    <cellStyle name="Remarque 3 2 4 2 5 7" xfId="11142" xr:uid="{00000000-0005-0000-0000-0000478E0000}"/>
    <cellStyle name="Remarque 3 2 4 2 5 7 2" xfId="35152" xr:uid="{00000000-0005-0000-0000-0000488E0000}"/>
    <cellStyle name="Remarque 3 2 4 2 5 7 2 2" xfId="59112" xr:uid="{00000000-0005-0000-0000-0000498E0000}"/>
    <cellStyle name="Remarque 3 2 4 2 5 7 3" xfId="22409" xr:uid="{00000000-0005-0000-0000-00004A8E0000}"/>
    <cellStyle name="Remarque 3 2 4 2 5 7 4" xfId="46369" xr:uid="{00000000-0005-0000-0000-00004B8E0000}"/>
    <cellStyle name="Remarque 3 2 4 2 5 8" xfId="12847" xr:uid="{00000000-0005-0000-0000-00004C8E0000}"/>
    <cellStyle name="Remarque 3 2 4 2 5 8 2" xfId="24159" xr:uid="{00000000-0005-0000-0000-00004D8E0000}"/>
    <cellStyle name="Remarque 3 2 4 2 5 8 3" xfId="48119" xr:uid="{00000000-0005-0000-0000-00004E8E0000}"/>
    <cellStyle name="Remarque 3 2 4 2 5 9" xfId="2614" xr:uid="{00000000-0005-0000-0000-00004F8E0000}"/>
    <cellStyle name="Remarque 3 2 4 2 5 9 2" xfId="26628" xr:uid="{00000000-0005-0000-0000-0000508E0000}"/>
    <cellStyle name="Remarque 3 2 4 2 5 9 3" xfId="50588" xr:uid="{00000000-0005-0000-0000-0000518E0000}"/>
    <cellStyle name="Remarque 3 2 4 2 6" xfId="1345" xr:uid="{00000000-0005-0000-0000-0000528E0000}"/>
    <cellStyle name="Remarque 3 2 4 2 6 10" xfId="25377" xr:uid="{00000000-0005-0000-0000-0000538E0000}"/>
    <cellStyle name="Remarque 3 2 4 2 6 10 2" xfId="49337" xr:uid="{00000000-0005-0000-0000-0000548E0000}"/>
    <cellStyle name="Remarque 3 2 4 2 6 11" xfId="36363" xr:uid="{00000000-0005-0000-0000-0000558E0000}"/>
    <cellStyle name="Remarque 3 2 4 2 6 11 2" xfId="60323" xr:uid="{00000000-0005-0000-0000-0000568E0000}"/>
    <cellStyle name="Remarque 3 2 4 2 6 12" xfId="14042" xr:uid="{00000000-0005-0000-0000-0000578E0000}"/>
    <cellStyle name="Remarque 3 2 4 2 6 13" xfId="38002" xr:uid="{00000000-0005-0000-0000-0000588E0000}"/>
    <cellStyle name="Remarque 3 2 4 2 6 2" xfId="4251" xr:uid="{00000000-0005-0000-0000-0000598E0000}"/>
    <cellStyle name="Remarque 3 2 4 2 6 2 2" xfId="28265" xr:uid="{00000000-0005-0000-0000-00005A8E0000}"/>
    <cellStyle name="Remarque 3 2 4 2 6 2 2 2" xfId="52225" xr:uid="{00000000-0005-0000-0000-00005B8E0000}"/>
    <cellStyle name="Remarque 3 2 4 2 6 2 3" xfId="15512" xr:uid="{00000000-0005-0000-0000-00005C8E0000}"/>
    <cellStyle name="Remarque 3 2 4 2 6 2 4" xfId="39472" xr:uid="{00000000-0005-0000-0000-00005D8E0000}"/>
    <cellStyle name="Remarque 3 2 4 2 6 3" xfId="5685" xr:uid="{00000000-0005-0000-0000-00005E8E0000}"/>
    <cellStyle name="Remarque 3 2 4 2 6 3 2" xfId="29699" xr:uid="{00000000-0005-0000-0000-00005F8E0000}"/>
    <cellStyle name="Remarque 3 2 4 2 6 3 2 2" xfId="53659" xr:uid="{00000000-0005-0000-0000-0000608E0000}"/>
    <cellStyle name="Remarque 3 2 4 2 6 3 3" xfId="16946" xr:uid="{00000000-0005-0000-0000-0000618E0000}"/>
    <cellStyle name="Remarque 3 2 4 2 6 3 4" xfId="40906" xr:uid="{00000000-0005-0000-0000-0000628E0000}"/>
    <cellStyle name="Remarque 3 2 4 2 6 4" xfId="7079" xr:uid="{00000000-0005-0000-0000-0000638E0000}"/>
    <cellStyle name="Remarque 3 2 4 2 6 4 2" xfId="31093" xr:uid="{00000000-0005-0000-0000-0000648E0000}"/>
    <cellStyle name="Remarque 3 2 4 2 6 4 2 2" xfId="55053" xr:uid="{00000000-0005-0000-0000-0000658E0000}"/>
    <cellStyle name="Remarque 3 2 4 2 6 4 3" xfId="18340" xr:uid="{00000000-0005-0000-0000-0000668E0000}"/>
    <cellStyle name="Remarque 3 2 4 2 6 4 4" xfId="42300" xr:uid="{00000000-0005-0000-0000-0000678E0000}"/>
    <cellStyle name="Remarque 3 2 4 2 6 5" xfId="8467" xr:uid="{00000000-0005-0000-0000-0000688E0000}"/>
    <cellStyle name="Remarque 3 2 4 2 6 5 2" xfId="32481" xr:uid="{00000000-0005-0000-0000-0000698E0000}"/>
    <cellStyle name="Remarque 3 2 4 2 6 5 2 2" xfId="56441" xr:uid="{00000000-0005-0000-0000-00006A8E0000}"/>
    <cellStyle name="Remarque 3 2 4 2 6 5 3" xfId="19728" xr:uid="{00000000-0005-0000-0000-00006B8E0000}"/>
    <cellStyle name="Remarque 3 2 4 2 6 5 4" xfId="43688" xr:uid="{00000000-0005-0000-0000-00006C8E0000}"/>
    <cellStyle name="Remarque 3 2 4 2 6 6" xfId="9852" xr:uid="{00000000-0005-0000-0000-00006D8E0000}"/>
    <cellStyle name="Remarque 3 2 4 2 6 6 2" xfId="33866" xr:uid="{00000000-0005-0000-0000-00006E8E0000}"/>
    <cellStyle name="Remarque 3 2 4 2 6 6 2 2" xfId="57826" xr:uid="{00000000-0005-0000-0000-00006F8E0000}"/>
    <cellStyle name="Remarque 3 2 4 2 6 6 3" xfId="21113" xr:uid="{00000000-0005-0000-0000-0000708E0000}"/>
    <cellStyle name="Remarque 3 2 4 2 6 6 4" xfId="45073" xr:uid="{00000000-0005-0000-0000-0000718E0000}"/>
    <cellStyle name="Remarque 3 2 4 2 6 7" xfId="11309" xr:uid="{00000000-0005-0000-0000-0000728E0000}"/>
    <cellStyle name="Remarque 3 2 4 2 6 7 2" xfId="35319" xr:uid="{00000000-0005-0000-0000-0000738E0000}"/>
    <cellStyle name="Remarque 3 2 4 2 6 7 2 2" xfId="59279" xr:uid="{00000000-0005-0000-0000-0000748E0000}"/>
    <cellStyle name="Remarque 3 2 4 2 6 7 3" xfId="22576" xr:uid="{00000000-0005-0000-0000-0000758E0000}"/>
    <cellStyle name="Remarque 3 2 4 2 6 7 4" xfId="46536" xr:uid="{00000000-0005-0000-0000-0000768E0000}"/>
    <cellStyle name="Remarque 3 2 4 2 6 8" xfId="12692" xr:uid="{00000000-0005-0000-0000-0000778E0000}"/>
    <cellStyle name="Remarque 3 2 4 2 6 8 2" xfId="23997" xr:uid="{00000000-0005-0000-0000-0000788E0000}"/>
    <cellStyle name="Remarque 3 2 4 2 6 8 3" xfId="47957" xr:uid="{00000000-0005-0000-0000-0000798E0000}"/>
    <cellStyle name="Remarque 3 2 4 2 6 9" xfId="2781" xr:uid="{00000000-0005-0000-0000-00007A8E0000}"/>
    <cellStyle name="Remarque 3 2 4 2 6 9 2" xfId="26795" xr:uid="{00000000-0005-0000-0000-00007B8E0000}"/>
    <cellStyle name="Remarque 3 2 4 2 6 9 3" xfId="50755" xr:uid="{00000000-0005-0000-0000-00007C8E0000}"/>
    <cellStyle name="Remarque 3 2 4 2 7" xfId="1514" xr:uid="{00000000-0005-0000-0000-00007D8E0000}"/>
    <cellStyle name="Remarque 3 2 4 2 7 10" xfId="25546" xr:uid="{00000000-0005-0000-0000-00007E8E0000}"/>
    <cellStyle name="Remarque 3 2 4 2 7 10 2" xfId="49506" xr:uid="{00000000-0005-0000-0000-00007F8E0000}"/>
    <cellStyle name="Remarque 3 2 4 2 7 11" xfId="36636" xr:uid="{00000000-0005-0000-0000-0000808E0000}"/>
    <cellStyle name="Remarque 3 2 4 2 7 11 2" xfId="60596" xr:uid="{00000000-0005-0000-0000-0000818E0000}"/>
    <cellStyle name="Remarque 3 2 4 2 7 12" xfId="14211" xr:uid="{00000000-0005-0000-0000-0000828E0000}"/>
    <cellStyle name="Remarque 3 2 4 2 7 13" xfId="38171" xr:uid="{00000000-0005-0000-0000-0000838E0000}"/>
    <cellStyle name="Remarque 3 2 4 2 7 2" xfId="4420" xr:uid="{00000000-0005-0000-0000-0000848E0000}"/>
    <cellStyle name="Remarque 3 2 4 2 7 2 2" xfId="28434" xr:uid="{00000000-0005-0000-0000-0000858E0000}"/>
    <cellStyle name="Remarque 3 2 4 2 7 2 2 2" xfId="52394" xr:uid="{00000000-0005-0000-0000-0000868E0000}"/>
    <cellStyle name="Remarque 3 2 4 2 7 2 3" xfId="15681" xr:uid="{00000000-0005-0000-0000-0000878E0000}"/>
    <cellStyle name="Remarque 3 2 4 2 7 2 4" xfId="39641" xr:uid="{00000000-0005-0000-0000-0000888E0000}"/>
    <cellStyle name="Remarque 3 2 4 2 7 3" xfId="5854" xr:uid="{00000000-0005-0000-0000-0000898E0000}"/>
    <cellStyle name="Remarque 3 2 4 2 7 3 2" xfId="29868" xr:uid="{00000000-0005-0000-0000-00008A8E0000}"/>
    <cellStyle name="Remarque 3 2 4 2 7 3 2 2" xfId="53828" xr:uid="{00000000-0005-0000-0000-00008B8E0000}"/>
    <cellStyle name="Remarque 3 2 4 2 7 3 3" xfId="17115" xr:uid="{00000000-0005-0000-0000-00008C8E0000}"/>
    <cellStyle name="Remarque 3 2 4 2 7 3 4" xfId="41075" xr:uid="{00000000-0005-0000-0000-00008D8E0000}"/>
    <cellStyle name="Remarque 3 2 4 2 7 4" xfId="7248" xr:uid="{00000000-0005-0000-0000-00008E8E0000}"/>
    <cellStyle name="Remarque 3 2 4 2 7 4 2" xfId="31262" xr:uid="{00000000-0005-0000-0000-00008F8E0000}"/>
    <cellStyle name="Remarque 3 2 4 2 7 4 2 2" xfId="55222" xr:uid="{00000000-0005-0000-0000-0000908E0000}"/>
    <cellStyle name="Remarque 3 2 4 2 7 4 3" xfId="18509" xr:uid="{00000000-0005-0000-0000-0000918E0000}"/>
    <cellStyle name="Remarque 3 2 4 2 7 4 4" xfId="42469" xr:uid="{00000000-0005-0000-0000-0000928E0000}"/>
    <cellStyle name="Remarque 3 2 4 2 7 5" xfId="8636" xr:uid="{00000000-0005-0000-0000-0000938E0000}"/>
    <cellStyle name="Remarque 3 2 4 2 7 5 2" xfId="32650" xr:uid="{00000000-0005-0000-0000-0000948E0000}"/>
    <cellStyle name="Remarque 3 2 4 2 7 5 2 2" xfId="56610" xr:uid="{00000000-0005-0000-0000-0000958E0000}"/>
    <cellStyle name="Remarque 3 2 4 2 7 5 3" xfId="19897" xr:uid="{00000000-0005-0000-0000-0000968E0000}"/>
    <cellStyle name="Remarque 3 2 4 2 7 5 4" xfId="43857" xr:uid="{00000000-0005-0000-0000-0000978E0000}"/>
    <cellStyle name="Remarque 3 2 4 2 7 6" xfId="10021" xr:uid="{00000000-0005-0000-0000-0000988E0000}"/>
    <cellStyle name="Remarque 3 2 4 2 7 6 2" xfId="34035" xr:uid="{00000000-0005-0000-0000-0000998E0000}"/>
    <cellStyle name="Remarque 3 2 4 2 7 6 2 2" xfId="57995" xr:uid="{00000000-0005-0000-0000-00009A8E0000}"/>
    <cellStyle name="Remarque 3 2 4 2 7 6 3" xfId="21282" xr:uid="{00000000-0005-0000-0000-00009B8E0000}"/>
    <cellStyle name="Remarque 3 2 4 2 7 6 4" xfId="45242" xr:uid="{00000000-0005-0000-0000-00009C8E0000}"/>
    <cellStyle name="Remarque 3 2 4 2 7 7" xfId="11478" xr:uid="{00000000-0005-0000-0000-00009D8E0000}"/>
    <cellStyle name="Remarque 3 2 4 2 7 7 2" xfId="35488" xr:uid="{00000000-0005-0000-0000-00009E8E0000}"/>
    <cellStyle name="Remarque 3 2 4 2 7 7 2 2" xfId="59448" xr:uid="{00000000-0005-0000-0000-00009F8E0000}"/>
    <cellStyle name="Remarque 3 2 4 2 7 7 3" xfId="22745" xr:uid="{00000000-0005-0000-0000-0000A08E0000}"/>
    <cellStyle name="Remarque 3 2 4 2 7 7 4" xfId="46705" xr:uid="{00000000-0005-0000-0000-0000A18E0000}"/>
    <cellStyle name="Remarque 3 2 4 2 7 8" xfId="11653" xr:uid="{00000000-0005-0000-0000-0000A28E0000}"/>
    <cellStyle name="Remarque 3 2 4 2 7 8 2" xfId="22921" xr:uid="{00000000-0005-0000-0000-0000A38E0000}"/>
    <cellStyle name="Remarque 3 2 4 2 7 8 3" xfId="46881" xr:uid="{00000000-0005-0000-0000-0000A48E0000}"/>
    <cellStyle name="Remarque 3 2 4 2 7 9" xfId="2950" xr:uid="{00000000-0005-0000-0000-0000A58E0000}"/>
    <cellStyle name="Remarque 3 2 4 2 7 9 2" xfId="26964" xr:uid="{00000000-0005-0000-0000-0000A68E0000}"/>
    <cellStyle name="Remarque 3 2 4 2 7 9 3" xfId="50924" xr:uid="{00000000-0005-0000-0000-0000A78E0000}"/>
    <cellStyle name="Remarque 3 2 4 2 8" xfId="3369" xr:uid="{00000000-0005-0000-0000-0000A88E0000}"/>
    <cellStyle name="Remarque 3 2 4 2 8 2" xfId="27383" xr:uid="{00000000-0005-0000-0000-0000A98E0000}"/>
    <cellStyle name="Remarque 3 2 4 2 8 2 2" xfId="51343" xr:uid="{00000000-0005-0000-0000-0000AA8E0000}"/>
    <cellStyle name="Remarque 3 2 4 2 8 3" xfId="14630" xr:uid="{00000000-0005-0000-0000-0000AB8E0000}"/>
    <cellStyle name="Remarque 3 2 4 2 8 4" xfId="38590" xr:uid="{00000000-0005-0000-0000-0000AC8E0000}"/>
    <cellStyle name="Remarque 3 2 4 2 9" xfId="4803" xr:uid="{00000000-0005-0000-0000-0000AD8E0000}"/>
    <cellStyle name="Remarque 3 2 4 2 9 2" xfId="28817" xr:uid="{00000000-0005-0000-0000-0000AE8E0000}"/>
    <cellStyle name="Remarque 3 2 4 2 9 2 2" xfId="52777" xr:uid="{00000000-0005-0000-0000-0000AF8E0000}"/>
    <cellStyle name="Remarque 3 2 4 2 9 3" xfId="16064" xr:uid="{00000000-0005-0000-0000-0000B08E0000}"/>
    <cellStyle name="Remarque 3 2 4 2 9 4" xfId="40024" xr:uid="{00000000-0005-0000-0000-0000B18E0000}"/>
    <cellStyle name="Remarque 3 2 4 3" xfId="277" xr:uid="{00000000-0005-0000-0000-0000B28E0000}"/>
    <cellStyle name="Remarque 3 2 4 3 10" xfId="24309" xr:uid="{00000000-0005-0000-0000-0000B38E0000}"/>
    <cellStyle name="Remarque 3 2 4 3 10 2" xfId="48269" xr:uid="{00000000-0005-0000-0000-0000B48E0000}"/>
    <cellStyle name="Remarque 3 2 4 3 11" xfId="36125" xr:uid="{00000000-0005-0000-0000-0000B58E0000}"/>
    <cellStyle name="Remarque 3 2 4 3 11 2" xfId="60085" xr:uid="{00000000-0005-0000-0000-0000B68E0000}"/>
    <cellStyle name="Remarque 3 2 4 3 12" xfId="12974" xr:uid="{00000000-0005-0000-0000-0000B78E0000}"/>
    <cellStyle name="Remarque 3 2 4 3 13" xfId="36934" xr:uid="{00000000-0005-0000-0000-0000B88E0000}"/>
    <cellStyle name="Remarque 3 2 4 3 2" xfId="3183" xr:uid="{00000000-0005-0000-0000-0000B98E0000}"/>
    <cellStyle name="Remarque 3 2 4 3 2 2" xfId="27197" xr:uid="{00000000-0005-0000-0000-0000BA8E0000}"/>
    <cellStyle name="Remarque 3 2 4 3 2 2 2" xfId="51157" xr:uid="{00000000-0005-0000-0000-0000BB8E0000}"/>
    <cellStyle name="Remarque 3 2 4 3 2 3" xfId="14444" xr:uid="{00000000-0005-0000-0000-0000BC8E0000}"/>
    <cellStyle name="Remarque 3 2 4 3 2 4" xfId="38404" xr:uid="{00000000-0005-0000-0000-0000BD8E0000}"/>
    <cellStyle name="Remarque 3 2 4 3 3" xfId="4617" xr:uid="{00000000-0005-0000-0000-0000BE8E0000}"/>
    <cellStyle name="Remarque 3 2 4 3 3 2" xfId="28631" xr:uid="{00000000-0005-0000-0000-0000BF8E0000}"/>
    <cellStyle name="Remarque 3 2 4 3 3 2 2" xfId="52591" xr:uid="{00000000-0005-0000-0000-0000C08E0000}"/>
    <cellStyle name="Remarque 3 2 4 3 3 3" xfId="15878" xr:uid="{00000000-0005-0000-0000-0000C18E0000}"/>
    <cellStyle name="Remarque 3 2 4 3 3 4" xfId="39838" xr:uid="{00000000-0005-0000-0000-0000C28E0000}"/>
    <cellStyle name="Remarque 3 2 4 3 4" xfId="6011" xr:uid="{00000000-0005-0000-0000-0000C38E0000}"/>
    <cellStyle name="Remarque 3 2 4 3 4 2" xfId="30025" xr:uid="{00000000-0005-0000-0000-0000C48E0000}"/>
    <cellStyle name="Remarque 3 2 4 3 4 2 2" xfId="53985" xr:uid="{00000000-0005-0000-0000-0000C58E0000}"/>
    <cellStyle name="Remarque 3 2 4 3 4 3" xfId="17272" xr:uid="{00000000-0005-0000-0000-0000C68E0000}"/>
    <cellStyle name="Remarque 3 2 4 3 4 4" xfId="41232" xr:uid="{00000000-0005-0000-0000-0000C78E0000}"/>
    <cellStyle name="Remarque 3 2 4 3 5" xfId="7399" xr:uid="{00000000-0005-0000-0000-0000C88E0000}"/>
    <cellStyle name="Remarque 3 2 4 3 5 2" xfId="31413" xr:uid="{00000000-0005-0000-0000-0000C98E0000}"/>
    <cellStyle name="Remarque 3 2 4 3 5 2 2" xfId="55373" xr:uid="{00000000-0005-0000-0000-0000CA8E0000}"/>
    <cellStyle name="Remarque 3 2 4 3 5 3" xfId="18660" xr:uid="{00000000-0005-0000-0000-0000CB8E0000}"/>
    <cellStyle name="Remarque 3 2 4 3 5 4" xfId="42620" xr:uid="{00000000-0005-0000-0000-0000CC8E0000}"/>
    <cellStyle name="Remarque 3 2 4 3 6" xfId="8784" xr:uid="{00000000-0005-0000-0000-0000CD8E0000}"/>
    <cellStyle name="Remarque 3 2 4 3 6 2" xfId="32798" xr:uid="{00000000-0005-0000-0000-0000CE8E0000}"/>
    <cellStyle name="Remarque 3 2 4 3 6 2 2" xfId="56758" xr:uid="{00000000-0005-0000-0000-0000CF8E0000}"/>
    <cellStyle name="Remarque 3 2 4 3 6 3" xfId="20045" xr:uid="{00000000-0005-0000-0000-0000D08E0000}"/>
    <cellStyle name="Remarque 3 2 4 3 6 4" xfId="44005" xr:uid="{00000000-0005-0000-0000-0000D18E0000}"/>
    <cellStyle name="Remarque 3 2 4 3 7" xfId="10241" xr:uid="{00000000-0005-0000-0000-0000D28E0000}"/>
    <cellStyle name="Remarque 3 2 4 3 7 2" xfId="34251" xr:uid="{00000000-0005-0000-0000-0000D38E0000}"/>
    <cellStyle name="Remarque 3 2 4 3 7 2 2" xfId="58211" xr:uid="{00000000-0005-0000-0000-0000D48E0000}"/>
    <cellStyle name="Remarque 3 2 4 3 7 3" xfId="21508" xr:uid="{00000000-0005-0000-0000-0000D58E0000}"/>
    <cellStyle name="Remarque 3 2 4 3 7 4" xfId="45468" xr:uid="{00000000-0005-0000-0000-0000D68E0000}"/>
    <cellStyle name="Remarque 3 2 4 3 8" xfId="12699" xr:uid="{00000000-0005-0000-0000-0000D78E0000}"/>
    <cellStyle name="Remarque 3 2 4 3 8 2" xfId="24004" xr:uid="{00000000-0005-0000-0000-0000D88E0000}"/>
    <cellStyle name="Remarque 3 2 4 3 8 3" xfId="47964" xr:uid="{00000000-0005-0000-0000-0000D98E0000}"/>
    <cellStyle name="Remarque 3 2 4 3 9" xfId="1713" xr:uid="{00000000-0005-0000-0000-0000DA8E0000}"/>
    <cellStyle name="Remarque 3 2 4 3 9 2" xfId="25727" xr:uid="{00000000-0005-0000-0000-0000DB8E0000}"/>
    <cellStyle name="Remarque 3 2 4 3 9 3" xfId="49687" xr:uid="{00000000-0005-0000-0000-0000DC8E0000}"/>
    <cellStyle name="Remarque 3 2 4 4" xfId="656" xr:uid="{00000000-0005-0000-0000-0000DD8E0000}"/>
    <cellStyle name="Remarque 3 2 4 4 10" xfId="24688" xr:uid="{00000000-0005-0000-0000-0000DE8E0000}"/>
    <cellStyle name="Remarque 3 2 4 4 10 2" xfId="48648" xr:uid="{00000000-0005-0000-0000-0000DF8E0000}"/>
    <cellStyle name="Remarque 3 2 4 4 11" xfId="36005" xr:uid="{00000000-0005-0000-0000-0000E08E0000}"/>
    <cellStyle name="Remarque 3 2 4 4 11 2" xfId="59965" xr:uid="{00000000-0005-0000-0000-0000E18E0000}"/>
    <cellStyle name="Remarque 3 2 4 4 12" xfId="13353" xr:uid="{00000000-0005-0000-0000-0000E28E0000}"/>
    <cellStyle name="Remarque 3 2 4 4 13" xfId="37313" xr:uid="{00000000-0005-0000-0000-0000E38E0000}"/>
    <cellStyle name="Remarque 3 2 4 4 2" xfId="3562" xr:uid="{00000000-0005-0000-0000-0000E48E0000}"/>
    <cellStyle name="Remarque 3 2 4 4 2 2" xfId="27576" xr:uid="{00000000-0005-0000-0000-0000E58E0000}"/>
    <cellStyle name="Remarque 3 2 4 4 2 2 2" xfId="51536" xr:uid="{00000000-0005-0000-0000-0000E68E0000}"/>
    <cellStyle name="Remarque 3 2 4 4 2 3" xfId="14823" xr:uid="{00000000-0005-0000-0000-0000E78E0000}"/>
    <cellStyle name="Remarque 3 2 4 4 2 4" xfId="38783" xr:uid="{00000000-0005-0000-0000-0000E88E0000}"/>
    <cellStyle name="Remarque 3 2 4 4 3" xfId="4996" xr:uid="{00000000-0005-0000-0000-0000E98E0000}"/>
    <cellStyle name="Remarque 3 2 4 4 3 2" xfId="29010" xr:uid="{00000000-0005-0000-0000-0000EA8E0000}"/>
    <cellStyle name="Remarque 3 2 4 4 3 2 2" xfId="52970" xr:uid="{00000000-0005-0000-0000-0000EB8E0000}"/>
    <cellStyle name="Remarque 3 2 4 4 3 3" xfId="16257" xr:uid="{00000000-0005-0000-0000-0000EC8E0000}"/>
    <cellStyle name="Remarque 3 2 4 4 3 4" xfId="40217" xr:uid="{00000000-0005-0000-0000-0000ED8E0000}"/>
    <cellStyle name="Remarque 3 2 4 4 4" xfId="6390" xr:uid="{00000000-0005-0000-0000-0000EE8E0000}"/>
    <cellStyle name="Remarque 3 2 4 4 4 2" xfId="30404" xr:uid="{00000000-0005-0000-0000-0000EF8E0000}"/>
    <cellStyle name="Remarque 3 2 4 4 4 2 2" xfId="54364" xr:uid="{00000000-0005-0000-0000-0000F08E0000}"/>
    <cellStyle name="Remarque 3 2 4 4 4 3" xfId="17651" xr:uid="{00000000-0005-0000-0000-0000F18E0000}"/>
    <cellStyle name="Remarque 3 2 4 4 4 4" xfId="41611" xr:uid="{00000000-0005-0000-0000-0000F28E0000}"/>
    <cellStyle name="Remarque 3 2 4 4 5" xfId="7778" xr:uid="{00000000-0005-0000-0000-0000F38E0000}"/>
    <cellStyle name="Remarque 3 2 4 4 5 2" xfId="31792" xr:uid="{00000000-0005-0000-0000-0000F48E0000}"/>
    <cellStyle name="Remarque 3 2 4 4 5 2 2" xfId="55752" xr:uid="{00000000-0005-0000-0000-0000F58E0000}"/>
    <cellStyle name="Remarque 3 2 4 4 5 3" xfId="19039" xr:uid="{00000000-0005-0000-0000-0000F68E0000}"/>
    <cellStyle name="Remarque 3 2 4 4 5 4" xfId="42999" xr:uid="{00000000-0005-0000-0000-0000F78E0000}"/>
    <cellStyle name="Remarque 3 2 4 4 6" xfId="9163" xr:uid="{00000000-0005-0000-0000-0000F88E0000}"/>
    <cellStyle name="Remarque 3 2 4 4 6 2" xfId="33177" xr:uid="{00000000-0005-0000-0000-0000F98E0000}"/>
    <cellStyle name="Remarque 3 2 4 4 6 2 2" xfId="57137" xr:uid="{00000000-0005-0000-0000-0000FA8E0000}"/>
    <cellStyle name="Remarque 3 2 4 4 6 3" xfId="20424" xr:uid="{00000000-0005-0000-0000-0000FB8E0000}"/>
    <cellStyle name="Remarque 3 2 4 4 6 4" xfId="44384" xr:uid="{00000000-0005-0000-0000-0000FC8E0000}"/>
    <cellStyle name="Remarque 3 2 4 4 7" xfId="10620" xr:uid="{00000000-0005-0000-0000-0000FD8E0000}"/>
    <cellStyle name="Remarque 3 2 4 4 7 2" xfId="34630" xr:uid="{00000000-0005-0000-0000-0000FE8E0000}"/>
    <cellStyle name="Remarque 3 2 4 4 7 2 2" xfId="58590" xr:uid="{00000000-0005-0000-0000-0000FF8E0000}"/>
    <cellStyle name="Remarque 3 2 4 4 7 3" xfId="21887" xr:uid="{00000000-0005-0000-0000-0000008F0000}"/>
    <cellStyle name="Remarque 3 2 4 4 7 4" xfId="45847" xr:uid="{00000000-0005-0000-0000-0000018F0000}"/>
    <cellStyle name="Remarque 3 2 4 4 8" xfId="12124" xr:uid="{00000000-0005-0000-0000-0000028F0000}"/>
    <cellStyle name="Remarque 3 2 4 4 8 2" xfId="23407" xr:uid="{00000000-0005-0000-0000-0000038F0000}"/>
    <cellStyle name="Remarque 3 2 4 4 8 3" xfId="47367" xr:uid="{00000000-0005-0000-0000-0000048F0000}"/>
    <cellStyle name="Remarque 3 2 4 4 9" xfId="2092" xr:uid="{00000000-0005-0000-0000-0000058F0000}"/>
    <cellStyle name="Remarque 3 2 4 4 9 2" xfId="26106" xr:uid="{00000000-0005-0000-0000-0000068F0000}"/>
    <cellStyle name="Remarque 3 2 4 4 9 3" xfId="50066" xr:uid="{00000000-0005-0000-0000-0000078F0000}"/>
    <cellStyle name="Remarque 3 2 4 5" xfId="850" xr:uid="{00000000-0005-0000-0000-0000088F0000}"/>
    <cellStyle name="Remarque 3 2 4 5 10" xfId="24882" xr:uid="{00000000-0005-0000-0000-0000098F0000}"/>
    <cellStyle name="Remarque 3 2 4 5 10 2" xfId="48842" xr:uid="{00000000-0005-0000-0000-00000A8F0000}"/>
    <cellStyle name="Remarque 3 2 4 5 11" xfId="36596" xr:uid="{00000000-0005-0000-0000-00000B8F0000}"/>
    <cellStyle name="Remarque 3 2 4 5 11 2" xfId="60556" xr:uid="{00000000-0005-0000-0000-00000C8F0000}"/>
    <cellStyle name="Remarque 3 2 4 5 12" xfId="13547" xr:uid="{00000000-0005-0000-0000-00000D8F0000}"/>
    <cellStyle name="Remarque 3 2 4 5 13" xfId="37507" xr:uid="{00000000-0005-0000-0000-00000E8F0000}"/>
    <cellStyle name="Remarque 3 2 4 5 2" xfId="3756" xr:uid="{00000000-0005-0000-0000-00000F8F0000}"/>
    <cellStyle name="Remarque 3 2 4 5 2 2" xfId="27770" xr:uid="{00000000-0005-0000-0000-0000108F0000}"/>
    <cellStyle name="Remarque 3 2 4 5 2 2 2" xfId="51730" xr:uid="{00000000-0005-0000-0000-0000118F0000}"/>
    <cellStyle name="Remarque 3 2 4 5 2 3" xfId="15017" xr:uid="{00000000-0005-0000-0000-0000128F0000}"/>
    <cellStyle name="Remarque 3 2 4 5 2 4" xfId="38977" xr:uid="{00000000-0005-0000-0000-0000138F0000}"/>
    <cellStyle name="Remarque 3 2 4 5 3" xfId="5190" xr:uid="{00000000-0005-0000-0000-0000148F0000}"/>
    <cellStyle name="Remarque 3 2 4 5 3 2" xfId="29204" xr:uid="{00000000-0005-0000-0000-0000158F0000}"/>
    <cellStyle name="Remarque 3 2 4 5 3 2 2" xfId="53164" xr:uid="{00000000-0005-0000-0000-0000168F0000}"/>
    <cellStyle name="Remarque 3 2 4 5 3 3" xfId="16451" xr:uid="{00000000-0005-0000-0000-0000178F0000}"/>
    <cellStyle name="Remarque 3 2 4 5 3 4" xfId="40411" xr:uid="{00000000-0005-0000-0000-0000188F0000}"/>
    <cellStyle name="Remarque 3 2 4 5 4" xfId="6584" xr:uid="{00000000-0005-0000-0000-0000198F0000}"/>
    <cellStyle name="Remarque 3 2 4 5 4 2" xfId="30598" xr:uid="{00000000-0005-0000-0000-00001A8F0000}"/>
    <cellStyle name="Remarque 3 2 4 5 4 2 2" xfId="54558" xr:uid="{00000000-0005-0000-0000-00001B8F0000}"/>
    <cellStyle name="Remarque 3 2 4 5 4 3" xfId="17845" xr:uid="{00000000-0005-0000-0000-00001C8F0000}"/>
    <cellStyle name="Remarque 3 2 4 5 4 4" xfId="41805" xr:uid="{00000000-0005-0000-0000-00001D8F0000}"/>
    <cellStyle name="Remarque 3 2 4 5 5" xfId="7972" xr:uid="{00000000-0005-0000-0000-00001E8F0000}"/>
    <cellStyle name="Remarque 3 2 4 5 5 2" xfId="31986" xr:uid="{00000000-0005-0000-0000-00001F8F0000}"/>
    <cellStyle name="Remarque 3 2 4 5 5 2 2" xfId="55946" xr:uid="{00000000-0005-0000-0000-0000208F0000}"/>
    <cellStyle name="Remarque 3 2 4 5 5 3" xfId="19233" xr:uid="{00000000-0005-0000-0000-0000218F0000}"/>
    <cellStyle name="Remarque 3 2 4 5 5 4" xfId="43193" xr:uid="{00000000-0005-0000-0000-0000228F0000}"/>
    <cellStyle name="Remarque 3 2 4 5 6" xfId="9357" xr:uid="{00000000-0005-0000-0000-0000238F0000}"/>
    <cellStyle name="Remarque 3 2 4 5 6 2" xfId="33371" xr:uid="{00000000-0005-0000-0000-0000248F0000}"/>
    <cellStyle name="Remarque 3 2 4 5 6 2 2" xfId="57331" xr:uid="{00000000-0005-0000-0000-0000258F0000}"/>
    <cellStyle name="Remarque 3 2 4 5 6 3" xfId="20618" xr:uid="{00000000-0005-0000-0000-0000268F0000}"/>
    <cellStyle name="Remarque 3 2 4 5 6 4" xfId="44578" xr:uid="{00000000-0005-0000-0000-0000278F0000}"/>
    <cellStyle name="Remarque 3 2 4 5 7" xfId="10814" xr:uid="{00000000-0005-0000-0000-0000288F0000}"/>
    <cellStyle name="Remarque 3 2 4 5 7 2" xfId="34824" xr:uid="{00000000-0005-0000-0000-0000298F0000}"/>
    <cellStyle name="Remarque 3 2 4 5 7 2 2" xfId="58784" xr:uid="{00000000-0005-0000-0000-00002A8F0000}"/>
    <cellStyle name="Remarque 3 2 4 5 7 3" xfId="22081" xr:uid="{00000000-0005-0000-0000-00002B8F0000}"/>
    <cellStyle name="Remarque 3 2 4 5 7 4" xfId="46041" xr:uid="{00000000-0005-0000-0000-00002C8F0000}"/>
    <cellStyle name="Remarque 3 2 4 5 8" xfId="11836" xr:uid="{00000000-0005-0000-0000-00002D8F0000}"/>
    <cellStyle name="Remarque 3 2 4 5 8 2" xfId="23111" xr:uid="{00000000-0005-0000-0000-00002E8F0000}"/>
    <cellStyle name="Remarque 3 2 4 5 8 3" xfId="47071" xr:uid="{00000000-0005-0000-0000-00002F8F0000}"/>
    <cellStyle name="Remarque 3 2 4 5 9" xfId="2286" xr:uid="{00000000-0005-0000-0000-0000308F0000}"/>
    <cellStyle name="Remarque 3 2 4 5 9 2" xfId="26300" xr:uid="{00000000-0005-0000-0000-0000318F0000}"/>
    <cellStyle name="Remarque 3 2 4 5 9 3" xfId="50260" xr:uid="{00000000-0005-0000-0000-0000328F0000}"/>
    <cellStyle name="Remarque 3 2 4 6" xfId="1043" xr:uid="{00000000-0005-0000-0000-0000338F0000}"/>
    <cellStyle name="Remarque 3 2 4 6 10" xfId="25075" xr:uid="{00000000-0005-0000-0000-0000348F0000}"/>
    <cellStyle name="Remarque 3 2 4 6 10 2" xfId="49035" xr:uid="{00000000-0005-0000-0000-0000358F0000}"/>
    <cellStyle name="Remarque 3 2 4 6 11" xfId="35620" xr:uid="{00000000-0005-0000-0000-0000368F0000}"/>
    <cellStyle name="Remarque 3 2 4 6 11 2" xfId="59580" xr:uid="{00000000-0005-0000-0000-0000378F0000}"/>
    <cellStyle name="Remarque 3 2 4 6 12" xfId="13740" xr:uid="{00000000-0005-0000-0000-0000388F0000}"/>
    <cellStyle name="Remarque 3 2 4 6 13" xfId="37700" xr:uid="{00000000-0005-0000-0000-0000398F0000}"/>
    <cellStyle name="Remarque 3 2 4 6 2" xfId="3949" xr:uid="{00000000-0005-0000-0000-00003A8F0000}"/>
    <cellStyle name="Remarque 3 2 4 6 2 2" xfId="27963" xr:uid="{00000000-0005-0000-0000-00003B8F0000}"/>
    <cellStyle name="Remarque 3 2 4 6 2 2 2" xfId="51923" xr:uid="{00000000-0005-0000-0000-00003C8F0000}"/>
    <cellStyle name="Remarque 3 2 4 6 2 3" xfId="15210" xr:uid="{00000000-0005-0000-0000-00003D8F0000}"/>
    <cellStyle name="Remarque 3 2 4 6 2 4" xfId="39170" xr:uid="{00000000-0005-0000-0000-00003E8F0000}"/>
    <cellStyle name="Remarque 3 2 4 6 3" xfId="5383" xr:uid="{00000000-0005-0000-0000-00003F8F0000}"/>
    <cellStyle name="Remarque 3 2 4 6 3 2" xfId="29397" xr:uid="{00000000-0005-0000-0000-0000408F0000}"/>
    <cellStyle name="Remarque 3 2 4 6 3 2 2" xfId="53357" xr:uid="{00000000-0005-0000-0000-0000418F0000}"/>
    <cellStyle name="Remarque 3 2 4 6 3 3" xfId="16644" xr:uid="{00000000-0005-0000-0000-0000428F0000}"/>
    <cellStyle name="Remarque 3 2 4 6 3 4" xfId="40604" xr:uid="{00000000-0005-0000-0000-0000438F0000}"/>
    <cellStyle name="Remarque 3 2 4 6 4" xfId="6777" xr:uid="{00000000-0005-0000-0000-0000448F0000}"/>
    <cellStyle name="Remarque 3 2 4 6 4 2" xfId="30791" xr:uid="{00000000-0005-0000-0000-0000458F0000}"/>
    <cellStyle name="Remarque 3 2 4 6 4 2 2" xfId="54751" xr:uid="{00000000-0005-0000-0000-0000468F0000}"/>
    <cellStyle name="Remarque 3 2 4 6 4 3" xfId="18038" xr:uid="{00000000-0005-0000-0000-0000478F0000}"/>
    <cellStyle name="Remarque 3 2 4 6 4 4" xfId="41998" xr:uid="{00000000-0005-0000-0000-0000488F0000}"/>
    <cellStyle name="Remarque 3 2 4 6 5" xfId="8165" xr:uid="{00000000-0005-0000-0000-0000498F0000}"/>
    <cellStyle name="Remarque 3 2 4 6 5 2" xfId="32179" xr:uid="{00000000-0005-0000-0000-00004A8F0000}"/>
    <cellStyle name="Remarque 3 2 4 6 5 2 2" xfId="56139" xr:uid="{00000000-0005-0000-0000-00004B8F0000}"/>
    <cellStyle name="Remarque 3 2 4 6 5 3" xfId="19426" xr:uid="{00000000-0005-0000-0000-00004C8F0000}"/>
    <cellStyle name="Remarque 3 2 4 6 5 4" xfId="43386" xr:uid="{00000000-0005-0000-0000-00004D8F0000}"/>
    <cellStyle name="Remarque 3 2 4 6 6" xfId="9550" xr:uid="{00000000-0005-0000-0000-00004E8F0000}"/>
    <cellStyle name="Remarque 3 2 4 6 6 2" xfId="33564" xr:uid="{00000000-0005-0000-0000-00004F8F0000}"/>
    <cellStyle name="Remarque 3 2 4 6 6 2 2" xfId="57524" xr:uid="{00000000-0005-0000-0000-0000508F0000}"/>
    <cellStyle name="Remarque 3 2 4 6 6 3" xfId="20811" xr:uid="{00000000-0005-0000-0000-0000518F0000}"/>
    <cellStyle name="Remarque 3 2 4 6 6 4" xfId="44771" xr:uid="{00000000-0005-0000-0000-0000528F0000}"/>
    <cellStyle name="Remarque 3 2 4 6 7" xfId="11007" xr:uid="{00000000-0005-0000-0000-0000538F0000}"/>
    <cellStyle name="Remarque 3 2 4 6 7 2" xfId="35017" xr:uid="{00000000-0005-0000-0000-0000548F0000}"/>
    <cellStyle name="Remarque 3 2 4 6 7 2 2" xfId="58977" xr:uid="{00000000-0005-0000-0000-0000558F0000}"/>
    <cellStyle name="Remarque 3 2 4 6 7 3" xfId="22274" xr:uid="{00000000-0005-0000-0000-0000568F0000}"/>
    <cellStyle name="Remarque 3 2 4 6 7 4" xfId="46234" xr:uid="{00000000-0005-0000-0000-0000578F0000}"/>
    <cellStyle name="Remarque 3 2 4 6 8" xfId="11615" xr:uid="{00000000-0005-0000-0000-0000588F0000}"/>
    <cellStyle name="Remarque 3 2 4 6 8 2" xfId="22883" xr:uid="{00000000-0005-0000-0000-0000598F0000}"/>
    <cellStyle name="Remarque 3 2 4 6 8 3" xfId="46843" xr:uid="{00000000-0005-0000-0000-00005A8F0000}"/>
    <cellStyle name="Remarque 3 2 4 6 9" xfId="2479" xr:uid="{00000000-0005-0000-0000-00005B8F0000}"/>
    <cellStyle name="Remarque 3 2 4 6 9 2" xfId="26493" xr:uid="{00000000-0005-0000-0000-00005C8F0000}"/>
    <cellStyle name="Remarque 3 2 4 6 9 3" xfId="50453" xr:uid="{00000000-0005-0000-0000-00005D8F0000}"/>
    <cellStyle name="Remarque 3 2 4 7" xfId="1379" xr:uid="{00000000-0005-0000-0000-00005E8F0000}"/>
    <cellStyle name="Remarque 3 2 4 7 10" xfId="25411" xr:uid="{00000000-0005-0000-0000-00005F8F0000}"/>
    <cellStyle name="Remarque 3 2 4 7 10 2" xfId="49371" xr:uid="{00000000-0005-0000-0000-0000608F0000}"/>
    <cellStyle name="Remarque 3 2 4 7 11" xfId="34135" xr:uid="{00000000-0005-0000-0000-0000618F0000}"/>
    <cellStyle name="Remarque 3 2 4 7 11 2" xfId="58095" xr:uid="{00000000-0005-0000-0000-0000628F0000}"/>
    <cellStyle name="Remarque 3 2 4 7 12" xfId="14076" xr:uid="{00000000-0005-0000-0000-0000638F0000}"/>
    <cellStyle name="Remarque 3 2 4 7 13" xfId="38036" xr:uid="{00000000-0005-0000-0000-0000648F0000}"/>
    <cellStyle name="Remarque 3 2 4 7 2" xfId="4285" xr:uid="{00000000-0005-0000-0000-0000658F0000}"/>
    <cellStyle name="Remarque 3 2 4 7 2 2" xfId="28299" xr:uid="{00000000-0005-0000-0000-0000668F0000}"/>
    <cellStyle name="Remarque 3 2 4 7 2 2 2" xfId="52259" xr:uid="{00000000-0005-0000-0000-0000678F0000}"/>
    <cellStyle name="Remarque 3 2 4 7 2 3" xfId="15546" xr:uid="{00000000-0005-0000-0000-0000688F0000}"/>
    <cellStyle name="Remarque 3 2 4 7 2 4" xfId="39506" xr:uid="{00000000-0005-0000-0000-0000698F0000}"/>
    <cellStyle name="Remarque 3 2 4 7 3" xfId="5719" xr:uid="{00000000-0005-0000-0000-00006A8F0000}"/>
    <cellStyle name="Remarque 3 2 4 7 3 2" xfId="29733" xr:uid="{00000000-0005-0000-0000-00006B8F0000}"/>
    <cellStyle name="Remarque 3 2 4 7 3 2 2" xfId="53693" xr:uid="{00000000-0005-0000-0000-00006C8F0000}"/>
    <cellStyle name="Remarque 3 2 4 7 3 3" xfId="16980" xr:uid="{00000000-0005-0000-0000-00006D8F0000}"/>
    <cellStyle name="Remarque 3 2 4 7 3 4" xfId="40940" xr:uid="{00000000-0005-0000-0000-00006E8F0000}"/>
    <cellStyle name="Remarque 3 2 4 7 4" xfId="7113" xr:uid="{00000000-0005-0000-0000-00006F8F0000}"/>
    <cellStyle name="Remarque 3 2 4 7 4 2" xfId="31127" xr:uid="{00000000-0005-0000-0000-0000708F0000}"/>
    <cellStyle name="Remarque 3 2 4 7 4 2 2" xfId="55087" xr:uid="{00000000-0005-0000-0000-0000718F0000}"/>
    <cellStyle name="Remarque 3 2 4 7 4 3" xfId="18374" xr:uid="{00000000-0005-0000-0000-0000728F0000}"/>
    <cellStyle name="Remarque 3 2 4 7 4 4" xfId="42334" xr:uid="{00000000-0005-0000-0000-0000738F0000}"/>
    <cellStyle name="Remarque 3 2 4 7 5" xfId="8501" xr:uid="{00000000-0005-0000-0000-0000748F0000}"/>
    <cellStyle name="Remarque 3 2 4 7 5 2" xfId="32515" xr:uid="{00000000-0005-0000-0000-0000758F0000}"/>
    <cellStyle name="Remarque 3 2 4 7 5 2 2" xfId="56475" xr:uid="{00000000-0005-0000-0000-0000768F0000}"/>
    <cellStyle name="Remarque 3 2 4 7 5 3" xfId="19762" xr:uid="{00000000-0005-0000-0000-0000778F0000}"/>
    <cellStyle name="Remarque 3 2 4 7 5 4" xfId="43722" xr:uid="{00000000-0005-0000-0000-0000788F0000}"/>
    <cellStyle name="Remarque 3 2 4 7 6" xfId="9886" xr:uid="{00000000-0005-0000-0000-0000798F0000}"/>
    <cellStyle name="Remarque 3 2 4 7 6 2" xfId="33900" xr:uid="{00000000-0005-0000-0000-00007A8F0000}"/>
    <cellStyle name="Remarque 3 2 4 7 6 2 2" xfId="57860" xr:uid="{00000000-0005-0000-0000-00007B8F0000}"/>
    <cellStyle name="Remarque 3 2 4 7 6 3" xfId="21147" xr:uid="{00000000-0005-0000-0000-00007C8F0000}"/>
    <cellStyle name="Remarque 3 2 4 7 6 4" xfId="45107" xr:uid="{00000000-0005-0000-0000-00007D8F0000}"/>
    <cellStyle name="Remarque 3 2 4 7 7" xfId="11343" xr:uid="{00000000-0005-0000-0000-00007E8F0000}"/>
    <cellStyle name="Remarque 3 2 4 7 7 2" xfId="35353" xr:uid="{00000000-0005-0000-0000-00007F8F0000}"/>
    <cellStyle name="Remarque 3 2 4 7 7 2 2" xfId="59313" xr:uid="{00000000-0005-0000-0000-0000808F0000}"/>
    <cellStyle name="Remarque 3 2 4 7 7 3" xfId="22610" xr:uid="{00000000-0005-0000-0000-0000818F0000}"/>
    <cellStyle name="Remarque 3 2 4 7 7 4" xfId="46570" xr:uid="{00000000-0005-0000-0000-0000828F0000}"/>
    <cellStyle name="Remarque 3 2 4 7 8" xfId="12422" xr:uid="{00000000-0005-0000-0000-0000838F0000}"/>
    <cellStyle name="Remarque 3 2 4 7 8 2" xfId="23713" xr:uid="{00000000-0005-0000-0000-0000848F0000}"/>
    <cellStyle name="Remarque 3 2 4 7 8 3" xfId="47673" xr:uid="{00000000-0005-0000-0000-0000858F0000}"/>
    <cellStyle name="Remarque 3 2 4 7 9" xfId="2815" xr:uid="{00000000-0005-0000-0000-0000868F0000}"/>
    <cellStyle name="Remarque 3 2 4 7 9 2" xfId="26829" xr:uid="{00000000-0005-0000-0000-0000878F0000}"/>
    <cellStyle name="Remarque 3 2 4 7 9 3" xfId="50789" xr:uid="{00000000-0005-0000-0000-0000888F0000}"/>
    <cellStyle name="Remarque 3 2 4 8" xfId="3135" xr:uid="{00000000-0005-0000-0000-0000898F0000}"/>
    <cellStyle name="Remarque 3 2 4 8 2" xfId="27149" xr:uid="{00000000-0005-0000-0000-00008A8F0000}"/>
    <cellStyle name="Remarque 3 2 4 8 2 2" xfId="51109" xr:uid="{00000000-0005-0000-0000-00008B8F0000}"/>
    <cellStyle name="Remarque 3 2 4 8 3" xfId="14396" xr:uid="{00000000-0005-0000-0000-00008C8F0000}"/>
    <cellStyle name="Remarque 3 2 4 8 4" xfId="38356" xr:uid="{00000000-0005-0000-0000-00008D8F0000}"/>
    <cellStyle name="Remarque 3 2 4 9" xfId="1665" xr:uid="{00000000-0005-0000-0000-00008E8F0000}"/>
    <cellStyle name="Remarque 3 2 4 9 2" xfId="25679" xr:uid="{00000000-0005-0000-0000-00008F8F0000}"/>
    <cellStyle name="Remarque 3 2 4 9 3" xfId="49639" xr:uid="{00000000-0005-0000-0000-0000908F0000}"/>
    <cellStyle name="Remarque 3 2 5" xfId="123" xr:uid="{00000000-0005-0000-0000-0000918F0000}"/>
    <cellStyle name="Remarque 3 2 5 10" xfId="6105" xr:uid="{00000000-0005-0000-0000-0000928F0000}"/>
    <cellStyle name="Remarque 3 2 5 10 2" xfId="30119" xr:uid="{00000000-0005-0000-0000-0000938F0000}"/>
    <cellStyle name="Remarque 3 2 5 10 2 2" xfId="54079" xr:uid="{00000000-0005-0000-0000-0000948F0000}"/>
    <cellStyle name="Remarque 3 2 5 10 3" xfId="17366" xr:uid="{00000000-0005-0000-0000-0000958F0000}"/>
    <cellStyle name="Remarque 3 2 5 10 4" xfId="41326" xr:uid="{00000000-0005-0000-0000-0000968F0000}"/>
    <cellStyle name="Remarque 3 2 5 11" xfId="7493" xr:uid="{00000000-0005-0000-0000-0000978F0000}"/>
    <cellStyle name="Remarque 3 2 5 11 2" xfId="31507" xr:uid="{00000000-0005-0000-0000-0000988F0000}"/>
    <cellStyle name="Remarque 3 2 5 11 2 2" xfId="55467" xr:uid="{00000000-0005-0000-0000-0000998F0000}"/>
    <cellStyle name="Remarque 3 2 5 11 3" xfId="18754" xr:uid="{00000000-0005-0000-0000-00009A8F0000}"/>
    <cellStyle name="Remarque 3 2 5 11 4" xfId="42714" xr:uid="{00000000-0005-0000-0000-00009B8F0000}"/>
    <cellStyle name="Remarque 3 2 5 12" xfId="8878" xr:uid="{00000000-0005-0000-0000-00009C8F0000}"/>
    <cellStyle name="Remarque 3 2 5 12 2" xfId="32892" xr:uid="{00000000-0005-0000-0000-00009D8F0000}"/>
    <cellStyle name="Remarque 3 2 5 12 2 2" xfId="56852" xr:uid="{00000000-0005-0000-0000-00009E8F0000}"/>
    <cellStyle name="Remarque 3 2 5 12 3" xfId="20139" xr:uid="{00000000-0005-0000-0000-00009F8F0000}"/>
    <cellStyle name="Remarque 3 2 5 12 4" xfId="44099" xr:uid="{00000000-0005-0000-0000-0000A08F0000}"/>
    <cellStyle name="Remarque 3 2 5 13" xfId="10335" xr:uid="{00000000-0005-0000-0000-0000A18F0000}"/>
    <cellStyle name="Remarque 3 2 5 13 2" xfId="34345" xr:uid="{00000000-0005-0000-0000-0000A28F0000}"/>
    <cellStyle name="Remarque 3 2 5 13 2 2" xfId="58305" xr:uid="{00000000-0005-0000-0000-0000A38F0000}"/>
    <cellStyle name="Remarque 3 2 5 13 3" xfId="21602" xr:uid="{00000000-0005-0000-0000-0000A48F0000}"/>
    <cellStyle name="Remarque 3 2 5 13 4" xfId="45562" xr:uid="{00000000-0005-0000-0000-0000A58F0000}"/>
    <cellStyle name="Remarque 3 2 5 14" xfId="11878" xr:uid="{00000000-0005-0000-0000-0000A68F0000}"/>
    <cellStyle name="Remarque 3 2 5 14 2" xfId="23155" xr:uid="{00000000-0005-0000-0000-0000A78F0000}"/>
    <cellStyle name="Remarque 3 2 5 14 3" xfId="47115" xr:uid="{00000000-0005-0000-0000-0000A88F0000}"/>
    <cellStyle name="Remarque 3 2 5 15" xfId="1807" xr:uid="{00000000-0005-0000-0000-0000A98F0000}"/>
    <cellStyle name="Remarque 3 2 5 15 2" xfId="25821" xr:uid="{00000000-0005-0000-0000-0000AA8F0000}"/>
    <cellStyle name="Remarque 3 2 5 15 3" xfId="49781" xr:uid="{00000000-0005-0000-0000-0000AB8F0000}"/>
    <cellStyle name="Remarque 3 2 5 16" xfId="24403" xr:uid="{00000000-0005-0000-0000-0000AC8F0000}"/>
    <cellStyle name="Remarque 3 2 5 16 2" xfId="48363" xr:uid="{00000000-0005-0000-0000-0000AD8F0000}"/>
    <cellStyle name="Remarque 3 2 5 17" xfId="24269" xr:uid="{00000000-0005-0000-0000-0000AE8F0000}"/>
    <cellStyle name="Remarque 3 2 5 17 2" xfId="48229" xr:uid="{00000000-0005-0000-0000-0000AF8F0000}"/>
    <cellStyle name="Remarque 3 2 5 18" xfId="13068" xr:uid="{00000000-0005-0000-0000-0000B08F0000}"/>
    <cellStyle name="Remarque 3 2 5 19" xfId="37028" xr:uid="{00000000-0005-0000-0000-0000B18F0000}"/>
    <cellStyle name="Remarque 3 2 5 2" xfId="507" xr:uid="{00000000-0005-0000-0000-0000B28F0000}"/>
    <cellStyle name="Remarque 3 2 5 2 10" xfId="24539" xr:uid="{00000000-0005-0000-0000-0000B38F0000}"/>
    <cellStyle name="Remarque 3 2 5 2 10 2" xfId="48499" xr:uid="{00000000-0005-0000-0000-0000B48F0000}"/>
    <cellStyle name="Remarque 3 2 5 2 11" xfId="36832" xr:uid="{00000000-0005-0000-0000-0000B58F0000}"/>
    <cellStyle name="Remarque 3 2 5 2 11 2" xfId="60792" xr:uid="{00000000-0005-0000-0000-0000B68F0000}"/>
    <cellStyle name="Remarque 3 2 5 2 12" xfId="13204" xr:uid="{00000000-0005-0000-0000-0000B78F0000}"/>
    <cellStyle name="Remarque 3 2 5 2 13" xfId="37164" xr:uid="{00000000-0005-0000-0000-0000B88F0000}"/>
    <cellStyle name="Remarque 3 2 5 2 2" xfId="3413" xr:uid="{00000000-0005-0000-0000-0000B98F0000}"/>
    <cellStyle name="Remarque 3 2 5 2 2 2" xfId="27427" xr:uid="{00000000-0005-0000-0000-0000BA8F0000}"/>
    <cellStyle name="Remarque 3 2 5 2 2 2 2" xfId="51387" xr:uid="{00000000-0005-0000-0000-0000BB8F0000}"/>
    <cellStyle name="Remarque 3 2 5 2 2 3" xfId="14674" xr:uid="{00000000-0005-0000-0000-0000BC8F0000}"/>
    <cellStyle name="Remarque 3 2 5 2 2 4" xfId="38634" xr:uid="{00000000-0005-0000-0000-0000BD8F0000}"/>
    <cellStyle name="Remarque 3 2 5 2 3" xfId="4847" xr:uid="{00000000-0005-0000-0000-0000BE8F0000}"/>
    <cellStyle name="Remarque 3 2 5 2 3 2" xfId="28861" xr:uid="{00000000-0005-0000-0000-0000BF8F0000}"/>
    <cellStyle name="Remarque 3 2 5 2 3 2 2" xfId="52821" xr:uid="{00000000-0005-0000-0000-0000C08F0000}"/>
    <cellStyle name="Remarque 3 2 5 2 3 3" xfId="16108" xr:uid="{00000000-0005-0000-0000-0000C18F0000}"/>
    <cellStyle name="Remarque 3 2 5 2 3 4" xfId="40068" xr:uid="{00000000-0005-0000-0000-0000C28F0000}"/>
    <cellStyle name="Remarque 3 2 5 2 4" xfId="6241" xr:uid="{00000000-0005-0000-0000-0000C38F0000}"/>
    <cellStyle name="Remarque 3 2 5 2 4 2" xfId="30255" xr:uid="{00000000-0005-0000-0000-0000C48F0000}"/>
    <cellStyle name="Remarque 3 2 5 2 4 2 2" xfId="54215" xr:uid="{00000000-0005-0000-0000-0000C58F0000}"/>
    <cellStyle name="Remarque 3 2 5 2 4 3" xfId="17502" xr:uid="{00000000-0005-0000-0000-0000C68F0000}"/>
    <cellStyle name="Remarque 3 2 5 2 4 4" xfId="41462" xr:uid="{00000000-0005-0000-0000-0000C78F0000}"/>
    <cellStyle name="Remarque 3 2 5 2 5" xfId="7629" xr:uid="{00000000-0005-0000-0000-0000C88F0000}"/>
    <cellStyle name="Remarque 3 2 5 2 5 2" xfId="31643" xr:uid="{00000000-0005-0000-0000-0000C98F0000}"/>
    <cellStyle name="Remarque 3 2 5 2 5 2 2" xfId="55603" xr:uid="{00000000-0005-0000-0000-0000CA8F0000}"/>
    <cellStyle name="Remarque 3 2 5 2 5 3" xfId="18890" xr:uid="{00000000-0005-0000-0000-0000CB8F0000}"/>
    <cellStyle name="Remarque 3 2 5 2 5 4" xfId="42850" xr:uid="{00000000-0005-0000-0000-0000CC8F0000}"/>
    <cellStyle name="Remarque 3 2 5 2 6" xfId="9014" xr:uid="{00000000-0005-0000-0000-0000CD8F0000}"/>
    <cellStyle name="Remarque 3 2 5 2 6 2" xfId="33028" xr:uid="{00000000-0005-0000-0000-0000CE8F0000}"/>
    <cellStyle name="Remarque 3 2 5 2 6 2 2" xfId="56988" xr:uid="{00000000-0005-0000-0000-0000CF8F0000}"/>
    <cellStyle name="Remarque 3 2 5 2 6 3" xfId="20275" xr:uid="{00000000-0005-0000-0000-0000D08F0000}"/>
    <cellStyle name="Remarque 3 2 5 2 6 4" xfId="44235" xr:uid="{00000000-0005-0000-0000-0000D18F0000}"/>
    <cellStyle name="Remarque 3 2 5 2 7" xfId="10471" xr:uid="{00000000-0005-0000-0000-0000D28F0000}"/>
    <cellStyle name="Remarque 3 2 5 2 7 2" xfId="34481" xr:uid="{00000000-0005-0000-0000-0000D38F0000}"/>
    <cellStyle name="Remarque 3 2 5 2 7 2 2" xfId="58441" xr:uid="{00000000-0005-0000-0000-0000D48F0000}"/>
    <cellStyle name="Remarque 3 2 5 2 7 3" xfId="21738" xr:uid="{00000000-0005-0000-0000-0000D58F0000}"/>
    <cellStyle name="Remarque 3 2 5 2 7 4" xfId="45698" xr:uid="{00000000-0005-0000-0000-0000D68F0000}"/>
    <cellStyle name="Remarque 3 2 5 2 8" xfId="12412" xr:uid="{00000000-0005-0000-0000-0000D78F0000}"/>
    <cellStyle name="Remarque 3 2 5 2 8 2" xfId="23703" xr:uid="{00000000-0005-0000-0000-0000D88F0000}"/>
    <cellStyle name="Remarque 3 2 5 2 8 3" xfId="47663" xr:uid="{00000000-0005-0000-0000-0000D98F0000}"/>
    <cellStyle name="Remarque 3 2 5 2 9" xfId="1943" xr:uid="{00000000-0005-0000-0000-0000DA8F0000}"/>
    <cellStyle name="Remarque 3 2 5 2 9 2" xfId="25957" xr:uid="{00000000-0005-0000-0000-0000DB8F0000}"/>
    <cellStyle name="Remarque 3 2 5 2 9 3" xfId="49917" xr:uid="{00000000-0005-0000-0000-0000DC8F0000}"/>
    <cellStyle name="Remarque 3 2 5 20" xfId="371" xr:uid="{00000000-0005-0000-0000-0000DD8F0000}"/>
    <cellStyle name="Remarque 3 2 5 3" xfId="699" xr:uid="{00000000-0005-0000-0000-0000DE8F0000}"/>
    <cellStyle name="Remarque 3 2 5 3 10" xfId="24731" xr:uid="{00000000-0005-0000-0000-0000DF8F0000}"/>
    <cellStyle name="Remarque 3 2 5 3 10 2" xfId="48691" xr:uid="{00000000-0005-0000-0000-0000E08F0000}"/>
    <cellStyle name="Remarque 3 2 5 3 11" xfId="36132" xr:uid="{00000000-0005-0000-0000-0000E18F0000}"/>
    <cellStyle name="Remarque 3 2 5 3 11 2" xfId="60092" xr:uid="{00000000-0005-0000-0000-0000E28F0000}"/>
    <cellStyle name="Remarque 3 2 5 3 12" xfId="13396" xr:uid="{00000000-0005-0000-0000-0000E38F0000}"/>
    <cellStyle name="Remarque 3 2 5 3 13" xfId="37356" xr:uid="{00000000-0005-0000-0000-0000E48F0000}"/>
    <cellStyle name="Remarque 3 2 5 3 2" xfId="3605" xr:uid="{00000000-0005-0000-0000-0000E58F0000}"/>
    <cellStyle name="Remarque 3 2 5 3 2 2" xfId="27619" xr:uid="{00000000-0005-0000-0000-0000E68F0000}"/>
    <cellStyle name="Remarque 3 2 5 3 2 2 2" xfId="51579" xr:uid="{00000000-0005-0000-0000-0000E78F0000}"/>
    <cellStyle name="Remarque 3 2 5 3 2 3" xfId="14866" xr:uid="{00000000-0005-0000-0000-0000E88F0000}"/>
    <cellStyle name="Remarque 3 2 5 3 2 4" xfId="38826" xr:uid="{00000000-0005-0000-0000-0000E98F0000}"/>
    <cellStyle name="Remarque 3 2 5 3 3" xfId="5039" xr:uid="{00000000-0005-0000-0000-0000EA8F0000}"/>
    <cellStyle name="Remarque 3 2 5 3 3 2" xfId="29053" xr:uid="{00000000-0005-0000-0000-0000EB8F0000}"/>
    <cellStyle name="Remarque 3 2 5 3 3 2 2" xfId="53013" xr:uid="{00000000-0005-0000-0000-0000EC8F0000}"/>
    <cellStyle name="Remarque 3 2 5 3 3 3" xfId="16300" xr:uid="{00000000-0005-0000-0000-0000ED8F0000}"/>
    <cellStyle name="Remarque 3 2 5 3 3 4" xfId="40260" xr:uid="{00000000-0005-0000-0000-0000EE8F0000}"/>
    <cellStyle name="Remarque 3 2 5 3 4" xfId="6433" xr:uid="{00000000-0005-0000-0000-0000EF8F0000}"/>
    <cellStyle name="Remarque 3 2 5 3 4 2" xfId="30447" xr:uid="{00000000-0005-0000-0000-0000F08F0000}"/>
    <cellStyle name="Remarque 3 2 5 3 4 2 2" xfId="54407" xr:uid="{00000000-0005-0000-0000-0000F18F0000}"/>
    <cellStyle name="Remarque 3 2 5 3 4 3" xfId="17694" xr:uid="{00000000-0005-0000-0000-0000F28F0000}"/>
    <cellStyle name="Remarque 3 2 5 3 4 4" xfId="41654" xr:uid="{00000000-0005-0000-0000-0000F38F0000}"/>
    <cellStyle name="Remarque 3 2 5 3 5" xfId="7821" xr:uid="{00000000-0005-0000-0000-0000F48F0000}"/>
    <cellStyle name="Remarque 3 2 5 3 5 2" xfId="31835" xr:uid="{00000000-0005-0000-0000-0000F58F0000}"/>
    <cellStyle name="Remarque 3 2 5 3 5 2 2" xfId="55795" xr:uid="{00000000-0005-0000-0000-0000F68F0000}"/>
    <cellStyle name="Remarque 3 2 5 3 5 3" xfId="19082" xr:uid="{00000000-0005-0000-0000-0000F78F0000}"/>
    <cellStyle name="Remarque 3 2 5 3 5 4" xfId="43042" xr:uid="{00000000-0005-0000-0000-0000F88F0000}"/>
    <cellStyle name="Remarque 3 2 5 3 6" xfId="9206" xr:uid="{00000000-0005-0000-0000-0000F98F0000}"/>
    <cellStyle name="Remarque 3 2 5 3 6 2" xfId="33220" xr:uid="{00000000-0005-0000-0000-0000FA8F0000}"/>
    <cellStyle name="Remarque 3 2 5 3 6 2 2" xfId="57180" xr:uid="{00000000-0005-0000-0000-0000FB8F0000}"/>
    <cellStyle name="Remarque 3 2 5 3 6 3" xfId="20467" xr:uid="{00000000-0005-0000-0000-0000FC8F0000}"/>
    <cellStyle name="Remarque 3 2 5 3 6 4" xfId="44427" xr:uid="{00000000-0005-0000-0000-0000FD8F0000}"/>
    <cellStyle name="Remarque 3 2 5 3 7" xfId="10663" xr:uid="{00000000-0005-0000-0000-0000FE8F0000}"/>
    <cellStyle name="Remarque 3 2 5 3 7 2" xfId="34673" xr:uid="{00000000-0005-0000-0000-0000FF8F0000}"/>
    <cellStyle name="Remarque 3 2 5 3 7 2 2" xfId="58633" xr:uid="{00000000-0005-0000-0000-000000900000}"/>
    <cellStyle name="Remarque 3 2 5 3 7 3" xfId="21930" xr:uid="{00000000-0005-0000-0000-000001900000}"/>
    <cellStyle name="Remarque 3 2 5 3 7 4" xfId="45890" xr:uid="{00000000-0005-0000-0000-000002900000}"/>
    <cellStyle name="Remarque 3 2 5 3 8" xfId="11682" xr:uid="{00000000-0005-0000-0000-000003900000}"/>
    <cellStyle name="Remarque 3 2 5 3 8 2" xfId="22951" xr:uid="{00000000-0005-0000-0000-000004900000}"/>
    <cellStyle name="Remarque 3 2 5 3 8 3" xfId="46911" xr:uid="{00000000-0005-0000-0000-000005900000}"/>
    <cellStyle name="Remarque 3 2 5 3 9" xfId="2135" xr:uid="{00000000-0005-0000-0000-000006900000}"/>
    <cellStyle name="Remarque 3 2 5 3 9 2" xfId="26149" xr:uid="{00000000-0005-0000-0000-000007900000}"/>
    <cellStyle name="Remarque 3 2 5 3 9 3" xfId="50109" xr:uid="{00000000-0005-0000-0000-000008900000}"/>
    <cellStyle name="Remarque 3 2 5 4" xfId="893" xr:uid="{00000000-0005-0000-0000-000009900000}"/>
    <cellStyle name="Remarque 3 2 5 4 10" xfId="24925" xr:uid="{00000000-0005-0000-0000-00000A900000}"/>
    <cellStyle name="Remarque 3 2 5 4 10 2" xfId="48885" xr:uid="{00000000-0005-0000-0000-00000B900000}"/>
    <cellStyle name="Remarque 3 2 5 4 11" xfId="35808" xr:uid="{00000000-0005-0000-0000-00000C900000}"/>
    <cellStyle name="Remarque 3 2 5 4 11 2" xfId="59768" xr:uid="{00000000-0005-0000-0000-00000D900000}"/>
    <cellStyle name="Remarque 3 2 5 4 12" xfId="13590" xr:uid="{00000000-0005-0000-0000-00000E900000}"/>
    <cellStyle name="Remarque 3 2 5 4 13" xfId="37550" xr:uid="{00000000-0005-0000-0000-00000F900000}"/>
    <cellStyle name="Remarque 3 2 5 4 2" xfId="3799" xr:uid="{00000000-0005-0000-0000-000010900000}"/>
    <cellStyle name="Remarque 3 2 5 4 2 2" xfId="27813" xr:uid="{00000000-0005-0000-0000-000011900000}"/>
    <cellStyle name="Remarque 3 2 5 4 2 2 2" xfId="51773" xr:uid="{00000000-0005-0000-0000-000012900000}"/>
    <cellStyle name="Remarque 3 2 5 4 2 3" xfId="15060" xr:uid="{00000000-0005-0000-0000-000013900000}"/>
    <cellStyle name="Remarque 3 2 5 4 2 4" xfId="39020" xr:uid="{00000000-0005-0000-0000-000014900000}"/>
    <cellStyle name="Remarque 3 2 5 4 3" xfId="5233" xr:uid="{00000000-0005-0000-0000-000015900000}"/>
    <cellStyle name="Remarque 3 2 5 4 3 2" xfId="29247" xr:uid="{00000000-0005-0000-0000-000016900000}"/>
    <cellStyle name="Remarque 3 2 5 4 3 2 2" xfId="53207" xr:uid="{00000000-0005-0000-0000-000017900000}"/>
    <cellStyle name="Remarque 3 2 5 4 3 3" xfId="16494" xr:uid="{00000000-0005-0000-0000-000018900000}"/>
    <cellStyle name="Remarque 3 2 5 4 3 4" xfId="40454" xr:uid="{00000000-0005-0000-0000-000019900000}"/>
    <cellStyle name="Remarque 3 2 5 4 4" xfId="6627" xr:uid="{00000000-0005-0000-0000-00001A900000}"/>
    <cellStyle name="Remarque 3 2 5 4 4 2" xfId="30641" xr:uid="{00000000-0005-0000-0000-00001B900000}"/>
    <cellStyle name="Remarque 3 2 5 4 4 2 2" xfId="54601" xr:uid="{00000000-0005-0000-0000-00001C900000}"/>
    <cellStyle name="Remarque 3 2 5 4 4 3" xfId="17888" xr:uid="{00000000-0005-0000-0000-00001D900000}"/>
    <cellStyle name="Remarque 3 2 5 4 4 4" xfId="41848" xr:uid="{00000000-0005-0000-0000-00001E900000}"/>
    <cellStyle name="Remarque 3 2 5 4 5" xfId="8015" xr:uid="{00000000-0005-0000-0000-00001F900000}"/>
    <cellStyle name="Remarque 3 2 5 4 5 2" xfId="32029" xr:uid="{00000000-0005-0000-0000-000020900000}"/>
    <cellStyle name="Remarque 3 2 5 4 5 2 2" xfId="55989" xr:uid="{00000000-0005-0000-0000-000021900000}"/>
    <cellStyle name="Remarque 3 2 5 4 5 3" xfId="19276" xr:uid="{00000000-0005-0000-0000-000022900000}"/>
    <cellStyle name="Remarque 3 2 5 4 5 4" xfId="43236" xr:uid="{00000000-0005-0000-0000-000023900000}"/>
    <cellStyle name="Remarque 3 2 5 4 6" xfId="9400" xr:uid="{00000000-0005-0000-0000-000024900000}"/>
    <cellStyle name="Remarque 3 2 5 4 6 2" xfId="33414" xr:uid="{00000000-0005-0000-0000-000025900000}"/>
    <cellStyle name="Remarque 3 2 5 4 6 2 2" xfId="57374" xr:uid="{00000000-0005-0000-0000-000026900000}"/>
    <cellStyle name="Remarque 3 2 5 4 6 3" xfId="20661" xr:uid="{00000000-0005-0000-0000-000027900000}"/>
    <cellStyle name="Remarque 3 2 5 4 6 4" xfId="44621" xr:uid="{00000000-0005-0000-0000-000028900000}"/>
    <cellStyle name="Remarque 3 2 5 4 7" xfId="10857" xr:uid="{00000000-0005-0000-0000-000029900000}"/>
    <cellStyle name="Remarque 3 2 5 4 7 2" xfId="34867" xr:uid="{00000000-0005-0000-0000-00002A900000}"/>
    <cellStyle name="Remarque 3 2 5 4 7 2 2" xfId="58827" xr:uid="{00000000-0005-0000-0000-00002B900000}"/>
    <cellStyle name="Remarque 3 2 5 4 7 3" xfId="22124" xr:uid="{00000000-0005-0000-0000-00002C900000}"/>
    <cellStyle name="Remarque 3 2 5 4 7 4" xfId="46084" xr:uid="{00000000-0005-0000-0000-00002D900000}"/>
    <cellStyle name="Remarque 3 2 5 4 8" xfId="11952" xr:uid="{00000000-0005-0000-0000-00002E900000}"/>
    <cellStyle name="Remarque 3 2 5 4 8 2" xfId="23230" xr:uid="{00000000-0005-0000-0000-00002F900000}"/>
    <cellStyle name="Remarque 3 2 5 4 8 3" xfId="47190" xr:uid="{00000000-0005-0000-0000-000030900000}"/>
    <cellStyle name="Remarque 3 2 5 4 9" xfId="2329" xr:uid="{00000000-0005-0000-0000-000031900000}"/>
    <cellStyle name="Remarque 3 2 5 4 9 2" xfId="26343" xr:uid="{00000000-0005-0000-0000-000032900000}"/>
    <cellStyle name="Remarque 3 2 5 4 9 3" xfId="50303" xr:uid="{00000000-0005-0000-0000-000033900000}"/>
    <cellStyle name="Remarque 3 2 5 5" xfId="1086" xr:uid="{00000000-0005-0000-0000-000034900000}"/>
    <cellStyle name="Remarque 3 2 5 5 10" xfId="25118" xr:uid="{00000000-0005-0000-0000-000035900000}"/>
    <cellStyle name="Remarque 3 2 5 5 10 2" xfId="49078" xr:uid="{00000000-0005-0000-0000-000036900000}"/>
    <cellStyle name="Remarque 3 2 5 5 11" xfId="35583" xr:uid="{00000000-0005-0000-0000-000037900000}"/>
    <cellStyle name="Remarque 3 2 5 5 11 2" xfId="59543" xr:uid="{00000000-0005-0000-0000-000038900000}"/>
    <cellStyle name="Remarque 3 2 5 5 12" xfId="13783" xr:uid="{00000000-0005-0000-0000-000039900000}"/>
    <cellStyle name="Remarque 3 2 5 5 13" xfId="37743" xr:uid="{00000000-0005-0000-0000-00003A900000}"/>
    <cellStyle name="Remarque 3 2 5 5 2" xfId="3992" xr:uid="{00000000-0005-0000-0000-00003B900000}"/>
    <cellStyle name="Remarque 3 2 5 5 2 2" xfId="28006" xr:uid="{00000000-0005-0000-0000-00003C900000}"/>
    <cellStyle name="Remarque 3 2 5 5 2 2 2" xfId="51966" xr:uid="{00000000-0005-0000-0000-00003D900000}"/>
    <cellStyle name="Remarque 3 2 5 5 2 3" xfId="15253" xr:uid="{00000000-0005-0000-0000-00003E900000}"/>
    <cellStyle name="Remarque 3 2 5 5 2 4" xfId="39213" xr:uid="{00000000-0005-0000-0000-00003F900000}"/>
    <cellStyle name="Remarque 3 2 5 5 3" xfId="5426" xr:uid="{00000000-0005-0000-0000-000040900000}"/>
    <cellStyle name="Remarque 3 2 5 5 3 2" xfId="29440" xr:uid="{00000000-0005-0000-0000-000041900000}"/>
    <cellStyle name="Remarque 3 2 5 5 3 2 2" xfId="53400" xr:uid="{00000000-0005-0000-0000-000042900000}"/>
    <cellStyle name="Remarque 3 2 5 5 3 3" xfId="16687" xr:uid="{00000000-0005-0000-0000-000043900000}"/>
    <cellStyle name="Remarque 3 2 5 5 3 4" xfId="40647" xr:uid="{00000000-0005-0000-0000-000044900000}"/>
    <cellStyle name="Remarque 3 2 5 5 4" xfId="6820" xr:uid="{00000000-0005-0000-0000-000045900000}"/>
    <cellStyle name="Remarque 3 2 5 5 4 2" xfId="30834" xr:uid="{00000000-0005-0000-0000-000046900000}"/>
    <cellStyle name="Remarque 3 2 5 5 4 2 2" xfId="54794" xr:uid="{00000000-0005-0000-0000-000047900000}"/>
    <cellStyle name="Remarque 3 2 5 5 4 3" xfId="18081" xr:uid="{00000000-0005-0000-0000-000048900000}"/>
    <cellStyle name="Remarque 3 2 5 5 4 4" xfId="42041" xr:uid="{00000000-0005-0000-0000-000049900000}"/>
    <cellStyle name="Remarque 3 2 5 5 5" xfId="8208" xr:uid="{00000000-0005-0000-0000-00004A900000}"/>
    <cellStyle name="Remarque 3 2 5 5 5 2" xfId="32222" xr:uid="{00000000-0005-0000-0000-00004B900000}"/>
    <cellStyle name="Remarque 3 2 5 5 5 2 2" xfId="56182" xr:uid="{00000000-0005-0000-0000-00004C900000}"/>
    <cellStyle name="Remarque 3 2 5 5 5 3" xfId="19469" xr:uid="{00000000-0005-0000-0000-00004D900000}"/>
    <cellStyle name="Remarque 3 2 5 5 5 4" xfId="43429" xr:uid="{00000000-0005-0000-0000-00004E900000}"/>
    <cellStyle name="Remarque 3 2 5 5 6" xfId="9593" xr:uid="{00000000-0005-0000-0000-00004F900000}"/>
    <cellStyle name="Remarque 3 2 5 5 6 2" xfId="33607" xr:uid="{00000000-0005-0000-0000-000050900000}"/>
    <cellStyle name="Remarque 3 2 5 5 6 2 2" xfId="57567" xr:uid="{00000000-0005-0000-0000-000051900000}"/>
    <cellStyle name="Remarque 3 2 5 5 6 3" xfId="20854" xr:uid="{00000000-0005-0000-0000-000052900000}"/>
    <cellStyle name="Remarque 3 2 5 5 6 4" xfId="44814" xr:uid="{00000000-0005-0000-0000-000053900000}"/>
    <cellStyle name="Remarque 3 2 5 5 7" xfId="11050" xr:uid="{00000000-0005-0000-0000-000054900000}"/>
    <cellStyle name="Remarque 3 2 5 5 7 2" xfId="35060" xr:uid="{00000000-0005-0000-0000-000055900000}"/>
    <cellStyle name="Remarque 3 2 5 5 7 2 2" xfId="59020" xr:uid="{00000000-0005-0000-0000-000056900000}"/>
    <cellStyle name="Remarque 3 2 5 5 7 3" xfId="22317" xr:uid="{00000000-0005-0000-0000-000057900000}"/>
    <cellStyle name="Remarque 3 2 5 5 7 4" xfId="46277" xr:uid="{00000000-0005-0000-0000-000058900000}"/>
    <cellStyle name="Remarque 3 2 5 5 8" xfId="11807" xr:uid="{00000000-0005-0000-0000-000059900000}"/>
    <cellStyle name="Remarque 3 2 5 5 8 2" xfId="23081" xr:uid="{00000000-0005-0000-0000-00005A900000}"/>
    <cellStyle name="Remarque 3 2 5 5 8 3" xfId="47041" xr:uid="{00000000-0005-0000-0000-00005B900000}"/>
    <cellStyle name="Remarque 3 2 5 5 9" xfId="2522" xr:uid="{00000000-0005-0000-0000-00005C900000}"/>
    <cellStyle name="Remarque 3 2 5 5 9 2" xfId="26536" xr:uid="{00000000-0005-0000-0000-00005D900000}"/>
    <cellStyle name="Remarque 3 2 5 5 9 3" xfId="50496" xr:uid="{00000000-0005-0000-0000-00005E900000}"/>
    <cellStyle name="Remarque 3 2 5 6" xfId="1253" xr:uid="{00000000-0005-0000-0000-00005F900000}"/>
    <cellStyle name="Remarque 3 2 5 6 10" xfId="25285" xr:uid="{00000000-0005-0000-0000-000060900000}"/>
    <cellStyle name="Remarque 3 2 5 6 10 2" xfId="49245" xr:uid="{00000000-0005-0000-0000-000061900000}"/>
    <cellStyle name="Remarque 3 2 5 6 11" xfId="35831" xr:uid="{00000000-0005-0000-0000-000062900000}"/>
    <cellStyle name="Remarque 3 2 5 6 11 2" xfId="59791" xr:uid="{00000000-0005-0000-0000-000063900000}"/>
    <cellStyle name="Remarque 3 2 5 6 12" xfId="13950" xr:uid="{00000000-0005-0000-0000-000064900000}"/>
    <cellStyle name="Remarque 3 2 5 6 13" xfId="37910" xr:uid="{00000000-0005-0000-0000-000065900000}"/>
    <cellStyle name="Remarque 3 2 5 6 2" xfId="4159" xr:uid="{00000000-0005-0000-0000-000066900000}"/>
    <cellStyle name="Remarque 3 2 5 6 2 2" xfId="28173" xr:uid="{00000000-0005-0000-0000-000067900000}"/>
    <cellStyle name="Remarque 3 2 5 6 2 2 2" xfId="52133" xr:uid="{00000000-0005-0000-0000-000068900000}"/>
    <cellStyle name="Remarque 3 2 5 6 2 3" xfId="15420" xr:uid="{00000000-0005-0000-0000-000069900000}"/>
    <cellStyle name="Remarque 3 2 5 6 2 4" xfId="39380" xr:uid="{00000000-0005-0000-0000-00006A900000}"/>
    <cellStyle name="Remarque 3 2 5 6 3" xfId="5593" xr:uid="{00000000-0005-0000-0000-00006B900000}"/>
    <cellStyle name="Remarque 3 2 5 6 3 2" xfId="29607" xr:uid="{00000000-0005-0000-0000-00006C900000}"/>
    <cellStyle name="Remarque 3 2 5 6 3 2 2" xfId="53567" xr:uid="{00000000-0005-0000-0000-00006D900000}"/>
    <cellStyle name="Remarque 3 2 5 6 3 3" xfId="16854" xr:uid="{00000000-0005-0000-0000-00006E900000}"/>
    <cellStyle name="Remarque 3 2 5 6 3 4" xfId="40814" xr:uid="{00000000-0005-0000-0000-00006F900000}"/>
    <cellStyle name="Remarque 3 2 5 6 4" xfId="6987" xr:uid="{00000000-0005-0000-0000-000070900000}"/>
    <cellStyle name="Remarque 3 2 5 6 4 2" xfId="31001" xr:uid="{00000000-0005-0000-0000-000071900000}"/>
    <cellStyle name="Remarque 3 2 5 6 4 2 2" xfId="54961" xr:uid="{00000000-0005-0000-0000-000072900000}"/>
    <cellStyle name="Remarque 3 2 5 6 4 3" xfId="18248" xr:uid="{00000000-0005-0000-0000-000073900000}"/>
    <cellStyle name="Remarque 3 2 5 6 4 4" xfId="42208" xr:uid="{00000000-0005-0000-0000-000074900000}"/>
    <cellStyle name="Remarque 3 2 5 6 5" xfId="8375" xr:uid="{00000000-0005-0000-0000-000075900000}"/>
    <cellStyle name="Remarque 3 2 5 6 5 2" xfId="32389" xr:uid="{00000000-0005-0000-0000-000076900000}"/>
    <cellStyle name="Remarque 3 2 5 6 5 2 2" xfId="56349" xr:uid="{00000000-0005-0000-0000-000077900000}"/>
    <cellStyle name="Remarque 3 2 5 6 5 3" xfId="19636" xr:uid="{00000000-0005-0000-0000-000078900000}"/>
    <cellStyle name="Remarque 3 2 5 6 5 4" xfId="43596" xr:uid="{00000000-0005-0000-0000-000079900000}"/>
    <cellStyle name="Remarque 3 2 5 6 6" xfId="9760" xr:uid="{00000000-0005-0000-0000-00007A900000}"/>
    <cellStyle name="Remarque 3 2 5 6 6 2" xfId="33774" xr:uid="{00000000-0005-0000-0000-00007B900000}"/>
    <cellStyle name="Remarque 3 2 5 6 6 2 2" xfId="57734" xr:uid="{00000000-0005-0000-0000-00007C900000}"/>
    <cellStyle name="Remarque 3 2 5 6 6 3" xfId="21021" xr:uid="{00000000-0005-0000-0000-00007D900000}"/>
    <cellStyle name="Remarque 3 2 5 6 6 4" xfId="44981" xr:uid="{00000000-0005-0000-0000-00007E900000}"/>
    <cellStyle name="Remarque 3 2 5 6 7" xfId="11217" xr:uid="{00000000-0005-0000-0000-00007F900000}"/>
    <cellStyle name="Remarque 3 2 5 6 7 2" xfId="35227" xr:uid="{00000000-0005-0000-0000-000080900000}"/>
    <cellStyle name="Remarque 3 2 5 6 7 2 2" xfId="59187" xr:uid="{00000000-0005-0000-0000-000081900000}"/>
    <cellStyle name="Remarque 3 2 5 6 7 3" xfId="22484" xr:uid="{00000000-0005-0000-0000-000082900000}"/>
    <cellStyle name="Remarque 3 2 5 6 7 4" xfId="46444" xr:uid="{00000000-0005-0000-0000-000083900000}"/>
    <cellStyle name="Remarque 3 2 5 6 8" xfId="11569" xr:uid="{00000000-0005-0000-0000-000084900000}"/>
    <cellStyle name="Remarque 3 2 5 6 8 2" xfId="22836" xr:uid="{00000000-0005-0000-0000-000085900000}"/>
    <cellStyle name="Remarque 3 2 5 6 8 3" xfId="46796" xr:uid="{00000000-0005-0000-0000-000086900000}"/>
    <cellStyle name="Remarque 3 2 5 6 9" xfId="2689" xr:uid="{00000000-0005-0000-0000-000087900000}"/>
    <cellStyle name="Remarque 3 2 5 6 9 2" xfId="26703" xr:uid="{00000000-0005-0000-0000-000088900000}"/>
    <cellStyle name="Remarque 3 2 5 6 9 3" xfId="50663" xr:uid="{00000000-0005-0000-0000-000089900000}"/>
    <cellStyle name="Remarque 3 2 5 7" xfId="1422" xr:uid="{00000000-0005-0000-0000-00008A900000}"/>
    <cellStyle name="Remarque 3 2 5 7 10" xfId="25454" xr:uid="{00000000-0005-0000-0000-00008B900000}"/>
    <cellStyle name="Remarque 3 2 5 7 10 2" xfId="49414" xr:uid="{00000000-0005-0000-0000-00008C900000}"/>
    <cellStyle name="Remarque 3 2 5 7 11" xfId="35789" xr:uid="{00000000-0005-0000-0000-00008D900000}"/>
    <cellStyle name="Remarque 3 2 5 7 11 2" xfId="59749" xr:uid="{00000000-0005-0000-0000-00008E900000}"/>
    <cellStyle name="Remarque 3 2 5 7 12" xfId="14119" xr:uid="{00000000-0005-0000-0000-00008F900000}"/>
    <cellStyle name="Remarque 3 2 5 7 13" xfId="38079" xr:uid="{00000000-0005-0000-0000-000090900000}"/>
    <cellStyle name="Remarque 3 2 5 7 2" xfId="4328" xr:uid="{00000000-0005-0000-0000-000091900000}"/>
    <cellStyle name="Remarque 3 2 5 7 2 2" xfId="28342" xr:uid="{00000000-0005-0000-0000-000092900000}"/>
    <cellStyle name="Remarque 3 2 5 7 2 2 2" xfId="52302" xr:uid="{00000000-0005-0000-0000-000093900000}"/>
    <cellStyle name="Remarque 3 2 5 7 2 3" xfId="15589" xr:uid="{00000000-0005-0000-0000-000094900000}"/>
    <cellStyle name="Remarque 3 2 5 7 2 4" xfId="39549" xr:uid="{00000000-0005-0000-0000-000095900000}"/>
    <cellStyle name="Remarque 3 2 5 7 3" xfId="5762" xr:uid="{00000000-0005-0000-0000-000096900000}"/>
    <cellStyle name="Remarque 3 2 5 7 3 2" xfId="29776" xr:uid="{00000000-0005-0000-0000-000097900000}"/>
    <cellStyle name="Remarque 3 2 5 7 3 2 2" xfId="53736" xr:uid="{00000000-0005-0000-0000-000098900000}"/>
    <cellStyle name="Remarque 3 2 5 7 3 3" xfId="17023" xr:uid="{00000000-0005-0000-0000-000099900000}"/>
    <cellStyle name="Remarque 3 2 5 7 3 4" xfId="40983" xr:uid="{00000000-0005-0000-0000-00009A900000}"/>
    <cellStyle name="Remarque 3 2 5 7 4" xfId="7156" xr:uid="{00000000-0005-0000-0000-00009B900000}"/>
    <cellStyle name="Remarque 3 2 5 7 4 2" xfId="31170" xr:uid="{00000000-0005-0000-0000-00009C900000}"/>
    <cellStyle name="Remarque 3 2 5 7 4 2 2" xfId="55130" xr:uid="{00000000-0005-0000-0000-00009D900000}"/>
    <cellStyle name="Remarque 3 2 5 7 4 3" xfId="18417" xr:uid="{00000000-0005-0000-0000-00009E900000}"/>
    <cellStyle name="Remarque 3 2 5 7 4 4" xfId="42377" xr:uid="{00000000-0005-0000-0000-00009F900000}"/>
    <cellStyle name="Remarque 3 2 5 7 5" xfId="8544" xr:uid="{00000000-0005-0000-0000-0000A0900000}"/>
    <cellStyle name="Remarque 3 2 5 7 5 2" xfId="32558" xr:uid="{00000000-0005-0000-0000-0000A1900000}"/>
    <cellStyle name="Remarque 3 2 5 7 5 2 2" xfId="56518" xr:uid="{00000000-0005-0000-0000-0000A2900000}"/>
    <cellStyle name="Remarque 3 2 5 7 5 3" xfId="19805" xr:uid="{00000000-0005-0000-0000-0000A3900000}"/>
    <cellStyle name="Remarque 3 2 5 7 5 4" xfId="43765" xr:uid="{00000000-0005-0000-0000-0000A4900000}"/>
    <cellStyle name="Remarque 3 2 5 7 6" xfId="9929" xr:uid="{00000000-0005-0000-0000-0000A5900000}"/>
    <cellStyle name="Remarque 3 2 5 7 6 2" xfId="33943" xr:uid="{00000000-0005-0000-0000-0000A6900000}"/>
    <cellStyle name="Remarque 3 2 5 7 6 2 2" xfId="57903" xr:uid="{00000000-0005-0000-0000-0000A7900000}"/>
    <cellStyle name="Remarque 3 2 5 7 6 3" xfId="21190" xr:uid="{00000000-0005-0000-0000-0000A8900000}"/>
    <cellStyle name="Remarque 3 2 5 7 6 4" xfId="45150" xr:uid="{00000000-0005-0000-0000-0000A9900000}"/>
    <cellStyle name="Remarque 3 2 5 7 7" xfId="11386" xr:uid="{00000000-0005-0000-0000-0000AA900000}"/>
    <cellStyle name="Remarque 3 2 5 7 7 2" xfId="35396" xr:uid="{00000000-0005-0000-0000-0000AB900000}"/>
    <cellStyle name="Remarque 3 2 5 7 7 2 2" xfId="59356" xr:uid="{00000000-0005-0000-0000-0000AC900000}"/>
    <cellStyle name="Remarque 3 2 5 7 7 3" xfId="22653" xr:uid="{00000000-0005-0000-0000-0000AD900000}"/>
    <cellStyle name="Remarque 3 2 5 7 7 4" xfId="46613" xr:uid="{00000000-0005-0000-0000-0000AE900000}"/>
    <cellStyle name="Remarque 3 2 5 7 8" xfId="11775" xr:uid="{00000000-0005-0000-0000-0000AF900000}"/>
    <cellStyle name="Remarque 3 2 5 7 8 2" xfId="23048" xr:uid="{00000000-0005-0000-0000-0000B0900000}"/>
    <cellStyle name="Remarque 3 2 5 7 8 3" xfId="47008" xr:uid="{00000000-0005-0000-0000-0000B1900000}"/>
    <cellStyle name="Remarque 3 2 5 7 9" xfId="2858" xr:uid="{00000000-0005-0000-0000-0000B2900000}"/>
    <cellStyle name="Remarque 3 2 5 7 9 2" xfId="26872" xr:uid="{00000000-0005-0000-0000-0000B3900000}"/>
    <cellStyle name="Remarque 3 2 5 7 9 3" xfId="50832" xr:uid="{00000000-0005-0000-0000-0000B4900000}"/>
    <cellStyle name="Remarque 3 2 5 8" xfId="3277" xr:uid="{00000000-0005-0000-0000-0000B5900000}"/>
    <cellStyle name="Remarque 3 2 5 8 2" xfId="27291" xr:uid="{00000000-0005-0000-0000-0000B6900000}"/>
    <cellStyle name="Remarque 3 2 5 8 2 2" xfId="51251" xr:uid="{00000000-0005-0000-0000-0000B7900000}"/>
    <cellStyle name="Remarque 3 2 5 8 3" xfId="14538" xr:uid="{00000000-0005-0000-0000-0000B8900000}"/>
    <cellStyle name="Remarque 3 2 5 8 4" xfId="38498" xr:uid="{00000000-0005-0000-0000-0000B9900000}"/>
    <cellStyle name="Remarque 3 2 5 9" xfId="4711" xr:uid="{00000000-0005-0000-0000-0000BA900000}"/>
    <cellStyle name="Remarque 3 2 5 9 2" xfId="28725" xr:uid="{00000000-0005-0000-0000-0000BB900000}"/>
    <cellStyle name="Remarque 3 2 5 9 2 2" xfId="52685" xr:uid="{00000000-0005-0000-0000-0000BC900000}"/>
    <cellStyle name="Remarque 3 2 5 9 3" xfId="15972" xr:uid="{00000000-0005-0000-0000-0000BD900000}"/>
    <cellStyle name="Remarque 3 2 5 9 4" xfId="39932" xr:uid="{00000000-0005-0000-0000-0000BE900000}"/>
    <cellStyle name="Remarque 3 2 6" xfId="316" xr:uid="{00000000-0005-0000-0000-0000BF900000}"/>
    <cellStyle name="Remarque 3 2 6 10" xfId="24348" xr:uid="{00000000-0005-0000-0000-0000C0900000}"/>
    <cellStyle name="Remarque 3 2 6 10 2" xfId="48308" xr:uid="{00000000-0005-0000-0000-0000C1900000}"/>
    <cellStyle name="Remarque 3 2 6 11" xfId="35663" xr:uid="{00000000-0005-0000-0000-0000C2900000}"/>
    <cellStyle name="Remarque 3 2 6 11 2" xfId="59623" xr:uid="{00000000-0005-0000-0000-0000C3900000}"/>
    <cellStyle name="Remarque 3 2 6 12" xfId="13013" xr:uid="{00000000-0005-0000-0000-0000C4900000}"/>
    <cellStyle name="Remarque 3 2 6 13" xfId="36973" xr:uid="{00000000-0005-0000-0000-0000C5900000}"/>
    <cellStyle name="Remarque 3 2 6 2" xfId="3222" xr:uid="{00000000-0005-0000-0000-0000C6900000}"/>
    <cellStyle name="Remarque 3 2 6 2 2" xfId="27236" xr:uid="{00000000-0005-0000-0000-0000C7900000}"/>
    <cellStyle name="Remarque 3 2 6 2 2 2" xfId="51196" xr:uid="{00000000-0005-0000-0000-0000C8900000}"/>
    <cellStyle name="Remarque 3 2 6 2 3" xfId="14483" xr:uid="{00000000-0005-0000-0000-0000C9900000}"/>
    <cellStyle name="Remarque 3 2 6 2 4" xfId="38443" xr:uid="{00000000-0005-0000-0000-0000CA900000}"/>
    <cellStyle name="Remarque 3 2 6 3" xfId="4656" xr:uid="{00000000-0005-0000-0000-0000CB900000}"/>
    <cellStyle name="Remarque 3 2 6 3 2" xfId="28670" xr:uid="{00000000-0005-0000-0000-0000CC900000}"/>
    <cellStyle name="Remarque 3 2 6 3 2 2" xfId="52630" xr:uid="{00000000-0005-0000-0000-0000CD900000}"/>
    <cellStyle name="Remarque 3 2 6 3 3" xfId="15917" xr:uid="{00000000-0005-0000-0000-0000CE900000}"/>
    <cellStyle name="Remarque 3 2 6 3 4" xfId="39877" xr:uid="{00000000-0005-0000-0000-0000CF900000}"/>
    <cellStyle name="Remarque 3 2 6 4" xfId="6050" xr:uid="{00000000-0005-0000-0000-0000D0900000}"/>
    <cellStyle name="Remarque 3 2 6 4 2" xfId="30064" xr:uid="{00000000-0005-0000-0000-0000D1900000}"/>
    <cellStyle name="Remarque 3 2 6 4 2 2" xfId="54024" xr:uid="{00000000-0005-0000-0000-0000D2900000}"/>
    <cellStyle name="Remarque 3 2 6 4 3" xfId="17311" xr:uid="{00000000-0005-0000-0000-0000D3900000}"/>
    <cellStyle name="Remarque 3 2 6 4 4" xfId="41271" xr:uid="{00000000-0005-0000-0000-0000D4900000}"/>
    <cellStyle name="Remarque 3 2 6 5" xfId="7438" xr:uid="{00000000-0005-0000-0000-0000D5900000}"/>
    <cellStyle name="Remarque 3 2 6 5 2" xfId="31452" xr:uid="{00000000-0005-0000-0000-0000D6900000}"/>
    <cellStyle name="Remarque 3 2 6 5 2 2" xfId="55412" xr:uid="{00000000-0005-0000-0000-0000D7900000}"/>
    <cellStyle name="Remarque 3 2 6 5 3" xfId="18699" xr:uid="{00000000-0005-0000-0000-0000D8900000}"/>
    <cellStyle name="Remarque 3 2 6 5 4" xfId="42659" xr:uid="{00000000-0005-0000-0000-0000D9900000}"/>
    <cellStyle name="Remarque 3 2 6 6" xfId="8823" xr:uid="{00000000-0005-0000-0000-0000DA900000}"/>
    <cellStyle name="Remarque 3 2 6 6 2" xfId="32837" xr:uid="{00000000-0005-0000-0000-0000DB900000}"/>
    <cellStyle name="Remarque 3 2 6 6 2 2" xfId="56797" xr:uid="{00000000-0005-0000-0000-0000DC900000}"/>
    <cellStyle name="Remarque 3 2 6 6 3" xfId="20084" xr:uid="{00000000-0005-0000-0000-0000DD900000}"/>
    <cellStyle name="Remarque 3 2 6 6 4" xfId="44044" xr:uid="{00000000-0005-0000-0000-0000DE900000}"/>
    <cellStyle name="Remarque 3 2 6 7" xfId="10280" xr:uid="{00000000-0005-0000-0000-0000DF900000}"/>
    <cellStyle name="Remarque 3 2 6 7 2" xfId="34290" xr:uid="{00000000-0005-0000-0000-0000E0900000}"/>
    <cellStyle name="Remarque 3 2 6 7 2 2" xfId="58250" xr:uid="{00000000-0005-0000-0000-0000E1900000}"/>
    <cellStyle name="Remarque 3 2 6 7 3" xfId="21547" xr:uid="{00000000-0005-0000-0000-0000E2900000}"/>
    <cellStyle name="Remarque 3 2 6 7 4" xfId="45507" xr:uid="{00000000-0005-0000-0000-0000E3900000}"/>
    <cellStyle name="Remarque 3 2 6 8" xfId="12791" xr:uid="{00000000-0005-0000-0000-0000E4900000}"/>
    <cellStyle name="Remarque 3 2 6 8 2" xfId="24101" xr:uid="{00000000-0005-0000-0000-0000E5900000}"/>
    <cellStyle name="Remarque 3 2 6 8 3" xfId="48061" xr:uid="{00000000-0005-0000-0000-0000E6900000}"/>
    <cellStyle name="Remarque 3 2 6 9" xfId="1752" xr:uid="{00000000-0005-0000-0000-0000E7900000}"/>
    <cellStyle name="Remarque 3 2 6 9 2" xfId="25766" xr:uid="{00000000-0005-0000-0000-0000E8900000}"/>
    <cellStyle name="Remarque 3 2 6 9 3" xfId="49726" xr:uid="{00000000-0005-0000-0000-0000E9900000}"/>
    <cellStyle name="Remarque 3 2 7" xfId="617" xr:uid="{00000000-0005-0000-0000-0000EA900000}"/>
    <cellStyle name="Remarque 3 2 7 10" xfId="24649" xr:uid="{00000000-0005-0000-0000-0000EB900000}"/>
    <cellStyle name="Remarque 3 2 7 10 2" xfId="48609" xr:uid="{00000000-0005-0000-0000-0000EC900000}"/>
    <cellStyle name="Remarque 3 2 7 11" xfId="36290" xr:uid="{00000000-0005-0000-0000-0000ED900000}"/>
    <cellStyle name="Remarque 3 2 7 11 2" xfId="60250" xr:uid="{00000000-0005-0000-0000-0000EE900000}"/>
    <cellStyle name="Remarque 3 2 7 12" xfId="13314" xr:uid="{00000000-0005-0000-0000-0000EF900000}"/>
    <cellStyle name="Remarque 3 2 7 13" xfId="37274" xr:uid="{00000000-0005-0000-0000-0000F0900000}"/>
    <cellStyle name="Remarque 3 2 7 2" xfId="3523" xr:uid="{00000000-0005-0000-0000-0000F1900000}"/>
    <cellStyle name="Remarque 3 2 7 2 2" xfId="27537" xr:uid="{00000000-0005-0000-0000-0000F2900000}"/>
    <cellStyle name="Remarque 3 2 7 2 2 2" xfId="51497" xr:uid="{00000000-0005-0000-0000-0000F3900000}"/>
    <cellStyle name="Remarque 3 2 7 2 3" xfId="14784" xr:uid="{00000000-0005-0000-0000-0000F4900000}"/>
    <cellStyle name="Remarque 3 2 7 2 4" xfId="38744" xr:uid="{00000000-0005-0000-0000-0000F5900000}"/>
    <cellStyle name="Remarque 3 2 7 3" xfId="4957" xr:uid="{00000000-0005-0000-0000-0000F6900000}"/>
    <cellStyle name="Remarque 3 2 7 3 2" xfId="28971" xr:uid="{00000000-0005-0000-0000-0000F7900000}"/>
    <cellStyle name="Remarque 3 2 7 3 2 2" xfId="52931" xr:uid="{00000000-0005-0000-0000-0000F8900000}"/>
    <cellStyle name="Remarque 3 2 7 3 3" xfId="16218" xr:uid="{00000000-0005-0000-0000-0000F9900000}"/>
    <cellStyle name="Remarque 3 2 7 3 4" xfId="40178" xr:uid="{00000000-0005-0000-0000-0000FA900000}"/>
    <cellStyle name="Remarque 3 2 7 4" xfId="6351" xr:uid="{00000000-0005-0000-0000-0000FB900000}"/>
    <cellStyle name="Remarque 3 2 7 4 2" xfId="30365" xr:uid="{00000000-0005-0000-0000-0000FC900000}"/>
    <cellStyle name="Remarque 3 2 7 4 2 2" xfId="54325" xr:uid="{00000000-0005-0000-0000-0000FD900000}"/>
    <cellStyle name="Remarque 3 2 7 4 3" xfId="17612" xr:uid="{00000000-0005-0000-0000-0000FE900000}"/>
    <cellStyle name="Remarque 3 2 7 4 4" xfId="41572" xr:uid="{00000000-0005-0000-0000-0000FF900000}"/>
    <cellStyle name="Remarque 3 2 7 5" xfId="7739" xr:uid="{00000000-0005-0000-0000-000000910000}"/>
    <cellStyle name="Remarque 3 2 7 5 2" xfId="31753" xr:uid="{00000000-0005-0000-0000-000001910000}"/>
    <cellStyle name="Remarque 3 2 7 5 2 2" xfId="55713" xr:uid="{00000000-0005-0000-0000-000002910000}"/>
    <cellStyle name="Remarque 3 2 7 5 3" xfId="19000" xr:uid="{00000000-0005-0000-0000-000003910000}"/>
    <cellStyle name="Remarque 3 2 7 5 4" xfId="42960" xr:uid="{00000000-0005-0000-0000-000004910000}"/>
    <cellStyle name="Remarque 3 2 7 6" xfId="9124" xr:uid="{00000000-0005-0000-0000-000005910000}"/>
    <cellStyle name="Remarque 3 2 7 6 2" xfId="33138" xr:uid="{00000000-0005-0000-0000-000006910000}"/>
    <cellStyle name="Remarque 3 2 7 6 2 2" xfId="57098" xr:uid="{00000000-0005-0000-0000-000007910000}"/>
    <cellStyle name="Remarque 3 2 7 6 3" xfId="20385" xr:uid="{00000000-0005-0000-0000-000008910000}"/>
    <cellStyle name="Remarque 3 2 7 6 4" xfId="44345" xr:uid="{00000000-0005-0000-0000-000009910000}"/>
    <cellStyle name="Remarque 3 2 7 7" xfId="10581" xr:uid="{00000000-0005-0000-0000-00000A910000}"/>
    <cellStyle name="Remarque 3 2 7 7 2" xfId="34591" xr:uid="{00000000-0005-0000-0000-00000B910000}"/>
    <cellStyle name="Remarque 3 2 7 7 2 2" xfId="58551" xr:uid="{00000000-0005-0000-0000-00000C910000}"/>
    <cellStyle name="Remarque 3 2 7 7 3" xfId="21848" xr:uid="{00000000-0005-0000-0000-00000D910000}"/>
    <cellStyle name="Remarque 3 2 7 7 4" xfId="45808" xr:uid="{00000000-0005-0000-0000-00000E910000}"/>
    <cellStyle name="Remarque 3 2 7 8" xfId="12169" xr:uid="{00000000-0005-0000-0000-00000F910000}"/>
    <cellStyle name="Remarque 3 2 7 8 2" xfId="23452" xr:uid="{00000000-0005-0000-0000-000010910000}"/>
    <cellStyle name="Remarque 3 2 7 8 3" xfId="47412" xr:uid="{00000000-0005-0000-0000-000011910000}"/>
    <cellStyle name="Remarque 3 2 7 9" xfId="2053" xr:uid="{00000000-0005-0000-0000-000012910000}"/>
    <cellStyle name="Remarque 3 2 7 9 2" xfId="26067" xr:uid="{00000000-0005-0000-0000-000013910000}"/>
    <cellStyle name="Remarque 3 2 7 9 3" xfId="50027" xr:uid="{00000000-0005-0000-0000-000014910000}"/>
    <cellStyle name="Remarque 3 2 8" xfId="811" xr:uid="{00000000-0005-0000-0000-000015910000}"/>
    <cellStyle name="Remarque 3 2 8 10" xfId="24843" xr:uid="{00000000-0005-0000-0000-000016910000}"/>
    <cellStyle name="Remarque 3 2 8 10 2" xfId="48803" xr:uid="{00000000-0005-0000-0000-000017910000}"/>
    <cellStyle name="Remarque 3 2 8 11" xfId="36691" xr:uid="{00000000-0005-0000-0000-000018910000}"/>
    <cellStyle name="Remarque 3 2 8 11 2" xfId="60651" xr:uid="{00000000-0005-0000-0000-000019910000}"/>
    <cellStyle name="Remarque 3 2 8 12" xfId="13508" xr:uid="{00000000-0005-0000-0000-00001A910000}"/>
    <cellStyle name="Remarque 3 2 8 13" xfId="37468" xr:uid="{00000000-0005-0000-0000-00001B910000}"/>
    <cellStyle name="Remarque 3 2 8 2" xfId="3717" xr:uid="{00000000-0005-0000-0000-00001C910000}"/>
    <cellStyle name="Remarque 3 2 8 2 2" xfId="27731" xr:uid="{00000000-0005-0000-0000-00001D910000}"/>
    <cellStyle name="Remarque 3 2 8 2 2 2" xfId="51691" xr:uid="{00000000-0005-0000-0000-00001E910000}"/>
    <cellStyle name="Remarque 3 2 8 2 3" xfId="14978" xr:uid="{00000000-0005-0000-0000-00001F910000}"/>
    <cellStyle name="Remarque 3 2 8 2 4" xfId="38938" xr:uid="{00000000-0005-0000-0000-000020910000}"/>
    <cellStyle name="Remarque 3 2 8 3" xfId="5151" xr:uid="{00000000-0005-0000-0000-000021910000}"/>
    <cellStyle name="Remarque 3 2 8 3 2" xfId="29165" xr:uid="{00000000-0005-0000-0000-000022910000}"/>
    <cellStyle name="Remarque 3 2 8 3 2 2" xfId="53125" xr:uid="{00000000-0005-0000-0000-000023910000}"/>
    <cellStyle name="Remarque 3 2 8 3 3" xfId="16412" xr:uid="{00000000-0005-0000-0000-000024910000}"/>
    <cellStyle name="Remarque 3 2 8 3 4" xfId="40372" xr:uid="{00000000-0005-0000-0000-000025910000}"/>
    <cellStyle name="Remarque 3 2 8 4" xfId="6545" xr:uid="{00000000-0005-0000-0000-000026910000}"/>
    <cellStyle name="Remarque 3 2 8 4 2" xfId="30559" xr:uid="{00000000-0005-0000-0000-000027910000}"/>
    <cellStyle name="Remarque 3 2 8 4 2 2" xfId="54519" xr:uid="{00000000-0005-0000-0000-000028910000}"/>
    <cellStyle name="Remarque 3 2 8 4 3" xfId="17806" xr:uid="{00000000-0005-0000-0000-000029910000}"/>
    <cellStyle name="Remarque 3 2 8 4 4" xfId="41766" xr:uid="{00000000-0005-0000-0000-00002A910000}"/>
    <cellStyle name="Remarque 3 2 8 5" xfId="7933" xr:uid="{00000000-0005-0000-0000-00002B910000}"/>
    <cellStyle name="Remarque 3 2 8 5 2" xfId="31947" xr:uid="{00000000-0005-0000-0000-00002C910000}"/>
    <cellStyle name="Remarque 3 2 8 5 2 2" xfId="55907" xr:uid="{00000000-0005-0000-0000-00002D910000}"/>
    <cellStyle name="Remarque 3 2 8 5 3" xfId="19194" xr:uid="{00000000-0005-0000-0000-00002E910000}"/>
    <cellStyle name="Remarque 3 2 8 5 4" xfId="43154" xr:uid="{00000000-0005-0000-0000-00002F910000}"/>
    <cellStyle name="Remarque 3 2 8 6" xfId="9318" xr:uid="{00000000-0005-0000-0000-000030910000}"/>
    <cellStyle name="Remarque 3 2 8 6 2" xfId="33332" xr:uid="{00000000-0005-0000-0000-000031910000}"/>
    <cellStyle name="Remarque 3 2 8 6 2 2" xfId="57292" xr:uid="{00000000-0005-0000-0000-000032910000}"/>
    <cellStyle name="Remarque 3 2 8 6 3" xfId="20579" xr:uid="{00000000-0005-0000-0000-000033910000}"/>
    <cellStyle name="Remarque 3 2 8 6 4" xfId="44539" xr:uid="{00000000-0005-0000-0000-000034910000}"/>
    <cellStyle name="Remarque 3 2 8 7" xfId="10775" xr:uid="{00000000-0005-0000-0000-000035910000}"/>
    <cellStyle name="Remarque 3 2 8 7 2" xfId="34785" xr:uid="{00000000-0005-0000-0000-000036910000}"/>
    <cellStyle name="Remarque 3 2 8 7 2 2" xfId="58745" xr:uid="{00000000-0005-0000-0000-000037910000}"/>
    <cellStyle name="Remarque 3 2 8 7 3" xfId="22042" xr:uid="{00000000-0005-0000-0000-000038910000}"/>
    <cellStyle name="Remarque 3 2 8 7 4" xfId="46002" xr:uid="{00000000-0005-0000-0000-000039910000}"/>
    <cellStyle name="Remarque 3 2 8 8" xfId="12858" xr:uid="{00000000-0005-0000-0000-00003A910000}"/>
    <cellStyle name="Remarque 3 2 8 8 2" xfId="24170" xr:uid="{00000000-0005-0000-0000-00003B910000}"/>
    <cellStyle name="Remarque 3 2 8 8 3" xfId="48130" xr:uid="{00000000-0005-0000-0000-00003C910000}"/>
    <cellStyle name="Remarque 3 2 8 9" xfId="2247" xr:uid="{00000000-0005-0000-0000-00003D910000}"/>
    <cellStyle name="Remarque 3 2 8 9 2" xfId="26261" xr:uid="{00000000-0005-0000-0000-00003E910000}"/>
    <cellStyle name="Remarque 3 2 8 9 3" xfId="50221" xr:uid="{00000000-0005-0000-0000-00003F910000}"/>
    <cellStyle name="Remarque 3 2 9" xfId="1005" xr:uid="{00000000-0005-0000-0000-000040910000}"/>
    <cellStyle name="Remarque 3 2 9 10" xfId="25037" xr:uid="{00000000-0005-0000-0000-000041910000}"/>
    <cellStyle name="Remarque 3 2 9 10 2" xfId="48997" xr:uid="{00000000-0005-0000-0000-000042910000}"/>
    <cellStyle name="Remarque 3 2 9 11" xfId="36210" xr:uid="{00000000-0005-0000-0000-000043910000}"/>
    <cellStyle name="Remarque 3 2 9 11 2" xfId="60170" xr:uid="{00000000-0005-0000-0000-000044910000}"/>
    <cellStyle name="Remarque 3 2 9 12" xfId="13702" xr:uid="{00000000-0005-0000-0000-000045910000}"/>
    <cellStyle name="Remarque 3 2 9 13" xfId="37662" xr:uid="{00000000-0005-0000-0000-000046910000}"/>
    <cellStyle name="Remarque 3 2 9 2" xfId="3911" xr:uid="{00000000-0005-0000-0000-000047910000}"/>
    <cellStyle name="Remarque 3 2 9 2 2" xfId="27925" xr:uid="{00000000-0005-0000-0000-000048910000}"/>
    <cellStyle name="Remarque 3 2 9 2 2 2" xfId="51885" xr:uid="{00000000-0005-0000-0000-000049910000}"/>
    <cellStyle name="Remarque 3 2 9 2 3" xfId="15172" xr:uid="{00000000-0005-0000-0000-00004A910000}"/>
    <cellStyle name="Remarque 3 2 9 2 4" xfId="39132" xr:uid="{00000000-0005-0000-0000-00004B910000}"/>
    <cellStyle name="Remarque 3 2 9 3" xfId="5345" xr:uid="{00000000-0005-0000-0000-00004C910000}"/>
    <cellStyle name="Remarque 3 2 9 3 2" xfId="29359" xr:uid="{00000000-0005-0000-0000-00004D910000}"/>
    <cellStyle name="Remarque 3 2 9 3 2 2" xfId="53319" xr:uid="{00000000-0005-0000-0000-00004E910000}"/>
    <cellStyle name="Remarque 3 2 9 3 3" xfId="16606" xr:uid="{00000000-0005-0000-0000-00004F910000}"/>
    <cellStyle name="Remarque 3 2 9 3 4" xfId="40566" xr:uid="{00000000-0005-0000-0000-000050910000}"/>
    <cellStyle name="Remarque 3 2 9 4" xfId="6739" xr:uid="{00000000-0005-0000-0000-000051910000}"/>
    <cellStyle name="Remarque 3 2 9 4 2" xfId="30753" xr:uid="{00000000-0005-0000-0000-000052910000}"/>
    <cellStyle name="Remarque 3 2 9 4 2 2" xfId="54713" xr:uid="{00000000-0005-0000-0000-000053910000}"/>
    <cellStyle name="Remarque 3 2 9 4 3" xfId="18000" xr:uid="{00000000-0005-0000-0000-000054910000}"/>
    <cellStyle name="Remarque 3 2 9 4 4" xfId="41960" xr:uid="{00000000-0005-0000-0000-000055910000}"/>
    <cellStyle name="Remarque 3 2 9 5" xfId="8127" xr:uid="{00000000-0005-0000-0000-000056910000}"/>
    <cellStyle name="Remarque 3 2 9 5 2" xfId="32141" xr:uid="{00000000-0005-0000-0000-000057910000}"/>
    <cellStyle name="Remarque 3 2 9 5 2 2" xfId="56101" xr:uid="{00000000-0005-0000-0000-000058910000}"/>
    <cellStyle name="Remarque 3 2 9 5 3" xfId="19388" xr:uid="{00000000-0005-0000-0000-000059910000}"/>
    <cellStyle name="Remarque 3 2 9 5 4" xfId="43348" xr:uid="{00000000-0005-0000-0000-00005A910000}"/>
    <cellStyle name="Remarque 3 2 9 6" xfId="9512" xr:uid="{00000000-0005-0000-0000-00005B910000}"/>
    <cellStyle name="Remarque 3 2 9 6 2" xfId="33526" xr:uid="{00000000-0005-0000-0000-00005C910000}"/>
    <cellStyle name="Remarque 3 2 9 6 2 2" xfId="57486" xr:uid="{00000000-0005-0000-0000-00005D910000}"/>
    <cellStyle name="Remarque 3 2 9 6 3" xfId="20773" xr:uid="{00000000-0005-0000-0000-00005E910000}"/>
    <cellStyle name="Remarque 3 2 9 6 4" xfId="44733" xr:uid="{00000000-0005-0000-0000-00005F910000}"/>
    <cellStyle name="Remarque 3 2 9 7" xfId="10969" xr:uid="{00000000-0005-0000-0000-000060910000}"/>
    <cellStyle name="Remarque 3 2 9 7 2" xfId="34979" xr:uid="{00000000-0005-0000-0000-000061910000}"/>
    <cellStyle name="Remarque 3 2 9 7 2 2" xfId="58939" xr:uid="{00000000-0005-0000-0000-000062910000}"/>
    <cellStyle name="Remarque 3 2 9 7 3" xfId="22236" xr:uid="{00000000-0005-0000-0000-000063910000}"/>
    <cellStyle name="Remarque 3 2 9 7 4" xfId="46196" xr:uid="{00000000-0005-0000-0000-000064910000}"/>
    <cellStyle name="Remarque 3 2 9 8" xfId="11625" xr:uid="{00000000-0005-0000-0000-000065910000}"/>
    <cellStyle name="Remarque 3 2 9 8 2" xfId="22893" xr:uid="{00000000-0005-0000-0000-000066910000}"/>
    <cellStyle name="Remarque 3 2 9 8 3" xfId="46853" xr:uid="{00000000-0005-0000-0000-000067910000}"/>
    <cellStyle name="Remarque 3 2 9 9" xfId="2441" xr:uid="{00000000-0005-0000-0000-000068910000}"/>
    <cellStyle name="Remarque 3 2 9 9 2" xfId="26455" xr:uid="{00000000-0005-0000-0000-000069910000}"/>
    <cellStyle name="Remarque 3 2 9 9 3" xfId="50415" xr:uid="{00000000-0005-0000-0000-00006A910000}"/>
    <cellStyle name="Remarque 3 3" xfId="39" xr:uid="{00000000-0005-0000-0000-00006B910000}"/>
    <cellStyle name="Remarque 3 3 10" xfId="1001" xr:uid="{00000000-0005-0000-0000-00006C910000}"/>
    <cellStyle name="Remarque 3 3 10 10" xfId="25033" xr:uid="{00000000-0005-0000-0000-00006D910000}"/>
    <cellStyle name="Remarque 3 3 10 10 2" xfId="48993" xr:uid="{00000000-0005-0000-0000-00006E910000}"/>
    <cellStyle name="Remarque 3 3 10 11" xfId="36204" xr:uid="{00000000-0005-0000-0000-00006F910000}"/>
    <cellStyle name="Remarque 3 3 10 11 2" xfId="60164" xr:uid="{00000000-0005-0000-0000-000070910000}"/>
    <cellStyle name="Remarque 3 3 10 12" xfId="13698" xr:uid="{00000000-0005-0000-0000-000071910000}"/>
    <cellStyle name="Remarque 3 3 10 13" xfId="37658" xr:uid="{00000000-0005-0000-0000-000072910000}"/>
    <cellStyle name="Remarque 3 3 10 2" xfId="3907" xr:uid="{00000000-0005-0000-0000-000073910000}"/>
    <cellStyle name="Remarque 3 3 10 2 2" xfId="27921" xr:uid="{00000000-0005-0000-0000-000074910000}"/>
    <cellStyle name="Remarque 3 3 10 2 2 2" xfId="51881" xr:uid="{00000000-0005-0000-0000-000075910000}"/>
    <cellStyle name="Remarque 3 3 10 2 3" xfId="15168" xr:uid="{00000000-0005-0000-0000-000076910000}"/>
    <cellStyle name="Remarque 3 3 10 2 4" xfId="39128" xr:uid="{00000000-0005-0000-0000-000077910000}"/>
    <cellStyle name="Remarque 3 3 10 3" xfId="5341" xr:uid="{00000000-0005-0000-0000-000078910000}"/>
    <cellStyle name="Remarque 3 3 10 3 2" xfId="29355" xr:uid="{00000000-0005-0000-0000-000079910000}"/>
    <cellStyle name="Remarque 3 3 10 3 2 2" xfId="53315" xr:uid="{00000000-0005-0000-0000-00007A910000}"/>
    <cellStyle name="Remarque 3 3 10 3 3" xfId="16602" xr:uid="{00000000-0005-0000-0000-00007B910000}"/>
    <cellStyle name="Remarque 3 3 10 3 4" xfId="40562" xr:uid="{00000000-0005-0000-0000-00007C910000}"/>
    <cellStyle name="Remarque 3 3 10 4" xfId="6735" xr:uid="{00000000-0005-0000-0000-00007D910000}"/>
    <cellStyle name="Remarque 3 3 10 4 2" xfId="30749" xr:uid="{00000000-0005-0000-0000-00007E910000}"/>
    <cellStyle name="Remarque 3 3 10 4 2 2" xfId="54709" xr:uid="{00000000-0005-0000-0000-00007F910000}"/>
    <cellStyle name="Remarque 3 3 10 4 3" xfId="17996" xr:uid="{00000000-0005-0000-0000-000080910000}"/>
    <cellStyle name="Remarque 3 3 10 4 4" xfId="41956" xr:uid="{00000000-0005-0000-0000-000081910000}"/>
    <cellStyle name="Remarque 3 3 10 5" xfId="8123" xr:uid="{00000000-0005-0000-0000-000082910000}"/>
    <cellStyle name="Remarque 3 3 10 5 2" xfId="32137" xr:uid="{00000000-0005-0000-0000-000083910000}"/>
    <cellStyle name="Remarque 3 3 10 5 2 2" xfId="56097" xr:uid="{00000000-0005-0000-0000-000084910000}"/>
    <cellStyle name="Remarque 3 3 10 5 3" xfId="19384" xr:uid="{00000000-0005-0000-0000-000085910000}"/>
    <cellStyle name="Remarque 3 3 10 5 4" xfId="43344" xr:uid="{00000000-0005-0000-0000-000086910000}"/>
    <cellStyle name="Remarque 3 3 10 6" xfId="9508" xr:uid="{00000000-0005-0000-0000-000087910000}"/>
    <cellStyle name="Remarque 3 3 10 6 2" xfId="33522" xr:uid="{00000000-0005-0000-0000-000088910000}"/>
    <cellStyle name="Remarque 3 3 10 6 2 2" xfId="57482" xr:uid="{00000000-0005-0000-0000-000089910000}"/>
    <cellStyle name="Remarque 3 3 10 6 3" xfId="20769" xr:uid="{00000000-0005-0000-0000-00008A910000}"/>
    <cellStyle name="Remarque 3 3 10 6 4" xfId="44729" xr:uid="{00000000-0005-0000-0000-00008B910000}"/>
    <cellStyle name="Remarque 3 3 10 7" xfId="10965" xr:uid="{00000000-0005-0000-0000-00008C910000}"/>
    <cellStyle name="Remarque 3 3 10 7 2" xfId="34975" xr:uid="{00000000-0005-0000-0000-00008D910000}"/>
    <cellStyle name="Remarque 3 3 10 7 2 2" xfId="58935" xr:uid="{00000000-0005-0000-0000-00008E910000}"/>
    <cellStyle name="Remarque 3 3 10 7 3" xfId="22232" xr:uid="{00000000-0005-0000-0000-00008F910000}"/>
    <cellStyle name="Remarque 3 3 10 7 4" xfId="46192" xr:uid="{00000000-0005-0000-0000-000090910000}"/>
    <cellStyle name="Remarque 3 3 10 8" xfId="12289" xr:uid="{00000000-0005-0000-0000-000091910000}"/>
    <cellStyle name="Remarque 3 3 10 8 2" xfId="23577" xr:uid="{00000000-0005-0000-0000-000092910000}"/>
    <cellStyle name="Remarque 3 3 10 8 3" xfId="47537" xr:uid="{00000000-0005-0000-0000-000093910000}"/>
    <cellStyle name="Remarque 3 3 10 9" xfId="2437" xr:uid="{00000000-0005-0000-0000-000094910000}"/>
    <cellStyle name="Remarque 3 3 10 9 2" xfId="26451" xr:uid="{00000000-0005-0000-0000-000095910000}"/>
    <cellStyle name="Remarque 3 3 10 9 3" xfId="50411" xr:uid="{00000000-0005-0000-0000-000096910000}"/>
    <cellStyle name="Remarque 3 3 11" xfId="1554" xr:uid="{00000000-0005-0000-0000-000097910000}"/>
    <cellStyle name="Remarque 3 3 11 10" xfId="25586" xr:uid="{00000000-0005-0000-0000-000098910000}"/>
    <cellStyle name="Remarque 3 3 11 10 2" xfId="49546" xr:uid="{00000000-0005-0000-0000-000099910000}"/>
    <cellStyle name="Remarque 3 3 11 11" xfId="35855" xr:uid="{00000000-0005-0000-0000-00009A910000}"/>
    <cellStyle name="Remarque 3 3 11 11 2" xfId="59815" xr:uid="{00000000-0005-0000-0000-00009B910000}"/>
    <cellStyle name="Remarque 3 3 11 12" xfId="14251" xr:uid="{00000000-0005-0000-0000-00009C910000}"/>
    <cellStyle name="Remarque 3 3 11 13" xfId="38211" xr:uid="{00000000-0005-0000-0000-00009D910000}"/>
    <cellStyle name="Remarque 3 3 11 2" xfId="4460" xr:uid="{00000000-0005-0000-0000-00009E910000}"/>
    <cellStyle name="Remarque 3 3 11 2 2" xfId="28474" xr:uid="{00000000-0005-0000-0000-00009F910000}"/>
    <cellStyle name="Remarque 3 3 11 2 2 2" xfId="52434" xr:uid="{00000000-0005-0000-0000-0000A0910000}"/>
    <cellStyle name="Remarque 3 3 11 2 3" xfId="15721" xr:uid="{00000000-0005-0000-0000-0000A1910000}"/>
    <cellStyle name="Remarque 3 3 11 2 4" xfId="39681" xr:uid="{00000000-0005-0000-0000-0000A2910000}"/>
    <cellStyle name="Remarque 3 3 11 3" xfId="5894" xr:uid="{00000000-0005-0000-0000-0000A3910000}"/>
    <cellStyle name="Remarque 3 3 11 3 2" xfId="29908" xr:uid="{00000000-0005-0000-0000-0000A4910000}"/>
    <cellStyle name="Remarque 3 3 11 3 2 2" xfId="53868" xr:uid="{00000000-0005-0000-0000-0000A5910000}"/>
    <cellStyle name="Remarque 3 3 11 3 3" xfId="17155" xr:uid="{00000000-0005-0000-0000-0000A6910000}"/>
    <cellStyle name="Remarque 3 3 11 3 4" xfId="41115" xr:uid="{00000000-0005-0000-0000-0000A7910000}"/>
    <cellStyle name="Remarque 3 3 11 4" xfId="7288" xr:uid="{00000000-0005-0000-0000-0000A8910000}"/>
    <cellStyle name="Remarque 3 3 11 4 2" xfId="31302" xr:uid="{00000000-0005-0000-0000-0000A9910000}"/>
    <cellStyle name="Remarque 3 3 11 4 2 2" xfId="55262" xr:uid="{00000000-0005-0000-0000-0000AA910000}"/>
    <cellStyle name="Remarque 3 3 11 4 3" xfId="18549" xr:uid="{00000000-0005-0000-0000-0000AB910000}"/>
    <cellStyle name="Remarque 3 3 11 4 4" xfId="42509" xr:uid="{00000000-0005-0000-0000-0000AC910000}"/>
    <cellStyle name="Remarque 3 3 11 5" xfId="8676" xr:uid="{00000000-0005-0000-0000-0000AD910000}"/>
    <cellStyle name="Remarque 3 3 11 5 2" xfId="32690" xr:uid="{00000000-0005-0000-0000-0000AE910000}"/>
    <cellStyle name="Remarque 3 3 11 5 2 2" xfId="56650" xr:uid="{00000000-0005-0000-0000-0000AF910000}"/>
    <cellStyle name="Remarque 3 3 11 5 3" xfId="19937" xr:uid="{00000000-0005-0000-0000-0000B0910000}"/>
    <cellStyle name="Remarque 3 3 11 5 4" xfId="43897" xr:uid="{00000000-0005-0000-0000-0000B1910000}"/>
    <cellStyle name="Remarque 3 3 11 6" xfId="10061" xr:uid="{00000000-0005-0000-0000-0000B2910000}"/>
    <cellStyle name="Remarque 3 3 11 6 2" xfId="34075" xr:uid="{00000000-0005-0000-0000-0000B3910000}"/>
    <cellStyle name="Remarque 3 3 11 6 2 2" xfId="58035" xr:uid="{00000000-0005-0000-0000-0000B4910000}"/>
    <cellStyle name="Remarque 3 3 11 6 3" xfId="21322" xr:uid="{00000000-0005-0000-0000-0000B5910000}"/>
    <cellStyle name="Remarque 3 3 11 6 4" xfId="45282" xr:uid="{00000000-0005-0000-0000-0000B6910000}"/>
    <cellStyle name="Remarque 3 3 11 7" xfId="11518" xr:uid="{00000000-0005-0000-0000-0000B7910000}"/>
    <cellStyle name="Remarque 3 3 11 7 2" xfId="35528" xr:uid="{00000000-0005-0000-0000-0000B8910000}"/>
    <cellStyle name="Remarque 3 3 11 7 2 2" xfId="59488" xr:uid="{00000000-0005-0000-0000-0000B9910000}"/>
    <cellStyle name="Remarque 3 3 11 7 3" xfId="22785" xr:uid="{00000000-0005-0000-0000-0000BA910000}"/>
    <cellStyle name="Remarque 3 3 11 7 4" xfId="46745" xr:uid="{00000000-0005-0000-0000-0000BB910000}"/>
    <cellStyle name="Remarque 3 3 11 8" xfId="11926" xr:uid="{00000000-0005-0000-0000-0000BC910000}"/>
    <cellStyle name="Remarque 3 3 11 8 2" xfId="23204" xr:uid="{00000000-0005-0000-0000-0000BD910000}"/>
    <cellStyle name="Remarque 3 3 11 8 3" xfId="47164" xr:uid="{00000000-0005-0000-0000-0000BE910000}"/>
    <cellStyle name="Remarque 3 3 11 9" xfId="2990" xr:uid="{00000000-0005-0000-0000-0000BF910000}"/>
    <cellStyle name="Remarque 3 3 11 9 2" xfId="27004" xr:uid="{00000000-0005-0000-0000-0000C0910000}"/>
    <cellStyle name="Remarque 3 3 11 9 3" xfId="50964" xr:uid="{00000000-0005-0000-0000-0000C1910000}"/>
    <cellStyle name="Remarque 3 3 12" xfId="197" xr:uid="{00000000-0005-0000-0000-0000C2910000}"/>
    <cellStyle name="Remarque 3 3 12 10" xfId="36827" xr:uid="{00000000-0005-0000-0000-0000C3910000}"/>
    <cellStyle name="Remarque 3 3 12 10 2" xfId="60787" xr:uid="{00000000-0005-0000-0000-0000C4910000}"/>
    <cellStyle name="Remarque 3 3 12 11" xfId="14364" xr:uid="{00000000-0005-0000-0000-0000C5910000}"/>
    <cellStyle name="Remarque 3 3 12 12" xfId="38324" xr:uid="{00000000-0005-0000-0000-0000C6910000}"/>
    <cellStyle name="Remarque 3 3 12 2" xfId="4542" xr:uid="{00000000-0005-0000-0000-0000C7910000}"/>
    <cellStyle name="Remarque 3 3 12 2 2" xfId="28556" xr:uid="{00000000-0005-0000-0000-0000C8910000}"/>
    <cellStyle name="Remarque 3 3 12 2 2 2" xfId="52516" xr:uid="{00000000-0005-0000-0000-0000C9910000}"/>
    <cellStyle name="Remarque 3 3 12 2 3" xfId="15803" xr:uid="{00000000-0005-0000-0000-0000CA910000}"/>
    <cellStyle name="Remarque 3 3 12 2 4" xfId="39763" xr:uid="{00000000-0005-0000-0000-0000CB910000}"/>
    <cellStyle name="Remarque 3 3 12 3" xfId="3047" xr:uid="{00000000-0005-0000-0000-0000CC910000}"/>
    <cellStyle name="Remarque 3 3 12 3 2" xfId="27061" xr:uid="{00000000-0005-0000-0000-0000CD910000}"/>
    <cellStyle name="Remarque 3 3 12 3 2 2" xfId="51021" xr:uid="{00000000-0005-0000-0000-0000CE910000}"/>
    <cellStyle name="Remarque 3 3 12 3 3" xfId="14308" xr:uid="{00000000-0005-0000-0000-0000CF910000}"/>
    <cellStyle name="Remarque 3 3 12 3 4" xfId="38268" xr:uid="{00000000-0005-0000-0000-0000D0910000}"/>
    <cellStyle name="Remarque 3 3 12 4" xfId="4582" xr:uid="{00000000-0005-0000-0000-0000D1910000}"/>
    <cellStyle name="Remarque 3 3 12 4 2" xfId="28596" xr:uid="{00000000-0005-0000-0000-0000D2910000}"/>
    <cellStyle name="Remarque 3 3 12 4 2 2" xfId="52556" xr:uid="{00000000-0005-0000-0000-0000D3910000}"/>
    <cellStyle name="Remarque 3 3 12 4 3" xfId="15843" xr:uid="{00000000-0005-0000-0000-0000D4910000}"/>
    <cellStyle name="Remarque 3 3 12 4 4" xfId="39803" xr:uid="{00000000-0005-0000-0000-0000D5910000}"/>
    <cellStyle name="Remarque 3 3 12 5" xfId="5977" xr:uid="{00000000-0005-0000-0000-0000D6910000}"/>
    <cellStyle name="Remarque 3 3 12 5 2" xfId="29991" xr:uid="{00000000-0005-0000-0000-0000D7910000}"/>
    <cellStyle name="Remarque 3 3 12 5 2 2" xfId="53951" xr:uid="{00000000-0005-0000-0000-0000D8910000}"/>
    <cellStyle name="Remarque 3 3 12 5 3" xfId="17238" xr:uid="{00000000-0005-0000-0000-0000D9910000}"/>
    <cellStyle name="Remarque 3 3 12 5 4" xfId="41198" xr:uid="{00000000-0005-0000-0000-0000DA910000}"/>
    <cellStyle name="Remarque 3 3 12 6" xfId="10163" xr:uid="{00000000-0005-0000-0000-0000DB910000}"/>
    <cellStyle name="Remarque 3 3 12 6 2" xfId="34175" xr:uid="{00000000-0005-0000-0000-0000DC910000}"/>
    <cellStyle name="Remarque 3 3 12 6 2 2" xfId="58135" xr:uid="{00000000-0005-0000-0000-0000DD910000}"/>
    <cellStyle name="Remarque 3 3 12 6 3" xfId="21428" xr:uid="{00000000-0005-0000-0000-0000DE910000}"/>
    <cellStyle name="Remarque 3 3 12 6 4" xfId="45388" xr:uid="{00000000-0005-0000-0000-0000DF910000}"/>
    <cellStyle name="Remarque 3 3 12 7" xfId="12249" xr:uid="{00000000-0005-0000-0000-0000E0910000}"/>
    <cellStyle name="Remarque 3 3 12 7 2" xfId="23534" xr:uid="{00000000-0005-0000-0000-0000E1910000}"/>
    <cellStyle name="Remarque 3 3 12 7 3" xfId="47494" xr:uid="{00000000-0005-0000-0000-0000E2910000}"/>
    <cellStyle name="Remarque 3 3 12 8" xfId="3103" xr:uid="{00000000-0005-0000-0000-0000E3910000}"/>
    <cellStyle name="Remarque 3 3 12 8 2" xfId="27117" xr:uid="{00000000-0005-0000-0000-0000E4910000}"/>
    <cellStyle name="Remarque 3 3 12 8 3" xfId="51077" xr:uid="{00000000-0005-0000-0000-0000E5910000}"/>
    <cellStyle name="Remarque 3 3 12 9" xfId="24229" xr:uid="{00000000-0005-0000-0000-0000E6910000}"/>
    <cellStyle name="Remarque 3 3 12 9 2" xfId="48189" xr:uid="{00000000-0005-0000-0000-0000E7910000}"/>
    <cellStyle name="Remarque 3 3 13" xfId="3071" xr:uid="{00000000-0005-0000-0000-0000E8910000}"/>
    <cellStyle name="Remarque 3 3 13 2" xfId="27085" xr:uid="{00000000-0005-0000-0000-0000E9910000}"/>
    <cellStyle name="Remarque 3 3 13 2 2" xfId="51045" xr:uid="{00000000-0005-0000-0000-0000EA910000}"/>
    <cellStyle name="Remarque 3 3 13 3" xfId="14332" xr:uid="{00000000-0005-0000-0000-0000EB910000}"/>
    <cellStyle name="Remarque 3 3 13 4" xfId="38292" xr:uid="{00000000-0005-0000-0000-0000EC910000}"/>
    <cellStyle name="Remarque 3 3 14" xfId="1628" xr:uid="{00000000-0005-0000-0000-0000ED910000}"/>
    <cellStyle name="Remarque 3 3 14 2" xfId="25643" xr:uid="{00000000-0005-0000-0000-0000EE910000}"/>
    <cellStyle name="Remarque 3 3 14 3" xfId="49603" xr:uid="{00000000-0005-0000-0000-0000EF910000}"/>
    <cellStyle name="Remarque 3 3 15" xfId="1605" xr:uid="{00000000-0005-0000-0000-0000F0910000}"/>
    <cellStyle name="Remarque 3 3 16" xfId="165" xr:uid="{00000000-0005-0000-0000-0000F1910000}"/>
    <cellStyle name="Remarque 3 3 2" xfId="62" xr:uid="{00000000-0005-0000-0000-0000F2910000}"/>
    <cellStyle name="Remarque 3 3 2 10" xfId="1206" xr:uid="{00000000-0005-0000-0000-0000F3910000}"/>
    <cellStyle name="Remarque 3 3 2 10 10" xfId="25238" xr:uid="{00000000-0005-0000-0000-0000F4910000}"/>
    <cellStyle name="Remarque 3 3 2 10 10 2" xfId="49198" xr:uid="{00000000-0005-0000-0000-0000F5910000}"/>
    <cellStyle name="Remarque 3 3 2 10 11" xfId="36790" xr:uid="{00000000-0005-0000-0000-0000F6910000}"/>
    <cellStyle name="Remarque 3 3 2 10 11 2" xfId="60750" xr:uid="{00000000-0005-0000-0000-0000F7910000}"/>
    <cellStyle name="Remarque 3 3 2 10 12" xfId="13903" xr:uid="{00000000-0005-0000-0000-0000F8910000}"/>
    <cellStyle name="Remarque 3 3 2 10 13" xfId="37863" xr:uid="{00000000-0005-0000-0000-0000F9910000}"/>
    <cellStyle name="Remarque 3 3 2 10 2" xfId="4112" xr:uid="{00000000-0005-0000-0000-0000FA910000}"/>
    <cellStyle name="Remarque 3 3 2 10 2 2" xfId="28126" xr:uid="{00000000-0005-0000-0000-0000FB910000}"/>
    <cellStyle name="Remarque 3 3 2 10 2 2 2" xfId="52086" xr:uid="{00000000-0005-0000-0000-0000FC910000}"/>
    <cellStyle name="Remarque 3 3 2 10 2 3" xfId="15373" xr:uid="{00000000-0005-0000-0000-0000FD910000}"/>
    <cellStyle name="Remarque 3 3 2 10 2 4" xfId="39333" xr:uid="{00000000-0005-0000-0000-0000FE910000}"/>
    <cellStyle name="Remarque 3 3 2 10 3" xfId="5546" xr:uid="{00000000-0005-0000-0000-0000FF910000}"/>
    <cellStyle name="Remarque 3 3 2 10 3 2" xfId="29560" xr:uid="{00000000-0005-0000-0000-000000920000}"/>
    <cellStyle name="Remarque 3 3 2 10 3 2 2" xfId="53520" xr:uid="{00000000-0005-0000-0000-000001920000}"/>
    <cellStyle name="Remarque 3 3 2 10 3 3" xfId="16807" xr:uid="{00000000-0005-0000-0000-000002920000}"/>
    <cellStyle name="Remarque 3 3 2 10 3 4" xfId="40767" xr:uid="{00000000-0005-0000-0000-000003920000}"/>
    <cellStyle name="Remarque 3 3 2 10 4" xfId="6940" xr:uid="{00000000-0005-0000-0000-000004920000}"/>
    <cellStyle name="Remarque 3 3 2 10 4 2" xfId="30954" xr:uid="{00000000-0005-0000-0000-000005920000}"/>
    <cellStyle name="Remarque 3 3 2 10 4 2 2" xfId="54914" xr:uid="{00000000-0005-0000-0000-000006920000}"/>
    <cellStyle name="Remarque 3 3 2 10 4 3" xfId="18201" xr:uid="{00000000-0005-0000-0000-000007920000}"/>
    <cellStyle name="Remarque 3 3 2 10 4 4" xfId="42161" xr:uid="{00000000-0005-0000-0000-000008920000}"/>
    <cellStyle name="Remarque 3 3 2 10 5" xfId="8328" xr:uid="{00000000-0005-0000-0000-000009920000}"/>
    <cellStyle name="Remarque 3 3 2 10 5 2" xfId="32342" xr:uid="{00000000-0005-0000-0000-00000A920000}"/>
    <cellStyle name="Remarque 3 3 2 10 5 2 2" xfId="56302" xr:uid="{00000000-0005-0000-0000-00000B920000}"/>
    <cellStyle name="Remarque 3 3 2 10 5 3" xfId="19589" xr:uid="{00000000-0005-0000-0000-00000C920000}"/>
    <cellStyle name="Remarque 3 3 2 10 5 4" xfId="43549" xr:uid="{00000000-0005-0000-0000-00000D920000}"/>
    <cellStyle name="Remarque 3 3 2 10 6" xfId="9713" xr:uid="{00000000-0005-0000-0000-00000E920000}"/>
    <cellStyle name="Remarque 3 3 2 10 6 2" xfId="33727" xr:uid="{00000000-0005-0000-0000-00000F920000}"/>
    <cellStyle name="Remarque 3 3 2 10 6 2 2" xfId="57687" xr:uid="{00000000-0005-0000-0000-000010920000}"/>
    <cellStyle name="Remarque 3 3 2 10 6 3" xfId="20974" xr:uid="{00000000-0005-0000-0000-000011920000}"/>
    <cellStyle name="Remarque 3 3 2 10 6 4" xfId="44934" xr:uid="{00000000-0005-0000-0000-000012920000}"/>
    <cellStyle name="Remarque 3 3 2 10 7" xfId="11170" xr:uid="{00000000-0005-0000-0000-000013920000}"/>
    <cellStyle name="Remarque 3 3 2 10 7 2" xfId="35180" xr:uid="{00000000-0005-0000-0000-000014920000}"/>
    <cellStyle name="Remarque 3 3 2 10 7 2 2" xfId="59140" xr:uid="{00000000-0005-0000-0000-000015920000}"/>
    <cellStyle name="Remarque 3 3 2 10 7 3" xfId="22437" xr:uid="{00000000-0005-0000-0000-000016920000}"/>
    <cellStyle name="Remarque 3 3 2 10 7 4" xfId="46397" xr:uid="{00000000-0005-0000-0000-000017920000}"/>
    <cellStyle name="Remarque 3 3 2 10 8" xfId="12664" xr:uid="{00000000-0005-0000-0000-000018920000}"/>
    <cellStyle name="Remarque 3 3 2 10 8 2" xfId="23969" xr:uid="{00000000-0005-0000-0000-000019920000}"/>
    <cellStyle name="Remarque 3 3 2 10 8 3" xfId="47929" xr:uid="{00000000-0005-0000-0000-00001A920000}"/>
    <cellStyle name="Remarque 3 3 2 10 9" xfId="2642" xr:uid="{00000000-0005-0000-0000-00001B920000}"/>
    <cellStyle name="Remarque 3 3 2 10 9 2" xfId="26656" xr:uid="{00000000-0005-0000-0000-00001C920000}"/>
    <cellStyle name="Remarque 3 3 2 10 9 3" xfId="50616" xr:uid="{00000000-0005-0000-0000-00001D920000}"/>
    <cellStyle name="Remarque 3 3 2 11" xfId="324" xr:uid="{00000000-0005-0000-0000-00001E920000}"/>
    <cellStyle name="Remarque 3 3 2 11 10" xfId="24356" xr:uid="{00000000-0005-0000-0000-00001F920000}"/>
    <cellStyle name="Remarque 3 3 2 11 10 2" xfId="48316" xr:uid="{00000000-0005-0000-0000-000020920000}"/>
    <cellStyle name="Remarque 3 3 2 11 11" xfId="35885" xr:uid="{00000000-0005-0000-0000-000021920000}"/>
    <cellStyle name="Remarque 3 3 2 11 11 2" xfId="59845" xr:uid="{00000000-0005-0000-0000-000022920000}"/>
    <cellStyle name="Remarque 3 3 2 11 12" xfId="13021" xr:uid="{00000000-0005-0000-0000-000023920000}"/>
    <cellStyle name="Remarque 3 3 2 11 13" xfId="36981" xr:uid="{00000000-0005-0000-0000-000024920000}"/>
    <cellStyle name="Remarque 3 3 2 11 2" xfId="3230" xr:uid="{00000000-0005-0000-0000-000025920000}"/>
    <cellStyle name="Remarque 3 3 2 11 2 2" xfId="27244" xr:uid="{00000000-0005-0000-0000-000026920000}"/>
    <cellStyle name="Remarque 3 3 2 11 2 2 2" xfId="51204" xr:uid="{00000000-0005-0000-0000-000027920000}"/>
    <cellStyle name="Remarque 3 3 2 11 2 3" xfId="14491" xr:uid="{00000000-0005-0000-0000-000028920000}"/>
    <cellStyle name="Remarque 3 3 2 11 2 4" xfId="38451" xr:uid="{00000000-0005-0000-0000-000029920000}"/>
    <cellStyle name="Remarque 3 3 2 11 3" xfId="4664" xr:uid="{00000000-0005-0000-0000-00002A920000}"/>
    <cellStyle name="Remarque 3 3 2 11 3 2" xfId="28678" xr:uid="{00000000-0005-0000-0000-00002B920000}"/>
    <cellStyle name="Remarque 3 3 2 11 3 2 2" xfId="52638" xr:uid="{00000000-0005-0000-0000-00002C920000}"/>
    <cellStyle name="Remarque 3 3 2 11 3 3" xfId="15925" xr:uid="{00000000-0005-0000-0000-00002D920000}"/>
    <cellStyle name="Remarque 3 3 2 11 3 4" xfId="39885" xr:uid="{00000000-0005-0000-0000-00002E920000}"/>
    <cellStyle name="Remarque 3 3 2 11 4" xfId="6058" xr:uid="{00000000-0005-0000-0000-00002F920000}"/>
    <cellStyle name="Remarque 3 3 2 11 4 2" xfId="30072" xr:uid="{00000000-0005-0000-0000-000030920000}"/>
    <cellStyle name="Remarque 3 3 2 11 4 2 2" xfId="54032" xr:uid="{00000000-0005-0000-0000-000031920000}"/>
    <cellStyle name="Remarque 3 3 2 11 4 3" xfId="17319" xr:uid="{00000000-0005-0000-0000-000032920000}"/>
    <cellStyle name="Remarque 3 3 2 11 4 4" xfId="41279" xr:uid="{00000000-0005-0000-0000-000033920000}"/>
    <cellStyle name="Remarque 3 3 2 11 5" xfId="7446" xr:uid="{00000000-0005-0000-0000-000034920000}"/>
    <cellStyle name="Remarque 3 3 2 11 5 2" xfId="31460" xr:uid="{00000000-0005-0000-0000-000035920000}"/>
    <cellStyle name="Remarque 3 3 2 11 5 2 2" xfId="55420" xr:uid="{00000000-0005-0000-0000-000036920000}"/>
    <cellStyle name="Remarque 3 3 2 11 5 3" xfId="18707" xr:uid="{00000000-0005-0000-0000-000037920000}"/>
    <cellStyle name="Remarque 3 3 2 11 5 4" xfId="42667" xr:uid="{00000000-0005-0000-0000-000038920000}"/>
    <cellStyle name="Remarque 3 3 2 11 6" xfId="8831" xr:uid="{00000000-0005-0000-0000-000039920000}"/>
    <cellStyle name="Remarque 3 3 2 11 6 2" xfId="32845" xr:uid="{00000000-0005-0000-0000-00003A920000}"/>
    <cellStyle name="Remarque 3 3 2 11 6 2 2" xfId="56805" xr:uid="{00000000-0005-0000-0000-00003B920000}"/>
    <cellStyle name="Remarque 3 3 2 11 6 3" xfId="20092" xr:uid="{00000000-0005-0000-0000-00003C920000}"/>
    <cellStyle name="Remarque 3 3 2 11 6 4" xfId="44052" xr:uid="{00000000-0005-0000-0000-00003D920000}"/>
    <cellStyle name="Remarque 3 3 2 11 7" xfId="10288" xr:uid="{00000000-0005-0000-0000-00003E920000}"/>
    <cellStyle name="Remarque 3 3 2 11 7 2" xfId="34298" xr:uid="{00000000-0005-0000-0000-00003F920000}"/>
    <cellStyle name="Remarque 3 3 2 11 7 2 2" xfId="58258" xr:uid="{00000000-0005-0000-0000-000040920000}"/>
    <cellStyle name="Remarque 3 3 2 11 7 3" xfId="21555" xr:uid="{00000000-0005-0000-0000-000041920000}"/>
    <cellStyle name="Remarque 3 3 2 11 7 4" xfId="45515" xr:uid="{00000000-0005-0000-0000-000042920000}"/>
    <cellStyle name="Remarque 3 3 2 11 8" xfId="11583" xr:uid="{00000000-0005-0000-0000-000043920000}"/>
    <cellStyle name="Remarque 3 3 2 11 8 2" xfId="22850" xr:uid="{00000000-0005-0000-0000-000044920000}"/>
    <cellStyle name="Remarque 3 3 2 11 8 3" xfId="46810" xr:uid="{00000000-0005-0000-0000-000045920000}"/>
    <cellStyle name="Remarque 3 3 2 11 9" xfId="1760" xr:uid="{00000000-0005-0000-0000-000046920000}"/>
    <cellStyle name="Remarque 3 3 2 11 9 2" xfId="25774" xr:uid="{00000000-0005-0000-0000-000047920000}"/>
    <cellStyle name="Remarque 3 3 2 11 9 3" xfId="49734" xr:uid="{00000000-0005-0000-0000-000048920000}"/>
    <cellStyle name="Remarque 3 3 2 12" xfId="1567" xr:uid="{00000000-0005-0000-0000-000049920000}"/>
    <cellStyle name="Remarque 3 3 2 12 10" xfId="25599" xr:uid="{00000000-0005-0000-0000-00004A920000}"/>
    <cellStyle name="Remarque 3 3 2 12 10 2" xfId="49559" xr:uid="{00000000-0005-0000-0000-00004B920000}"/>
    <cellStyle name="Remarque 3 3 2 12 11" xfId="23856" xr:uid="{00000000-0005-0000-0000-00004C920000}"/>
    <cellStyle name="Remarque 3 3 2 12 11 2" xfId="47816" xr:uid="{00000000-0005-0000-0000-00004D920000}"/>
    <cellStyle name="Remarque 3 3 2 12 12" xfId="14264" xr:uid="{00000000-0005-0000-0000-00004E920000}"/>
    <cellStyle name="Remarque 3 3 2 12 13" xfId="38224" xr:uid="{00000000-0005-0000-0000-00004F920000}"/>
    <cellStyle name="Remarque 3 3 2 12 2" xfId="4473" xr:uid="{00000000-0005-0000-0000-000050920000}"/>
    <cellStyle name="Remarque 3 3 2 12 2 2" xfId="28487" xr:uid="{00000000-0005-0000-0000-000051920000}"/>
    <cellStyle name="Remarque 3 3 2 12 2 2 2" xfId="52447" xr:uid="{00000000-0005-0000-0000-000052920000}"/>
    <cellStyle name="Remarque 3 3 2 12 2 3" xfId="15734" xr:uid="{00000000-0005-0000-0000-000053920000}"/>
    <cellStyle name="Remarque 3 3 2 12 2 4" xfId="39694" xr:uid="{00000000-0005-0000-0000-000054920000}"/>
    <cellStyle name="Remarque 3 3 2 12 3" xfId="5907" xr:uid="{00000000-0005-0000-0000-000055920000}"/>
    <cellStyle name="Remarque 3 3 2 12 3 2" xfId="29921" xr:uid="{00000000-0005-0000-0000-000056920000}"/>
    <cellStyle name="Remarque 3 3 2 12 3 2 2" xfId="53881" xr:uid="{00000000-0005-0000-0000-000057920000}"/>
    <cellStyle name="Remarque 3 3 2 12 3 3" xfId="17168" xr:uid="{00000000-0005-0000-0000-000058920000}"/>
    <cellStyle name="Remarque 3 3 2 12 3 4" xfId="41128" xr:uid="{00000000-0005-0000-0000-000059920000}"/>
    <cellStyle name="Remarque 3 3 2 12 4" xfId="7301" xr:uid="{00000000-0005-0000-0000-00005A920000}"/>
    <cellStyle name="Remarque 3 3 2 12 4 2" xfId="31315" xr:uid="{00000000-0005-0000-0000-00005B920000}"/>
    <cellStyle name="Remarque 3 3 2 12 4 2 2" xfId="55275" xr:uid="{00000000-0005-0000-0000-00005C920000}"/>
    <cellStyle name="Remarque 3 3 2 12 4 3" xfId="18562" xr:uid="{00000000-0005-0000-0000-00005D920000}"/>
    <cellStyle name="Remarque 3 3 2 12 4 4" xfId="42522" xr:uid="{00000000-0005-0000-0000-00005E920000}"/>
    <cellStyle name="Remarque 3 3 2 12 5" xfId="8689" xr:uid="{00000000-0005-0000-0000-00005F920000}"/>
    <cellStyle name="Remarque 3 3 2 12 5 2" xfId="32703" xr:uid="{00000000-0005-0000-0000-000060920000}"/>
    <cellStyle name="Remarque 3 3 2 12 5 2 2" xfId="56663" xr:uid="{00000000-0005-0000-0000-000061920000}"/>
    <cellStyle name="Remarque 3 3 2 12 5 3" xfId="19950" xr:uid="{00000000-0005-0000-0000-000062920000}"/>
    <cellStyle name="Remarque 3 3 2 12 5 4" xfId="43910" xr:uid="{00000000-0005-0000-0000-000063920000}"/>
    <cellStyle name="Remarque 3 3 2 12 6" xfId="10074" xr:uid="{00000000-0005-0000-0000-000064920000}"/>
    <cellStyle name="Remarque 3 3 2 12 6 2" xfId="34088" xr:uid="{00000000-0005-0000-0000-000065920000}"/>
    <cellStyle name="Remarque 3 3 2 12 6 2 2" xfId="58048" xr:uid="{00000000-0005-0000-0000-000066920000}"/>
    <cellStyle name="Remarque 3 3 2 12 6 3" xfId="21335" xr:uid="{00000000-0005-0000-0000-000067920000}"/>
    <cellStyle name="Remarque 3 3 2 12 6 4" xfId="45295" xr:uid="{00000000-0005-0000-0000-000068920000}"/>
    <cellStyle name="Remarque 3 3 2 12 7" xfId="11531" xr:uid="{00000000-0005-0000-0000-000069920000}"/>
    <cellStyle name="Remarque 3 3 2 12 7 2" xfId="35541" xr:uid="{00000000-0005-0000-0000-00006A920000}"/>
    <cellStyle name="Remarque 3 3 2 12 7 2 2" xfId="59501" xr:uid="{00000000-0005-0000-0000-00006B920000}"/>
    <cellStyle name="Remarque 3 3 2 12 7 3" xfId="22798" xr:uid="{00000000-0005-0000-0000-00006C920000}"/>
    <cellStyle name="Remarque 3 3 2 12 7 4" xfId="46758" xr:uid="{00000000-0005-0000-0000-00006D920000}"/>
    <cellStyle name="Remarque 3 3 2 12 8" xfId="10129" xr:uid="{00000000-0005-0000-0000-00006E920000}"/>
    <cellStyle name="Remarque 3 3 2 12 8 2" xfId="21390" xr:uid="{00000000-0005-0000-0000-00006F920000}"/>
    <cellStyle name="Remarque 3 3 2 12 8 3" xfId="45350" xr:uid="{00000000-0005-0000-0000-000070920000}"/>
    <cellStyle name="Remarque 3 3 2 12 9" xfId="3003" xr:uid="{00000000-0005-0000-0000-000071920000}"/>
    <cellStyle name="Remarque 3 3 2 12 9 2" xfId="27017" xr:uid="{00000000-0005-0000-0000-000072920000}"/>
    <cellStyle name="Remarque 3 3 2 12 9 3" xfId="50977" xr:uid="{00000000-0005-0000-0000-000073920000}"/>
    <cellStyle name="Remarque 3 3 2 13" xfId="210" xr:uid="{00000000-0005-0000-0000-000074920000}"/>
    <cellStyle name="Remarque 3 3 2 13 10" xfId="36441" xr:uid="{00000000-0005-0000-0000-000075920000}"/>
    <cellStyle name="Remarque 3 3 2 13 10 2" xfId="60401" xr:uid="{00000000-0005-0000-0000-000076920000}"/>
    <cellStyle name="Remarque 3 3 2 13 11" xfId="14377" xr:uid="{00000000-0005-0000-0000-000077920000}"/>
    <cellStyle name="Remarque 3 3 2 13 12" xfId="38337" xr:uid="{00000000-0005-0000-0000-000078920000}"/>
    <cellStyle name="Remarque 3 3 2 13 2" xfId="4555" xr:uid="{00000000-0005-0000-0000-000079920000}"/>
    <cellStyle name="Remarque 3 3 2 13 2 2" xfId="28569" xr:uid="{00000000-0005-0000-0000-00007A920000}"/>
    <cellStyle name="Remarque 3 3 2 13 2 2 2" xfId="52529" xr:uid="{00000000-0005-0000-0000-00007B920000}"/>
    <cellStyle name="Remarque 3 3 2 13 2 3" xfId="15816" xr:uid="{00000000-0005-0000-0000-00007C920000}"/>
    <cellStyle name="Remarque 3 3 2 13 2 4" xfId="39776" xr:uid="{00000000-0005-0000-0000-00007D920000}"/>
    <cellStyle name="Remarque 3 3 2 13 3" xfId="5954" xr:uid="{00000000-0005-0000-0000-00007E920000}"/>
    <cellStyle name="Remarque 3 3 2 13 3 2" xfId="29968" xr:uid="{00000000-0005-0000-0000-00007F920000}"/>
    <cellStyle name="Remarque 3 3 2 13 3 2 2" xfId="53928" xr:uid="{00000000-0005-0000-0000-000080920000}"/>
    <cellStyle name="Remarque 3 3 2 13 3 3" xfId="17215" xr:uid="{00000000-0005-0000-0000-000081920000}"/>
    <cellStyle name="Remarque 3 3 2 13 3 4" xfId="41175" xr:uid="{00000000-0005-0000-0000-000082920000}"/>
    <cellStyle name="Remarque 3 3 2 13 4" xfId="7348" xr:uid="{00000000-0005-0000-0000-000083920000}"/>
    <cellStyle name="Remarque 3 3 2 13 4 2" xfId="31362" xr:uid="{00000000-0005-0000-0000-000084920000}"/>
    <cellStyle name="Remarque 3 3 2 13 4 2 2" xfId="55322" xr:uid="{00000000-0005-0000-0000-000085920000}"/>
    <cellStyle name="Remarque 3 3 2 13 4 3" xfId="18609" xr:uid="{00000000-0005-0000-0000-000086920000}"/>
    <cellStyle name="Remarque 3 3 2 13 4 4" xfId="42569" xr:uid="{00000000-0005-0000-0000-000087920000}"/>
    <cellStyle name="Remarque 3 3 2 13 5" xfId="8736" xr:uid="{00000000-0005-0000-0000-000088920000}"/>
    <cellStyle name="Remarque 3 3 2 13 5 2" xfId="32750" xr:uid="{00000000-0005-0000-0000-000089920000}"/>
    <cellStyle name="Remarque 3 3 2 13 5 2 2" xfId="56710" xr:uid="{00000000-0005-0000-0000-00008A920000}"/>
    <cellStyle name="Remarque 3 3 2 13 5 3" xfId="19997" xr:uid="{00000000-0005-0000-0000-00008B920000}"/>
    <cellStyle name="Remarque 3 3 2 13 5 4" xfId="43957" xr:uid="{00000000-0005-0000-0000-00008C920000}"/>
    <cellStyle name="Remarque 3 3 2 13 6" xfId="10176" xr:uid="{00000000-0005-0000-0000-00008D920000}"/>
    <cellStyle name="Remarque 3 3 2 13 6 2" xfId="34188" xr:uid="{00000000-0005-0000-0000-00008E920000}"/>
    <cellStyle name="Remarque 3 3 2 13 6 2 2" xfId="58148" xr:uid="{00000000-0005-0000-0000-00008F920000}"/>
    <cellStyle name="Remarque 3 3 2 13 6 3" xfId="21441" xr:uid="{00000000-0005-0000-0000-000090920000}"/>
    <cellStyle name="Remarque 3 3 2 13 6 4" xfId="45401" xr:uid="{00000000-0005-0000-0000-000091920000}"/>
    <cellStyle name="Remarque 3 3 2 13 7" xfId="12135" xr:uid="{00000000-0005-0000-0000-000092920000}"/>
    <cellStyle name="Remarque 3 3 2 13 7 2" xfId="23418" xr:uid="{00000000-0005-0000-0000-000093920000}"/>
    <cellStyle name="Remarque 3 3 2 13 7 3" xfId="47378" xr:uid="{00000000-0005-0000-0000-000094920000}"/>
    <cellStyle name="Remarque 3 3 2 13 8" xfId="3116" xr:uid="{00000000-0005-0000-0000-000095920000}"/>
    <cellStyle name="Remarque 3 3 2 13 8 2" xfId="27130" xr:uid="{00000000-0005-0000-0000-000096920000}"/>
    <cellStyle name="Remarque 3 3 2 13 8 3" xfId="51090" xr:uid="{00000000-0005-0000-0000-000097920000}"/>
    <cellStyle name="Remarque 3 3 2 13 9" xfId="24242" xr:uid="{00000000-0005-0000-0000-000098920000}"/>
    <cellStyle name="Remarque 3 3 2 13 9 2" xfId="48202" xr:uid="{00000000-0005-0000-0000-000099920000}"/>
    <cellStyle name="Remarque 3 3 2 14" xfId="3084" xr:uid="{00000000-0005-0000-0000-00009A920000}"/>
    <cellStyle name="Remarque 3 3 2 14 2" xfId="27098" xr:uid="{00000000-0005-0000-0000-00009B920000}"/>
    <cellStyle name="Remarque 3 3 2 14 2 2" xfId="51058" xr:uid="{00000000-0005-0000-0000-00009C920000}"/>
    <cellStyle name="Remarque 3 3 2 14 3" xfId="14345" xr:uid="{00000000-0005-0000-0000-00009D920000}"/>
    <cellStyle name="Remarque 3 3 2 14 4" xfId="38305" xr:uid="{00000000-0005-0000-0000-00009E920000}"/>
    <cellStyle name="Remarque 3 3 2 15" xfId="1642" xr:uid="{00000000-0005-0000-0000-00009F920000}"/>
    <cellStyle name="Remarque 3 3 2 15 2" xfId="25656" xr:uid="{00000000-0005-0000-0000-0000A0920000}"/>
    <cellStyle name="Remarque 3 3 2 15 3" xfId="49616" xr:uid="{00000000-0005-0000-0000-0000A1920000}"/>
    <cellStyle name="Remarque 3 3 2 16" xfId="12922" xr:uid="{00000000-0005-0000-0000-0000A2920000}"/>
    <cellStyle name="Remarque 3 3 2 17" xfId="36863" xr:uid="{00000000-0005-0000-0000-0000A3920000}"/>
    <cellStyle name="Remarque 3 3 2 18" xfId="178" xr:uid="{00000000-0005-0000-0000-0000A4920000}"/>
    <cellStyle name="Remarque 3 3 2 2" xfId="76" xr:uid="{00000000-0005-0000-0000-0000A5920000}"/>
    <cellStyle name="Remarque 3 3 2 2 10" xfId="1370" xr:uid="{00000000-0005-0000-0000-0000A6920000}"/>
    <cellStyle name="Remarque 3 3 2 2 10 10" xfId="25402" xr:uid="{00000000-0005-0000-0000-0000A7920000}"/>
    <cellStyle name="Remarque 3 3 2 2 10 10 2" xfId="49362" xr:uid="{00000000-0005-0000-0000-0000A8920000}"/>
    <cellStyle name="Remarque 3 3 2 2 10 11" xfId="36184" xr:uid="{00000000-0005-0000-0000-0000A9920000}"/>
    <cellStyle name="Remarque 3 3 2 2 10 11 2" xfId="60144" xr:uid="{00000000-0005-0000-0000-0000AA920000}"/>
    <cellStyle name="Remarque 3 3 2 2 10 12" xfId="14067" xr:uid="{00000000-0005-0000-0000-0000AB920000}"/>
    <cellStyle name="Remarque 3 3 2 2 10 13" xfId="38027" xr:uid="{00000000-0005-0000-0000-0000AC920000}"/>
    <cellStyle name="Remarque 3 3 2 2 10 2" xfId="4276" xr:uid="{00000000-0005-0000-0000-0000AD920000}"/>
    <cellStyle name="Remarque 3 3 2 2 10 2 2" xfId="28290" xr:uid="{00000000-0005-0000-0000-0000AE920000}"/>
    <cellStyle name="Remarque 3 3 2 2 10 2 2 2" xfId="52250" xr:uid="{00000000-0005-0000-0000-0000AF920000}"/>
    <cellStyle name="Remarque 3 3 2 2 10 2 3" xfId="15537" xr:uid="{00000000-0005-0000-0000-0000B0920000}"/>
    <cellStyle name="Remarque 3 3 2 2 10 2 4" xfId="39497" xr:uid="{00000000-0005-0000-0000-0000B1920000}"/>
    <cellStyle name="Remarque 3 3 2 2 10 3" xfId="5710" xr:uid="{00000000-0005-0000-0000-0000B2920000}"/>
    <cellStyle name="Remarque 3 3 2 2 10 3 2" xfId="29724" xr:uid="{00000000-0005-0000-0000-0000B3920000}"/>
    <cellStyle name="Remarque 3 3 2 2 10 3 2 2" xfId="53684" xr:uid="{00000000-0005-0000-0000-0000B4920000}"/>
    <cellStyle name="Remarque 3 3 2 2 10 3 3" xfId="16971" xr:uid="{00000000-0005-0000-0000-0000B5920000}"/>
    <cellStyle name="Remarque 3 3 2 2 10 3 4" xfId="40931" xr:uid="{00000000-0005-0000-0000-0000B6920000}"/>
    <cellStyle name="Remarque 3 3 2 2 10 4" xfId="7104" xr:uid="{00000000-0005-0000-0000-0000B7920000}"/>
    <cellStyle name="Remarque 3 3 2 2 10 4 2" xfId="31118" xr:uid="{00000000-0005-0000-0000-0000B8920000}"/>
    <cellStyle name="Remarque 3 3 2 2 10 4 2 2" xfId="55078" xr:uid="{00000000-0005-0000-0000-0000B9920000}"/>
    <cellStyle name="Remarque 3 3 2 2 10 4 3" xfId="18365" xr:uid="{00000000-0005-0000-0000-0000BA920000}"/>
    <cellStyle name="Remarque 3 3 2 2 10 4 4" xfId="42325" xr:uid="{00000000-0005-0000-0000-0000BB920000}"/>
    <cellStyle name="Remarque 3 3 2 2 10 5" xfId="8492" xr:uid="{00000000-0005-0000-0000-0000BC920000}"/>
    <cellStyle name="Remarque 3 3 2 2 10 5 2" xfId="32506" xr:uid="{00000000-0005-0000-0000-0000BD920000}"/>
    <cellStyle name="Remarque 3 3 2 2 10 5 2 2" xfId="56466" xr:uid="{00000000-0005-0000-0000-0000BE920000}"/>
    <cellStyle name="Remarque 3 3 2 2 10 5 3" xfId="19753" xr:uid="{00000000-0005-0000-0000-0000BF920000}"/>
    <cellStyle name="Remarque 3 3 2 2 10 5 4" xfId="43713" xr:uid="{00000000-0005-0000-0000-0000C0920000}"/>
    <cellStyle name="Remarque 3 3 2 2 10 6" xfId="9877" xr:uid="{00000000-0005-0000-0000-0000C1920000}"/>
    <cellStyle name="Remarque 3 3 2 2 10 6 2" xfId="33891" xr:uid="{00000000-0005-0000-0000-0000C2920000}"/>
    <cellStyle name="Remarque 3 3 2 2 10 6 2 2" xfId="57851" xr:uid="{00000000-0005-0000-0000-0000C3920000}"/>
    <cellStyle name="Remarque 3 3 2 2 10 6 3" xfId="21138" xr:uid="{00000000-0005-0000-0000-0000C4920000}"/>
    <cellStyle name="Remarque 3 3 2 2 10 6 4" xfId="45098" xr:uid="{00000000-0005-0000-0000-0000C5920000}"/>
    <cellStyle name="Remarque 3 3 2 2 10 7" xfId="11334" xr:uid="{00000000-0005-0000-0000-0000C6920000}"/>
    <cellStyle name="Remarque 3 3 2 2 10 7 2" xfId="35344" xr:uid="{00000000-0005-0000-0000-0000C7920000}"/>
    <cellStyle name="Remarque 3 3 2 2 10 7 2 2" xfId="59304" xr:uid="{00000000-0005-0000-0000-0000C8920000}"/>
    <cellStyle name="Remarque 3 3 2 2 10 7 3" xfId="22601" xr:uid="{00000000-0005-0000-0000-0000C9920000}"/>
    <cellStyle name="Remarque 3 3 2 2 10 7 4" xfId="46561" xr:uid="{00000000-0005-0000-0000-0000CA920000}"/>
    <cellStyle name="Remarque 3 3 2 2 10 8" xfId="11915" xr:uid="{00000000-0005-0000-0000-0000CB920000}"/>
    <cellStyle name="Remarque 3 3 2 2 10 8 2" xfId="23193" xr:uid="{00000000-0005-0000-0000-0000CC920000}"/>
    <cellStyle name="Remarque 3 3 2 2 10 8 3" xfId="47153" xr:uid="{00000000-0005-0000-0000-0000CD920000}"/>
    <cellStyle name="Remarque 3 3 2 2 10 9" xfId="2806" xr:uid="{00000000-0005-0000-0000-0000CE920000}"/>
    <cellStyle name="Remarque 3 3 2 2 10 9 2" xfId="26820" xr:uid="{00000000-0005-0000-0000-0000CF920000}"/>
    <cellStyle name="Remarque 3 3 2 2 10 9 3" xfId="50780" xr:uid="{00000000-0005-0000-0000-0000D0920000}"/>
    <cellStyle name="Remarque 3 3 2 2 11" xfId="1581" xr:uid="{00000000-0005-0000-0000-0000D1920000}"/>
    <cellStyle name="Remarque 3 3 2 2 11 10" xfId="25613" xr:uid="{00000000-0005-0000-0000-0000D2920000}"/>
    <cellStyle name="Remarque 3 3 2 2 11 10 2" xfId="49573" xr:uid="{00000000-0005-0000-0000-0000D3920000}"/>
    <cellStyle name="Remarque 3 3 2 2 11 11" xfId="36840" xr:uid="{00000000-0005-0000-0000-0000D4920000}"/>
    <cellStyle name="Remarque 3 3 2 2 11 11 2" xfId="60800" xr:uid="{00000000-0005-0000-0000-0000D5920000}"/>
    <cellStyle name="Remarque 3 3 2 2 11 12" xfId="14278" xr:uid="{00000000-0005-0000-0000-0000D6920000}"/>
    <cellStyle name="Remarque 3 3 2 2 11 13" xfId="38238" xr:uid="{00000000-0005-0000-0000-0000D7920000}"/>
    <cellStyle name="Remarque 3 3 2 2 11 2" xfId="4487" xr:uid="{00000000-0005-0000-0000-0000D8920000}"/>
    <cellStyle name="Remarque 3 3 2 2 11 2 2" xfId="28501" xr:uid="{00000000-0005-0000-0000-0000D9920000}"/>
    <cellStyle name="Remarque 3 3 2 2 11 2 2 2" xfId="52461" xr:uid="{00000000-0005-0000-0000-0000DA920000}"/>
    <cellStyle name="Remarque 3 3 2 2 11 2 3" xfId="15748" xr:uid="{00000000-0005-0000-0000-0000DB920000}"/>
    <cellStyle name="Remarque 3 3 2 2 11 2 4" xfId="39708" xr:uid="{00000000-0005-0000-0000-0000DC920000}"/>
    <cellStyle name="Remarque 3 3 2 2 11 3" xfId="5921" xr:uid="{00000000-0005-0000-0000-0000DD920000}"/>
    <cellStyle name="Remarque 3 3 2 2 11 3 2" xfId="29935" xr:uid="{00000000-0005-0000-0000-0000DE920000}"/>
    <cellStyle name="Remarque 3 3 2 2 11 3 2 2" xfId="53895" xr:uid="{00000000-0005-0000-0000-0000DF920000}"/>
    <cellStyle name="Remarque 3 3 2 2 11 3 3" xfId="17182" xr:uid="{00000000-0005-0000-0000-0000E0920000}"/>
    <cellStyle name="Remarque 3 3 2 2 11 3 4" xfId="41142" xr:uid="{00000000-0005-0000-0000-0000E1920000}"/>
    <cellStyle name="Remarque 3 3 2 2 11 4" xfId="7315" xr:uid="{00000000-0005-0000-0000-0000E2920000}"/>
    <cellStyle name="Remarque 3 3 2 2 11 4 2" xfId="31329" xr:uid="{00000000-0005-0000-0000-0000E3920000}"/>
    <cellStyle name="Remarque 3 3 2 2 11 4 2 2" xfId="55289" xr:uid="{00000000-0005-0000-0000-0000E4920000}"/>
    <cellStyle name="Remarque 3 3 2 2 11 4 3" xfId="18576" xr:uid="{00000000-0005-0000-0000-0000E5920000}"/>
    <cellStyle name="Remarque 3 3 2 2 11 4 4" xfId="42536" xr:uid="{00000000-0005-0000-0000-0000E6920000}"/>
    <cellStyle name="Remarque 3 3 2 2 11 5" xfId="8703" xr:uid="{00000000-0005-0000-0000-0000E7920000}"/>
    <cellStyle name="Remarque 3 3 2 2 11 5 2" xfId="32717" xr:uid="{00000000-0005-0000-0000-0000E8920000}"/>
    <cellStyle name="Remarque 3 3 2 2 11 5 2 2" xfId="56677" xr:uid="{00000000-0005-0000-0000-0000E9920000}"/>
    <cellStyle name="Remarque 3 3 2 2 11 5 3" xfId="19964" xr:uid="{00000000-0005-0000-0000-0000EA920000}"/>
    <cellStyle name="Remarque 3 3 2 2 11 5 4" xfId="43924" xr:uid="{00000000-0005-0000-0000-0000EB920000}"/>
    <cellStyle name="Remarque 3 3 2 2 11 6" xfId="10088" xr:uid="{00000000-0005-0000-0000-0000EC920000}"/>
    <cellStyle name="Remarque 3 3 2 2 11 6 2" xfId="34102" xr:uid="{00000000-0005-0000-0000-0000ED920000}"/>
    <cellStyle name="Remarque 3 3 2 2 11 6 2 2" xfId="58062" xr:uid="{00000000-0005-0000-0000-0000EE920000}"/>
    <cellStyle name="Remarque 3 3 2 2 11 6 3" xfId="21349" xr:uid="{00000000-0005-0000-0000-0000EF920000}"/>
    <cellStyle name="Remarque 3 3 2 2 11 6 4" xfId="45309" xr:uid="{00000000-0005-0000-0000-0000F0920000}"/>
    <cellStyle name="Remarque 3 3 2 2 11 7" xfId="11545" xr:uid="{00000000-0005-0000-0000-0000F1920000}"/>
    <cellStyle name="Remarque 3 3 2 2 11 7 2" xfId="35555" xr:uid="{00000000-0005-0000-0000-0000F2920000}"/>
    <cellStyle name="Remarque 3 3 2 2 11 7 2 2" xfId="59515" xr:uid="{00000000-0005-0000-0000-0000F3920000}"/>
    <cellStyle name="Remarque 3 3 2 2 11 7 3" xfId="22812" xr:uid="{00000000-0005-0000-0000-0000F4920000}"/>
    <cellStyle name="Remarque 3 3 2 2 11 7 4" xfId="46772" xr:uid="{00000000-0005-0000-0000-0000F5920000}"/>
    <cellStyle name="Remarque 3 3 2 2 11 8" xfId="10195" xr:uid="{00000000-0005-0000-0000-0000F6920000}"/>
    <cellStyle name="Remarque 3 3 2 2 11 8 2" xfId="21460" xr:uid="{00000000-0005-0000-0000-0000F7920000}"/>
    <cellStyle name="Remarque 3 3 2 2 11 8 3" xfId="45420" xr:uid="{00000000-0005-0000-0000-0000F8920000}"/>
    <cellStyle name="Remarque 3 3 2 2 11 9" xfId="3017" xr:uid="{00000000-0005-0000-0000-0000F9920000}"/>
    <cellStyle name="Remarque 3 3 2 2 11 9 2" xfId="27031" xr:uid="{00000000-0005-0000-0000-0000FA920000}"/>
    <cellStyle name="Remarque 3 3 2 2 11 9 3" xfId="50991" xr:uid="{00000000-0005-0000-0000-0000FB920000}"/>
    <cellStyle name="Remarque 3 3 2 2 12" xfId="1533" xr:uid="{00000000-0005-0000-0000-0000FC920000}"/>
    <cellStyle name="Remarque 3 3 2 2 12 10" xfId="25565" xr:uid="{00000000-0005-0000-0000-0000FD920000}"/>
    <cellStyle name="Remarque 3 3 2 2 12 10 2" xfId="49525" xr:uid="{00000000-0005-0000-0000-0000FE920000}"/>
    <cellStyle name="Remarque 3 3 2 2 12 11" xfId="36325" xr:uid="{00000000-0005-0000-0000-0000FF920000}"/>
    <cellStyle name="Remarque 3 3 2 2 12 11 2" xfId="60285" xr:uid="{00000000-0005-0000-0000-000000930000}"/>
    <cellStyle name="Remarque 3 3 2 2 12 12" xfId="14230" xr:uid="{00000000-0005-0000-0000-000001930000}"/>
    <cellStyle name="Remarque 3 3 2 2 12 13" xfId="38190" xr:uid="{00000000-0005-0000-0000-000002930000}"/>
    <cellStyle name="Remarque 3 3 2 2 12 2" xfId="4439" xr:uid="{00000000-0005-0000-0000-000003930000}"/>
    <cellStyle name="Remarque 3 3 2 2 12 2 2" xfId="28453" xr:uid="{00000000-0005-0000-0000-000004930000}"/>
    <cellStyle name="Remarque 3 3 2 2 12 2 2 2" xfId="52413" xr:uid="{00000000-0005-0000-0000-000005930000}"/>
    <cellStyle name="Remarque 3 3 2 2 12 2 3" xfId="15700" xr:uid="{00000000-0005-0000-0000-000006930000}"/>
    <cellStyle name="Remarque 3 3 2 2 12 2 4" xfId="39660" xr:uid="{00000000-0005-0000-0000-000007930000}"/>
    <cellStyle name="Remarque 3 3 2 2 12 3" xfId="5873" xr:uid="{00000000-0005-0000-0000-000008930000}"/>
    <cellStyle name="Remarque 3 3 2 2 12 3 2" xfId="29887" xr:uid="{00000000-0005-0000-0000-000009930000}"/>
    <cellStyle name="Remarque 3 3 2 2 12 3 2 2" xfId="53847" xr:uid="{00000000-0005-0000-0000-00000A930000}"/>
    <cellStyle name="Remarque 3 3 2 2 12 3 3" xfId="17134" xr:uid="{00000000-0005-0000-0000-00000B930000}"/>
    <cellStyle name="Remarque 3 3 2 2 12 3 4" xfId="41094" xr:uid="{00000000-0005-0000-0000-00000C930000}"/>
    <cellStyle name="Remarque 3 3 2 2 12 4" xfId="7267" xr:uid="{00000000-0005-0000-0000-00000D930000}"/>
    <cellStyle name="Remarque 3 3 2 2 12 4 2" xfId="31281" xr:uid="{00000000-0005-0000-0000-00000E930000}"/>
    <cellStyle name="Remarque 3 3 2 2 12 4 2 2" xfId="55241" xr:uid="{00000000-0005-0000-0000-00000F930000}"/>
    <cellStyle name="Remarque 3 3 2 2 12 4 3" xfId="18528" xr:uid="{00000000-0005-0000-0000-000010930000}"/>
    <cellStyle name="Remarque 3 3 2 2 12 4 4" xfId="42488" xr:uid="{00000000-0005-0000-0000-000011930000}"/>
    <cellStyle name="Remarque 3 3 2 2 12 5" xfId="8655" xr:uid="{00000000-0005-0000-0000-000012930000}"/>
    <cellStyle name="Remarque 3 3 2 2 12 5 2" xfId="32669" xr:uid="{00000000-0005-0000-0000-000013930000}"/>
    <cellStyle name="Remarque 3 3 2 2 12 5 2 2" xfId="56629" xr:uid="{00000000-0005-0000-0000-000014930000}"/>
    <cellStyle name="Remarque 3 3 2 2 12 5 3" xfId="19916" xr:uid="{00000000-0005-0000-0000-000015930000}"/>
    <cellStyle name="Remarque 3 3 2 2 12 5 4" xfId="43876" xr:uid="{00000000-0005-0000-0000-000016930000}"/>
    <cellStyle name="Remarque 3 3 2 2 12 6" xfId="10040" xr:uid="{00000000-0005-0000-0000-000017930000}"/>
    <cellStyle name="Remarque 3 3 2 2 12 6 2" xfId="34054" xr:uid="{00000000-0005-0000-0000-000018930000}"/>
    <cellStyle name="Remarque 3 3 2 2 12 6 2 2" xfId="58014" xr:uid="{00000000-0005-0000-0000-000019930000}"/>
    <cellStyle name="Remarque 3 3 2 2 12 6 3" xfId="21301" xr:uid="{00000000-0005-0000-0000-00001A930000}"/>
    <cellStyle name="Remarque 3 3 2 2 12 6 4" xfId="45261" xr:uid="{00000000-0005-0000-0000-00001B930000}"/>
    <cellStyle name="Remarque 3 3 2 2 12 7" xfId="11497" xr:uid="{00000000-0005-0000-0000-00001C930000}"/>
    <cellStyle name="Remarque 3 3 2 2 12 7 2" xfId="35507" xr:uid="{00000000-0005-0000-0000-00001D930000}"/>
    <cellStyle name="Remarque 3 3 2 2 12 7 2 2" xfId="59467" xr:uid="{00000000-0005-0000-0000-00001E930000}"/>
    <cellStyle name="Remarque 3 3 2 2 12 7 3" xfId="22764" xr:uid="{00000000-0005-0000-0000-00001F930000}"/>
    <cellStyle name="Remarque 3 3 2 2 12 7 4" xfId="46724" xr:uid="{00000000-0005-0000-0000-000020930000}"/>
    <cellStyle name="Remarque 3 3 2 2 12 8" xfId="11939" xr:uid="{00000000-0005-0000-0000-000021930000}"/>
    <cellStyle name="Remarque 3 3 2 2 12 8 2" xfId="23217" xr:uid="{00000000-0005-0000-0000-000022930000}"/>
    <cellStyle name="Remarque 3 3 2 2 12 8 3" xfId="47177" xr:uid="{00000000-0005-0000-0000-000023930000}"/>
    <cellStyle name="Remarque 3 3 2 2 12 9" xfId="2969" xr:uid="{00000000-0005-0000-0000-000024930000}"/>
    <cellStyle name="Remarque 3 3 2 2 12 9 2" xfId="26983" xr:uid="{00000000-0005-0000-0000-000025930000}"/>
    <cellStyle name="Remarque 3 3 2 2 12 9 3" xfId="50943" xr:uid="{00000000-0005-0000-0000-000026930000}"/>
    <cellStyle name="Remarque 3 3 2 2 13" xfId="1598" xr:uid="{00000000-0005-0000-0000-000027930000}"/>
    <cellStyle name="Remarque 3 3 2 2 13 10" xfId="25630" xr:uid="{00000000-0005-0000-0000-000028930000}"/>
    <cellStyle name="Remarque 3 3 2 2 13 10 2" xfId="49590" xr:uid="{00000000-0005-0000-0000-000029930000}"/>
    <cellStyle name="Remarque 3 3 2 2 13 11" xfId="36857" xr:uid="{00000000-0005-0000-0000-00002A930000}"/>
    <cellStyle name="Remarque 3 3 2 2 13 11 2" xfId="60817" xr:uid="{00000000-0005-0000-0000-00002B930000}"/>
    <cellStyle name="Remarque 3 3 2 2 13 12" xfId="14295" xr:uid="{00000000-0005-0000-0000-00002C930000}"/>
    <cellStyle name="Remarque 3 3 2 2 13 13" xfId="38255" xr:uid="{00000000-0005-0000-0000-00002D930000}"/>
    <cellStyle name="Remarque 3 3 2 2 13 2" xfId="4504" xr:uid="{00000000-0005-0000-0000-00002E930000}"/>
    <cellStyle name="Remarque 3 3 2 2 13 2 2" xfId="28518" xr:uid="{00000000-0005-0000-0000-00002F930000}"/>
    <cellStyle name="Remarque 3 3 2 2 13 2 2 2" xfId="52478" xr:uid="{00000000-0005-0000-0000-000030930000}"/>
    <cellStyle name="Remarque 3 3 2 2 13 2 3" xfId="15765" xr:uid="{00000000-0005-0000-0000-000031930000}"/>
    <cellStyle name="Remarque 3 3 2 2 13 2 4" xfId="39725" xr:uid="{00000000-0005-0000-0000-000032930000}"/>
    <cellStyle name="Remarque 3 3 2 2 13 3" xfId="5938" xr:uid="{00000000-0005-0000-0000-000033930000}"/>
    <cellStyle name="Remarque 3 3 2 2 13 3 2" xfId="29952" xr:uid="{00000000-0005-0000-0000-000034930000}"/>
    <cellStyle name="Remarque 3 3 2 2 13 3 2 2" xfId="53912" xr:uid="{00000000-0005-0000-0000-000035930000}"/>
    <cellStyle name="Remarque 3 3 2 2 13 3 3" xfId="17199" xr:uid="{00000000-0005-0000-0000-000036930000}"/>
    <cellStyle name="Remarque 3 3 2 2 13 3 4" xfId="41159" xr:uid="{00000000-0005-0000-0000-000037930000}"/>
    <cellStyle name="Remarque 3 3 2 2 13 4" xfId="7332" xr:uid="{00000000-0005-0000-0000-000038930000}"/>
    <cellStyle name="Remarque 3 3 2 2 13 4 2" xfId="31346" xr:uid="{00000000-0005-0000-0000-000039930000}"/>
    <cellStyle name="Remarque 3 3 2 2 13 4 2 2" xfId="55306" xr:uid="{00000000-0005-0000-0000-00003A930000}"/>
    <cellStyle name="Remarque 3 3 2 2 13 4 3" xfId="18593" xr:uid="{00000000-0005-0000-0000-00003B930000}"/>
    <cellStyle name="Remarque 3 3 2 2 13 4 4" xfId="42553" xr:uid="{00000000-0005-0000-0000-00003C930000}"/>
    <cellStyle name="Remarque 3 3 2 2 13 5" xfId="8720" xr:uid="{00000000-0005-0000-0000-00003D930000}"/>
    <cellStyle name="Remarque 3 3 2 2 13 5 2" xfId="32734" xr:uid="{00000000-0005-0000-0000-00003E930000}"/>
    <cellStyle name="Remarque 3 3 2 2 13 5 2 2" xfId="56694" xr:uid="{00000000-0005-0000-0000-00003F930000}"/>
    <cellStyle name="Remarque 3 3 2 2 13 5 3" xfId="19981" xr:uid="{00000000-0005-0000-0000-000040930000}"/>
    <cellStyle name="Remarque 3 3 2 2 13 5 4" xfId="43941" xr:uid="{00000000-0005-0000-0000-000041930000}"/>
    <cellStyle name="Remarque 3 3 2 2 13 6" xfId="10105" xr:uid="{00000000-0005-0000-0000-000042930000}"/>
    <cellStyle name="Remarque 3 3 2 2 13 6 2" xfId="34119" xr:uid="{00000000-0005-0000-0000-000043930000}"/>
    <cellStyle name="Remarque 3 3 2 2 13 6 2 2" xfId="58079" xr:uid="{00000000-0005-0000-0000-000044930000}"/>
    <cellStyle name="Remarque 3 3 2 2 13 6 3" xfId="21366" xr:uid="{00000000-0005-0000-0000-000045930000}"/>
    <cellStyle name="Remarque 3 3 2 2 13 6 4" xfId="45326" xr:uid="{00000000-0005-0000-0000-000046930000}"/>
    <cellStyle name="Remarque 3 3 2 2 13 7" xfId="11562" xr:uid="{00000000-0005-0000-0000-000047930000}"/>
    <cellStyle name="Remarque 3 3 2 2 13 7 2" xfId="35572" xr:uid="{00000000-0005-0000-0000-000048930000}"/>
    <cellStyle name="Remarque 3 3 2 2 13 7 2 2" xfId="59532" xr:uid="{00000000-0005-0000-0000-000049930000}"/>
    <cellStyle name="Remarque 3 3 2 2 13 7 3" xfId="22829" xr:uid="{00000000-0005-0000-0000-00004A930000}"/>
    <cellStyle name="Remarque 3 3 2 2 13 7 4" xfId="46789" xr:uid="{00000000-0005-0000-0000-00004B930000}"/>
    <cellStyle name="Remarque 3 3 2 2 13 8" xfId="10144" xr:uid="{00000000-0005-0000-0000-00004C930000}"/>
    <cellStyle name="Remarque 3 3 2 2 13 8 2" xfId="21409" xr:uid="{00000000-0005-0000-0000-00004D930000}"/>
    <cellStyle name="Remarque 3 3 2 2 13 8 3" xfId="45369" xr:uid="{00000000-0005-0000-0000-00004E930000}"/>
    <cellStyle name="Remarque 3 3 2 2 13 9" xfId="3034" xr:uid="{00000000-0005-0000-0000-00004F930000}"/>
    <cellStyle name="Remarque 3 3 2 2 13 9 2" xfId="27048" xr:uid="{00000000-0005-0000-0000-000050930000}"/>
    <cellStyle name="Remarque 3 3 2 2 13 9 3" xfId="51008" xr:uid="{00000000-0005-0000-0000-000051930000}"/>
    <cellStyle name="Remarque 3 3 2 2 14" xfId="223" xr:uid="{00000000-0005-0000-0000-000052930000}"/>
    <cellStyle name="Remarque 3 3 2 2 14 10" xfId="35738" xr:uid="{00000000-0005-0000-0000-000053930000}"/>
    <cellStyle name="Remarque 3 3 2 2 14 10 2" xfId="59698" xr:uid="{00000000-0005-0000-0000-000054930000}"/>
    <cellStyle name="Remarque 3 3 2 2 14 11" xfId="14390" xr:uid="{00000000-0005-0000-0000-000055930000}"/>
    <cellStyle name="Remarque 3 3 2 2 14 12" xfId="38350" xr:uid="{00000000-0005-0000-0000-000056930000}"/>
    <cellStyle name="Remarque 3 3 2 2 14 2" xfId="4568" xr:uid="{00000000-0005-0000-0000-000057930000}"/>
    <cellStyle name="Remarque 3 3 2 2 14 2 2" xfId="28582" xr:uid="{00000000-0005-0000-0000-000058930000}"/>
    <cellStyle name="Remarque 3 3 2 2 14 2 2 2" xfId="52542" xr:uid="{00000000-0005-0000-0000-000059930000}"/>
    <cellStyle name="Remarque 3 3 2 2 14 2 3" xfId="15829" xr:uid="{00000000-0005-0000-0000-00005A930000}"/>
    <cellStyle name="Remarque 3 3 2 2 14 2 4" xfId="39789" xr:uid="{00000000-0005-0000-0000-00005B930000}"/>
    <cellStyle name="Remarque 3 3 2 2 14 3" xfId="5967" xr:uid="{00000000-0005-0000-0000-00005C930000}"/>
    <cellStyle name="Remarque 3 3 2 2 14 3 2" xfId="29981" xr:uid="{00000000-0005-0000-0000-00005D930000}"/>
    <cellStyle name="Remarque 3 3 2 2 14 3 2 2" xfId="53941" xr:uid="{00000000-0005-0000-0000-00005E930000}"/>
    <cellStyle name="Remarque 3 3 2 2 14 3 3" xfId="17228" xr:uid="{00000000-0005-0000-0000-00005F930000}"/>
    <cellStyle name="Remarque 3 3 2 2 14 3 4" xfId="41188" xr:uid="{00000000-0005-0000-0000-000060930000}"/>
    <cellStyle name="Remarque 3 3 2 2 14 4" xfId="7361" xr:uid="{00000000-0005-0000-0000-000061930000}"/>
    <cellStyle name="Remarque 3 3 2 2 14 4 2" xfId="31375" xr:uid="{00000000-0005-0000-0000-000062930000}"/>
    <cellStyle name="Remarque 3 3 2 2 14 4 2 2" xfId="55335" xr:uid="{00000000-0005-0000-0000-000063930000}"/>
    <cellStyle name="Remarque 3 3 2 2 14 4 3" xfId="18622" xr:uid="{00000000-0005-0000-0000-000064930000}"/>
    <cellStyle name="Remarque 3 3 2 2 14 4 4" xfId="42582" xr:uid="{00000000-0005-0000-0000-000065930000}"/>
    <cellStyle name="Remarque 3 3 2 2 14 5" xfId="8749" xr:uid="{00000000-0005-0000-0000-000066930000}"/>
    <cellStyle name="Remarque 3 3 2 2 14 5 2" xfId="32763" xr:uid="{00000000-0005-0000-0000-000067930000}"/>
    <cellStyle name="Remarque 3 3 2 2 14 5 2 2" xfId="56723" xr:uid="{00000000-0005-0000-0000-000068930000}"/>
    <cellStyle name="Remarque 3 3 2 2 14 5 3" xfId="20010" xr:uid="{00000000-0005-0000-0000-000069930000}"/>
    <cellStyle name="Remarque 3 3 2 2 14 5 4" xfId="43970" xr:uid="{00000000-0005-0000-0000-00006A930000}"/>
    <cellStyle name="Remarque 3 3 2 2 14 6" xfId="10189" xr:uid="{00000000-0005-0000-0000-00006B930000}"/>
    <cellStyle name="Remarque 3 3 2 2 14 6 2" xfId="34201" xr:uid="{00000000-0005-0000-0000-00006C930000}"/>
    <cellStyle name="Remarque 3 3 2 2 14 6 2 2" xfId="58161" xr:uid="{00000000-0005-0000-0000-00006D930000}"/>
    <cellStyle name="Remarque 3 3 2 2 14 6 3" xfId="21454" xr:uid="{00000000-0005-0000-0000-00006E930000}"/>
    <cellStyle name="Remarque 3 3 2 2 14 6 4" xfId="45414" xr:uid="{00000000-0005-0000-0000-00006F930000}"/>
    <cellStyle name="Remarque 3 3 2 2 14 7" xfId="12113" xr:uid="{00000000-0005-0000-0000-000070930000}"/>
    <cellStyle name="Remarque 3 3 2 2 14 7 2" xfId="23396" xr:uid="{00000000-0005-0000-0000-000071930000}"/>
    <cellStyle name="Remarque 3 3 2 2 14 7 3" xfId="47356" xr:uid="{00000000-0005-0000-0000-000072930000}"/>
    <cellStyle name="Remarque 3 3 2 2 14 8" xfId="3129" xr:uid="{00000000-0005-0000-0000-000073930000}"/>
    <cellStyle name="Remarque 3 3 2 2 14 8 2" xfId="27143" xr:uid="{00000000-0005-0000-0000-000074930000}"/>
    <cellStyle name="Remarque 3 3 2 2 14 8 3" xfId="51103" xr:uid="{00000000-0005-0000-0000-000075930000}"/>
    <cellStyle name="Remarque 3 3 2 2 14 9" xfId="24255" xr:uid="{00000000-0005-0000-0000-000076930000}"/>
    <cellStyle name="Remarque 3 3 2 2 14 9 2" xfId="48215" xr:uid="{00000000-0005-0000-0000-000077930000}"/>
    <cellStyle name="Remarque 3 3 2 2 15" xfId="3098" xr:uid="{00000000-0005-0000-0000-000078930000}"/>
    <cellStyle name="Remarque 3 3 2 2 15 2" xfId="27112" xr:uid="{00000000-0005-0000-0000-000079930000}"/>
    <cellStyle name="Remarque 3 3 2 2 15 2 2" xfId="51072" xr:uid="{00000000-0005-0000-0000-00007A930000}"/>
    <cellStyle name="Remarque 3 3 2 2 15 3" xfId="14359" xr:uid="{00000000-0005-0000-0000-00007B930000}"/>
    <cellStyle name="Remarque 3 3 2 2 15 4" xfId="38319" xr:uid="{00000000-0005-0000-0000-00007C930000}"/>
    <cellStyle name="Remarque 3 3 2 2 16" xfId="4537" xr:uid="{00000000-0005-0000-0000-00007D930000}"/>
    <cellStyle name="Remarque 3 3 2 2 16 2" xfId="28551" xr:uid="{00000000-0005-0000-0000-00007E930000}"/>
    <cellStyle name="Remarque 3 3 2 2 16 2 2" xfId="52511" xr:uid="{00000000-0005-0000-0000-00007F930000}"/>
    <cellStyle name="Remarque 3 3 2 2 16 3" xfId="15798" xr:uid="{00000000-0005-0000-0000-000080930000}"/>
    <cellStyle name="Remarque 3 3 2 2 16 4" xfId="39758" xr:uid="{00000000-0005-0000-0000-000081930000}"/>
    <cellStyle name="Remarque 3 3 2 2 17" xfId="3054" xr:uid="{00000000-0005-0000-0000-000082930000}"/>
    <cellStyle name="Remarque 3 3 2 2 17 2" xfId="27068" xr:uid="{00000000-0005-0000-0000-000083930000}"/>
    <cellStyle name="Remarque 3 3 2 2 17 2 2" xfId="51028" xr:uid="{00000000-0005-0000-0000-000084930000}"/>
    <cellStyle name="Remarque 3 3 2 2 17 3" xfId="14315" xr:uid="{00000000-0005-0000-0000-000085930000}"/>
    <cellStyle name="Remarque 3 3 2 2 17 4" xfId="38275" xr:uid="{00000000-0005-0000-0000-000086930000}"/>
    <cellStyle name="Remarque 3 3 2 2 18" xfId="4516" xr:uid="{00000000-0005-0000-0000-000087930000}"/>
    <cellStyle name="Remarque 3 3 2 2 18 2" xfId="28530" xr:uid="{00000000-0005-0000-0000-000088930000}"/>
    <cellStyle name="Remarque 3 3 2 2 18 2 2" xfId="52490" xr:uid="{00000000-0005-0000-0000-000089930000}"/>
    <cellStyle name="Remarque 3 3 2 2 18 3" xfId="15777" xr:uid="{00000000-0005-0000-0000-00008A930000}"/>
    <cellStyle name="Remarque 3 3 2 2 18 4" xfId="39737" xr:uid="{00000000-0005-0000-0000-00008B930000}"/>
    <cellStyle name="Remarque 3 3 2 2 19" xfId="4520" xr:uid="{00000000-0005-0000-0000-00008C930000}"/>
    <cellStyle name="Remarque 3 3 2 2 19 2" xfId="28534" xr:uid="{00000000-0005-0000-0000-00008D930000}"/>
    <cellStyle name="Remarque 3 3 2 2 19 2 2" xfId="52494" xr:uid="{00000000-0005-0000-0000-00008E930000}"/>
    <cellStyle name="Remarque 3 3 2 2 19 3" xfId="15781" xr:uid="{00000000-0005-0000-0000-00008F930000}"/>
    <cellStyle name="Remarque 3 3 2 2 19 4" xfId="39741" xr:uid="{00000000-0005-0000-0000-000090930000}"/>
    <cellStyle name="Remarque 3 3 2 2 2" xfId="112" xr:uid="{00000000-0005-0000-0000-000091930000}"/>
    <cellStyle name="Remarque 3 3 2 2 2 10" xfId="3171" xr:uid="{00000000-0005-0000-0000-000092930000}"/>
    <cellStyle name="Remarque 3 3 2 2 2 10 2" xfId="27185" xr:uid="{00000000-0005-0000-0000-000093930000}"/>
    <cellStyle name="Remarque 3 3 2 2 2 10 2 2" xfId="51145" xr:uid="{00000000-0005-0000-0000-000094930000}"/>
    <cellStyle name="Remarque 3 3 2 2 2 10 3" xfId="14432" xr:uid="{00000000-0005-0000-0000-000095930000}"/>
    <cellStyle name="Remarque 3 3 2 2 2 10 4" xfId="38392" xr:uid="{00000000-0005-0000-0000-000096930000}"/>
    <cellStyle name="Remarque 3 3 2 2 2 11" xfId="4605" xr:uid="{00000000-0005-0000-0000-000097930000}"/>
    <cellStyle name="Remarque 3 3 2 2 2 11 2" xfId="28619" xr:uid="{00000000-0005-0000-0000-000098930000}"/>
    <cellStyle name="Remarque 3 3 2 2 2 11 2 2" xfId="52579" xr:uid="{00000000-0005-0000-0000-000099930000}"/>
    <cellStyle name="Remarque 3 3 2 2 2 11 3" xfId="15866" xr:uid="{00000000-0005-0000-0000-00009A930000}"/>
    <cellStyle name="Remarque 3 3 2 2 2 11 4" xfId="39826" xr:uid="{00000000-0005-0000-0000-00009B930000}"/>
    <cellStyle name="Remarque 3 3 2 2 2 12" xfId="5999" xr:uid="{00000000-0005-0000-0000-00009C930000}"/>
    <cellStyle name="Remarque 3 3 2 2 2 12 2" xfId="30013" xr:uid="{00000000-0005-0000-0000-00009D930000}"/>
    <cellStyle name="Remarque 3 3 2 2 2 12 2 2" xfId="53973" xr:uid="{00000000-0005-0000-0000-00009E930000}"/>
    <cellStyle name="Remarque 3 3 2 2 2 12 3" xfId="17260" xr:uid="{00000000-0005-0000-0000-00009F930000}"/>
    <cellStyle name="Remarque 3 3 2 2 2 12 4" xfId="41220" xr:uid="{00000000-0005-0000-0000-0000A0930000}"/>
    <cellStyle name="Remarque 3 3 2 2 2 13" xfId="7387" xr:uid="{00000000-0005-0000-0000-0000A1930000}"/>
    <cellStyle name="Remarque 3 3 2 2 2 13 2" xfId="31401" xr:uid="{00000000-0005-0000-0000-0000A2930000}"/>
    <cellStyle name="Remarque 3 3 2 2 2 13 2 2" xfId="55361" xr:uid="{00000000-0005-0000-0000-0000A3930000}"/>
    <cellStyle name="Remarque 3 3 2 2 2 13 3" xfId="18648" xr:uid="{00000000-0005-0000-0000-0000A4930000}"/>
    <cellStyle name="Remarque 3 3 2 2 2 13 4" xfId="42608" xr:uid="{00000000-0005-0000-0000-0000A5930000}"/>
    <cellStyle name="Remarque 3 3 2 2 2 14" xfId="8772" xr:uid="{00000000-0005-0000-0000-0000A6930000}"/>
    <cellStyle name="Remarque 3 3 2 2 2 14 2" xfId="32786" xr:uid="{00000000-0005-0000-0000-0000A7930000}"/>
    <cellStyle name="Remarque 3 3 2 2 2 14 2 2" xfId="56746" xr:uid="{00000000-0005-0000-0000-0000A8930000}"/>
    <cellStyle name="Remarque 3 3 2 2 2 14 3" xfId="20033" xr:uid="{00000000-0005-0000-0000-0000A9930000}"/>
    <cellStyle name="Remarque 3 3 2 2 2 14 4" xfId="43993" xr:uid="{00000000-0005-0000-0000-0000AA930000}"/>
    <cellStyle name="Remarque 3 3 2 2 2 15" xfId="10229" xr:uid="{00000000-0005-0000-0000-0000AB930000}"/>
    <cellStyle name="Remarque 3 3 2 2 2 15 2" xfId="34239" xr:uid="{00000000-0005-0000-0000-0000AC930000}"/>
    <cellStyle name="Remarque 3 3 2 2 2 15 2 2" xfId="58199" xr:uid="{00000000-0005-0000-0000-0000AD930000}"/>
    <cellStyle name="Remarque 3 3 2 2 2 15 3" xfId="21496" xr:uid="{00000000-0005-0000-0000-0000AE930000}"/>
    <cellStyle name="Remarque 3 3 2 2 2 15 4" xfId="45456" xr:uid="{00000000-0005-0000-0000-0000AF930000}"/>
    <cellStyle name="Remarque 3 3 2 2 2 16" xfId="12421" xr:uid="{00000000-0005-0000-0000-0000B0930000}"/>
    <cellStyle name="Remarque 3 3 2 2 2 16 2" xfId="23712" xr:uid="{00000000-0005-0000-0000-0000B1930000}"/>
    <cellStyle name="Remarque 3 3 2 2 2 16 3" xfId="47672" xr:uid="{00000000-0005-0000-0000-0000B2930000}"/>
    <cellStyle name="Remarque 3 3 2 2 2 17" xfId="1701" xr:uid="{00000000-0005-0000-0000-0000B3930000}"/>
    <cellStyle name="Remarque 3 3 2 2 2 17 2" xfId="25715" xr:uid="{00000000-0005-0000-0000-0000B4930000}"/>
    <cellStyle name="Remarque 3 3 2 2 2 17 3" xfId="49675" xr:uid="{00000000-0005-0000-0000-0000B5930000}"/>
    <cellStyle name="Remarque 3 3 2 2 2 18" xfId="24297" xr:uid="{00000000-0005-0000-0000-0000B6930000}"/>
    <cellStyle name="Remarque 3 3 2 2 2 18 2" xfId="48257" xr:uid="{00000000-0005-0000-0000-0000B7930000}"/>
    <cellStyle name="Remarque 3 3 2 2 2 19" xfId="36098" xr:uid="{00000000-0005-0000-0000-0000B8930000}"/>
    <cellStyle name="Remarque 3 3 2 2 2 19 2" xfId="60058" xr:uid="{00000000-0005-0000-0000-0000B9930000}"/>
    <cellStyle name="Remarque 3 3 2 2 2 2" xfId="440" xr:uid="{00000000-0005-0000-0000-0000BA930000}"/>
    <cellStyle name="Remarque 3 3 2 2 2 2 10" xfId="6174" xr:uid="{00000000-0005-0000-0000-0000BB930000}"/>
    <cellStyle name="Remarque 3 3 2 2 2 2 10 2" xfId="30188" xr:uid="{00000000-0005-0000-0000-0000BC930000}"/>
    <cellStyle name="Remarque 3 3 2 2 2 2 10 2 2" xfId="54148" xr:uid="{00000000-0005-0000-0000-0000BD930000}"/>
    <cellStyle name="Remarque 3 3 2 2 2 2 10 3" xfId="17435" xr:uid="{00000000-0005-0000-0000-0000BE930000}"/>
    <cellStyle name="Remarque 3 3 2 2 2 2 10 4" xfId="41395" xr:uid="{00000000-0005-0000-0000-0000BF930000}"/>
    <cellStyle name="Remarque 3 3 2 2 2 2 11" xfId="7562" xr:uid="{00000000-0005-0000-0000-0000C0930000}"/>
    <cellStyle name="Remarque 3 3 2 2 2 2 11 2" xfId="31576" xr:uid="{00000000-0005-0000-0000-0000C1930000}"/>
    <cellStyle name="Remarque 3 3 2 2 2 2 11 2 2" xfId="55536" xr:uid="{00000000-0005-0000-0000-0000C2930000}"/>
    <cellStyle name="Remarque 3 3 2 2 2 2 11 3" xfId="18823" xr:uid="{00000000-0005-0000-0000-0000C3930000}"/>
    <cellStyle name="Remarque 3 3 2 2 2 2 11 4" xfId="42783" xr:uid="{00000000-0005-0000-0000-0000C4930000}"/>
    <cellStyle name="Remarque 3 3 2 2 2 2 12" xfId="8947" xr:uid="{00000000-0005-0000-0000-0000C5930000}"/>
    <cellStyle name="Remarque 3 3 2 2 2 2 12 2" xfId="32961" xr:uid="{00000000-0005-0000-0000-0000C6930000}"/>
    <cellStyle name="Remarque 3 3 2 2 2 2 12 2 2" xfId="56921" xr:uid="{00000000-0005-0000-0000-0000C7930000}"/>
    <cellStyle name="Remarque 3 3 2 2 2 2 12 3" xfId="20208" xr:uid="{00000000-0005-0000-0000-0000C8930000}"/>
    <cellStyle name="Remarque 3 3 2 2 2 2 12 4" xfId="44168" xr:uid="{00000000-0005-0000-0000-0000C9930000}"/>
    <cellStyle name="Remarque 3 3 2 2 2 2 13" xfId="10404" xr:uid="{00000000-0005-0000-0000-0000CA930000}"/>
    <cellStyle name="Remarque 3 3 2 2 2 2 13 2" xfId="34414" xr:uid="{00000000-0005-0000-0000-0000CB930000}"/>
    <cellStyle name="Remarque 3 3 2 2 2 2 13 2 2" xfId="58374" xr:uid="{00000000-0005-0000-0000-0000CC930000}"/>
    <cellStyle name="Remarque 3 3 2 2 2 2 13 3" xfId="21671" xr:uid="{00000000-0005-0000-0000-0000CD930000}"/>
    <cellStyle name="Remarque 3 3 2 2 2 2 13 4" xfId="45631" xr:uid="{00000000-0005-0000-0000-0000CE930000}"/>
    <cellStyle name="Remarque 3 3 2 2 2 2 14" xfId="12152" xr:uid="{00000000-0005-0000-0000-0000CF930000}"/>
    <cellStyle name="Remarque 3 3 2 2 2 2 14 2" xfId="23435" xr:uid="{00000000-0005-0000-0000-0000D0930000}"/>
    <cellStyle name="Remarque 3 3 2 2 2 2 14 3" xfId="47395" xr:uid="{00000000-0005-0000-0000-0000D1930000}"/>
    <cellStyle name="Remarque 3 3 2 2 2 2 15" xfId="1876" xr:uid="{00000000-0005-0000-0000-0000D2930000}"/>
    <cellStyle name="Remarque 3 3 2 2 2 2 15 2" xfId="25890" xr:uid="{00000000-0005-0000-0000-0000D3930000}"/>
    <cellStyle name="Remarque 3 3 2 2 2 2 15 3" xfId="49850" xr:uid="{00000000-0005-0000-0000-0000D4930000}"/>
    <cellStyle name="Remarque 3 3 2 2 2 2 16" xfId="24472" xr:uid="{00000000-0005-0000-0000-0000D5930000}"/>
    <cellStyle name="Remarque 3 3 2 2 2 2 16 2" xfId="48432" xr:uid="{00000000-0005-0000-0000-0000D6930000}"/>
    <cellStyle name="Remarque 3 3 2 2 2 2 17" xfId="24260" xr:uid="{00000000-0005-0000-0000-0000D7930000}"/>
    <cellStyle name="Remarque 3 3 2 2 2 2 17 2" xfId="48220" xr:uid="{00000000-0005-0000-0000-0000D8930000}"/>
    <cellStyle name="Remarque 3 3 2 2 2 2 18" xfId="13137" xr:uid="{00000000-0005-0000-0000-0000D9930000}"/>
    <cellStyle name="Remarque 3 3 2 2 2 2 19" xfId="37097" xr:uid="{00000000-0005-0000-0000-0000DA930000}"/>
    <cellStyle name="Remarque 3 3 2 2 2 2 2" xfId="576" xr:uid="{00000000-0005-0000-0000-0000DB930000}"/>
    <cellStyle name="Remarque 3 3 2 2 2 2 2 10" xfId="24608" xr:uid="{00000000-0005-0000-0000-0000DC930000}"/>
    <cellStyle name="Remarque 3 3 2 2 2 2 2 10 2" xfId="48568" xr:uid="{00000000-0005-0000-0000-0000DD930000}"/>
    <cellStyle name="Remarque 3 3 2 2 2 2 2 11" xfId="36734" xr:uid="{00000000-0005-0000-0000-0000DE930000}"/>
    <cellStyle name="Remarque 3 3 2 2 2 2 2 11 2" xfId="60694" xr:uid="{00000000-0005-0000-0000-0000DF930000}"/>
    <cellStyle name="Remarque 3 3 2 2 2 2 2 12" xfId="13273" xr:uid="{00000000-0005-0000-0000-0000E0930000}"/>
    <cellStyle name="Remarque 3 3 2 2 2 2 2 13" xfId="37233" xr:uid="{00000000-0005-0000-0000-0000E1930000}"/>
    <cellStyle name="Remarque 3 3 2 2 2 2 2 2" xfId="3482" xr:uid="{00000000-0005-0000-0000-0000E2930000}"/>
    <cellStyle name="Remarque 3 3 2 2 2 2 2 2 2" xfId="27496" xr:uid="{00000000-0005-0000-0000-0000E3930000}"/>
    <cellStyle name="Remarque 3 3 2 2 2 2 2 2 2 2" xfId="51456" xr:uid="{00000000-0005-0000-0000-0000E4930000}"/>
    <cellStyle name="Remarque 3 3 2 2 2 2 2 2 3" xfId="14743" xr:uid="{00000000-0005-0000-0000-0000E5930000}"/>
    <cellStyle name="Remarque 3 3 2 2 2 2 2 2 4" xfId="38703" xr:uid="{00000000-0005-0000-0000-0000E6930000}"/>
    <cellStyle name="Remarque 3 3 2 2 2 2 2 3" xfId="4916" xr:uid="{00000000-0005-0000-0000-0000E7930000}"/>
    <cellStyle name="Remarque 3 3 2 2 2 2 2 3 2" xfId="28930" xr:uid="{00000000-0005-0000-0000-0000E8930000}"/>
    <cellStyle name="Remarque 3 3 2 2 2 2 2 3 2 2" xfId="52890" xr:uid="{00000000-0005-0000-0000-0000E9930000}"/>
    <cellStyle name="Remarque 3 3 2 2 2 2 2 3 3" xfId="16177" xr:uid="{00000000-0005-0000-0000-0000EA930000}"/>
    <cellStyle name="Remarque 3 3 2 2 2 2 2 3 4" xfId="40137" xr:uid="{00000000-0005-0000-0000-0000EB930000}"/>
    <cellStyle name="Remarque 3 3 2 2 2 2 2 4" xfId="6310" xr:uid="{00000000-0005-0000-0000-0000EC930000}"/>
    <cellStyle name="Remarque 3 3 2 2 2 2 2 4 2" xfId="30324" xr:uid="{00000000-0005-0000-0000-0000ED930000}"/>
    <cellStyle name="Remarque 3 3 2 2 2 2 2 4 2 2" xfId="54284" xr:uid="{00000000-0005-0000-0000-0000EE930000}"/>
    <cellStyle name="Remarque 3 3 2 2 2 2 2 4 3" xfId="17571" xr:uid="{00000000-0005-0000-0000-0000EF930000}"/>
    <cellStyle name="Remarque 3 3 2 2 2 2 2 4 4" xfId="41531" xr:uid="{00000000-0005-0000-0000-0000F0930000}"/>
    <cellStyle name="Remarque 3 3 2 2 2 2 2 5" xfId="7698" xr:uid="{00000000-0005-0000-0000-0000F1930000}"/>
    <cellStyle name="Remarque 3 3 2 2 2 2 2 5 2" xfId="31712" xr:uid="{00000000-0005-0000-0000-0000F2930000}"/>
    <cellStyle name="Remarque 3 3 2 2 2 2 2 5 2 2" xfId="55672" xr:uid="{00000000-0005-0000-0000-0000F3930000}"/>
    <cellStyle name="Remarque 3 3 2 2 2 2 2 5 3" xfId="18959" xr:uid="{00000000-0005-0000-0000-0000F4930000}"/>
    <cellStyle name="Remarque 3 3 2 2 2 2 2 5 4" xfId="42919" xr:uid="{00000000-0005-0000-0000-0000F5930000}"/>
    <cellStyle name="Remarque 3 3 2 2 2 2 2 6" xfId="9083" xr:uid="{00000000-0005-0000-0000-0000F6930000}"/>
    <cellStyle name="Remarque 3 3 2 2 2 2 2 6 2" xfId="33097" xr:uid="{00000000-0005-0000-0000-0000F7930000}"/>
    <cellStyle name="Remarque 3 3 2 2 2 2 2 6 2 2" xfId="57057" xr:uid="{00000000-0005-0000-0000-0000F8930000}"/>
    <cellStyle name="Remarque 3 3 2 2 2 2 2 6 3" xfId="20344" xr:uid="{00000000-0005-0000-0000-0000F9930000}"/>
    <cellStyle name="Remarque 3 3 2 2 2 2 2 6 4" xfId="44304" xr:uid="{00000000-0005-0000-0000-0000FA930000}"/>
    <cellStyle name="Remarque 3 3 2 2 2 2 2 7" xfId="10540" xr:uid="{00000000-0005-0000-0000-0000FB930000}"/>
    <cellStyle name="Remarque 3 3 2 2 2 2 2 7 2" xfId="34550" xr:uid="{00000000-0005-0000-0000-0000FC930000}"/>
    <cellStyle name="Remarque 3 3 2 2 2 2 2 7 2 2" xfId="58510" xr:uid="{00000000-0005-0000-0000-0000FD930000}"/>
    <cellStyle name="Remarque 3 3 2 2 2 2 2 7 3" xfId="21807" xr:uid="{00000000-0005-0000-0000-0000FE930000}"/>
    <cellStyle name="Remarque 3 3 2 2 2 2 2 7 4" xfId="45767" xr:uid="{00000000-0005-0000-0000-0000FF930000}"/>
    <cellStyle name="Remarque 3 3 2 2 2 2 2 8" xfId="10133" xr:uid="{00000000-0005-0000-0000-000000940000}"/>
    <cellStyle name="Remarque 3 3 2 2 2 2 2 8 2" xfId="21396" xr:uid="{00000000-0005-0000-0000-000001940000}"/>
    <cellStyle name="Remarque 3 3 2 2 2 2 2 8 3" xfId="45356" xr:uid="{00000000-0005-0000-0000-000002940000}"/>
    <cellStyle name="Remarque 3 3 2 2 2 2 2 9" xfId="2012" xr:uid="{00000000-0005-0000-0000-000003940000}"/>
    <cellStyle name="Remarque 3 3 2 2 2 2 2 9 2" xfId="26026" xr:uid="{00000000-0005-0000-0000-000004940000}"/>
    <cellStyle name="Remarque 3 3 2 2 2 2 2 9 3" xfId="49986" xr:uid="{00000000-0005-0000-0000-000005940000}"/>
    <cellStyle name="Remarque 3 3 2 2 2 2 3" xfId="768" xr:uid="{00000000-0005-0000-0000-000006940000}"/>
    <cellStyle name="Remarque 3 3 2 2 2 2 3 10" xfId="24800" xr:uid="{00000000-0005-0000-0000-000007940000}"/>
    <cellStyle name="Remarque 3 3 2 2 2 2 3 10 2" xfId="48760" xr:uid="{00000000-0005-0000-0000-000008940000}"/>
    <cellStyle name="Remarque 3 3 2 2 2 2 3 11" xfId="36339" xr:uid="{00000000-0005-0000-0000-000009940000}"/>
    <cellStyle name="Remarque 3 3 2 2 2 2 3 11 2" xfId="60299" xr:uid="{00000000-0005-0000-0000-00000A940000}"/>
    <cellStyle name="Remarque 3 3 2 2 2 2 3 12" xfId="13465" xr:uid="{00000000-0005-0000-0000-00000B940000}"/>
    <cellStyle name="Remarque 3 3 2 2 2 2 3 13" xfId="37425" xr:uid="{00000000-0005-0000-0000-00000C940000}"/>
    <cellStyle name="Remarque 3 3 2 2 2 2 3 2" xfId="3674" xr:uid="{00000000-0005-0000-0000-00000D940000}"/>
    <cellStyle name="Remarque 3 3 2 2 2 2 3 2 2" xfId="27688" xr:uid="{00000000-0005-0000-0000-00000E940000}"/>
    <cellStyle name="Remarque 3 3 2 2 2 2 3 2 2 2" xfId="51648" xr:uid="{00000000-0005-0000-0000-00000F940000}"/>
    <cellStyle name="Remarque 3 3 2 2 2 2 3 2 3" xfId="14935" xr:uid="{00000000-0005-0000-0000-000010940000}"/>
    <cellStyle name="Remarque 3 3 2 2 2 2 3 2 4" xfId="38895" xr:uid="{00000000-0005-0000-0000-000011940000}"/>
    <cellStyle name="Remarque 3 3 2 2 2 2 3 3" xfId="5108" xr:uid="{00000000-0005-0000-0000-000012940000}"/>
    <cellStyle name="Remarque 3 3 2 2 2 2 3 3 2" xfId="29122" xr:uid="{00000000-0005-0000-0000-000013940000}"/>
    <cellStyle name="Remarque 3 3 2 2 2 2 3 3 2 2" xfId="53082" xr:uid="{00000000-0005-0000-0000-000014940000}"/>
    <cellStyle name="Remarque 3 3 2 2 2 2 3 3 3" xfId="16369" xr:uid="{00000000-0005-0000-0000-000015940000}"/>
    <cellStyle name="Remarque 3 3 2 2 2 2 3 3 4" xfId="40329" xr:uid="{00000000-0005-0000-0000-000016940000}"/>
    <cellStyle name="Remarque 3 3 2 2 2 2 3 4" xfId="6502" xr:uid="{00000000-0005-0000-0000-000017940000}"/>
    <cellStyle name="Remarque 3 3 2 2 2 2 3 4 2" xfId="30516" xr:uid="{00000000-0005-0000-0000-000018940000}"/>
    <cellStyle name="Remarque 3 3 2 2 2 2 3 4 2 2" xfId="54476" xr:uid="{00000000-0005-0000-0000-000019940000}"/>
    <cellStyle name="Remarque 3 3 2 2 2 2 3 4 3" xfId="17763" xr:uid="{00000000-0005-0000-0000-00001A940000}"/>
    <cellStyle name="Remarque 3 3 2 2 2 2 3 4 4" xfId="41723" xr:uid="{00000000-0005-0000-0000-00001B940000}"/>
    <cellStyle name="Remarque 3 3 2 2 2 2 3 5" xfId="7890" xr:uid="{00000000-0005-0000-0000-00001C940000}"/>
    <cellStyle name="Remarque 3 3 2 2 2 2 3 5 2" xfId="31904" xr:uid="{00000000-0005-0000-0000-00001D940000}"/>
    <cellStyle name="Remarque 3 3 2 2 2 2 3 5 2 2" xfId="55864" xr:uid="{00000000-0005-0000-0000-00001E940000}"/>
    <cellStyle name="Remarque 3 3 2 2 2 2 3 5 3" xfId="19151" xr:uid="{00000000-0005-0000-0000-00001F940000}"/>
    <cellStyle name="Remarque 3 3 2 2 2 2 3 5 4" xfId="43111" xr:uid="{00000000-0005-0000-0000-000020940000}"/>
    <cellStyle name="Remarque 3 3 2 2 2 2 3 6" xfId="9275" xr:uid="{00000000-0005-0000-0000-000021940000}"/>
    <cellStyle name="Remarque 3 3 2 2 2 2 3 6 2" xfId="33289" xr:uid="{00000000-0005-0000-0000-000022940000}"/>
    <cellStyle name="Remarque 3 3 2 2 2 2 3 6 2 2" xfId="57249" xr:uid="{00000000-0005-0000-0000-000023940000}"/>
    <cellStyle name="Remarque 3 3 2 2 2 2 3 6 3" xfId="20536" xr:uid="{00000000-0005-0000-0000-000024940000}"/>
    <cellStyle name="Remarque 3 3 2 2 2 2 3 6 4" xfId="44496" xr:uid="{00000000-0005-0000-0000-000025940000}"/>
    <cellStyle name="Remarque 3 3 2 2 2 2 3 7" xfId="10732" xr:uid="{00000000-0005-0000-0000-000026940000}"/>
    <cellStyle name="Remarque 3 3 2 2 2 2 3 7 2" xfId="34742" xr:uid="{00000000-0005-0000-0000-000027940000}"/>
    <cellStyle name="Remarque 3 3 2 2 2 2 3 7 2 2" xfId="58702" xr:uid="{00000000-0005-0000-0000-000028940000}"/>
    <cellStyle name="Remarque 3 3 2 2 2 2 3 7 3" xfId="21999" xr:uid="{00000000-0005-0000-0000-000029940000}"/>
    <cellStyle name="Remarque 3 3 2 2 2 2 3 7 4" xfId="45959" xr:uid="{00000000-0005-0000-0000-00002A940000}"/>
    <cellStyle name="Remarque 3 3 2 2 2 2 3 8" xfId="12180" xr:uid="{00000000-0005-0000-0000-00002B940000}"/>
    <cellStyle name="Remarque 3 3 2 2 2 2 3 8 2" xfId="23463" xr:uid="{00000000-0005-0000-0000-00002C940000}"/>
    <cellStyle name="Remarque 3 3 2 2 2 2 3 8 3" xfId="47423" xr:uid="{00000000-0005-0000-0000-00002D940000}"/>
    <cellStyle name="Remarque 3 3 2 2 2 2 3 9" xfId="2204" xr:uid="{00000000-0005-0000-0000-00002E940000}"/>
    <cellStyle name="Remarque 3 3 2 2 2 2 3 9 2" xfId="26218" xr:uid="{00000000-0005-0000-0000-00002F940000}"/>
    <cellStyle name="Remarque 3 3 2 2 2 2 3 9 3" xfId="50178" xr:uid="{00000000-0005-0000-0000-000030940000}"/>
    <cellStyle name="Remarque 3 3 2 2 2 2 4" xfId="962" xr:uid="{00000000-0005-0000-0000-000031940000}"/>
    <cellStyle name="Remarque 3 3 2 2 2 2 4 10" xfId="24994" xr:uid="{00000000-0005-0000-0000-000032940000}"/>
    <cellStyle name="Remarque 3 3 2 2 2 2 4 10 2" xfId="48954" xr:uid="{00000000-0005-0000-0000-000033940000}"/>
    <cellStyle name="Remarque 3 3 2 2 2 2 4 11" xfId="35874" xr:uid="{00000000-0005-0000-0000-000034940000}"/>
    <cellStyle name="Remarque 3 3 2 2 2 2 4 11 2" xfId="59834" xr:uid="{00000000-0005-0000-0000-000035940000}"/>
    <cellStyle name="Remarque 3 3 2 2 2 2 4 12" xfId="13659" xr:uid="{00000000-0005-0000-0000-000036940000}"/>
    <cellStyle name="Remarque 3 3 2 2 2 2 4 13" xfId="37619" xr:uid="{00000000-0005-0000-0000-000037940000}"/>
    <cellStyle name="Remarque 3 3 2 2 2 2 4 2" xfId="3868" xr:uid="{00000000-0005-0000-0000-000038940000}"/>
    <cellStyle name="Remarque 3 3 2 2 2 2 4 2 2" xfId="27882" xr:uid="{00000000-0005-0000-0000-000039940000}"/>
    <cellStyle name="Remarque 3 3 2 2 2 2 4 2 2 2" xfId="51842" xr:uid="{00000000-0005-0000-0000-00003A940000}"/>
    <cellStyle name="Remarque 3 3 2 2 2 2 4 2 3" xfId="15129" xr:uid="{00000000-0005-0000-0000-00003B940000}"/>
    <cellStyle name="Remarque 3 3 2 2 2 2 4 2 4" xfId="39089" xr:uid="{00000000-0005-0000-0000-00003C940000}"/>
    <cellStyle name="Remarque 3 3 2 2 2 2 4 3" xfId="5302" xr:uid="{00000000-0005-0000-0000-00003D940000}"/>
    <cellStyle name="Remarque 3 3 2 2 2 2 4 3 2" xfId="29316" xr:uid="{00000000-0005-0000-0000-00003E940000}"/>
    <cellStyle name="Remarque 3 3 2 2 2 2 4 3 2 2" xfId="53276" xr:uid="{00000000-0005-0000-0000-00003F940000}"/>
    <cellStyle name="Remarque 3 3 2 2 2 2 4 3 3" xfId="16563" xr:uid="{00000000-0005-0000-0000-000040940000}"/>
    <cellStyle name="Remarque 3 3 2 2 2 2 4 3 4" xfId="40523" xr:uid="{00000000-0005-0000-0000-000041940000}"/>
    <cellStyle name="Remarque 3 3 2 2 2 2 4 4" xfId="6696" xr:uid="{00000000-0005-0000-0000-000042940000}"/>
    <cellStyle name="Remarque 3 3 2 2 2 2 4 4 2" xfId="30710" xr:uid="{00000000-0005-0000-0000-000043940000}"/>
    <cellStyle name="Remarque 3 3 2 2 2 2 4 4 2 2" xfId="54670" xr:uid="{00000000-0005-0000-0000-000044940000}"/>
    <cellStyle name="Remarque 3 3 2 2 2 2 4 4 3" xfId="17957" xr:uid="{00000000-0005-0000-0000-000045940000}"/>
    <cellStyle name="Remarque 3 3 2 2 2 2 4 4 4" xfId="41917" xr:uid="{00000000-0005-0000-0000-000046940000}"/>
    <cellStyle name="Remarque 3 3 2 2 2 2 4 5" xfId="8084" xr:uid="{00000000-0005-0000-0000-000047940000}"/>
    <cellStyle name="Remarque 3 3 2 2 2 2 4 5 2" xfId="32098" xr:uid="{00000000-0005-0000-0000-000048940000}"/>
    <cellStyle name="Remarque 3 3 2 2 2 2 4 5 2 2" xfId="56058" xr:uid="{00000000-0005-0000-0000-000049940000}"/>
    <cellStyle name="Remarque 3 3 2 2 2 2 4 5 3" xfId="19345" xr:uid="{00000000-0005-0000-0000-00004A940000}"/>
    <cellStyle name="Remarque 3 3 2 2 2 2 4 5 4" xfId="43305" xr:uid="{00000000-0005-0000-0000-00004B940000}"/>
    <cellStyle name="Remarque 3 3 2 2 2 2 4 6" xfId="9469" xr:uid="{00000000-0005-0000-0000-00004C940000}"/>
    <cellStyle name="Remarque 3 3 2 2 2 2 4 6 2" xfId="33483" xr:uid="{00000000-0005-0000-0000-00004D940000}"/>
    <cellStyle name="Remarque 3 3 2 2 2 2 4 6 2 2" xfId="57443" xr:uid="{00000000-0005-0000-0000-00004E940000}"/>
    <cellStyle name="Remarque 3 3 2 2 2 2 4 6 3" xfId="20730" xr:uid="{00000000-0005-0000-0000-00004F940000}"/>
    <cellStyle name="Remarque 3 3 2 2 2 2 4 6 4" xfId="44690" xr:uid="{00000000-0005-0000-0000-000050940000}"/>
    <cellStyle name="Remarque 3 3 2 2 2 2 4 7" xfId="10926" xr:uid="{00000000-0005-0000-0000-000051940000}"/>
    <cellStyle name="Remarque 3 3 2 2 2 2 4 7 2" xfId="34936" xr:uid="{00000000-0005-0000-0000-000052940000}"/>
    <cellStyle name="Remarque 3 3 2 2 2 2 4 7 2 2" xfId="58896" xr:uid="{00000000-0005-0000-0000-000053940000}"/>
    <cellStyle name="Remarque 3 3 2 2 2 2 4 7 3" xfId="22193" xr:uid="{00000000-0005-0000-0000-000054940000}"/>
    <cellStyle name="Remarque 3 3 2 2 2 2 4 7 4" xfId="46153" xr:uid="{00000000-0005-0000-0000-000055940000}"/>
    <cellStyle name="Remarque 3 3 2 2 2 2 4 8" xfId="12011" xr:uid="{00000000-0005-0000-0000-000056940000}"/>
    <cellStyle name="Remarque 3 3 2 2 2 2 4 8 2" xfId="23290" xr:uid="{00000000-0005-0000-0000-000057940000}"/>
    <cellStyle name="Remarque 3 3 2 2 2 2 4 8 3" xfId="47250" xr:uid="{00000000-0005-0000-0000-000058940000}"/>
    <cellStyle name="Remarque 3 3 2 2 2 2 4 9" xfId="2398" xr:uid="{00000000-0005-0000-0000-000059940000}"/>
    <cellStyle name="Remarque 3 3 2 2 2 2 4 9 2" xfId="26412" xr:uid="{00000000-0005-0000-0000-00005A940000}"/>
    <cellStyle name="Remarque 3 3 2 2 2 2 4 9 3" xfId="50372" xr:uid="{00000000-0005-0000-0000-00005B940000}"/>
    <cellStyle name="Remarque 3 3 2 2 2 2 5" xfId="1155" xr:uid="{00000000-0005-0000-0000-00005C940000}"/>
    <cellStyle name="Remarque 3 3 2 2 2 2 5 10" xfId="25187" xr:uid="{00000000-0005-0000-0000-00005D940000}"/>
    <cellStyle name="Remarque 3 3 2 2 2 2 5 10 2" xfId="49147" xr:uid="{00000000-0005-0000-0000-00005E940000}"/>
    <cellStyle name="Remarque 3 3 2 2 2 2 5 11" xfId="36427" xr:uid="{00000000-0005-0000-0000-00005F940000}"/>
    <cellStyle name="Remarque 3 3 2 2 2 2 5 11 2" xfId="60387" xr:uid="{00000000-0005-0000-0000-000060940000}"/>
    <cellStyle name="Remarque 3 3 2 2 2 2 5 12" xfId="13852" xr:uid="{00000000-0005-0000-0000-000061940000}"/>
    <cellStyle name="Remarque 3 3 2 2 2 2 5 13" xfId="37812" xr:uid="{00000000-0005-0000-0000-000062940000}"/>
    <cellStyle name="Remarque 3 3 2 2 2 2 5 2" xfId="4061" xr:uid="{00000000-0005-0000-0000-000063940000}"/>
    <cellStyle name="Remarque 3 3 2 2 2 2 5 2 2" xfId="28075" xr:uid="{00000000-0005-0000-0000-000064940000}"/>
    <cellStyle name="Remarque 3 3 2 2 2 2 5 2 2 2" xfId="52035" xr:uid="{00000000-0005-0000-0000-000065940000}"/>
    <cellStyle name="Remarque 3 3 2 2 2 2 5 2 3" xfId="15322" xr:uid="{00000000-0005-0000-0000-000066940000}"/>
    <cellStyle name="Remarque 3 3 2 2 2 2 5 2 4" xfId="39282" xr:uid="{00000000-0005-0000-0000-000067940000}"/>
    <cellStyle name="Remarque 3 3 2 2 2 2 5 3" xfId="5495" xr:uid="{00000000-0005-0000-0000-000068940000}"/>
    <cellStyle name="Remarque 3 3 2 2 2 2 5 3 2" xfId="29509" xr:uid="{00000000-0005-0000-0000-000069940000}"/>
    <cellStyle name="Remarque 3 3 2 2 2 2 5 3 2 2" xfId="53469" xr:uid="{00000000-0005-0000-0000-00006A940000}"/>
    <cellStyle name="Remarque 3 3 2 2 2 2 5 3 3" xfId="16756" xr:uid="{00000000-0005-0000-0000-00006B940000}"/>
    <cellStyle name="Remarque 3 3 2 2 2 2 5 3 4" xfId="40716" xr:uid="{00000000-0005-0000-0000-00006C940000}"/>
    <cellStyle name="Remarque 3 3 2 2 2 2 5 4" xfId="6889" xr:uid="{00000000-0005-0000-0000-00006D940000}"/>
    <cellStyle name="Remarque 3 3 2 2 2 2 5 4 2" xfId="30903" xr:uid="{00000000-0005-0000-0000-00006E940000}"/>
    <cellStyle name="Remarque 3 3 2 2 2 2 5 4 2 2" xfId="54863" xr:uid="{00000000-0005-0000-0000-00006F940000}"/>
    <cellStyle name="Remarque 3 3 2 2 2 2 5 4 3" xfId="18150" xr:uid="{00000000-0005-0000-0000-000070940000}"/>
    <cellStyle name="Remarque 3 3 2 2 2 2 5 4 4" xfId="42110" xr:uid="{00000000-0005-0000-0000-000071940000}"/>
    <cellStyle name="Remarque 3 3 2 2 2 2 5 5" xfId="8277" xr:uid="{00000000-0005-0000-0000-000072940000}"/>
    <cellStyle name="Remarque 3 3 2 2 2 2 5 5 2" xfId="32291" xr:uid="{00000000-0005-0000-0000-000073940000}"/>
    <cellStyle name="Remarque 3 3 2 2 2 2 5 5 2 2" xfId="56251" xr:uid="{00000000-0005-0000-0000-000074940000}"/>
    <cellStyle name="Remarque 3 3 2 2 2 2 5 5 3" xfId="19538" xr:uid="{00000000-0005-0000-0000-000075940000}"/>
    <cellStyle name="Remarque 3 3 2 2 2 2 5 5 4" xfId="43498" xr:uid="{00000000-0005-0000-0000-000076940000}"/>
    <cellStyle name="Remarque 3 3 2 2 2 2 5 6" xfId="9662" xr:uid="{00000000-0005-0000-0000-000077940000}"/>
    <cellStyle name="Remarque 3 3 2 2 2 2 5 6 2" xfId="33676" xr:uid="{00000000-0005-0000-0000-000078940000}"/>
    <cellStyle name="Remarque 3 3 2 2 2 2 5 6 2 2" xfId="57636" xr:uid="{00000000-0005-0000-0000-000079940000}"/>
    <cellStyle name="Remarque 3 3 2 2 2 2 5 6 3" xfId="20923" xr:uid="{00000000-0005-0000-0000-00007A940000}"/>
    <cellStyle name="Remarque 3 3 2 2 2 2 5 6 4" xfId="44883" xr:uid="{00000000-0005-0000-0000-00007B940000}"/>
    <cellStyle name="Remarque 3 3 2 2 2 2 5 7" xfId="11119" xr:uid="{00000000-0005-0000-0000-00007C940000}"/>
    <cellStyle name="Remarque 3 3 2 2 2 2 5 7 2" xfId="35129" xr:uid="{00000000-0005-0000-0000-00007D940000}"/>
    <cellStyle name="Remarque 3 3 2 2 2 2 5 7 2 2" xfId="59089" xr:uid="{00000000-0005-0000-0000-00007E940000}"/>
    <cellStyle name="Remarque 3 3 2 2 2 2 5 7 3" xfId="22386" xr:uid="{00000000-0005-0000-0000-00007F940000}"/>
    <cellStyle name="Remarque 3 3 2 2 2 2 5 7 4" xfId="46346" xr:uid="{00000000-0005-0000-0000-000080940000}"/>
    <cellStyle name="Remarque 3 3 2 2 2 2 5 8" xfId="12778" xr:uid="{00000000-0005-0000-0000-000081940000}"/>
    <cellStyle name="Remarque 3 3 2 2 2 2 5 8 2" xfId="24086" xr:uid="{00000000-0005-0000-0000-000082940000}"/>
    <cellStyle name="Remarque 3 3 2 2 2 2 5 8 3" xfId="48046" xr:uid="{00000000-0005-0000-0000-000083940000}"/>
    <cellStyle name="Remarque 3 3 2 2 2 2 5 9" xfId="2591" xr:uid="{00000000-0005-0000-0000-000084940000}"/>
    <cellStyle name="Remarque 3 3 2 2 2 2 5 9 2" xfId="26605" xr:uid="{00000000-0005-0000-0000-000085940000}"/>
    <cellStyle name="Remarque 3 3 2 2 2 2 5 9 3" xfId="50565" xr:uid="{00000000-0005-0000-0000-000086940000}"/>
    <cellStyle name="Remarque 3 3 2 2 2 2 6" xfId="1322" xr:uid="{00000000-0005-0000-0000-000087940000}"/>
    <cellStyle name="Remarque 3 3 2 2 2 2 6 10" xfId="25354" xr:uid="{00000000-0005-0000-0000-000088940000}"/>
    <cellStyle name="Remarque 3 3 2 2 2 2 6 10 2" xfId="49314" xr:uid="{00000000-0005-0000-0000-000089940000}"/>
    <cellStyle name="Remarque 3 3 2 2 2 2 6 11" xfId="35659" xr:uid="{00000000-0005-0000-0000-00008A940000}"/>
    <cellStyle name="Remarque 3 3 2 2 2 2 6 11 2" xfId="59619" xr:uid="{00000000-0005-0000-0000-00008B940000}"/>
    <cellStyle name="Remarque 3 3 2 2 2 2 6 12" xfId="14019" xr:uid="{00000000-0005-0000-0000-00008C940000}"/>
    <cellStyle name="Remarque 3 3 2 2 2 2 6 13" xfId="37979" xr:uid="{00000000-0005-0000-0000-00008D940000}"/>
    <cellStyle name="Remarque 3 3 2 2 2 2 6 2" xfId="4228" xr:uid="{00000000-0005-0000-0000-00008E940000}"/>
    <cellStyle name="Remarque 3 3 2 2 2 2 6 2 2" xfId="28242" xr:uid="{00000000-0005-0000-0000-00008F940000}"/>
    <cellStyle name="Remarque 3 3 2 2 2 2 6 2 2 2" xfId="52202" xr:uid="{00000000-0005-0000-0000-000090940000}"/>
    <cellStyle name="Remarque 3 3 2 2 2 2 6 2 3" xfId="15489" xr:uid="{00000000-0005-0000-0000-000091940000}"/>
    <cellStyle name="Remarque 3 3 2 2 2 2 6 2 4" xfId="39449" xr:uid="{00000000-0005-0000-0000-000092940000}"/>
    <cellStyle name="Remarque 3 3 2 2 2 2 6 3" xfId="5662" xr:uid="{00000000-0005-0000-0000-000093940000}"/>
    <cellStyle name="Remarque 3 3 2 2 2 2 6 3 2" xfId="29676" xr:uid="{00000000-0005-0000-0000-000094940000}"/>
    <cellStyle name="Remarque 3 3 2 2 2 2 6 3 2 2" xfId="53636" xr:uid="{00000000-0005-0000-0000-000095940000}"/>
    <cellStyle name="Remarque 3 3 2 2 2 2 6 3 3" xfId="16923" xr:uid="{00000000-0005-0000-0000-000096940000}"/>
    <cellStyle name="Remarque 3 3 2 2 2 2 6 3 4" xfId="40883" xr:uid="{00000000-0005-0000-0000-000097940000}"/>
    <cellStyle name="Remarque 3 3 2 2 2 2 6 4" xfId="7056" xr:uid="{00000000-0005-0000-0000-000098940000}"/>
    <cellStyle name="Remarque 3 3 2 2 2 2 6 4 2" xfId="31070" xr:uid="{00000000-0005-0000-0000-000099940000}"/>
    <cellStyle name="Remarque 3 3 2 2 2 2 6 4 2 2" xfId="55030" xr:uid="{00000000-0005-0000-0000-00009A940000}"/>
    <cellStyle name="Remarque 3 3 2 2 2 2 6 4 3" xfId="18317" xr:uid="{00000000-0005-0000-0000-00009B940000}"/>
    <cellStyle name="Remarque 3 3 2 2 2 2 6 4 4" xfId="42277" xr:uid="{00000000-0005-0000-0000-00009C940000}"/>
    <cellStyle name="Remarque 3 3 2 2 2 2 6 5" xfId="8444" xr:uid="{00000000-0005-0000-0000-00009D940000}"/>
    <cellStyle name="Remarque 3 3 2 2 2 2 6 5 2" xfId="32458" xr:uid="{00000000-0005-0000-0000-00009E940000}"/>
    <cellStyle name="Remarque 3 3 2 2 2 2 6 5 2 2" xfId="56418" xr:uid="{00000000-0005-0000-0000-00009F940000}"/>
    <cellStyle name="Remarque 3 3 2 2 2 2 6 5 3" xfId="19705" xr:uid="{00000000-0005-0000-0000-0000A0940000}"/>
    <cellStyle name="Remarque 3 3 2 2 2 2 6 5 4" xfId="43665" xr:uid="{00000000-0005-0000-0000-0000A1940000}"/>
    <cellStyle name="Remarque 3 3 2 2 2 2 6 6" xfId="9829" xr:uid="{00000000-0005-0000-0000-0000A2940000}"/>
    <cellStyle name="Remarque 3 3 2 2 2 2 6 6 2" xfId="33843" xr:uid="{00000000-0005-0000-0000-0000A3940000}"/>
    <cellStyle name="Remarque 3 3 2 2 2 2 6 6 2 2" xfId="57803" xr:uid="{00000000-0005-0000-0000-0000A4940000}"/>
    <cellStyle name="Remarque 3 3 2 2 2 2 6 6 3" xfId="21090" xr:uid="{00000000-0005-0000-0000-0000A5940000}"/>
    <cellStyle name="Remarque 3 3 2 2 2 2 6 6 4" xfId="45050" xr:uid="{00000000-0005-0000-0000-0000A6940000}"/>
    <cellStyle name="Remarque 3 3 2 2 2 2 6 7" xfId="11286" xr:uid="{00000000-0005-0000-0000-0000A7940000}"/>
    <cellStyle name="Remarque 3 3 2 2 2 2 6 7 2" xfId="35296" xr:uid="{00000000-0005-0000-0000-0000A8940000}"/>
    <cellStyle name="Remarque 3 3 2 2 2 2 6 7 2 2" xfId="59256" xr:uid="{00000000-0005-0000-0000-0000A9940000}"/>
    <cellStyle name="Remarque 3 3 2 2 2 2 6 7 3" xfId="22553" xr:uid="{00000000-0005-0000-0000-0000AA940000}"/>
    <cellStyle name="Remarque 3 3 2 2 2 2 6 7 4" xfId="46513" xr:uid="{00000000-0005-0000-0000-0000AB940000}"/>
    <cellStyle name="Remarque 3 3 2 2 2 2 6 8" xfId="11626" xr:uid="{00000000-0005-0000-0000-0000AC940000}"/>
    <cellStyle name="Remarque 3 3 2 2 2 2 6 8 2" xfId="22894" xr:uid="{00000000-0005-0000-0000-0000AD940000}"/>
    <cellStyle name="Remarque 3 3 2 2 2 2 6 8 3" xfId="46854" xr:uid="{00000000-0005-0000-0000-0000AE940000}"/>
    <cellStyle name="Remarque 3 3 2 2 2 2 6 9" xfId="2758" xr:uid="{00000000-0005-0000-0000-0000AF940000}"/>
    <cellStyle name="Remarque 3 3 2 2 2 2 6 9 2" xfId="26772" xr:uid="{00000000-0005-0000-0000-0000B0940000}"/>
    <cellStyle name="Remarque 3 3 2 2 2 2 6 9 3" xfId="50732" xr:uid="{00000000-0005-0000-0000-0000B1940000}"/>
    <cellStyle name="Remarque 3 3 2 2 2 2 7" xfId="1491" xr:uid="{00000000-0005-0000-0000-0000B2940000}"/>
    <cellStyle name="Remarque 3 3 2 2 2 2 7 10" xfId="25523" xr:uid="{00000000-0005-0000-0000-0000B3940000}"/>
    <cellStyle name="Remarque 3 3 2 2 2 2 7 10 2" xfId="49483" xr:uid="{00000000-0005-0000-0000-0000B4940000}"/>
    <cellStyle name="Remarque 3 3 2 2 2 2 7 11" xfId="36821" xr:uid="{00000000-0005-0000-0000-0000B5940000}"/>
    <cellStyle name="Remarque 3 3 2 2 2 2 7 11 2" xfId="60781" xr:uid="{00000000-0005-0000-0000-0000B6940000}"/>
    <cellStyle name="Remarque 3 3 2 2 2 2 7 12" xfId="14188" xr:uid="{00000000-0005-0000-0000-0000B7940000}"/>
    <cellStyle name="Remarque 3 3 2 2 2 2 7 13" xfId="38148" xr:uid="{00000000-0005-0000-0000-0000B8940000}"/>
    <cellStyle name="Remarque 3 3 2 2 2 2 7 2" xfId="4397" xr:uid="{00000000-0005-0000-0000-0000B9940000}"/>
    <cellStyle name="Remarque 3 3 2 2 2 2 7 2 2" xfId="28411" xr:uid="{00000000-0005-0000-0000-0000BA940000}"/>
    <cellStyle name="Remarque 3 3 2 2 2 2 7 2 2 2" xfId="52371" xr:uid="{00000000-0005-0000-0000-0000BB940000}"/>
    <cellStyle name="Remarque 3 3 2 2 2 2 7 2 3" xfId="15658" xr:uid="{00000000-0005-0000-0000-0000BC940000}"/>
    <cellStyle name="Remarque 3 3 2 2 2 2 7 2 4" xfId="39618" xr:uid="{00000000-0005-0000-0000-0000BD940000}"/>
    <cellStyle name="Remarque 3 3 2 2 2 2 7 3" xfId="5831" xr:uid="{00000000-0005-0000-0000-0000BE940000}"/>
    <cellStyle name="Remarque 3 3 2 2 2 2 7 3 2" xfId="29845" xr:uid="{00000000-0005-0000-0000-0000BF940000}"/>
    <cellStyle name="Remarque 3 3 2 2 2 2 7 3 2 2" xfId="53805" xr:uid="{00000000-0005-0000-0000-0000C0940000}"/>
    <cellStyle name="Remarque 3 3 2 2 2 2 7 3 3" xfId="17092" xr:uid="{00000000-0005-0000-0000-0000C1940000}"/>
    <cellStyle name="Remarque 3 3 2 2 2 2 7 3 4" xfId="41052" xr:uid="{00000000-0005-0000-0000-0000C2940000}"/>
    <cellStyle name="Remarque 3 3 2 2 2 2 7 4" xfId="7225" xr:uid="{00000000-0005-0000-0000-0000C3940000}"/>
    <cellStyle name="Remarque 3 3 2 2 2 2 7 4 2" xfId="31239" xr:uid="{00000000-0005-0000-0000-0000C4940000}"/>
    <cellStyle name="Remarque 3 3 2 2 2 2 7 4 2 2" xfId="55199" xr:uid="{00000000-0005-0000-0000-0000C5940000}"/>
    <cellStyle name="Remarque 3 3 2 2 2 2 7 4 3" xfId="18486" xr:uid="{00000000-0005-0000-0000-0000C6940000}"/>
    <cellStyle name="Remarque 3 3 2 2 2 2 7 4 4" xfId="42446" xr:uid="{00000000-0005-0000-0000-0000C7940000}"/>
    <cellStyle name="Remarque 3 3 2 2 2 2 7 5" xfId="8613" xr:uid="{00000000-0005-0000-0000-0000C8940000}"/>
    <cellStyle name="Remarque 3 3 2 2 2 2 7 5 2" xfId="32627" xr:uid="{00000000-0005-0000-0000-0000C9940000}"/>
    <cellStyle name="Remarque 3 3 2 2 2 2 7 5 2 2" xfId="56587" xr:uid="{00000000-0005-0000-0000-0000CA940000}"/>
    <cellStyle name="Remarque 3 3 2 2 2 2 7 5 3" xfId="19874" xr:uid="{00000000-0005-0000-0000-0000CB940000}"/>
    <cellStyle name="Remarque 3 3 2 2 2 2 7 5 4" xfId="43834" xr:uid="{00000000-0005-0000-0000-0000CC940000}"/>
    <cellStyle name="Remarque 3 3 2 2 2 2 7 6" xfId="9998" xr:uid="{00000000-0005-0000-0000-0000CD940000}"/>
    <cellStyle name="Remarque 3 3 2 2 2 2 7 6 2" xfId="34012" xr:uid="{00000000-0005-0000-0000-0000CE940000}"/>
    <cellStyle name="Remarque 3 3 2 2 2 2 7 6 2 2" xfId="57972" xr:uid="{00000000-0005-0000-0000-0000CF940000}"/>
    <cellStyle name="Remarque 3 3 2 2 2 2 7 6 3" xfId="21259" xr:uid="{00000000-0005-0000-0000-0000D0940000}"/>
    <cellStyle name="Remarque 3 3 2 2 2 2 7 6 4" xfId="45219" xr:uid="{00000000-0005-0000-0000-0000D1940000}"/>
    <cellStyle name="Remarque 3 3 2 2 2 2 7 7" xfId="11455" xr:uid="{00000000-0005-0000-0000-0000D2940000}"/>
    <cellStyle name="Remarque 3 3 2 2 2 2 7 7 2" xfId="35465" xr:uid="{00000000-0005-0000-0000-0000D3940000}"/>
    <cellStyle name="Remarque 3 3 2 2 2 2 7 7 2 2" xfId="59425" xr:uid="{00000000-0005-0000-0000-0000D4940000}"/>
    <cellStyle name="Remarque 3 3 2 2 2 2 7 7 3" xfId="22722" xr:uid="{00000000-0005-0000-0000-0000D5940000}"/>
    <cellStyle name="Remarque 3 3 2 2 2 2 7 7 4" xfId="46682" xr:uid="{00000000-0005-0000-0000-0000D6940000}"/>
    <cellStyle name="Remarque 3 3 2 2 2 2 7 8" xfId="11618" xr:uid="{00000000-0005-0000-0000-0000D7940000}"/>
    <cellStyle name="Remarque 3 3 2 2 2 2 7 8 2" xfId="22886" xr:uid="{00000000-0005-0000-0000-0000D8940000}"/>
    <cellStyle name="Remarque 3 3 2 2 2 2 7 8 3" xfId="46846" xr:uid="{00000000-0005-0000-0000-0000D9940000}"/>
    <cellStyle name="Remarque 3 3 2 2 2 2 7 9" xfId="2927" xr:uid="{00000000-0005-0000-0000-0000DA940000}"/>
    <cellStyle name="Remarque 3 3 2 2 2 2 7 9 2" xfId="26941" xr:uid="{00000000-0005-0000-0000-0000DB940000}"/>
    <cellStyle name="Remarque 3 3 2 2 2 2 7 9 3" xfId="50901" xr:uid="{00000000-0005-0000-0000-0000DC940000}"/>
    <cellStyle name="Remarque 3 3 2 2 2 2 8" xfId="3346" xr:uid="{00000000-0005-0000-0000-0000DD940000}"/>
    <cellStyle name="Remarque 3 3 2 2 2 2 8 2" xfId="27360" xr:uid="{00000000-0005-0000-0000-0000DE940000}"/>
    <cellStyle name="Remarque 3 3 2 2 2 2 8 2 2" xfId="51320" xr:uid="{00000000-0005-0000-0000-0000DF940000}"/>
    <cellStyle name="Remarque 3 3 2 2 2 2 8 3" xfId="14607" xr:uid="{00000000-0005-0000-0000-0000E0940000}"/>
    <cellStyle name="Remarque 3 3 2 2 2 2 8 4" xfId="38567" xr:uid="{00000000-0005-0000-0000-0000E1940000}"/>
    <cellStyle name="Remarque 3 3 2 2 2 2 9" xfId="4780" xr:uid="{00000000-0005-0000-0000-0000E2940000}"/>
    <cellStyle name="Remarque 3 3 2 2 2 2 9 2" xfId="28794" xr:uid="{00000000-0005-0000-0000-0000E3940000}"/>
    <cellStyle name="Remarque 3 3 2 2 2 2 9 2 2" xfId="52754" xr:uid="{00000000-0005-0000-0000-0000E4940000}"/>
    <cellStyle name="Remarque 3 3 2 2 2 2 9 3" xfId="16041" xr:uid="{00000000-0005-0000-0000-0000E5940000}"/>
    <cellStyle name="Remarque 3 3 2 2 2 2 9 4" xfId="40001" xr:uid="{00000000-0005-0000-0000-0000E6940000}"/>
    <cellStyle name="Remarque 3 3 2 2 2 20" xfId="12962" xr:uid="{00000000-0005-0000-0000-0000E7940000}"/>
    <cellStyle name="Remarque 3 3 2 2 2 21" xfId="36922" xr:uid="{00000000-0005-0000-0000-0000E8940000}"/>
    <cellStyle name="Remarque 3 3 2 2 2 22" xfId="265" xr:uid="{00000000-0005-0000-0000-0000E9940000}"/>
    <cellStyle name="Remarque 3 3 2 2 2 3" xfId="364" xr:uid="{00000000-0005-0000-0000-0000EA940000}"/>
    <cellStyle name="Remarque 3 3 2 2 2 3 10" xfId="24396" xr:uid="{00000000-0005-0000-0000-0000EB940000}"/>
    <cellStyle name="Remarque 3 3 2 2 2 3 10 2" xfId="48356" xr:uid="{00000000-0005-0000-0000-0000EC940000}"/>
    <cellStyle name="Remarque 3 3 2 2 2 3 11" xfId="35617" xr:uid="{00000000-0005-0000-0000-0000ED940000}"/>
    <cellStyle name="Remarque 3 3 2 2 2 3 11 2" xfId="59577" xr:uid="{00000000-0005-0000-0000-0000EE940000}"/>
    <cellStyle name="Remarque 3 3 2 2 2 3 12" xfId="13061" xr:uid="{00000000-0005-0000-0000-0000EF940000}"/>
    <cellStyle name="Remarque 3 3 2 2 2 3 13" xfId="37021" xr:uid="{00000000-0005-0000-0000-0000F0940000}"/>
    <cellStyle name="Remarque 3 3 2 2 2 3 2" xfId="3270" xr:uid="{00000000-0005-0000-0000-0000F1940000}"/>
    <cellStyle name="Remarque 3 3 2 2 2 3 2 2" xfId="27284" xr:uid="{00000000-0005-0000-0000-0000F2940000}"/>
    <cellStyle name="Remarque 3 3 2 2 2 3 2 2 2" xfId="51244" xr:uid="{00000000-0005-0000-0000-0000F3940000}"/>
    <cellStyle name="Remarque 3 3 2 2 2 3 2 3" xfId="14531" xr:uid="{00000000-0005-0000-0000-0000F4940000}"/>
    <cellStyle name="Remarque 3 3 2 2 2 3 2 4" xfId="38491" xr:uid="{00000000-0005-0000-0000-0000F5940000}"/>
    <cellStyle name="Remarque 3 3 2 2 2 3 3" xfId="4704" xr:uid="{00000000-0005-0000-0000-0000F6940000}"/>
    <cellStyle name="Remarque 3 3 2 2 2 3 3 2" xfId="28718" xr:uid="{00000000-0005-0000-0000-0000F7940000}"/>
    <cellStyle name="Remarque 3 3 2 2 2 3 3 2 2" xfId="52678" xr:uid="{00000000-0005-0000-0000-0000F8940000}"/>
    <cellStyle name="Remarque 3 3 2 2 2 3 3 3" xfId="15965" xr:uid="{00000000-0005-0000-0000-0000F9940000}"/>
    <cellStyle name="Remarque 3 3 2 2 2 3 3 4" xfId="39925" xr:uid="{00000000-0005-0000-0000-0000FA940000}"/>
    <cellStyle name="Remarque 3 3 2 2 2 3 4" xfId="6098" xr:uid="{00000000-0005-0000-0000-0000FB940000}"/>
    <cellStyle name="Remarque 3 3 2 2 2 3 4 2" xfId="30112" xr:uid="{00000000-0005-0000-0000-0000FC940000}"/>
    <cellStyle name="Remarque 3 3 2 2 2 3 4 2 2" xfId="54072" xr:uid="{00000000-0005-0000-0000-0000FD940000}"/>
    <cellStyle name="Remarque 3 3 2 2 2 3 4 3" xfId="17359" xr:uid="{00000000-0005-0000-0000-0000FE940000}"/>
    <cellStyle name="Remarque 3 3 2 2 2 3 4 4" xfId="41319" xr:uid="{00000000-0005-0000-0000-0000FF940000}"/>
    <cellStyle name="Remarque 3 3 2 2 2 3 5" xfId="7486" xr:uid="{00000000-0005-0000-0000-000000950000}"/>
    <cellStyle name="Remarque 3 3 2 2 2 3 5 2" xfId="31500" xr:uid="{00000000-0005-0000-0000-000001950000}"/>
    <cellStyle name="Remarque 3 3 2 2 2 3 5 2 2" xfId="55460" xr:uid="{00000000-0005-0000-0000-000002950000}"/>
    <cellStyle name="Remarque 3 3 2 2 2 3 5 3" xfId="18747" xr:uid="{00000000-0005-0000-0000-000003950000}"/>
    <cellStyle name="Remarque 3 3 2 2 2 3 5 4" xfId="42707" xr:uid="{00000000-0005-0000-0000-000004950000}"/>
    <cellStyle name="Remarque 3 3 2 2 2 3 6" xfId="8871" xr:uid="{00000000-0005-0000-0000-000005950000}"/>
    <cellStyle name="Remarque 3 3 2 2 2 3 6 2" xfId="32885" xr:uid="{00000000-0005-0000-0000-000006950000}"/>
    <cellStyle name="Remarque 3 3 2 2 2 3 6 2 2" xfId="56845" xr:uid="{00000000-0005-0000-0000-000007950000}"/>
    <cellStyle name="Remarque 3 3 2 2 2 3 6 3" xfId="20132" xr:uid="{00000000-0005-0000-0000-000008950000}"/>
    <cellStyle name="Remarque 3 3 2 2 2 3 6 4" xfId="44092" xr:uid="{00000000-0005-0000-0000-000009950000}"/>
    <cellStyle name="Remarque 3 3 2 2 2 3 7" xfId="10328" xr:uid="{00000000-0005-0000-0000-00000A950000}"/>
    <cellStyle name="Remarque 3 3 2 2 2 3 7 2" xfId="34338" xr:uid="{00000000-0005-0000-0000-00000B950000}"/>
    <cellStyle name="Remarque 3 3 2 2 2 3 7 2 2" xfId="58298" xr:uid="{00000000-0005-0000-0000-00000C950000}"/>
    <cellStyle name="Remarque 3 3 2 2 2 3 7 3" xfId="21595" xr:uid="{00000000-0005-0000-0000-00000D950000}"/>
    <cellStyle name="Remarque 3 3 2 2 2 3 7 4" xfId="45555" xr:uid="{00000000-0005-0000-0000-00000E950000}"/>
    <cellStyle name="Remarque 3 3 2 2 2 3 8" xfId="11978" xr:uid="{00000000-0005-0000-0000-00000F950000}"/>
    <cellStyle name="Remarque 3 3 2 2 2 3 8 2" xfId="23256" xr:uid="{00000000-0005-0000-0000-000010950000}"/>
    <cellStyle name="Remarque 3 3 2 2 2 3 8 3" xfId="47216" xr:uid="{00000000-0005-0000-0000-000011950000}"/>
    <cellStyle name="Remarque 3 3 2 2 2 3 9" xfId="1800" xr:uid="{00000000-0005-0000-0000-000012950000}"/>
    <cellStyle name="Remarque 3 3 2 2 2 3 9 2" xfId="25814" xr:uid="{00000000-0005-0000-0000-000013950000}"/>
    <cellStyle name="Remarque 3 3 2 2 2 3 9 3" xfId="49774" xr:uid="{00000000-0005-0000-0000-000014950000}"/>
    <cellStyle name="Remarque 3 3 2 2 2 4" xfId="500" xr:uid="{00000000-0005-0000-0000-000015950000}"/>
    <cellStyle name="Remarque 3 3 2 2 2 4 10" xfId="24532" xr:uid="{00000000-0005-0000-0000-000016950000}"/>
    <cellStyle name="Remarque 3 3 2 2 2 4 10 2" xfId="48492" xr:uid="{00000000-0005-0000-0000-000017950000}"/>
    <cellStyle name="Remarque 3 3 2 2 2 4 11" xfId="36836" xr:uid="{00000000-0005-0000-0000-000018950000}"/>
    <cellStyle name="Remarque 3 3 2 2 2 4 11 2" xfId="60796" xr:uid="{00000000-0005-0000-0000-000019950000}"/>
    <cellStyle name="Remarque 3 3 2 2 2 4 12" xfId="13197" xr:uid="{00000000-0005-0000-0000-00001A950000}"/>
    <cellStyle name="Remarque 3 3 2 2 2 4 13" xfId="37157" xr:uid="{00000000-0005-0000-0000-00001B950000}"/>
    <cellStyle name="Remarque 3 3 2 2 2 4 2" xfId="3406" xr:uid="{00000000-0005-0000-0000-00001C950000}"/>
    <cellStyle name="Remarque 3 3 2 2 2 4 2 2" xfId="27420" xr:uid="{00000000-0005-0000-0000-00001D950000}"/>
    <cellStyle name="Remarque 3 3 2 2 2 4 2 2 2" xfId="51380" xr:uid="{00000000-0005-0000-0000-00001E950000}"/>
    <cellStyle name="Remarque 3 3 2 2 2 4 2 3" xfId="14667" xr:uid="{00000000-0005-0000-0000-00001F950000}"/>
    <cellStyle name="Remarque 3 3 2 2 2 4 2 4" xfId="38627" xr:uid="{00000000-0005-0000-0000-000020950000}"/>
    <cellStyle name="Remarque 3 3 2 2 2 4 3" xfId="4840" xr:uid="{00000000-0005-0000-0000-000021950000}"/>
    <cellStyle name="Remarque 3 3 2 2 2 4 3 2" xfId="28854" xr:uid="{00000000-0005-0000-0000-000022950000}"/>
    <cellStyle name="Remarque 3 3 2 2 2 4 3 2 2" xfId="52814" xr:uid="{00000000-0005-0000-0000-000023950000}"/>
    <cellStyle name="Remarque 3 3 2 2 2 4 3 3" xfId="16101" xr:uid="{00000000-0005-0000-0000-000024950000}"/>
    <cellStyle name="Remarque 3 3 2 2 2 4 3 4" xfId="40061" xr:uid="{00000000-0005-0000-0000-000025950000}"/>
    <cellStyle name="Remarque 3 3 2 2 2 4 4" xfId="6234" xr:uid="{00000000-0005-0000-0000-000026950000}"/>
    <cellStyle name="Remarque 3 3 2 2 2 4 4 2" xfId="30248" xr:uid="{00000000-0005-0000-0000-000027950000}"/>
    <cellStyle name="Remarque 3 3 2 2 2 4 4 2 2" xfId="54208" xr:uid="{00000000-0005-0000-0000-000028950000}"/>
    <cellStyle name="Remarque 3 3 2 2 2 4 4 3" xfId="17495" xr:uid="{00000000-0005-0000-0000-000029950000}"/>
    <cellStyle name="Remarque 3 3 2 2 2 4 4 4" xfId="41455" xr:uid="{00000000-0005-0000-0000-00002A950000}"/>
    <cellStyle name="Remarque 3 3 2 2 2 4 5" xfId="7622" xr:uid="{00000000-0005-0000-0000-00002B950000}"/>
    <cellStyle name="Remarque 3 3 2 2 2 4 5 2" xfId="31636" xr:uid="{00000000-0005-0000-0000-00002C950000}"/>
    <cellStyle name="Remarque 3 3 2 2 2 4 5 2 2" xfId="55596" xr:uid="{00000000-0005-0000-0000-00002D950000}"/>
    <cellStyle name="Remarque 3 3 2 2 2 4 5 3" xfId="18883" xr:uid="{00000000-0005-0000-0000-00002E950000}"/>
    <cellStyle name="Remarque 3 3 2 2 2 4 5 4" xfId="42843" xr:uid="{00000000-0005-0000-0000-00002F950000}"/>
    <cellStyle name="Remarque 3 3 2 2 2 4 6" xfId="9007" xr:uid="{00000000-0005-0000-0000-000030950000}"/>
    <cellStyle name="Remarque 3 3 2 2 2 4 6 2" xfId="33021" xr:uid="{00000000-0005-0000-0000-000031950000}"/>
    <cellStyle name="Remarque 3 3 2 2 2 4 6 2 2" xfId="56981" xr:uid="{00000000-0005-0000-0000-000032950000}"/>
    <cellStyle name="Remarque 3 3 2 2 2 4 6 3" xfId="20268" xr:uid="{00000000-0005-0000-0000-000033950000}"/>
    <cellStyle name="Remarque 3 3 2 2 2 4 6 4" xfId="44228" xr:uid="{00000000-0005-0000-0000-000034950000}"/>
    <cellStyle name="Remarque 3 3 2 2 2 4 7" xfId="10464" xr:uid="{00000000-0005-0000-0000-000035950000}"/>
    <cellStyle name="Remarque 3 3 2 2 2 4 7 2" xfId="34474" xr:uid="{00000000-0005-0000-0000-000036950000}"/>
    <cellStyle name="Remarque 3 3 2 2 2 4 7 2 2" xfId="58434" xr:uid="{00000000-0005-0000-0000-000037950000}"/>
    <cellStyle name="Remarque 3 3 2 2 2 4 7 3" xfId="21731" xr:uid="{00000000-0005-0000-0000-000038950000}"/>
    <cellStyle name="Remarque 3 3 2 2 2 4 7 4" xfId="45691" xr:uid="{00000000-0005-0000-0000-000039950000}"/>
    <cellStyle name="Remarque 3 3 2 2 2 4 8" xfId="10111" xr:uid="{00000000-0005-0000-0000-00003A950000}"/>
    <cellStyle name="Remarque 3 3 2 2 2 4 8 2" xfId="21372" xr:uid="{00000000-0005-0000-0000-00003B950000}"/>
    <cellStyle name="Remarque 3 3 2 2 2 4 8 3" xfId="45332" xr:uid="{00000000-0005-0000-0000-00003C950000}"/>
    <cellStyle name="Remarque 3 3 2 2 2 4 9" xfId="1936" xr:uid="{00000000-0005-0000-0000-00003D950000}"/>
    <cellStyle name="Remarque 3 3 2 2 2 4 9 2" xfId="25950" xr:uid="{00000000-0005-0000-0000-00003E950000}"/>
    <cellStyle name="Remarque 3 3 2 2 2 4 9 3" xfId="49910" xr:uid="{00000000-0005-0000-0000-00003F950000}"/>
    <cellStyle name="Remarque 3 3 2 2 2 5" xfId="692" xr:uid="{00000000-0005-0000-0000-000040950000}"/>
    <cellStyle name="Remarque 3 3 2 2 2 5 10" xfId="24724" xr:uid="{00000000-0005-0000-0000-000041950000}"/>
    <cellStyle name="Remarque 3 3 2 2 2 5 10 2" xfId="48684" xr:uid="{00000000-0005-0000-0000-000042950000}"/>
    <cellStyle name="Remarque 3 3 2 2 2 5 11" xfId="36637" xr:uid="{00000000-0005-0000-0000-000043950000}"/>
    <cellStyle name="Remarque 3 3 2 2 2 5 11 2" xfId="60597" xr:uid="{00000000-0005-0000-0000-000044950000}"/>
    <cellStyle name="Remarque 3 3 2 2 2 5 12" xfId="13389" xr:uid="{00000000-0005-0000-0000-000045950000}"/>
    <cellStyle name="Remarque 3 3 2 2 2 5 13" xfId="37349" xr:uid="{00000000-0005-0000-0000-000046950000}"/>
    <cellStyle name="Remarque 3 3 2 2 2 5 2" xfId="3598" xr:uid="{00000000-0005-0000-0000-000047950000}"/>
    <cellStyle name="Remarque 3 3 2 2 2 5 2 2" xfId="27612" xr:uid="{00000000-0005-0000-0000-000048950000}"/>
    <cellStyle name="Remarque 3 3 2 2 2 5 2 2 2" xfId="51572" xr:uid="{00000000-0005-0000-0000-000049950000}"/>
    <cellStyle name="Remarque 3 3 2 2 2 5 2 3" xfId="14859" xr:uid="{00000000-0005-0000-0000-00004A950000}"/>
    <cellStyle name="Remarque 3 3 2 2 2 5 2 4" xfId="38819" xr:uid="{00000000-0005-0000-0000-00004B950000}"/>
    <cellStyle name="Remarque 3 3 2 2 2 5 3" xfId="5032" xr:uid="{00000000-0005-0000-0000-00004C950000}"/>
    <cellStyle name="Remarque 3 3 2 2 2 5 3 2" xfId="29046" xr:uid="{00000000-0005-0000-0000-00004D950000}"/>
    <cellStyle name="Remarque 3 3 2 2 2 5 3 2 2" xfId="53006" xr:uid="{00000000-0005-0000-0000-00004E950000}"/>
    <cellStyle name="Remarque 3 3 2 2 2 5 3 3" xfId="16293" xr:uid="{00000000-0005-0000-0000-00004F950000}"/>
    <cellStyle name="Remarque 3 3 2 2 2 5 3 4" xfId="40253" xr:uid="{00000000-0005-0000-0000-000050950000}"/>
    <cellStyle name="Remarque 3 3 2 2 2 5 4" xfId="6426" xr:uid="{00000000-0005-0000-0000-000051950000}"/>
    <cellStyle name="Remarque 3 3 2 2 2 5 4 2" xfId="30440" xr:uid="{00000000-0005-0000-0000-000052950000}"/>
    <cellStyle name="Remarque 3 3 2 2 2 5 4 2 2" xfId="54400" xr:uid="{00000000-0005-0000-0000-000053950000}"/>
    <cellStyle name="Remarque 3 3 2 2 2 5 4 3" xfId="17687" xr:uid="{00000000-0005-0000-0000-000054950000}"/>
    <cellStyle name="Remarque 3 3 2 2 2 5 4 4" xfId="41647" xr:uid="{00000000-0005-0000-0000-000055950000}"/>
    <cellStyle name="Remarque 3 3 2 2 2 5 5" xfId="7814" xr:uid="{00000000-0005-0000-0000-000056950000}"/>
    <cellStyle name="Remarque 3 3 2 2 2 5 5 2" xfId="31828" xr:uid="{00000000-0005-0000-0000-000057950000}"/>
    <cellStyle name="Remarque 3 3 2 2 2 5 5 2 2" xfId="55788" xr:uid="{00000000-0005-0000-0000-000058950000}"/>
    <cellStyle name="Remarque 3 3 2 2 2 5 5 3" xfId="19075" xr:uid="{00000000-0005-0000-0000-000059950000}"/>
    <cellStyle name="Remarque 3 3 2 2 2 5 5 4" xfId="43035" xr:uid="{00000000-0005-0000-0000-00005A950000}"/>
    <cellStyle name="Remarque 3 3 2 2 2 5 6" xfId="9199" xr:uid="{00000000-0005-0000-0000-00005B950000}"/>
    <cellStyle name="Remarque 3 3 2 2 2 5 6 2" xfId="33213" xr:uid="{00000000-0005-0000-0000-00005C950000}"/>
    <cellStyle name="Remarque 3 3 2 2 2 5 6 2 2" xfId="57173" xr:uid="{00000000-0005-0000-0000-00005D950000}"/>
    <cellStyle name="Remarque 3 3 2 2 2 5 6 3" xfId="20460" xr:uid="{00000000-0005-0000-0000-00005E950000}"/>
    <cellStyle name="Remarque 3 3 2 2 2 5 6 4" xfId="44420" xr:uid="{00000000-0005-0000-0000-00005F950000}"/>
    <cellStyle name="Remarque 3 3 2 2 2 5 7" xfId="10656" xr:uid="{00000000-0005-0000-0000-000060950000}"/>
    <cellStyle name="Remarque 3 3 2 2 2 5 7 2" xfId="34666" xr:uid="{00000000-0005-0000-0000-000061950000}"/>
    <cellStyle name="Remarque 3 3 2 2 2 5 7 2 2" xfId="58626" xr:uid="{00000000-0005-0000-0000-000062950000}"/>
    <cellStyle name="Remarque 3 3 2 2 2 5 7 3" xfId="21923" xr:uid="{00000000-0005-0000-0000-000063950000}"/>
    <cellStyle name="Remarque 3 3 2 2 2 5 7 4" xfId="45883" xr:uid="{00000000-0005-0000-0000-000064950000}"/>
    <cellStyle name="Remarque 3 3 2 2 2 5 8" xfId="10119" xr:uid="{00000000-0005-0000-0000-000065950000}"/>
    <cellStyle name="Remarque 3 3 2 2 2 5 8 2" xfId="21380" xr:uid="{00000000-0005-0000-0000-000066950000}"/>
    <cellStyle name="Remarque 3 3 2 2 2 5 8 3" xfId="45340" xr:uid="{00000000-0005-0000-0000-000067950000}"/>
    <cellStyle name="Remarque 3 3 2 2 2 5 9" xfId="2128" xr:uid="{00000000-0005-0000-0000-000068950000}"/>
    <cellStyle name="Remarque 3 3 2 2 2 5 9 2" xfId="26142" xr:uid="{00000000-0005-0000-0000-000069950000}"/>
    <cellStyle name="Remarque 3 3 2 2 2 5 9 3" xfId="50102" xr:uid="{00000000-0005-0000-0000-00006A950000}"/>
    <cellStyle name="Remarque 3 3 2 2 2 6" xfId="886" xr:uid="{00000000-0005-0000-0000-00006B950000}"/>
    <cellStyle name="Remarque 3 3 2 2 2 6 10" xfId="24918" xr:uid="{00000000-0005-0000-0000-00006C950000}"/>
    <cellStyle name="Remarque 3 3 2 2 2 6 10 2" xfId="48878" xr:uid="{00000000-0005-0000-0000-00006D950000}"/>
    <cellStyle name="Remarque 3 3 2 2 2 6 11" xfId="36386" xr:uid="{00000000-0005-0000-0000-00006E950000}"/>
    <cellStyle name="Remarque 3 3 2 2 2 6 11 2" xfId="60346" xr:uid="{00000000-0005-0000-0000-00006F950000}"/>
    <cellStyle name="Remarque 3 3 2 2 2 6 12" xfId="13583" xr:uid="{00000000-0005-0000-0000-000070950000}"/>
    <cellStyle name="Remarque 3 3 2 2 2 6 13" xfId="37543" xr:uid="{00000000-0005-0000-0000-000071950000}"/>
    <cellStyle name="Remarque 3 3 2 2 2 6 2" xfId="3792" xr:uid="{00000000-0005-0000-0000-000072950000}"/>
    <cellStyle name="Remarque 3 3 2 2 2 6 2 2" xfId="27806" xr:uid="{00000000-0005-0000-0000-000073950000}"/>
    <cellStyle name="Remarque 3 3 2 2 2 6 2 2 2" xfId="51766" xr:uid="{00000000-0005-0000-0000-000074950000}"/>
    <cellStyle name="Remarque 3 3 2 2 2 6 2 3" xfId="15053" xr:uid="{00000000-0005-0000-0000-000075950000}"/>
    <cellStyle name="Remarque 3 3 2 2 2 6 2 4" xfId="39013" xr:uid="{00000000-0005-0000-0000-000076950000}"/>
    <cellStyle name="Remarque 3 3 2 2 2 6 3" xfId="5226" xr:uid="{00000000-0005-0000-0000-000077950000}"/>
    <cellStyle name="Remarque 3 3 2 2 2 6 3 2" xfId="29240" xr:uid="{00000000-0005-0000-0000-000078950000}"/>
    <cellStyle name="Remarque 3 3 2 2 2 6 3 2 2" xfId="53200" xr:uid="{00000000-0005-0000-0000-000079950000}"/>
    <cellStyle name="Remarque 3 3 2 2 2 6 3 3" xfId="16487" xr:uid="{00000000-0005-0000-0000-00007A950000}"/>
    <cellStyle name="Remarque 3 3 2 2 2 6 3 4" xfId="40447" xr:uid="{00000000-0005-0000-0000-00007B950000}"/>
    <cellStyle name="Remarque 3 3 2 2 2 6 4" xfId="6620" xr:uid="{00000000-0005-0000-0000-00007C950000}"/>
    <cellStyle name="Remarque 3 3 2 2 2 6 4 2" xfId="30634" xr:uid="{00000000-0005-0000-0000-00007D950000}"/>
    <cellStyle name="Remarque 3 3 2 2 2 6 4 2 2" xfId="54594" xr:uid="{00000000-0005-0000-0000-00007E950000}"/>
    <cellStyle name="Remarque 3 3 2 2 2 6 4 3" xfId="17881" xr:uid="{00000000-0005-0000-0000-00007F950000}"/>
    <cellStyle name="Remarque 3 3 2 2 2 6 4 4" xfId="41841" xr:uid="{00000000-0005-0000-0000-000080950000}"/>
    <cellStyle name="Remarque 3 3 2 2 2 6 5" xfId="8008" xr:uid="{00000000-0005-0000-0000-000081950000}"/>
    <cellStyle name="Remarque 3 3 2 2 2 6 5 2" xfId="32022" xr:uid="{00000000-0005-0000-0000-000082950000}"/>
    <cellStyle name="Remarque 3 3 2 2 2 6 5 2 2" xfId="55982" xr:uid="{00000000-0005-0000-0000-000083950000}"/>
    <cellStyle name="Remarque 3 3 2 2 2 6 5 3" xfId="19269" xr:uid="{00000000-0005-0000-0000-000084950000}"/>
    <cellStyle name="Remarque 3 3 2 2 2 6 5 4" xfId="43229" xr:uid="{00000000-0005-0000-0000-000085950000}"/>
    <cellStyle name="Remarque 3 3 2 2 2 6 6" xfId="9393" xr:uid="{00000000-0005-0000-0000-000086950000}"/>
    <cellStyle name="Remarque 3 3 2 2 2 6 6 2" xfId="33407" xr:uid="{00000000-0005-0000-0000-000087950000}"/>
    <cellStyle name="Remarque 3 3 2 2 2 6 6 2 2" xfId="57367" xr:uid="{00000000-0005-0000-0000-000088950000}"/>
    <cellStyle name="Remarque 3 3 2 2 2 6 6 3" xfId="20654" xr:uid="{00000000-0005-0000-0000-000089950000}"/>
    <cellStyle name="Remarque 3 3 2 2 2 6 6 4" xfId="44614" xr:uid="{00000000-0005-0000-0000-00008A950000}"/>
    <cellStyle name="Remarque 3 3 2 2 2 6 7" xfId="10850" xr:uid="{00000000-0005-0000-0000-00008B950000}"/>
    <cellStyle name="Remarque 3 3 2 2 2 6 7 2" xfId="34860" xr:uid="{00000000-0005-0000-0000-00008C950000}"/>
    <cellStyle name="Remarque 3 3 2 2 2 6 7 2 2" xfId="58820" xr:uid="{00000000-0005-0000-0000-00008D950000}"/>
    <cellStyle name="Remarque 3 3 2 2 2 6 7 3" xfId="22117" xr:uid="{00000000-0005-0000-0000-00008E950000}"/>
    <cellStyle name="Remarque 3 3 2 2 2 6 7 4" xfId="46077" xr:uid="{00000000-0005-0000-0000-00008F950000}"/>
    <cellStyle name="Remarque 3 3 2 2 2 6 8" xfId="12008" xr:uid="{00000000-0005-0000-0000-000090950000}"/>
    <cellStyle name="Remarque 3 3 2 2 2 6 8 2" xfId="23287" xr:uid="{00000000-0005-0000-0000-000091950000}"/>
    <cellStyle name="Remarque 3 3 2 2 2 6 8 3" xfId="47247" xr:uid="{00000000-0005-0000-0000-000092950000}"/>
    <cellStyle name="Remarque 3 3 2 2 2 6 9" xfId="2322" xr:uid="{00000000-0005-0000-0000-000093950000}"/>
    <cellStyle name="Remarque 3 3 2 2 2 6 9 2" xfId="26336" xr:uid="{00000000-0005-0000-0000-000094950000}"/>
    <cellStyle name="Remarque 3 3 2 2 2 6 9 3" xfId="50296" xr:uid="{00000000-0005-0000-0000-000095950000}"/>
    <cellStyle name="Remarque 3 3 2 2 2 7" xfId="1079" xr:uid="{00000000-0005-0000-0000-000096950000}"/>
    <cellStyle name="Remarque 3 3 2 2 2 7 10" xfId="25111" xr:uid="{00000000-0005-0000-0000-000097950000}"/>
    <cellStyle name="Remarque 3 3 2 2 2 7 10 2" xfId="49071" xr:uid="{00000000-0005-0000-0000-000098950000}"/>
    <cellStyle name="Remarque 3 3 2 2 2 7 11" xfId="36838" xr:uid="{00000000-0005-0000-0000-000099950000}"/>
    <cellStyle name="Remarque 3 3 2 2 2 7 11 2" xfId="60798" xr:uid="{00000000-0005-0000-0000-00009A950000}"/>
    <cellStyle name="Remarque 3 3 2 2 2 7 12" xfId="13776" xr:uid="{00000000-0005-0000-0000-00009B950000}"/>
    <cellStyle name="Remarque 3 3 2 2 2 7 13" xfId="37736" xr:uid="{00000000-0005-0000-0000-00009C950000}"/>
    <cellStyle name="Remarque 3 3 2 2 2 7 2" xfId="3985" xr:uid="{00000000-0005-0000-0000-00009D950000}"/>
    <cellStyle name="Remarque 3 3 2 2 2 7 2 2" xfId="27999" xr:uid="{00000000-0005-0000-0000-00009E950000}"/>
    <cellStyle name="Remarque 3 3 2 2 2 7 2 2 2" xfId="51959" xr:uid="{00000000-0005-0000-0000-00009F950000}"/>
    <cellStyle name="Remarque 3 3 2 2 2 7 2 3" xfId="15246" xr:uid="{00000000-0005-0000-0000-0000A0950000}"/>
    <cellStyle name="Remarque 3 3 2 2 2 7 2 4" xfId="39206" xr:uid="{00000000-0005-0000-0000-0000A1950000}"/>
    <cellStyle name="Remarque 3 3 2 2 2 7 3" xfId="5419" xr:uid="{00000000-0005-0000-0000-0000A2950000}"/>
    <cellStyle name="Remarque 3 3 2 2 2 7 3 2" xfId="29433" xr:uid="{00000000-0005-0000-0000-0000A3950000}"/>
    <cellStyle name="Remarque 3 3 2 2 2 7 3 2 2" xfId="53393" xr:uid="{00000000-0005-0000-0000-0000A4950000}"/>
    <cellStyle name="Remarque 3 3 2 2 2 7 3 3" xfId="16680" xr:uid="{00000000-0005-0000-0000-0000A5950000}"/>
    <cellStyle name="Remarque 3 3 2 2 2 7 3 4" xfId="40640" xr:uid="{00000000-0005-0000-0000-0000A6950000}"/>
    <cellStyle name="Remarque 3 3 2 2 2 7 4" xfId="6813" xr:uid="{00000000-0005-0000-0000-0000A7950000}"/>
    <cellStyle name="Remarque 3 3 2 2 2 7 4 2" xfId="30827" xr:uid="{00000000-0005-0000-0000-0000A8950000}"/>
    <cellStyle name="Remarque 3 3 2 2 2 7 4 2 2" xfId="54787" xr:uid="{00000000-0005-0000-0000-0000A9950000}"/>
    <cellStyle name="Remarque 3 3 2 2 2 7 4 3" xfId="18074" xr:uid="{00000000-0005-0000-0000-0000AA950000}"/>
    <cellStyle name="Remarque 3 3 2 2 2 7 4 4" xfId="42034" xr:uid="{00000000-0005-0000-0000-0000AB950000}"/>
    <cellStyle name="Remarque 3 3 2 2 2 7 5" xfId="8201" xr:uid="{00000000-0005-0000-0000-0000AC950000}"/>
    <cellStyle name="Remarque 3 3 2 2 2 7 5 2" xfId="32215" xr:uid="{00000000-0005-0000-0000-0000AD950000}"/>
    <cellStyle name="Remarque 3 3 2 2 2 7 5 2 2" xfId="56175" xr:uid="{00000000-0005-0000-0000-0000AE950000}"/>
    <cellStyle name="Remarque 3 3 2 2 2 7 5 3" xfId="19462" xr:uid="{00000000-0005-0000-0000-0000AF950000}"/>
    <cellStyle name="Remarque 3 3 2 2 2 7 5 4" xfId="43422" xr:uid="{00000000-0005-0000-0000-0000B0950000}"/>
    <cellStyle name="Remarque 3 3 2 2 2 7 6" xfId="9586" xr:uid="{00000000-0005-0000-0000-0000B1950000}"/>
    <cellStyle name="Remarque 3 3 2 2 2 7 6 2" xfId="33600" xr:uid="{00000000-0005-0000-0000-0000B2950000}"/>
    <cellStyle name="Remarque 3 3 2 2 2 7 6 2 2" xfId="57560" xr:uid="{00000000-0005-0000-0000-0000B3950000}"/>
    <cellStyle name="Remarque 3 3 2 2 2 7 6 3" xfId="20847" xr:uid="{00000000-0005-0000-0000-0000B4950000}"/>
    <cellStyle name="Remarque 3 3 2 2 2 7 6 4" xfId="44807" xr:uid="{00000000-0005-0000-0000-0000B5950000}"/>
    <cellStyle name="Remarque 3 3 2 2 2 7 7" xfId="11043" xr:uid="{00000000-0005-0000-0000-0000B6950000}"/>
    <cellStyle name="Remarque 3 3 2 2 2 7 7 2" xfId="35053" xr:uid="{00000000-0005-0000-0000-0000B7950000}"/>
    <cellStyle name="Remarque 3 3 2 2 2 7 7 2 2" xfId="59013" xr:uid="{00000000-0005-0000-0000-0000B8950000}"/>
    <cellStyle name="Remarque 3 3 2 2 2 7 7 3" xfId="22310" xr:uid="{00000000-0005-0000-0000-0000B9950000}"/>
    <cellStyle name="Remarque 3 3 2 2 2 7 7 4" xfId="46270" xr:uid="{00000000-0005-0000-0000-0000BA950000}"/>
    <cellStyle name="Remarque 3 3 2 2 2 7 8" xfId="11668" xr:uid="{00000000-0005-0000-0000-0000BB950000}"/>
    <cellStyle name="Remarque 3 3 2 2 2 7 8 2" xfId="22936" xr:uid="{00000000-0005-0000-0000-0000BC950000}"/>
    <cellStyle name="Remarque 3 3 2 2 2 7 8 3" xfId="46896" xr:uid="{00000000-0005-0000-0000-0000BD950000}"/>
    <cellStyle name="Remarque 3 3 2 2 2 7 9" xfId="2515" xr:uid="{00000000-0005-0000-0000-0000BE950000}"/>
    <cellStyle name="Remarque 3 3 2 2 2 7 9 2" xfId="26529" xr:uid="{00000000-0005-0000-0000-0000BF950000}"/>
    <cellStyle name="Remarque 3 3 2 2 2 7 9 3" xfId="50489" xr:uid="{00000000-0005-0000-0000-0000C0950000}"/>
    <cellStyle name="Remarque 3 3 2 2 2 8" xfId="1246" xr:uid="{00000000-0005-0000-0000-0000C1950000}"/>
    <cellStyle name="Remarque 3 3 2 2 2 8 10" xfId="25278" xr:uid="{00000000-0005-0000-0000-0000C2950000}"/>
    <cellStyle name="Remarque 3 3 2 2 2 8 10 2" xfId="49238" xr:uid="{00000000-0005-0000-0000-0000C3950000}"/>
    <cellStyle name="Remarque 3 3 2 2 2 8 11" xfId="36520" xr:uid="{00000000-0005-0000-0000-0000C4950000}"/>
    <cellStyle name="Remarque 3 3 2 2 2 8 11 2" xfId="60480" xr:uid="{00000000-0005-0000-0000-0000C5950000}"/>
    <cellStyle name="Remarque 3 3 2 2 2 8 12" xfId="13943" xr:uid="{00000000-0005-0000-0000-0000C6950000}"/>
    <cellStyle name="Remarque 3 3 2 2 2 8 13" xfId="37903" xr:uid="{00000000-0005-0000-0000-0000C7950000}"/>
    <cellStyle name="Remarque 3 3 2 2 2 8 2" xfId="4152" xr:uid="{00000000-0005-0000-0000-0000C8950000}"/>
    <cellStyle name="Remarque 3 3 2 2 2 8 2 2" xfId="28166" xr:uid="{00000000-0005-0000-0000-0000C9950000}"/>
    <cellStyle name="Remarque 3 3 2 2 2 8 2 2 2" xfId="52126" xr:uid="{00000000-0005-0000-0000-0000CA950000}"/>
    <cellStyle name="Remarque 3 3 2 2 2 8 2 3" xfId="15413" xr:uid="{00000000-0005-0000-0000-0000CB950000}"/>
    <cellStyle name="Remarque 3 3 2 2 2 8 2 4" xfId="39373" xr:uid="{00000000-0005-0000-0000-0000CC950000}"/>
    <cellStyle name="Remarque 3 3 2 2 2 8 3" xfId="5586" xr:uid="{00000000-0005-0000-0000-0000CD950000}"/>
    <cellStyle name="Remarque 3 3 2 2 2 8 3 2" xfId="29600" xr:uid="{00000000-0005-0000-0000-0000CE950000}"/>
    <cellStyle name="Remarque 3 3 2 2 2 8 3 2 2" xfId="53560" xr:uid="{00000000-0005-0000-0000-0000CF950000}"/>
    <cellStyle name="Remarque 3 3 2 2 2 8 3 3" xfId="16847" xr:uid="{00000000-0005-0000-0000-0000D0950000}"/>
    <cellStyle name="Remarque 3 3 2 2 2 8 3 4" xfId="40807" xr:uid="{00000000-0005-0000-0000-0000D1950000}"/>
    <cellStyle name="Remarque 3 3 2 2 2 8 4" xfId="6980" xr:uid="{00000000-0005-0000-0000-0000D2950000}"/>
    <cellStyle name="Remarque 3 3 2 2 2 8 4 2" xfId="30994" xr:uid="{00000000-0005-0000-0000-0000D3950000}"/>
    <cellStyle name="Remarque 3 3 2 2 2 8 4 2 2" xfId="54954" xr:uid="{00000000-0005-0000-0000-0000D4950000}"/>
    <cellStyle name="Remarque 3 3 2 2 2 8 4 3" xfId="18241" xr:uid="{00000000-0005-0000-0000-0000D5950000}"/>
    <cellStyle name="Remarque 3 3 2 2 2 8 4 4" xfId="42201" xr:uid="{00000000-0005-0000-0000-0000D6950000}"/>
    <cellStyle name="Remarque 3 3 2 2 2 8 5" xfId="8368" xr:uid="{00000000-0005-0000-0000-0000D7950000}"/>
    <cellStyle name="Remarque 3 3 2 2 2 8 5 2" xfId="32382" xr:uid="{00000000-0005-0000-0000-0000D8950000}"/>
    <cellStyle name="Remarque 3 3 2 2 2 8 5 2 2" xfId="56342" xr:uid="{00000000-0005-0000-0000-0000D9950000}"/>
    <cellStyle name="Remarque 3 3 2 2 2 8 5 3" xfId="19629" xr:uid="{00000000-0005-0000-0000-0000DA950000}"/>
    <cellStyle name="Remarque 3 3 2 2 2 8 5 4" xfId="43589" xr:uid="{00000000-0005-0000-0000-0000DB950000}"/>
    <cellStyle name="Remarque 3 3 2 2 2 8 6" xfId="9753" xr:uid="{00000000-0005-0000-0000-0000DC950000}"/>
    <cellStyle name="Remarque 3 3 2 2 2 8 6 2" xfId="33767" xr:uid="{00000000-0005-0000-0000-0000DD950000}"/>
    <cellStyle name="Remarque 3 3 2 2 2 8 6 2 2" xfId="57727" xr:uid="{00000000-0005-0000-0000-0000DE950000}"/>
    <cellStyle name="Remarque 3 3 2 2 2 8 6 3" xfId="21014" xr:uid="{00000000-0005-0000-0000-0000DF950000}"/>
    <cellStyle name="Remarque 3 3 2 2 2 8 6 4" xfId="44974" xr:uid="{00000000-0005-0000-0000-0000E0950000}"/>
    <cellStyle name="Remarque 3 3 2 2 2 8 7" xfId="11210" xr:uid="{00000000-0005-0000-0000-0000E1950000}"/>
    <cellStyle name="Remarque 3 3 2 2 2 8 7 2" xfId="35220" xr:uid="{00000000-0005-0000-0000-0000E2950000}"/>
    <cellStyle name="Remarque 3 3 2 2 2 8 7 2 2" xfId="59180" xr:uid="{00000000-0005-0000-0000-0000E3950000}"/>
    <cellStyle name="Remarque 3 3 2 2 2 8 7 3" xfId="22477" xr:uid="{00000000-0005-0000-0000-0000E4950000}"/>
    <cellStyle name="Remarque 3 3 2 2 2 8 7 4" xfId="46437" xr:uid="{00000000-0005-0000-0000-0000E5950000}"/>
    <cellStyle name="Remarque 3 3 2 2 2 8 8" xfId="11623" xr:uid="{00000000-0005-0000-0000-0000E6950000}"/>
    <cellStyle name="Remarque 3 3 2 2 2 8 8 2" xfId="22891" xr:uid="{00000000-0005-0000-0000-0000E7950000}"/>
    <cellStyle name="Remarque 3 3 2 2 2 8 8 3" xfId="46851" xr:uid="{00000000-0005-0000-0000-0000E8950000}"/>
    <cellStyle name="Remarque 3 3 2 2 2 8 9" xfId="2682" xr:uid="{00000000-0005-0000-0000-0000E9950000}"/>
    <cellStyle name="Remarque 3 3 2 2 2 8 9 2" xfId="26696" xr:uid="{00000000-0005-0000-0000-0000EA950000}"/>
    <cellStyle name="Remarque 3 3 2 2 2 8 9 3" xfId="50656" xr:uid="{00000000-0005-0000-0000-0000EB950000}"/>
    <cellStyle name="Remarque 3 3 2 2 2 9" xfId="1415" xr:uid="{00000000-0005-0000-0000-0000EC950000}"/>
    <cellStyle name="Remarque 3 3 2 2 2 9 10" xfId="25447" xr:uid="{00000000-0005-0000-0000-0000ED950000}"/>
    <cellStyle name="Remarque 3 3 2 2 2 9 10 2" xfId="49407" xr:uid="{00000000-0005-0000-0000-0000EE950000}"/>
    <cellStyle name="Remarque 3 3 2 2 2 9 11" xfId="36304" xr:uid="{00000000-0005-0000-0000-0000EF950000}"/>
    <cellStyle name="Remarque 3 3 2 2 2 9 11 2" xfId="60264" xr:uid="{00000000-0005-0000-0000-0000F0950000}"/>
    <cellStyle name="Remarque 3 3 2 2 2 9 12" xfId="14112" xr:uid="{00000000-0005-0000-0000-0000F1950000}"/>
    <cellStyle name="Remarque 3 3 2 2 2 9 13" xfId="38072" xr:uid="{00000000-0005-0000-0000-0000F2950000}"/>
    <cellStyle name="Remarque 3 3 2 2 2 9 2" xfId="4321" xr:uid="{00000000-0005-0000-0000-0000F3950000}"/>
    <cellStyle name="Remarque 3 3 2 2 2 9 2 2" xfId="28335" xr:uid="{00000000-0005-0000-0000-0000F4950000}"/>
    <cellStyle name="Remarque 3 3 2 2 2 9 2 2 2" xfId="52295" xr:uid="{00000000-0005-0000-0000-0000F5950000}"/>
    <cellStyle name="Remarque 3 3 2 2 2 9 2 3" xfId="15582" xr:uid="{00000000-0005-0000-0000-0000F6950000}"/>
    <cellStyle name="Remarque 3 3 2 2 2 9 2 4" xfId="39542" xr:uid="{00000000-0005-0000-0000-0000F7950000}"/>
    <cellStyle name="Remarque 3 3 2 2 2 9 3" xfId="5755" xr:uid="{00000000-0005-0000-0000-0000F8950000}"/>
    <cellStyle name="Remarque 3 3 2 2 2 9 3 2" xfId="29769" xr:uid="{00000000-0005-0000-0000-0000F9950000}"/>
    <cellStyle name="Remarque 3 3 2 2 2 9 3 2 2" xfId="53729" xr:uid="{00000000-0005-0000-0000-0000FA950000}"/>
    <cellStyle name="Remarque 3 3 2 2 2 9 3 3" xfId="17016" xr:uid="{00000000-0005-0000-0000-0000FB950000}"/>
    <cellStyle name="Remarque 3 3 2 2 2 9 3 4" xfId="40976" xr:uid="{00000000-0005-0000-0000-0000FC950000}"/>
    <cellStyle name="Remarque 3 3 2 2 2 9 4" xfId="7149" xr:uid="{00000000-0005-0000-0000-0000FD950000}"/>
    <cellStyle name="Remarque 3 3 2 2 2 9 4 2" xfId="31163" xr:uid="{00000000-0005-0000-0000-0000FE950000}"/>
    <cellStyle name="Remarque 3 3 2 2 2 9 4 2 2" xfId="55123" xr:uid="{00000000-0005-0000-0000-0000FF950000}"/>
    <cellStyle name="Remarque 3 3 2 2 2 9 4 3" xfId="18410" xr:uid="{00000000-0005-0000-0000-000000960000}"/>
    <cellStyle name="Remarque 3 3 2 2 2 9 4 4" xfId="42370" xr:uid="{00000000-0005-0000-0000-000001960000}"/>
    <cellStyle name="Remarque 3 3 2 2 2 9 5" xfId="8537" xr:uid="{00000000-0005-0000-0000-000002960000}"/>
    <cellStyle name="Remarque 3 3 2 2 2 9 5 2" xfId="32551" xr:uid="{00000000-0005-0000-0000-000003960000}"/>
    <cellStyle name="Remarque 3 3 2 2 2 9 5 2 2" xfId="56511" xr:uid="{00000000-0005-0000-0000-000004960000}"/>
    <cellStyle name="Remarque 3 3 2 2 2 9 5 3" xfId="19798" xr:uid="{00000000-0005-0000-0000-000005960000}"/>
    <cellStyle name="Remarque 3 3 2 2 2 9 5 4" xfId="43758" xr:uid="{00000000-0005-0000-0000-000006960000}"/>
    <cellStyle name="Remarque 3 3 2 2 2 9 6" xfId="9922" xr:uid="{00000000-0005-0000-0000-000007960000}"/>
    <cellStyle name="Remarque 3 3 2 2 2 9 6 2" xfId="33936" xr:uid="{00000000-0005-0000-0000-000008960000}"/>
    <cellStyle name="Remarque 3 3 2 2 2 9 6 2 2" xfId="57896" xr:uid="{00000000-0005-0000-0000-000009960000}"/>
    <cellStyle name="Remarque 3 3 2 2 2 9 6 3" xfId="21183" xr:uid="{00000000-0005-0000-0000-00000A960000}"/>
    <cellStyle name="Remarque 3 3 2 2 2 9 6 4" xfId="45143" xr:uid="{00000000-0005-0000-0000-00000B960000}"/>
    <cellStyle name="Remarque 3 3 2 2 2 9 7" xfId="11379" xr:uid="{00000000-0005-0000-0000-00000C960000}"/>
    <cellStyle name="Remarque 3 3 2 2 2 9 7 2" xfId="35389" xr:uid="{00000000-0005-0000-0000-00000D960000}"/>
    <cellStyle name="Remarque 3 3 2 2 2 9 7 2 2" xfId="59349" xr:uid="{00000000-0005-0000-0000-00000E960000}"/>
    <cellStyle name="Remarque 3 3 2 2 2 9 7 3" xfId="22646" xr:uid="{00000000-0005-0000-0000-00000F960000}"/>
    <cellStyle name="Remarque 3 3 2 2 2 9 7 4" xfId="46606" xr:uid="{00000000-0005-0000-0000-000010960000}"/>
    <cellStyle name="Remarque 3 3 2 2 2 9 8" xfId="11812" xr:uid="{00000000-0005-0000-0000-000011960000}"/>
    <cellStyle name="Remarque 3 3 2 2 2 9 8 2" xfId="23086" xr:uid="{00000000-0005-0000-0000-000012960000}"/>
    <cellStyle name="Remarque 3 3 2 2 2 9 8 3" xfId="47046" xr:uid="{00000000-0005-0000-0000-000013960000}"/>
    <cellStyle name="Remarque 3 3 2 2 2 9 9" xfId="2851" xr:uid="{00000000-0005-0000-0000-000014960000}"/>
    <cellStyle name="Remarque 3 3 2 2 2 9 9 2" xfId="26865" xr:uid="{00000000-0005-0000-0000-000015960000}"/>
    <cellStyle name="Remarque 3 3 2 2 2 9 9 3" xfId="50825" xr:uid="{00000000-0005-0000-0000-000016960000}"/>
    <cellStyle name="Remarque 3 3 2 2 20" xfId="10158" xr:uid="{00000000-0005-0000-0000-000017960000}"/>
    <cellStyle name="Remarque 3 3 2 2 20 2" xfId="34170" xr:uid="{00000000-0005-0000-0000-000018960000}"/>
    <cellStyle name="Remarque 3 3 2 2 20 2 2" xfId="58130" xr:uid="{00000000-0005-0000-0000-000019960000}"/>
    <cellStyle name="Remarque 3 3 2 2 20 3" xfId="21423" xr:uid="{00000000-0005-0000-0000-00001A960000}"/>
    <cellStyle name="Remarque 3 3 2 2 20 4" xfId="45383" xr:uid="{00000000-0005-0000-0000-00001B960000}"/>
    <cellStyle name="Remarque 3 3 2 2 21" xfId="11860" xr:uid="{00000000-0005-0000-0000-00001C960000}"/>
    <cellStyle name="Remarque 3 3 2 2 21 2" xfId="23136" xr:uid="{00000000-0005-0000-0000-00001D960000}"/>
    <cellStyle name="Remarque 3 3 2 2 21 3" xfId="47096" xr:uid="{00000000-0005-0000-0000-00001E960000}"/>
    <cellStyle name="Remarque 3 3 2 2 22" xfId="1656" xr:uid="{00000000-0005-0000-0000-00001F960000}"/>
    <cellStyle name="Remarque 3 3 2 2 22 2" xfId="25670" xr:uid="{00000000-0005-0000-0000-000020960000}"/>
    <cellStyle name="Remarque 3 3 2 2 22 3" xfId="49630" xr:uid="{00000000-0005-0000-0000-000021960000}"/>
    <cellStyle name="Remarque 3 3 2 2 23" xfId="24224" xr:uid="{00000000-0005-0000-0000-000022960000}"/>
    <cellStyle name="Remarque 3 3 2 2 23 2" xfId="48184" xr:uid="{00000000-0005-0000-0000-000023960000}"/>
    <cellStyle name="Remarque 3 3 2 2 24" xfId="24263" xr:uid="{00000000-0005-0000-0000-000024960000}"/>
    <cellStyle name="Remarque 3 3 2 2 24 2" xfId="48223" xr:uid="{00000000-0005-0000-0000-000025960000}"/>
    <cellStyle name="Remarque 3 3 2 2 25" xfId="12936" xr:uid="{00000000-0005-0000-0000-000026960000}"/>
    <cellStyle name="Remarque 3 3 2 2 26" xfId="36877" xr:uid="{00000000-0005-0000-0000-000027960000}"/>
    <cellStyle name="Remarque 3 3 2 2 27" xfId="192" xr:uid="{00000000-0005-0000-0000-000028960000}"/>
    <cellStyle name="Remarque 3 3 2 2 3" xfId="152" xr:uid="{00000000-0005-0000-0000-000029960000}"/>
    <cellStyle name="Remarque 3 3 2 2 3 10" xfId="6148" xr:uid="{00000000-0005-0000-0000-00002A960000}"/>
    <cellStyle name="Remarque 3 3 2 2 3 10 2" xfId="30162" xr:uid="{00000000-0005-0000-0000-00002B960000}"/>
    <cellStyle name="Remarque 3 3 2 2 3 10 2 2" xfId="54122" xr:uid="{00000000-0005-0000-0000-00002C960000}"/>
    <cellStyle name="Remarque 3 3 2 2 3 10 3" xfId="17409" xr:uid="{00000000-0005-0000-0000-00002D960000}"/>
    <cellStyle name="Remarque 3 3 2 2 3 10 4" xfId="41369" xr:uid="{00000000-0005-0000-0000-00002E960000}"/>
    <cellStyle name="Remarque 3 3 2 2 3 11" xfId="7536" xr:uid="{00000000-0005-0000-0000-00002F960000}"/>
    <cellStyle name="Remarque 3 3 2 2 3 11 2" xfId="31550" xr:uid="{00000000-0005-0000-0000-000030960000}"/>
    <cellStyle name="Remarque 3 3 2 2 3 11 2 2" xfId="55510" xr:uid="{00000000-0005-0000-0000-000031960000}"/>
    <cellStyle name="Remarque 3 3 2 2 3 11 3" xfId="18797" xr:uid="{00000000-0005-0000-0000-000032960000}"/>
    <cellStyle name="Remarque 3 3 2 2 3 11 4" xfId="42757" xr:uid="{00000000-0005-0000-0000-000033960000}"/>
    <cellStyle name="Remarque 3 3 2 2 3 12" xfId="8921" xr:uid="{00000000-0005-0000-0000-000034960000}"/>
    <cellStyle name="Remarque 3 3 2 2 3 12 2" xfId="32935" xr:uid="{00000000-0005-0000-0000-000035960000}"/>
    <cellStyle name="Remarque 3 3 2 2 3 12 2 2" xfId="56895" xr:uid="{00000000-0005-0000-0000-000036960000}"/>
    <cellStyle name="Remarque 3 3 2 2 3 12 3" xfId="20182" xr:uid="{00000000-0005-0000-0000-000037960000}"/>
    <cellStyle name="Remarque 3 3 2 2 3 12 4" xfId="44142" xr:uid="{00000000-0005-0000-0000-000038960000}"/>
    <cellStyle name="Remarque 3 3 2 2 3 13" xfId="10378" xr:uid="{00000000-0005-0000-0000-000039960000}"/>
    <cellStyle name="Remarque 3 3 2 2 3 13 2" xfId="34388" xr:uid="{00000000-0005-0000-0000-00003A960000}"/>
    <cellStyle name="Remarque 3 3 2 2 3 13 2 2" xfId="58348" xr:uid="{00000000-0005-0000-0000-00003B960000}"/>
    <cellStyle name="Remarque 3 3 2 2 3 13 3" xfId="21645" xr:uid="{00000000-0005-0000-0000-00003C960000}"/>
    <cellStyle name="Remarque 3 3 2 2 3 13 4" xfId="45605" xr:uid="{00000000-0005-0000-0000-00003D960000}"/>
    <cellStyle name="Remarque 3 3 2 2 3 14" xfId="12404" xr:uid="{00000000-0005-0000-0000-00003E960000}"/>
    <cellStyle name="Remarque 3 3 2 2 3 14 2" xfId="23695" xr:uid="{00000000-0005-0000-0000-00003F960000}"/>
    <cellStyle name="Remarque 3 3 2 2 3 14 3" xfId="47655" xr:uid="{00000000-0005-0000-0000-000040960000}"/>
    <cellStyle name="Remarque 3 3 2 2 3 15" xfId="1850" xr:uid="{00000000-0005-0000-0000-000041960000}"/>
    <cellStyle name="Remarque 3 3 2 2 3 15 2" xfId="25864" xr:uid="{00000000-0005-0000-0000-000042960000}"/>
    <cellStyle name="Remarque 3 3 2 2 3 15 3" xfId="49824" xr:uid="{00000000-0005-0000-0000-000043960000}"/>
    <cellStyle name="Remarque 3 3 2 2 3 16" xfId="24446" xr:uid="{00000000-0005-0000-0000-000044960000}"/>
    <cellStyle name="Remarque 3 3 2 2 3 16 2" xfId="48406" xr:uid="{00000000-0005-0000-0000-000045960000}"/>
    <cellStyle name="Remarque 3 3 2 2 3 17" xfId="36425" xr:uid="{00000000-0005-0000-0000-000046960000}"/>
    <cellStyle name="Remarque 3 3 2 2 3 17 2" xfId="60385" xr:uid="{00000000-0005-0000-0000-000047960000}"/>
    <cellStyle name="Remarque 3 3 2 2 3 18" xfId="13111" xr:uid="{00000000-0005-0000-0000-000048960000}"/>
    <cellStyle name="Remarque 3 3 2 2 3 19" xfId="37071" xr:uid="{00000000-0005-0000-0000-000049960000}"/>
    <cellStyle name="Remarque 3 3 2 2 3 2" xfId="550" xr:uid="{00000000-0005-0000-0000-00004A960000}"/>
    <cellStyle name="Remarque 3 3 2 2 3 2 10" xfId="24582" xr:uid="{00000000-0005-0000-0000-00004B960000}"/>
    <cellStyle name="Remarque 3 3 2 2 3 2 10 2" xfId="48542" xr:uid="{00000000-0005-0000-0000-00004C960000}"/>
    <cellStyle name="Remarque 3 3 2 2 3 2 11" xfId="36422" xr:uid="{00000000-0005-0000-0000-00004D960000}"/>
    <cellStyle name="Remarque 3 3 2 2 3 2 11 2" xfId="60382" xr:uid="{00000000-0005-0000-0000-00004E960000}"/>
    <cellStyle name="Remarque 3 3 2 2 3 2 12" xfId="13247" xr:uid="{00000000-0005-0000-0000-00004F960000}"/>
    <cellStyle name="Remarque 3 3 2 2 3 2 13" xfId="37207" xr:uid="{00000000-0005-0000-0000-000050960000}"/>
    <cellStyle name="Remarque 3 3 2 2 3 2 2" xfId="3456" xr:uid="{00000000-0005-0000-0000-000051960000}"/>
    <cellStyle name="Remarque 3 3 2 2 3 2 2 2" xfId="27470" xr:uid="{00000000-0005-0000-0000-000052960000}"/>
    <cellStyle name="Remarque 3 3 2 2 3 2 2 2 2" xfId="51430" xr:uid="{00000000-0005-0000-0000-000053960000}"/>
    <cellStyle name="Remarque 3 3 2 2 3 2 2 3" xfId="14717" xr:uid="{00000000-0005-0000-0000-000054960000}"/>
    <cellStyle name="Remarque 3 3 2 2 3 2 2 4" xfId="38677" xr:uid="{00000000-0005-0000-0000-000055960000}"/>
    <cellStyle name="Remarque 3 3 2 2 3 2 3" xfId="4890" xr:uid="{00000000-0005-0000-0000-000056960000}"/>
    <cellStyle name="Remarque 3 3 2 2 3 2 3 2" xfId="28904" xr:uid="{00000000-0005-0000-0000-000057960000}"/>
    <cellStyle name="Remarque 3 3 2 2 3 2 3 2 2" xfId="52864" xr:uid="{00000000-0005-0000-0000-000058960000}"/>
    <cellStyle name="Remarque 3 3 2 2 3 2 3 3" xfId="16151" xr:uid="{00000000-0005-0000-0000-000059960000}"/>
    <cellStyle name="Remarque 3 3 2 2 3 2 3 4" xfId="40111" xr:uid="{00000000-0005-0000-0000-00005A960000}"/>
    <cellStyle name="Remarque 3 3 2 2 3 2 4" xfId="6284" xr:uid="{00000000-0005-0000-0000-00005B960000}"/>
    <cellStyle name="Remarque 3 3 2 2 3 2 4 2" xfId="30298" xr:uid="{00000000-0005-0000-0000-00005C960000}"/>
    <cellStyle name="Remarque 3 3 2 2 3 2 4 2 2" xfId="54258" xr:uid="{00000000-0005-0000-0000-00005D960000}"/>
    <cellStyle name="Remarque 3 3 2 2 3 2 4 3" xfId="17545" xr:uid="{00000000-0005-0000-0000-00005E960000}"/>
    <cellStyle name="Remarque 3 3 2 2 3 2 4 4" xfId="41505" xr:uid="{00000000-0005-0000-0000-00005F960000}"/>
    <cellStyle name="Remarque 3 3 2 2 3 2 5" xfId="7672" xr:uid="{00000000-0005-0000-0000-000060960000}"/>
    <cellStyle name="Remarque 3 3 2 2 3 2 5 2" xfId="31686" xr:uid="{00000000-0005-0000-0000-000061960000}"/>
    <cellStyle name="Remarque 3 3 2 2 3 2 5 2 2" xfId="55646" xr:uid="{00000000-0005-0000-0000-000062960000}"/>
    <cellStyle name="Remarque 3 3 2 2 3 2 5 3" xfId="18933" xr:uid="{00000000-0005-0000-0000-000063960000}"/>
    <cellStyle name="Remarque 3 3 2 2 3 2 5 4" xfId="42893" xr:uid="{00000000-0005-0000-0000-000064960000}"/>
    <cellStyle name="Remarque 3 3 2 2 3 2 6" xfId="9057" xr:uid="{00000000-0005-0000-0000-000065960000}"/>
    <cellStyle name="Remarque 3 3 2 2 3 2 6 2" xfId="33071" xr:uid="{00000000-0005-0000-0000-000066960000}"/>
    <cellStyle name="Remarque 3 3 2 2 3 2 6 2 2" xfId="57031" xr:uid="{00000000-0005-0000-0000-000067960000}"/>
    <cellStyle name="Remarque 3 3 2 2 3 2 6 3" xfId="20318" xr:uid="{00000000-0005-0000-0000-000068960000}"/>
    <cellStyle name="Remarque 3 3 2 2 3 2 6 4" xfId="44278" xr:uid="{00000000-0005-0000-0000-000069960000}"/>
    <cellStyle name="Remarque 3 3 2 2 3 2 7" xfId="10514" xr:uid="{00000000-0005-0000-0000-00006A960000}"/>
    <cellStyle name="Remarque 3 3 2 2 3 2 7 2" xfId="34524" xr:uid="{00000000-0005-0000-0000-00006B960000}"/>
    <cellStyle name="Remarque 3 3 2 2 3 2 7 2 2" xfId="58484" xr:uid="{00000000-0005-0000-0000-00006C960000}"/>
    <cellStyle name="Remarque 3 3 2 2 3 2 7 3" xfId="21781" xr:uid="{00000000-0005-0000-0000-00006D960000}"/>
    <cellStyle name="Remarque 3 3 2 2 3 2 7 4" xfId="45741" xr:uid="{00000000-0005-0000-0000-00006E960000}"/>
    <cellStyle name="Remarque 3 3 2 2 3 2 8" xfId="11771" xr:uid="{00000000-0005-0000-0000-00006F960000}"/>
    <cellStyle name="Remarque 3 3 2 2 3 2 8 2" xfId="23044" xr:uid="{00000000-0005-0000-0000-000070960000}"/>
    <cellStyle name="Remarque 3 3 2 2 3 2 8 3" xfId="47004" xr:uid="{00000000-0005-0000-0000-000071960000}"/>
    <cellStyle name="Remarque 3 3 2 2 3 2 9" xfId="1986" xr:uid="{00000000-0005-0000-0000-000072960000}"/>
    <cellStyle name="Remarque 3 3 2 2 3 2 9 2" xfId="26000" xr:uid="{00000000-0005-0000-0000-000073960000}"/>
    <cellStyle name="Remarque 3 3 2 2 3 2 9 3" xfId="49960" xr:uid="{00000000-0005-0000-0000-000074960000}"/>
    <cellStyle name="Remarque 3 3 2 2 3 20" xfId="414" xr:uid="{00000000-0005-0000-0000-000075960000}"/>
    <cellStyle name="Remarque 3 3 2 2 3 3" xfId="742" xr:uid="{00000000-0005-0000-0000-000076960000}"/>
    <cellStyle name="Remarque 3 3 2 2 3 3 10" xfId="24774" xr:uid="{00000000-0005-0000-0000-000077960000}"/>
    <cellStyle name="Remarque 3 3 2 2 3 3 10 2" xfId="48734" xr:uid="{00000000-0005-0000-0000-000078960000}"/>
    <cellStyle name="Remarque 3 3 2 2 3 3 11" xfId="36421" xr:uid="{00000000-0005-0000-0000-000079960000}"/>
    <cellStyle name="Remarque 3 3 2 2 3 3 11 2" xfId="60381" xr:uid="{00000000-0005-0000-0000-00007A960000}"/>
    <cellStyle name="Remarque 3 3 2 2 3 3 12" xfId="13439" xr:uid="{00000000-0005-0000-0000-00007B960000}"/>
    <cellStyle name="Remarque 3 3 2 2 3 3 13" xfId="37399" xr:uid="{00000000-0005-0000-0000-00007C960000}"/>
    <cellStyle name="Remarque 3 3 2 2 3 3 2" xfId="3648" xr:uid="{00000000-0005-0000-0000-00007D960000}"/>
    <cellStyle name="Remarque 3 3 2 2 3 3 2 2" xfId="27662" xr:uid="{00000000-0005-0000-0000-00007E960000}"/>
    <cellStyle name="Remarque 3 3 2 2 3 3 2 2 2" xfId="51622" xr:uid="{00000000-0005-0000-0000-00007F960000}"/>
    <cellStyle name="Remarque 3 3 2 2 3 3 2 3" xfId="14909" xr:uid="{00000000-0005-0000-0000-000080960000}"/>
    <cellStyle name="Remarque 3 3 2 2 3 3 2 4" xfId="38869" xr:uid="{00000000-0005-0000-0000-000081960000}"/>
    <cellStyle name="Remarque 3 3 2 2 3 3 3" xfId="5082" xr:uid="{00000000-0005-0000-0000-000082960000}"/>
    <cellStyle name="Remarque 3 3 2 2 3 3 3 2" xfId="29096" xr:uid="{00000000-0005-0000-0000-000083960000}"/>
    <cellStyle name="Remarque 3 3 2 2 3 3 3 2 2" xfId="53056" xr:uid="{00000000-0005-0000-0000-000084960000}"/>
    <cellStyle name="Remarque 3 3 2 2 3 3 3 3" xfId="16343" xr:uid="{00000000-0005-0000-0000-000085960000}"/>
    <cellStyle name="Remarque 3 3 2 2 3 3 3 4" xfId="40303" xr:uid="{00000000-0005-0000-0000-000086960000}"/>
    <cellStyle name="Remarque 3 3 2 2 3 3 4" xfId="6476" xr:uid="{00000000-0005-0000-0000-000087960000}"/>
    <cellStyle name="Remarque 3 3 2 2 3 3 4 2" xfId="30490" xr:uid="{00000000-0005-0000-0000-000088960000}"/>
    <cellStyle name="Remarque 3 3 2 2 3 3 4 2 2" xfId="54450" xr:uid="{00000000-0005-0000-0000-000089960000}"/>
    <cellStyle name="Remarque 3 3 2 2 3 3 4 3" xfId="17737" xr:uid="{00000000-0005-0000-0000-00008A960000}"/>
    <cellStyle name="Remarque 3 3 2 2 3 3 4 4" xfId="41697" xr:uid="{00000000-0005-0000-0000-00008B960000}"/>
    <cellStyle name="Remarque 3 3 2 2 3 3 5" xfId="7864" xr:uid="{00000000-0005-0000-0000-00008C960000}"/>
    <cellStyle name="Remarque 3 3 2 2 3 3 5 2" xfId="31878" xr:uid="{00000000-0005-0000-0000-00008D960000}"/>
    <cellStyle name="Remarque 3 3 2 2 3 3 5 2 2" xfId="55838" xr:uid="{00000000-0005-0000-0000-00008E960000}"/>
    <cellStyle name="Remarque 3 3 2 2 3 3 5 3" xfId="19125" xr:uid="{00000000-0005-0000-0000-00008F960000}"/>
    <cellStyle name="Remarque 3 3 2 2 3 3 5 4" xfId="43085" xr:uid="{00000000-0005-0000-0000-000090960000}"/>
    <cellStyle name="Remarque 3 3 2 2 3 3 6" xfId="9249" xr:uid="{00000000-0005-0000-0000-000091960000}"/>
    <cellStyle name="Remarque 3 3 2 2 3 3 6 2" xfId="33263" xr:uid="{00000000-0005-0000-0000-000092960000}"/>
    <cellStyle name="Remarque 3 3 2 2 3 3 6 2 2" xfId="57223" xr:uid="{00000000-0005-0000-0000-000093960000}"/>
    <cellStyle name="Remarque 3 3 2 2 3 3 6 3" xfId="20510" xr:uid="{00000000-0005-0000-0000-000094960000}"/>
    <cellStyle name="Remarque 3 3 2 2 3 3 6 4" xfId="44470" xr:uid="{00000000-0005-0000-0000-000095960000}"/>
    <cellStyle name="Remarque 3 3 2 2 3 3 7" xfId="10706" xr:uid="{00000000-0005-0000-0000-000096960000}"/>
    <cellStyle name="Remarque 3 3 2 2 3 3 7 2" xfId="34716" xr:uid="{00000000-0005-0000-0000-000097960000}"/>
    <cellStyle name="Remarque 3 3 2 2 3 3 7 2 2" xfId="58676" xr:uid="{00000000-0005-0000-0000-000098960000}"/>
    <cellStyle name="Remarque 3 3 2 2 3 3 7 3" xfId="21973" xr:uid="{00000000-0005-0000-0000-000099960000}"/>
    <cellStyle name="Remarque 3 3 2 2 3 3 7 4" xfId="45933" xr:uid="{00000000-0005-0000-0000-00009A960000}"/>
    <cellStyle name="Remarque 3 3 2 2 3 3 8" xfId="12240" xr:uid="{00000000-0005-0000-0000-00009B960000}"/>
    <cellStyle name="Remarque 3 3 2 2 3 3 8 2" xfId="23524" xr:uid="{00000000-0005-0000-0000-00009C960000}"/>
    <cellStyle name="Remarque 3 3 2 2 3 3 8 3" xfId="47484" xr:uid="{00000000-0005-0000-0000-00009D960000}"/>
    <cellStyle name="Remarque 3 3 2 2 3 3 9" xfId="2178" xr:uid="{00000000-0005-0000-0000-00009E960000}"/>
    <cellStyle name="Remarque 3 3 2 2 3 3 9 2" xfId="26192" xr:uid="{00000000-0005-0000-0000-00009F960000}"/>
    <cellStyle name="Remarque 3 3 2 2 3 3 9 3" xfId="50152" xr:uid="{00000000-0005-0000-0000-0000A0960000}"/>
    <cellStyle name="Remarque 3 3 2 2 3 4" xfId="936" xr:uid="{00000000-0005-0000-0000-0000A1960000}"/>
    <cellStyle name="Remarque 3 3 2 2 3 4 10" xfId="24968" xr:uid="{00000000-0005-0000-0000-0000A2960000}"/>
    <cellStyle name="Remarque 3 3 2 2 3 4 10 2" xfId="48928" xr:uid="{00000000-0005-0000-0000-0000A3960000}"/>
    <cellStyle name="Remarque 3 3 2 2 3 4 11" xfId="35955" xr:uid="{00000000-0005-0000-0000-0000A4960000}"/>
    <cellStyle name="Remarque 3 3 2 2 3 4 11 2" xfId="59915" xr:uid="{00000000-0005-0000-0000-0000A5960000}"/>
    <cellStyle name="Remarque 3 3 2 2 3 4 12" xfId="13633" xr:uid="{00000000-0005-0000-0000-0000A6960000}"/>
    <cellStyle name="Remarque 3 3 2 2 3 4 13" xfId="37593" xr:uid="{00000000-0005-0000-0000-0000A7960000}"/>
    <cellStyle name="Remarque 3 3 2 2 3 4 2" xfId="3842" xr:uid="{00000000-0005-0000-0000-0000A8960000}"/>
    <cellStyle name="Remarque 3 3 2 2 3 4 2 2" xfId="27856" xr:uid="{00000000-0005-0000-0000-0000A9960000}"/>
    <cellStyle name="Remarque 3 3 2 2 3 4 2 2 2" xfId="51816" xr:uid="{00000000-0005-0000-0000-0000AA960000}"/>
    <cellStyle name="Remarque 3 3 2 2 3 4 2 3" xfId="15103" xr:uid="{00000000-0005-0000-0000-0000AB960000}"/>
    <cellStyle name="Remarque 3 3 2 2 3 4 2 4" xfId="39063" xr:uid="{00000000-0005-0000-0000-0000AC960000}"/>
    <cellStyle name="Remarque 3 3 2 2 3 4 3" xfId="5276" xr:uid="{00000000-0005-0000-0000-0000AD960000}"/>
    <cellStyle name="Remarque 3 3 2 2 3 4 3 2" xfId="29290" xr:uid="{00000000-0005-0000-0000-0000AE960000}"/>
    <cellStyle name="Remarque 3 3 2 2 3 4 3 2 2" xfId="53250" xr:uid="{00000000-0005-0000-0000-0000AF960000}"/>
    <cellStyle name="Remarque 3 3 2 2 3 4 3 3" xfId="16537" xr:uid="{00000000-0005-0000-0000-0000B0960000}"/>
    <cellStyle name="Remarque 3 3 2 2 3 4 3 4" xfId="40497" xr:uid="{00000000-0005-0000-0000-0000B1960000}"/>
    <cellStyle name="Remarque 3 3 2 2 3 4 4" xfId="6670" xr:uid="{00000000-0005-0000-0000-0000B2960000}"/>
    <cellStyle name="Remarque 3 3 2 2 3 4 4 2" xfId="30684" xr:uid="{00000000-0005-0000-0000-0000B3960000}"/>
    <cellStyle name="Remarque 3 3 2 2 3 4 4 2 2" xfId="54644" xr:uid="{00000000-0005-0000-0000-0000B4960000}"/>
    <cellStyle name="Remarque 3 3 2 2 3 4 4 3" xfId="17931" xr:uid="{00000000-0005-0000-0000-0000B5960000}"/>
    <cellStyle name="Remarque 3 3 2 2 3 4 4 4" xfId="41891" xr:uid="{00000000-0005-0000-0000-0000B6960000}"/>
    <cellStyle name="Remarque 3 3 2 2 3 4 5" xfId="8058" xr:uid="{00000000-0005-0000-0000-0000B7960000}"/>
    <cellStyle name="Remarque 3 3 2 2 3 4 5 2" xfId="32072" xr:uid="{00000000-0005-0000-0000-0000B8960000}"/>
    <cellStyle name="Remarque 3 3 2 2 3 4 5 2 2" xfId="56032" xr:uid="{00000000-0005-0000-0000-0000B9960000}"/>
    <cellStyle name="Remarque 3 3 2 2 3 4 5 3" xfId="19319" xr:uid="{00000000-0005-0000-0000-0000BA960000}"/>
    <cellStyle name="Remarque 3 3 2 2 3 4 5 4" xfId="43279" xr:uid="{00000000-0005-0000-0000-0000BB960000}"/>
    <cellStyle name="Remarque 3 3 2 2 3 4 6" xfId="9443" xr:uid="{00000000-0005-0000-0000-0000BC960000}"/>
    <cellStyle name="Remarque 3 3 2 2 3 4 6 2" xfId="33457" xr:uid="{00000000-0005-0000-0000-0000BD960000}"/>
    <cellStyle name="Remarque 3 3 2 2 3 4 6 2 2" xfId="57417" xr:uid="{00000000-0005-0000-0000-0000BE960000}"/>
    <cellStyle name="Remarque 3 3 2 2 3 4 6 3" xfId="20704" xr:uid="{00000000-0005-0000-0000-0000BF960000}"/>
    <cellStyle name="Remarque 3 3 2 2 3 4 6 4" xfId="44664" xr:uid="{00000000-0005-0000-0000-0000C0960000}"/>
    <cellStyle name="Remarque 3 3 2 2 3 4 7" xfId="10900" xr:uid="{00000000-0005-0000-0000-0000C1960000}"/>
    <cellStyle name="Remarque 3 3 2 2 3 4 7 2" xfId="34910" xr:uid="{00000000-0005-0000-0000-0000C2960000}"/>
    <cellStyle name="Remarque 3 3 2 2 3 4 7 2 2" xfId="58870" xr:uid="{00000000-0005-0000-0000-0000C3960000}"/>
    <cellStyle name="Remarque 3 3 2 2 3 4 7 3" xfId="22167" xr:uid="{00000000-0005-0000-0000-0000C4960000}"/>
    <cellStyle name="Remarque 3 3 2 2 3 4 7 4" xfId="46127" xr:uid="{00000000-0005-0000-0000-0000C5960000}"/>
    <cellStyle name="Remarque 3 3 2 2 3 4 8" xfId="11568" xr:uid="{00000000-0005-0000-0000-0000C6960000}"/>
    <cellStyle name="Remarque 3 3 2 2 3 4 8 2" xfId="22835" xr:uid="{00000000-0005-0000-0000-0000C7960000}"/>
    <cellStyle name="Remarque 3 3 2 2 3 4 8 3" xfId="46795" xr:uid="{00000000-0005-0000-0000-0000C8960000}"/>
    <cellStyle name="Remarque 3 3 2 2 3 4 9" xfId="2372" xr:uid="{00000000-0005-0000-0000-0000C9960000}"/>
    <cellStyle name="Remarque 3 3 2 2 3 4 9 2" xfId="26386" xr:uid="{00000000-0005-0000-0000-0000CA960000}"/>
    <cellStyle name="Remarque 3 3 2 2 3 4 9 3" xfId="50346" xr:uid="{00000000-0005-0000-0000-0000CB960000}"/>
    <cellStyle name="Remarque 3 3 2 2 3 5" xfId="1129" xr:uid="{00000000-0005-0000-0000-0000CC960000}"/>
    <cellStyle name="Remarque 3 3 2 2 3 5 10" xfId="25161" xr:uid="{00000000-0005-0000-0000-0000CD960000}"/>
    <cellStyle name="Remarque 3 3 2 2 3 5 10 2" xfId="49121" xr:uid="{00000000-0005-0000-0000-0000CE960000}"/>
    <cellStyle name="Remarque 3 3 2 2 3 5 11" xfId="36252" xr:uid="{00000000-0005-0000-0000-0000CF960000}"/>
    <cellStyle name="Remarque 3 3 2 2 3 5 11 2" xfId="60212" xr:uid="{00000000-0005-0000-0000-0000D0960000}"/>
    <cellStyle name="Remarque 3 3 2 2 3 5 12" xfId="13826" xr:uid="{00000000-0005-0000-0000-0000D1960000}"/>
    <cellStyle name="Remarque 3 3 2 2 3 5 13" xfId="37786" xr:uid="{00000000-0005-0000-0000-0000D2960000}"/>
    <cellStyle name="Remarque 3 3 2 2 3 5 2" xfId="4035" xr:uid="{00000000-0005-0000-0000-0000D3960000}"/>
    <cellStyle name="Remarque 3 3 2 2 3 5 2 2" xfId="28049" xr:uid="{00000000-0005-0000-0000-0000D4960000}"/>
    <cellStyle name="Remarque 3 3 2 2 3 5 2 2 2" xfId="52009" xr:uid="{00000000-0005-0000-0000-0000D5960000}"/>
    <cellStyle name="Remarque 3 3 2 2 3 5 2 3" xfId="15296" xr:uid="{00000000-0005-0000-0000-0000D6960000}"/>
    <cellStyle name="Remarque 3 3 2 2 3 5 2 4" xfId="39256" xr:uid="{00000000-0005-0000-0000-0000D7960000}"/>
    <cellStyle name="Remarque 3 3 2 2 3 5 3" xfId="5469" xr:uid="{00000000-0005-0000-0000-0000D8960000}"/>
    <cellStyle name="Remarque 3 3 2 2 3 5 3 2" xfId="29483" xr:uid="{00000000-0005-0000-0000-0000D9960000}"/>
    <cellStyle name="Remarque 3 3 2 2 3 5 3 2 2" xfId="53443" xr:uid="{00000000-0005-0000-0000-0000DA960000}"/>
    <cellStyle name="Remarque 3 3 2 2 3 5 3 3" xfId="16730" xr:uid="{00000000-0005-0000-0000-0000DB960000}"/>
    <cellStyle name="Remarque 3 3 2 2 3 5 3 4" xfId="40690" xr:uid="{00000000-0005-0000-0000-0000DC960000}"/>
    <cellStyle name="Remarque 3 3 2 2 3 5 4" xfId="6863" xr:uid="{00000000-0005-0000-0000-0000DD960000}"/>
    <cellStyle name="Remarque 3 3 2 2 3 5 4 2" xfId="30877" xr:uid="{00000000-0005-0000-0000-0000DE960000}"/>
    <cellStyle name="Remarque 3 3 2 2 3 5 4 2 2" xfId="54837" xr:uid="{00000000-0005-0000-0000-0000DF960000}"/>
    <cellStyle name="Remarque 3 3 2 2 3 5 4 3" xfId="18124" xr:uid="{00000000-0005-0000-0000-0000E0960000}"/>
    <cellStyle name="Remarque 3 3 2 2 3 5 4 4" xfId="42084" xr:uid="{00000000-0005-0000-0000-0000E1960000}"/>
    <cellStyle name="Remarque 3 3 2 2 3 5 5" xfId="8251" xr:uid="{00000000-0005-0000-0000-0000E2960000}"/>
    <cellStyle name="Remarque 3 3 2 2 3 5 5 2" xfId="32265" xr:uid="{00000000-0005-0000-0000-0000E3960000}"/>
    <cellStyle name="Remarque 3 3 2 2 3 5 5 2 2" xfId="56225" xr:uid="{00000000-0005-0000-0000-0000E4960000}"/>
    <cellStyle name="Remarque 3 3 2 2 3 5 5 3" xfId="19512" xr:uid="{00000000-0005-0000-0000-0000E5960000}"/>
    <cellStyle name="Remarque 3 3 2 2 3 5 5 4" xfId="43472" xr:uid="{00000000-0005-0000-0000-0000E6960000}"/>
    <cellStyle name="Remarque 3 3 2 2 3 5 6" xfId="9636" xr:uid="{00000000-0005-0000-0000-0000E7960000}"/>
    <cellStyle name="Remarque 3 3 2 2 3 5 6 2" xfId="33650" xr:uid="{00000000-0005-0000-0000-0000E8960000}"/>
    <cellStyle name="Remarque 3 3 2 2 3 5 6 2 2" xfId="57610" xr:uid="{00000000-0005-0000-0000-0000E9960000}"/>
    <cellStyle name="Remarque 3 3 2 2 3 5 6 3" xfId="20897" xr:uid="{00000000-0005-0000-0000-0000EA960000}"/>
    <cellStyle name="Remarque 3 3 2 2 3 5 6 4" xfId="44857" xr:uid="{00000000-0005-0000-0000-0000EB960000}"/>
    <cellStyle name="Remarque 3 3 2 2 3 5 7" xfId="11093" xr:uid="{00000000-0005-0000-0000-0000EC960000}"/>
    <cellStyle name="Remarque 3 3 2 2 3 5 7 2" xfId="35103" xr:uid="{00000000-0005-0000-0000-0000ED960000}"/>
    <cellStyle name="Remarque 3 3 2 2 3 5 7 2 2" xfId="59063" xr:uid="{00000000-0005-0000-0000-0000EE960000}"/>
    <cellStyle name="Remarque 3 3 2 2 3 5 7 3" xfId="22360" xr:uid="{00000000-0005-0000-0000-0000EF960000}"/>
    <cellStyle name="Remarque 3 3 2 2 3 5 7 4" xfId="46320" xr:uid="{00000000-0005-0000-0000-0000F0960000}"/>
    <cellStyle name="Remarque 3 3 2 2 3 5 8" xfId="11746" xr:uid="{00000000-0005-0000-0000-0000F1960000}"/>
    <cellStyle name="Remarque 3 3 2 2 3 5 8 2" xfId="23018" xr:uid="{00000000-0005-0000-0000-0000F2960000}"/>
    <cellStyle name="Remarque 3 3 2 2 3 5 8 3" xfId="46978" xr:uid="{00000000-0005-0000-0000-0000F3960000}"/>
    <cellStyle name="Remarque 3 3 2 2 3 5 9" xfId="2565" xr:uid="{00000000-0005-0000-0000-0000F4960000}"/>
    <cellStyle name="Remarque 3 3 2 2 3 5 9 2" xfId="26579" xr:uid="{00000000-0005-0000-0000-0000F5960000}"/>
    <cellStyle name="Remarque 3 3 2 2 3 5 9 3" xfId="50539" xr:uid="{00000000-0005-0000-0000-0000F6960000}"/>
    <cellStyle name="Remarque 3 3 2 2 3 6" xfId="1296" xr:uid="{00000000-0005-0000-0000-0000F7960000}"/>
    <cellStyle name="Remarque 3 3 2 2 3 6 10" xfId="25328" xr:uid="{00000000-0005-0000-0000-0000F8960000}"/>
    <cellStyle name="Remarque 3 3 2 2 3 6 10 2" xfId="49288" xr:uid="{00000000-0005-0000-0000-0000F9960000}"/>
    <cellStyle name="Remarque 3 3 2 2 3 6 11" xfId="36581" xr:uid="{00000000-0005-0000-0000-0000FA960000}"/>
    <cellStyle name="Remarque 3 3 2 2 3 6 11 2" xfId="60541" xr:uid="{00000000-0005-0000-0000-0000FB960000}"/>
    <cellStyle name="Remarque 3 3 2 2 3 6 12" xfId="13993" xr:uid="{00000000-0005-0000-0000-0000FC960000}"/>
    <cellStyle name="Remarque 3 3 2 2 3 6 13" xfId="37953" xr:uid="{00000000-0005-0000-0000-0000FD960000}"/>
    <cellStyle name="Remarque 3 3 2 2 3 6 2" xfId="4202" xr:uid="{00000000-0005-0000-0000-0000FE960000}"/>
    <cellStyle name="Remarque 3 3 2 2 3 6 2 2" xfId="28216" xr:uid="{00000000-0005-0000-0000-0000FF960000}"/>
    <cellStyle name="Remarque 3 3 2 2 3 6 2 2 2" xfId="52176" xr:uid="{00000000-0005-0000-0000-000000970000}"/>
    <cellStyle name="Remarque 3 3 2 2 3 6 2 3" xfId="15463" xr:uid="{00000000-0005-0000-0000-000001970000}"/>
    <cellStyle name="Remarque 3 3 2 2 3 6 2 4" xfId="39423" xr:uid="{00000000-0005-0000-0000-000002970000}"/>
    <cellStyle name="Remarque 3 3 2 2 3 6 3" xfId="5636" xr:uid="{00000000-0005-0000-0000-000003970000}"/>
    <cellStyle name="Remarque 3 3 2 2 3 6 3 2" xfId="29650" xr:uid="{00000000-0005-0000-0000-000004970000}"/>
    <cellStyle name="Remarque 3 3 2 2 3 6 3 2 2" xfId="53610" xr:uid="{00000000-0005-0000-0000-000005970000}"/>
    <cellStyle name="Remarque 3 3 2 2 3 6 3 3" xfId="16897" xr:uid="{00000000-0005-0000-0000-000006970000}"/>
    <cellStyle name="Remarque 3 3 2 2 3 6 3 4" xfId="40857" xr:uid="{00000000-0005-0000-0000-000007970000}"/>
    <cellStyle name="Remarque 3 3 2 2 3 6 4" xfId="7030" xr:uid="{00000000-0005-0000-0000-000008970000}"/>
    <cellStyle name="Remarque 3 3 2 2 3 6 4 2" xfId="31044" xr:uid="{00000000-0005-0000-0000-000009970000}"/>
    <cellStyle name="Remarque 3 3 2 2 3 6 4 2 2" xfId="55004" xr:uid="{00000000-0005-0000-0000-00000A970000}"/>
    <cellStyle name="Remarque 3 3 2 2 3 6 4 3" xfId="18291" xr:uid="{00000000-0005-0000-0000-00000B970000}"/>
    <cellStyle name="Remarque 3 3 2 2 3 6 4 4" xfId="42251" xr:uid="{00000000-0005-0000-0000-00000C970000}"/>
    <cellStyle name="Remarque 3 3 2 2 3 6 5" xfId="8418" xr:uid="{00000000-0005-0000-0000-00000D970000}"/>
    <cellStyle name="Remarque 3 3 2 2 3 6 5 2" xfId="32432" xr:uid="{00000000-0005-0000-0000-00000E970000}"/>
    <cellStyle name="Remarque 3 3 2 2 3 6 5 2 2" xfId="56392" xr:uid="{00000000-0005-0000-0000-00000F970000}"/>
    <cellStyle name="Remarque 3 3 2 2 3 6 5 3" xfId="19679" xr:uid="{00000000-0005-0000-0000-000010970000}"/>
    <cellStyle name="Remarque 3 3 2 2 3 6 5 4" xfId="43639" xr:uid="{00000000-0005-0000-0000-000011970000}"/>
    <cellStyle name="Remarque 3 3 2 2 3 6 6" xfId="9803" xr:uid="{00000000-0005-0000-0000-000012970000}"/>
    <cellStyle name="Remarque 3 3 2 2 3 6 6 2" xfId="33817" xr:uid="{00000000-0005-0000-0000-000013970000}"/>
    <cellStyle name="Remarque 3 3 2 2 3 6 6 2 2" xfId="57777" xr:uid="{00000000-0005-0000-0000-000014970000}"/>
    <cellStyle name="Remarque 3 3 2 2 3 6 6 3" xfId="21064" xr:uid="{00000000-0005-0000-0000-000015970000}"/>
    <cellStyle name="Remarque 3 3 2 2 3 6 6 4" xfId="45024" xr:uid="{00000000-0005-0000-0000-000016970000}"/>
    <cellStyle name="Remarque 3 3 2 2 3 6 7" xfId="11260" xr:uid="{00000000-0005-0000-0000-000017970000}"/>
    <cellStyle name="Remarque 3 3 2 2 3 6 7 2" xfId="35270" xr:uid="{00000000-0005-0000-0000-000018970000}"/>
    <cellStyle name="Remarque 3 3 2 2 3 6 7 2 2" xfId="59230" xr:uid="{00000000-0005-0000-0000-000019970000}"/>
    <cellStyle name="Remarque 3 3 2 2 3 6 7 3" xfId="22527" xr:uid="{00000000-0005-0000-0000-00001A970000}"/>
    <cellStyle name="Remarque 3 3 2 2 3 6 7 4" xfId="46487" xr:uid="{00000000-0005-0000-0000-00001B970000}"/>
    <cellStyle name="Remarque 3 3 2 2 3 6 8" xfId="12487" xr:uid="{00000000-0005-0000-0000-00001C970000}"/>
    <cellStyle name="Remarque 3 3 2 2 3 6 8 2" xfId="23784" xr:uid="{00000000-0005-0000-0000-00001D970000}"/>
    <cellStyle name="Remarque 3 3 2 2 3 6 8 3" xfId="47744" xr:uid="{00000000-0005-0000-0000-00001E970000}"/>
    <cellStyle name="Remarque 3 3 2 2 3 6 9" xfId="2732" xr:uid="{00000000-0005-0000-0000-00001F970000}"/>
    <cellStyle name="Remarque 3 3 2 2 3 6 9 2" xfId="26746" xr:uid="{00000000-0005-0000-0000-000020970000}"/>
    <cellStyle name="Remarque 3 3 2 2 3 6 9 3" xfId="50706" xr:uid="{00000000-0005-0000-0000-000021970000}"/>
    <cellStyle name="Remarque 3 3 2 2 3 7" xfId="1465" xr:uid="{00000000-0005-0000-0000-000022970000}"/>
    <cellStyle name="Remarque 3 3 2 2 3 7 10" xfId="25497" xr:uid="{00000000-0005-0000-0000-000023970000}"/>
    <cellStyle name="Remarque 3 3 2 2 3 7 10 2" xfId="49457" xr:uid="{00000000-0005-0000-0000-000024970000}"/>
    <cellStyle name="Remarque 3 3 2 2 3 7 11" xfId="35818" xr:uid="{00000000-0005-0000-0000-000025970000}"/>
    <cellStyle name="Remarque 3 3 2 2 3 7 11 2" xfId="59778" xr:uid="{00000000-0005-0000-0000-000026970000}"/>
    <cellStyle name="Remarque 3 3 2 2 3 7 12" xfId="14162" xr:uid="{00000000-0005-0000-0000-000027970000}"/>
    <cellStyle name="Remarque 3 3 2 2 3 7 13" xfId="38122" xr:uid="{00000000-0005-0000-0000-000028970000}"/>
    <cellStyle name="Remarque 3 3 2 2 3 7 2" xfId="4371" xr:uid="{00000000-0005-0000-0000-000029970000}"/>
    <cellStyle name="Remarque 3 3 2 2 3 7 2 2" xfId="28385" xr:uid="{00000000-0005-0000-0000-00002A970000}"/>
    <cellStyle name="Remarque 3 3 2 2 3 7 2 2 2" xfId="52345" xr:uid="{00000000-0005-0000-0000-00002B970000}"/>
    <cellStyle name="Remarque 3 3 2 2 3 7 2 3" xfId="15632" xr:uid="{00000000-0005-0000-0000-00002C970000}"/>
    <cellStyle name="Remarque 3 3 2 2 3 7 2 4" xfId="39592" xr:uid="{00000000-0005-0000-0000-00002D970000}"/>
    <cellStyle name="Remarque 3 3 2 2 3 7 3" xfId="5805" xr:uid="{00000000-0005-0000-0000-00002E970000}"/>
    <cellStyle name="Remarque 3 3 2 2 3 7 3 2" xfId="29819" xr:uid="{00000000-0005-0000-0000-00002F970000}"/>
    <cellStyle name="Remarque 3 3 2 2 3 7 3 2 2" xfId="53779" xr:uid="{00000000-0005-0000-0000-000030970000}"/>
    <cellStyle name="Remarque 3 3 2 2 3 7 3 3" xfId="17066" xr:uid="{00000000-0005-0000-0000-000031970000}"/>
    <cellStyle name="Remarque 3 3 2 2 3 7 3 4" xfId="41026" xr:uid="{00000000-0005-0000-0000-000032970000}"/>
    <cellStyle name="Remarque 3 3 2 2 3 7 4" xfId="7199" xr:uid="{00000000-0005-0000-0000-000033970000}"/>
    <cellStyle name="Remarque 3 3 2 2 3 7 4 2" xfId="31213" xr:uid="{00000000-0005-0000-0000-000034970000}"/>
    <cellStyle name="Remarque 3 3 2 2 3 7 4 2 2" xfId="55173" xr:uid="{00000000-0005-0000-0000-000035970000}"/>
    <cellStyle name="Remarque 3 3 2 2 3 7 4 3" xfId="18460" xr:uid="{00000000-0005-0000-0000-000036970000}"/>
    <cellStyle name="Remarque 3 3 2 2 3 7 4 4" xfId="42420" xr:uid="{00000000-0005-0000-0000-000037970000}"/>
    <cellStyle name="Remarque 3 3 2 2 3 7 5" xfId="8587" xr:uid="{00000000-0005-0000-0000-000038970000}"/>
    <cellStyle name="Remarque 3 3 2 2 3 7 5 2" xfId="32601" xr:uid="{00000000-0005-0000-0000-000039970000}"/>
    <cellStyle name="Remarque 3 3 2 2 3 7 5 2 2" xfId="56561" xr:uid="{00000000-0005-0000-0000-00003A970000}"/>
    <cellStyle name="Remarque 3 3 2 2 3 7 5 3" xfId="19848" xr:uid="{00000000-0005-0000-0000-00003B970000}"/>
    <cellStyle name="Remarque 3 3 2 2 3 7 5 4" xfId="43808" xr:uid="{00000000-0005-0000-0000-00003C970000}"/>
    <cellStyle name="Remarque 3 3 2 2 3 7 6" xfId="9972" xr:uid="{00000000-0005-0000-0000-00003D970000}"/>
    <cellStyle name="Remarque 3 3 2 2 3 7 6 2" xfId="33986" xr:uid="{00000000-0005-0000-0000-00003E970000}"/>
    <cellStyle name="Remarque 3 3 2 2 3 7 6 2 2" xfId="57946" xr:uid="{00000000-0005-0000-0000-00003F970000}"/>
    <cellStyle name="Remarque 3 3 2 2 3 7 6 3" xfId="21233" xr:uid="{00000000-0005-0000-0000-000040970000}"/>
    <cellStyle name="Remarque 3 3 2 2 3 7 6 4" xfId="45193" xr:uid="{00000000-0005-0000-0000-000041970000}"/>
    <cellStyle name="Remarque 3 3 2 2 3 7 7" xfId="11429" xr:uid="{00000000-0005-0000-0000-000042970000}"/>
    <cellStyle name="Remarque 3 3 2 2 3 7 7 2" xfId="35439" xr:uid="{00000000-0005-0000-0000-000043970000}"/>
    <cellStyle name="Remarque 3 3 2 2 3 7 7 2 2" xfId="59399" xr:uid="{00000000-0005-0000-0000-000044970000}"/>
    <cellStyle name="Remarque 3 3 2 2 3 7 7 3" xfId="22696" xr:uid="{00000000-0005-0000-0000-000045970000}"/>
    <cellStyle name="Remarque 3 3 2 2 3 7 7 4" xfId="46656" xr:uid="{00000000-0005-0000-0000-000046970000}"/>
    <cellStyle name="Remarque 3 3 2 2 3 7 8" xfId="12372" xr:uid="{00000000-0005-0000-0000-000047970000}"/>
    <cellStyle name="Remarque 3 3 2 2 3 7 8 2" xfId="23661" xr:uid="{00000000-0005-0000-0000-000048970000}"/>
    <cellStyle name="Remarque 3 3 2 2 3 7 8 3" xfId="47621" xr:uid="{00000000-0005-0000-0000-000049970000}"/>
    <cellStyle name="Remarque 3 3 2 2 3 7 9" xfId="2901" xr:uid="{00000000-0005-0000-0000-00004A970000}"/>
    <cellStyle name="Remarque 3 3 2 2 3 7 9 2" xfId="26915" xr:uid="{00000000-0005-0000-0000-00004B970000}"/>
    <cellStyle name="Remarque 3 3 2 2 3 7 9 3" xfId="50875" xr:uid="{00000000-0005-0000-0000-00004C970000}"/>
    <cellStyle name="Remarque 3 3 2 2 3 8" xfId="3320" xr:uid="{00000000-0005-0000-0000-00004D970000}"/>
    <cellStyle name="Remarque 3 3 2 2 3 8 2" xfId="27334" xr:uid="{00000000-0005-0000-0000-00004E970000}"/>
    <cellStyle name="Remarque 3 3 2 2 3 8 2 2" xfId="51294" xr:uid="{00000000-0005-0000-0000-00004F970000}"/>
    <cellStyle name="Remarque 3 3 2 2 3 8 3" xfId="14581" xr:uid="{00000000-0005-0000-0000-000050970000}"/>
    <cellStyle name="Remarque 3 3 2 2 3 8 4" xfId="38541" xr:uid="{00000000-0005-0000-0000-000051970000}"/>
    <cellStyle name="Remarque 3 3 2 2 3 9" xfId="4754" xr:uid="{00000000-0005-0000-0000-000052970000}"/>
    <cellStyle name="Remarque 3 3 2 2 3 9 2" xfId="28768" xr:uid="{00000000-0005-0000-0000-000053970000}"/>
    <cellStyle name="Remarque 3 3 2 2 3 9 2 2" xfId="52728" xr:uid="{00000000-0005-0000-0000-000054970000}"/>
    <cellStyle name="Remarque 3 3 2 2 3 9 3" xfId="16015" xr:uid="{00000000-0005-0000-0000-000055970000}"/>
    <cellStyle name="Remarque 3 3 2 2 3 9 4" xfId="39975" xr:uid="{00000000-0005-0000-0000-000056970000}"/>
    <cellStyle name="Remarque 3 3 2 2 4" xfId="454" xr:uid="{00000000-0005-0000-0000-000057970000}"/>
    <cellStyle name="Remarque 3 3 2 2 4 10" xfId="6188" xr:uid="{00000000-0005-0000-0000-000058970000}"/>
    <cellStyle name="Remarque 3 3 2 2 4 10 2" xfId="30202" xr:uid="{00000000-0005-0000-0000-000059970000}"/>
    <cellStyle name="Remarque 3 3 2 2 4 10 2 2" xfId="54162" xr:uid="{00000000-0005-0000-0000-00005A970000}"/>
    <cellStyle name="Remarque 3 3 2 2 4 10 3" xfId="17449" xr:uid="{00000000-0005-0000-0000-00005B970000}"/>
    <cellStyle name="Remarque 3 3 2 2 4 10 4" xfId="41409" xr:uid="{00000000-0005-0000-0000-00005C970000}"/>
    <cellStyle name="Remarque 3 3 2 2 4 11" xfId="7576" xr:uid="{00000000-0005-0000-0000-00005D970000}"/>
    <cellStyle name="Remarque 3 3 2 2 4 11 2" xfId="31590" xr:uid="{00000000-0005-0000-0000-00005E970000}"/>
    <cellStyle name="Remarque 3 3 2 2 4 11 2 2" xfId="55550" xr:uid="{00000000-0005-0000-0000-00005F970000}"/>
    <cellStyle name="Remarque 3 3 2 2 4 11 3" xfId="18837" xr:uid="{00000000-0005-0000-0000-000060970000}"/>
    <cellStyle name="Remarque 3 3 2 2 4 11 4" xfId="42797" xr:uid="{00000000-0005-0000-0000-000061970000}"/>
    <cellStyle name="Remarque 3 3 2 2 4 12" xfId="8961" xr:uid="{00000000-0005-0000-0000-000062970000}"/>
    <cellStyle name="Remarque 3 3 2 2 4 12 2" xfId="32975" xr:uid="{00000000-0005-0000-0000-000063970000}"/>
    <cellStyle name="Remarque 3 3 2 2 4 12 2 2" xfId="56935" xr:uid="{00000000-0005-0000-0000-000064970000}"/>
    <cellStyle name="Remarque 3 3 2 2 4 12 3" xfId="20222" xr:uid="{00000000-0005-0000-0000-000065970000}"/>
    <cellStyle name="Remarque 3 3 2 2 4 12 4" xfId="44182" xr:uid="{00000000-0005-0000-0000-000066970000}"/>
    <cellStyle name="Remarque 3 3 2 2 4 13" xfId="10418" xr:uid="{00000000-0005-0000-0000-000067970000}"/>
    <cellStyle name="Remarque 3 3 2 2 4 13 2" xfId="34428" xr:uid="{00000000-0005-0000-0000-000068970000}"/>
    <cellStyle name="Remarque 3 3 2 2 4 13 2 2" xfId="58388" xr:uid="{00000000-0005-0000-0000-000069970000}"/>
    <cellStyle name="Remarque 3 3 2 2 4 13 3" xfId="21685" xr:uid="{00000000-0005-0000-0000-00006A970000}"/>
    <cellStyle name="Remarque 3 3 2 2 4 13 4" xfId="45645" xr:uid="{00000000-0005-0000-0000-00006B970000}"/>
    <cellStyle name="Remarque 3 3 2 2 4 14" xfId="12820" xr:uid="{00000000-0005-0000-0000-00006C970000}"/>
    <cellStyle name="Remarque 3 3 2 2 4 14 2" xfId="24131" xr:uid="{00000000-0005-0000-0000-00006D970000}"/>
    <cellStyle name="Remarque 3 3 2 2 4 14 3" xfId="48091" xr:uid="{00000000-0005-0000-0000-00006E970000}"/>
    <cellStyle name="Remarque 3 3 2 2 4 15" xfId="1890" xr:uid="{00000000-0005-0000-0000-00006F970000}"/>
    <cellStyle name="Remarque 3 3 2 2 4 15 2" xfId="25904" xr:uid="{00000000-0005-0000-0000-000070970000}"/>
    <cellStyle name="Remarque 3 3 2 2 4 15 3" xfId="49864" xr:uid="{00000000-0005-0000-0000-000071970000}"/>
    <cellStyle name="Remarque 3 3 2 2 4 16" xfId="24486" xr:uid="{00000000-0005-0000-0000-000072970000}"/>
    <cellStyle name="Remarque 3 3 2 2 4 16 2" xfId="48446" xr:uid="{00000000-0005-0000-0000-000073970000}"/>
    <cellStyle name="Remarque 3 3 2 2 4 17" xfId="35807" xr:uid="{00000000-0005-0000-0000-000074970000}"/>
    <cellStyle name="Remarque 3 3 2 2 4 17 2" xfId="59767" xr:uid="{00000000-0005-0000-0000-000075970000}"/>
    <cellStyle name="Remarque 3 3 2 2 4 18" xfId="13151" xr:uid="{00000000-0005-0000-0000-000076970000}"/>
    <cellStyle name="Remarque 3 3 2 2 4 19" xfId="37111" xr:uid="{00000000-0005-0000-0000-000077970000}"/>
    <cellStyle name="Remarque 3 3 2 2 4 2" xfId="590" xr:uid="{00000000-0005-0000-0000-000078970000}"/>
    <cellStyle name="Remarque 3 3 2 2 4 2 10" xfId="24622" xr:uid="{00000000-0005-0000-0000-000079970000}"/>
    <cellStyle name="Remarque 3 3 2 2 4 2 10 2" xfId="48582" xr:uid="{00000000-0005-0000-0000-00007A970000}"/>
    <cellStyle name="Remarque 3 3 2 2 4 2 11" xfId="36038" xr:uid="{00000000-0005-0000-0000-00007B970000}"/>
    <cellStyle name="Remarque 3 3 2 2 4 2 11 2" xfId="59998" xr:uid="{00000000-0005-0000-0000-00007C970000}"/>
    <cellStyle name="Remarque 3 3 2 2 4 2 12" xfId="13287" xr:uid="{00000000-0005-0000-0000-00007D970000}"/>
    <cellStyle name="Remarque 3 3 2 2 4 2 13" xfId="37247" xr:uid="{00000000-0005-0000-0000-00007E970000}"/>
    <cellStyle name="Remarque 3 3 2 2 4 2 2" xfId="3496" xr:uid="{00000000-0005-0000-0000-00007F970000}"/>
    <cellStyle name="Remarque 3 3 2 2 4 2 2 2" xfId="27510" xr:uid="{00000000-0005-0000-0000-000080970000}"/>
    <cellStyle name="Remarque 3 3 2 2 4 2 2 2 2" xfId="51470" xr:uid="{00000000-0005-0000-0000-000081970000}"/>
    <cellStyle name="Remarque 3 3 2 2 4 2 2 3" xfId="14757" xr:uid="{00000000-0005-0000-0000-000082970000}"/>
    <cellStyle name="Remarque 3 3 2 2 4 2 2 4" xfId="38717" xr:uid="{00000000-0005-0000-0000-000083970000}"/>
    <cellStyle name="Remarque 3 3 2 2 4 2 3" xfId="4930" xr:uid="{00000000-0005-0000-0000-000084970000}"/>
    <cellStyle name="Remarque 3 3 2 2 4 2 3 2" xfId="28944" xr:uid="{00000000-0005-0000-0000-000085970000}"/>
    <cellStyle name="Remarque 3 3 2 2 4 2 3 2 2" xfId="52904" xr:uid="{00000000-0005-0000-0000-000086970000}"/>
    <cellStyle name="Remarque 3 3 2 2 4 2 3 3" xfId="16191" xr:uid="{00000000-0005-0000-0000-000087970000}"/>
    <cellStyle name="Remarque 3 3 2 2 4 2 3 4" xfId="40151" xr:uid="{00000000-0005-0000-0000-000088970000}"/>
    <cellStyle name="Remarque 3 3 2 2 4 2 4" xfId="6324" xr:uid="{00000000-0005-0000-0000-000089970000}"/>
    <cellStyle name="Remarque 3 3 2 2 4 2 4 2" xfId="30338" xr:uid="{00000000-0005-0000-0000-00008A970000}"/>
    <cellStyle name="Remarque 3 3 2 2 4 2 4 2 2" xfId="54298" xr:uid="{00000000-0005-0000-0000-00008B970000}"/>
    <cellStyle name="Remarque 3 3 2 2 4 2 4 3" xfId="17585" xr:uid="{00000000-0005-0000-0000-00008C970000}"/>
    <cellStyle name="Remarque 3 3 2 2 4 2 4 4" xfId="41545" xr:uid="{00000000-0005-0000-0000-00008D970000}"/>
    <cellStyle name="Remarque 3 3 2 2 4 2 5" xfId="7712" xr:uid="{00000000-0005-0000-0000-00008E970000}"/>
    <cellStyle name="Remarque 3 3 2 2 4 2 5 2" xfId="31726" xr:uid="{00000000-0005-0000-0000-00008F970000}"/>
    <cellStyle name="Remarque 3 3 2 2 4 2 5 2 2" xfId="55686" xr:uid="{00000000-0005-0000-0000-000090970000}"/>
    <cellStyle name="Remarque 3 3 2 2 4 2 5 3" xfId="18973" xr:uid="{00000000-0005-0000-0000-000091970000}"/>
    <cellStyle name="Remarque 3 3 2 2 4 2 5 4" xfId="42933" xr:uid="{00000000-0005-0000-0000-000092970000}"/>
    <cellStyle name="Remarque 3 3 2 2 4 2 6" xfId="9097" xr:uid="{00000000-0005-0000-0000-000093970000}"/>
    <cellStyle name="Remarque 3 3 2 2 4 2 6 2" xfId="33111" xr:uid="{00000000-0005-0000-0000-000094970000}"/>
    <cellStyle name="Remarque 3 3 2 2 4 2 6 2 2" xfId="57071" xr:uid="{00000000-0005-0000-0000-000095970000}"/>
    <cellStyle name="Remarque 3 3 2 2 4 2 6 3" xfId="20358" xr:uid="{00000000-0005-0000-0000-000096970000}"/>
    <cellStyle name="Remarque 3 3 2 2 4 2 6 4" xfId="44318" xr:uid="{00000000-0005-0000-0000-000097970000}"/>
    <cellStyle name="Remarque 3 3 2 2 4 2 7" xfId="10554" xr:uid="{00000000-0005-0000-0000-000098970000}"/>
    <cellStyle name="Remarque 3 3 2 2 4 2 7 2" xfId="34564" xr:uid="{00000000-0005-0000-0000-000099970000}"/>
    <cellStyle name="Remarque 3 3 2 2 4 2 7 2 2" xfId="58524" xr:uid="{00000000-0005-0000-0000-00009A970000}"/>
    <cellStyle name="Remarque 3 3 2 2 4 2 7 3" xfId="21821" xr:uid="{00000000-0005-0000-0000-00009B970000}"/>
    <cellStyle name="Remarque 3 3 2 2 4 2 7 4" xfId="45781" xr:uid="{00000000-0005-0000-0000-00009C970000}"/>
    <cellStyle name="Remarque 3 3 2 2 4 2 8" xfId="12192" xr:uid="{00000000-0005-0000-0000-00009D970000}"/>
    <cellStyle name="Remarque 3 3 2 2 4 2 8 2" xfId="23475" xr:uid="{00000000-0005-0000-0000-00009E970000}"/>
    <cellStyle name="Remarque 3 3 2 2 4 2 8 3" xfId="47435" xr:uid="{00000000-0005-0000-0000-00009F970000}"/>
    <cellStyle name="Remarque 3 3 2 2 4 2 9" xfId="2026" xr:uid="{00000000-0005-0000-0000-0000A0970000}"/>
    <cellStyle name="Remarque 3 3 2 2 4 2 9 2" xfId="26040" xr:uid="{00000000-0005-0000-0000-0000A1970000}"/>
    <cellStyle name="Remarque 3 3 2 2 4 2 9 3" xfId="50000" xr:uid="{00000000-0005-0000-0000-0000A2970000}"/>
    <cellStyle name="Remarque 3 3 2 2 4 3" xfId="782" xr:uid="{00000000-0005-0000-0000-0000A3970000}"/>
    <cellStyle name="Remarque 3 3 2 2 4 3 10" xfId="24814" xr:uid="{00000000-0005-0000-0000-0000A4970000}"/>
    <cellStyle name="Remarque 3 3 2 2 4 3 10 2" xfId="48774" xr:uid="{00000000-0005-0000-0000-0000A5970000}"/>
    <cellStyle name="Remarque 3 3 2 2 4 3 11" xfId="36277" xr:uid="{00000000-0005-0000-0000-0000A6970000}"/>
    <cellStyle name="Remarque 3 3 2 2 4 3 11 2" xfId="60237" xr:uid="{00000000-0005-0000-0000-0000A7970000}"/>
    <cellStyle name="Remarque 3 3 2 2 4 3 12" xfId="13479" xr:uid="{00000000-0005-0000-0000-0000A8970000}"/>
    <cellStyle name="Remarque 3 3 2 2 4 3 13" xfId="37439" xr:uid="{00000000-0005-0000-0000-0000A9970000}"/>
    <cellStyle name="Remarque 3 3 2 2 4 3 2" xfId="3688" xr:uid="{00000000-0005-0000-0000-0000AA970000}"/>
    <cellStyle name="Remarque 3 3 2 2 4 3 2 2" xfId="27702" xr:uid="{00000000-0005-0000-0000-0000AB970000}"/>
    <cellStyle name="Remarque 3 3 2 2 4 3 2 2 2" xfId="51662" xr:uid="{00000000-0005-0000-0000-0000AC970000}"/>
    <cellStyle name="Remarque 3 3 2 2 4 3 2 3" xfId="14949" xr:uid="{00000000-0005-0000-0000-0000AD970000}"/>
    <cellStyle name="Remarque 3 3 2 2 4 3 2 4" xfId="38909" xr:uid="{00000000-0005-0000-0000-0000AE970000}"/>
    <cellStyle name="Remarque 3 3 2 2 4 3 3" xfId="5122" xr:uid="{00000000-0005-0000-0000-0000AF970000}"/>
    <cellStyle name="Remarque 3 3 2 2 4 3 3 2" xfId="29136" xr:uid="{00000000-0005-0000-0000-0000B0970000}"/>
    <cellStyle name="Remarque 3 3 2 2 4 3 3 2 2" xfId="53096" xr:uid="{00000000-0005-0000-0000-0000B1970000}"/>
    <cellStyle name="Remarque 3 3 2 2 4 3 3 3" xfId="16383" xr:uid="{00000000-0005-0000-0000-0000B2970000}"/>
    <cellStyle name="Remarque 3 3 2 2 4 3 3 4" xfId="40343" xr:uid="{00000000-0005-0000-0000-0000B3970000}"/>
    <cellStyle name="Remarque 3 3 2 2 4 3 4" xfId="6516" xr:uid="{00000000-0005-0000-0000-0000B4970000}"/>
    <cellStyle name="Remarque 3 3 2 2 4 3 4 2" xfId="30530" xr:uid="{00000000-0005-0000-0000-0000B5970000}"/>
    <cellStyle name="Remarque 3 3 2 2 4 3 4 2 2" xfId="54490" xr:uid="{00000000-0005-0000-0000-0000B6970000}"/>
    <cellStyle name="Remarque 3 3 2 2 4 3 4 3" xfId="17777" xr:uid="{00000000-0005-0000-0000-0000B7970000}"/>
    <cellStyle name="Remarque 3 3 2 2 4 3 4 4" xfId="41737" xr:uid="{00000000-0005-0000-0000-0000B8970000}"/>
    <cellStyle name="Remarque 3 3 2 2 4 3 5" xfId="7904" xr:uid="{00000000-0005-0000-0000-0000B9970000}"/>
    <cellStyle name="Remarque 3 3 2 2 4 3 5 2" xfId="31918" xr:uid="{00000000-0005-0000-0000-0000BA970000}"/>
    <cellStyle name="Remarque 3 3 2 2 4 3 5 2 2" xfId="55878" xr:uid="{00000000-0005-0000-0000-0000BB970000}"/>
    <cellStyle name="Remarque 3 3 2 2 4 3 5 3" xfId="19165" xr:uid="{00000000-0005-0000-0000-0000BC970000}"/>
    <cellStyle name="Remarque 3 3 2 2 4 3 5 4" xfId="43125" xr:uid="{00000000-0005-0000-0000-0000BD970000}"/>
    <cellStyle name="Remarque 3 3 2 2 4 3 6" xfId="9289" xr:uid="{00000000-0005-0000-0000-0000BE970000}"/>
    <cellStyle name="Remarque 3 3 2 2 4 3 6 2" xfId="33303" xr:uid="{00000000-0005-0000-0000-0000BF970000}"/>
    <cellStyle name="Remarque 3 3 2 2 4 3 6 2 2" xfId="57263" xr:uid="{00000000-0005-0000-0000-0000C0970000}"/>
    <cellStyle name="Remarque 3 3 2 2 4 3 6 3" xfId="20550" xr:uid="{00000000-0005-0000-0000-0000C1970000}"/>
    <cellStyle name="Remarque 3 3 2 2 4 3 6 4" xfId="44510" xr:uid="{00000000-0005-0000-0000-0000C2970000}"/>
    <cellStyle name="Remarque 3 3 2 2 4 3 7" xfId="10746" xr:uid="{00000000-0005-0000-0000-0000C3970000}"/>
    <cellStyle name="Remarque 3 3 2 2 4 3 7 2" xfId="34756" xr:uid="{00000000-0005-0000-0000-0000C4970000}"/>
    <cellStyle name="Remarque 3 3 2 2 4 3 7 2 2" xfId="58716" xr:uid="{00000000-0005-0000-0000-0000C5970000}"/>
    <cellStyle name="Remarque 3 3 2 2 4 3 7 3" xfId="22013" xr:uid="{00000000-0005-0000-0000-0000C6970000}"/>
    <cellStyle name="Remarque 3 3 2 2 4 3 7 4" xfId="45973" xr:uid="{00000000-0005-0000-0000-0000C7970000}"/>
    <cellStyle name="Remarque 3 3 2 2 4 3 8" xfId="12084" xr:uid="{00000000-0005-0000-0000-0000C8970000}"/>
    <cellStyle name="Remarque 3 3 2 2 4 3 8 2" xfId="23367" xr:uid="{00000000-0005-0000-0000-0000C9970000}"/>
    <cellStyle name="Remarque 3 3 2 2 4 3 8 3" xfId="47327" xr:uid="{00000000-0005-0000-0000-0000CA970000}"/>
    <cellStyle name="Remarque 3 3 2 2 4 3 9" xfId="2218" xr:uid="{00000000-0005-0000-0000-0000CB970000}"/>
    <cellStyle name="Remarque 3 3 2 2 4 3 9 2" xfId="26232" xr:uid="{00000000-0005-0000-0000-0000CC970000}"/>
    <cellStyle name="Remarque 3 3 2 2 4 3 9 3" xfId="50192" xr:uid="{00000000-0005-0000-0000-0000CD970000}"/>
    <cellStyle name="Remarque 3 3 2 2 4 4" xfId="976" xr:uid="{00000000-0005-0000-0000-0000CE970000}"/>
    <cellStyle name="Remarque 3 3 2 2 4 4 10" xfId="25008" xr:uid="{00000000-0005-0000-0000-0000CF970000}"/>
    <cellStyle name="Remarque 3 3 2 2 4 4 10 2" xfId="48968" xr:uid="{00000000-0005-0000-0000-0000D0970000}"/>
    <cellStyle name="Remarque 3 3 2 2 4 4 11" xfId="35908" xr:uid="{00000000-0005-0000-0000-0000D1970000}"/>
    <cellStyle name="Remarque 3 3 2 2 4 4 11 2" xfId="59868" xr:uid="{00000000-0005-0000-0000-0000D2970000}"/>
    <cellStyle name="Remarque 3 3 2 2 4 4 12" xfId="13673" xr:uid="{00000000-0005-0000-0000-0000D3970000}"/>
    <cellStyle name="Remarque 3 3 2 2 4 4 13" xfId="37633" xr:uid="{00000000-0005-0000-0000-0000D4970000}"/>
    <cellStyle name="Remarque 3 3 2 2 4 4 2" xfId="3882" xr:uid="{00000000-0005-0000-0000-0000D5970000}"/>
    <cellStyle name="Remarque 3 3 2 2 4 4 2 2" xfId="27896" xr:uid="{00000000-0005-0000-0000-0000D6970000}"/>
    <cellStyle name="Remarque 3 3 2 2 4 4 2 2 2" xfId="51856" xr:uid="{00000000-0005-0000-0000-0000D7970000}"/>
    <cellStyle name="Remarque 3 3 2 2 4 4 2 3" xfId="15143" xr:uid="{00000000-0005-0000-0000-0000D8970000}"/>
    <cellStyle name="Remarque 3 3 2 2 4 4 2 4" xfId="39103" xr:uid="{00000000-0005-0000-0000-0000D9970000}"/>
    <cellStyle name="Remarque 3 3 2 2 4 4 3" xfId="5316" xr:uid="{00000000-0005-0000-0000-0000DA970000}"/>
    <cellStyle name="Remarque 3 3 2 2 4 4 3 2" xfId="29330" xr:uid="{00000000-0005-0000-0000-0000DB970000}"/>
    <cellStyle name="Remarque 3 3 2 2 4 4 3 2 2" xfId="53290" xr:uid="{00000000-0005-0000-0000-0000DC970000}"/>
    <cellStyle name="Remarque 3 3 2 2 4 4 3 3" xfId="16577" xr:uid="{00000000-0005-0000-0000-0000DD970000}"/>
    <cellStyle name="Remarque 3 3 2 2 4 4 3 4" xfId="40537" xr:uid="{00000000-0005-0000-0000-0000DE970000}"/>
    <cellStyle name="Remarque 3 3 2 2 4 4 4" xfId="6710" xr:uid="{00000000-0005-0000-0000-0000DF970000}"/>
    <cellStyle name="Remarque 3 3 2 2 4 4 4 2" xfId="30724" xr:uid="{00000000-0005-0000-0000-0000E0970000}"/>
    <cellStyle name="Remarque 3 3 2 2 4 4 4 2 2" xfId="54684" xr:uid="{00000000-0005-0000-0000-0000E1970000}"/>
    <cellStyle name="Remarque 3 3 2 2 4 4 4 3" xfId="17971" xr:uid="{00000000-0005-0000-0000-0000E2970000}"/>
    <cellStyle name="Remarque 3 3 2 2 4 4 4 4" xfId="41931" xr:uid="{00000000-0005-0000-0000-0000E3970000}"/>
    <cellStyle name="Remarque 3 3 2 2 4 4 5" xfId="8098" xr:uid="{00000000-0005-0000-0000-0000E4970000}"/>
    <cellStyle name="Remarque 3 3 2 2 4 4 5 2" xfId="32112" xr:uid="{00000000-0005-0000-0000-0000E5970000}"/>
    <cellStyle name="Remarque 3 3 2 2 4 4 5 2 2" xfId="56072" xr:uid="{00000000-0005-0000-0000-0000E6970000}"/>
    <cellStyle name="Remarque 3 3 2 2 4 4 5 3" xfId="19359" xr:uid="{00000000-0005-0000-0000-0000E7970000}"/>
    <cellStyle name="Remarque 3 3 2 2 4 4 5 4" xfId="43319" xr:uid="{00000000-0005-0000-0000-0000E8970000}"/>
    <cellStyle name="Remarque 3 3 2 2 4 4 6" xfId="9483" xr:uid="{00000000-0005-0000-0000-0000E9970000}"/>
    <cellStyle name="Remarque 3 3 2 2 4 4 6 2" xfId="33497" xr:uid="{00000000-0005-0000-0000-0000EA970000}"/>
    <cellStyle name="Remarque 3 3 2 2 4 4 6 2 2" xfId="57457" xr:uid="{00000000-0005-0000-0000-0000EB970000}"/>
    <cellStyle name="Remarque 3 3 2 2 4 4 6 3" xfId="20744" xr:uid="{00000000-0005-0000-0000-0000EC970000}"/>
    <cellStyle name="Remarque 3 3 2 2 4 4 6 4" xfId="44704" xr:uid="{00000000-0005-0000-0000-0000ED970000}"/>
    <cellStyle name="Remarque 3 3 2 2 4 4 7" xfId="10940" xr:uid="{00000000-0005-0000-0000-0000EE970000}"/>
    <cellStyle name="Remarque 3 3 2 2 4 4 7 2" xfId="34950" xr:uid="{00000000-0005-0000-0000-0000EF970000}"/>
    <cellStyle name="Remarque 3 3 2 2 4 4 7 2 2" xfId="58910" xr:uid="{00000000-0005-0000-0000-0000F0970000}"/>
    <cellStyle name="Remarque 3 3 2 2 4 4 7 3" xfId="22207" xr:uid="{00000000-0005-0000-0000-0000F1970000}"/>
    <cellStyle name="Remarque 3 3 2 2 4 4 7 4" xfId="46167" xr:uid="{00000000-0005-0000-0000-0000F2970000}"/>
    <cellStyle name="Remarque 3 3 2 2 4 4 8" xfId="11706" xr:uid="{00000000-0005-0000-0000-0000F3970000}"/>
    <cellStyle name="Remarque 3 3 2 2 4 4 8 2" xfId="22975" xr:uid="{00000000-0005-0000-0000-0000F4970000}"/>
    <cellStyle name="Remarque 3 3 2 2 4 4 8 3" xfId="46935" xr:uid="{00000000-0005-0000-0000-0000F5970000}"/>
    <cellStyle name="Remarque 3 3 2 2 4 4 9" xfId="2412" xr:uid="{00000000-0005-0000-0000-0000F6970000}"/>
    <cellStyle name="Remarque 3 3 2 2 4 4 9 2" xfId="26426" xr:uid="{00000000-0005-0000-0000-0000F7970000}"/>
    <cellStyle name="Remarque 3 3 2 2 4 4 9 3" xfId="50386" xr:uid="{00000000-0005-0000-0000-0000F8970000}"/>
    <cellStyle name="Remarque 3 3 2 2 4 5" xfId="1169" xr:uid="{00000000-0005-0000-0000-0000F9970000}"/>
    <cellStyle name="Remarque 3 3 2 2 4 5 10" xfId="25201" xr:uid="{00000000-0005-0000-0000-0000FA970000}"/>
    <cellStyle name="Remarque 3 3 2 2 4 5 10 2" xfId="49161" xr:uid="{00000000-0005-0000-0000-0000FB970000}"/>
    <cellStyle name="Remarque 3 3 2 2 4 5 11" xfId="36336" xr:uid="{00000000-0005-0000-0000-0000FC970000}"/>
    <cellStyle name="Remarque 3 3 2 2 4 5 11 2" xfId="60296" xr:uid="{00000000-0005-0000-0000-0000FD970000}"/>
    <cellStyle name="Remarque 3 3 2 2 4 5 12" xfId="13866" xr:uid="{00000000-0005-0000-0000-0000FE970000}"/>
    <cellStyle name="Remarque 3 3 2 2 4 5 13" xfId="37826" xr:uid="{00000000-0005-0000-0000-0000FF970000}"/>
    <cellStyle name="Remarque 3 3 2 2 4 5 2" xfId="4075" xr:uid="{00000000-0005-0000-0000-000000980000}"/>
    <cellStyle name="Remarque 3 3 2 2 4 5 2 2" xfId="28089" xr:uid="{00000000-0005-0000-0000-000001980000}"/>
    <cellStyle name="Remarque 3 3 2 2 4 5 2 2 2" xfId="52049" xr:uid="{00000000-0005-0000-0000-000002980000}"/>
    <cellStyle name="Remarque 3 3 2 2 4 5 2 3" xfId="15336" xr:uid="{00000000-0005-0000-0000-000003980000}"/>
    <cellStyle name="Remarque 3 3 2 2 4 5 2 4" xfId="39296" xr:uid="{00000000-0005-0000-0000-000004980000}"/>
    <cellStyle name="Remarque 3 3 2 2 4 5 3" xfId="5509" xr:uid="{00000000-0005-0000-0000-000005980000}"/>
    <cellStyle name="Remarque 3 3 2 2 4 5 3 2" xfId="29523" xr:uid="{00000000-0005-0000-0000-000006980000}"/>
    <cellStyle name="Remarque 3 3 2 2 4 5 3 2 2" xfId="53483" xr:uid="{00000000-0005-0000-0000-000007980000}"/>
    <cellStyle name="Remarque 3 3 2 2 4 5 3 3" xfId="16770" xr:uid="{00000000-0005-0000-0000-000008980000}"/>
    <cellStyle name="Remarque 3 3 2 2 4 5 3 4" xfId="40730" xr:uid="{00000000-0005-0000-0000-000009980000}"/>
    <cellStyle name="Remarque 3 3 2 2 4 5 4" xfId="6903" xr:uid="{00000000-0005-0000-0000-00000A980000}"/>
    <cellStyle name="Remarque 3 3 2 2 4 5 4 2" xfId="30917" xr:uid="{00000000-0005-0000-0000-00000B980000}"/>
    <cellStyle name="Remarque 3 3 2 2 4 5 4 2 2" xfId="54877" xr:uid="{00000000-0005-0000-0000-00000C980000}"/>
    <cellStyle name="Remarque 3 3 2 2 4 5 4 3" xfId="18164" xr:uid="{00000000-0005-0000-0000-00000D980000}"/>
    <cellStyle name="Remarque 3 3 2 2 4 5 4 4" xfId="42124" xr:uid="{00000000-0005-0000-0000-00000E980000}"/>
    <cellStyle name="Remarque 3 3 2 2 4 5 5" xfId="8291" xr:uid="{00000000-0005-0000-0000-00000F980000}"/>
    <cellStyle name="Remarque 3 3 2 2 4 5 5 2" xfId="32305" xr:uid="{00000000-0005-0000-0000-000010980000}"/>
    <cellStyle name="Remarque 3 3 2 2 4 5 5 2 2" xfId="56265" xr:uid="{00000000-0005-0000-0000-000011980000}"/>
    <cellStyle name="Remarque 3 3 2 2 4 5 5 3" xfId="19552" xr:uid="{00000000-0005-0000-0000-000012980000}"/>
    <cellStyle name="Remarque 3 3 2 2 4 5 5 4" xfId="43512" xr:uid="{00000000-0005-0000-0000-000013980000}"/>
    <cellStyle name="Remarque 3 3 2 2 4 5 6" xfId="9676" xr:uid="{00000000-0005-0000-0000-000014980000}"/>
    <cellStyle name="Remarque 3 3 2 2 4 5 6 2" xfId="33690" xr:uid="{00000000-0005-0000-0000-000015980000}"/>
    <cellStyle name="Remarque 3 3 2 2 4 5 6 2 2" xfId="57650" xr:uid="{00000000-0005-0000-0000-000016980000}"/>
    <cellStyle name="Remarque 3 3 2 2 4 5 6 3" xfId="20937" xr:uid="{00000000-0005-0000-0000-000017980000}"/>
    <cellStyle name="Remarque 3 3 2 2 4 5 6 4" xfId="44897" xr:uid="{00000000-0005-0000-0000-000018980000}"/>
    <cellStyle name="Remarque 3 3 2 2 4 5 7" xfId="11133" xr:uid="{00000000-0005-0000-0000-000019980000}"/>
    <cellStyle name="Remarque 3 3 2 2 4 5 7 2" xfId="35143" xr:uid="{00000000-0005-0000-0000-00001A980000}"/>
    <cellStyle name="Remarque 3 3 2 2 4 5 7 2 2" xfId="59103" xr:uid="{00000000-0005-0000-0000-00001B980000}"/>
    <cellStyle name="Remarque 3 3 2 2 4 5 7 3" xfId="22400" xr:uid="{00000000-0005-0000-0000-00001C980000}"/>
    <cellStyle name="Remarque 3 3 2 2 4 5 7 4" xfId="46360" xr:uid="{00000000-0005-0000-0000-00001D980000}"/>
    <cellStyle name="Remarque 3 3 2 2 4 5 8" xfId="12781" xr:uid="{00000000-0005-0000-0000-00001E980000}"/>
    <cellStyle name="Remarque 3 3 2 2 4 5 8 2" xfId="24090" xr:uid="{00000000-0005-0000-0000-00001F980000}"/>
    <cellStyle name="Remarque 3 3 2 2 4 5 8 3" xfId="48050" xr:uid="{00000000-0005-0000-0000-000020980000}"/>
    <cellStyle name="Remarque 3 3 2 2 4 5 9" xfId="2605" xr:uid="{00000000-0005-0000-0000-000021980000}"/>
    <cellStyle name="Remarque 3 3 2 2 4 5 9 2" xfId="26619" xr:uid="{00000000-0005-0000-0000-000022980000}"/>
    <cellStyle name="Remarque 3 3 2 2 4 5 9 3" xfId="50579" xr:uid="{00000000-0005-0000-0000-000023980000}"/>
    <cellStyle name="Remarque 3 3 2 2 4 6" xfId="1336" xr:uid="{00000000-0005-0000-0000-000024980000}"/>
    <cellStyle name="Remarque 3 3 2 2 4 6 10" xfId="25368" xr:uid="{00000000-0005-0000-0000-000025980000}"/>
    <cellStyle name="Remarque 3 3 2 2 4 6 10 2" xfId="49328" xr:uid="{00000000-0005-0000-0000-000026980000}"/>
    <cellStyle name="Remarque 3 3 2 2 4 6 11" xfId="24259" xr:uid="{00000000-0005-0000-0000-000027980000}"/>
    <cellStyle name="Remarque 3 3 2 2 4 6 11 2" xfId="48219" xr:uid="{00000000-0005-0000-0000-000028980000}"/>
    <cellStyle name="Remarque 3 3 2 2 4 6 12" xfId="14033" xr:uid="{00000000-0005-0000-0000-000029980000}"/>
    <cellStyle name="Remarque 3 3 2 2 4 6 13" xfId="37993" xr:uid="{00000000-0005-0000-0000-00002A980000}"/>
    <cellStyle name="Remarque 3 3 2 2 4 6 2" xfId="4242" xr:uid="{00000000-0005-0000-0000-00002B980000}"/>
    <cellStyle name="Remarque 3 3 2 2 4 6 2 2" xfId="28256" xr:uid="{00000000-0005-0000-0000-00002C980000}"/>
    <cellStyle name="Remarque 3 3 2 2 4 6 2 2 2" xfId="52216" xr:uid="{00000000-0005-0000-0000-00002D980000}"/>
    <cellStyle name="Remarque 3 3 2 2 4 6 2 3" xfId="15503" xr:uid="{00000000-0005-0000-0000-00002E980000}"/>
    <cellStyle name="Remarque 3 3 2 2 4 6 2 4" xfId="39463" xr:uid="{00000000-0005-0000-0000-00002F980000}"/>
    <cellStyle name="Remarque 3 3 2 2 4 6 3" xfId="5676" xr:uid="{00000000-0005-0000-0000-000030980000}"/>
    <cellStyle name="Remarque 3 3 2 2 4 6 3 2" xfId="29690" xr:uid="{00000000-0005-0000-0000-000031980000}"/>
    <cellStyle name="Remarque 3 3 2 2 4 6 3 2 2" xfId="53650" xr:uid="{00000000-0005-0000-0000-000032980000}"/>
    <cellStyle name="Remarque 3 3 2 2 4 6 3 3" xfId="16937" xr:uid="{00000000-0005-0000-0000-000033980000}"/>
    <cellStyle name="Remarque 3 3 2 2 4 6 3 4" xfId="40897" xr:uid="{00000000-0005-0000-0000-000034980000}"/>
    <cellStyle name="Remarque 3 3 2 2 4 6 4" xfId="7070" xr:uid="{00000000-0005-0000-0000-000035980000}"/>
    <cellStyle name="Remarque 3 3 2 2 4 6 4 2" xfId="31084" xr:uid="{00000000-0005-0000-0000-000036980000}"/>
    <cellStyle name="Remarque 3 3 2 2 4 6 4 2 2" xfId="55044" xr:uid="{00000000-0005-0000-0000-000037980000}"/>
    <cellStyle name="Remarque 3 3 2 2 4 6 4 3" xfId="18331" xr:uid="{00000000-0005-0000-0000-000038980000}"/>
    <cellStyle name="Remarque 3 3 2 2 4 6 4 4" xfId="42291" xr:uid="{00000000-0005-0000-0000-000039980000}"/>
    <cellStyle name="Remarque 3 3 2 2 4 6 5" xfId="8458" xr:uid="{00000000-0005-0000-0000-00003A980000}"/>
    <cellStyle name="Remarque 3 3 2 2 4 6 5 2" xfId="32472" xr:uid="{00000000-0005-0000-0000-00003B980000}"/>
    <cellStyle name="Remarque 3 3 2 2 4 6 5 2 2" xfId="56432" xr:uid="{00000000-0005-0000-0000-00003C980000}"/>
    <cellStyle name="Remarque 3 3 2 2 4 6 5 3" xfId="19719" xr:uid="{00000000-0005-0000-0000-00003D980000}"/>
    <cellStyle name="Remarque 3 3 2 2 4 6 5 4" xfId="43679" xr:uid="{00000000-0005-0000-0000-00003E980000}"/>
    <cellStyle name="Remarque 3 3 2 2 4 6 6" xfId="9843" xr:uid="{00000000-0005-0000-0000-00003F980000}"/>
    <cellStyle name="Remarque 3 3 2 2 4 6 6 2" xfId="33857" xr:uid="{00000000-0005-0000-0000-000040980000}"/>
    <cellStyle name="Remarque 3 3 2 2 4 6 6 2 2" xfId="57817" xr:uid="{00000000-0005-0000-0000-000041980000}"/>
    <cellStyle name="Remarque 3 3 2 2 4 6 6 3" xfId="21104" xr:uid="{00000000-0005-0000-0000-000042980000}"/>
    <cellStyle name="Remarque 3 3 2 2 4 6 6 4" xfId="45064" xr:uid="{00000000-0005-0000-0000-000043980000}"/>
    <cellStyle name="Remarque 3 3 2 2 4 6 7" xfId="11300" xr:uid="{00000000-0005-0000-0000-000044980000}"/>
    <cellStyle name="Remarque 3 3 2 2 4 6 7 2" xfId="35310" xr:uid="{00000000-0005-0000-0000-000045980000}"/>
    <cellStyle name="Remarque 3 3 2 2 4 6 7 2 2" xfId="59270" xr:uid="{00000000-0005-0000-0000-000046980000}"/>
    <cellStyle name="Remarque 3 3 2 2 4 6 7 3" xfId="22567" xr:uid="{00000000-0005-0000-0000-000047980000}"/>
    <cellStyle name="Remarque 3 3 2 2 4 6 7 4" xfId="46527" xr:uid="{00000000-0005-0000-0000-000048980000}"/>
    <cellStyle name="Remarque 3 3 2 2 4 6 8" xfId="11970" xr:uid="{00000000-0005-0000-0000-000049980000}"/>
    <cellStyle name="Remarque 3 3 2 2 4 6 8 2" xfId="23248" xr:uid="{00000000-0005-0000-0000-00004A980000}"/>
    <cellStyle name="Remarque 3 3 2 2 4 6 8 3" xfId="47208" xr:uid="{00000000-0005-0000-0000-00004B980000}"/>
    <cellStyle name="Remarque 3 3 2 2 4 6 9" xfId="2772" xr:uid="{00000000-0005-0000-0000-00004C980000}"/>
    <cellStyle name="Remarque 3 3 2 2 4 6 9 2" xfId="26786" xr:uid="{00000000-0005-0000-0000-00004D980000}"/>
    <cellStyle name="Remarque 3 3 2 2 4 6 9 3" xfId="50746" xr:uid="{00000000-0005-0000-0000-00004E980000}"/>
    <cellStyle name="Remarque 3 3 2 2 4 7" xfId="1505" xr:uid="{00000000-0005-0000-0000-00004F980000}"/>
    <cellStyle name="Remarque 3 3 2 2 4 7 10" xfId="25537" xr:uid="{00000000-0005-0000-0000-000050980000}"/>
    <cellStyle name="Remarque 3 3 2 2 4 7 10 2" xfId="49497" xr:uid="{00000000-0005-0000-0000-000051980000}"/>
    <cellStyle name="Remarque 3 3 2 2 4 7 11" xfId="35618" xr:uid="{00000000-0005-0000-0000-000052980000}"/>
    <cellStyle name="Remarque 3 3 2 2 4 7 11 2" xfId="59578" xr:uid="{00000000-0005-0000-0000-000053980000}"/>
    <cellStyle name="Remarque 3 3 2 2 4 7 12" xfId="14202" xr:uid="{00000000-0005-0000-0000-000054980000}"/>
    <cellStyle name="Remarque 3 3 2 2 4 7 13" xfId="38162" xr:uid="{00000000-0005-0000-0000-000055980000}"/>
    <cellStyle name="Remarque 3 3 2 2 4 7 2" xfId="4411" xr:uid="{00000000-0005-0000-0000-000056980000}"/>
    <cellStyle name="Remarque 3 3 2 2 4 7 2 2" xfId="28425" xr:uid="{00000000-0005-0000-0000-000057980000}"/>
    <cellStyle name="Remarque 3 3 2 2 4 7 2 2 2" xfId="52385" xr:uid="{00000000-0005-0000-0000-000058980000}"/>
    <cellStyle name="Remarque 3 3 2 2 4 7 2 3" xfId="15672" xr:uid="{00000000-0005-0000-0000-000059980000}"/>
    <cellStyle name="Remarque 3 3 2 2 4 7 2 4" xfId="39632" xr:uid="{00000000-0005-0000-0000-00005A980000}"/>
    <cellStyle name="Remarque 3 3 2 2 4 7 3" xfId="5845" xr:uid="{00000000-0005-0000-0000-00005B980000}"/>
    <cellStyle name="Remarque 3 3 2 2 4 7 3 2" xfId="29859" xr:uid="{00000000-0005-0000-0000-00005C980000}"/>
    <cellStyle name="Remarque 3 3 2 2 4 7 3 2 2" xfId="53819" xr:uid="{00000000-0005-0000-0000-00005D980000}"/>
    <cellStyle name="Remarque 3 3 2 2 4 7 3 3" xfId="17106" xr:uid="{00000000-0005-0000-0000-00005E980000}"/>
    <cellStyle name="Remarque 3 3 2 2 4 7 3 4" xfId="41066" xr:uid="{00000000-0005-0000-0000-00005F980000}"/>
    <cellStyle name="Remarque 3 3 2 2 4 7 4" xfId="7239" xr:uid="{00000000-0005-0000-0000-000060980000}"/>
    <cellStyle name="Remarque 3 3 2 2 4 7 4 2" xfId="31253" xr:uid="{00000000-0005-0000-0000-000061980000}"/>
    <cellStyle name="Remarque 3 3 2 2 4 7 4 2 2" xfId="55213" xr:uid="{00000000-0005-0000-0000-000062980000}"/>
    <cellStyle name="Remarque 3 3 2 2 4 7 4 3" xfId="18500" xr:uid="{00000000-0005-0000-0000-000063980000}"/>
    <cellStyle name="Remarque 3 3 2 2 4 7 4 4" xfId="42460" xr:uid="{00000000-0005-0000-0000-000064980000}"/>
    <cellStyle name="Remarque 3 3 2 2 4 7 5" xfId="8627" xr:uid="{00000000-0005-0000-0000-000065980000}"/>
    <cellStyle name="Remarque 3 3 2 2 4 7 5 2" xfId="32641" xr:uid="{00000000-0005-0000-0000-000066980000}"/>
    <cellStyle name="Remarque 3 3 2 2 4 7 5 2 2" xfId="56601" xr:uid="{00000000-0005-0000-0000-000067980000}"/>
    <cellStyle name="Remarque 3 3 2 2 4 7 5 3" xfId="19888" xr:uid="{00000000-0005-0000-0000-000068980000}"/>
    <cellStyle name="Remarque 3 3 2 2 4 7 5 4" xfId="43848" xr:uid="{00000000-0005-0000-0000-000069980000}"/>
    <cellStyle name="Remarque 3 3 2 2 4 7 6" xfId="10012" xr:uid="{00000000-0005-0000-0000-00006A980000}"/>
    <cellStyle name="Remarque 3 3 2 2 4 7 6 2" xfId="34026" xr:uid="{00000000-0005-0000-0000-00006B980000}"/>
    <cellStyle name="Remarque 3 3 2 2 4 7 6 2 2" xfId="57986" xr:uid="{00000000-0005-0000-0000-00006C980000}"/>
    <cellStyle name="Remarque 3 3 2 2 4 7 6 3" xfId="21273" xr:uid="{00000000-0005-0000-0000-00006D980000}"/>
    <cellStyle name="Remarque 3 3 2 2 4 7 6 4" xfId="45233" xr:uid="{00000000-0005-0000-0000-00006E980000}"/>
    <cellStyle name="Remarque 3 3 2 2 4 7 7" xfId="11469" xr:uid="{00000000-0005-0000-0000-00006F980000}"/>
    <cellStyle name="Remarque 3 3 2 2 4 7 7 2" xfId="35479" xr:uid="{00000000-0005-0000-0000-000070980000}"/>
    <cellStyle name="Remarque 3 3 2 2 4 7 7 2 2" xfId="59439" xr:uid="{00000000-0005-0000-0000-000071980000}"/>
    <cellStyle name="Remarque 3 3 2 2 4 7 7 3" xfId="22736" xr:uid="{00000000-0005-0000-0000-000072980000}"/>
    <cellStyle name="Remarque 3 3 2 2 4 7 7 4" xfId="46696" xr:uid="{00000000-0005-0000-0000-000073980000}"/>
    <cellStyle name="Remarque 3 3 2 2 4 7 8" xfId="12443" xr:uid="{00000000-0005-0000-0000-000074980000}"/>
    <cellStyle name="Remarque 3 3 2 2 4 7 8 2" xfId="23735" xr:uid="{00000000-0005-0000-0000-000075980000}"/>
    <cellStyle name="Remarque 3 3 2 2 4 7 8 3" xfId="47695" xr:uid="{00000000-0005-0000-0000-000076980000}"/>
    <cellStyle name="Remarque 3 3 2 2 4 7 9" xfId="2941" xr:uid="{00000000-0005-0000-0000-000077980000}"/>
    <cellStyle name="Remarque 3 3 2 2 4 7 9 2" xfId="26955" xr:uid="{00000000-0005-0000-0000-000078980000}"/>
    <cellStyle name="Remarque 3 3 2 2 4 7 9 3" xfId="50915" xr:uid="{00000000-0005-0000-0000-000079980000}"/>
    <cellStyle name="Remarque 3 3 2 2 4 8" xfId="3360" xr:uid="{00000000-0005-0000-0000-00007A980000}"/>
    <cellStyle name="Remarque 3 3 2 2 4 8 2" xfId="27374" xr:uid="{00000000-0005-0000-0000-00007B980000}"/>
    <cellStyle name="Remarque 3 3 2 2 4 8 2 2" xfId="51334" xr:uid="{00000000-0005-0000-0000-00007C980000}"/>
    <cellStyle name="Remarque 3 3 2 2 4 8 3" xfId="14621" xr:uid="{00000000-0005-0000-0000-00007D980000}"/>
    <cellStyle name="Remarque 3 3 2 2 4 8 4" xfId="38581" xr:uid="{00000000-0005-0000-0000-00007E980000}"/>
    <cellStyle name="Remarque 3 3 2 2 4 9" xfId="4794" xr:uid="{00000000-0005-0000-0000-00007F980000}"/>
    <cellStyle name="Remarque 3 3 2 2 4 9 2" xfId="28808" xr:uid="{00000000-0005-0000-0000-000080980000}"/>
    <cellStyle name="Remarque 3 3 2 2 4 9 2 2" xfId="52768" xr:uid="{00000000-0005-0000-0000-000081980000}"/>
    <cellStyle name="Remarque 3 3 2 2 4 9 3" xfId="16055" xr:uid="{00000000-0005-0000-0000-000082980000}"/>
    <cellStyle name="Remarque 3 3 2 2 4 9 4" xfId="40015" xr:uid="{00000000-0005-0000-0000-000083980000}"/>
    <cellStyle name="Remarque 3 3 2 2 5" xfId="273" xr:uid="{00000000-0005-0000-0000-000084980000}"/>
    <cellStyle name="Remarque 3 3 2 2 5 10" xfId="24305" xr:uid="{00000000-0005-0000-0000-000085980000}"/>
    <cellStyle name="Remarque 3 3 2 2 5 10 2" xfId="48265" xr:uid="{00000000-0005-0000-0000-000086980000}"/>
    <cellStyle name="Remarque 3 3 2 2 5 11" xfId="35579" xr:uid="{00000000-0005-0000-0000-000087980000}"/>
    <cellStyle name="Remarque 3 3 2 2 5 11 2" xfId="59539" xr:uid="{00000000-0005-0000-0000-000088980000}"/>
    <cellStyle name="Remarque 3 3 2 2 5 12" xfId="12970" xr:uid="{00000000-0005-0000-0000-000089980000}"/>
    <cellStyle name="Remarque 3 3 2 2 5 13" xfId="36930" xr:uid="{00000000-0005-0000-0000-00008A980000}"/>
    <cellStyle name="Remarque 3 3 2 2 5 2" xfId="3179" xr:uid="{00000000-0005-0000-0000-00008B980000}"/>
    <cellStyle name="Remarque 3 3 2 2 5 2 2" xfId="27193" xr:uid="{00000000-0005-0000-0000-00008C980000}"/>
    <cellStyle name="Remarque 3 3 2 2 5 2 2 2" xfId="51153" xr:uid="{00000000-0005-0000-0000-00008D980000}"/>
    <cellStyle name="Remarque 3 3 2 2 5 2 3" xfId="14440" xr:uid="{00000000-0005-0000-0000-00008E980000}"/>
    <cellStyle name="Remarque 3 3 2 2 5 2 4" xfId="38400" xr:uid="{00000000-0005-0000-0000-00008F980000}"/>
    <cellStyle name="Remarque 3 3 2 2 5 3" xfId="4613" xr:uid="{00000000-0005-0000-0000-000090980000}"/>
    <cellStyle name="Remarque 3 3 2 2 5 3 2" xfId="28627" xr:uid="{00000000-0005-0000-0000-000091980000}"/>
    <cellStyle name="Remarque 3 3 2 2 5 3 2 2" xfId="52587" xr:uid="{00000000-0005-0000-0000-000092980000}"/>
    <cellStyle name="Remarque 3 3 2 2 5 3 3" xfId="15874" xr:uid="{00000000-0005-0000-0000-000093980000}"/>
    <cellStyle name="Remarque 3 3 2 2 5 3 4" xfId="39834" xr:uid="{00000000-0005-0000-0000-000094980000}"/>
    <cellStyle name="Remarque 3 3 2 2 5 4" xfId="6007" xr:uid="{00000000-0005-0000-0000-000095980000}"/>
    <cellStyle name="Remarque 3 3 2 2 5 4 2" xfId="30021" xr:uid="{00000000-0005-0000-0000-000096980000}"/>
    <cellStyle name="Remarque 3 3 2 2 5 4 2 2" xfId="53981" xr:uid="{00000000-0005-0000-0000-000097980000}"/>
    <cellStyle name="Remarque 3 3 2 2 5 4 3" xfId="17268" xr:uid="{00000000-0005-0000-0000-000098980000}"/>
    <cellStyle name="Remarque 3 3 2 2 5 4 4" xfId="41228" xr:uid="{00000000-0005-0000-0000-000099980000}"/>
    <cellStyle name="Remarque 3 3 2 2 5 5" xfId="7395" xr:uid="{00000000-0005-0000-0000-00009A980000}"/>
    <cellStyle name="Remarque 3 3 2 2 5 5 2" xfId="31409" xr:uid="{00000000-0005-0000-0000-00009B980000}"/>
    <cellStyle name="Remarque 3 3 2 2 5 5 2 2" xfId="55369" xr:uid="{00000000-0005-0000-0000-00009C980000}"/>
    <cellStyle name="Remarque 3 3 2 2 5 5 3" xfId="18656" xr:uid="{00000000-0005-0000-0000-00009D980000}"/>
    <cellStyle name="Remarque 3 3 2 2 5 5 4" xfId="42616" xr:uid="{00000000-0005-0000-0000-00009E980000}"/>
    <cellStyle name="Remarque 3 3 2 2 5 6" xfId="8780" xr:uid="{00000000-0005-0000-0000-00009F980000}"/>
    <cellStyle name="Remarque 3 3 2 2 5 6 2" xfId="32794" xr:uid="{00000000-0005-0000-0000-0000A0980000}"/>
    <cellStyle name="Remarque 3 3 2 2 5 6 2 2" xfId="56754" xr:uid="{00000000-0005-0000-0000-0000A1980000}"/>
    <cellStyle name="Remarque 3 3 2 2 5 6 3" xfId="20041" xr:uid="{00000000-0005-0000-0000-0000A2980000}"/>
    <cellStyle name="Remarque 3 3 2 2 5 6 4" xfId="44001" xr:uid="{00000000-0005-0000-0000-0000A3980000}"/>
    <cellStyle name="Remarque 3 3 2 2 5 7" xfId="10237" xr:uid="{00000000-0005-0000-0000-0000A4980000}"/>
    <cellStyle name="Remarque 3 3 2 2 5 7 2" xfId="34247" xr:uid="{00000000-0005-0000-0000-0000A5980000}"/>
    <cellStyle name="Remarque 3 3 2 2 5 7 2 2" xfId="58207" xr:uid="{00000000-0005-0000-0000-0000A6980000}"/>
    <cellStyle name="Remarque 3 3 2 2 5 7 3" xfId="21504" xr:uid="{00000000-0005-0000-0000-0000A7980000}"/>
    <cellStyle name="Remarque 3 3 2 2 5 7 4" xfId="45464" xr:uid="{00000000-0005-0000-0000-0000A8980000}"/>
    <cellStyle name="Remarque 3 3 2 2 5 8" xfId="12252" xr:uid="{00000000-0005-0000-0000-0000A9980000}"/>
    <cellStyle name="Remarque 3 3 2 2 5 8 2" xfId="23537" xr:uid="{00000000-0005-0000-0000-0000AA980000}"/>
    <cellStyle name="Remarque 3 3 2 2 5 8 3" xfId="47497" xr:uid="{00000000-0005-0000-0000-0000AB980000}"/>
    <cellStyle name="Remarque 3 3 2 2 5 9" xfId="1709" xr:uid="{00000000-0005-0000-0000-0000AC980000}"/>
    <cellStyle name="Remarque 3 3 2 2 5 9 2" xfId="25723" xr:uid="{00000000-0005-0000-0000-0000AD980000}"/>
    <cellStyle name="Remarque 3 3 2 2 5 9 3" xfId="49683" xr:uid="{00000000-0005-0000-0000-0000AE980000}"/>
    <cellStyle name="Remarque 3 3 2 2 6" xfId="647" xr:uid="{00000000-0005-0000-0000-0000AF980000}"/>
    <cellStyle name="Remarque 3 3 2 2 6 10" xfId="24679" xr:uid="{00000000-0005-0000-0000-0000B0980000}"/>
    <cellStyle name="Remarque 3 3 2 2 6 10 2" xfId="48639" xr:uid="{00000000-0005-0000-0000-0000B1980000}"/>
    <cellStyle name="Remarque 3 3 2 2 6 11" xfId="35631" xr:uid="{00000000-0005-0000-0000-0000B2980000}"/>
    <cellStyle name="Remarque 3 3 2 2 6 11 2" xfId="59591" xr:uid="{00000000-0005-0000-0000-0000B3980000}"/>
    <cellStyle name="Remarque 3 3 2 2 6 12" xfId="13344" xr:uid="{00000000-0005-0000-0000-0000B4980000}"/>
    <cellStyle name="Remarque 3 3 2 2 6 13" xfId="37304" xr:uid="{00000000-0005-0000-0000-0000B5980000}"/>
    <cellStyle name="Remarque 3 3 2 2 6 2" xfId="3553" xr:uid="{00000000-0005-0000-0000-0000B6980000}"/>
    <cellStyle name="Remarque 3 3 2 2 6 2 2" xfId="27567" xr:uid="{00000000-0005-0000-0000-0000B7980000}"/>
    <cellStyle name="Remarque 3 3 2 2 6 2 2 2" xfId="51527" xr:uid="{00000000-0005-0000-0000-0000B8980000}"/>
    <cellStyle name="Remarque 3 3 2 2 6 2 3" xfId="14814" xr:uid="{00000000-0005-0000-0000-0000B9980000}"/>
    <cellStyle name="Remarque 3 3 2 2 6 2 4" xfId="38774" xr:uid="{00000000-0005-0000-0000-0000BA980000}"/>
    <cellStyle name="Remarque 3 3 2 2 6 3" xfId="4987" xr:uid="{00000000-0005-0000-0000-0000BB980000}"/>
    <cellStyle name="Remarque 3 3 2 2 6 3 2" xfId="29001" xr:uid="{00000000-0005-0000-0000-0000BC980000}"/>
    <cellStyle name="Remarque 3 3 2 2 6 3 2 2" xfId="52961" xr:uid="{00000000-0005-0000-0000-0000BD980000}"/>
    <cellStyle name="Remarque 3 3 2 2 6 3 3" xfId="16248" xr:uid="{00000000-0005-0000-0000-0000BE980000}"/>
    <cellStyle name="Remarque 3 3 2 2 6 3 4" xfId="40208" xr:uid="{00000000-0005-0000-0000-0000BF980000}"/>
    <cellStyle name="Remarque 3 3 2 2 6 4" xfId="6381" xr:uid="{00000000-0005-0000-0000-0000C0980000}"/>
    <cellStyle name="Remarque 3 3 2 2 6 4 2" xfId="30395" xr:uid="{00000000-0005-0000-0000-0000C1980000}"/>
    <cellStyle name="Remarque 3 3 2 2 6 4 2 2" xfId="54355" xr:uid="{00000000-0005-0000-0000-0000C2980000}"/>
    <cellStyle name="Remarque 3 3 2 2 6 4 3" xfId="17642" xr:uid="{00000000-0005-0000-0000-0000C3980000}"/>
    <cellStyle name="Remarque 3 3 2 2 6 4 4" xfId="41602" xr:uid="{00000000-0005-0000-0000-0000C4980000}"/>
    <cellStyle name="Remarque 3 3 2 2 6 5" xfId="7769" xr:uid="{00000000-0005-0000-0000-0000C5980000}"/>
    <cellStyle name="Remarque 3 3 2 2 6 5 2" xfId="31783" xr:uid="{00000000-0005-0000-0000-0000C6980000}"/>
    <cellStyle name="Remarque 3 3 2 2 6 5 2 2" xfId="55743" xr:uid="{00000000-0005-0000-0000-0000C7980000}"/>
    <cellStyle name="Remarque 3 3 2 2 6 5 3" xfId="19030" xr:uid="{00000000-0005-0000-0000-0000C8980000}"/>
    <cellStyle name="Remarque 3 3 2 2 6 5 4" xfId="42990" xr:uid="{00000000-0005-0000-0000-0000C9980000}"/>
    <cellStyle name="Remarque 3 3 2 2 6 6" xfId="9154" xr:uid="{00000000-0005-0000-0000-0000CA980000}"/>
    <cellStyle name="Remarque 3 3 2 2 6 6 2" xfId="33168" xr:uid="{00000000-0005-0000-0000-0000CB980000}"/>
    <cellStyle name="Remarque 3 3 2 2 6 6 2 2" xfId="57128" xr:uid="{00000000-0005-0000-0000-0000CC980000}"/>
    <cellStyle name="Remarque 3 3 2 2 6 6 3" xfId="20415" xr:uid="{00000000-0005-0000-0000-0000CD980000}"/>
    <cellStyle name="Remarque 3 3 2 2 6 6 4" xfId="44375" xr:uid="{00000000-0005-0000-0000-0000CE980000}"/>
    <cellStyle name="Remarque 3 3 2 2 6 7" xfId="10611" xr:uid="{00000000-0005-0000-0000-0000CF980000}"/>
    <cellStyle name="Remarque 3 3 2 2 6 7 2" xfId="34621" xr:uid="{00000000-0005-0000-0000-0000D0980000}"/>
    <cellStyle name="Remarque 3 3 2 2 6 7 2 2" xfId="58581" xr:uid="{00000000-0005-0000-0000-0000D1980000}"/>
    <cellStyle name="Remarque 3 3 2 2 6 7 3" xfId="21878" xr:uid="{00000000-0005-0000-0000-0000D2980000}"/>
    <cellStyle name="Remarque 3 3 2 2 6 7 4" xfId="45838" xr:uid="{00000000-0005-0000-0000-0000D3980000}"/>
    <cellStyle name="Remarque 3 3 2 2 6 8" xfId="12543" xr:uid="{00000000-0005-0000-0000-0000D4980000}"/>
    <cellStyle name="Remarque 3 3 2 2 6 8 2" xfId="23841" xr:uid="{00000000-0005-0000-0000-0000D5980000}"/>
    <cellStyle name="Remarque 3 3 2 2 6 8 3" xfId="47801" xr:uid="{00000000-0005-0000-0000-0000D6980000}"/>
    <cellStyle name="Remarque 3 3 2 2 6 9" xfId="2083" xr:uid="{00000000-0005-0000-0000-0000D7980000}"/>
    <cellStyle name="Remarque 3 3 2 2 6 9 2" xfId="26097" xr:uid="{00000000-0005-0000-0000-0000D8980000}"/>
    <cellStyle name="Remarque 3 3 2 2 6 9 3" xfId="50057" xr:uid="{00000000-0005-0000-0000-0000D9980000}"/>
    <cellStyle name="Remarque 3 3 2 2 7" xfId="841" xr:uid="{00000000-0005-0000-0000-0000DA980000}"/>
    <cellStyle name="Remarque 3 3 2 2 7 10" xfId="24873" xr:uid="{00000000-0005-0000-0000-0000DB980000}"/>
    <cellStyle name="Remarque 3 3 2 2 7 10 2" xfId="48833" xr:uid="{00000000-0005-0000-0000-0000DC980000}"/>
    <cellStyle name="Remarque 3 3 2 2 7 11" xfId="36076" xr:uid="{00000000-0005-0000-0000-0000DD980000}"/>
    <cellStyle name="Remarque 3 3 2 2 7 11 2" xfId="60036" xr:uid="{00000000-0005-0000-0000-0000DE980000}"/>
    <cellStyle name="Remarque 3 3 2 2 7 12" xfId="13538" xr:uid="{00000000-0005-0000-0000-0000DF980000}"/>
    <cellStyle name="Remarque 3 3 2 2 7 13" xfId="37498" xr:uid="{00000000-0005-0000-0000-0000E0980000}"/>
    <cellStyle name="Remarque 3 3 2 2 7 2" xfId="3747" xr:uid="{00000000-0005-0000-0000-0000E1980000}"/>
    <cellStyle name="Remarque 3 3 2 2 7 2 2" xfId="27761" xr:uid="{00000000-0005-0000-0000-0000E2980000}"/>
    <cellStyle name="Remarque 3 3 2 2 7 2 2 2" xfId="51721" xr:uid="{00000000-0005-0000-0000-0000E3980000}"/>
    <cellStyle name="Remarque 3 3 2 2 7 2 3" xfId="15008" xr:uid="{00000000-0005-0000-0000-0000E4980000}"/>
    <cellStyle name="Remarque 3 3 2 2 7 2 4" xfId="38968" xr:uid="{00000000-0005-0000-0000-0000E5980000}"/>
    <cellStyle name="Remarque 3 3 2 2 7 3" xfId="5181" xr:uid="{00000000-0005-0000-0000-0000E6980000}"/>
    <cellStyle name="Remarque 3 3 2 2 7 3 2" xfId="29195" xr:uid="{00000000-0005-0000-0000-0000E7980000}"/>
    <cellStyle name="Remarque 3 3 2 2 7 3 2 2" xfId="53155" xr:uid="{00000000-0005-0000-0000-0000E8980000}"/>
    <cellStyle name="Remarque 3 3 2 2 7 3 3" xfId="16442" xr:uid="{00000000-0005-0000-0000-0000E9980000}"/>
    <cellStyle name="Remarque 3 3 2 2 7 3 4" xfId="40402" xr:uid="{00000000-0005-0000-0000-0000EA980000}"/>
    <cellStyle name="Remarque 3 3 2 2 7 4" xfId="6575" xr:uid="{00000000-0005-0000-0000-0000EB980000}"/>
    <cellStyle name="Remarque 3 3 2 2 7 4 2" xfId="30589" xr:uid="{00000000-0005-0000-0000-0000EC980000}"/>
    <cellStyle name="Remarque 3 3 2 2 7 4 2 2" xfId="54549" xr:uid="{00000000-0005-0000-0000-0000ED980000}"/>
    <cellStyle name="Remarque 3 3 2 2 7 4 3" xfId="17836" xr:uid="{00000000-0005-0000-0000-0000EE980000}"/>
    <cellStyle name="Remarque 3 3 2 2 7 4 4" xfId="41796" xr:uid="{00000000-0005-0000-0000-0000EF980000}"/>
    <cellStyle name="Remarque 3 3 2 2 7 5" xfId="7963" xr:uid="{00000000-0005-0000-0000-0000F0980000}"/>
    <cellStyle name="Remarque 3 3 2 2 7 5 2" xfId="31977" xr:uid="{00000000-0005-0000-0000-0000F1980000}"/>
    <cellStyle name="Remarque 3 3 2 2 7 5 2 2" xfId="55937" xr:uid="{00000000-0005-0000-0000-0000F2980000}"/>
    <cellStyle name="Remarque 3 3 2 2 7 5 3" xfId="19224" xr:uid="{00000000-0005-0000-0000-0000F3980000}"/>
    <cellStyle name="Remarque 3 3 2 2 7 5 4" xfId="43184" xr:uid="{00000000-0005-0000-0000-0000F4980000}"/>
    <cellStyle name="Remarque 3 3 2 2 7 6" xfId="9348" xr:uid="{00000000-0005-0000-0000-0000F5980000}"/>
    <cellStyle name="Remarque 3 3 2 2 7 6 2" xfId="33362" xr:uid="{00000000-0005-0000-0000-0000F6980000}"/>
    <cellStyle name="Remarque 3 3 2 2 7 6 2 2" xfId="57322" xr:uid="{00000000-0005-0000-0000-0000F7980000}"/>
    <cellStyle name="Remarque 3 3 2 2 7 6 3" xfId="20609" xr:uid="{00000000-0005-0000-0000-0000F8980000}"/>
    <cellStyle name="Remarque 3 3 2 2 7 6 4" xfId="44569" xr:uid="{00000000-0005-0000-0000-0000F9980000}"/>
    <cellStyle name="Remarque 3 3 2 2 7 7" xfId="10805" xr:uid="{00000000-0005-0000-0000-0000FA980000}"/>
    <cellStyle name="Remarque 3 3 2 2 7 7 2" xfId="34815" xr:uid="{00000000-0005-0000-0000-0000FB980000}"/>
    <cellStyle name="Remarque 3 3 2 2 7 7 2 2" xfId="58775" xr:uid="{00000000-0005-0000-0000-0000FC980000}"/>
    <cellStyle name="Remarque 3 3 2 2 7 7 3" xfId="22072" xr:uid="{00000000-0005-0000-0000-0000FD980000}"/>
    <cellStyle name="Remarque 3 3 2 2 7 7 4" xfId="46032" xr:uid="{00000000-0005-0000-0000-0000FE980000}"/>
    <cellStyle name="Remarque 3 3 2 2 7 8" xfId="12274" xr:uid="{00000000-0005-0000-0000-0000FF980000}"/>
    <cellStyle name="Remarque 3 3 2 2 7 8 2" xfId="23560" xr:uid="{00000000-0005-0000-0000-000000990000}"/>
    <cellStyle name="Remarque 3 3 2 2 7 8 3" xfId="47520" xr:uid="{00000000-0005-0000-0000-000001990000}"/>
    <cellStyle name="Remarque 3 3 2 2 7 9" xfId="2277" xr:uid="{00000000-0005-0000-0000-000002990000}"/>
    <cellStyle name="Remarque 3 3 2 2 7 9 2" xfId="26291" xr:uid="{00000000-0005-0000-0000-000003990000}"/>
    <cellStyle name="Remarque 3 3 2 2 7 9 3" xfId="50251" xr:uid="{00000000-0005-0000-0000-000004990000}"/>
    <cellStyle name="Remarque 3 3 2 2 8" xfId="1034" xr:uid="{00000000-0005-0000-0000-000005990000}"/>
    <cellStyle name="Remarque 3 3 2 2 8 10" xfId="25066" xr:uid="{00000000-0005-0000-0000-000006990000}"/>
    <cellStyle name="Remarque 3 3 2 2 8 10 2" xfId="49026" xr:uid="{00000000-0005-0000-0000-000007990000}"/>
    <cellStyle name="Remarque 3 3 2 2 8 11" xfId="36481" xr:uid="{00000000-0005-0000-0000-000008990000}"/>
    <cellStyle name="Remarque 3 3 2 2 8 11 2" xfId="60441" xr:uid="{00000000-0005-0000-0000-000009990000}"/>
    <cellStyle name="Remarque 3 3 2 2 8 12" xfId="13731" xr:uid="{00000000-0005-0000-0000-00000A990000}"/>
    <cellStyle name="Remarque 3 3 2 2 8 13" xfId="37691" xr:uid="{00000000-0005-0000-0000-00000B990000}"/>
    <cellStyle name="Remarque 3 3 2 2 8 2" xfId="3940" xr:uid="{00000000-0005-0000-0000-00000C990000}"/>
    <cellStyle name="Remarque 3 3 2 2 8 2 2" xfId="27954" xr:uid="{00000000-0005-0000-0000-00000D990000}"/>
    <cellStyle name="Remarque 3 3 2 2 8 2 2 2" xfId="51914" xr:uid="{00000000-0005-0000-0000-00000E990000}"/>
    <cellStyle name="Remarque 3 3 2 2 8 2 3" xfId="15201" xr:uid="{00000000-0005-0000-0000-00000F990000}"/>
    <cellStyle name="Remarque 3 3 2 2 8 2 4" xfId="39161" xr:uid="{00000000-0005-0000-0000-000010990000}"/>
    <cellStyle name="Remarque 3 3 2 2 8 3" xfId="5374" xr:uid="{00000000-0005-0000-0000-000011990000}"/>
    <cellStyle name="Remarque 3 3 2 2 8 3 2" xfId="29388" xr:uid="{00000000-0005-0000-0000-000012990000}"/>
    <cellStyle name="Remarque 3 3 2 2 8 3 2 2" xfId="53348" xr:uid="{00000000-0005-0000-0000-000013990000}"/>
    <cellStyle name="Remarque 3 3 2 2 8 3 3" xfId="16635" xr:uid="{00000000-0005-0000-0000-000014990000}"/>
    <cellStyle name="Remarque 3 3 2 2 8 3 4" xfId="40595" xr:uid="{00000000-0005-0000-0000-000015990000}"/>
    <cellStyle name="Remarque 3 3 2 2 8 4" xfId="6768" xr:uid="{00000000-0005-0000-0000-000016990000}"/>
    <cellStyle name="Remarque 3 3 2 2 8 4 2" xfId="30782" xr:uid="{00000000-0005-0000-0000-000017990000}"/>
    <cellStyle name="Remarque 3 3 2 2 8 4 2 2" xfId="54742" xr:uid="{00000000-0005-0000-0000-000018990000}"/>
    <cellStyle name="Remarque 3 3 2 2 8 4 3" xfId="18029" xr:uid="{00000000-0005-0000-0000-000019990000}"/>
    <cellStyle name="Remarque 3 3 2 2 8 4 4" xfId="41989" xr:uid="{00000000-0005-0000-0000-00001A990000}"/>
    <cellStyle name="Remarque 3 3 2 2 8 5" xfId="8156" xr:uid="{00000000-0005-0000-0000-00001B990000}"/>
    <cellStyle name="Remarque 3 3 2 2 8 5 2" xfId="32170" xr:uid="{00000000-0005-0000-0000-00001C990000}"/>
    <cellStyle name="Remarque 3 3 2 2 8 5 2 2" xfId="56130" xr:uid="{00000000-0005-0000-0000-00001D990000}"/>
    <cellStyle name="Remarque 3 3 2 2 8 5 3" xfId="19417" xr:uid="{00000000-0005-0000-0000-00001E990000}"/>
    <cellStyle name="Remarque 3 3 2 2 8 5 4" xfId="43377" xr:uid="{00000000-0005-0000-0000-00001F990000}"/>
    <cellStyle name="Remarque 3 3 2 2 8 6" xfId="9541" xr:uid="{00000000-0005-0000-0000-000020990000}"/>
    <cellStyle name="Remarque 3 3 2 2 8 6 2" xfId="33555" xr:uid="{00000000-0005-0000-0000-000021990000}"/>
    <cellStyle name="Remarque 3 3 2 2 8 6 2 2" xfId="57515" xr:uid="{00000000-0005-0000-0000-000022990000}"/>
    <cellStyle name="Remarque 3 3 2 2 8 6 3" xfId="20802" xr:uid="{00000000-0005-0000-0000-000023990000}"/>
    <cellStyle name="Remarque 3 3 2 2 8 6 4" xfId="44762" xr:uid="{00000000-0005-0000-0000-000024990000}"/>
    <cellStyle name="Remarque 3 3 2 2 8 7" xfId="10998" xr:uid="{00000000-0005-0000-0000-000025990000}"/>
    <cellStyle name="Remarque 3 3 2 2 8 7 2" xfId="35008" xr:uid="{00000000-0005-0000-0000-000026990000}"/>
    <cellStyle name="Remarque 3 3 2 2 8 7 2 2" xfId="58968" xr:uid="{00000000-0005-0000-0000-000027990000}"/>
    <cellStyle name="Remarque 3 3 2 2 8 7 3" xfId="22265" xr:uid="{00000000-0005-0000-0000-000028990000}"/>
    <cellStyle name="Remarque 3 3 2 2 8 7 4" xfId="46225" xr:uid="{00000000-0005-0000-0000-000029990000}"/>
    <cellStyle name="Remarque 3 3 2 2 8 8" xfId="11839" xr:uid="{00000000-0005-0000-0000-00002A990000}"/>
    <cellStyle name="Remarque 3 3 2 2 8 8 2" xfId="23114" xr:uid="{00000000-0005-0000-0000-00002B990000}"/>
    <cellStyle name="Remarque 3 3 2 2 8 8 3" xfId="47074" xr:uid="{00000000-0005-0000-0000-00002C990000}"/>
    <cellStyle name="Remarque 3 3 2 2 8 9" xfId="2470" xr:uid="{00000000-0005-0000-0000-00002D990000}"/>
    <cellStyle name="Remarque 3 3 2 2 8 9 2" xfId="26484" xr:uid="{00000000-0005-0000-0000-00002E990000}"/>
    <cellStyle name="Remarque 3 3 2 2 8 9 3" xfId="50444" xr:uid="{00000000-0005-0000-0000-00002F990000}"/>
    <cellStyle name="Remarque 3 3 2 2 9" xfId="1220" xr:uid="{00000000-0005-0000-0000-000030990000}"/>
    <cellStyle name="Remarque 3 3 2 2 9 10" xfId="25252" xr:uid="{00000000-0005-0000-0000-000031990000}"/>
    <cellStyle name="Remarque 3 3 2 2 9 10 2" xfId="49212" xr:uid="{00000000-0005-0000-0000-000032990000}"/>
    <cellStyle name="Remarque 3 3 2 2 9 11" xfId="35850" xr:uid="{00000000-0005-0000-0000-000033990000}"/>
    <cellStyle name="Remarque 3 3 2 2 9 11 2" xfId="59810" xr:uid="{00000000-0005-0000-0000-000034990000}"/>
    <cellStyle name="Remarque 3 3 2 2 9 12" xfId="13917" xr:uid="{00000000-0005-0000-0000-000035990000}"/>
    <cellStyle name="Remarque 3 3 2 2 9 13" xfId="37877" xr:uid="{00000000-0005-0000-0000-000036990000}"/>
    <cellStyle name="Remarque 3 3 2 2 9 2" xfId="4126" xr:uid="{00000000-0005-0000-0000-000037990000}"/>
    <cellStyle name="Remarque 3 3 2 2 9 2 2" xfId="28140" xr:uid="{00000000-0005-0000-0000-000038990000}"/>
    <cellStyle name="Remarque 3 3 2 2 9 2 2 2" xfId="52100" xr:uid="{00000000-0005-0000-0000-000039990000}"/>
    <cellStyle name="Remarque 3 3 2 2 9 2 3" xfId="15387" xr:uid="{00000000-0005-0000-0000-00003A990000}"/>
    <cellStyle name="Remarque 3 3 2 2 9 2 4" xfId="39347" xr:uid="{00000000-0005-0000-0000-00003B990000}"/>
    <cellStyle name="Remarque 3 3 2 2 9 3" xfId="5560" xr:uid="{00000000-0005-0000-0000-00003C990000}"/>
    <cellStyle name="Remarque 3 3 2 2 9 3 2" xfId="29574" xr:uid="{00000000-0005-0000-0000-00003D990000}"/>
    <cellStyle name="Remarque 3 3 2 2 9 3 2 2" xfId="53534" xr:uid="{00000000-0005-0000-0000-00003E990000}"/>
    <cellStyle name="Remarque 3 3 2 2 9 3 3" xfId="16821" xr:uid="{00000000-0005-0000-0000-00003F990000}"/>
    <cellStyle name="Remarque 3 3 2 2 9 3 4" xfId="40781" xr:uid="{00000000-0005-0000-0000-000040990000}"/>
    <cellStyle name="Remarque 3 3 2 2 9 4" xfId="6954" xr:uid="{00000000-0005-0000-0000-000041990000}"/>
    <cellStyle name="Remarque 3 3 2 2 9 4 2" xfId="30968" xr:uid="{00000000-0005-0000-0000-000042990000}"/>
    <cellStyle name="Remarque 3 3 2 2 9 4 2 2" xfId="54928" xr:uid="{00000000-0005-0000-0000-000043990000}"/>
    <cellStyle name="Remarque 3 3 2 2 9 4 3" xfId="18215" xr:uid="{00000000-0005-0000-0000-000044990000}"/>
    <cellStyle name="Remarque 3 3 2 2 9 4 4" xfId="42175" xr:uid="{00000000-0005-0000-0000-000045990000}"/>
    <cellStyle name="Remarque 3 3 2 2 9 5" xfId="8342" xr:uid="{00000000-0005-0000-0000-000046990000}"/>
    <cellStyle name="Remarque 3 3 2 2 9 5 2" xfId="32356" xr:uid="{00000000-0005-0000-0000-000047990000}"/>
    <cellStyle name="Remarque 3 3 2 2 9 5 2 2" xfId="56316" xr:uid="{00000000-0005-0000-0000-000048990000}"/>
    <cellStyle name="Remarque 3 3 2 2 9 5 3" xfId="19603" xr:uid="{00000000-0005-0000-0000-000049990000}"/>
    <cellStyle name="Remarque 3 3 2 2 9 5 4" xfId="43563" xr:uid="{00000000-0005-0000-0000-00004A990000}"/>
    <cellStyle name="Remarque 3 3 2 2 9 6" xfId="9727" xr:uid="{00000000-0005-0000-0000-00004B990000}"/>
    <cellStyle name="Remarque 3 3 2 2 9 6 2" xfId="33741" xr:uid="{00000000-0005-0000-0000-00004C990000}"/>
    <cellStyle name="Remarque 3 3 2 2 9 6 2 2" xfId="57701" xr:uid="{00000000-0005-0000-0000-00004D990000}"/>
    <cellStyle name="Remarque 3 3 2 2 9 6 3" xfId="20988" xr:uid="{00000000-0005-0000-0000-00004E990000}"/>
    <cellStyle name="Remarque 3 3 2 2 9 6 4" xfId="44948" xr:uid="{00000000-0005-0000-0000-00004F990000}"/>
    <cellStyle name="Remarque 3 3 2 2 9 7" xfId="11184" xr:uid="{00000000-0005-0000-0000-000050990000}"/>
    <cellStyle name="Remarque 3 3 2 2 9 7 2" xfId="35194" xr:uid="{00000000-0005-0000-0000-000051990000}"/>
    <cellStyle name="Remarque 3 3 2 2 9 7 2 2" xfId="59154" xr:uid="{00000000-0005-0000-0000-000052990000}"/>
    <cellStyle name="Remarque 3 3 2 2 9 7 3" xfId="22451" xr:uid="{00000000-0005-0000-0000-000053990000}"/>
    <cellStyle name="Remarque 3 3 2 2 9 7 4" xfId="46411" xr:uid="{00000000-0005-0000-0000-000054990000}"/>
    <cellStyle name="Remarque 3 3 2 2 9 8" xfId="12484" xr:uid="{00000000-0005-0000-0000-000055990000}"/>
    <cellStyle name="Remarque 3 3 2 2 9 8 2" xfId="23781" xr:uid="{00000000-0005-0000-0000-000056990000}"/>
    <cellStyle name="Remarque 3 3 2 2 9 8 3" xfId="47741" xr:uid="{00000000-0005-0000-0000-000057990000}"/>
    <cellStyle name="Remarque 3 3 2 2 9 9" xfId="2656" xr:uid="{00000000-0005-0000-0000-000058990000}"/>
    <cellStyle name="Remarque 3 3 2 2 9 9 2" xfId="26670" xr:uid="{00000000-0005-0000-0000-000059990000}"/>
    <cellStyle name="Remarque 3 3 2 2 9 9 3" xfId="50630" xr:uid="{00000000-0005-0000-0000-00005A990000}"/>
    <cellStyle name="Remarque 3 3 2 3" xfId="98" xr:uid="{00000000-0005-0000-0000-00005B990000}"/>
    <cellStyle name="Remarque 3 3 2 3 10" xfId="36899" xr:uid="{00000000-0005-0000-0000-00005C990000}"/>
    <cellStyle name="Remarque 3 3 2 3 11" xfId="242" xr:uid="{00000000-0005-0000-0000-00005D990000}"/>
    <cellStyle name="Remarque 3 3 2 3 2" xfId="476" xr:uid="{00000000-0005-0000-0000-00005E990000}"/>
    <cellStyle name="Remarque 3 3 2 3 2 10" xfId="6210" xr:uid="{00000000-0005-0000-0000-00005F990000}"/>
    <cellStyle name="Remarque 3 3 2 3 2 10 2" xfId="30224" xr:uid="{00000000-0005-0000-0000-000060990000}"/>
    <cellStyle name="Remarque 3 3 2 3 2 10 2 2" xfId="54184" xr:uid="{00000000-0005-0000-0000-000061990000}"/>
    <cellStyle name="Remarque 3 3 2 3 2 10 3" xfId="17471" xr:uid="{00000000-0005-0000-0000-000062990000}"/>
    <cellStyle name="Remarque 3 3 2 3 2 10 4" xfId="41431" xr:uid="{00000000-0005-0000-0000-000063990000}"/>
    <cellStyle name="Remarque 3 3 2 3 2 11" xfId="7598" xr:uid="{00000000-0005-0000-0000-000064990000}"/>
    <cellStyle name="Remarque 3 3 2 3 2 11 2" xfId="31612" xr:uid="{00000000-0005-0000-0000-000065990000}"/>
    <cellStyle name="Remarque 3 3 2 3 2 11 2 2" xfId="55572" xr:uid="{00000000-0005-0000-0000-000066990000}"/>
    <cellStyle name="Remarque 3 3 2 3 2 11 3" xfId="18859" xr:uid="{00000000-0005-0000-0000-000067990000}"/>
    <cellStyle name="Remarque 3 3 2 3 2 11 4" xfId="42819" xr:uid="{00000000-0005-0000-0000-000068990000}"/>
    <cellStyle name="Remarque 3 3 2 3 2 12" xfId="8983" xr:uid="{00000000-0005-0000-0000-000069990000}"/>
    <cellStyle name="Remarque 3 3 2 3 2 12 2" xfId="32997" xr:uid="{00000000-0005-0000-0000-00006A990000}"/>
    <cellStyle name="Remarque 3 3 2 3 2 12 2 2" xfId="56957" xr:uid="{00000000-0005-0000-0000-00006B990000}"/>
    <cellStyle name="Remarque 3 3 2 3 2 12 3" xfId="20244" xr:uid="{00000000-0005-0000-0000-00006C990000}"/>
    <cellStyle name="Remarque 3 3 2 3 2 12 4" xfId="44204" xr:uid="{00000000-0005-0000-0000-00006D990000}"/>
    <cellStyle name="Remarque 3 3 2 3 2 13" xfId="10440" xr:uid="{00000000-0005-0000-0000-00006E990000}"/>
    <cellStyle name="Remarque 3 3 2 3 2 13 2" xfId="34450" xr:uid="{00000000-0005-0000-0000-00006F990000}"/>
    <cellStyle name="Remarque 3 3 2 3 2 13 2 2" xfId="58410" xr:uid="{00000000-0005-0000-0000-000070990000}"/>
    <cellStyle name="Remarque 3 3 2 3 2 13 3" xfId="21707" xr:uid="{00000000-0005-0000-0000-000071990000}"/>
    <cellStyle name="Remarque 3 3 2 3 2 13 4" xfId="45667" xr:uid="{00000000-0005-0000-0000-000072990000}"/>
    <cellStyle name="Remarque 3 3 2 3 2 14" xfId="12460" xr:uid="{00000000-0005-0000-0000-000073990000}"/>
    <cellStyle name="Remarque 3 3 2 3 2 14 2" xfId="23754" xr:uid="{00000000-0005-0000-0000-000074990000}"/>
    <cellStyle name="Remarque 3 3 2 3 2 14 3" xfId="47714" xr:uid="{00000000-0005-0000-0000-000075990000}"/>
    <cellStyle name="Remarque 3 3 2 3 2 15" xfId="1912" xr:uid="{00000000-0005-0000-0000-000076990000}"/>
    <cellStyle name="Remarque 3 3 2 3 2 15 2" xfId="25926" xr:uid="{00000000-0005-0000-0000-000077990000}"/>
    <cellStyle name="Remarque 3 3 2 3 2 15 3" xfId="49886" xr:uid="{00000000-0005-0000-0000-000078990000}"/>
    <cellStyle name="Remarque 3 3 2 3 2 16" xfId="24508" xr:uid="{00000000-0005-0000-0000-000079990000}"/>
    <cellStyle name="Remarque 3 3 2 3 2 16 2" xfId="48468" xr:uid="{00000000-0005-0000-0000-00007A990000}"/>
    <cellStyle name="Remarque 3 3 2 3 2 17" xfId="36839" xr:uid="{00000000-0005-0000-0000-00007B990000}"/>
    <cellStyle name="Remarque 3 3 2 3 2 17 2" xfId="60799" xr:uid="{00000000-0005-0000-0000-00007C990000}"/>
    <cellStyle name="Remarque 3 3 2 3 2 18" xfId="13173" xr:uid="{00000000-0005-0000-0000-00007D990000}"/>
    <cellStyle name="Remarque 3 3 2 3 2 19" xfId="37133" xr:uid="{00000000-0005-0000-0000-00007E990000}"/>
    <cellStyle name="Remarque 3 3 2 3 2 2" xfId="612" xr:uid="{00000000-0005-0000-0000-00007F990000}"/>
    <cellStyle name="Remarque 3 3 2 3 2 2 10" xfId="24644" xr:uid="{00000000-0005-0000-0000-000080990000}"/>
    <cellStyle name="Remarque 3 3 2 3 2 2 10 2" xfId="48604" xr:uid="{00000000-0005-0000-0000-000081990000}"/>
    <cellStyle name="Remarque 3 3 2 3 2 2 11" xfId="36439" xr:uid="{00000000-0005-0000-0000-000082990000}"/>
    <cellStyle name="Remarque 3 3 2 3 2 2 11 2" xfId="60399" xr:uid="{00000000-0005-0000-0000-000083990000}"/>
    <cellStyle name="Remarque 3 3 2 3 2 2 12" xfId="13309" xr:uid="{00000000-0005-0000-0000-000084990000}"/>
    <cellStyle name="Remarque 3 3 2 3 2 2 13" xfId="37269" xr:uid="{00000000-0005-0000-0000-000085990000}"/>
    <cellStyle name="Remarque 3 3 2 3 2 2 2" xfId="3518" xr:uid="{00000000-0005-0000-0000-000086990000}"/>
    <cellStyle name="Remarque 3 3 2 3 2 2 2 2" xfId="27532" xr:uid="{00000000-0005-0000-0000-000087990000}"/>
    <cellStyle name="Remarque 3 3 2 3 2 2 2 2 2" xfId="51492" xr:uid="{00000000-0005-0000-0000-000088990000}"/>
    <cellStyle name="Remarque 3 3 2 3 2 2 2 3" xfId="14779" xr:uid="{00000000-0005-0000-0000-000089990000}"/>
    <cellStyle name="Remarque 3 3 2 3 2 2 2 4" xfId="38739" xr:uid="{00000000-0005-0000-0000-00008A990000}"/>
    <cellStyle name="Remarque 3 3 2 3 2 2 3" xfId="4952" xr:uid="{00000000-0005-0000-0000-00008B990000}"/>
    <cellStyle name="Remarque 3 3 2 3 2 2 3 2" xfId="28966" xr:uid="{00000000-0005-0000-0000-00008C990000}"/>
    <cellStyle name="Remarque 3 3 2 3 2 2 3 2 2" xfId="52926" xr:uid="{00000000-0005-0000-0000-00008D990000}"/>
    <cellStyle name="Remarque 3 3 2 3 2 2 3 3" xfId="16213" xr:uid="{00000000-0005-0000-0000-00008E990000}"/>
    <cellStyle name="Remarque 3 3 2 3 2 2 3 4" xfId="40173" xr:uid="{00000000-0005-0000-0000-00008F990000}"/>
    <cellStyle name="Remarque 3 3 2 3 2 2 4" xfId="6346" xr:uid="{00000000-0005-0000-0000-000090990000}"/>
    <cellStyle name="Remarque 3 3 2 3 2 2 4 2" xfId="30360" xr:uid="{00000000-0005-0000-0000-000091990000}"/>
    <cellStyle name="Remarque 3 3 2 3 2 2 4 2 2" xfId="54320" xr:uid="{00000000-0005-0000-0000-000092990000}"/>
    <cellStyle name="Remarque 3 3 2 3 2 2 4 3" xfId="17607" xr:uid="{00000000-0005-0000-0000-000093990000}"/>
    <cellStyle name="Remarque 3 3 2 3 2 2 4 4" xfId="41567" xr:uid="{00000000-0005-0000-0000-000094990000}"/>
    <cellStyle name="Remarque 3 3 2 3 2 2 5" xfId="7734" xr:uid="{00000000-0005-0000-0000-000095990000}"/>
    <cellStyle name="Remarque 3 3 2 3 2 2 5 2" xfId="31748" xr:uid="{00000000-0005-0000-0000-000096990000}"/>
    <cellStyle name="Remarque 3 3 2 3 2 2 5 2 2" xfId="55708" xr:uid="{00000000-0005-0000-0000-000097990000}"/>
    <cellStyle name="Remarque 3 3 2 3 2 2 5 3" xfId="18995" xr:uid="{00000000-0005-0000-0000-000098990000}"/>
    <cellStyle name="Remarque 3 3 2 3 2 2 5 4" xfId="42955" xr:uid="{00000000-0005-0000-0000-000099990000}"/>
    <cellStyle name="Remarque 3 3 2 3 2 2 6" xfId="9119" xr:uid="{00000000-0005-0000-0000-00009A990000}"/>
    <cellStyle name="Remarque 3 3 2 3 2 2 6 2" xfId="33133" xr:uid="{00000000-0005-0000-0000-00009B990000}"/>
    <cellStyle name="Remarque 3 3 2 3 2 2 6 2 2" xfId="57093" xr:uid="{00000000-0005-0000-0000-00009C990000}"/>
    <cellStyle name="Remarque 3 3 2 3 2 2 6 3" xfId="20380" xr:uid="{00000000-0005-0000-0000-00009D990000}"/>
    <cellStyle name="Remarque 3 3 2 3 2 2 6 4" xfId="44340" xr:uid="{00000000-0005-0000-0000-00009E990000}"/>
    <cellStyle name="Remarque 3 3 2 3 2 2 7" xfId="10576" xr:uid="{00000000-0005-0000-0000-00009F990000}"/>
    <cellStyle name="Remarque 3 3 2 3 2 2 7 2" xfId="34586" xr:uid="{00000000-0005-0000-0000-0000A0990000}"/>
    <cellStyle name="Remarque 3 3 2 3 2 2 7 2 2" xfId="58546" xr:uid="{00000000-0005-0000-0000-0000A1990000}"/>
    <cellStyle name="Remarque 3 3 2 3 2 2 7 3" xfId="21843" xr:uid="{00000000-0005-0000-0000-0000A2990000}"/>
    <cellStyle name="Remarque 3 3 2 3 2 2 7 4" xfId="45803" xr:uid="{00000000-0005-0000-0000-0000A3990000}"/>
    <cellStyle name="Remarque 3 3 2 3 2 2 8" xfId="12098" xr:uid="{00000000-0005-0000-0000-0000A4990000}"/>
    <cellStyle name="Remarque 3 3 2 3 2 2 8 2" xfId="23381" xr:uid="{00000000-0005-0000-0000-0000A5990000}"/>
    <cellStyle name="Remarque 3 3 2 3 2 2 8 3" xfId="47341" xr:uid="{00000000-0005-0000-0000-0000A6990000}"/>
    <cellStyle name="Remarque 3 3 2 3 2 2 9" xfId="2048" xr:uid="{00000000-0005-0000-0000-0000A7990000}"/>
    <cellStyle name="Remarque 3 3 2 3 2 2 9 2" xfId="26062" xr:uid="{00000000-0005-0000-0000-0000A8990000}"/>
    <cellStyle name="Remarque 3 3 2 3 2 2 9 3" xfId="50022" xr:uid="{00000000-0005-0000-0000-0000A9990000}"/>
    <cellStyle name="Remarque 3 3 2 3 2 3" xfId="804" xr:uid="{00000000-0005-0000-0000-0000AA990000}"/>
    <cellStyle name="Remarque 3 3 2 3 2 3 10" xfId="24836" xr:uid="{00000000-0005-0000-0000-0000AB990000}"/>
    <cellStyle name="Remarque 3 3 2 3 2 3 10 2" xfId="48796" xr:uid="{00000000-0005-0000-0000-0000AC990000}"/>
    <cellStyle name="Remarque 3 3 2 3 2 3 11" xfId="36007" xr:uid="{00000000-0005-0000-0000-0000AD990000}"/>
    <cellStyle name="Remarque 3 3 2 3 2 3 11 2" xfId="59967" xr:uid="{00000000-0005-0000-0000-0000AE990000}"/>
    <cellStyle name="Remarque 3 3 2 3 2 3 12" xfId="13501" xr:uid="{00000000-0005-0000-0000-0000AF990000}"/>
    <cellStyle name="Remarque 3 3 2 3 2 3 13" xfId="37461" xr:uid="{00000000-0005-0000-0000-0000B0990000}"/>
    <cellStyle name="Remarque 3 3 2 3 2 3 2" xfId="3710" xr:uid="{00000000-0005-0000-0000-0000B1990000}"/>
    <cellStyle name="Remarque 3 3 2 3 2 3 2 2" xfId="27724" xr:uid="{00000000-0005-0000-0000-0000B2990000}"/>
    <cellStyle name="Remarque 3 3 2 3 2 3 2 2 2" xfId="51684" xr:uid="{00000000-0005-0000-0000-0000B3990000}"/>
    <cellStyle name="Remarque 3 3 2 3 2 3 2 3" xfId="14971" xr:uid="{00000000-0005-0000-0000-0000B4990000}"/>
    <cellStyle name="Remarque 3 3 2 3 2 3 2 4" xfId="38931" xr:uid="{00000000-0005-0000-0000-0000B5990000}"/>
    <cellStyle name="Remarque 3 3 2 3 2 3 3" xfId="5144" xr:uid="{00000000-0005-0000-0000-0000B6990000}"/>
    <cellStyle name="Remarque 3 3 2 3 2 3 3 2" xfId="29158" xr:uid="{00000000-0005-0000-0000-0000B7990000}"/>
    <cellStyle name="Remarque 3 3 2 3 2 3 3 2 2" xfId="53118" xr:uid="{00000000-0005-0000-0000-0000B8990000}"/>
    <cellStyle name="Remarque 3 3 2 3 2 3 3 3" xfId="16405" xr:uid="{00000000-0005-0000-0000-0000B9990000}"/>
    <cellStyle name="Remarque 3 3 2 3 2 3 3 4" xfId="40365" xr:uid="{00000000-0005-0000-0000-0000BA990000}"/>
    <cellStyle name="Remarque 3 3 2 3 2 3 4" xfId="6538" xr:uid="{00000000-0005-0000-0000-0000BB990000}"/>
    <cellStyle name="Remarque 3 3 2 3 2 3 4 2" xfId="30552" xr:uid="{00000000-0005-0000-0000-0000BC990000}"/>
    <cellStyle name="Remarque 3 3 2 3 2 3 4 2 2" xfId="54512" xr:uid="{00000000-0005-0000-0000-0000BD990000}"/>
    <cellStyle name="Remarque 3 3 2 3 2 3 4 3" xfId="17799" xr:uid="{00000000-0005-0000-0000-0000BE990000}"/>
    <cellStyle name="Remarque 3 3 2 3 2 3 4 4" xfId="41759" xr:uid="{00000000-0005-0000-0000-0000BF990000}"/>
    <cellStyle name="Remarque 3 3 2 3 2 3 5" xfId="7926" xr:uid="{00000000-0005-0000-0000-0000C0990000}"/>
    <cellStyle name="Remarque 3 3 2 3 2 3 5 2" xfId="31940" xr:uid="{00000000-0005-0000-0000-0000C1990000}"/>
    <cellStyle name="Remarque 3 3 2 3 2 3 5 2 2" xfId="55900" xr:uid="{00000000-0005-0000-0000-0000C2990000}"/>
    <cellStyle name="Remarque 3 3 2 3 2 3 5 3" xfId="19187" xr:uid="{00000000-0005-0000-0000-0000C3990000}"/>
    <cellStyle name="Remarque 3 3 2 3 2 3 5 4" xfId="43147" xr:uid="{00000000-0005-0000-0000-0000C4990000}"/>
    <cellStyle name="Remarque 3 3 2 3 2 3 6" xfId="9311" xr:uid="{00000000-0005-0000-0000-0000C5990000}"/>
    <cellStyle name="Remarque 3 3 2 3 2 3 6 2" xfId="33325" xr:uid="{00000000-0005-0000-0000-0000C6990000}"/>
    <cellStyle name="Remarque 3 3 2 3 2 3 6 2 2" xfId="57285" xr:uid="{00000000-0005-0000-0000-0000C7990000}"/>
    <cellStyle name="Remarque 3 3 2 3 2 3 6 3" xfId="20572" xr:uid="{00000000-0005-0000-0000-0000C8990000}"/>
    <cellStyle name="Remarque 3 3 2 3 2 3 6 4" xfId="44532" xr:uid="{00000000-0005-0000-0000-0000C9990000}"/>
    <cellStyle name="Remarque 3 3 2 3 2 3 7" xfId="10768" xr:uid="{00000000-0005-0000-0000-0000CA990000}"/>
    <cellStyle name="Remarque 3 3 2 3 2 3 7 2" xfId="34778" xr:uid="{00000000-0005-0000-0000-0000CB990000}"/>
    <cellStyle name="Remarque 3 3 2 3 2 3 7 2 2" xfId="58738" xr:uid="{00000000-0005-0000-0000-0000CC990000}"/>
    <cellStyle name="Remarque 3 3 2 3 2 3 7 3" xfId="22035" xr:uid="{00000000-0005-0000-0000-0000CD990000}"/>
    <cellStyle name="Remarque 3 3 2 3 2 3 7 4" xfId="45995" xr:uid="{00000000-0005-0000-0000-0000CE990000}"/>
    <cellStyle name="Remarque 3 3 2 3 2 3 8" xfId="12683" xr:uid="{00000000-0005-0000-0000-0000CF990000}"/>
    <cellStyle name="Remarque 3 3 2 3 2 3 8 2" xfId="23988" xr:uid="{00000000-0005-0000-0000-0000D0990000}"/>
    <cellStyle name="Remarque 3 3 2 3 2 3 8 3" xfId="47948" xr:uid="{00000000-0005-0000-0000-0000D1990000}"/>
    <cellStyle name="Remarque 3 3 2 3 2 3 9" xfId="2240" xr:uid="{00000000-0005-0000-0000-0000D2990000}"/>
    <cellStyle name="Remarque 3 3 2 3 2 3 9 2" xfId="26254" xr:uid="{00000000-0005-0000-0000-0000D3990000}"/>
    <cellStyle name="Remarque 3 3 2 3 2 3 9 3" xfId="50214" xr:uid="{00000000-0005-0000-0000-0000D4990000}"/>
    <cellStyle name="Remarque 3 3 2 3 2 4" xfId="998" xr:uid="{00000000-0005-0000-0000-0000D5990000}"/>
    <cellStyle name="Remarque 3 3 2 3 2 4 10" xfId="25030" xr:uid="{00000000-0005-0000-0000-0000D6990000}"/>
    <cellStyle name="Remarque 3 3 2 3 2 4 10 2" xfId="48990" xr:uid="{00000000-0005-0000-0000-0000D7990000}"/>
    <cellStyle name="Remarque 3 3 2 3 2 4 11" xfId="36478" xr:uid="{00000000-0005-0000-0000-0000D8990000}"/>
    <cellStyle name="Remarque 3 3 2 3 2 4 11 2" xfId="60438" xr:uid="{00000000-0005-0000-0000-0000D9990000}"/>
    <cellStyle name="Remarque 3 3 2 3 2 4 12" xfId="13695" xr:uid="{00000000-0005-0000-0000-0000DA990000}"/>
    <cellStyle name="Remarque 3 3 2 3 2 4 13" xfId="37655" xr:uid="{00000000-0005-0000-0000-0000DB990000}"/>
    <cellStyle name="Remarque 3 3 2 3 2 4 2" xfId="3904" xr:uid="{00000000-0005-0000-0000-0000DC990000}"/>
    <cellStyle name="Remarque 3 3 2 3 2 4 2 2" xfId="27918" xr:uid="{00000000-0005-0000-0000-0000DD990000}"/>
    <cellStyle name="Remarque 3 3 2 3 2 4 2 2 2" xfId="51878" xr:uid="{00000000-0005-0000-0000-0000DE990000}"/>
    <cellStyle name="Remarque 3 3 2 3 2 4 2 3" xfId="15165" xr:uid="{00000000-0005-0000-0000-0000DF990000}"/>
    <cellStyle name="Remarque 3 3 2 3 2 4 2 4" xfId="39125" xr:uid="{00000000-0005-0000-0000-0000E0990000}"/>
    <cellStyle name="Remarque 3 3 2 3 2 4 3" xfId="5338" xr:uid="{00000000-0005-0000-0000-0000E1990000}"/>
    <cellStyle name="Remarque 3 3 2 3 2 4 3 2" xfId="29352" xr:uid="{00000000-0005-0000-0000-0000E2990000}"/>
    <cellStyle name="Remarque 3 3 2 3 2 4 3 2 2" xfId="53312" xr:uid="{00000000-0005-0000-0000-0000E3990000}"/>
    <cellStyle name="Remarque 3 3 2 3 2 4 3 3" xfId="16599" xr:uid="{00000000-0005-0000-0000-0000E4990000}"/>
    <cellStyle name="Remarque 3 3 2 3 2 4 3 4" xfId="40559" xr:uid="{00000000-0005-0000-0000-0000E5990000}"/>
    <cellStyle name="Remarque 3 3 2 3 2 4 4" xfId="6732" xr:uid="{00000000-0005-0000-0000-0000E6990000}"/>
    <cellStyle name="Remarque 3 3 2 3 2 4 4 2" xfId="30746" xr:uid="{00000000-0005-0000-0000-0000E7990000}"/>
    <cellStyle name="Remarque 3 3 2 3 2 4 4 2 2" xfId="54706" xr:uid="{00000000-0005-0000-0000-0000E8990000}"/>
    <cellStyle name="Remarque 3 3 2 3 2 4 4 3" xfId="17993" xr:uid="{00000000-0005-0000-0000-0000E9990000}"/>
    <cellStyle name="Remarque 3 3 2 3 2 4 4 4" xfId="41953" xr:uid="{00000000-0005-0000-0000-0000EA990000}"/>
    <cellStyle name="Remarque 3 3 2 3 2 4 5" xfId="8120" xr:uid="{00000000-0005-0000-0000-0000EB990000}"/>
    <cellStyle name="Remarque 3 3 2 3 2 4 5 2" xfId="32134" xr:uid="{00000000-0005-0000-0000-0000EC990000}"/>
    <cellStyle name="Remarque 3 3 2 3 2 4 5 2 2" xfId="56094" xr:uid="{00000000-0005-0000-0000-0000ED990000}"/>
    <cellStyle name="Remarque 3 3 2 3 2 4 5 3" xfId="19381" xr:uid="{00000000-0005-0000-0000-0000EE990000}"/>
    <cellStyle name="Remarque 3 3 2 3 2 4 5 4" xfId="43341" xr:uid="{00000000-0005-0000-0000-0000EF990000}"/>
    <cellStyle name="Remarque 3 3 2 3 2 4 6" xfId="9505" xr:uid="{00000000-0005-0000-0000-0000F0990000}"/>
    <cellStyle name="Remarque 3 3 2 3 2 4 6 2" xfId="33519" xr:uid="{00000000-0005-0000-0000-0000F1990000}"/>
    <cellStyle name="Remarque 3 3 2 3 2 4 6 2 2" xfId="57479" xr:uid="{00000000-0005-0000-0000-0000F2990000}"/>
    <cellStyle name="Remarque 3 3 2 3 2 4 6 3" xfId="20766" xr:uid="{00000000-0005-0000-0000-0000F3990000}"/>
    <cellStyle name="Remarque 3 3 2 3 2 4 6 4" xfId="44726" xr:uid="{00000000-0005-0000-0000-0000F4990000}"/>
    <cellStyle name="Remarque 3 3 2 3 2 4 7" xfId="10962" xr:uid="{00000000-0005-0000-0000-0000F5990000}"/>
    <cellStyle name="Remarque 3 3 2 3 2 4 7 2" xfId="34972" xr:uid="{00000000-0005-0000-0000-0000F6990000}"/>
    <cellStyle name="Remarque 3 3 2 3 2 4 7 2 2" xfId="58932" xr:uid="{00000000-0005-0000-0000-0000F7990000}"/>
    <cellStyle name="Remarque 3 3 2 3 2 4 7 3" xfId="22229" xr:uid="{00000000-0005-0000-0000-0000F8990000}"/>
    <cellStyle name="Remarque 3 3 2 3 2 4 7 4" xfId="46189" xr:uid="{00000000-0005-0000-0000-0000F9990000}"/>
    <cellStyle name="Remarque 3 3 2 3 2 4 8" xfId="12792" xr:uid="{00000000-0005-0000-0000-0000FA990000}"/>
    <cellStyle name="Remarque 3 3 2 3 2 4 8 2" xfId="24102" xr:uid="{00000000-0005-0000-0000-0000FB990000}"/>
    <cellStyle name="Remarque 3 3 2 3 2 4 8 3" xfId="48062" xr:uid="{00000000-0005-0000-0000-0000FC990000}"/>
    <cellStyle name="Remarque 3 3 2 3 2 4 9" xfId="2434" xr:uid="{00000000-0005-0000-0000-0000FD990000}"/>
    <cellStyle name="Remarque 3 3 2 3 2 4 9 2" xfId="26448" xr:uid="{00000000-0005-0000-0000-0000FE990000}"/>
    <cellStyle name="Remarque 3 3 2 3 2 4 9 3" xfId="50408" xr:uid="{00000000-0005-0000-0000-0000FF990000}"/>
    <cellStyle name="Remarque 3 3 2 3 2 5" xfId="1191" xr:uid="{00000000-0005-0000-0000-0000009A0000}"/>
    <cellStyle name="Remarque 3 3 2 3 2 5 10" xfId="25223" xr:uid="{00000000-0005-0000-0000-0000019A0000}"/>
    <cellStyle name="Remarque 3 3 2 3 2 5 10 2" xfId="49183" xr:uid="{00000000-0005-0000-0000-0000029A0000}"/>
    <cellStyle name="Remarque 3 3 2 3 2 5 11" xfId="24265" xr:uid="{00000000-0005-0000-0000-0000039A0000}"/>
    <cellStyle name="Remarque 3 3 2 3 2 5 11 2" xfId="48225" xr:uid="{00000000-0005-0000-0000-0000049A0000}"/>
    <cellStyle name="Remarque 3 3 2 3 2 5 12" xfId="13888" xr:uid="{00000000-0005-0000-0000-0000059A0000}"/>
    <cellStyle name="Remarque 3 3 2 3 2 5 13" xfId="37848" xr:uid="{00000000-0005-0000-0000-0000069A0000}"/>
    <cellStyle name="Remarque 3 3 2 3 2 5 2" xfId="4097" xr:uid="{00000000-0005-0000-0000-0000079A0000}"/>
    <cellStyle name="Remarque 3 3 2 3 2 5 2 2" xfId="28111" xr:uid="{00000000-0005-0000-0000-0000089A0000}"/>
    <cellStyle name="Remarque 3 3 2 3 2 5 2 2 2" xfId="52071" xr:uid="{00000000-0005-0000-0000-0000099A0000}"/>
    <cellStyle name="Remarque 3 3 2 3 2 5 2 3" xfId="15358" xr:uid="{00000000-0005-0000-0000-00000A9A0000}"/>
    <cellStyle name="Remarque 3 3 2 3 2 5 2 4" xfId="39318" xr:uid="{00000000-0005-0000-0000-00000B9A0000}"/>
    <cellStyle name="Remarque 3 3 2 3 2 5 3" xfId="5531" xr:uid="{00000000-0005-0000-0000-00000C9A0000}"/>
    <cellStyle name="Remarque 3 3 2 3 2 5 3 2" xfId="29545" xr:uid="{00000000-0005-0000-0000-00000D9A0000}"/>
    <cellStyle name="Remarque 3 3 2 3 2 5 3 2 2" xfId="53505" xr:uid="{00000000-0005-0000-0000-00000E9A0000}"/>
    <cellStyle name="Remarque 3 3 2 3 2 5 3 3" xfId="16792" xr:uid="{00000000-0005-0000-0000-00000F9A0000}"/>
    <cellStyle name="Remarque 3 3 2 3 2 5 3 4" xfId="40752" xr:uid="{00000000-0005-0000-0000-0000109A0000}"/>
    <cellStyle name="Remarque 3 3 2 3 2 5 4" xfId="6925" xr:uid="{00000000-0005-0000-0000-0000119A0000}"/>
    <cellStyle name="Remarque 3 3 2 3 2 5 4 2" xfId="30939" xr:uid="{00000000-0005-0000-0000-0000129A0000}"/>
    <cellStyle name="Remarque 3 3 2 3 2 5 4 2 2" xfId="54899" xr:uid="{00000000-0005-0000-0000-0000139A0000}"/>
    <cellStyle name="Remarque 3 3 2 3 2 5 4 3" xfId="18186" xr:uid="{00000000-0005-0000-0000-0000149A0000}"/>
    <cellStyle name="Remarque 3 3 2 3 2 5 4 4" xfId="42146" xr:uid="{00000000-0005-0000-0000-0000159A0000}"/>
    <cellStyle name="Remarque 3 3 2 3 2 5 5" xfId="8313" xr:uid="{00000000-0005-0000-0000-0000169A0000}"/>
    <cellStyle name="Remarque 3 3 2 3 2 5 5 2" xfId="32327" xr:uid="{00000000-0005-0000-0000-0000179A0000}"/>
    <cellStyle name="Remarque 3 3 2 3 2 5 5 2 2" xfId="56287" xr:uid="{00000000-0005-0000-0000-0000189A0000}"/>
    <cellStyle name="Remarque 3 3 2 3 2 5 5 3" xfId="19574" xr:uid="{00000000-0005-0000-0000-0000199A0000}"/>
    <cellStyle name="Remarque 3 3 2 3 2 5 5 4" xfId="43534" xr:uid="{00000000-0005-0000-0000-00001A9A0000}"/>
    <cellStyle name="Remarque 3 3 2 3 2 5 6" xfId="9698" xr:uid="{00000000-0005-0000-0000-00001B9A0000}"/>
    <cellStyle name="Remarque 3 3 2 3 2 5 6 2" xfId="33712" xr:uid="{00000000-0005-0000-0000-00001C9A0000}"/>
    <cellStyle name="Remarque 3 3 2 3 2 5 6 2 2" xfId="57672" xr:uid="{00000000-0005-0000-0000-00001D9A0000}"/>
    <cellStyle name="Remarque 3 3 2 3 2 5 6 3" xfId="20959" xr:uid="{00000000-0005-0000-0000-00001E9A0000}"/>
    <cellStyle name="Remarque 3 3 2 3 2 5 6 4" xfId="44919" xr:uid="{00000000-0005-0000-0000-00001F9A0000}"/>
    <cellStyle name="Remarque 3 3 2 3 2 5 7" xfId="11155" xr:uid="{00000000-0005-0000-0000-0000209A0000}"/>
    <cellStyle name="Remarque 3 3 2 3 2 5 7 2" xfId="35165" xr:uid="{00000000-0005-0000-0000-0000219A0000}"/>
    <cellStyle name="Remarque 3 3 2 3 2 5 7 2 2" xfId="59125" xr:uid="{00000000-0005-0000-0000-0000229A0000}"/>
    <cellStyle name="Remarque 3 3 2 3 2 5 7 3" xfId="22422" xr:uid="{00000000-0005-0000-0000-0000239A0000}"/>
    <cellStyle name="Remarque 3 3 2 3 2 5 7 4" xfId="46382" xr:uid="{00000000-0005-0000-0000-0000249A0000}"/>
    <cellStyle name="Remarque 3 3 2 3 2 5 8" xfId="11871" xr:uid="{00000000-0005-0000-0000-0000259A0000}"/>
    <cellStyle name="Remarque 3 3 2 3 2 5 8 2" xfId="23147" xr:uid="{00000000-0005-0000-0000-0000269A0000}"/>
    <cellStyle name="Remarque 3 3 2 3 2 5 8 3" xfId="47107" xr:uid="{00000000-0005-0000-0000-0000279A0000}"/>
    <cellStyle name="Remarque 3 3 2 3 2 5 9" xfId="2627" xr:uid="{00000000-0005-0000-0000-0000289A0000}"/>
    <cellStyle name="Remarque 3 3 2 3 2 5 9 2" xfId="26641" xr:uid="{00000000-0005-0000-0000-0000299A0000}"/>
    <cellStyle name="Remarque 3 3 2 3 2 5 9 3" xfId="50601" xr:uid="{00000000-0005-0000-0000-00002A9A0000}"/>
    <cellStyle name="Remarque 3 3 2 3 2 6" xfId="1358" xr:uid="{00000000-0005-0000-0000-00002B9A0000}"/>
    <cellStyle name="Remarque 3 3 2 3 2 6 10" xfId="25390" xr:uid="{00000000-0005-0000-0000-00002C9A0000}"/>
    <cellStyle name="Remarque 3 3 2 3 2 6 10 2" xfId="49350" xr:uid="{00000000-0005-0000-0000-00002D9A0000}"/>
    <cellStyle name="Remarque 3 3 2 3 2 6 11" xfId="35896" xr:uid="{00000000-0005-0000-0000-00002E9A0000}"/>
    <cellStyle name="Remarque 3 3 2 3 2 6 11 2" xfId="59856" xr:uid="{00000000-0005-0000-0000-00002F9A0000}"/>
    <cellStyle name="Remarque 3 3 2 3 2 6 12" xfId="14055" xr:uid="{00000000-0005-0000-0000-0000309A0000}"/>
    <cellStyle name="Remarque 3 3 2 3 2 6 13" xfId="38015" xr:uid="{00000000-0005-0000-0000-0000319A0000}"/>
    <cellStyle name="Remarque 3 3 2 3 2 6 2" xfId="4264" xr:uid="{00000000-0005-0000-0000-0000329A0000}"/>
    <cellStyle name="Remarque 3 3 2 3 2 6 2 2" xfId="28278" xr:uid="{00000000-0005-0000-0000-0000339A0000}"/>
    <cellStyle name="Remarque 3 3 2 3 2 6 2 2 2" xfId="52238" xr:uid="{00000000-0005-0000-0000-0000349A0000}"/>
    <cellStyle name="Remarque 3 3 2 3 2 6 2 3" xfId="15525" xr:uid="{00000000-0005-0000-0000-0000359A0000}"/>
    <cellStyle name="Remarque 3 3 2 3 2 6 2 4" xfId="39485" xr:uid="{00000000-0005-0000-0000-0000369A0000}"/>
    <cellStyle name="Remarque 3 3 2 3 2 6 3" xfId="5698" xr:uid="{00000000-0005-0000-0000-0000379A0000}"/>
    <cellStyle name="Remarque 3 3 2 3 2 6 3 2" xfId="29712" xr:uid="{00000000-0005-0000-0000-0000389A0000}"/>
    <cellStyle name="Remarque 3 3 2 3 2 6 3 2 2" xfId="53672" xr:uid="{00000000-0005-0000-0000-0000399A0000}"/>
    <cellStyle name="Remarque 3 3 2 3 2 6 3 3" xfId="16959" xr:uid="{00000000-0005-0000-0000-00003A9A0000}"/>
    <cellStyle name="Remarque 3 3 2 3 2 6 3 4" xfId="40919" xr:uid="{00000000-0005-0000-0000-00003B9A0000}"/>
    <cellStyle name="Remarque 3 3 2 3 2 6 4" xfId="7092" xr:uid="{00000000-0005-0000-0000-00003C9A0000}"/>
    <cellStyle name="Remarque 3 3 2 3 2 6 4 2" xfId="31106" xr:uid="{00000000-0005-0000-0000-00003D9A0000}"/>
    <cellStyle name="Remarque 3 3 2 3 2 6 4 2 2" xfId="55066" xr:uid="{00000000-0005-0000-0000-00003E9A0000}"/>
    <cellStyle name="Remarque 3 3 2 3 2 6 4 3" xfId="18353" xr:uid="{00000000-0005-0000-0000-00003F9A0000}"/>
    <cellStyle name="Remarque 3 3 2 3 2 6 4 4" xfId="42313" xr:uid="{00000000-0005-0000-0000-0000409A0000}"/>
    <cellStyle name="Remarque 3 3 2 3 2 6 5" xfId="8480" xr:uid="{00000000-0005-0000-0000-0000419A0000}"/>
    <cellStyle name="Remarque 3 3 2 3 2 6 5 2" xfId="32494" xr:uid="{00000000-0005-0000-0000-0000429A0000}"/>
    <cellStyle name="Remarque 3 3 2 3 2 6 5 2 2" xfId="56454" xr:uid="{00000000-0005-0000-0000-0000439A0000}"/>
    <cellStyle name="Remarque 3 3 2 3 2 6 5 3" xfId="19741" xr:uid="{00000000-0005-0000-0000-0000449A0000}"/>
    <cellStyle name="Remarque 3 3 2 3 2 6 5 4" xfId="43701" xr:uid="{00000000-0005-0000-0000-0000459A0000}"/>
    <cellStyle name="Remarque 3 3 2 3 2 6 6" xfId="9865" xr:uid="{00000000-0005-0000-0000-0000469A0000}"/>
    <cellStyle name="Remarque 3 3 2 3 2 6 6 2" xfId="33879" xr:uid="{00000000-0005-0000-0000-0000479A0000}"/>
    <cellStyle name="Remarque 3 3 2 3 2 6 6 2 2" xfId="57839" xr:uid="{00000000-0005-0000-0000-0000489A0000}"/>
    <cellStyle name="Remarque 3 3 2 3 2 6 6 3" xfId="21126" xr:uid="{00000000-0005-0000-0000-0000499A0000}"/>
    <cellStyle name="Remarque 3 3 2 3 2 6 6 4" xfId="45086" xr:uid="{00000000-0005-0000-0000-00004A9A0000}"/>
    <cellStyle name="Remarque 3 3 2 3 2 6 7" xfId="11322" xr:uid="{00000000-0005-0000-0000-00004B9A0000}"/>
    <cellStyle name="Remarque 3 3 2 3 2 6 7 2" xfId="35332" xr:uid="{00000000-0005-0000-0000-00004C9A0000}"/>
    <cellStyle name="Remarque 3 3 2 3 2 6 7 2 2" xfId="59292" xr:uid="{00000000-0005-0000-0000-00004D9A0000}"/>
    <cellStyle name="Remarque 3 3 2 3 2 6 7 3" xfId="22589" xr:uid="{00000000-0005-0000-0000-00004E9A0000}"/>
    <cellStyle name="Remarque 3 3 2 3 2 6 7 4" xfId="46549" xr:uid="{00000000-0005-0000-0000-00004F9A0000}"/>
    <cellStyle name="Remarque 3 3 2 3 2 6 8" xfId="12717" xr:uid="{00000000-0005-0000-0000-0000509A0000}"/>
    <cellStyle name="Remarque 3 3 2 3 2 6 8 2" xfId="24023" xr:uid="{00000000-0005-0000-0000-0000519A0000}"/>
    <cellStyle name="Remarque 3 3 2 3 2 6 8 3" xfId="47983" xr:uid="{00000000-0005-0000-0000-0000529A0000}"/>
    <cellStyle name="Remarque 3 3 2 3 2 6 9" xfId="2794" xr:uid="{00000000-0005-0000-0000-0000539A0000}"/>
    <cellStyle name="Remarque 3 3 2 3 2 6 9 2" xfId="26808" xr:uid="{00000000-0005-0000-0000-0000549A0000}"/>
    <cellStyle name="Remarque 3 3 2 3 2 6 9 3" xfId="50768" xr:uid="{00000000-0005-0000-0000-0000559A0000}"/>
    <cellStyle name="Remarque 3 3 2 3 2 7" xfId="1527" xr:uid="{00000000-0005-0000-0000-0000569A0000}"/>
    <cellStyle name="Remarque 3 3 2 3 2 7 10" xfId="25559" xr:uid="{00000000-0005-0000-0000-0000579A0000}"/>
    <cellStyle name="Remarque 3 3 2 3 2 7 10 2" xfId="49519" xr:uid="{00000000-0005-0000-0000-0000589A0000}"/>
    <cellStyle name="Remarque 3 3 2 3 2 7 11" xfId="36634" xr:uid="{00000000-0005-0000-0000-0000599A0000}"/>
    <cellStyle name="Remarque 3 3 2 3 2 7 11 2" xfId="60594" xr:uid="{00000000-0005-0000-0000-00005A9A0000}"/>
    <cellStyle name="Remarque 3 3 2 3 2 7 12" xfId="14224" xr:uid="{00000000-0005-0000-0000-00005B9A0000}"/>
    <cellStyle name="Remarque 3 3 2 3 2 7 13" xfId="38184" xr:uid="{00000000-0005-0000-0000-00005C9A0000}"/>
    <cellStyle name="Remarque 3 3 2 3 2 7 2" xfId="4433" xr:uid="{00000000-0005-0000-0000-00005D9A0000}"/>
    <cellStyle name="Remarque 3 3 2 3 2 7 2 2" xfId="28447" xr:uid="{00000000-0005-0000-0000-00005E9A0000}"/>
    <cellStyle name="Remarque 3 3 2 3 2 7 2 2 2" xfId="52407" xr:uid="{00000000-0005-0000-0000-00005F9A0000}"/>
    <cellStyle name="Remarque 3 3 2 3 2 7 2 3" xfId="15694" xr:uid="{00000000-0005-0000-0000-0000609A0000}"/>
    <cellStyle name="Remarque 3 3 2 3 2 7 2 4" xfId="39654" xr:uid="{00000000-0005-0000-0000-0000619A0000}"/>
    <cellStyle name="Remarque 3 3 2 3 2 7 3" xfId="5867" xr:uid="{00000000-0005-0000-0000-0000629A0000}"/>
    <cellStyle name="Remarque 3 3 2 3 2 7 3 2" xfId="29881" xr:uid="{00000000-0005-0000-0000-0000639A0000}"/>
    <cellStyle name="Remarque 3 3 2 3 2 7 3 2 2" xfId="53841" xr:uid="{00000000-0005-0000-0000-0000649A0000}"/>
    <cellStyle name="Remarque 3 3 2 3 2 7 3 3" xfId="17128" xr:uid="{00000000-0005-0000-0000-0000659A0000}"/>
    <cellStyle name="Remarque 3 3 2 3 2 7 3 4" xfId="41088" xr:uid="{00000000-0005-0000-0000-0000669A0000}"/>
    <cellStyle name="Remarque 3 3 2 3 2 7 4" xfId="7261" xr:uid="{00000000-0005-0000-0000-0000679A0000}"/>
    <cellStyle name="Remarque 3 3 2 3 2 7 4 2" xfId="31275" xr:uid="{00000000-0005-0000-0000-0000689A0000}"/>
    <cellStyle name="Remarque 3 3 2 3 2 7 4 2 2" xfId="55235" xr:uid="{00000000-0005-0000-0000-0000699A0000}"/>
    <cellStyle name="Remarque 3 3 2 3 2 7 4 3" xfId="18522" xr:uid="{00000000-0005-0000-0000-00006A9A0000}"/>
    <cellStyle name="Remarque 3 3 2 3 2 7 4 4" xfId="42482" xr:uid="{00000000-0005-0000-0000-00006B9A0000}"/>
    <cellStyle name="Remarque 3 3 2 3 2 7 5" xfId="8649" xr:uid="{00000000-0005-0000-0000-00006C9A0000}"/>
    <cellStyle name="Remarque 3 3 2 3 2 7 5 2" xfId="32663" xr:uid="{00000000-0005-0000-0000-00006D9A0000}"/>
    <cellStyle name="Remarque 3 3 2 3 2 7 5 2 2" xfId="56623" xr:uid="{00000000-0005-0000-0000-00006E9A0000}"/>
    <cellStyle name="Remarque 3 3 2 3 2 7 5 3" xfId="19910" xr:uid="{00000000-0005-0000-0000-00006F9A0000}"/>
    <cellStyle name="Remarque 3 3 2 3 2 7 5 4" xfId="43870" xr:uid="{00000000-0005-0000-0000-0000709A0000}"/>
    <cellStyle name="Remarque 3 3 2 3 2 7 6" xfId="10034" xr:uid="{00000000-0005-0000-0000-0000719A0000}"/>
    <cellStyle name="Remarque 3 3 2 3 2 7 6 2" xfId="34048" xr:uid="{00000000-0005-0000-0000-0000729A0000}"/>
    <cellStyle name="Remarque 3 3 2 3 2 7 6 2 2" xfId="58008" xr:uid="{00000000-0005-0000-0000-0000739A0000}"/>
    <cellStyle name="Remarque 3 3 2 3 2 7 6 3" xfId="21295" xr:uid="{00000000-0005-0000-0000-0000749A0000}"/>
    <cellStyle name="Remarque 3 3 2 3 2 7 6 4" xfId="45255" xr:uid="{00000000-0005-0000-0000-0000759A0000}"/>
    <cellStyle name="Remarque 3 3 2 3 2 7 7" xfId="11491" xr:uid="{00000000-0005-0000-0000-0000769A0000}"/>
    <cellStyle name="Remarque 3 3 2 3 2 7 7 2" xfId="35501" xr:uid="{00000000-0005-0000-0000-0000779A0000}"/>
    <cellStyle name="Remarque 3 3 2 3 2 7 7 2 2" xfId="59461" xr:uid="{00000000-0005-0000-0000-0000789A0000}"/>
    <cellStyle name="Remarque 3 3 2 3 2 7 7 3" xfId="22758" xr:uid="{00000000-0005-0000-0000-0000799A0000}"/>
    <cellStyle name="Remarque 3 3 2 3 2 7 7 4" xfId="46718" xr:uid="{00000000-0005-0000-0000-00007A9A0000}"/>
    <cellStyle name="Remarque 3 3 2 3 2 7 8" xfId="11657" xr:uid="{00000000-0005-0000-0000-00007B9A0000}"/>
    <cellStyle name="Remarque 3 3 2 3 2 7 8 2" xfId="22925" xr:uid="{00000000-0005-0000-0000-00007C9A0000}"/>
    <cellStyle name="Remarque 3 3 2 3 2 7 8 3" xfId="46885" xr:uid="{00000000-0005-0000-0000-00007D9A0000}"/>
    <cellStyle name="Remarque 3 3 2 3 2 7 9" xfId="2963" xr:uid="{00000000-0005-0000-0000-00007E9A0000}"/>
    <cellStyle name="Remarque 3 3 2 3 2 7 9 2" xfId="26977" xr:uid="{00000000-0005-0000-0000-00007F9A0000}"/>
    <cellStyle name="Remarque 3 3 2 3 2 7 9 3" xfId="50937" xr:uid="{00000000-0005-0000-0000-0000809A0000}"/>
    <cellStyle name="Remarque 3 3 2 3 2 8" xfId="3382" xr:uid="{00000000-0005-0000-0000-0000819A0000}"/>
    <cellStyle name="Remarque 3 3 2 3 2 8 2" xfId="27396" xr:uid="{00000000-0005-0000-0000-0000829A0000}"/>
    <cellStyle name="Remarque 3 3 2 3 2 8 2 2" xfId="51356" xr:uid="{00000000-0005-0000-0000-0000839A0000}"/>
    <cellStyle name="Remarque 3 3 2 3 2 8 3" xfId="14643" xr:uid="{00000000-0005-0000-0000-0000849A0000}"/>
    <cellStyle name="Remarque 3 3 2 3 2 8 4" xfId="38603" xr:uid="{00000000-0005-0000-0000-0000859A0000}"/>
    <cellStyle name="Remarque 3 3 2 3 2 9" xfId="4816" xr:uid="{00000000-0005-0000-0000-0000869A0000}"/>
    <cellStyle name="Remarque 3 3 2 3 2 9 2" xfId="28830" xr:uid="{00000000-0005-0000-0000-0000879A0000}"/>
    <cellStyle name="Remarque 3 3 2 3 2 9 2 2" xfId="52790" xr:uid="{00000000-0005-0000-0000-0000889A0000}"/>
    <cellStyle name="Remarque 3 3 2 3 2 9 3" xfId="16077" xr:uid="{00000000-0005-0000-0000-0000899A0000}"/>
    <cellStyle name="Remarque 3 3 2 3 2 9 4" xfId="40037" xr:uid="{00000000-0005-0000-0000-00008A9A0000}"/>
    <cellStyle name="Remarque 3 3 2 3 3" xfId="285" xr:uid="{00000000-0005-0000-0000-00008B9A0000}"/>
    <cellStyle name="Remarque 3 3 2 3 3 10" xfId="24317" xr:uid="{00000000-0005-0000-0000-00008C9A0000}"/>
    <cellStyle name="Remarque 3 3 2 3 3 10 2" xfId="48277" xr:uid="{00000000-0005-0000-0000-00008D9A0000}"/>
    <cellStyle name="Remarque 3 3 2 3 3 11" xfId="35625" xr:uid="{00000000-0005-0000-0000-00008E9A0000}"/>
    <cellStyle name="Remarque 3 3 2 3 3 11 2" xfId="59585" xr:uid="{00000000-0005-0000-0000-00008F9A0000}"/>
    <cellStyle name="Remarque 3 3 2 3 3 12" xfId="12982" xr:uid="{00000000-0005-0000-0000-0000909A0000}"/>
    <cellStyle name="Remarque 3 3 2 3 3 13" xfId="36942" xr:uid="{00000000-0005-0000-0000-0000919A0000}"/>
    <cellStyle name="Remarque 3 3 2 3 3 2" xfId="3191" xr:uid="{00000000-0005-0000-0000-0000929A0000}"/>
    <cellStyle name="Remarque 3 3 2 3 3 2 2" xfId="27205" xr:uid="{00000000-0005-0000-0000-0000939A0000}"/>
    <cellStyle name="Remarque 3 3 2 3 3 2 2 2" xfId="51165" xr:uid="{00000000-0005-0000-0000-0000949A0000}"/>
    <cellStyle name="Remarque 3 3 2 3 3 2 3" xfId="14452" xr:uid="{00000000-0005-0000-0000-0000959A0000}"/>
    <cellStyle name="Remarque 3 3 2 3 3 2 4" xfId="38412" xr:uid="{00000000-0005-0000-0000-0000969A0000}"/>
    <cellStyle name="Remarque 3 3 2 3 3 3" xfId="4625" xr:uid="{00000000-0005-0000-0000-0000979A0000}"/>
    <cellStyle name="Remarque 3 3 2 3 3 3 2" xfId="28639" xr:uid="{00000000-0005-0000-0000-0000989A0000}"/>
    <cellStyle name="Remarque 3 3 2 3 3 3 2 2" xfId="52599" xr:uid="{00000000-0005-0000-0000-0000999A0000}"/>
    <cellStyle name="Remarque 3 3 2 3 3 3 3" xfId="15886" xr:uid="{00000000-0005-0000-0000-00009A9A0000}"/>
    <cellStyle name="Remarque 3 3 2 3 3 3 4" xfId="39846" xr:uid="{00000000-0005-0000-0000-00009B9A0000}"/>
    <cellStyle name="Remarque 3 3 2 3 3 4" xfId="6019" xr:uid="{00000000-0005-0000-0000-00009C9A0000}"/>
    <cellStyle name="Remarque 3 3 2 3 3 4 2" xfId="30033" xr:uid="{00000000-0005-0000-0000-00009D9A0000}"/>
    <cellStyle name="Remarque 3 3 2 3 3 4 2 2" xfId="53993" xr:uid="{00000000-0005-0000-0000-00009E9A0000}"/>
    <cellStyle name="Remarque 3 3 2 3 3 4 3" xfId="17280" xr:uid="{00000000-0005-0000-0000-00009F9A0000}"/>
    <cellStyle name="Remarque 3 3 2 3 3 4 4" xfId="41240" xr:uid="{00000000-0005-0000-0000-0000A09A0000}"/>
    <cellStyle name="Remarque 3 3 2 3 3 5" xfId="7407" xr:uid="{00000000-0005-0000-0000-0000A19A0000}"/>
    <cellStyle name="Remarque 3 3 2 3 3 5 2" xfId="31421" xr:uid="{00000000-0005-0000-0000-0000A29A0000}"/>
    <cellStyle name="Remarque 3 3 2 3 3 5 2 2" xfId="55381" xr:uid="{00000000-0005-0000-0000-0000A39A0000}"/>
    <cellStyle name="Remarque 3 3 2 3 3 5 3" xfId="18668" xr:uid="{00000000-0005-0000-0000-0000A49A0000}"/>
    <cellStyle name="Remarque 3 3 2 3 3 5 4" xfId="42628" xr:uid="{00000000-0005-0000-0000-0000A59A0000}"/>
    <cellStyle name="Remarque 3 3 2 3 3 6" xfId="8792" xr:uid="{00000000-0005-0000-0000-0000A69A0000}"/>
    <cellStyle name="Remarque 3 3 2 3 3 6 2" xfId="32806" xr:uid="{00000000-0005-0000-0000-0000A79A0000}"/>
    <cellStyle name="Remarque 3 3 2 3 3 6 2 2" xfId="56766" xr:uid="{00000000-0005-0000-0000-0000A89A0000}"/>
    <cellStyle name="Remarque 3 3 2 3 3 6 3" xfId="20053" xr:uid="{00000000-0005-0000-0000-0000A99A0000}"/>
    <cellStyle name="Remarque 3 3 2 3 3 6 4" xfId="44013" xr:uid="{00000000-0005-0000-0000-0000AA9A0000}"/>
    <cellStyle name="Remarque 3 3 2 3 3 7" xfId="10249" xr:uid="{00000000-0005-0000-0000-0000AB9A0000}"/>
    <cellStyle name="Remarque 3 3 2 3 3 7 2" xfId="34259" xr:uid="{00000000-0005-0000-0000-0000AC9A0000}"/>
    <cellStyle name="Remarque 3 3 2 3 3 7 2 2" xfId="58219" xr:uid="{00000000-0005-0000-0000-0000AD9A0000}"/>
    <cellStyle name="Remarque 3 3 2 3 3 7 3" xfId="21516" xr:uid="{00000000-0005-0000-0000-0000AE9A0000}"/>
    <cellStyle name="Remarque 3 3 2 3 3 7 4" xfId="45476" xr:uid="{00000000-0005-0000-0000-0000AF9A0000}"/>
    <cellStyle name="Remarque 3 3 2 3 3 8" xfId="12323" xr:uid="{00000000-0005-0000-0000-0000B09A0000}"/>
    <cellStyle name="Remarque 3 3 2 3 3 8 2" xfId="23611" xr:uid="{00000000-0005-0000-0000-0000B19A0000}"/>
    <cellStyle name="Remarque 3 3 2 3 3 8 3" xfId="47571" xr:uid="{00000000-0005-0000-0000-0000B29A0000}"/>
    <cellStyle name="Remarque 3 3 2 3 3 9" xfId="1721" xr:uid="{00000000-0005-0000-0000-0000B39A0000}"/>
    <cellStyle name="Remarque 3 3 2 3 3 9 2" xfId="25735" xr:uid="{00000000-0005-0000-0000-0000B49A0000}"/>
    <cellStyle name="Remarque 3 3 2 3 3 9 3" xfId="49695" xr:uid="{00000000-0005-0000-0000-0000B59A0000}"/>
    <cellStyle name="Remarque 3 3 2 3 4" xfId="669" xr:uid="{00000000-0005-0000-0000-0000B69A0000}"/>
    <cellStyle name="Remarque 3 3 2 3 4 10" xfId="24701" xr:uid="{00000000-0005-0000-0000-0000B79A0000}"/>
    <cellStyle name="Remarque 3 3 2 3 4 10 2" xfId="48661" xr:uid="{00000000-0005-0000-0000-0000B89A0000}"/>
    <cellStyle name="Remarque 3 3 2 3 4 11" xfId="36611" xr:uid="{00000000-0005-0000-0000-0000B99A0000}"/>
    <cellStyle name="Remarque 3 3 2 3 4 11 2" xfId="60571" xr:uid="{00000000-0005-0000-0000-0000BA9A0000}"/>
    <cellStyle name="Remarque 3 3 2 3 4 12" xfId="13366" xr:uid="{00000000-0005-0000-0000-0000BB9A0000}"/>
    <cellStyle name="Remarque 3 3 2 3 4 13" xfId="37326" xr:uid="{00000000-0005-0000-0000-0000BC9A0000}"/>
    <cellStyle name="Remarque 3 3 2 3 4 2" xfId="3575" xr:uid="{00000000-0005-0000-0000-0000BD9A0000}"/>
    <cellStyle name="Remarque 3 3 2 3 4 2 2" xfId="27589" xr:uid="{00000000-0005-0000-0000-0000BE9A0000}"/>
    <cellStyle name="Remarque 3 3 2 3 4 2 2 2" xfId="51549" xr:uid="{00000000-0005-0000-0000-0000BF9A0000}"/>
    <cellStyle name="Remarque 3 3 2 3 4 2 3" xfId="14836" xr:uid="{00000000-0005-0000-0000-0000C09A0000}"/>
    <cellStyle name="Remarque 3 3 2 3 4 2 4" xfId="38796" xr:uid="{00000000-0005-0000-0000-0000C19A0000}"/>
    <cellStyle name="Remarque 3 3 2 3 4 3" xfId="5009" xr:uid="{00000000-0005-0000-0000-0000C29A0000}"/>
    <cellStyle name="Remarque 3 3 2 3 4 3 2" xfId="29023" xr:uid="{00000000-0005-0000-0000-0000C39A0000}"/>
    <cellStyle name="Remarque 3 3 2 3 4 3 2 2" xfId="52983" xr:uid="{00000000-0005-0000-0000-0000C49A0000}"/>
    <cellStyle name="Remarque 3 3 2 3 4 3 3" xfId="16270" xr:uid="{00000000-0005-0000-0000-0000C59A0000}"/>
    <cellStyle name="Remarque 3 3 2 3 4 3 4" xfId="40230" xr:uid="{00000000-0005-0000-0000-0000C69A0000}"/>
    <cellStyle name="Remarque 3 3 2 3 4 4" xfId="6403" xr:uid="{00000000-0005-0000-0000-0000C79A0000}"/>
    <cellStyle name="Remarque 3 3 2 3 4 4 2" xfId="30417" xr:uid="{00000000-0005-0000-0000-0000C89A0000}"/>
    <cellStyle name="Remarque 3 3 2 3 4 4 2 2" xfId="54377" xr:uid="{00000000-0005-0000-0000-0000C99A0000}"/>
    <cellStyle name="Remarque 3 3 2 3 4 4 3" xfId="17664" xr:uid="{00000000-0005-0000-0000-0000CA9A0000}"/>
    <cellStyle name="Remarque 3 3 2 3 4 4 4" xfId="41624" xr:uid="{00000000-0005-0000-0000-0000CB9A0000}"/>
    <cellStyle name="Remarque 3 3 2 3 4 5" xfId="7791" xr:uid="{00000000-0005-0000-0000-0000CC9A0000}"/>
    <cellStyle name="Remarque 3 3 2 3 4 5 2" xfId="31805" xr:uid="{00000000-0005-0000-0000-0000CD9A0000}"/>
    <cellStyle name="Remarque 3 3 2 3 4 5 2 2" xfId="55765" xr:uid="{00000000-0005-0000-0000-0000CE9A0000}"/>
    <cellStyle name="Remarque 3 3 2 3 4 5 3" xfId="19052" xr:uid="{00000000-0005-0000-0000-0000CF9A0000}"/>
    <cellStyle name="Remarque 3 3 2 3 4 5 4" xfId="43012" xr:uid="{00000000-0005-0000-0000-0000D09A0000}"/>
    <cellStyle name="Remarque 3 3 2 3 4 6" xfId="9176" xr:uid="{00000000-0005-0000-0000-0000D19A0000}"/>
    <cellStyle name="Remarque 3 3 2 3 4 6 2" xfId="33190" xr:uid="{00000000-0005-0000-0000-0000D29A0000}"/>
    <cellStyle name="Remarque 3 3 2 3 4 6 2 2" xfId="57150" xr:uid="{00000000-0005-0000-0000-0000D39A0000}"/>
    <cellStyle name="Remarque 3 3 2 3 4 6 3" xfId="20437" xr:uid="{00000000-0005-0000-0000-0000D49A0000}"/>
    <cellStyle name="Remarque 3 3 2 3 4 6 4" xfId="44397" xr:uid="{00000000-0005-0000-0000-0000D59A0000}"/>
    <cellStyle name="Remarque 3 3 2 3 4 7" xfId="10633" xr:uid="{00000000-0005-0000-0000-0000D69A0000}"/>
    <cellStyle name="Remarque 3 3 2 3 4 7 2" xfId="34643" xr:uid="{00000000-0005-0000-0000-0000D79A0000}"/>
    <cellStyle name="Remarque 3 3 2 3 4 7 2 2" xfId="58603" xr:uid="{00000000-0005-0000-0000-0000D89A0000}"/>
    <cellStyle name="Remarque 3 3 2 3 4 7 3" xfId="21900" xr:uid="{00000000-0005-0000-0000-0000D99A0000}"/>
    <cellStyle name="Remarque 3 3 2 3 4 7 4" xfId="45860" xr:uid="{00000000-0005-0000-0000-0000DA9A0000}"/>
    <cellStyle name="Remarque 3 3 2 3 4 8" xfId="12225" xr:uid="{00000000-0005-0000-0000-0000DB9A0000}"/>
    <cellStyle name="Remarque 3 3 2 3 4 8 2" xfId="23509" xr:uid="{00000000-0005-0000-0000-0000DC9A0000}"/>
    <cellStyle name="Remarque 3 3 2 3 4 8 3" xfId="47469" xr:uid="{00000000-0005-0000-0000-0000DD9A0000}"/>
    <cellStyle name="Remarque 3 3 2 3 4 9" xfId="2105" xr:uid="{00000000-0005-0000-0000-0000DE9A0000}"/>
    <cellStyle name="Remarque 3 3 2 3 4 9 2" xfId="26119" xr:uid="{00000000-0005-0000-0000-0000DF9A0000}"/>
    <cellStyle name="Remarque 3 3 2 3 4 9 3" xfId="50079" xr:uid="{00000000-0005-0000-0000-0000E09A0000}"/>
    <cellStyle name="Remarque 3 3 2 3 5" xfId="863" xr:uid="{00000000-0005-0000-0000-0000E19A0000}"/>
    <cellStyle name="Remarque 3 3 2 3 5 10" xfId="24895" xr:uid="{00000000-0005-0000-0000-0000E29A0000}"/>
    <cellStyle name="Remarque 3 3 2 3 5 10 2" xfId="48855" xr:uid="{00000000-0005-0000-0000-0000E39A0000}"/>
    <cellStyle name="Remarque 3 3 2 3 5 11" xfId="35975" xr:uid="{00000000-0005-0000-0000-0000E49A0000}"/>
    <cellStyle name="Remarque 3 3 2 3 5 11 2" xfId="59935" xr:uid="{00000000-0005-0000-0000-0000E59A0000}"/>
    <cellStyle name="Remarque 3 3 2 3 5 12" xfId="13560" xr:uid="{00000000-0005-0000-0000-0000E69A0000}"/>
    <cellStyle name="Remarque 3 3 2 3 5 13" xfId="37520" xr:uid="{00000000-0005-0000-0000-0000E79A0000}"/>
    <cellStyle name="Remarque 3 3 2 3 5 2" xfId="3769" xr:uid="{00000000-0005-0000-0000-0000E89A0000}"/>
    <cellStyle name="Remarque 3 3 2 3 5 2 2" xfId="27783" xr:uid="{00000000-0005-0000-0000-0000E99A0000}"/>
    <cellStyle name="Remarque 3 3 2 3 5 2 2 2" xfId="51743" xr:uid="{00000000-0005-0000-0000-0000EA9A0000}"/>
    <cellStyle name="Remarque 3 3 2 3 5 2 3" xfId="15030" xr:uid="{00000000-0005-0000-0000-0000EB9A0000}"/>
    <cellStyle name="Remarque 3 3 2 3 5 2 4" xfId="38990" xr:uid="{00000000-0005-0000-0000-0000EC9A0000}"/>
    <cellStyle name="Remarque 3 3 2 3 5 3" xfId="5203" xr:uid="{00000000-0005-0000-0000-0000ED9A0000}"/>
    <cellStyle name="Remarque 3 3 2 3 5 3 2" xfId="29217" xr:uid="{00000000-0005-0000-0000-0000EE9A0000}"/>
    <cellStyle name="Remarque 3 3 2 3 5 3 2 2" xfId="53177" xr:uid="{00000000-0005-0000-0000-0000EF9A0000}"/>
    <cellStyle name="Remarque 3 3 2 3 5 3 3" xfId="16464" xr:uid="{00000000-0005-0000-0000-0000F09A0000}"/>
    <cellStyle name="Remarque 3 3 2 3 5 3 4" xfId="40424" xr:uid="{00000000-0005-0000-0000-0000F19A0000}"/>
    <cellStyle name="Remarque 3 3 2 3 5 4" xfId="6597" xr:uid="{00000000-0005-0000-0000-0000F29A0000}"/>
    <cellStyle name="Remarque 3 3 2 3 5 4 2" xfId="30611" xr:uid="{00000000-0005-0000-0000-0000F39A0000}"/>
    <cellStyle name="Remarque 3 3 2 3 5 4 2 2" xfId="54571" xr:uid="{00000000-0005-0000-0000-0000F49A0000}"/>
    <cellStyle name="Remarque 3 3 2 3 5 4 3" xfId="17858" xr:uid="{00000000-0005-0000-0000-0000F59A0000}"/>
    <cellStyle name="Remarque 3 3 2 3 5 4 4" xfId="41818" xr:uid="{00000000-0005-0000-0000-0000F69A0000}"/>
    <cellStyle name="Remarque 3 3 2 3 5 5" xfId="7985" xr:uid="{00000000-0005-0000-0000-0000F79A0000}"/>
    <cellStyle name="Remarque 3 3 2 3 5 5 2" xfId="31999" xr:uid="{00000000-0005-0000-0000-0000F89A0000}"/>
    <cellStyle name="Remarque 3 3 2 3 5 5 2 2" xfId="55959" xr:uid="{00000000-0005-0000-0000-0000F99A0000}"/>
    <cellStyle name="Remarque 3 3 2 3 5 5 3" xfId="19246" xr:uid="{00000000-0005-0000-0000-0000FA9A0000}"/>
    <cellStyle name="Remarque 3 3 2 3 5 5 4" xfId="43206" xr:uid="{00000000-0005-0000-0000-0000FB9A0000}"/>
    <cellStyle name="Remarque 3 3 2 3 5 6" xfId="9370" xr:uid="{00000000-0005-0000-0000-0000FC9A0000}"/>
    <cellStyle name="Remarque 3 3 2 3 5 6 2" xfId="33384" xr:uid="{00000000-0005-0000-0000-0000FD9A0000}"/>
    <cellStyle name="Remarque 3 3 2 3 5 6 2 2" xfId="57344" xr:uid="{00000000-0005-0000-0000-0000FE9A0000}"/>
    <cellStyle name="Remarque 3 3 2 3 5 6 3" xfId="20631" xr:uid="{00000000-0005-0000-0000-0000FF9A0000}"/>
    <cellStyle name="Remarque 3 3 2 3 5 6 4" xfId="44591" xr:uid="{00000000-0005-0000-0000-0000009B0000}"/>
    <cellStyle name="Remarque 3 3 2 3 5 7" xfId="10827" xr:uid="{00000000-0005-0000-0000-0000019B0000}"/>
    <cellStyle name="Remarque 3 3 2 3 5 7 2" xfId="34837" xr:uid="{00000000-0005-0000-0000-0000029B0000}"/>
    <cellStyle name="Remarque 3 3 2 3 5 7 2 2" xfId="58797" xr:uid="{00000000-0005-0000-0000-0000039B0000}"/>
    <cellStyle name="Remarque 3 3 2 3 5 7 3" xfId="22094" xr:uid="{00000000-0005-0000-0000-0000049B0000}"/>
    <cellStyle name="Remarque 3 3 2 3 5 7 4" xfId="46054" xr:uid="{00000000-0005-0000-0000-0000059B0000}"/>
    <cellStyle name="Remarque 3 3 2 3 5 8" xfId="12687" xr:uid="{00000000-0005-0000-0000-0000069B0000}"/>
    <cellStyle name="Remarque 3 3 2 3 5 8 2" xfId="23992" xr:uid="{00000000-0005-0000-0000-0000079B0000}"/>
    <cellStyle name="Remarque 3 3 2 3 5 8 3" xfId="47952" xr:uid="{00000000-0005-0000-0000-0000089B0000}"/>
    <cellStyle name="Remarque 3 3 2 3 5 9" xfId="2299" xr:uid="{00000000-0005-0000-0000-0000099B0000}"/>
    <cellStyle name="Remarque 3 3 2 3 5 9 2" xfId="26313" xr:uid="{00000000-0005-0000-0000-00000A9B0000}"/>
    <cellStyle name="Remarque 3 3 2 3 5 9 3" xfId="50273" xr:uid="{00000000-0005-0000-0000-00000B9B0000}"/>
    <cellStyle name="Remarque 3 3 2 3 6" xfId="1056" xr:uid="{00000000-0005-0000-0000-00000C9B0000}"/>
    <cellStyle name="Remarque 3 3 2 3 6 10" xfId="25088" xr:uid="{00000000-0005-0000-0000-00000D9B0000}"/>
    <cellStyle name="Remarque 3 3 2 3 6 10 2" xfId="49048" xr:uid="{00000000-0005-0000-0000-00000E9B0000}"/>
    <cellStyle name="Remarque 3 3 2 3 6 11" xfId="35815" xr:uid="{00000000-0005-0000-0000-00000F9B0000}"/>
    <cellStyle name="Remarque 3 3 2 3 6 11 2" xfId="59775" xr:uid="{00000000-0005-0000-0000-0000109B0000}"/>
    <cellStyle name="Remarque 3 3 2 3 6 12" xfId="13753" xr:uid="{00000000-0005-0000-0000-0000119B0000}"/>
    <cellStyle name="Remarque 3 3 2 3 6 13" xfId="37713" xr:uid="{00000000-0005-0000-0000-0000129B0000}"/>
    <cellStyle name="Remarque 3 3 2 3 6 2" xfId="3962" xr:uid="{00000000-0005-0000-0000-0000139B0000}"/>
    <cellStyle name="Remarque 3 3 2 3 6 2 2" xfId="27976" xr:uid="{00000000-0005-0000-0000-0000149B0000}"/>
    <cellStyle name="Remarque 3 3 2 3 6 2 2 2" xfId="51936" xr:uid="{00000000-0005-0000-0000-0000159B0000}"/>
    <cellStyle name="Remarque 3 3 2 3 6 2 3" xfId="15223" xr:uid="{00000000-0005-0000-0000-0000169B0000}"/>
    <cellStyle name="Remarque 3 3 2 3 6 2 4" xfId="39183" xr:uid="{00000000-0005-0000-0000-0000179B0000}"/>
    <cellStyle name="Remarque 3 3 2 3 6 3" xfId="5396" xr:uid="{00000000-0005-0000-0000-0000189B0000}"/>
    <cellStyle name="Remarque 3 3 2 3 6 3 2" xfId="29410" xr:uid="{00000000-0005-0000-0000-0000199B0000}"/>
    <cellStyle name="Remarque 3 3 2 3 6 3 2 2" xfId="53370" xr:uid="{00000000-0005-0000-0000-00001A9B0000}"/>
    <cellStyle name="Remarque 3 3 2 3 6 3 3" xfId="16657" xr:uid="{00000000-0005-0000-0000-00001B9B0000}"/>
    <cellStyle name="Remarque 3 3 2 3 6 3 4" xfId="40617" xr:uid="{00000000-0005-0000-0000-00001C9B0000}"/>
    <cellStyle name="Remarque 3 3 2 3 6 4" xfId="6790" xr:uid="{00000000-0005-0000-0000-00001D9B0000}"/>
    <cellStyle name="Remarque 3 3 2 3 6 4 2" xfId="30804" xr:uid="{00000000-0005-0000-0000-00001E9B0000}"/>
    <cellStyle name="Remarque 3 3 2 3 6 4 2 2" xfId="54764" xr:uid="{00000000-0005-0000-0000-00001F9B0000}"/>
    <cellStyle name="Remarque 3 3 2 3 6 4 3" xfId="18051" xr:uid="{00000000-0005-0000-0000-0000209B0000}"/>
    <cellStyle name="Remarque 3 3 2 3 6 4 4" xfId="42011" xr:uid="{00000000-0005-0000-0000-0000219B0000}"/>
    <cellStyle name="Remarque 3 3 2 3 6 5" xfId="8178" xr:uid="{00000000-0005-0000-0000-0000229B0000}"/>
    <cellStyle name="Remarque 3 3 2 3 6 5 2" xfId="32192" xr:uid="{00000000-0005-0000-0000-0000239B0000}"/>
    <cellStyle name="Remarque 3 3 2 3 6 5 2 2" xfId="56152" xr:uid="{00000000-0005-0000-0000-0000249B0000}"/>
    <cellStyle name="Remarque 3 3 2 3 6 5 3" xfId="19439" xr:uid="{00000000-0005-0000-0000-0000259B0000}"/>
    <cellStyle name="Remarque 3 3 2 3 6 5 4" xfId="43399" xr:uid="{00000000-0005-0000-0000-0000269B0000}"/>
    <cellStyle name="Remarque 3 3 2 3 6 6" xfId="9563" xr:uid="{00000000-0005-0000-0000-0000279B0000}"/>
    <cellStyle name="Remarque 3 3 2 3 6 6 2" xfId="33577" xr:uid="{00000000-0005-0000-0000-0000289B0000}"/>
    <cellStyle name="Remarque 3 3 2 3 6 6 2 2" xfId="57537" xr:uid="{00000000-0005-0000-0000-0000299B0000}"/>
    <cellStyle name="Remarque 3 3 2 3 6 6 3" xfId="20824" xr:uid="{00000000-0005-0000-0000-00002A9B0000}"/>
    <cellStyle name="Remarque 3 3 2 3 6 6 4" xfId="44784" xr:uid="{00000000-0005-0000-0000-00002B9B0000}"/>
    <cellStyle name="Remarque 3 3 2 3 6 7" xfId="11020" xr:uid="{00000000-0005-0000-0000-00002C9B0000}"/>
    <cellStyle name="Remarque 3 3 2 3 6 7 2" xfId="35030" xr:uid="{00000000-0005-0000-0000-00002D9B0000}"/>
    <cellStyle name="Remarque 3 3 2 3 6 7 2 2" xfId="58990" xr:uid="{00000000-0005-0000-0000-00002E9B0000}"/>
    <cellStyle name="Remarque 3 3 2 3 6 7 3" xfId="22287" xr:uid="{00000000-0005-0000-0000-00002F9B0000}"/>
    <cellStyle name="Remarque 3 3 2 3 6 7 4" xfId="46247" xr:uid="{00000000-0005-0000-0000-0000309B0000}"/>
    <cellStyle name="Remarque 3 3 2 3 6 8" xfId="12598" xr:uid="{00000000-0005-0000-0000-0000319B0000}"/>
    <cellStyle name="Remarque 3 3 2 3 6 8 2" xfId="23899" xr:uid="{00000000-0005-0000-0000-0000329B0000}"/>
    <cellStyle name="Remarque 3 3 2 3 6 8 3" xfId="47859" xr:uid="{00000000-0005-0000-0000-0000339B0000}"/>
    <cellStyle name="Remarque 3 3 2 3 6 9" xfId="2492" xr:uid="{00000000-0005-0000-0000-0000349B0000}"/>
    <cellStyle name="Remarque 3 3 2 3 6 9 2" xfId="26506" xr:uid="{00000000-0005-0000-0000-0000359B0000}"/>
    <cellStyle name="Remarque 3 3 2 3 6 9 3" xfId="50466" xr:uid="{00000000-0005-0000-0000-0000369B0000}"/>
    <cellStyle name="Remarque 3 3 2 3 7" xfId="1392" xr:uid="{00000000-0005-0000-0000-0000379B0000}"/>
    <cellStyle name="Remarque 3 3 2 3 7 10" xfId="25424" xr:uid="{00000000-0005-0000-0000-0000389B0000}"/>
    <cellStyle name="Remarque 3 3 2 3 7 10 2" xfId="49384" xr:uid="{00000000-0005-0000-0000-0000399B0000}"/>
    <cellStyle name="Remarque 3 3 2 3 7 11" xfId="35898" xr:uid="{00000000-0005-0000-0000-00003A9B0000}"/>
    <cellStyle name="Remarque 3 3 2 3 7 11 2" xfId="59858" xr:uid="{00000000-0005-0000-0000-00003B9B0000}"/>
    <cellStyle name="Remarque 3 3 2 3 7 12" xfId="14089" xr:uid="{00000000-0005-0000-0000-00003C9B0000}"/>
    <cellStyle name="Remarque 3 3 2 3 7 13" xfId="38049" xr:uid="{00000000-0005-0000-0000-00003D9B0000}"/>
    <cellStyle name="Remarque 3 3 2 3 7 2" xfId="4298" xr:uid="{00000000-0005-0000-0000-00003E9B0000}"/>
    <cellStyle name="Remarque 3 3 2 3 7 2 2" xfId="28312" xr:uid="{00000000-0005-0000-0000-00003F9B0000}"/>
    <cellStyle name="Remarque 3 3 2 3 7 2 2 2" xfId="52272" xr:uid="{00000000-0005-0000-0000-0000409B0000}"/>
    <cellStyle name="Remarque 3 3 2 3 7 2 3" xfId="15559" xr:uid="{00000000-0005-0000-0000-0000419B0000}"/>
    <cellStyle name="Remarque 3 3 2 3 7 2 4" xfId="39519" xr:uid="{00000000-0005-0000-0000-0000429B0000}"/>
    <cellStyle name="Remarque 3 3 2 3 7 3" xfId="5732" xr:uid="{00000000-0005-0000-0000-0000439B0000}"/>
    <cellStyle name="Remarque 3 3 2 3 7 3 2" xfId="29746" xr:uid="{00000000-0005-0000-0000-0000449B0000}"/>
    <cellStyle name="Remarque 3 3 2 3 7 3 2 2" xfId="53706" xr:uid="{00000000-0005-0000-0000-0000459B0000}"/>
    <cellStyle name="Remarque 3 3 2 3 7 3 3" xfId="16993" xr:uid="{00000000-0005-0000-0000-0000469B0000}"/>
    <cellStyle name="Remarque 3 3 2 3 7 3 4" xfId="40953" xr:uid="{00000000-0005-0000-0000-0000479B0000}"/>
    <cellStyle name="Remarque 3 3 2 3 7 4" xfId="7126" xr:uid="{00000000-0005-0000-0000-0000489B0000}"/>
    <cellStyle name="Remarque 3 3 2 3 7 4 2" xfId="31140" xr:uid="{00000000-0005-0000-0000-0000499B0000}"/>
    <cellStyle name="Remarque 3 3 2 3 7 4 2 2" xfId="55100" xr:uid="{00000000-0005-0000-0000-00004A9B0000}"/>
    <cellStyle name="Remarque 3 3 2 3 7 4 3" xfId="18387" xr:uid="{00000000-0005-0000-0000-00004B9B0000}"/>
    <cellStyle name="Remarque 3 3 2 3 7 4 4" xfId="42347" xr:uid="{00000000-0005-0000-0000-00004C9B0000}"/>
    <cellStyle name="Remarque 3 3 2 3 7 5" xfId="8514" xr:uid="{00000000-0005-0000-0000-00004D9B0000}"/>
    <cellStyle name="Remarque 3 3 2 3 7 5 2" xfId="32528" xr:uid="{00000000-0005-0000-0000-00004E9B0000}"/>
    <cellStyle name="Remarque 3 3 2 3 7 5 2 2" xfId="56488" xr:uid="{00000000-0005-0000-0000-00004F9B0000}"/>
    <cellStyle name="Remarque 3 3 2 3 7 5 3" xfId="19775" xr:uid="{00000000-0005-0000-0000-0000509B0000}"/>
    <cellStyle name="Remarque 3 3 2 3 7 5 4" xfId="43735" xr:uid="{00000000-0005-0000-0000-0000519B0000}"/>
    <cellStyle name="Remarque 3 3 2 3 7 6" xfId="9899" xr:uid="{00000000-0005-0000-0000-0000529B0000}"/>
    <cellStyle name="Remarque 3 3 2 3 7 6 2" xfId="33913" xr:uid="{00000000-0005-0000-0000-0000539B0000}"/>
    <cellStyle name="Remarque 3 3 2 3 7 6 2 2" xfId="57873" xr:uid="{00000000-0005-0000-0000-0000549B0000}"/>
    <cellStyle name="Remarque 3 3 2 3 7 6 3" xfId="21160" xr:uid="{00000000-0005-0000-0000-0000559B0000}"/>
    <cellStyle name="Remarque 3 3 2 3 7 6 4" xfId="45120" xr:uid="{00000000-0005-0000-0000-0000569B0000}"/>
    <cellStyle name="Remarque 3 3 2 3 7 7" xfId="11356" xr:uid="{00000000-0005-0000-0000-0000579B0000}"/>
    <cellStyle name="Remarque 3 3 2 3 7 7 2" xfId="35366" xr:uid="{00000000-0005-0000-0000-0000589B0000}"/>
    <cellStyle name="Remarque 3 3 2 3 7 7 2 2" xfId="59326" xr:uid="{00000000-0005-0000-0000-0000599B0000}"/>
    <cellStyle name="Remarque 3 3 2 3 7 7 3" xfId="22623" xr:uid="{00000000-0005-0000-0000-00005A9B0000}"/>
    <cellStyle name="Remarque 3 3 2 3 7 7 4" xfId="46583" xr:uid="{00000000-0005-0000-0000-00005B9B0000}"/>
    <cellStyle name="Remarque 3 3 2 3 7 8" xfId="12389" xr:uid="{00000000-0005-0000-0000-00005C9B0000}"/>
    <cellStyle name="Remarque 3 3 2 3 7 8 2" xfId="23678" xr:uid="{00000000-0005-0000-0000-00005D9B0000}"/>
    <cellStyle name="Remarque 3 3 2 3 7 8 3" xfId="47638" xr:uid="{00000000-0005-0000-0000-00005E9B0000}"/>
    <cellStyle name="Remarque 3 3 2 3 7 9" xfId="2828" xr:uid="{00000000-0005-0000-0000-00005F9B0000}"/>
    <cellStyle name="Remarque 3 3 2 3 7 9 2" xfId="26842" xr:uid="{00000000-0005-0000-0000-0000609B0000}"/>
    <cellStyle name="Remarque 3 3 2 3 7 9 3" xfId="50802" xr:uid="{00000000-0005-0000-0000-0000619B0000}"/>
    <cellStyle name="Remarque 3 3 2 3 8" xfId="3148" xr:uid="{00000000-0005-0000-0000-0000629B0000}"/>
    <cellStyle name="Remarque 3 3 2 3 8 2" xfId="27162" xr:uid="{00000000-0005-0000-0000-0000639B0000}"/>
    <cellStyle name="Remarque 3 3 2 3 8 2 2" xfId="51122" xr:uid="{00000000-0005-0000-0000-0000649B0000}"/>
    <cellStyle name="Remarque 3 3 2 3 8 3" xfId="14409" xr:uid="{00000000-0005-0000-0000-0000659B0000}"/>
    <cellStyle name="Remarque 3 3 2 3 8 4" xfId="38369" xr:uid="{00000000-0005-0000-0000-0000669B0000}"/>
    <cellStyle name="Remarque 3 3 2 3 9" xfId="1678" xr:uid="{00000000-0005-0000-0000-0000679B0000}"/>
    <cellStyle name="Remarque 3 3 2 3 9 2" xfId="25692" xr:uid="{00000000-0005-0000-0000-0000689B0000}"/>
    <cellStyle name="Remarque 3 3 2 3 9 3" xfId="49652" xr:uid="{00000000-0005-0000-0000-0000699B0000}"/>
    <cellStyle name="Remarque 3 3 2 4" xfId="138" xr:uid="{00000000-0005-0000-0000-00006A9B0000}"/>
    <cellStyle name="Remarque 3 3 2 4 10" xfId="6134" xr:uid="{00000000-0005-0000-0000-00006B9B0000}"/>
    <cellStyle name="Remarque 3 3 2 4 10 2" xfId="30148" xr:uid="{00000000-0005-0000-0000-00006C9B0000}"/>
    <cellStyle name="Remarque 3 3 2 4 10 2 2" xfId="54108" xr:uid="{00000000-0005-0000-0000-00006D9B0000}"/>
    <cellStyle name="Remarque 3 3 2 4 10 3" xfId="17395" xr:uid="{00000000-0005-0000-0000-00006E9B0000}"/>
    <cellStyle name="Remarque 3 3 2 4 10 4" xfId="41355" xr:uid="{00000000-0005-0000-0000-00006F9B0000}"/>
    <cellStyle name="Remarque 3 3 2 4 11" xfId="7522" xr:uid="{00000000-0005-0000-0000-0000709B0000}"/>
    <cellStyle name="Remarque 3 3 2 4 11 2" xfId="31536" xr:uid="{00000000-0005-0000-0000-0000719B0000}"/>
    <cellStyle name="Remarque 3 3 2 4 11 2 2" xfId="55496" xr:uid="{00000000-0005-0000-0000-0000729B0000}"/>
    <cellStyle name="Remarque 3 3 2 4 11 3" xfId="18783" xr:uid="{00000000-0005-0000-0000-0000739B0000}"/>
    <cellStyle name="Remarque 3 3 2 4 11 4" xfId="42743" xr:uid="{00000000-0005-0000-0000-0000749B0000}"/>
    <cellStyle name="Remarque 3 3 2 4 12" xfId="8907" xr:uid="{00000000-0005-0000-0000-0000759B0000}"/>
    <cellStyle name="Remarque 3 3 2 4 12 2" xfId="32921" xr:uid="{00000000-0005-0000-0000-0000769B0000}"/>
    <cellStyle name="Remarque 3 3 2 4 12 2 2" xfId="56881" xr:uid="{00000000-0005-0000-0000-0000779B0000}"/>
    <cellStyle name="Remarque 3 3 2 4 12 3" xfId="20168" xr:uid="{00000000-0005-0000-0000-0000789B0000}"/>
    <cellStyle name="Remarque 3 3 2 4 12 4" xfId="44128" xr:uid="{00000000-0005-0000-0000-0000799B0000}"/>
    <cellStyle name="Remarque 3 3 2 4 13" xfId="10364" xr:uid="{00000000-0005-0000-0000-00007A9B0000}"/>
    <cellStyle name="Remarque 3 3 2 4 13 2" xfId="34374" xr:uid="{00000000-0005-0000-0000-00007B9B0000}"/>
    <cellStyle name="Remarque 3 3 2 4 13 2 2" xfId="58334" xr:uid="{00000000-0005-0000-0000-00007C9B0000}"/>
    <cellStyle name="Remarque 3 3 2 4 13 3" xfId="21631" xr:uid="{00000000-0005-0000-0000-00007D9B0000}"/>
    <cellStyle name="Remarque 3 3 2 4 13 4" xfId="45591" xr:uid="{00000000-0005-0000-0000-00007E9B0000}"/>
    <cellStyle name="Remarque 3 3 2 4 14" xfId="12488" xr:uid="{00000000-0005-0000-0000-00007F9B0000}"/>
    <cellStyle name="Remarque 3 3 2 4 14 2" xfId="23785" xr:uid="{00000000-0005-0000-0000-0000809B0000}"/>
    <cellStyle name="Remarque 3 3 2 4 14 3" xfId="47745" xr:uid="{00000000-0005-0000-0000-0000819B0000}"/>
    <cellStyle name="Remarque 3 3 2 4 15" xfId="1836" xr:uid="{00000000-0005-0000-0000-0000829B0000}"/>
    <cellStyle name="Remarque 3 3 2 4 15 2" xfId="25850" xr:uid="{00000000-0005-0000-0000-0000839B0000}"/>
    <cellStyle name="Remarque 3 3 2 4 15 3" xfId="49810" xr:uid="{00000000-0005-0000-0000-0000849B0000}"/>
    <cellStyle name="Remarque 3 3 2 4 16" xfId="24432" xr:uid="{00000000-0005-0000-0000-0000859B0000}"/>
    <cellStyle name="Remarque 3 3 2 4 16 2" xfId="48392" xr:uid="{00000000-0005-0000-0000-0000869B0000}"/>
    <cellStyle name="Remarque 3 3 2 4 17" xfId="36426" xr:uid="{00000000-0005-0000-0000-0000879B0000}"/>
    <cellStyle name="Remarque 3 3 2 4 17 2" xfId="60386" xr:uid="{00000000-0005-0000-0000-0000889B0000}"/>
    <cellStyle name="Remarque 3 3 2 4 18" xfId="13097" xr:uid="{00000000-0005-0000-0000-0000899B0000}"/>
    <cellStyle name="Remarque 3 3 2 4 19" xfId="37057" xr:uid="{00000000-0005-0000-0000-00008A9B0000}"/>
    <cellStyle name="Remarque 3 3 2 4 2" xfId="536" xr:uid="{00000000-0005-0000-0000-00008B9B0000}"/>
    <cellStyle name="Remarque 3 3 2 4 2 10" xfId="24568" xr:uid="{00000000-0005-0000-0000-00008C9B0000}"/>
    <cellStyle name="Remarque 3 3 2 4 2 10 2" xfId="48528" xr:uid="{00000000-0005-0000-0000-00008D9B0000}"/>
    <cellStyle name="Remarque 3 3 2 4 2 11" xfId="36773" xr:uid="{00000000-0005-0000-0000-00008E9B0000}"/>
    <cellStyle name="Remarque 3 3 2 4 2 11 2" xfId="60733" xr:uid="{00000000-0005-0000-0000-00008F9B0000}"/>
    <cellStyle name="Remarque 3 3 2 4 2 12" xfId="13233" xr:uid="{00000000-0005-0000-0000-0000909B0000}"/>
    <cellStyle name="Remarque 3 3 2 4 2 13" xfId="37193" xr:uid="{00000000-0005-0000-0000-0000919B0000}"/>
    <cellStyle name="Remarque 3 3 2 4 2 2" xfId="3442" xr:uid="{00000000-0005-0000-0000-0000929B0000}"/>
    <cellStyle name="Remarque 3 3 2 4 2 2 2" xfId="27456" xr:uid="{00000000-0005-0000-0000-0000939B0000}"/>
    <cellStyle name="Remarque 3 3 2 4 2 2 2 2" xfId="51416" xr:uid="{00000000-0005-0000-0000-0000949B0000}"/>
    <cellStyle name="Remarque 3 3 2 4 2 2 3" xfId="14703" xr:uid="{00000000-0005-0000-0000-0000959B0000}"/>
    <cellStyle name="Remarque 3 3 2 4 2 2 4" xfId="38663" xr:uid="{00000000-0005-0000-0000-0000969B0000}"/>
    <cellStyle name="Remarque 3 3 2 4 2 3" xfId="4876" xr:uid="{00000000-0005-0000-0000-0000979B0000}"/>
    <cellStyle name="Remarque 3 3 2 4 2 3 2" xfId="28890" xr:uid="{00000000-0005-0000-0000-0000989B0000}"/>
    <cellStyle name="Remarque 3 3 2 4 2 3 2 2" xfId="52850" xr:uid="{00000000-0005-0000-0000-0000999B0000}"/>
    <cellStyle name="Remarque 3 3 2 4 2 3 3" xfId="16137" xr:uid="{00000000-0005-0000-0000-00009A9B0000}"/>
    <cellStyle name="Remarque 3 3 2 4 2 3 4" xfId="40097" xr:uid="{00000000-0005-0000-0000-00009B9B0000}"/>
    <cellStyle name="Remarque 3 3 2 4 2 4" xfId="6270" xr:uid="{00000000-0005-0000-0000-00009C9B0000}"/>
    <cellStyle name="Remarque 3 3 2 4 2 4 2" xfId="30284" xr:uid="{00000000-0005-0000-0000-00009D9B0000}"/>
    <cellStyle name="Remarque 3 3 2 4 2 4 2 2" xfId="54244" xr:uid="{00000000-0005-0000-0000-00009E9B0000}"/>
    <cellStyle name="Remarque 3 3 2 4 2 4 3" xfId="17531" xr:uid="{00000000-0005-0000-0000-00009F9B0000}"/>
    <cellStyle name="Remarque 3 3 2 4 2 4 4" xfId="41491" xr:uid="{00000000-0005-0000-0000-0000A09B0000}"/>
    <cellStyle name="Remarque 3 3 2 4 2 5" xfId="7658" xr:uid="{00000000-0005-0000-0000-0000A19B0000}"/>
    <cellStyle name="Remarque 3 3 2 4 2 5 2" xfId="31672" xr:uid="{00000000-0005-0000-0000-0000A29B0000}"/>
    <cellStyle name="Remarque 3 3 2 4 2 5 2 2" xfId="55632" xr:uid="{00000000-0005-0000-0000-0000A39B0000}"/>
    <cellStyle name="Remarque 3 3 2 4 2 5 3" xfId="18919" xr:uid="{00000000-0005-0000-0000-0000A49B0000}"/>
    <cellStyle name="Remarque 3 3 2 4 2 5 4" xfId="42879" xr:uid="{00000000-0005-0000-0000-0000A59B0000}"/>
    <cellStyle name="Remarque 3 3 2 4 2 6" xfId="9043" xr:uid="{00000000-0005-0000-0000-0000A69B0000}"/>
    <cellStyle name="Remarque 3 3 2 4 2 6 2" xfId="33057" xr:uid="{00000000-0005-0000-0000-0000A79B0000}"/>
    <cellStyle name="Remarque 3 3 2 4 2 6 2 2" xfId="57017" xr:uid="{00000000-0005-0000-0000-0000A89B0000}"/>
    <cellStyle name="Remarque 3 3 2 4 2 6 3" xfId="20304" xr:uid="{00000000-0005-0000-0000-0000A99B0000}"/>
    <cellStyle name="Remarque 3 3 2 4 2 6 4" xfId="44264" xr:uid="{00000000-0005-0000-0000-0000AA9B0000}"/>
    <cellStyle name="Remarque 3 3 2 4 2 7" xfId="10500" xr:uid="{00000000-0005-0000-0000-0000AB9B0000}"/>
    <cellStyle name="Remarque 3 3 2 4 2 7 2" xfId="34510" xr:uid="{00000000-0005-0000-0000-0000AC9B0000}"/>
    <cellStyle name="Remarque 3 3 2 4 2 7 2 2" xfId="58470" xr:uid="{00000000-0005-0000-0000-0000AD9B0000}"/>
    <cellStyle name="Remarque 3 3 2 4 2 7 3" xfId="21767" xr:uid="{00000000-0005-0000-0000-0000AE9B0000}"/>
    <cellStyle name="Remarque 3 3 2 4 2 7 4" xfId="45727" xr:uid="{00000000-0005-0000-0000-0000AF9B0000}"/>
    <cellStyle name="Remarque 3 3 2 4 2 8" xfId="11663" xr:uid="{00000000-0005-0000-0000-0000B09B0000}"/>
    <cellStyle name="Remarque 3 3 2 4 2 8 2" xfId="22931" xr:uid="{00000000-0005-0000-0000-0000B19B0000}"/>
    <cellStyle name="Remarque 3 3 2 4 2 8 3" xfId="46891" xr:uid="{00000000-0005-0000-0000-0000B29B0000}"/>
    <cellStyle name="Remarque 3 3 2 4 2 9" xfId="1972" xr:uid="{00000000-0005-0000-0000-0000B39B0000}"/>
    <cellStyle name="Remarque 3 3 2 4 2 9 2" xfId="25986" xr:uid="{00000000-0005-0000-0000-0000B49B0000}"/>
    <cellStyle name="Remarque 3 3 2 4 2 9 3" xfId="49946" xr:uid="{00000000-0005-0000-0000-0000B59B0000}"/>
    <cellStyle name="Remarque 3 3 2 4 20" xfId="400" xr:uid="{00000000-0005-0000-0000-0000B69B0000}"/>
    <cellStyle name="Remarque 3 3 2 4 3" xfId="728" xr:uid="{00000000-0005-0000-0000-0000B79B0000}"/>
    <cellStyle name="Remarque 3 3 2 4 3 10" xfId="24760" xr:uid="{00000000-0005-0000-0000-0000B89B0000}"/>
    <cellStyle name="Remarque 3 3 2 4 3 10 2" xfId="48720" xr:uid="{00000000-0005-0000-0000-0000B99B0000}"/>
    <cellStyle name="Remarque 3 3 2 4 3 11" xfId="35846" xr:uid="{00000000-0005-0000-0000-0000BA9B0000}"/>
    <cellStyle name="Remarque 3 3 2 4 3 11 2" xfId="59806" xr:uid="{00000000-0005-0000-0000-0000BB9B0000}"/>
    <cellStyle name="Remarque 3 3 2 4 3 12" xfId="13425" xr:uid="{00000000-0005-0000-0000-0000BC9B0000}"/>
    <cellStyle name="Remarque 3 3 2 4 3 13" xfId="37385" xr:uid="{00000000-0005-0000-0000-0000BD9B0000}"/>
    <cellStyle name="Remarque 3 3 2 4 3 2" xfId="3634" xr:uid="{00000000-0005-0000-0000-0000BE9B0000}"/>
    <cellStyle name="Remarque 3 3 2 4 3 2 2" xfId="27648" xr:uid="{00000000-0005-0000-0000-0000BF9B0000}"/>
    <cellStyle name="Remarque 3 3 2 4 3 2 2 2" xfId="51608" xr:uid="{00000000-0005-0000-0000-0000C09B0000}"/>
    <cellStyle name="Remarque 3 3 2 4 3 2 3" xfId="14895" xr:uid="{00000000-0005-0000-0000-0000C19B0000}"/>
    <cellStyle name="Remarque 3 3 2 4 3 2 4" xfId="38855" xr:uid="{00000000-0005-0000-0000-0000C29B0000}"/>
    <cellStyle name="Remarque 3 3 2 4 3 3" xfId="5068" xr:uid="{00000000-0005-0000-0000-0000C39B0000}"/>
    <cellStyle name="Remarque 3 3 2 4 3 3 2" xfId="29082" xr:uid="{00000000-0005-0000-0000-0000C49B0000}"/>
    <cellStyle name="Remarque 3 3 2 4 3 3 2 2" xfId="53042" xr:uid="{00000000-0005-0000-0000-0000C59B0000}"/>
    <cellStyle name="Remarque 3 3 2 4 3 3 3" xfId="16329" xr:uid="{00000000-0005-0000-0000-0000C69B0000}"/>
    <cellStyle name="Remarque 3 3 2 4 3 3 4" xfId="40289" xr:uid="{00000000-0005-0000-0000-0000C79B0000}"/>
    <cellStyle name="Remarque 3 3 2 4 3 4" xfId="6462" xr:uid="{00000000-0005-0000-0000-0000C89B0000}"/>
    <cellStyle name="Remarque 3 3 2 4 3 4 2" xfId="30476" xr:uid="{00000000-0005-0000-0000-0000C99B0000}"/>
    <cellStyle name="Remarque 3 3 2 4 3 4 2 2" xfId="54436" xr:uid="{00000000-0005-0000-0000-0000CA9B0000}"/>
    <cellStyle name="Remarque 3 3 2 4 3 4 3" xfId="17723" xr:uid="{00000000-0005-0000-0000-0000CB9B0000}"/>
    <cellStyle name="Remarque 3 3 2 4 3 4 4" xfId="41683" xr:uid="{00000000-0005-0000-0000-0000CC9B0000}"/>
    <cellStyle name="Remarque 3 3 2 4 3 5" xfId="7850" xr:uid="{00000000-0005-0000-0000-0000CD9B0000}"/>
    <cellStyle name="Remarque 3 3 2 4 3 5 2" xfId="31864" xr:uid="{00000000-0005-0000-0000-0000CE9B0000}"/>
    <cellStyle name="Remarque 3 3 2 4 3 5 2 2" xfId="55824" xr:uid="{00000000-0005-0000-0000-0000CF9B0000}"/>
    <cellStyle name="Remarque 3 3 2 4 3 5 3" xfId="19111" xr:uid="{00000000-0005-0000-0000-0000D09B0000}"/>
    <cellStyle name="Remarque 3 3 2 4 3 5 4" xfId="43071" xr:uid="{00000000-0005-0000-0000-0000D19B0000}"/>
    <cellStyle name="Remarque 3 3 2 4 3 6" xfId="9235" xr:uid="{00000000-0005-0000-0000-0000D29B0000}"/>
    <cellStyle name="Remarque 3 3 2 4 3 6 2" xfId="33249" xr:uid="{00000000-0005-0000-0000-0000D39B0000}"/>
    <cellStyle name="Remarque 3 3 2 4 3 6 2 2" xfId="57209" xr:uid="{00000000-0005-0000-0000-0000D49B0000}"/>
    <cellStyle name="Remarque 3 3 2 4 3 6 3" xfId="20496" xr:uid="{00000000-0005-0000-0000-0000D59B0000}"/>
    <cellStyle name="Remarque 3 3 2 4 3 6 4" xfId="44456" xr:uid="{00000000-0005-0000-0000-0000D69B0000}"/>
    <cellStyle name="Remarque 3 3 2 4 3 7" xfId="10692" xr:uid="{00000000-0005-0000-0000-0000D79B0000}"/>
    <cellStyle name="Remarque 3 3 2 4 3 7 2" xfId="34702" xr:uid="{00000000-0005-0000-0000-0000D89B0000}"/>
    <cellStyle name="Remarque 3 3 2 4 3 7 2 2" xfId="58662" xr:uid="{00000000-0005-0000-0000-0000D99B0000}"/>
    <cellStyle name="Remarque 3 3 2 4 3 7 3" xfId="21959" xr:uid="{00000000-0005-0000-0000-0000DA9B0000}"/>
    <cellStyle name="Remarque 3 3 2 4 3 7 4" xfId="45919" xr:uid="{00000000-0005-0000-0000-0000DB9B0000}"/>
    <cellStyle name="Remarque 3 3 2 4 3 8" xfId="12624" xr:uid="{00000000-0005-0000-0000-0000DC9B0000}"/>
    <cellStyle name="Remarque 3 3 2 4 3 8 2" xfId="23927" xr:uid="{00000000-0005-0000-0000-0000DD9B0000}"/>
    <cellStyle name="Remarque 3 3 2 4 3 8 3" xfId="47887" xr:uid="{00000000-0005-0000-0000-0000DE9B0000}"/>
    <cellStyle name="Remarque 3 3 2 4 3 9" xfId="2164" xr:uid="{00000000-0005-0000-0000-0000DF9B0000}"/>
    <cellStyle name="Remarque 3 3 2 4 3 9 2" xfId="26178" xr:uid="{00000000-0005-0000-0000-0000E09B0000}"/>
    <cellStyle name="Remarque 3 3 2 4 3 9 3" xfId="50138" xr:uid="{00000000-0005-0000-0000-0000E19B0000}"/>
    <cellStyle name="Remarque 3 3 2 4 4" xfId="922" xr:uid="{00000000-0005-0000-0000-0000E29B0000}"/>
    <cellStyle name="Remarque 3 3 2 4 4 10" xfId="24954" xr:uid="{00000000-0005-0000-0000-0000E39B0000}"/>
    <cellStyle name="Remarque 3 3 2 4 4 10 2" xfId="48914" xr:uid="{00000000-0005-0000-0000-0000E49B0000}"/>
    <cellStyle name="Remarque 3 3 2 4 4 11" xfId="35744" xr:uid="{00000000-0005-0000-0000-0000E59B0000}"/>
    <cellStyle name="Remarque 3 3 2 4 4 11 2" xfId="59704" xr:uid="{00000000-0005-0000-0000-0000E69B0000}"/>
    <cellStyle name="Remarque 3 3 2 4 4 12" xfId="13619" xr:uid="{00000000-0005-0000-0000-0000E79B0000}"/>
    <cellStyle name="Remarque 3 3 2 4 4 13" xfId="37579" xr:uid="{00000000-0005-0000-0000-0000E89B0000}"/>
    <cellStyle name="Remarque 3 3 2 4 4 2" xfId="3828" xr:uid="{00000000-0005-0000-0000-0000E99B0000}"/>
    <cellStyle name="Remarque 3 3 2 4 4 2 2" xfId="27842" xr:uid="{00000000-0005-0000-0000-0000EA9B0000}"/>
    <cellStyle name="Remarque 3 3 2 4 4 2 2 2" xfId="51802" xr:uid="{00000000-0005-0000-0000-0000EB9B0000}"/>
    <cellStyle name="Remarque 3 3 2 4 4 2 3" xfId="15089" xr:uid="{00000000-0005-0000-0000-0000EC9B0000}"/>
    <cellStyle name="Remarque 3 3 2 4 4 2 4" xfId="39049" xr:uid="{00000000-0005-0000-0000-0000ED9B0000}"/>
    <cellStyle name="Remarque 3 3 2 4 4 3" xfId="5262" xr:uid="{00000000-0005-0000-0000-0000EE9B0000}"/>
    <cellStyle name="Remarque 3 3 2 4 4 3 2" xfId="29276" xr:uid="{00000000-0005-0000-0000-0000EF9B0000}"/>
    <cellStyle name="Remarque 3 3 2 4 4 3 2 2" xfId="53236" xr:uid="{00000000-0005-0000-0000-0000F09B0000}"/>
    <cellStyle name="Remarque 3 3 2 4 4 3 3" xfId="16523" xr:uid="{00000000-0005-0000-0000-0000F19B0000}"/>
    <cellStyle name="Remarque 3 3 2 4 4 3 4" xfId="40483" xr:uid="{00000000-0005-0000-0000-0000F29B0000}"/>
    <cellStyle name="Remarque 3 3 2 4 4 4" xfId="6656" xr:uid="{00000000-0005-0000-0000-0000F39B0000}"/>
    <cellStyle name="Remarque 3 3 2 4 4 4 2" xfId="30670" xr:uid="{00000000-0005-0000-0000-0000F49B0000}"/>
    <cellStyle name="Remarque 3 3 2 4 4 4 2 2" xfId="54630" xr:uid="{00000000-0005-0000-0000-0000F59B0000}"/>
    <cellStyle name="Remarque 3 3 2 4 4 4 3" xfId="17917" xr:uid="{00000000-0005-0000-0000-0000F69B0000}"/>
    <cellStyle name="Remarque 3 3 2 4 4 4 4" xfId="41877" xr:uid="{00000000-0005-0000-0000-0000F79B0000}"/>
    <cellStyle name="Remarque 3 3 2 4 4 5" xfId="8044" xr:uid="{00000000-0005-0000-0000-0000F89B0000}"/>
    <cellStyle name="Remarque 3 3 2 4 4 5 2" xfId="32058" xr:uid="{00000000-0005-0000-0000-0000F99B0000}"/>
    <cellStyle name="Remarque 3 3 2 4 4 5 2 2" xfId="56018" xr:uid="{00000000-0005-0000-0000-0000FA9B0000}"/>
    <cellStyle name="Remarque 3 3 2 4 4 5 3" xfId="19305" xr:uid="{00000000-0005-0000-0000-0000FB9B0000}"/>
    <cellStyle name="Remarque 3 3 2 4 4 5 4" xfId="43265" xr:uid="{00000000-0005-0000-0000-0000FC9B0000}"/>
    <cellStyle name="Remarque 3 3 2 4 4 6" xfId="9429" xr:uid="{00000000-0005-0000-0000-0000FD9B0000}"/>
    <cellStyle name="Remarque 3 3 2 4 4 6 2" xfId="33443" xr:uid="{00000000-0005-0000-0000-0000FE9B0000}"/>
    <cellStyle name="Remarque 3 3 2 4 4 6 2 2" xfId="57403" xr:uid="{00000000-0005-0000-0000-0000FF9B0000}"/>
    <cellStyle name="Remarque 3 3 2 4 4 6 3" xfId="20690" xr:uid="{00000000-0005-0000-0000-0000009C0000}"/>
    <cellStyle name="Remarque 3 3 2 4 4 6 4" xfId="44650" xr:uid="{00000000-0005-0000-0000-0000019C0000}"/>
    <cellStyle name="Remarque 3 3 2 4 4 7" xfId="10886" xr:uid="{00000000-0005-0000-0000-0000029C0000}"/>
    <cellStyle name="Remarque 3 3 2 4 4 7 2" xfId="34896" xr:uid="{00000000-0005-0000-0000-0000039C0000}"/>
    <cellStyle name="Remarque 3 3 2 4 4 7 2 2" xfId="58856" xr:uid="{00000000-0005-0000-0000-0000049C0000}"/>
    <cellStyle name="Remarque 3 3 2 4 4 7 3" xfId="22153" xr:uid="{00000000-0005-0000-0000-0000059C0000}"/>
    <cellStyle name="Remarque 3 3 2 4 4 7 4" xfId="46113" xr:uid="{00000000-0005-0000-0000-0000069C0000}"/>
    <cellStyle name="Remarque 3 3 2 4 4 8" xfId="12789" xr:uid="{00000000-0005-0000-0000-0000079C0000}"/>
    <cellStyle name="Remarque 3 3 2 4 4 8 2" xfId="24099" xr:uid="{00000000-0005-0000-0000-0000089C0000}"/>
    <cellStyle name="Remarque 3 3 2 4 4 8 3" xfId="48059" xr:uid="{00000000-0005-0000-0000-0000099C0000}"/>
    <cellStyle name="Remarque 3 3 2 4 4 9" xfId="2358" xr:uid="{00000000-0005-0000-0000-00000A9C0000}"/>
    <cellStyle name="Remarque 3 3 2 4 4 9 2" xfId="26372" xr:uid="{00000000-0005-0000-0000-00000B9C0000}"/>
    <cellStyle name="Remarque 3 3 2 4 4 9 3" xfId="50332" xr:uid="{00000000-0005-0000-0000-00000C9C0000}"/>
    <cellStyle name="Remarque 3 3 2 4 5" xfId="1115" xr:uid="{00000000-0005-0000-0000-00000D9C0000}"/>
    <cellStyle name="Remarque 3 3 2 4 5 10" xfId="25147" xr:uid="{00000000-0005-0000-0000-00000E9C0000}"/>
    <cellStyle name="Remarque 3 3 2 4 5 10 2" xfId="49107" xr:uid="{00000000-0005-0000-0000-00000F9C0000}"/>
    <cellStyle name="Remarque 3 3 2 4 5 11" xfId="36224" xr:uid="{00000000-0005-0000-0000-0000109C0000}"/>
    <cellStyle name="Remarque 3 3 2 4 5 11 2" xfId="60184" xr:uid="{00000000-0005-0000-0000-0000119C0000}"/>
    <cellStyle name="Remarque 3 3 2 4 5 12" xfId="13812" xr:uid="{00000000-0005-0000-0000-0000129C0000}"/>
    <cellStyle name="Remarque 3 3 2 4 5 13" xfId="37772" xr:uid="{00000000-0005-0000-0000-0000139C0000}"/>
    <cellStyle name="Remarque 3 3 2 4 5 2" xfId="4021" xr:uid="{00000000-0005-0000-0000-0000149C0000}"/>
    <cellStyle name="Remarque 3 3 2 4 5 2 2" xfId="28035" xr:uid="{00000000-0005-0000-0000-0000159C0000}"/>
    <cellStyle name="Remarque 3 3 2 4 5 2 2 2" xfId="51995" xr:uid="{00000000-0005-0000-0000-0000169C0000}"/>
    <cellStyle name="Remarque 3 3 2 4 5 2 3" xfId="15282" xr:uid="{00000000-0005-0000-0000-0000179C0000}"/>
    <cellStyle name="Remarque 3 3 2 4 5 2 4" xfId="39242" xr:uid="{00000000-0005-0000-0000-0000189C0000}"/>
    <cellStyle name="Remarque 3 3 2 4 5 3" xfId="5455" xr:uid="{00000000-0005-0000-0000-0000199C0000}"/>
    <cellStyle name="Remarque 3 3 2 4 5 3 2" xfId="29469" xr:uid="{00000000-0005-0000-0000-00001A9C0000}"/>
    <cellStyle name="Remarque 3 3 2 4 5 3 2 2" xfId="53429" xr:uid="{00000000-0005-0000-0000-00001B9C0000}"/>
    <cellStyle name="Remarque 3 3 2 4 5 3 3" xfId="16716" xr:uid="{00000000-0005-0000-0000-00001C9C0000}"/>
    <cellStyle name="Remarque 3 3 2 4 5 3 4" xfId="40676" xr:uid="{00000000-0005-0000-0000-00001D9C0000}"/>
    <cellStyle name="Remarque 3 3 2 4 5 4" xfId="6849" xr:uid="{00000000-0005-0000-0000-00001E9C0000}"/>
    <cellStyle name="Remarque 3 3 2 4 5 4 2" xfId="30863" xr:uid="{00000000-0005-0000-0000-00001F9C0000}"/>
    <cellStyle name="Remarque 3 3 2 4 5 4 2 2" xfId="54823" xr:uid="{00000000-0005-0000-0000-0000209C0000}"/>
    <cellStyle name="Remarque 3 3 2 4 5 4 3" xfId="18110" xr:uid="{00000000-0005-0000-0000-0000219C0000}"/>
    <cellStyle name="Remarque 3 3 2 4 5 4 4" xfId="42070" xr:uid="{00000000-0005-0000-0000-0000229C0000}"/>
    <cellStyle name="Remarque 3 3 2 4 5 5" xfId="8237" xr:uid="{00000000-0005-0000-0000-0000239C0000}"/>
    <cellStyle name="Remarque 3 3 2 4 5 5 2" xfId="32251" xr:uid="{00000000-0005-0000-0000-0000249C0000}"/>
    <cellStyle name="Remarque 3 3 2 4 5 5 2 2" xfId="56211" xr:uid="{00000000-0005-0000-0000-0000259C0000}"/>
    <cellStyle name="Remarque 3 3 2 4 5 5 3" xfId="19498" xr:uid="{00000000-0005-0000-0000-0000269C0000}"/>
    <cellStyle name="Remarque 3 3 2 4 5 5 4" xfId="43458" xr:uid="{00000000-0005-0000-0000-0000279C0000}"/>
    <cellStyle name="Remarque 3 3 2 4 5 6" xfId="9622" xr:uid="{00000000-0005-0000-0000-0000289C0000}"/>
    <cellStyle name="Remarque 3 3 2 4 5 6 2" xfId="33636" xr:uid="{00000000-0005-0000-0000-0000299C0000}"/>
    <cellStyle name="Remarque 3 3 2 4 5 6 2 2" xfId="57596" xr:uid="{00000000-0005-0000-0000-00002A9C0000}"/>
    <cellStyle name="Remarque 3 3 2 4 5 6 3" xfId="20883" xr:uid="{00000000-0005-0000-0000-00002B9C0000}"/>
    <cellStyle name="Remarque 3 3 2 4 5 6 4" xfId="44843" xr:uid="{00000000-0005-0000-0000-00002C9C0000}"/>
    <cellStyle name="Remarque 3 3 2 4 5 7" xfId="11079" xr:uid="{00000000-0005-0000-0000-00002D9C0000}"/>
    <cellStyle name="Remarque 3 3 2 4 5 7 2" xfId="35089" xr:uid="{00000000-0005-0000-0000-00002E9C0000}"/>
    <cellStyle name="Remarque 3 3 2 4 5 7 2 2" xfId="59049" xr:uid="{00000000-0005-0000-0000-00002F9C0000}"/>
    <cellStyle name="Remarque 3 3 2 4 5 7 3" xfId="22346" xr:uid="{00000000-0005-0000-0000-0000309C0000}"/>
    <cellStyle name="Remarque 3 3 2 4 5 7 4" xfId="46306" xr:uid="{00000000-0005-0000-0000-0000319C0000}"/>
    <cellStyle name="Remarque 3 3 2 4 5 8" xfId="11574" xr:uid="{00000000-0005-0000-0000-0000329C0000}"/>
    <cellStyle name="Remarque 3 3 2 4 5 8 2" xfId="22841" xr:uid="{00000000-0005-0000-0000-0000339C0000}"/>
    <cellStyle name="Remarque 3 3 2 4 5 8 3" xfId="46801" xr:uid="{00000000-0005-0000-0000-0000349C0000}"/>
    <cellStyle name="Remarque 3 3 2 4 5 9" xfId="2551" xr:uid="{00000000-0005-0000-0000-0000359C0000}"/>
    <cellStyle name="Remarque 3 3 2 4 5 9 2" xfId="26565" xr:uid="{00000000-0005-0000-0000-0000369C0000}"/>
    <cellStyle name="Remarque 3 3 2 4 5 9 3" xfId="50525" xr:uid="{00000000-0005-0000-0000-0000379C0000}"/>
    <cellStyle name="Remarque 3 3 2 4 6" xfId="1282" xr:uid="{00000000-0005-0000-0000-0000389C0000}"/>
    <cellStyle name="Remarque 3 3 2 4 6 10" xfId="25314" xr:uid="{00000000-0005-0000-0000-0000399C0000}"/>
    <cellStyle name="Remarque 3 3 2 4 6 10 2" xfId="49274" xr:uid="{00000000-0005-0000-0000-00003A9C0000}"/>
    <cellStyle name="Remarque 3 3 2 4 6 11" xfId="36689" xr:uid="{00000000-0005-0000-0000-00003B9C0000}"/>
    <cellStyle name="Remarque 3 3 2 4 6 11 2" xfId="60649" xr:uid="{00000000-0005-0000-0000-00003C9C0000}"/>
    <cellStyle name="Remarque 3 3 2 4 6 12" xfId="13979" xr:uid="{00000000-0005-0000-0000-00003D9C0000}"/>
    <cellStyle name="Remarque 3 3 2 4 6 13" xfId="37939" xr:uid="{00000000-0005-0000-0000-00003E9C0000}"/>
    <cellStyle name="Remarque 3 3 2 4 6 2" xfId="4188" xr:uid="{00000000-0005-0000-0000-00003F9C0000}"/>
    <cellStyle name="Remarque 3 3 2 4 6 2 2" xfId="28202" xr:uid="{00000000-0005-0000-0000-0000409C0000}"/>
    <cellStyle name="Remarque 3 3 2 4 6 2 2 2" xfId="52162" xr:uid="{00000000-0005-0000-0000-0000419C0000}"/>
    <cellStyle name="Remarque 3 3 2 4 6 2 3" xfId="15449" xr:uid="{00000000-0005-0000-0000-0000429C0000}"/>
    <cellStyle name="Remarque 3 3 2 4 6 2 4" xfId="39409" xr:uid="{00000000-0005-0000-0000-0000439C0000}"/>
    <cellStyle name="Remarque 3 3 2 4 6 3" xfId="5622" xr:uid="{00000000-0005-0000-0000-0000449C0000}"/>
    <cellStyle name="Remarque 3 3 2 4 6 3 2" xfId="29636" xr:uid="{00000000-0005-0000-0000-0000459C0000}"/>
    <cellStyle name="Remarque 3 3 2 4 6 3 2 2" xfId="53596" xr:uid="{00000000-0005-0000-0000-0000469C0000}"/>
    <cellStyle name="Remarque 3 3 2 4 6 3 3" xfId="16883" xr:uid="{00000000-0005-0000-0000-0000479C0000}"/>
    <cellStyle name="Remarque 3 3 2 4 6 3 4" xfId="40843" xr:uid="{00000000-0005-0000-0000-0000489C0000}"/>
    <cellStyle name="Remarque 3 3 2 4 6 4" xfId="7016" xr:uid="{00000000-0005-0000-0000-0000499C0000}"/>
    <cellStyle name="Remarque 3 3 2 4 6 4 2" xfId="31030" xr:uid="{00000000-0005-0000-0000-00004A9C0000}"/>
    <cellStyle name="Remarque 3 3 2 4 6 4 2 2" xfId="54990" xr:uid="{00000000-0005-0000-0000-00004B9C0000}"/>
    <cellStyle name="Remarque 3 3 2 4 6 4 3" xfId="18277" xr:uid="{00000000-0005-0000-0000-00004C9C0000}"/>
    <cellStyle name="Remarque 3 3 2 4 6 4 4" xfId="42237" xr:uid="{00000000-0005-0000-0000-00004D9C0000}"/>
    <cellStyle name="Remarque 3 3 2 4 6 5" xfId="8404" xr:uid="{00000000-0005-0000-0000-00004E9C0000}"/>
    <cellStyle name="Remarque 3 3 2 4 6 5 2" xfId="32418" xr:uid="{00000000-0005-0000-0000-00004F9C0000}"/>
    <cellStyle name="Remarque 3 3 2 4 6 5 2 2" xfId="56378" xr:uid="{00000000-0005-0000-0000-0000509C0000}"/>
    <cellStyle name="Remarque 3 3 2 4 6 5 3" xfId="19665" xr:uid="{00000000-0005-0000-0000-0000519C0000}"/>
    <cellStyle name="Remarque 3 3 2 4 6 5 4" xfId="43625" xr:uid="{00000000-0005-0000-0000-0000529C0000}"/>
    <cellStyle name="Remarque 3 3 2 4 6 6" xfId="9789" xr:uid="{00000000-0005-0000-0000-0000539C0000}"/>
    <cellStyle name="Remarque 3 3 2 4 6 6 2" xfId="33803" xr:uid="{00000000-0005-0000-0000-0000549C0000}"/>
    <cellStyle name="Remarque 3 3 2 4 6 6 2 2" xfId="57763" xr:uid="{00000000-0005-0000-0000-0000559C0000}"/>
    <cellStyle name="Remarque 3 3 2 4 6 6 3" xfId="21050" xr:uid="{00000000-0005-0000-0000-0000569C0000}"/>
    <cellStyle name="Remarque 3 3 2 4 6 6 4" xfId="45010" xr:uid="{00000000-0005-0000-0000-0000579C0000}"/>
    <cellStyle name="Remarque 3 3 2 4 6 7" xfId="11246" xr:uid="{00000000-0005-0000-0000-0000589C0000}"/>
    <cellStyle name="Remarque 3 3 2 4 6 7 2" xfId="35256" xr:uid="{00000000-0005-0000-0000-0000599C0000}"/>
    <cellStyle name="Remarque 3 3 2 4 6 7 2 2" xfId="59216" xr:uid="{00000000-0005-0000-0000-00005A9C0000}"/>
    <cellStyle name="Remarque 3 3 2 4 6 7 3" xfId="22513" xr:uid="{00000000-0005-0000-0000-00005B9C0000}"/>
    <cellStyle name="Remarque 3 3 2 4 6 7 4" xfId="46473" xr:uid="{00000000-0005-0000-0000-00005C9C0000}"/>
    <cellStyle name="Remarque 3 3 2 4 6 8" xfId="12667" xr:uid="{00000000-0005-0000-0000-00005D9C0000}"/>
    <cellStyle name="Remarque 3 3 2 4 6 8 2" xfId="23972" xr:uid="{00000000-0005-0000-0000-00005E9C0000}"/>
    <cellStyle name="Remarque 3 3 2 4 6 8 3" xfId="47932" xr:uid="{00000000-0005-0000-0000-00005F9C0000}"/>
    <cellStyle name="Remarque 3 3 2 4 6 9" xfId="2718" xr:uid="{00000000-0005-0000-0000-0000609C0000}"/>
    <cellStyle name="Remarque 3 3 2 4 6 9 2" xfId="26732" xr:uid="{00000000-0005-0000-0000-0000619C0000}"/>
    <cellStyle name="Remarque 3 3 2 4 6 9 3" xfId="50692" xr:uid="{00000000-0005-0000-0000-0000629C0000}"/>
    <cellStyle name="Remarque 3 3 2 4 7" xfId="1451" xr:uid="{00000000-0005-0000-0000-0000639C0000}"/>
    <cellStyle name="Remarque 3 3 2 4 7 10" xfId="25483" xr:uid="{00000000-0005-0000-0000-0000649C0000}"/>
    <cellStyle name="Remarque 3 3 2 4 7 10 2" xfId="49443" xr:uid="{00000000-0005-0000-0000-0000659C0000}"/>
    <cellStyle name="Remarque 3 3 2 4 7 11" xfId="35930" xr:uid="{00000000-0005-0000-0000-0000669C0000}"/>
    <cellStyle name="Remarque 3 3 2 4 7 11 2" xfId="59890" xr:uid="{00000000-0005-0000-0000-0000679C0000}"/>
    <cellStyle name="Remarque 3 3 2 4 7 12" xfId="14148" xr:uid="{00000000-0005-0000-0000-0000689C0000}"/>
    <cellStyle name="Remarque 3 3 2 4 7 13" xfId="38108" xr:uid="{00000000-0005-0000-0000-0000699C0000}"/>
    <cellStyle name="Remarque 3 3 2 4 7 2" xfId="4357" xr:uid="{00000000-0005-0000-0000-00006A9C0000}"/>
    <cellStyle name="Remarque 3 3 2 4 7 2 2" xfId="28371" xr:uid="{00000000-0005-0000-0000-00006B9C0000}"/>
    <cellStyle name="Remarque 3 3 2 4 7 2 2 2" xfId="52331" xr:uid="{00000000-0005-0000-0000-00006C9C0000}"/>
    <cellStyle name="Remarque 3 3 2 4 7 2 3" xfId="15618" xr:uid="{00000000-0005-0000-0000-00006D9C0000}"/>
    <cellStyle name="Remarque 3 3 2 4 7 2 4" xfId="39578" xr:uid="{00000000-0005-0000-0000-00006E9C0000}"/>
    <cellStyle name="Remarque 3 3 2 4 7 3" xfId="5791" xr:uid="{00000000-0005-0000-0000-00006F9C0000}"/>
    <cellStyle name="Remarque 3 3 2 4 7 3 2" xfId="29805" xr:uid="{00000000-0005-0000-0000-0000709C0000}"/>
    <cellStyle name="Remarque 3 3 2 4 7 3 2 2" xfId="53765" xr:uid="{00000000-0005-0000-0000-0000719C0000}"/>
    <cellStyle name="Remarque 3 3 2 4 7 3 3" xfId="17052" xr:uid="{00000000-0005-0000-0000-0000729C0000}"/>
    <cellStyle name="Remarque 3 3 2 4 7 3 4" xfId="41012" xr:uid="{00000000-0005-0000-0000-0000739C0000}"/>
    <cellStyle name="Remarque 3 3 2 4 7 4" xfId="7185" xr:uid="{00000000-0005-0000-0000-0000749C0000}"/>
    <cellStyle name="Remarque 3 3 2 4 7 4 2" xfId="31199" xr:uid="{00000000-0005-0000-0000-0000759C0000}"/>
    <cellStyle name="Remarque 3 3 2 4 7 4 2 2" xfId="55159" xr:uid="{00000000-0005-0000-0000-0000769C0000}"/>
    <cellStyle name="Remarque 3 3 2 4 7 4 3" xfId="18446" xr:uid="{00000000-0005-0000-0000-0000779C0000}"/>
    <cellStyle name="Remarque 3 3 2 4 7 4 4" xfId="42406" xr:uid="{00000000-0005-0000-0000-0000789C0000}"/>
    <cellStyle name="Remarque 3 3 2 4 7 5" xfId="8573" xr:uid="{00000000-0005-0000-0000-0000799C0000}"/>
    <cellStyle name="Remarque 3 3 2 4 7 5 2" xfId="32587" xr:uid="{00000000-0005-0000-0000-00007A9C0000}"/>
    <cellStyle name="Remarque 3 3 2 4 7 5 2 2" xfId="56547" xr:uid="{00000000-0005-0000-0000-00007B9C0000}"/>
    <cellStyle name="Remarque 3 3 2 4 7 5 3" xfId="19834" xr:uid="{00000000-0005-0000-0000-00007C9C0000}"/>
    <cellStyle name="Remarque 3 3 2 4 7 5 4" xfId="43794" xr:uid="{00000000-0005-0000-0000-00007D9C0000}"/>
    <cellStyle name="Remarque 3 3 2 4 7 6" xfId="9958" xr:uid="{00000000-0005-0000-0000-00007E9C0000}"/>
    <cellStyle name="Remarque 3 3 2 4 7 6 2" xfId="33972" xr:uid="{00000000-0005-0000-0000-00007F9C0000}"/>
    <cellStyle name="Remarque 3 3 2 4 7 6 2 2" xfId="57932" xr:uid="{00000000-0005-0000-0000-0000809C0000}"/>
    <cellStyle name="Remarque 3 3 2 4 7 6 3" xfId="21219" xr:uid="{00000000-0005-0000-0000-0000819C0000}"/>
    <cellStyle name="Remarque 3 3 2 4 7 6 4" xfId="45179" xr:uid="{00000000-0005-0000-0000-0000829C0000}"/>
    <cellStyle name="Remarque 3 3 2 4 7 7" xfId="11415" xr:uid="{00000000-0005-0000-0000-0000839C0000}"/>
    <cellStyle name="Remarque 3 3 2 4 7 7 2" xfId="35425" xr:uid="{00000000-0005-0000-0000-0000849C0000}"/>
    <cellStyle name="Remarque 3 3 2 4 7 7 2 2" xfId="59385" xr:uid="{00000000-0005-0000-0000-0000859C0000}"/>
    <cellStyle name="Remarque 3 3 2 4 7 7 3" xfId="22682" xr:uid="{00000000-0005-0000-0000-0000869C0000}"/>
    <cellStyle name="Remarque 3 3 2 4 7 7 4" xfId="46642" xr:uid="{00000000-0005-0000-0000-0000879C0000}"/>
    <cellStyle name="Remarque 3 3 2 4 7 8" xfId="11681" xr:uid="{00000000-0005-0000-0000-0000889C0000}"/>
    <cellStyle name="Remarque 3 3 2 4 7 8 2" xfId="22950" xr:uid="{00000000-0005-0000-0000-0000899C0000}"/>
    <cellStyle name="Remarque 3 3 2 4 7 8 3" xfId="46910" xr:uid="{00000000-0005-0000-0000-00008A9C0000}"/>
    <cellStyle name="Remarque 3 3 2 4 7 9" xfId="2887" xr:uid="{00000000-0005-0000-0000-00008B9C0000}"/>
    <cellStyle name="Remarque 3 3 2 4 7 9 2" xfId="26901" xr:uid="{00000000-0005-0000-0000-00008C9C0000}"/>
    <cellStyle name="Remarque 3 3 2 4 7 9 3" xfId="50861" xr:uid="{00000000-0005-0000-0000-00008D9C0000}"/>
    <cellStyle name="Remarque 3 3 2 4 8" xfId="3306" xr:uid="{00000000-0005-0000-0000-00008E9C0000}"/>
    <cellStyle name="Remarque 3 3 2 4 8 2" xfId="27320" xr:uid="{00000000-0005-0000-0000-00008F9C0000}"/>
    <cellStyle name="Remarque 3 3 2 4 8 2 2" xfId="51280" xr:uid="{00000000-0005-0000-0000-0000909C0000}"/>
    <cellStyle name="Remarque 3 3 2 4 8 3" xfId="14567" xr:uid="{00000000-0005-0000-0000-0000919C0000}"/>
    <cellStyle name="Remarque 3 3 2 4 8 4" xfId="38527" xr:uid="{00000000-0005-0000-0000-0000929C0000}"/>
    <cellStyle name="Remarque 3 3 2 4 9" xfId="4740" xr:uid="{00000000-0005-0000-0000-0000939C0000}"/>
    <cellStyle name="Remarque 3 3 2 4 9 2" xfId="28754" xr:uid="{00000000-0005-0000-0000-0000949C0000}"/>
    <cellStyle name="Remarque 3 3 2 4 9 2 2" xfId="52714" xr:uid="{00000000-0005-0000-0000-0000959C0000}"/>
    <cellStyle name="Remarque 3 3 2 4 9 3" xfId="16001" xr:uid="{00000000-0005-0000-0000-0000969C0000}"/>
    <cellStyle name="Remarque 3 3 2 4 9 4" xfId="39961" xr:uid="{00000000-0005-0000-0000-0000979C0000}"/>
    <cellStyle name="Remarque 3 3 2 5" xfId="378" xr:uid="{00000000-0005-0000-0000-0000989C0000}"/>
    <cellStyle name="Remarque 3 3 2 5 10" xfId="6112" xr:uid="{00000000-0005-0000-0000-0000999C0000}"/>
    <cellStyle name="Remarque 3 3 2 5 10 2" xfId="30126" xr:uid="{00000000-0005-0000-0000-00009A9C0000}"/>
    <cellStyle name="Remarque 3 3 2 5 10 2 2" xfId="54086" xr:uid="{00000000-0005-0000-0000-00009B9C0000}"/>
    <cellStyle name="Remarque 3 3 2 5 10 3" xfId="17373" xr:uid="{00000000-0005-0000-0000-00009C9C0000}"/>
    <cellStyle name="Remarque 3 3 2 5 10 4" xfId="41333" xr:uid="{00000000-0005-0000-0000-00009D9C0000}"/>
    <cellStyle name="Remarque 3 3 2 5 11" xfId="7500" xr:uid="{00000000-0005-0000-0000-00009E9C0000}"/>
    <cellStyle name="Remarque 3 3 2 5 11 2" xfId="31514" xr:uid="{00000000-0005-0000-0000-00009F9C0000}"/>
    <cellStyle name="Remarque 3 3 2 5 11 2 2" xfId="55474" xr:uid="{00000000-0005-0000-0000-0000A09C0000}"/>
    <cellStyle name="Remarque 3 3 2 5 11 3" xfId="18761" xr:uid="{00000000-0005-0000-0000-0000A19C0000}"/>
    <cellStyle name="Remarque 3 3 2 5 11 4" xfId="42721" xr:uid="{00000000-0005-0000-0000-0000A29C0000}"/>
    <cellStyle name="Remarque 3 3 2 5 12" xfId="8885" xr:uid="{00000000-0005-0000-0000-0000A39C0000}"/>
    <cellStyle name="Remarque 3 3 2 5 12 2" xfId="32899" xr:uid="{00000000-0005-0000-0000-0000A49C0000}"/>
    <cellStyle name="Remarque 3 3 2 5 12 2 2" xfId="56859" xr:uid="{00000000-0005-0000-0000-0000A59C0000}"/>
    <cellStyle name="Remarque 3 3 2 5 12 3" xfId="20146" xr:uid="{00000000-0005-0000-0000-0000A69C0000}"/>
    <cellStyle name="Remarque 3 3 2 5 12 4" xfId="44106" xr:uid="{00000000-0005-0000-0000-0000A79C0000}"/>
    <cellStyle name="Remarque 3 3 2 5 13" xfId="10342" xr:uid="{00000000-0005-0000-0000-0000A89C0000}"/>
    <cellStyle name="Remarque 3 3 2 5 13 2" xfId="34352" xr:uid="{00000000-0005-0000-0000-0000A99C0000}"/>
    <cellStyle name="Remarque 3 3 2 5 13 2 2" xfId="58312" xr:uid="{00000000-0005-0000-0000-0000AA9C0000}"/>
    <cellStyle name="Remarque 3 3 2 5 13 3" xfId="21609" xr:uid="{00000000-0005-0000-0000-0000AB9C0000}"/>
    <cellStyle name="Remarque 3 3 2 5 13 4" xfId="45569" xr:uid="{00000000-0005-0000-0000-0000AC9C0000}"/>
    <cellStyle name="Remarque 3 3 2 5 14" xfId="11885" xr:uid="{00000000-0005-0000-0000-0000AD9C0000}"/>
    <cellStyle name="Remarque 3 3 2 5 14 2" xfId="23162" xr:uid="{00000000-0005-0000-0000-0000AE9C0000}"/>
    <cellStyle name="Remarque 3 3 2 5 14 3" xfId="47122" xr:uid="{00000000-0005-0000-0000-0000AF9C0000}"/>
    <cellStyle name="Remarque 3 3 2 5 15" xfId="1814" xr:uid="{00000000-0005-0000-0000-0000B09C0000}"/>
    <cellStyle name="Remarque 3 3 2 5 15 2" xfId="25828" xr:uid="{00000000-0005-0000-0000-0000B19C0000}"/>
    <cellStyle name="Remarque 3 3 2 5 15 3" xfId="49788" xr:uid="{00000000-0005-0000-0000-0000B29C0000}"/>
    <cellStyle name="Remarque 3 3 2 5 16" xfId="24410" xr:uid="{00000000-0005-0000-0000-0000B39C0000}"/>
    <cellStyle name="Remarque 3 3 2 5 16 2" xfId="48370" xr:uid="{00000000-0005-0000-0000-0000B49C0000}"/>
    <cellStyle name="Remarque 3 3 2 5 17" xfId="35677" xr:uid="{00000000-0005-0000-0000-0000B59C0000}"/>
    <cellStyle name="Remarque 3 3 2 5 17 2" xfId="59637" xr:uid="{00000000-0005-0000-0000-0000B69C0000}"/>
    <cellStyle name="Remarque 3 3 2 5 18" xfId="13075" xr:uid="{00000000-0005-0000-0000-0000B79C0000}"/>
    <cellStyle name="Remarque 3 3 2 5 19" xfId="37035" xr:uid="{00000000-0005-0000-0000-0000B89C0000}"/>
    <cellStyle name="Remarque 3 3 2 5 2" xfId="514" xr:uid="{00000000-0005-0000-0000-0000B99C0000}"/>
    <cellStyle name="Remarque 3 3 2 5 2 10" xfId="24546" xr:uid="{00000000-0005-0000-0000-0000BA9C0000}"/>
    <cellStyle name="Remarque 3 3 2 5 2 10 2" xfId="48506" xr:uid="{00000000-0005-0000-0000-0000BB9C0000}"/>
    <cellStyle name="Remarque 3 3 2 5 2 11" xfId="35958" xr:uid="{00000000-0005-0000-0000-0000BC9C0000}"/>
    <cellStyle name="Remarque 3 3 2 5 2 11 2" xfId="59918" xr:uid="{00000000-0005-0000-0000-0000BD9C0000}"/>
    <cellStyle name="Remarque 3 3 2 5 2 12" xfId="13211" xr:uid="{00000000-0005-0000-0000-0000BE9C0000}"/>
    <cellStyle name="Remarque 3 3 2 5 2 13" xfId="37171" xr:uid="{00000000-0005-0000-0000-0000BF9C0000}"/>
    <cellStyle name="Remarque 3 3 2 5 2 2" xfId="3420" xr:uid="{00000000-0005-0000-0000-0000C09C0000}"/>
    <cellStyle name="Remarque 3 3 2 5 2 2 2" xfId="27434" xr:uid="{00000000-0005-0000-0000-0000C19C0000}"/>
    <cellStyle name="Remarque 3 3 2 5 2 2 2 2" xfId="51394" xr:uid="{00000000-0005-0000-0000-0000C29C0000}"/>
    <cellStyle name="Remarque 3 3 2 5 2 2 3" xfId="14681" xr:uid="{00000000-0005-0000-0000-0000C39C0000}"/>
    <cellStyle name="Remarque 3 3 2 5 2 2 4" xfId="38641" xr:uid="{00000000-0005-0000-0000-0000C49C0000}"/>
    <cellStyle name="Remarque 3 3 2 5 2 3" xfId="4854" xr:uid="{00000000-0005-0000-0000-0000C59C0000}"/>
    <cellStyle name="Remarque 3 3 2 5 2 3 2" xfId="28868" xr:uid="{00000000-0005-0000-0000-0000C69C0000}"/>
    <cellStyle name="Remarque 3 3 2 5 2 3 2 2" xfId="52828" xr:uid="{00000000-0005-0000-0000-0000C79C0000}"/>
    <cellStyle name="Remarque 3 3 2 5 2 3 3" xfId="16115" xr:uid="{00000000-0005-0000-0000-0000C89C0000}"/>
    <cellStyle name="Remarque 3 3 2 5 2 3 4" xfId="40075" xr:uid="{00000000-0005-0000-0000-0000C99C0000}"/>
    <cellStyle name="Remarque 3 3 2 5 2 4" xfId="6248" xr:uid="{00000000-0005-0000-0000-0000CA9C0000}"/>
    <cellStyle name="Remarque 3 3 2 5 2 4 2" xfId="30262" xr:uid="{00000000-0005-0000-0000-0000CB9C0000}"/>
    <cellStyle name="Remarque 3 3 2 5 2 4 2 2" xfId="54222" xr:uid="{00000000-0005-0000-0000-0000CC9C0000}"/>
    <cellStyle name="Remarque 3 3 2 5 2 4 3" xfId="17509" xr:uid="{00000000-0005-0000-0000-0000CD9C0000}"/>
    <cellStyle name="Remarque 3 3 2 5 2 4 4" xfId="41469" xr:uid="{00000000-0005-0000-0000-0000CE9C0000}"/>
    <cellStyle name="Remarque 3 3 2 5 2 5" xfId="7636" xr:uid="{00000000-0005-0000-0000-0000CF9C0000}"/>
    <cellStyle name="Remarque 3 3 2 5 2 5 2" xfId="31650" xr:uid="{00000000-0005-0000-0000-0000D09C0000}"/>
    <cellStyle name="Remarque 3 3 2 5 2 5 2 2" xfId="55610" xr:uid="{00000000-0005-0000-0000-0000D19C0000}"/>
    <cellStyle name="Remarque 3 3 2 5 2 5 3" xfId="18897" xr:uid="{00000000-0005-0000-0000-0000D29C0000}"/>
    <cellStyle name="Remarque 3 3 2 5 2 5 4" xfId="42857" xr:uid="{00000000-0005-0000-0000-0000D39C0000}"/>
    <cellStyle name="Remarque 3 3 2 5 2 6" xfId="9021" xr:uid="{00000000-0005-0000-0000-0000D49C0000}"/>
    <cellStyle name="Remarque 3 3 2 5 2 6 2" xfId="33035" xr:uid="{00000000-0005-0000-0000-0000D59C0000}"/>
    <cellStyle name="Remarque 3 3 2 5 2 6 2 2" xfId="56995" xr:uid="{00000000-0005-0000-0000-0000D69C0000}"/>
    <cellStyle name="Remarque 3 3 2 5 2 6 3" xfId="20282" xr:uid="{00000000-0005-0000-0000-0000D79C0000}"/>
    <cellStyle name="Remarque 3 3 2 5 2 6 4" xfId="44242" xr:uid="{00000000-0005-0000-0000-0000D89C0000}"/>
    <cellStyle name="Remarque 3 3 2 5 2 7" xfId="10478" xr:uid="{00000000-0005-0000-0000-0000D99C0000}"/>
    <cellStyle name="Remarque 3 3 2 5 2 7 2" xfId="34488" xr:uid="{00000000-0005-0000-0000-0000DA9C0000}"/>
    <cellStyle name="Remarque 3 3 2 5 2 7 2 2" xfId="58448" xr:uid="{00000000-0005-0000-0000-0000DB9C0000}"/>
    <cellStyle name="Remarque 3 3 2 5 2 7 3" xfId="21745" xr:uid="{00000000-0005-0000-0000-0000DC9C0000}"/>
    <cellStyle name="Remarque 3 3 2 5 2 7 4" xfId="45705" xr:uid="{00000000-0005-0000-0000-0000DD9C0000}"/>
    <cellStyle name="Remarque 3 3 2 5 2 8" xfId="12441" xr:uid="{00000000-0005-0000-0000-0000DE9C0000}"/>
    <cellStyle name="Remarque 3 3 2 5 2 8 2" xfId="23733" xr:uid="{00000000-0005-0000-0000-0000DF9C0000}"/>
    <cellStyle name="Remarque 3 3 2 5 2 8 3" xfId="47693" xr:uid="{00000000-0005-0000-0000-0000E09C0000}"/>
    <cellStyle name="Remarque 3 3 2 5 2 9" xfId="1950" xr:uid="{00000000-0005-0000-0000-0000E19C0000}"/>
    <cellStyle name="Remarque 3 3 2 5 2 9 2" xfId="25964" xr:uid="{00000000-0005-0000-0000-0000E29C0000}"/>
    <cellStyle name="Remarque 3 3 2 5 2 9 3" xfId="49924" xr:uid="{00000000-0005-0000-0000-0000E39C0000}"/>
    <cellStyle name="Remarque 3 3 2 5 3" xfId="706" xr:uid="{00000000-0005-0000-0000-0000E49C0000}"/>
    <cellStyle name="Remarque 3 3 2 5 3 10" xfId="24738" xr:uid="{00000000-0005-0000-0000-0000E59C0000}"/>
    <cellStyle name="Remarque 3 3 2 5 3 10 2" xfId="48698" xr:uid="{00000000-0005-0000-0000-0000E69C0000}"/>
    <cellStyle name="Remarque 3 3 2 5 3 11" xfId="35602" xr:uid="{00000000-0005-0000-0000-0000E79C0000}"/>
    <cellStyle name="Remarque 3 3 2 5 3 11 2" xfId="59562" xr:uid="{00000000-0005-0000-0000-0000E89C0000}"/>
    <cellStyle name="Remarque 3 3 2 5 3 12" xfId="13403" xr:uid="{00000000-0005-0000-0000-0000E99C0000}"/>
    <cellStyle name="Remarque 3 3 2 5 3 13" xfId="37363" xr:uid="{00000000-0005-0000-0000-0000EA9C0000}"/>
    <cellStyle name="Remarque 3 3 2 5 3 2" xfId="3612" xr:uid="{00000000-0005-0000-0000-0000EB9C0000}"/>
    <cellStyle name="Remarque 3 3 2 5 3 2 2" xfId="27626" xr:uid="{00000000-0005-0000-0000-0000EC9C0000}"/>
    <cellStyle name="Remarque 3 3 2 5 3 2 2 2" xfId="51586" xr:uid="{00000000-0005-0000-0000-0000ED9C0000}"/>
    <cellStyle name="Remarque 3 3 2 5 3 2 3" xfId="14873" xr:uid="{00000000-0005-0000-0000-0000EE9C0000}"/>
    <cellStyle name="Remarque 3 3 2 5 3 2 4" xfId="38833" xr:uid="{00000000-0005-0000-0000-0000EF9C0000}"/>
    <cellStyle name="Remarque 3 3 2 5 3 3" xfId="5046" xr:uid="{00000000-0005-0000-0000-0000F09C0000}"/>
    <cellStyle name="Remarque 3 3 2 5 3 3 2" xfId="29060" xr:uid="{00000000-0005-0000-0000-0000F19C0000}"/>
    <cellStyle name="Remarque 3 3 2 5 3 3 2 2" xfId="53020" xr:uid="{00000000-0005-0000-0000-0000F29C0000}"/>
    <cellStyle name="Remarque 3 3 2 5 3 3 3" xfId="16307" xr:uid="{00000000-0005-0000-0000-0000F39C0000}"/>
    <cellStyle name="Remarque 3 3 2 5 3 3 4" xfId="40267" xr:uid="{00000000-0005-0000-0000-0000F49C0000}"/>
    <cellStyle name="Remarque 3 3 2 5 3 4" xfId="6440" xr:uid="{00000000-0005-0000-0000-0000F59C0000}"/>
    <cellStyle name="Remarque 3 3 2 5 3 4 2" xfId="30454" xr:uid="{00000000-0005-0000-0000-0000F69C0000}"/>
    <cellStyle name="Remarque 3 3 2 5 3 4 2 2" xfId="54414" xr:uid="{00000000-0005-0000-0000-0000F79C0000}"/>
    <cellStyle name="Remarque 3 3 2 5 3 4 3" xfId="17701" xr:uid="{00000000-0005-0000-0000-0000F89C0000}"/>
    <cellStyle name="Remarque 3 3 2 5 3 4 4" xfId="41661" xr:uid="{00000000-0005-0000-0000-0000F99C0000}"/>
    <cellStyle name="Remarque 3 3 2 5 3 5" xfId="7828" xr:uid="{00000000-0005-0000-0000-0000FA9C0000}"/>
    <cellStyle name="Remarque 3 3 2 5 3 5 2" xfId="31842" xr:uid="{00000000-0005-0000-0000-0000FB9C0000}"/>
    <cellStyle name="Remarque 3 3 2 5 3 5 2 2" xfId="55802" xr:uid="{00000000-0005-0000-0000-0000FC9C0000}"/>
    <cellStyle name="Remarque 3 3 2 5 3 5 3" xfId="19089" xr:uid="{00000000-0005-0000-0000-0000FD9C0000}"/>
    <cellStyle name="Remarque 3 3 2 5 3 5 4" xfId="43049" xr:uid="{00000000-0005-0000-0000-0000FE9C0000}"/>
    <cellStyle name="Remarque 3 3 2 5 3 6" xfId="9213" xr:uid="{00000000-0005-0000-0000-0000FF9C0000}"/>
    <cellStyle name="Remarque 3 3 2 5 3 6 2" xfId="33227" xr:uid="{00000000-0005-0000-0000-0000009D0000}"/>
    <cellStyle name="Remarque 3 3 2 5 3 6 2 2" xfId="57187" xr:uid="{00000000-0005-0000-0000-0000019D0000}"/>
    <cellStyle name="Remarque 3 3 2 5 3 6 3" xfId="20474" xr:uid="{00000000-0005-0000-0000-0000029D0000}"/>
    <cellStyle name="Remarque 3 3 2 5 3 6 4" xfId="44434" xr:uid="{00000000-0005-0000-0000-0000039D0000}"/>
    <cellStyle name="Remarque 3 3 2 5 3 7" xfId="10670" xr:uid="{00000000-0005-0000-0000-0000049D0000}"/>
    <cellStyle name="Remarque 3 3 2 5 3 7 2" xfId="34680" xr:uid="{00000000-0005-0000-0000-0000059D0000}"/>
    <cellStyle name="Remarque 3 3 2 5 3 7 2 2" xfId="58640" xr:uid="{00000000-0005-0000-0000-0000069D0000}"/>
    <cellStyle name="Remarque 3 3 2 5 3 7 3" xfId="21937" xr:uid="{00000000-0005-0000-0000-0000079D0000}"/>
    <cellStyle name="Remarque 3 3 2 5 3 7 4" xfId="45897" xr:uid="{00000000-0005-0000-0000-0000089D0000}"/>
    <cellStyle name="Remarque 3 3 2 5 3 8" xfId="11734" xr:uid="{00000000-0005-0000-0000-0000099D0000}"/>
    <cellStyle name="Remarque 3 3 2 5 3 8 2" xfId="23005" xr:uid="{00000000-0005-0000-0000-00000A9D0000}"/>
    <cellStyle name="Remarque 3 3 2 5 3 8 3" xfId="46965" xr:uid="{00000000-0005-0000-0000-00000B9D0000}"/>
    <cellStyle name="Remarque 3 3 2 5 3 9" xfId="2142" xr:uid="{00000000-0005-0000-0000-00000C9D0000}"/>
    <cellStyle name="Remarque 3 3 2 5 3 9 2" xfId="26156" xr:uid="{00000000-0005-0000-0000-00000D9D0000}"/>
    <cellStyle name="Remarque 3 3 2 5 3 9 3" xfId="50116" xr:uid="{00000000-0005-0000-0000-00000E9D0000}"/>
    <cellStyle name="Remarque 3 3 2 5 4" xfId="900" xr:uid="{00000000-0005-0000-0000-00000F9D0000}"/>
    <cellStyle name="Remarque 3 3 2 5 4 10" xfId="24932" xr:uid="{00000000-0005-0000-0000-0000109D0000}"/>
    <cellStyle name="Remarque 3 3 2 5 4 10 2" xfId="48892" xr:uid="{00000000-0005-0000-0000-0000119D0000}"/>
    <cellStyle name="Remarque 3 3 2 5 4 11" xfId="36418" xr:uid="{00000000-0005-0000-0000-0000129D0000}"/>
    <cellStyle name="Remarque 3 3 2 5 4 11 2" xfId="60378" xr:uid="{00000000-0005-0000-0000-0000139D0000}"/>
    <cellStyle name="Remarque 3 3 2 5 4 12" xfId="13597" xr:uid="{00000000-0005-0000-0000-0000149D0000}"/>
    <cellStyle name="Remarque 3 3 2 5 4 13" xfId="37557" xr:uid="{00000000-0005-0000-0000-0000159D0000}"/>
    <cellStyle name="Remarque 3 3 2 5 4 2" xfId="3806" xr:uid="{00000000-0005-0000-0000-0000169D0000}"/>
    <cellStyle name="Remarque 3 3 2 5 4 2 2" xfId="27820" xr:uid="{00000000-0005-0000-0000-0000179D0000}"/>
    <cellStyle name="Remarque 3 3 2 5 4 2 2 2" xfId="51780" xr:uid="{00000000-0005-0000-0000-0000189D0000}"/>
    <cellStyle name="Remarque 3 3 2 5 4 2 3" xfId="15067" xr:uid="{00000000-0005-0000-0000-0000199D0000}"/>
    <cellStyle name="Remarque 3 3 2 5 4 2 4" xfId="39027" xr:uid="{00000000-0005-0000-0000-00001A9D0000}"/>
    <cellStyle name="Remarque 3 3 2 5 4 3" xfId="5240" xr:uid="{00000000-0005-0000-0000-00001B9D0000}"/>
    <cellStyle name="Remarque 3 3 2 5 4 3 2" xfId="29254" xr:uid="{00000000-0005-0000-0000-00001C9D0000}"/>
    <cellStyle name="Remarque 3 3 2 5 4 3 2 2" xfId="53214" xr:uid="{00000000-0005-0000-0000-00001D9D0000}"/>
    <cellStyle name="Remarque 3 3 2 5 4 3 3" xfId="16501" xr:uid="{00000000-0005-0000-0000-00001E9D0000}"/>
    <cellStyle name="Remarque 3 3 2 5 4 3 4" xfId="40461" xr:uid="{00000000-0005-0000-0000-00001F9D0000}"/>
    <cellStyle name="Remarque 3 3 2 5 4 4" xfId="6634" xr:uid="{00000000-0005-0000-0000-0000209D0000}"/>
    <cellStyle name="Remarque 3 3 2 5 4 4 2" xfId="30648" xr:uid="{00000000-0005-0000-0000-0000219D0000}"/>
    <cellStyle name="Remarque 3 3 2 5 4 4 2 2" xfId="54608" xr:uid="{00000000-0005-0000-0000-0000229D0000}"/>
    <cellStyle name="Remarque 3 3 2 5 4 4 3" xfId="17895" xr:uid="{00000000-0005-0000-0000-0000239D0000}"/>
    <cellStyle name="Remarque 3 3 2 5 4 4 4" xfId="41855" xr:uid="{00000000-0005-0000-0000-0000249D0000}"/>
    <cellStyle name="Remarque 3 3 2 5 4 5" xfId="8022" xr:uid="{00000000-0005-0000-0000-0000259D0000}"/>
    <cellStyle name="Remarque 3 3 2 5 4 5 2" xfId="32036" xr:uid="{00000000-0005-0000-0000-0000269D0000}"/>
    <cellStyle name="Remarque 3 3 2 5 4 5 2 2" xfId="55996" xr:uid="{00000000-0005-0000-0000-0000279D0000}"/>
    <cellStyle name="Remarque 3 3 2 5 4 5 3" xfId="19283" xr:uid="{00000000-0005-0000-0000-0000289D0000}"/>
    <cellStyle name="Remarque 3 3 2 5 4 5 4" xfId="43243" xr:uid="{00000000-0005-0000-0000-0000299D0000}"/>
    <cellStyle name="Remarque 3 3 2 5 4 6" xfId="9407" xr:uid="{00000000-0005-0000-0000-00002A9D0000}"/>
    <cellStyle name="Remarque 3 3 2 5 4 6 2" xfId="33421" xr:uid="{00000000-0005-0000-0000-00002B9D0000}"/>
    <cellStyle name="Remarque 3 3 2 5 4 6 2 2" xfId="57381" xr:uid="{00000000-0005-0000-0000-00002C9D0000}"/>
    <cellStyle name="Remarque 3 3 2 5 4 6 3" xfId="20668" xr:uid="{00000000-0005-0000-0000-00002D9D0000}"/>
    <cellStyle name="Remarque 3 3 2 5 4 6 4" xfId="44628" xr:uid="{00000000-0005-0000-0000-00002E9D0000}"/>
    <cellStyle name="Remarque 3 3 2 5 4 7" xfId="10864" xr:uid="{00000000-0005-0000-0000-00002F9D0000}"/>
    <cellStyle name="Remarque 3 3 2 5 4 7 2" xfId="34874" xr:uid="{00000000-0005-0000-0000-0000309D0000}"/>
    <cellStyle name="Remarque 3 3 2 5 4 7 2 2" xfId="58834" xr:uid="{00000000-0005-0000-0000-0000319D0000}"/>
    <cellStyle name="Remarque 3 3 2 5 4 7 3" xfId="22131" xr:uid="{00000000-0005-0000-0000-0000329D0000}"/>
    <cellStyle name="Remarque 3 3 2 5 4 7 4" xfId="46091" xr:uid="{00000000-0005-0000-0000-0000339D0000}"/>
    <cellStyle name="Remarque 3 3 2 5 4 8" xfId="11680" xr:uid="{00000000-0005-0000-0000-0000349D0000}"/>
    <cellStyle name="Remarque 3 3 2 5 4 8 2" xfId="22949" xr:uid="{00000000-0005-0000-0000-0000359D0000}"/>
    <cellStyle name="Remarque 3 3 2 5 4 8 3" xfId="46909" xr:uid="{00000000-0005-0000-0000-0000369D0000}"/>
    <cellStyle name="Remarque 3 3 2 5 4 9" xfId="2336" xr:uid="{00000000-0005-0000-0000-0000379D0000}"/>
    <cellStyle name="Remarque 3 3 2 5 4 9 2" xfId="26350" xr:uid="{00000000-0005-0000-0000-0000389D0000}"/>
    <cellStyle name="Remarque 3 3 2 5 4 9 3" xfId="50310" xr:uid="{00000000-0005-0000-0000-0000399D0000}"/>
    <cellStyle name="Remarque 3 3 2 5 5" xfId="1093" xr:uid="{00000000-0005-0000-0000-00003A9D0000}"/>
    <cellStyle name="Remarque 3 3 2 5 5 10" xfId="25125" xr:uid="{00000000-0005-0000-0000-00003B9D0000}"/>
    <cellStyle name="Remarque 3 3 2 5 5 10 2" xfId="49085" xr:uid="{00000000-0005-0000-0000-00003C9D0000}"/>
    <cellStyle name="Remarque 3 3 2 5 5 11" xfId="36576" xr:uid="{00000000-0005-0000-0000-00003D9D0000}"/>
    <cellStyle name="Remarque 3 3 2 5 5 11 2" xfId="60536" xr:uid="{00000000-0005-0000-0000-00003E9D0000}"/>
    <cellStyle name="Remarque 3 3 2 5 5 12" xfId="13790" xr:uid="{00000000-0005-0000-0000-00003F9D0000}"/>
    <cellStyle name="Remarque 3 3 2 5 5 13" xfId="37750" xr:uid="{00000000-0005-0000-0000-0000409D0000}"/>
    <cellStyle name="Remarque 3 3 2 5 5 2" xfId="3999" xr:uid="{00000000-0005-0000-0000-0000419D0000}"/>
    <cellStyle name="Remarque 3 3 2 5 5 2 2" xfId="28013" xr:uid="{00000000-0005-0000-0000-0000429D0000}"/>
    <cellStyle name="Remarque 3 3 2 5 5 2 2 2" xfId="51973" xr:uid="{00000000-0005-0000-0000-0000439D0000}"/>
    <cellStyle name="Remarque 3 3 2 5 5 2 3" xfId="15260" xr:uid="{00000000-0005-0000-0000-0000449D0000}"/>
    <cellStyle name="Remarque 3 3 2 5 5 2 4" xfId="39220" xr:uid="{00000000-0005-0000-0000-0000459D0000}"/>
    <cellStyle name="Remarque 3 3 2 5 5 3" xfId="5433" xr:uid="{00000000-0005-0000-0000-0000469D0000}"/>
    <cellStyle name="Remarque 3 3 2 5 5 3 2" xfId="29447" xr:uid="{00000000-0005-0000-0000-0000479D0000}"/>
    <cellStyle name="Remarque 3 3 2 5 5 3 2 2" xfId="53407" xr:uid="{00000000-0005-0000-0000-0000489D0000}"/>
    <cellStyle name="Remarque 3 3 2 5 5 3 3" xfId="16694" xr:uid="{00000000-0005-0000-0000-0000499D0000}"/>
    <cellStyle name="Remarque 3 3 2 5 5 3 4" xfId="40654" xr:uid="{00000000-0005-0000-0000-00004A9D0000}"/>
    <cellStyle name="Remarque 3 3 2 5 5 4" xfId="6827" xr:uid="{00000000-0005-0000-0000-00004B9D0000}"/>
    <cellStyle name="Remarque 3 3 2 5 5 4 2" xfId="30841" xr:uid="{00000000-0005-0000-0000-00004C9D0000}"/>
    <cellStyle name="Remarque 3 3 2 5 5 4 2 2" xfId="54801" xr:uid="{00000000-0005-0000-0000-00004D9D0000}"/>
    <cellStyle name="Remarque 3 3 2 5 5 4 3" xfId="18088" xr:uid="{00000000-0005-0000-0000-00004E9D0000}"/>
    <cellStyle name="Remarque 3 3 2 5 5 4 4" xfId="42048" xr:uid="{00000000-0005-0000-0000-00004F9D0000}"/>
    <cellStyle name="Remarque 3 3 2 5 5 5" xfId="8215" xr:uid="{00000000-0005-0000-0000-0000509D0000}"/>
    <cellStyle name="Remarque 3 3 2 5 5 5 2" xfId="32229" xr:uid="{00000000-0005-0000-0000-0000519D0000}"/>
    <cellStyle name="Remarque 3 3 2 5 5 5 2 2" xfId="56189" xr:uid="{00000000-0005-0000-0000-0000529D0000}"/>
    <cellStyle name="Remarque 3 3 2 5 5 5 3" xfId="19476" xr:uid="{00000000-0005-0000-0000-0000539D0000}"/>
    <cellStyle name="Remarque 3 3 2 5 5 5 4" xfId="43436" xr:uid="{00000000-0005-0000-0000-0000549D0000}"/>
    <cellStyle name="Remarque 3 3 2 5 5 6" xfId="9600" xr:uid="{00000000-0005-0000-0000-0000559D0000}"/>
    <cellStyle name="Remarque 3 3 2 5 5 6 2" xfId="33614" xr:uid="{00000000-0005-0000-0000-0000569D0000}"/>
    <cellStyle name="Remarque 3 3 2 5 5 6 2 2" xfId="57574" xr:uid="{00000000-0005-0000-0000-0000579D0000}"/>
    <cellStyle name="Remarque 3 3 2 5 5 6 3" xfId="20861" xr:uid="{00000000-0005-0000-0000-0000589D0000}"/>
    <cellStyle name="Remarque 3 3 2 5 5 6 4" xfId="44821" xr:uid="{00000000-0005-0000-0000-0000599D0000}"/>
    <cellStyle name="Remarque 3 3 2 5 5 7" xfId="11057" xr:uid="{00000000-0005-0000-0000-00005A9D0000}"/>
    <cellStyle name="Remarque 3 3 2 5 5 7 2" xfId="35067" xr:uid="{00000000-0005-0000-0000-00005B9D0000}"/>
    <cellStyle name="Remarque 3 3 2 5 5 7 2 2" xfId="59027" xr:uid="{00000000-0005-0000-0000-00005C9D0000}"/>
    <cellStyle name="Remarque 3 3 2 5 5 7 3" xfId="22324" xr:uid="{00000000-0005-0000-0000-00005D9D0000}"/>
    <cellStyle name="Remarque 3 3 2 5 5 7 4" xfId="46284" xr:uid="{00000000-0005-0000-0000-00005E9D0000}"/>
    <cellStyle name="Remarque 3 3 2 5 5 8" xfId="11770" xr:uid="{00000000-0005-0000-0000-00005F9D0000}"/>
    <cellStyle name="Remarque 3 3 2 5 5 8 2" xfId="23043" xr:uid="{00000000-0005-0000-0000-0000609D0000}"/>
    <cellStyle name="Remarque 3 3 2 5 5 8 3" xfId="47003" xr:uid="{00000000-0005-0000-0000-0000619D0000}"/>
    <cellStyle name="Remarque 3 3 2 5 5 9" xfId="2529" xr:uid="{00000000-0005-0000-0000-0000629D0000}"/>
    <cellStyle name="Remarque 3 3 2 5 5 9 2" xfId="26543" xr:uid="{00000000-0005-0000-0000-0000639D0000}"/>
    <cellStyle name="Remarque 3 3 2 5 5 9 3" xfId="50503" xr:uid="{00000000-0005-0000-0000-0000649D0000}"/>
    <cellStyle name="Remarque 3 3 2 5 6" xfId="1260" xr:uid="{00000000-0005-0000-0000-0000659D0000}"/>
    <cellStyle name="Remarque 3 3 2 5 6 10" xfId="25292" xr:uid="{00000000-0005-0000-0000-0000669D0000}"/>
    <cellStyle name="Remarque 3 3 2 5 6 10 2" xfId="49252" xr:uid="{00000000-0005-0000-0000-0000679D0000}"/>
    <cellStyle name="Remarque 3 3 2 5 6 11" xfId="35833" xr:uid="{00000000-0005-0000-0000-0000689D0000}"/>
    <cellStyle name="Remarque 3 3 2 5 6 11 2" xfId="59793" xr:uid="{00000000-0005-0000-0000-0000699D0000}"/>
    <cellStyle name="Remarque 3 3 2 5 6 12" xfId="13957" xr:uid="{00000000-0005-0000-0000-00006A9D0000}"/>
    <cellStyle name="Remarque 3 3 2 5 6 13" xfId="37917" xr:uid="{00000000-0005-0000-0000-00006B9D0000}"/>
    <cellStyle name="Remarque 3 3 2 5 6 2" xfId="4166" xr:uid="{00000000-0005-0000-0000-00006C9D0000}"/>
    <cellStyle name="Remarque 3 3 2 5 6 2 2" xfId="28180" xr:uid="{00000000-0005-0000-0000-00006D9D0000}"/>
    <cellStyle name="Remarque 3 3 2 5 6 2 2 2" xfId="52140" xr:uid="{00000000-0005-0000-0000-00006E9D0000}"/>
    <cellStyle name="Remarque 3 3 2 5 6 2 3" xfId="15427" xr:uid="{00000000-0005-0000-0000-00006F9D0000}"/>
    <cellStyle name="Remarque 3 3 2 5 6 2 4" xfId="39387" xr:uid="{00000000-0005-0000-0000-0000709D0000}"/>
    <cellStyle name="Remarque 3 3 2 5 6 3" xfId="5600" xr:uid="{00000000-0005-0000-0000-0000719D0000}"/>
    <cellStyle name="Remarque 3 3 2 5 6 3 2" xfId="29614" xr:uid="{00000000-0005-0000-0000-0000729D0000}"/>
    <cellStyle name="Remarque 3 3 2 5 6 3 2 2" xfId="53574" xr:uid="{00000000-0005-0000-0000-0000739D0000}"/>
    <cellStyle name="Remarque 3 3 2 5 6 3 3" xfId="16861" xr:uid="{00000000-0005-0000-0000-0000749D0000}"/>
    <cellStyle name="Remarque 3 3 2 5 6 3 4" xfId="40821" xr:uid="{00000000-0005-0000-0000-0000759D0000}"/>
    <cellStyle name="Remarque 3 3 2 5 6 4" xfId="6994" xr:uid="{00000000-0005-0000-0000-0000769D0000}"/>
    <cellStyle name="Remarque 3 3 2 5 6 4 2" xfId="31008" xr:uid="{00000000-0005-0000-0000-0000779D0000}"/>
    <cellStyle name="Remarque 3 3 2 5 6 4 2 2" xfId="54968" xr:uid="{00000000-0005-0000-0000-0000789D0000}"/>
    <cellStyle name="Remarque 3 3 2 5 6 4 3" xfId="18255" xr:uid="{00000000-0005-0000-0000-0000799D0000}"/>
    <cellStyle name="Remarque 3 3 2 5 6 4 4" xfId="42215" xr:uid="{00000000-0005-0000-0000-00007A9D0000}"/>
    <cellStyle name="Remarque 3 3 2 5 6 5" xfId="8382" xr:uid="{00000000-0005-0000-0000-00007B9D0000}"/>
    <cellStyle name="Remarque 3 3 2 5 6 5 2" xfId="32396" xr:uid="{00000000-0005-0000-0000-00007C9D0000}"/>
    <cellStyle name="Remarque 3 3 2 5 6 5 2 2" xfId="56356" xr:uid="{00000000-0005-0000-0000-00007D9D0000}"/>
    <cellStyle name="Remarque 3 3 2 5 6 5 3" xfId="19643" xr:uid="{00000000-0005-0000-0000-00007E9D0000}"/>
    <cellStyle name="Remarque 3 3 2 5 6 5 4" xfId="43603" xr:uid="{00000000-0005-0000-0000-00007F9D0000}"/>
    <cellStyle name="Remarque 3 3 2 5 6 6" xfId="9767" xr:uid="{00000000-0005-0000-0000-0000809D0000}"/>
    <cellStyle name="Remarque 3 3 2 5 6 6 2" xfId="33781" xr:uid="{00000000-0005-0000-0000-0000819D0000}"/>
    <cellStyle name="Remarque 3 3 2 5 6 6 2 2" xfId="57741" xr:uid="{00000000-0005-0000-0000-0000829D0000}"/>
    <cellStyle name="Remarque 3 3 2 5 6 6 3" xfId="21028" xr:uid="{00000000-0005-0000-0000-0000839D0000}"/>
    <cellStyle name="Remarque 3 3 2 5 6 6 4" xfId="44988" xr:uid="{00000000-0005-0000-0000-0000849D0000}"/>
    <cellStyle name="Remarque 3 3 2 5 6 7" xfId="11224" xr:uid="{00000000-0005-0000-0000-0000859D0000}"/>
    <cellStyle name="Remarque 3 3 2 5 6 7 2" xfId="35234" xr:uid="{00000000-0005-0000-0000-0000869D0000}"/>
    <cellStyle name="Remarque 3 3 2 5 6 7 2 2" xfId="59194" xr:uid="{00000000-0005-0000-0000-0000879D0000}"/>
    <cellStyle name="Remarque 3 3 2 5 6 7 3" xfId="22491" xr:uid="{00000000-0005-0000-0000-0000889D0000}"/>
    <cellStyle name="Remarque 3 3 2 5 6 7 4" xfId="46451" xr:uid="{00000000-0005-0000-0000-0000899D0000}"/>
    <cellStyle name="Remarque 3 3 2 5 6 8" xfId="11977" xr:uid="{00000000-0005-0000-0000-00008A9D0000}"/>
    <cellStyle name="Remarque 3 3 2 5 6 8 2" xfId="23255" xr:uid="{00000000-0005-0000-0000-00008B9D0000}"/>
    <cellStyle name="Remarque 3 3 2 5 6 8 3" xfId="47215" xr:uid="{00000000-0005-0000-0000-00008C9D0000}"/>
    <cellStyle name="Remarque 3 3 2 5 6 9" xfId="2696" xr:uid="{00000000-0005-0000-0000-00008D9D0000}"/>
    <cellStyle name="Remarque 3 3 2 5 6 9 2" xfId="26710" xr:uid="{00000000-0005-0000-0000-00008E9D0000}"/>
    <cellStyle name="Remarque 3 3 2 5 6 9 3" xfId="50670" xr:uid="{00000000-0005-0000-0000-00008F9D0000}"/>
    <cellStyle name="Remarque 3 3 2 5 7" xfId="1429" xr:uid="{00000000-0005-0000-0000-0000909D0000}"/>
    <cellStyle name="Remarque 3 3 2 5 7 10" xfId="25461" xr:uid="{00000000-0005-0000-0000-0000919D0000}"/>
    <cellStyle name="Remarque 3 3 2 5 7 10 2" xfId="49421" xr:uid="{00000000-0005-0000-0000-0000929D0000}"/>
    <cellStyle name="Remarque 3 3 2 5 7 11" xfId="35800" xr:uid="{00000000-0005-0000-0000-0000939D0000}"/>
    <cellStyle name="Remarque 3 3 2 5 7 11 2" xfId="59760" xr:uid="{00000000-0005-0000-0000-0000949D0000}"/>
    <cellStyle name="Remarque 3 3 2 5 7 12" xfId="14126" xr:uid="{00000000-0005-0000-0000-0000959D0000}"/>
    <cellStyle name="Remarque 3 3 2 5 7 13" xfId="38086" xr:uid="{00000000-0005-0000-0000-0000969D0000}"/>
    <cellStyle name="Remarque 3 3 2 5 7 2" xfId="4335" xr:uid="{00000000-0005-0000-0000-0000979D0000}"/>
    <cellStyle name="Remarque 3 3 2 5 7 2 2" xfId="28349" xr:uid="{00000000-0005-0000-0000-0000989D0000}"/>
    <cellStyle name="Remarque 3 3 2 5 7 2 2 2" xfId="52309" xr:uid="{00000000-0005-0000-0000-0000999D0000}"/>
    <cellStyle name="Remarque 3 3 2 5 7 2 3" xfId="15596" xr:uid="{00000000-0005-0000-0000-00009A9D0000}"/>
    <cellStyle name="Remarque 3 3 2 5 7 2 4" xfId="39556" xr:uid="{00000000-0005-0000-0000-00009B9D0000}"/>
    <cellStyle name="Remarque 3 3 2 5 7 3" xfId="5769" xr:uid="{00000000-0005-0000-0000-00009C9D0000}"/>
    <cellStyle name="Remarque 3 3 2 5 7 3 2" xfId="29783" xr:uid="{00000000-0005-0000-0000-00009D9D0000}"/>
    <cellStyle name="Remarque 3 3 2 5 7 3 2 2" xfId="53743" xr:uid="{00000000-0005-0000-0000-00009E9D0000}"/>
    <cellStyle name="Remarque 3 3 2 5 7 3 3" xfId="17030" xr:uid="{00000000-0005-0000-0000-00009F9D0000}"/>
    <cellStyle name="Remarque 3 3 2 5 7 3 4" xfId="40990" xr:uid="{00000000-0005-0000-0000-0000A09D0000}"/>
    <cellStyle name="Remarque 3 3 2 5 7 4" xfId="7163" xr:uid="{00000000-0005-0000-0000-0000A19D0000}"/>
    <cellStyle name="Remarque 3 3 2 5 7 4 2" xfId="31177" xr:uid="{00000000-0005-0000-0000-0000A29D0000}"/>
    <cellStyle name="Remarque 3 3 2 5 7 4 2 2" xfId="55137" xr:uid="{00000000-0005-0000-0000-0000A39D0000}"/>
    <cellStyle name="Remarque 3 3 2 5 7 4 3" xfId="18424" xr:uid="{00000000-0005-0000-0000-0000A49D0000}"/>
    <cellStyle name="Remarque 3 3 2 5 7 4 4" xfId="42384" xr:uid="{00000000-0005-0000-0000-0000A59D0000}"/>
    <cellStyle name="Remarque 3 3 2 5 7 5" xfId="8551" xr:uid="{00000000-0005-0000-0000-0000A69D0000}"/>
    <cellStyle name="Remarque 3 3 2 5 7 5 2" xfId="32565" xr:uid="{00000000-0005-0000-0000-0000A79D0000}"/>
    <cellStyle name="Remarque 3 3 2 5 7 5 2 2" xfId="56525" xr:uid="{00000000-0005-0000-0000-0000A89D0000}"/>
    <cellStyle name="Remarque 3 3 2 5 7 5 3" xfId="19812" xr:uid="{00000000-0005-0000-0000-0000A99D0000}"/>
    <cellStyle name="Remarque 3 3 2 5 7 5 4" xfId="43772" xr:uid="{00000000-0005-0000-0000-0000AA9D0000}"/>
    <cellStyle name="Remarque 3 3 2 5 7 6" xfId="9936" xr:uid="{00000000-0005-0000-0000-0000AB9D0000}"/>
    <cellStyle name="Remarque 3 3 2 5 7 6 2" xfId="33950" xr:uid="{00000000-0005-0000-0000-0000AC9D0000}"/>
    <cellStyle name="Remarque 3 3 2 5 7 6 2 2" xfId="57910" xr:uid="{00000000-0005-0000-0000-0000AD9D0000}"/>
    <cellStyle name="Remarque 3 3 2 5 7 6 3" xfId="21197" xr:uid="{00000000-0005-0000-0000-0000AE9D0000}"/>
    <cellStyle name="Remarque 3 3 2 5 7 6 4" xfId="45157" xr:uid="{00000000-0005-0000-0000-0000AF9D0000}"/>
    <cellStyle name="Remarque 3 3 2 5 7 7" xfId="11393" xr:uid="{00000000-0005-0000-0000-0000B09D0000}"/>
    <cellStyle name="Remarque 3 3 2 5 7 7 2" xfId="35403" xr:uid="{00000000-0005-0000-0000-0000B19D0000}"/>
    <cellStyle name="Remarque 3 3 2 5 7 7 2 2" xfId="59363" xr:uid="{00000000-0005-0000-0000-0000B29D0000}"/>
    <cellStyle name="Remarque 3 3 2 5 7 7 3" xfId="22660" xr:uid="{00000000-0005-0000-0000-0000B39D0000}"/>
    <cellStyle name="Remarque 3 3 2 5 7 7 4" xfId="46620" xr:uid="{00000000-0005-0000-0000-0000B49D0000}"/>
    <cellStyle name="Remarque 3 3 2 5 7 8" xfId="11728" xr:uid="{00000000-0005-0000-0000-0000B59D0000}"/>
    <cellStyle name="Remarque 3 3 2 5 7 8 2" xfId="22999" xr:uid="{00000000-0005-0000-0000-0000B69D0000}"/>
    <cellStyle name="Remarque 3 3 2 5 7 8 3" xfId="46959" xr:uid="{00000000-0005-0000-0000-0000B79D0000}"/>
    <cellStyle name="Remarque 3 3 2 5 7 9" xfId="2865" xr:uid="{00000000-0005-0000-0000-0000B89D0000}"/>
    <cellStyle name="Remarque 3 3 2 5 7 9 2" xfId="26879" xr:uid="{00000000-0005-0000-0000-0000B99D0000}"/>
    <cellStyle name="Remarque 3 3 2 5 7 9 3" xfId="50839" xr:uid="{00000000-0005-0000-0000-0000BA9D0000}"/>
    <cellStyle name="Remarque 3 3 2 5 8" xfId="3284" xr:uid="{00000000-0005-0000-0000-0000BB9D0000}"/>
    <cellStyle name="Remarque 3 3 2 5 8 2" xfId="27298" xr:uid="{00000000-0005-0000-0000-0000BC9D0000}"/>
    <cellStyle name="Remarque 3 3 2 5 8 2 2" xfId="51258" xr:uid="{00000000-0005-0000-0000-0000BD9D0000}"/>
    <cellStyle name="Remarque 3 3 2 5 8 3" xfId="14545" xr:uid="{00000000-0005-0000-0000-0000BE9D0000}"/>
    <cellStyle name="Remarque 3 3 2 5 8 4" xfId="38505" xr:uid="{00000000-0005-0000-0000-0000BF9D0000}"/>
    <cellStyle name="Remarque 3 3 2 5 9" xfId="4718" xr:uid="{00000000-0005-0000-0000-0000C09D0000}"/>
    <cellStyle name="Remarque 3 3 2 5 9 2" xfId="28732" xr:uid="{00000000-0005-0000-0000-0000C19D0000}"/>
    <cellStyle name="Remarque 3 3 2 5 9 2 2" xfId="52692" xr:uid="{00000000-0005-0000-0000-0000C29D0000}"/>
    <cellStyle name="Remarque 3 3 2 5 9 3" xfId="15979" xr:uid="{00000000-0005-0000-0000-0000C39D0000}"/>
    <cellStyle name="Remarque 3 3 2 5 9 4" xfId="39939" xr:uid="{00000000-0005-0000-0000-0000C49D0000}"/>
    <cellStyle name="Remarque 3 3 2 6" xfId="309" xr:uid="{00000000-0005-0000-0000-0000C59D0000}"/>
    <cellStyle name="Remarque 3 3 2 6 10" xfId="24341" xr:uid="{00000000-0005-0000-0000-0000C69D0000}"/>
    <cellStyle name="Remarque 3 3 2 6 10 2" xfId="48301" xr:uid="{00000000-0005-0000-0000-0000C79D0000}"/>
    <cellStyle name="Remarque 3 3 2 6 11" xfId="36338" xr:uid="{00000000-0005-0000-0000-0000C89D0000}"/>
    <cellStyle name="Remarque 3 3 2 6 11 2" xfId="60298" xr:uid="{00000000-0005-0000-0000-0000C99D0000}"/>
    <cellStyle name="Remarque 3 3 2 6 12" xfId="13006" xr:uid="{00000000-0005-0000-0000-0000CA9D0000}"/>
    <cellStyle name="Remarque 3 3 2 6 13" xfId="36966" xr:uid="{00000000-0005-0000-0000-0000CB9D0000}"/>
    <cellStyle name="Remarque 3 3 2 6 2" xfId="3215" xr:uid="{00000000-0005-0000-0000-0000CC9D0000}"/>
    <cellStyle name="Remarque 3 3 2 6 2 2" xfId="27229" xr:uid="{00000000-0005-0000-0000-0000CD9D0000}"/>
    <cellStyle name="Remarque 3 3 2 6 2 2 2" xfId="51189" xr:uid="{00000000-0005-0000-0000-0000CE9D0000}"/>
    <cellStyle name="Remarque 3 3 2 6 2 3" xfId="14476" xr:uid="{00000000-0005-0000-0000-0000CF9D0000}"/>
    <cellStyle name="Remarque 3 3 2 6 2 4" xfId="38436" xr:uid="{00000000-0005-0000-0000-0000D09D0000}"/>
    <cellStyle name="Remarque 3 3 2 6 3" xfId="4649" xr:uid="{00000000-0005-0000-0000-0000D19D0000}"/>
    <cellStyle name="Remarque 3 3 2 6 3 2" xfId="28663" xr:uid="{00000000-0005-0000-0000-0000D29D0000}"/>
    <cellStyle name="Remarque 3 3 2 6 3 2 2" xfId="52623" xr:uid="{00000000-0005-0000-0000-0000D39D0000}"/>
    <cellStyle name="Remarque 3 3 2 6 3 3" xfId="15910" xr:uid="{00000000-0005-0000-0000-0000D49D0000}"/>
    <cellStyle name="Remarque 3 3 2 6 3 4" xfId="39870" xr:uid="{00000000-0005-0000-0000-0000D59D0000}"/>
    <cellStyle name="Remarque 3 3 2 6 4" xfId="6043" xr:uid="{00000000-0005-0000-0000-0000D69D0000}"/>
    <cellStyle name="Remarque 3 3 2 6 4 2" xfId="30057" xr:uid="{00000000-0005-0000-0000-0000D79D0000}"/>
    <cellStyle name="Remarque 3 3 2 6 4 2 2" xfId="54017" xr:uid="{00000000-0005-0000-0000-0000D89D0000}"/>
    <cellStyle name="Remarque 3 3 2 6 4 3" xfId="17304" xr:uid="{00000000-0005-0000-0000-0000D99D0000}"/>
    <cellStyle name="Remarque 3 3 2 6 4 4" xfId="41264" xr:uid="{00000000-0005-0000-0000-0000DA9D0000}"/>
    <cellStyle name="Remarque 3 3 2 6 5" xfId="7431" xr:uid="{00000000-0005-0000-0000-0000DB9D0000}"/>
    <cellStyle name="Remarque 3 3 2 6 5 2" xfId="31445" xr:uid="{00000000-0005-0000-0000-0000DC9D0000}"/>
    <cellStyle name="Remarque 3 3 2 6 5 2 2" xfId="55405" xr:uid="{00000000-0005-0000-0000-0000DD9D0000}"/>
    <cellStyle name="Remarque 3 3 2 6 5 3" xfId="18692" xr:uid="{00000000-0005-0000-0000-0000DE9D0000}"/>
    <cellStyle name="Remarque 3 3 2 6 5 4" xfId="42652" xr:uid="{00000000-0005-0000-0000-0000DF9D0000}"/>
    <cellStyle name="Remarque 3 3 2 6 6" xfId="8816" xr:uid="{00000000-0005-0000-0000-0000E09D0000}"/>
    <cellStyle name="Remarque 3 3 2 6 6 2" xfId="32830" xr:uid="{00000000-0005-0000-0000-0000E19D0000}"/>
    <cellStyle name="Remarque 3 3 2 6 6 2 2" xfId="56790" xr:uid="{00000000-0005-0000-0000-0000E29D0000}"/>
    <cellStyle name="Remarque 3 3 2 6 6 3" xfId="20077" xr:uid="{00000000-0005-0000-0000-0000E39D0000}"/>
    <cellStyle name="Remarque 3 3 2 6 6 4" xfId="44037" xr:uid="{00000000-0005-0000-0000-0000E49D0000}"/>
    <cellStyle name="Remarque 3 3 2 6 7" xfId="10273" xr:uid="{00000000-0005-0000-0000-0000E59D0000}"/>
    <cellStyle name="Remarque 3 3 2 6 7 2" xfId="34283" xr:uid="{00000000-0005-0000-0000-0000E69D0000}"/>
    <cellStyle name="Remarque 3 3 2 6 7 2 2" xfId="58243" xr:uid="{00000000-0005-0000-0000-0000E79D0000}"/>
    <cellStyle name="Remarque 3 3 2 6 7 3" xfId="21540" xr:uid="{00000000-0005-0000-0000-0000E89D0000}"/>
    <cellStyle name="Remarque 3 3 2 6 7 4" xfId="45500" xr:uid="{00000000-0005-0000-0000-0000E99D0000}"/>
    <cellStyle name="Remarque 3 3 2 6 8" xfId="12720" xr:uid="{00000000-0005-0000-0000-0000EA9D0000}"/>
    <cellStyle name="Remarque 3 3 2 6 8 2" xfId="24026" xr:uid="{00000000-0005-0000-0000-0000EB9D0000}"/>
    <cellStyle name="Remarque 3 3 2 6 8 3" xfId="47986" xr:uid="{00000000-0005-0000-0000-0000EC9D0000}"/>
    <cellStyle name="Remarque 3 3 2 6 9" xfId="1745" xr:uid="{00000000-0005-0000-0000-0000ED9D0000}"/>
    <cellStyle name="Remarque 3 3 2 6 9 2" xfId="25759" xr:uid="{00000000-0005-0000-0000-0000EE9D0000}"/>
    <cellStyle name="Remarque 3 3 2 6 9 3" xfId="49719" xr:uid="{00000000-0005-0000-0000-0000EF9D0000}"/>
    <cellStyle name="Remarque 3 3 2 7" xfId="633" xr:uid="{00000000-0005-0000-0000-0000F09D0000}"/>
    <cellStyle name="Remarque 3 3 2 7 10" xfId="24665" xr:uid="{00000000-0005-0000-0000-0000F19D0000}"/>
    <cellStyle name="Remarque 3 3 2 7 10 2" xfId="48625" xr:uid="{00000000-0005-0000-0000-0000F29D0000}"/>
    <cellStyle name="Remarque 3 3 2 7 11" xfId="36719" xr:uid="{00000000-0005-0000-0000-0000F39D0000}"/>
    <cellStyle name="Remarque 3 3 2 7 11 2" xfId="60679" xr:uid="{00000000-0005-0000-0000-0000F49D0000}"/>
    <cellStyle name="Remarque 3 3 2 7 12" xfId="13330" xr:uid="{00000000-0005-0000-0000-0000F59D0000}"/>
    <cellStyle name="Remarque 3 3 2 7 13" xfId="37290" xr:uid="{00000000-0005-0000-0000-0000F69D0000}"/>
    <cellStyle name="Remarque 3 3 2 7 2" xfId="3539" xr:uid="{00000000-0005-0000-0000-0000F79D0000}"/>
    <cellStyle name="Remarque 3 3 2 7 2 2" xfId="27553" xr:uid="{00000000-0005-0000-0000-0000F89D0000}"/>
    <cellStyle name="Remarque 3 3 2 7 2 2 2" xfId="51513" xr:uid="{00000000-0005-0000-0000-0000F99D0000}"/>
    <cellStyle name="Remarque 3 3 2 7 2 3" xfId="14800" xr:uid="{00000000-0005-0000-0000-0000FA9D0000}"/>
    <cellStyle name="Remarque 3 3 2 7 2 4" xfId="38760" xr:uid="{00000000-0005-0000-0000-0000FB9D0000}"/>
    <cellStyle name="Remarque 3 3 2 7 3" xfId="4973" xr:uid="{00000000-0005-0000-0000-0000FC9D0000}"/>
    <cellStyle name="Remarque 3 3 2 7 3 2" xfId="28987" xr:uid="{00000000-0005-0000-0000-0000FD9D0000}"/>
    <cellStyle name="Remarque 3 3 2 7 3 2 2" xfId="52947" xr:uid="{00000000-0005-0000-0000-0000FE9D0000}"/>
    <cellStyle name="Remarque 3 3 2 7 3 3" xfId="16234" xr:uid="{00000000-0005-0000-0000-0000FF9D0000}"/>
    <cellStyle name="Remarque 3 3 2 7 3 4" xfId="40194" xr:uid="{00000000-0005-0000-0000-0000009E0000}"/>
    <cellStyle name="Remarque 3 3 2 7 4" xfId="6367" xr:uid="{00000000-0005-0000-0000-0000019E0000}"/>
    <cellStyle name="Remarque 3 3 2 7 4 2" xfId="30381" xr:uid="{00000000-0005-0000-0000-0000029E0000}"/>
    <cellStyle name="Remarque 3 3 2 7 4 2 2" xfId="54341" xr:uid="{00000000-0005-0000-0000-0000039E0000}"/>
    <cellStyle name="Remarque 3 3 2 7 4 3" xfId="17628" xr:uid="{00000000-0005-0000-0000-0000049E0000}"/>
    <cellStyle name="Remarque 3 3 2 7 4 4" xfId="41588" xr:uid="{00000000-0005-0000-0000-0000059E0000}"/>
    <cellStyle name="Remarque 3 3 2 7 5" xfId="7755" xr:uid="{00000000-0005-0000-0000-0000069E0000}"/>
    <cellStyle name="Remarque 3 3 2 7 5 2" xfId="31769" xr:uid="{00000000-0005-0000-0000-0000079E0000}"/>
    <cellStyle name="Remarque 3 3 2 7 5 2 2" xfId="55729" xr:uid="{00000000-0005-0000-0000-0000089E0000}"/>
    <cellStyle name="Remarque 3 3 2 7 5 3" xfId="19016" xr:uid="{00000000-0005-0000-0000-0000099E0000}"/>
    <cellStyle name="Remarque 3 3 2 7 5 4" xfId="42976" xr:uid="{00000000-0005-0000-0000-00000A9E0000}"/>
    <cellStyle name="Remarque 3 3 2 7 6" xfId="9140" xr:uid="{00000000-0005-0000-0000-00000B9E0000}"/>
    <cellStyle name="Remarque 3 3 2 7 6 2" xfId="33154" xr:uid="{00000000-0005-0000-0000-00000C9E0000}"/>
    <cellStyle name="Remarque 3 3 2 7 6 2 2" xfId="57114" xr:uid="{00000000-0005-0000-0000-00000D9E0000}"/>
    <cellStyle name="Remarque 3 3 2 7 6 3" xfId="20401" xr:uid="{00000000-0005-0000-0000-00000E9E0000}"/>
    <cellStyle name="Remarque 3 3 2 7 6 4" xfId="44361" xr:uid="{00000000-0005-0000-0000-00000F9E0000}"/>
    <cellStyle name="Remarque 3 3 2 7 7" xfId="10597" xr:uid="{00000000-0005-0000-0000-0000109E0000}"/>
    <cellStyle name="Remarque 3 3 2 7 7 2" xfId="34607" xr:uid="{00000000-0005-0000-0000-0000119E0000}"/>
    <cellStyle name="Remarque 3 3 2 7 7 2 2" xfId="58567" xr:uid="{00000000-0005-0000-0000-0000129E0000}"/>
    <cellStyle name="Remarque 3 3 2 7 7 3" xfId="21864" xr:uid="{00000000-0005-0000-0000-0000139E0000}"/>
    <cellStyle name="Remarque 3 3 2 7 7 4" xfId="45824" xr:uid="{00000000-0005-0000-0000-0000149E0000}"/>
    <cellStyle name="Remarque 3 3 2 7 8" xfId="11762" xr:uid="{00000000-0005-0000-0000-0000159E0000}"/>
    <cellStyle name="Remarque 3 3 2 7 8 2" xfId="23034" xr:uid="{00000000-0005-0000-0000-0000169E0000}"/>
    <cellStyle name="Remarque 3 3 2 7 8 3" xfId="46994" xr:uid="{00000000-0005-0000-0000-0000179E0000}"/>
    <cellStyle name="Remarque 3 3 2 7 9" xfId="2069" xr:uid="{00000000-0005-0000-0000-0000189E0000}"/>
    <cellStyle name="Remarque 3 3 2 7 9 2" xfId="26083" xr:uid="{00000000-0005-0000-0000-0000199E0000}"/>
    <cellStyle name="Remarque 3 3 2 7 9 3" xfId="50043" xr:uid="{00000000-0005-0000-0000-00001A9E0000}"/>
    <cellStyle name="Remarque 3 3 2 8" xfId="827" xr:uid="{00000000-0005-0000-0000-00001B9E0000}"/>
    <cellStyle name="Remarque 3 3 2 8 10" xfId="24859" xr:uid="{00000000-0005-0000-0000-00001C9E0000}"/>
    <cellStyle name="Remarque 3 3 2 8 10 2" xfId="48819" xr:uid="{00000000-0005-0000-0000-00001D9E0000}"/>
    <cellStyle name="Remarque 3 3 2 8 11" xfId="36061" xr:uid="{00000000-0005-0000-0000-00001E9E0000}"/>
    <cellStyle name="Remarque 3 3 2 8 11 2" xfId="60021" xr:uid="{00000000-0005-0000-0000-00001F9E0000}"/>
    <cellStyle name="Remarque 3 3 2 8 12" xfId="13524" xr:uid="{00000000-0005-0000-0000-0000209E0000}"/>
    <cellStyle name="Remarque 3 3 2 8 13" xfId="37484" xr:uid="{00000000-0005-0000-0000-0000219E0000}"/>
    <cellStyle name="Remarque 3 3 2 8 2" xfId="3733" xr:uid="{00000000-0005-0000-0000-0000229E0000}"/>
    <cellStyle name="Remarque 3 3 2 8 2 2" xfId="27747" xr:uid="{00000000-0005-0000-0000-0000239E0000}"/>
    <cellStyle name="Remarque 3 3 2 8 2 2 2" xfId="51707" xr:uid="{00000000-0005-0000-0000-0000249E0000}"/>
    <cellStyle name="Remarque 3 3 2 8 2 3" xfId="14994" xr:uid="{00000000-0005-0000-0000-0000259E0000}"/>
    <cellStyle name="Remarque 3 3 2 8 2 4" xfId="38954" xr:uid="{00000000-0005-0000-0000-0000269E0000}"/>
    <cellStyle name="Remarque 3 3 2 8 3" xfId="5167" xr:uid="{00000000-0005-0000-0000-0000279E0000}"/>
    <cellStyle name="Remarque 3 3 2 8 3 2" xfId="29181" xr:uid="{00000000-0005-0000-0000-0000289E0000}"/>
    <cellStyle name="Remarque 3 3 2 8 3 2 2" xfId="53141" xr:uid="{00000000-0005-0000-0000-0000299E0000}"/>
    <cellStyle name="Remarque 3 3 2 8 3 3" xfId="16428" xr:uid="{00000000-0005-0000-0000-00002A9E0000}"/>
    <cellStyle name="Remarque 3 3 2 8 3 4" xfId="40388" xr:uid="{00000000-0005-0000-0000-00002B9E0000}"/>
    <cellStyle name="Remarque 3 3 2 8 4" xfId="6561" xr:uid="{00000000-0005-0000-0000-00002C9E0000}"/>
    <cellStyle name="Remarque 3 3 2 8 4 2" xfId="30575" xr:uid="{00000000-0005-0000-0000-00002D9E0000}"/>
    <cellStyle name="Remarque 3 3 2 8 4 2 2" xfId="54535" xr:uid="{00000000-0005-0000-0000-00002E9E0000}"/>
    <cellStyle name="Remarque 3 3 2 8 4 3" xfId="17822" xr:uid="{00000000-0005-0000-0000-00002F9E0000}"/>
    <cellStyle name="Remarque 3 3 2 8 4 4" xfId="41782" xr:uid="{00000000-0005-0000-0000-0000309E0000}"/>
    <cellStyle name="Remarque 3 3 2 8 5" xfId="7949" xr:uid="{00000000-0005-0000-0000-0000319E0000}"/>
    <cellStyle name="Remarque 3 3 2 8 5 2" xfId="31963" xr:uid="{00000000-0005-0000-0000-0000329E0000}"/>
    <cellStyle name="Remarque 3 3 2 8 5 2 2" xfId="55923" xr:uid="{00000000-0005-0000-0000-0000339E0000}"/>
    <cellStyle name="Remarque 3 3 2 8 5 3" xfId="19210" xr:uid="{00000000-0005-0000-0000-0000349E0000}"/>
    <cellStyle name="Remarque 3 3 2 8 5 4" xfId="43170" xr:uid="{00000000-0005-0000-0000-0000359E0000}"/>
    <cellStyle name="Remarque 3 3 2 8 6" xfId="9334" xr:uid="{00000000-0005-0000-0000-0000369E0000}"/>
    <cellStyle name="Remarque 3 3 2 8 6 2" xfId="33348" xr:uid="{00000000-0005-0000-0000-0000379E0000}"/>
    <cellStyle name="Remarque 3 3 2 8 6 2 2" xfId="57308" xr:uid="{00000000-0005-0000-0000-0000389E0000}"/>
    <cellStyle name="Remarque 3 3 2 8 6 3" xfId="20595" xr:uid="{00000000-0005-0000-0000-0000399E0000}"/>
    <cellStyle name="Remarque 3 3 2 8 6 4" xfId="44555" xr:uid="{00000000-0005-0000-0000-00003A9E0000}"/>
    <cellStyle name="Remarque 3 3 2 8 7" xfId="10791" xr:uid="{00000000-0005-0000-0000-00003B9E0000}"/>
    <cellStyle name="Remarque 3 3 2 8 7 2" xfId="34801" xr:uid="{00000000-0005-0000-0000-00003C9E0000}"/>
    <cellStyle name="Remarque 3 3 2 8 7 2 2" xfId="58761" xr:uid="{00000000-0005-0000-0000-00003D9E0000}"/>
    <cellStyle name="Remarque 3 3 2 8 7 3" xfId="22058" xr:uid="{00000000-0005-0000-0000-00003E9E0000}"/>
    <cellStyle name="Remarque 3 3 2 8 7 4" xfId="46018" xr:uid="{00000000-0005-0000-0000-00003F9E0000}"/>
    <cellStyle name="Remarque 3 3 2 8 8" xfId="12368" xr:uid="{00000000-0005-0000-0000-0000409E0000}"/>
    <cellStyle name="Remarque 3 3 2 8 8 2" xfId="23657" xr:uid="{00000000-0005-0000-0000-0000419E0000}"/>
    <cellStyle name="Remarque 3 3 2 8 8 3" xfId="47617" xr:uid="{00000000-0005-0000-0000-0000429E0000}"/>
    <cellStyle name="Remarque 3 3 2 8 9" xfId="2263" xr:uid="{00000000-0005-0000-0000-0000439E0000}"/>
    <cellStyle name="Remarque 3 3 2 8 9 2" xfId="26277" xr:uid="{00000000-0005-0000-0000-0000449E0000}"/>
    <cellStyle name="Remarque 3 3 2 8 9 3" xfId="50237" xr:uid="{00000000-0005-0000-0000-0000459E0000}"/>
    <cellStyle name="Remarque 3 3 2 9" xfId="1020" xr:uid="{00000000-0005-0000-0000-0000469E0000}"/>
    <cellStyle name="Remarque 3 3 2 9 10" xfId="25052" xr:uid="{00000000-0005-0000-0000-0000479E0000}"/>
    <cellStyle name="Remarque 3 3 2 9 10 2" xfId="49012" xr:uid="{00000000-0005-0000-0000-0000489E0000}"/>
    <cellStyle name="Remarque 3 3 2 9 11" xfId="36584" xr:uid="{00000000-0005-0000-0000-0000499E0000}"/>
    <cellStyle name="Remarque 3 3 2 9 11 2" xfId="60544" xr:uid="{00000000-0005-0000-0000-00004A9E0000}"/>
    <cellStyle name="Remarque 3 3 2 9 12" xfId="13717" xr:uid="{00000000-0005-0000-0000-00004B9E0000}"/>
    <cellStyle name="Remarque 3 3 2 9 13" xfId="37677" xr:uid="{00000000-0005-0000-0000-00004C9E0000}"/>
    <cellStyle name="Remarque 3 3 2 9 2" xfId="3926" xr:uid="{00000000-0005-0000-0000-00004D9E0000}"/>
    <cellStyle name="Remarque 3 3 2 9 2 2" xfId="27940" xr:uid="{00000000-0005-0000-0000-00004E9E0000}"/>
    <cellStyle name="Remarque 3 3 2 9 2 2 2" xfId="51900" xr:uid="{00000000-0005-0000-0000-00004F9E0000}"/>
    <cellStyle name="Remarque 3 3 2 9 2 3" xfId="15187" xr:uid="{00000000-0005-0000-0000-0000509E0000}"/>
    <cellStyle name="Remarque 3 3 2 9 2 4" xfId="39147" xr:uid="{00000000-0005-0000-0000-0000519E0000}"/>
    <cellStyle name="Remarque 3 3 2 9 3" xfId="5360" xr:uid="{00000000-0005-0000-0000-0000529E0000}"/>
    <cellStyle name="Remarque 3 3 2 9 3 2" xfId="29374" xr:uid="{00000000-0005-0000-0000-0000539E0000}"/>
    <cellStyle name="Remarque 3 3 2 9 3 2 2" xfId="53334" xr:uid="{00000000-0005-0000-0000-0000549E0000}"/>
    <cellStyle name="Remarque 3 3 2 9 3 3" xfId="16621" xr:uid="{00000000-0005-0000-0000-0000559E0000}"/>
    <cellStyle name="Remarque 3 3 2 9 3 4" xfId="40581" xr:uid="{00000000-0005-0000-0000-0000569E0000}"/>
    <cellStyle name="Remarque 3 3 2 9 4" xfId="6754" xr:uid="{00000000-0005-0000-0000-0000579E0000}"/>
    <cellStyle name="Remarque 3 3 2 9 4 2" xfId="30768" xr:uid="{00000000-0005-0000-0000-0000589E0000}"/>
    <cellStyle name="Remarque 3 3 2 9 4 2 2" xfId="54728" xr:uid="{00000000-0005-0000-0000-0000599E0000}"/>
    <cellStyle name="Remarque 3 3 2 9 4 3" xfId="18015" xr:uid="{00000000-0005-0000-0000-00005A9E0000}"/>
    <cellStyle name="Remarque 3 3 2 9 4 4" xfId="41975" xr:uid="{00000000-0005-0000-0000-00005B9E0000}"/>
    <cellStyle name="Remarque 3 3 2 9 5" xfId="8142" xr:uid="{00000000-0005-0000-0000-00005C9E0000}"/>
    <cellStyle name="Remarque 3 3 2 9 5 2" xfId="32156" xr:uid="{00000000-0005-0000-0000-00005D9E0000}"/>
    <cellStyle name="Remarque 3 3 2 9 5 2 2" xfId="56116" xr:uid="{00000000-0005-0000-0000-00005E9E0000}"/>
    <cellStyle name="Remarque 3 3 2 9 5 3" xfId="19403" xr:uid="{00000000-0005-0000-0000-00005F9E0000}"/>
    <cellStyle name="Remarque 3 3 2 9 5 4" xfId="43363" xr:uid="{00000000-0005-0000-0000-0000609E0000}"/>
    <cellStyle name="Remarque 3 3 2 9 6" xfId="9527" xr:uid="{00000000-0005-0000-0000-0000619E0000}"/>
    <cellStyle name="Remarque 3 3 2 9 6 2" xfId="33541" xr:uid="{00000000-0005-0000-0000-0000629E0000}"/>
    <cellStyle name="Remarque 3 3 2 9 6 2 2" xfId="57501" xr:uid="{00000000-0005-0000-0000-0000639E0000}"/>
    <cellStyle name="Remarque 3 3 2 9 6 3" xfId="20788" xr:uid="{00000000-0005-0000-0000-0000649E0000}"/>
    <cellStyle name="Remarque 3 3 2 9 6 4" xfId="44748" xr:uid="{00000000-0005-0000-0000-0000659E0000}"/>
    <cellStyle name="Remarque 3 3 2 9 7" xfId="10984" xr:uid="{00000000-0005-0000-0000-0000669E0000}"/>
    <cellStyle name="Remarque 3 3 2 9 7 2" xfId="34994" xr:uid="{00000000-0005-0000-0000-0000679E0000}"/>
    <cellStyle name="Remarque 3 3 2 9 7 2 2" xfId="58954" xr:uid="{00000000-0005-0000-0000-0000689E0000}"/>
    <cellStyle name="Remarque 3 3 2 9 7 3" xfId="22251" xr:uid="{00000000-0005-0000-0000-0000699E0000}"/>
    <cellStyle name="Remarque 3 3 2 9 7 4" xfId="46211" xr:uid="{00000000-0005-0000-0000-00006A9E0000}"/>
    <cellStyle name="Remarque 3 3 2 9 8" xfId="11965" xr:uid="{00000000-0005-0000-0000-00006B9E0000}"/>
    <cellStyle name="Remarque 3 3 2 9 8 2" xfId="23243" xr:uid="{00000000-0005-0000-0000-00006C9E0000}"/>
    <cellStyle name="Remarque 3 3 2 9 8 3" xfId="47203" xr:uid="{00000000-0005-0000-0000-00006D9E0000}"/>
    <cellStyle name="Remarque 3 3 2 9 9" xfId="2456" xr:uid="{00000000-0005-0000-0000-00006E9E0000}"/>
    <cellStyle name="Remarque 3 3 2 9 9 2" xfId="26470" xr:uid="{00000000-0005-0000-0000-00006F9E0000}"/>
    <cellStyle name="Remarque 3 3 2 9 9 3" xfId="50430" xr:uid="{00000000-0005-0000-0000-0000709E0000}"/>
    <cellStyle name="Remarque 3 3 3" xfId="49" xr:uid="{00000000-0005-0000-0000-0000719E0000}"/>
    <cellStyle name="Remarque 3 3 3 10" xfId="3158" xr:uid="{00000000-0005-0000-0000-0000729E0000}"/>
    <cellStyle name="Remarque 3 3 3 10 2" xfId="27172" xr:uid="{00000000-0005-0000-0000-0000739E0000}"/>
    <cellStyle name="Remarque 3 3 3 10 2 2" xfId="51132" xr:uid="{00000000-0005-0000-0000-0000749E0000}"/>
    <cellStyle name="Remarque 3 3 3 10 3" xfId="14419" xr:uid="{00000000-0005-0000-0000-0000759E0000}"/>
    <cellStyle name="Remarque 3 3 3 10 4" xfId="38379" xr:uid="{00000000-0005-0000-0000-0000769E0000}"/>
    <cellStyle name="Remarque 3 3 3 11" xfId="4592" xr:uid="{00000000-0005-0000-0000-0000779E0000}"/>
    <cellStyle name="Remarque 3 3 3 11 2" xfId="28606" xr:uid="{00000000-0005-0000-0000-0000789E0000}"/>
    <cellStyle name="Remarque 3 3 3 11 2 2" xfId="52566" xr:uid="{00000000-0005-0000-0000-0000799E0000}"/>
    <cellStyle name="Remarque 3 3 3 11 3" xfId="15853" xr:uid="{00000000-0005-0000-0000-00007A9E0000}"/>
    <cellStyle name="Remarque 3 3 3 11 4" xfId="39813" xr:uid="{00000000-0005-0000-0000-00007B9E0000}"/>
    <cellStyle name="Remarque 3 3 3 12" xfId="5986" xr:uid="{00000000-0005-0000-0000-00007C9E0000}"/>
    <cellStyle name="Remarque 3 3 3 12 2" xfId="30000" xr:uid="{00000000-0005-0000-0000-00007D9E0000}"/>
    <cellStyle name="Remarque 3 3 3 12 2 2" xfId="53960" xr:uid="{00000000-0005-0000-0000-00007E9E0000}"/>
    <cellStyle name="Remarque 3 3 3 12 3" xfId="17247" xr:uid="{00000000-0005-0000-0000-00007F9E0000}"/>
    <cellStyle name="Remarque 3 3 3 12 4" xfId="41207" xr:uid="{00000000-0005-0000-0000-0000809E0000}"/>
    <cellStyle name="Remarque 3 3 3 13" xfId="7374" xr:uid="{00000000-0005-0000-0000-0000819E0000}"/>
    <cellStyle name="Remarque 3 3 3 13 2" xfId="31388" xr:uid="{00000000-0005-0000-0000-0000829E0000}"/>
    <cellStyle name="Remarque 3 3 3 13 2 2" xfId="55348" xr:uid="{00000000-0005-0000-0000-0000839E0000}"/>
    <cellStyle name="Remarque 3 3 3 13 3" xfId="18635" xr:uid="{00000000-0005-0000-0000-0000849E0000}"/>
    <cellStyle name="Remarque 3 3 3 13 4" xfId="42595" xr:uid="{00000000-0005-0000-0000-0000859E0000}"/>
    <cellStyle name="Remarque 3 3 3 14" xfId="8759" xr:uid="{00000000-0005-0000-0000-0000869E0000}"/>
    <cellStyle name="Remarque 3 3 3 14 2" xfId="32773" xr:uid="{00000000-0005-0000-0000-0000879E0000}"/>
    <cellStyle name="Remarque 3 3 3 14 2 2" xfId="56733" xr:uid="{00000000-0005-0000-0000-0000889E0000}"/>
    <cellStyle name="Remarque 3 3 3 14 3" xfId="20020" xr:uid="{00000000-0005-0000-0000-0000899E0000}"/>
    <cellStyle name="Remarque 3 3 3 14 4" xfId="43980" xr:uid="{00000000-0005-0000-0000-00008A9E0000}"/>
    <cellStyle name="Remarque 3 3 3 15" xfId="10216" xr:uid="{00000000-0005-0000-0000-00008B9E0000}"/>
    <cellStyle name="Remarque 3 3 3 15 2" xfId="34226" xr:uid="{00000000-0005-0000-0000-00008C9E0000}"/>
    <cellStyle name="Remarque 3 3 3 15 2 2" xfId="58186" xr:uid="{00000000-0005-0000-0000-00008D9E0000}"/>
    <cellStyle name="Remarque 3 3 3 15 3" xfId="21483" xr:uid="{00000000-0005-0000-0000-00008E9E0000}"/>
    <cellStyle name="Remarque 3 3 3 15 4" xfId="45443" xr:uid="{00000000-0005-0000-0000-00008F9E0000}"/>
    <cellStyle name="Remarque 3 3 3 16" xfId="11699" xr:uid="{00000000-0005-0000-0000-0000909E0000}"/>
    <cellStyle name="Remarque 3 3 3 16 2" xfId="22968" xr:uid="{00000000-0005-0000-0000-0000919E0000}"/>
    <cellStyle name="Remarque 3 3 3 16 3" xfId="46928" xr:uid="{00000000-0005-0000-0000-0000929E0000}"/>
    <cellStyle name="Remarque 3 3 3 17" xfId="1688" xr:uid="{00000000-0005-0000-0000-0000939E0000}"/>
    <cellStyle name="Remarque 3 3 3 17 2" xfId="25702" xr:uid="{00000000-0005-0000-0000-0000949E0000}"/>
    <cellStyle name="Remarque 3 3 3 17 3" xfId="49662" xr:uid="{00000000-0005-0000-0000-0000959E0000}"/>
    <cellStyle name="Remarque 3 3 3 18" xfId="24284" xr:uid="{00000000-0005-0000-0000-0000969E0000}"/>
    <cellStyle name="Remarque 3 3 3 18 2" xfId="48244" xr:uid="{00000000-0005-0000-0000-0000979E0000}"/>
    <cellStyle name="Remarque 3 3 3 19" xfId="35766" xr:uid="{00000000-0005-0000-0000-0000989E0000}"/>
    <cellStyle name="Remarque 3 3 3 19 2" xfId="59726" xr:uid="{00000000-0005-0000-0000-0000999E0000}"/>
    <cellStyle name="Remarque 3 3 3 2" xfId="427" xr:uid="{00000000-0005-0000-0000-00009A9E0000}"/>
    <cellStyle name="Remarque 3 3 3 2 10" xfId="6161" xr:uid="{00000000-0005-0000-0000-00009B9E0000}"/>
    <cellStyle name="Remarque 3 3 3 2 10 2" xfId="30175" xr:uid="{00000000-0005-0000-0000-00009C9E0000}"/>
    <cellStyle name="Remarque 3 3 3 2 10 2 2" xfId="54135" xr:uid="{00000000-0005-0000-0000-00009D9E0000}"/>
    <cellStyle name="Remarque 3 3 3 2 10 3" xfId="17422" xr:uid="{00000000-0005-0000-0000-00009E9E0000}"/>
    <cellStyle name="Remarque 3 3 3 2 10 4" xfId="41382" xr:uid="{00000000-0005-0000-0000-00009F9E0000}"/>
    <cellStyle name="Remarque 3 3 3 2 11" xfId="7549" xr:uid="{00000000-0005-0000-0000-0000A09E0000}"/>
    <cellStyle name="Remarque 3 3 3 2 11 2" xfId="31563" xr:uid="{00000000-0005-0000-0000-0000A19E0000}"/>
    <cellStyle name="Remarque 3 3 3 2 11 2 2" xfId="55523" xr:uid="{00000000-0005-0000-0000-0000A29E0000}"/>
    <cellStyle name="Remarque 3 3 3 2 11 3" xfId="18810" xr:uid="{00000000-0005-0000-0000-0000A39E0000}"/>
    <cellStyle name="Remarque 3 3 3 2 11 4" xfId="42770" xr:uid="{00000000-0005-0000-0000-0000A49E0000}"/>
    <cellStyle name="Remarque 3 3 3 2 12" xfId="8934" xr:uid="{00000000-0005-0000-0000-0000A59E0000}"/>
    <cellStyle name="Remarque 3 3 3 2 12 2" xfId="32948" xr:uid="{00000000-0005-0000-0000-0000A69E0000}"/>
    <cellStyle name="Remarque 3 3 3 2 12 2 2" xfId="56908" xr:uid="{00000000-0005-0000-0000-0000A79E0000}"/>
    <cellStyle name="Remarque 3 3 3 2 12 3" xfId="20195" xr:uid="{00000000-0005-0000-0000-0000A89E0000}"/>
    <cellStyle name="Remarque 3 3 3 2 12 4" xfId="44155" xr:uid="{00000000-0005-0000-0000-0000A99E0000}"/>
    <cellStyle name="Remarque 3 3 3 2 13" xfId="10391" xr:uid="{00000000-0005-0000-0000-0000AA9E0000}"/>
    <cellStyle name="Remarque 3 3 3 2 13 2" xfId="34401" xr:uid="{00000000-0005-0000-0000-0000AB9E0000}"/>
    <cellStyle name="Remarque 3 3 3 2 13 2 2" xfId="58361" xr:uid="{00000000-0005-0000-0000-0000AC9E0000}"/>
    <cellStyle name="Remarque 3 3 3 2 13 3" xfId="21658" xr:uid="{00000000-0005-0000-0000-0000AD9E0000}"/>
    <cellStyle name="Remarque 3 3 3 2 13 4" xfId="45618" xr:uid="{00000000-0005-0000-0000-0000AE9E0000}"/>
    <cellStyle name="Remarque 3 3 3 2 14" xfId="11586" xr:uid="{00000000-0005-0000-0000-0000AF9E0000}"/>
    <cellStyle name="Remarque 3 3 3 2 14 2" xfId="22853" xr:uid="{00000000-0005-0000-0000-0000B09E0000}"/>
    <cellStyle name="Remarque 3 3 3 2 14 3" xfId="46813" xr:uid="{00000000-0005-0000-0000-0000B19E0000}"/>
    <cellStyle name="Remarque 3 3 3 2 15" xfId="1863" xr:uid="{00000000-0005-0000-0000-0000B29E0000}"/>
    <cellStyle name="Remarque 3 3 3 2 15 2" xfId="25877" xr:uid="{00000000-0005-0000-0000-0000B39E0000}"/>
    <cellStyle name="Remarque 3 3 3 2 15 3" xfId="49837" xr:uid="{00000000-0005-0000-0000-0000B49E0000}"/>
    <cellStyle name="Remarque 3 3 3 2 16" xfId="24459" xr:uid="{00000000-0005-0000-0000-0000B59E0000}"/>
    <cellStyle name="Remarque 3 3 3 2 16 2" xfId="48419" xr:uid="{00000000-0005-0000-0000-0000B69E0000}"/>
    <cellStyle name="Remarque 3 3 3 2 17" xfId="36765" xr:uid="{00000000-0005-0000-0000-0000B79E0000}"/>
    <cellStyle name="Remarque 3 3 3 2 17 2" xfId="60725" xr:uid="{00000000-0005-0000-0000-0000B89E0000}"/>
    <cellStyle name="Remarque 3 3 3 2 18" xfId="13124" xr:uid="{00000000-0005-0000-0000-0000B99E0000}"/>
    <cellStyle name="Remarque 3 3 3 2 19" xfId="37084" xr:uid="{00000000-0005-0000-0000-0000BA9E0000}"/>
    <cellStyle name="Remarque 3 3 3 2 2" xfId="563" xr:uid="{00000000-0005-0000-0000-0000BB9E0000}"/>
    <cellStyle name="Remarque 3 3 3 2 2 10" xfId="24595" xr:uid="{00000000-0005-0000-0000-0000BC9E0000}"/>
    <cellStyle name="Remarque 3 3 3 2 2 10 2" xfId="48555" xr:uid="{00000000-0005-0000-0000-0000BD9E0000}"/>
    <cellStyle name="Remarque 3 3 3 2 2 11" xfId="36706" xr:uid="{00000000-0005-0000-0000-0000BE9E0000}"/>
    <cellStyle name="Remarque 3 3 3 2 2 11 2" xfId="60666" xr:uid="{00000000-0005-0000-0000-0000BF9E0000}"/>
    <cellStyle name="Remarque 3 3 3 2 2 12" xfId="13260" xr:uid="{00000000-0005-0000-0000-0000C09E0000}"/>
    <cellStyle name="Remarque 3 3 3 2 2 13" xfId="37220" xr:uid="{00000000-0005-0000-0000-0000C19E0000}"/>
    <cellStyle name="Remarque 3 3 3 2 2 2" xfId="3469" xr:uid="{00000000-0005-0000-0000-0000C29E0000}"/>
    <cellStyle name="Remarque 3 3 3 2 2 2 2" xfId="27483" xr:uid="{00000000-0005-0000-0000-0000C39E0000}"/>
    <cellStyle name="Remarque 3 3 3 2 2 2 2 2" xfId="51443" xr:uid="{00000000-0005-0000-0000-0000C49E0000}"/>
    <cellStyle name="Remarque 3 3 3 2 2 2 3" xfId="14730" xr:uid="{00000000-0005-0000-0000-0000C59E0000}"/>
    <cellStyle name="Remarque 3 3 3 2 2 2 4" xfId="38690" xr:uid="{00000000-0005-0000-0000-0000C69E0000}"/>
    <cellStyle name="Remarque 3 3 3 2 2 3" xfId="4903" xr:uid="{00000000-0005-0000-0000-0000C79E0000}"/>
    <cellStyle name="Remarque 3 3 3 2 2 3 2" xfId="28917" xr:uid="{00000000-0005-0000-0000-0000C89E0000}"/>
    <cellStyle name="Remarque 3 3 3 2 2 3 2 2" xfId="52877" xr:uid="{00000000-0005-0000-0000-0000C99E0000}"/>
    <cellStyle name="Remarque 3 3 3 2 2 3 3" xfId="16164" xr:uid="{00000000-0005-0000-0000-0000CA9E0000}"/>
    <cellStyle name="Remarque 3 3 3 2 2 3 4" xfId="40124" xr:uid="{00000000-0005-0000-0000-0000CB9E0000}"/>
    <cellStyle name="Remarque 3 3 3 2 2 4" xfId="6297" xr:uid="{00000000-0005-0000-0000-0000CC9E0000}"/>
    <cellStyle name="Remarque 3 3 3 2 2 4 2" xfId="30311" xr:uid="{00000000-0005-0000-0000-0000CD9E0000}"/>
    <cellStyle name="Remarque 3 3 3 2 2 4 2 2" xfId="54271" xr:uid="{00000000-0005-0000-0000-0000CE9E0000}"/>
    <cellStyle name="Remarque 3 3 3 2 2 4 3" xfId="17558" xr:uid="{00000000-0005-0000-0000-0000CF9E0000}"/>
    <cellStyle name="Remarque 3 3 3 2 2 4 4" xfId="41518" xr:uid="{00000000-0005-0000-0000-0000D09E0000}"/>
    <cellStyle name="Remarque 3 3 3 2 2 5" xfId="7685" xr:uid="{00000000-0005-0000-0000-0000D19E0000}"/>
    <cellStyle name="Remarque 3 3 3 2 2 5 2" xfId="31699" xr:uid="{00000000-0005-0000-0000-0000D29E0000}"/>
    <cellStyle name="Remarque 3 3 3 2 2 5 2 2" xfId="55659" xr:uid="{00000000-0005-0000-0000-0000D39E0000}"/>
    <cellStyle name="Remarque 3 3 3 2 2 5 3" xfId="18946" xr:uid="{00000000-0005-0000-0000-0000D49E0000}"/>
    <cellStyle name="Remarque 3 3 3 2 2 5 4" xfId="42906" xr:uid="{00000000-0005-0000-0000-0000D59E0000}"/>
    <cellStyle name="Remarque 3 3 3 2 2 6" xfId="9070" xr:uid="{00000000-0005-0000-0000-0000D69E0000}"/>
    <cellStyle name="Remarque 3 3 3 2 2 6 2" xfId="33084" xr:uid="{00000000-0005-0000-0000-0000D79E0000}"/>
    <cellStyle name="Remarque 3 3 3 2 2 6 2 2" xfId="57044" xr:uid="{00000000-0005-0000-0000-0000D89E0000}"/>
    <cellStyle name="Remarque 3 3 3 2 2 6 3" xfId="20331" xr:uid="{00000000-0005-0000-0000-0000D99E0000}"/>
    <cellStyle name="Remarque 3 3 3 2 2 6 4" xfId="44291" xr:uid="{00000000-0005-0000-0000-0000DA9E0000}"/>
    <cellStyle name="Remarque 3 3 3 2 2 7" xfId="10527" xr:uid="{00000000-0005-0000-0000-0000DB9E0000}"/>
    <cellStyle name="Remarque 3 3 3 2 2 7 2" xfId="34537" xr:uid="{00000000-0005-0000-0000-0000DC9E0000}"/>
    <cellStyle name="Remarque 3 3 3 2 2 7 2 2" xfId="58497" xr:uid="{00000000-0005-0000-0000-0000DD9E0000}"/>
    <cellStyle name="Remarque 3 3 3 2 2 7 3" xfId="21794" xr:uid="{00000000-0005-0000-0000-0000DE9E0000}"/>
    <cellStyle name="Remarque 3 3 3 2 2 7 4" xfId="45754" xr:uid="{00000000-0005-0000-0000-0000DF9E0000}"/>
    <cellStyle name="Remarque 3 3 3 2 2 8" xfId="11924" xr:uid="{00000000-0005-0000-0000-0000E09E0000}"/>
    <cellStyle name="Remarque 3 3 3 2 2 8 2" xfId="23202" xr:uid="{00000000-0005-0000-0000-0000E19E0000}"/>
    <cellStyle name="Remarque 3 3 3 2 2 8 3" xfId="47162" xr:uid="{00000000-0005-0000-0000-0000E29E0000}"/>
    <cellStyle name="Remarque 3 3 3 2 2 9" xfId="1999" xr:uid="{00000000-0005-0000-0000-0000E39E0000}"/>
    <cellStyle name="Remarque 3 3 3 2 2 9 2" xfId="26013" xr:uid="{00000000-0005-0000-0000-0000E49E0000}"/>
    <cellStyle name="Remarque 3 3 3 2 2 9 3" xfId="49973" xr:uid="{00000000-0005-0000-0000-0000E59E0000}"/>
    <cellStyle name="Remarque 3 3 3 2 3" xfId="755" xr:uid="{00000000-0005-0000-0000-0000E69E0000}"/>
    <cellStyle name="Remarque 3 3 3 2 3 10" xfId="24787" xr:uid="{00000000-0005-0000-0000-0000E79E0000}"/>
    <cellStyle name="Remarque 3 3 3 2 3 10 2" xfId="48747" xr:uid="{00000000-0005-0000-0000-0000E89E0000}"/>
    <cellStyle name="Remarque 3 3 3 2 3 11" xfId="36640" xr:uid="{00000000-0005-0000-0000-0000E99E0000}"/>
    <cellStyle name="Remarque 3 3 3 2 3 11 2" xfId="60600" xr:uid="{00000000-0005-0000-0000-0000EA9E0000}"/>
    <cellStyle name="Remarque 3 3 3 2 3 12" xfId="13452" xr:uid="{00000000-0005-0000-0000-0000EB9E0000}"/>
    <cellStyle name="Remarque 3 3 3 2 3 13" xfId="37412" xr:uid="{00000000-0005-0000-0000-0000EC9E0000}"/>
    <cellStyle name="Remarque 3 3 3 2 3 2" xfId="3661" xr:uid="{00000000-0005-0000-0000-0000ED9E0000}"/>
    <cellStyle name="Remarque 3 3 3 2 3 2 2" xfId="27675" xr:uid="{00000000-0005-0000-0000-0000EE9E0000}"/>
    <cellStyle name="Remarque 3 3 3 2 3 2 2 2" xfId="51635" xr:uid="{00000000-0005-0000-0000-0000EF9E0000}"/>
    <cellStyle name="Remarque 3 3 3 2 3 2 3" xfId="14922" xr:uid="{00000000-0005-0000-0000-0000F09E0000}"/>
    <cellStyle name="Remarque 3 3 3 2 3 2 4" xfId="38882" xr:uid="{00000000-0005-0000-0000-0000F19E0000}"/>
    <cellStyle name="Remarque 3 3 3 2 3 3" xfId="5095" xr:uid="{00000000-0005-0000-0000-0000F29E0000}"/>
    <cellStyle name="Remarque 3 3 3 2 3 3 2" xfId="29109" xr:uid="{00000000-0005-0000-0000-0000F39E0000}"/>
    <cellStyle name="Remarque 3 3 3 2 3 3 2 2" xfId="53069" xr:uid="{00000000-0005-0000-0000-0000F49E0000}"/>
    <cellStyle name="Remarque 3 3 3 2 3 3 3" xfId="16356" xr:uid="{00000000-0005-0000-0000-0000F59E0000}"/>
    <cellStyle name="Remarque 3 3 3 2 3 3 4" xfId="40316" xr:uid="{00000000-0005-0000-0000-0000F69E0000}"/>
    <cellStyle name="Remarque 3 3 3 2 3 4" xfId="6489" xr:uid="{00000000-0005-0000-0000-0000F79E0000}"/>
    <cellStyle name="Remarque 3 3 3 2 3 4 2" xfId="30503" xr:uid="{00000000-0005-0000-0000-0000F89E0000}"/>
    <cellStyle name="Remarque 3 3 3 2 3 4 2 2" xfId="54463" xr:uid="{00000000-0005-0000-0000-0000F99E0000}"/>
    <cellStyle name="Remarque 3 3 3 2 3 4 3" xfId="17750" xr:uid="{00000000-0005-0000-0000-0000FA9E0000}"/>
    <cellStyle name="Remarque 3 3 3 2 3 4 4" xfId="41710" xr:uid="{00000000-0005-0000-0000-0000FB9E0000}"/>
    <cellStyle name="Remarque 3 3 3 2 3 5" xfId="7877" xr:uid="{00000000-0005-0000-0000-0000FC9E0000}"/>
    <cellStyle name="Remarque 3 3 3 2 3 5 2" xfId="31891" xr:uid="{00000000-0005-0000-0000-0000FD9E0000}"/>
    <cellStyle name="Remarque 3 3 3 2 3 5 2 2" xfId="55851" xr:uid="{00000000-0005-0000-0000-0000FE9E0000}"/>
    <cellStyle name="Remarque 3 3 3 2 3 5 3" xfId="19138" xr:uid="{00000000-0005-0000-0000-0000FF9E0000}"/>
    <cellStyle name="Remarque 3 3 3 2 3 5 4" xfId="43098" xr:uid="{00000000-0005-0000-0000-0000009F0000}"/>
    <cellStyle name="Remarque 3 3 3 2 3 6" xfId="9262" xr:uid="{00000000-0005-0000-0000-0000019F0000}"/>
    <cellStyle name="Remarque 3 3 3 2 3 6 2" xfId="33276" xr:uid="{00000000-0005-0000-0000-0000029F0000}"/>
    <cellStyle name="Remarque 3 3 3 2 3 6 2 2" xfId="57236" xr:uid="{00000000-0005-0000-0000-0000039F0000}"/>
    <cellStyle name="Remarque 3 3 3 2 3 6 3" xfId="20523" xr:uid="{00000000-0005-0000-0000-0000049F0000}"/>
    <cellStyle name="Remarque 3 3 3 2 3 6 4" xfId="44483" xr:uid="{00000000-0005-0000-0000-0000059F0000}"/>
    <cellStyle name="Remarque 3 3 3 2 3 7" xfId="10719" xr:uid="{00000000-0005-0000-0000-0000069F0000}"/>
    <cellStyle name="Remarque 3 3 3 2 3 7 2" xfId="34729" xr:uid="{00000000-0005-0000-0000-0000079F0000}"/>
    <cellStyle name="Remarque 3 3 3 2 3 7 2 2" xfId="58689" xr:uid="{00000000-0005-0000-0000-0000089F0000}"/>
    <cellStyle name="Remarque 3 3 3 2 3 7 3" xfId="21986" xr:uid="{00000000-0005-0000-0000-0000099F0000}"/>
    <cellStyle name="Remarque 3 3 3 2 3 7 4" xfId="45946" xr:uid="{00000000-0005-0000-0000-00000A9F0000}"/>
    <cellStyle name="Remarque 3 3 3 2 3 8" xfId="12202" xr:uid="{00000000-0005-0000-0000-00000B9F0000}"/>
    <cellStyle name="Remarque 3 3 3 2 3 8 2" xfId="23485" xr:uid="{00000000-0005-0000-0000-00000C9F0000}"/>
    <cellStyle name="Remarque 3 3 3 2 3 8 3" xfId="47445" xr:uid="{00000000-0005-0000-0000-00000D9F0000}"/>
    <cellStyle name="Remarque 3 3 3 2 3 9" xfId="2191" xr:uid="{00000000-0005-0000-0000-00000E9F0000}"/>
    <cellStyle name="Remarque 3 3 3 2 3 9 2" xfId="26205" xr:uid="{00000000-0005-0000-0000-00000F9F0000}"/>
    <cellStyle name="Remarque 3 3 3 2 3 9 3" xfId="50165" xr:uid="{00000000-0005-0000-0000-0000109F0000}"/>
    <cellStyle name="Remarque 3 3 3 2 4" xfId="949" xr:uid="{00000000-0005-0000-0000-0000119F0000}"/>
    <cellStyle name="Remarque 3 3 3 2 4 10" xfId="24981" xr:uid="{00000000-0005-0000-0000-0000129F0000}"/>
    <cellStyle name="Remarque 3 3 3 2 4 10 2" xfId="48941" xr:uid="{00000000-0005-0000-0000-0000139F0000}"/>
    <cellStyle name="Remarque 3 3 3 2 4 11" xfId="36448" xr:uid="{00000000-0005-0000-0000-0000149F0000}"/>
    <cellStyle name="Remarque 3 3 3 2 4 11 2" xfId="60408" xr:uid="{00000000-0005-0000-0000-0000159F0000}"/>
    <cellStyle name="Remarque 3 3 3 2 4 12" xfId="13646" xr:uid="{00000000-0005-0000-0000-0000169F0000}"/>
    <cellStyle name="Remarque 3 3 3 2 4 13" xfId="37606" xr:uid="{00000000-0005-0000-0000-0000179F0000}"/>
    <cellStyle name="Remarque 3 3 3 2 4 2" xfId="3855" xr:uid="{00000000-0005-0000-0000-0000189F0000}"/>
    <cellStyle name="Remarque 3 3 3 2 4 2 2" xfId="27869" xr:uid="{00000000-0005-0000-0000-0000199F0000}"/>
    <cellStyle name="Remarque 3 3 3 2 4 2 2 2" xfId="51829" xr:uid="{00000000-0005-0000-0000-00001A9F0000}"/>
    <cellStyle name="Remarque 3 3 3 2 4 2 3" xfId="15116" xr:uid="{00000000-0005-0000-0000-00001B9F0000}"/>
    <cellStyle name="Remarque 3 3 3 2 4 2 4" xfId="39076" xr:uid="{00000000-0005-0000-0000-00001C9F0000}"/>
    <cellStyle name="Remarque 3 3 3 2 4 3" xfId="5289" xr:uid="{00000000-0005-0000-0000-00001D9F0000}"/>
    <cellStyle name="Remarque 3 3 3 2 4 3 2" xfId="29303" xr:uid="{00000000-0005-0000-0000-00001E9F0000}"/>
    <cellStyle name="Remarque 3 3 3 2 4 3 2 2" xfId="53263" xr:uid="{00000000-0005-0000-0000-00001F9F0000}"/>
    <cellStyle name="Remarque 3 3 3 2 4 3 3" xfId="16550" xr:uid="{00000000-0005-0000-0000-0000209F0000}"/>
    <cellStyle name="Remarque 3 3 3 2 4 3 4" xfId="40510" xr:uid="{00000000-0005-0000-0000-0000219F0000}"/>
    <cellStyle name="Remarque 3 3 3 2 4 4" xfId="6683" xr:uid="{00000000-0005-0000-0000-0000229F0000}"/>
    <cellStyle name="Remarque 3 3 3 2 4 4 2" xfId="30697" xr:uid="{00000000-0005-0000-0000-0000239F0000}"/>
    <cellStyle name="Remarque 3 3 3 2 4 4 2 2" xfId="54657" xr:uid="{00000000-0005-0000-0000-0000249F0000}"/>
    <cellStyle name="Remarque 3 3 3 2 4 4 3" xfId="17944" xr:uid="{00000000-0005-0000-0000-0000259F0000}"/>
    <cellStyle name="Remarque 3 3 3 2 4 4 4" xfId="41904" xr:uid="{00000000-0005-0000-0000-0000269F0000}"/>
    <cellStyle name="Remarque 3 3 3 2 4 5" xfId="8071" xr:uid="{00000000-0005-0000-0000-0000279F0000}"/>
    <cellStyle name="Remarque 3 3 3 2 4 5 2" xfId="32085" xr:uid="{00000000-0005-0000-0000-0000289F0000}"/>
    <cellStyle name="Remarque 3 3 3 2 4 5 2 2" xfId="56045" xr:uid="{00000000-0005-0000-0000-0000299F0000}"/>
    <cellStyle name="Remarque 3 3 3 2 4 5 3" xfId="19332" xr:uid="{00000000-0005-0000-0000-00002A9F0000}"/>
    <cellStyle name="Remarque 3 3 3 2 4 5 4" xfId="43292" xr:uid="{00000000-0005-0000-0000-00002B9F0000}"/>
    <cellStyle name="Remarque 3 3 3 2 4 6" xfId="9456" xr:uid="{00000000-0005-0000-0000-00002C9F0000}"/>
    <cellStyle name="Remarque 3 3 3 2 4 6 2" xfId="33470" xr:uid="{00000000-0005-0000-0000-00002D9F0000}"/>
    <cellStyle name="Remarque 3 3 3 2 4 6 2 2" xfId="57430" xr:uid="{00000000-0005-0000-0000-00002E9F0000}"/>
    <cellStyle name="Remarque 3 3 3 2 4 6 3" xfId="20717" xr:uid="{00000000-0005-0000-0000-00002F9F0000}"/>
    <cellStyle name="Remarque 3 3 3 2 4 6 4" xfId="44677" xr:uid="{00000000-0005-0000-0000-0000309F0000}"/>
    <cellStyle name="Remarque 3 3 3 2 4 7" xfId="10913" xr:uid="{00000000-0005-0000-0000-0000319F0000}"/>
    <cellStyle name="Remarque 3 3 3 2 4 7 2" xfId="34923" xr:uid="{00000000-0005-0000-0000-0000329F0000}"/>
    <cellStyle name="Remarque 3 3 3 2 4 7 2 2" xfId="58883" xr:uid="{00000000-0005-0000-0000-0000339F0000}"/>
    <cellStyle name="Remarque 3 3 3 2 4 7 3" xfId="22180" xr:uid="{00000000-0005-0000-0000-0000349F0000}"/>
    <cellStyle name="Remarque 3 3 3 2 4 7 4" xfId="46140" xr:uid="{00000000-0005-0000-0000-0000359F0000}"/>
    <cellStyle name="Remarque 3 3 3 2 4 8" xfId="12047" xr:uid="{00000000-0005-0000-0000-0000369F0000}"/>
    <cellStyle name="Remarque 3 3 3 2 4 8 2" xfId="23327" xr:uid="{00000000-0005-0000-0000-0000379F0000}"/>
    <cellStyle name="Remarque 3 3 3 2 4 8 3" xfId="47287" xr:uid="{00000000-0005-0000-0000-0000389F0000}"/>
    <cellStyle name="Remarque 3 3 3 2 4 9" xfId="2385" xr:uid="{00000000-0005-0000-0000-0000399F0000}"/>
    <cellStyle name="Remarque 3 3 3 2 4 9 2" xfId="26399" xr:uid="{00000000-0005-0000-0000-00003A9F0000}"/>
    <cellStyle name="Remarque 3 3 3 2 4 9 3" xfId="50359" xr:uid="{00000000-0005-0000-0000-00003B9F0000}"/>
    <cellStyle name="Remarque 3 3 3 2 5" xfId="1142" xr:uid="{00000000-0005-0000-0000-00003C9F0000}"/>
    <cellStyle name="Remarque 3 3 3 2 5 10" xfId="25174" xr:uid="{00000000-0005-0000-0000-00003D9F0000}"/>
    <cellStyle name="Remarque 3 3 3 2 5 10 2" xfId="49134" xr:uid="{00000000-0005-0000-0000-00003E9F0000}"/>
    <cellStyle name="Remarque 3 3 3 2 5 11" xfId="36771" xr:uid="{00000000-0005-0000-0000-00003F9F0000}"/>
    <cellStyle name="Remarque 3 3 3 2 5 11 2" xfId="60731" xr:uid="{00000000-0005-0000-0000-0000409F0000}"/>
    <cellStyle name="Remarque 3 3 3 2 5 12" xfId="13839" xr:uid="{00000000-0005-0000-0000-0000419F0000}"/>
    <cellStyle name="Remarque 3 3 3 2 5 13" xfId="37799" xr:uid="{00000000-0005-0000-0000-0000429F0000}"/>
    <cellStyle name="Remarque 3 3 3 2 5 2" xfId="4048" xr:uid="{00000000-0005-0000-0000-0000439F0000}"/>
    <cellStyle name="Remarque 3 3 3 2 5 2 2" xfId="28062" xr:uid="{00000000-0005-0000-0000-0000449F0000}"/>
    <cellStyle name="Remarque 3 3 3 2 5 2 2 2" xfId="52022" xr:uid="{00000000-0005-0000-0000-0000459F0000}"/>
    <cellStyle name="Remarque 3 3 3 2 5 2 3" xfId="15309" xr:uid="{00000000-0005-0000-0000-0000469F0000}"/>
    <cellStyle name="Remarque 3 3 3 2 5 2 4" xfId="39269" xr:uid="{00000000-0005-0000-0000-0000479F0000}"/>
    <cellStyle name="Remarque 3 3 3 2 5 3" xfId="5482" xr:uid="{00000000-0005-0000-0000-0000489F0000}"/>
    <cellStyle name="Remarque 3 3 3 2 5 3 2" xfId="29496" xr:uid="{00000000-0005-0000-0000-0000499F0000}"/>
    <cellStyle name="Remarque 3 3 3 2 5 3 2 2" xfId="53456" xr:uid="{00000000-0005-0000-0000-00004A9F0000}"/>
    <cellStyle name="Remarque 3 3 3 2 5 3 3" xfId="16743" xr:uid="{00000000-0005-0000-0000-00004B9F0000}"/>
    <cellStyle name="Remarque 3 3 3 2 5 3 4" xfId="40703" xr:uid="{00000000-0005-0000-0000-00004C9F0000}"/>
    <cellStyle name="Remarque 3 3 3 2 5 4" xfId="6876" xr:uid="{00000000-0005-0000-0000-00004D9F0000}"/>
    <cellStyle name="Remarque 3 3 3 2 5 4 2" xfId="30890" xr:uid="{00000000-0005-0000-0000-00004E9F0000}"/>
    <cellStyle name="Remarque 3 3 3 2 5 4 2 2" xfId="54850" xr:uid="{00000000-0005-0000-0000-00004F9F0000}"/>
    <cellStyle name="Remarque 3 3 3 2 5 4 3" xfId="18137" xr:uid="{00000000-0005-0000-0000-0000509F0000}"/>
    <cellStyle name="Remarque 3 3 3 2 5 4 4" xfId="42097" xr:uid="{00000000-0005-0000-0000-0000519F0000}"/>
    <cellStyle name="Remarque 3 3 3 2 5 5" xfId="8264" xr:uid="{00000000-0005-0000-0000-0000529F0000}"/>
    <cellStyle name="Remarque 3 3 3 2 5 5 2" xfId="32278" xr:uid="{00000000-0005-0000-0000-0000539F0000}"/>
    <cellStyle name="Remarque 3 3 3 2 5 5 2 2" xfId="56238" xr:uid="{00000000-0005-0000-0000-0000549F0000}"/>
    <cellStyle name="Remarque 3 3 3 2 5 5 3" xfId="19525" xr:uid="{00000000-0005-0000-0000-0000559F0000}"/>
    <cellStyle name="Remarque 3 3 3 2 5 5 4" xfId="43485" xr:uid="{00000000-0005-0000-0000-0000569F0000}"/>
    <cellStyle name="Remarque 3 3 3 2 5 6" xfId="9649" xr:uid="{00000000-0005-0000-0000-0000579F0000}"/>
    <cellStyle name="Remarque 3 3 3 2 5 6 2" xfId="33663" xr:uid="{00000000-0005-0000-0000-0000589F0000}"/>
    <cellStyle name="Remarque 3 3 3 2 5 6 2 2" xfId="57623" xr:uid="{00000000-0005-0000-0000-0000599F0000}"/>
    <cellStyle name="Remarque 3 3 3 2 5 6 3" xfId="20910" xr:uid="{00000000-0005-0000-0000-00005A9F0000}"/>
    <cellStyle name="Remarque 3 3 3 2 5 6 4" xfId="44870" xr:uid="{00000000-0005-0000-0000-00005B9F0000}"/>
    <cellStyle name="Remarque 3 3 3 2 5 7" xfId="11106" xr:uid="{00000000-0005-0000-0000-00005C9F0000}"/>
    <cellStyle name="Remarque 3 3 3 2 5 7 2" xfId="35116" xr:uid="{00000000-0005-0000-0000-00005D9F0000}"/>
    <cellStyle name="Remarque 3 3 3 2 5 7 2 2" xfId="59076" xr:uid="{00000000-0005-0000-0000-00005E9F0000}"/>
    <cellStyle name="Remarque 3 3 3 2 5 7 3" xfId="22373" xr:uid="{00000000-0005-0000-0000-00005F9F0000}"/>
    <cellStyle name="Remarque 3 3 3 2 5 7 4" xfId="46333" xr:uid="{00000000-0005-0000-0000-0000609F0000}"/>
    <cellStyle name="Remarque 3 3 3 2 5 8" xfId="11593" xr:uid="{00000000-0005-0000-0000-0000619F0000}"/>
    <cellStyle name="Remarque 3 3 3 2 5 8 2" xfId="22860" xr:uid="{00000000-0005-0000-0000-0000629F0000}"/>
    <cellStyle name="Remarque 3 3 3 2 5 8 3" xfId="46820" xr:uid="{00000000-0005-0000-0000-0000639F0000}"/>
    <cellStyle name="Remarque 3 3 3 2 5 9" xfId="2578" xr:uid="{00000000-0005-0000-0000-0000649F0000}"/>
    <cellStyle name="Remarque 3 3 3 2 5 9 2" xfId="26592" xr:uid="{00000000-0005-0000-0000-0000659F0000}"/>
    <cellStyle name="Remarque 3 3 3 2 5 9 3" xfId="50552" xr:uid="{00000000-0005-0000-0000-0000669F0000}"/>
    <cellStyle name="Remarque 3 3 3 2 6" xfId="1309" xr:uid="{00000000-0005-0000-0000-0000679F0000}"/>
    <cellStyle name="Remarque 3 3 3 2 6 10" xfId="25341" xr:uid="{00000000-0005-0000-0000-0000689F0000}"/>
    <cellStyle name="Remarque 3 3 3 2 6 10 2" xfId="49301" xr:uid="{00000000-0005-0000-0000-0000699F0000}"/>
    <cellStyle name="Remarque 3 3 3 2 6 11" xfId="36629" xr:uid="{00000000-0005-0000-0000-00006A9F0000}"/>
    <cellStyle name="Remarque 3 3 3 2 6 11 2" xfId="60589" xr:uid="{00000000-0005-0000-0000-00006B9F0000}"/>
    <cellStyle name="Remarque 3 3 3 2 6 12" xfId="14006" xr:uid="{00000000-0005-0000-0000-00006C9F0000}"/>
    <cellStyle name="Remarque 3 3 3 2 6 13" xfId="37966" xr:uid="{00000000-0005-0000-0000-00006D9F0000}"/>
    <cellStyle name="Remarque 3 3 3 2 6 2" xfId="4215" xr:uid="{00000000-0005-0000-0000-00006E9F0000}"/>
    <cellStyle name="Remarque 3 3 3 2 6 2 2" xfId="28229" xr:uid="{00000000-0005-0000-0000-00006F9F0000}"/>
    <cellStyle name="Remarque 3 3 3 2 6 2 2 2" xfId="52189" xr:uid="{00000000-0005-0000-0000-0000709F0000}"/>
    <cellStyle name="Remarque 3 3 3 2 6 2 3" xfId="15476" xr:uid="{00000000-0005-0000-0000-0000719F0000}"/>
    <cellStyle name="Remarque 3 3 3 2 6 2 4" xfId="39436" xr:uid="{00000000-0005-0000-0000-0000729F0000}"/>
    <cellStyle name="Remarque 3 3 3 2 6 3" xfId="5649" xr:uid="{00000000-0005-0000-0000-0000739F0000}"/>
    <cellStyle name="Remarque 3 3 3 2 6 3 2" xfId="29663" xr:uid="{00000000-0005-0000-0000-0000749F0000}"/>
    <cellStyle name="Remarque 3 3 3 2 6 3 2 2" xfId="53623" xr:uid="{00000000-0005-0000-0000-0000759F0000}"/>
    <cellStyle name="Remarque 3 3 3 2 6 3 3" xfId="16910" xr:uid="{00000000-0005-0000-0000-0000769F0000}"/>
    <cellStyle name="Remarque 3 3 3 2 6 3 4" xfId="40870" xr:uid="{00000000-0005-0000-0000-0000779F0000}"/>
    <cellStyle name="Remarque 3 3 3 2 6 4" xfId="7043" xr:uid="{00000000-0005-0000-0000-0000789F0000}"/>
    <cellStyle name="Remarque 3 3 3 2 6 4 2" xfId="31057" xr:uid="{00000000-0005-0000-0000-0000799F0000}"/>
    <cellStyle name="Remarque 3 3 3 2 6 4 2 2" xfId="55017" xr:uid="{00000000-0005-0000-0000-00007A9F0000}"/>
    <cellStyle name="Remarque 3 3 3 2 6 4 3" xfId="18304" xr:uid="{00000000-0005-0000-0000-00007B9F0000}"/>
    <cellStyle name="Remarque 3 3 3 2 6 4 4" xfId="42264" xr:uid="{00000000-0005-0000-0000-00007C9F0000}"/>
    <cellStyle name="Remarque 3 3 3 2 6 5" xfId="8431" xr:uid="{00000000-0005-0000-0000-00007D9F0000}"/>
    <cellStyle name="Remarque 3 3 3 2 6 5 2" xfId="32445" xr:uid="{00000000-0005-0000-0000-00007E9F0000}"/>
    <cellStyle name="Remarque 3 3 3 2 6 5 2 2" xfId="56405" xr:uid="{00000000-0005-0000-0000-00007F9F0000}"/>
    <cellStyle name="Remarque 3 3 3 2 6 5 3" xfId="19692" xr:uid="{00000000-0005-0000-0000-0000809F0000}"/>
    <cellStyle name="Remarque 3 3 3 2 6 5 4" xfId="43652" xr:uid="{00000000-0005-0000-0000-0000819F0000}"/>
    <cellStyle name="Remarque 3 3 3 2 6 6" xfId="9816" xr:uid="{00000000-0005-0000-0000-0000829F0000}"/>
    <cellStyle name="Remarque 3 3 3 2 6 6 2" xfId="33830" xr:uid="{00000000-0005-0000-0000-0000839F0000}"/>
    <cellStyle name="Remarque 3 3 3 2 6 6 2 2" xfId="57790" xr:uid="{00000000-0005-0000-0000-0000849F0000}"/>
    <cellStyle name="Remarque 3 3 3 2 6 6 3" xfId="21077" xr:uid="{00000000-0005-0000-0000-0000859F0000}"/>
    <cellStyle name="Remarque 3 3 3 2 6 6 4" xfId="45037" xr:uid="{00000000-0005-0000-0000-0000869F0000}"/>
    <cellStyle name="Remarque 3 3 3 2 6 7" xfId="11273" xr:uid="{00000000-0005-0000-0000-0000879F0000}"/>
    <cellStyle name="Remarque 3 3 3 2 6 7 2" xfId="35283" xr:uid="{00000000-0005-0000-0000-0000889F0000}"/>
    <cellStyle name="Remarque 3 3 3 2 6 7 2 2" xfId="59243" xr:uid="{00000000-0005-0000-0000-0000899F0000}"/>
    <cellStyle name="Remarque 3 3 3 2 6 7 3" xfId="22540" xr:uid="{00000000-0005-0000-0000-00008A9F0000}"/>
    <cellStyle name="Remarque 3 3 3 2 6 7 4" xfId="46500" xr:uid="{00000000-0005-0000-0000-00008B9F0000}"/>
    <cellStyle name="Remarque 3 3 3 2 6 8" xfId="12561" xr:uid="{00000000-0005-0000-0000-00008C9F0000}"/>
    <cellStyle name="Remarque 3 3 3 2 6 8 2" xfId="23861" xr:uid="{00000000-0005-0000-0000-00008D9F0000}"/>
    <cellStyle name="Remarque 3 3 3 2 6 8 3" xfId="47821" xr:uid="{00000000-0005-0000-0000-00008E9F0000}"/>
    <cellStyle name="Remarque 3 3 3 2 6 9" xfId="2745" xr:uid="{00000000-0005-0000-0000-00008F9F0000}"/>
    <cellStyle name="Remarque 3 3 3 2 6 9 2" xfId="26759" xr:uid="{00000000-0005-0000-0000-0000909F0000}"/>
    <cellStyle name="Remarque 3 3 3 2 6 9 3" xfId="50719" xr:uid="{00000000-0005-0000-0000-0000919F0000}"/>
    <cellStyle name="Remarque 3 3 3 2 7" xfId="1478" xr:uid="{00000000-0005-0000-0000-0000929F0000}"/>
    <cellStyle name="Remarque 3 3 3 2 7 10" xfId="25510" xr:uid="{00000000-0005-0000-0000-0000939F0000}"/>
    <cellStyle name="Remarque 3 3 3 2 7 10 2" xfId="49470" xr:uid="{00000000-0005-0000-0000-0000949F0000}"/>
    <cellStyle name="Remarque 3 3 3 2 7 11" xfId="35608" xr:uid="{00000000-0005-0000-0000-0000959F0000}"/>
    <cellStyle name="Remarque 3 3 3 2 7 11 2" xfId="59568" xr:uid="{00000000-0005-0000-0000-0000969F0000}"/>
    <cellStyle name="Remarque 3 3 3 2 7 12" xfId="14175" xr:uid="{00000000-0005-0000-0000-0000979F0000}"/>
    <cellStyle name="Remarque 3 3 3 2 7 13" xfId="38135" xr:uid="{00000000-0005-0000-0000-0000989F0000}"/>
    <cellStyle name="Remarque 3 3 3 2 7 2" xfId="4384" xr:uid="{00000000-0005-0000-0000-0000999F0000}"/>
    <cellStyle name="Remarque 3 3 3 2 7 2 2" xfId="28398" xr:uid="{00000000-0005-0000-0000-00009A9F0000}"/>
    <cellStyle name="Remarque 3 3 3 2 7 2 2 2" xfId="52358" xr:uid="{00000000-0005-0000-0000-00009B9F0000}"/>
    <cellStyle name="Remarque 3 3 3 2 7 2 3" xfId="15645" xr:uid="{00000000-0005-0000-0000-00009C9F0000}"/>
    <cellStyle name="Remarque 3 3 3 2 7 2 4" xfId="39605" xr:uid="{00000000-0005-0000-0000-00009D9F0000}"/>
    <cellStyle name="Remarque 3 3 3 2 7 3" xfId="5818" xr:uid="{00000000-0005-0000-0000-00009E9F0000}"/>
    <cellStyle name="Remarque 3 3 3 2 7 3 2" xfId="29832" xr:uid="{00000000-0005-0000-0000-00009F9F0000}"/>
    <cellStyle name="Remarque 3 3 3 2 7 3 2 2" xfId="53792" xr:uid="{00000000-0005-0000-0000-0000A09F0000}"/>
    <cellStyle name="Remarque 3 3 3 2 7 3 3" xfId="17079" xr:uid="{00000000-0005-0000-0000-0000A19F0000}"/>
    <cellStyle name="Remarque 3 3 3 2 7 3 4" xfId="41039" xr:uid="{00000000-0005-0000-0000-0000A29F0000}"/>
    <cellStyle name="Remarque 3 3 3 2 7 4" xfId="7212" xr:uid="{00000000-0005-0000-0000-0000A39F0000}"/>
    <cellStyle name="Remarque 3 3 3 2 7 4 2" xfId="31226" xr:uid="{00000000-0005-0000-0000-0000A49F0000}"/>
    <cellStyle name="Remarque 3 3 3 2 7 4 2 2" xfId="55186" xr:uid="{00000000-0005-0000-0000-0000A59F0000}"/>
    <cellStyle name="Remarque 3 3 3 2 7 4 3" xfId="18473" xr:uid="{00000000-0005-0000-0000-0000A69F0000}"/>
    <cellStyle name="Remarque 3 3 3 2 7 4 4" xfId="42433" xr:uid="{00000000-0005-0000-0000-0000A79F0000}"/>
    <cellStyle name="Remarque 3 3 3 2 7 5" xfId="8600" xr:uid="{00000000-0005-0000-0000-0000A89F0000}"/>
    <cellStyle name="Remarque 3 3 3 2 7 5 2" xfId="32614" xr:uid="{00000000-0005-0000-0000-0000A99F0000}"/>
    <cellStyle name="Remarque 3 3 3 2 7 5 2 2" xfId="56574" xr:uid="{00000000-0005-0000-0000-0000AA9F0000}"/>
    <cellStyle name="Remarque 3 3 3 2 7 5 3" xfId="19861" xr:uid="{00000000-0005-0000-0000-0000AB9F0000}"/>
    <cellStyle name="Remarque 3 3 3 2 7 5 4" xfId="43821" xr:uid="{00000000-0005-0000-0000-0000AC9F0000}"/>
    <cellStyle name="Remarque 3 3 3 2 7 6" xfId="9985" xr:uid="{00000000-0005-0000-0000-0000AD9F0000}"/>
    <cellStyle name="Remarque 3 3 3 2 7 6 2" xfId="33999" xr:uid="{00000000-0005-0000-0000-0000AE9F0000}"/>
    <cellStyle name="Remarque 3 3 3 2 7 6 2 2" xfId="57959" xr:uid="{00000000-0005-0000-0000-0000AF9F0000}"/>
    <cellStyle name="Remarque 3 3 3 2 7 6 3" xfId="21246" xr:uid="{00000000-0005-0000-0000-0000B09F0000}"/>
    <cellStyle name="Remarque 3 3 3 2 7 6 4" xfId="45206" xr:uid="{00000000-0005-0000-0000-0000B19F0000}"/>
    <cellStyle name="Remarque 3 3 3 2 7 7" xfId="11442" xr:uid="{00000000-0005-0000-0000-0000B29F0000}"/>
    <cellStyle name="Remarque 3 3 3 2 7 7 2" xfId="35452" xr:uid="{00000000-0005-0000-0000-0000B39F0000}"/>
    <cellStyle name="Remarque 3 3 3 2 7 7 2 2" xfId="59412" xr:uid="{00000000-0005-0000-0000-0000B49F0000}"/>
    <cellStyle name="Remarque 3 3 3 2 7 7 3" xfId="22709" xr:uid="{00000000-0005-0000-0000-0000B59F0000}"/>
    <cellStyle name="Remarque 3 3 3 2 7 7 4" xfId="46669" xr:uid="{00000000-0005-0000-0000-0000B69F0000}"/>
    <cellStyle name="Remarque 3 3 3 2 7 8" xfId="12554" xr:uid="{00000000-0005-0000-0000-0000B79F0000}"/>
    <cellStyle name="Remarque 3 3 3 2 7 8 2" xfId="23853" xr:uid="{00000000-0005-0000-0000-0000B89F0000}"/>
    <cellStyle name="Remarque 3 3 3 2 7 8 3" xfId="47813" xr:uid="{00000000-0005-0000-0000-0000B99F0000}"/>
    <cellStyle name="Remarque 3 3 3 2 7 9" xfId="2914" xr:uid="{00000000-0005-0000-0000-0000BA9F0000}"/>
    <cellStyle name="Remarque 3 3 3 2 7 9 2" xfId="26928" xr:uid="{00000000-0005-0000-0000-0000BB9F0000}"/>
    <cellStyle name="Remarque 3 3 3 2 7 9 3" xfId="50888" xr:uid="{00000000-0005-0000-0000-0000BC9F0000}"/>
    <cellStyle name="Remarque 3 3 3 2 8" xfId="3333" xr:uid="{00000000-0005-0000-0000-0000BD9F0000}"/>
    <cellStyle name="Remarque 3 3 3 2 8 2" xfId="27347" xr:uid="{00000000-0005-0000-0000-0000BE9F0000}"/>
    <cellStyle name="Remarque 3 3 3 2 8 2 2" xfId="51307" xr:uid="{00000000-0005-0000-0000-0000BF9F0000}"/>
    <cellStyle name="Remarque 3 3 3 2 8 3" xfId="14594" xr:uid="{00000000-0005-0000-0000-0000C09F0000}"/>
    <cellStyle name="Remarque 3 3 3 2 8 4" xfId="38554" xr:uid="{00000000-0005-0000-0000-0000C19F0000}"/>
    <cellStyle name="Remarque 3 3 3 2 9" xfId="4767" xr:uid="{00000000-0005-0000-0000-0000C29F0000}"/>
    <cellStyle name="Remarque 3 3 3 2 9 2" xfId="28781" xr:uid="{00000000-0005-0000-0000-0000C39F0000}"/>
    <cellStyle name="Remarque 3 3 3 2 9 2 2" xfId="52741" xr:uid="{00000000-0005-0000-0000-0000C49F0000}"/>
    <cellStyle name="Remarque 3 3 3 2 9 3" xfId="16028" xr:uid="{00000000-0005-0000-0000-0000C59F0000}"/>
    <cellStyle name="Remarque 3 3 3 2 9 4" xfId="39988" xr:uid="{00000000-0005-0000-0000-0000C69F0000}"/>
    <cellStyle name="Remarque 3 3 3 20" xfId="12949" xr:uid="{00000000-0005-0000-0000-0000C79F0000}"/>
    <cellStyle name="Remarque 3 3 3 21" xfId="36909" xr:uid="{00000000-0005-0000-0000-0000C89F0000}"/>
    <cellStyle name="Remarque 3 3 3 22" xfId="252" xr:uid="{00000000-0005-0000-0000-0000C99F0000}"/>
    <cellStyle name="Remarque 3 3 3 3" xfId="351" xr:uid="{00000000-0005-0000-0000-0000CA9F0000}"/>
    <cellStyle name="Remarque 3 3 3 3 10" xfId="24383" xr:uid="{00000000-0005-0000-0000-0000CB9F0000}"/>
    <cellStyle name="Remarque 3 3 3 3 10 2" xfId="48343" xr:uid="{00000000-0005-0000-0000-0000CC9F0000}"/>
    <cellStyle name="Remarque 3 3 3 3 11" xfId="36292" xr:uid="{00000000-0005-0000-0000-0000CD9F0000}"/>
    <cellStyle name="Remarque 3 3 3 3 11 2" xfId="60252" xr:uid="{00000000-0005-0000-0000-0000CE9F0000}"/>
    <cellStyle name="Remarque 3 3 3 3 12" xfId="13048" xr:uid="{00000000-0005-0000-0000-0000CF9F0000}"/>
    <cellStyle name="Remarque 3 3 3 3 13" xfId="37008" xr:uid="{00000000-0005-0000-0000-0000D09F0000}"/>
    <cellStyle name="Remarque 3 3 3 3 2" xfId="3257" xr:uid="{00000000-0005-0000-0000-0000D19F0000}"/>
    <cellStyle name="Remarque 3 3 3 3 2 2" xfId="27271" xr:uid="{00000000-0005-0000-0000-0000D29F0000}"/>
    <cellStyle name="Remarque 3 3 3 3 2 2 2" xfId="51231" xr:uid="{00000000-0005-0000-0000-0000D39F0000}"/>
    <cellStyle name="Remarque 3 3 3 3 2 3" xfId="14518" xr:uid="{00000000-0005-0000-0000-0000D49F0000}"/>
    <cellStyle name="Remarque 3 3 3 3 2 4" xfId="38478" xr:uid="{00000000-0005-0000-0000-0000D59F0000}"/>
    <cellStyle name="Remarque 3 3 3 3 3" xfId="4691" xr:uid="{00000000-0005-0000-0000-0000D69F0000}"/>
    <cellStyle name="Remarque 3 3 3 3 3 2" xfId="28705" xr:uid="{00000000-0005-0000-0000-0000D79F0000}"/>
    <cellStyle name="Remarque 3 3 3 3 3 2 2" xfId="52665" xr:uid="{00000000-0005-0000-0000-0000D89F0000}"/>
    <cellStyle name="Remarque 3 3 3 3 3 3" xfId="15952" xr:uid="{00000000-0005-0000-0000-0000D99F0000}"/>
    <cellStyle name="Remarque 3 3 3 3 3 4" xfId="39912" xr:uid="{00000000-0005-0000-0000-0000DA9F0000}"/>
    <cellStyle name="Remarque 3 3 3 3 4" xfId="6085" xr:uid="{00000000-0005-0000-0000-0000DB9F0000}"/>
    <cellStyle name="Remarque 3 3 3 3 4 2" xfId="30099" xr:uid="{00000000-0005-0000-0000-0000DC9F0000}"/>
    <cellStyle name="Remarque 3 3 3 3 4 2 2" xfId="54059" xr:uid="{00000000-0005-0000-0000-0000DD9F0000}"/>
    <cellStyle name="Remarque 3 3 3 3 4 3" xfId="17346" xr:uid="{00000000-0005-0000-0000-0000DE9F0000}"/>
    <cellStyle name="Remarque 3 3 3 3 4 4" xfId="41306" xr:uid="{00000000-0005-0000-0000-0000DF9F0000}"/>
    <cellStyle name="Remarque 3 3 3 3 5" xfId="7473" xr:uid="{00000000-0005-0000-0000-0000E09F0000}"/>
    <cellStyle name="Remarque 3 3 3 3 5 2" xfId="31487" xr:uid="{00000000-0005-0000-0000-0000E19F0000}"/>
    <cellStyle name="Remarque 3 3 3 3 5 2 2" xfId="55447" xr:uid="{00000000-0005-0000-0000-0000E29F0000}"/>
    <cellStyle name="Remarque 3 3 3 3 5 3" xfId="18734" xr:uid="{00000000-0005-0000-0000-0000E39F0000}"/>
    <cellStyle name="Remarque 3 3 3 3 5 4" xfId="42694" xr:uid="{00000000-0005-0000-0000-0000E49F0000}"/>
    <cellStyle name="Remarque 3 3 3 3 6" xfId="8858" xr:uid="{00000000-0005-0000-0000-0000E59F0000}"/>
    <cellStyle name="Remarque 3 3 3 3 6 2" xfId="32872" xr:uid="{00000000-0005-0000-0000-0000E69F0000}"/>
    <cellStyle name="Remarque 3 3 3 3 6 2 2" xfId="56832" xr:uid="{00000000-0005-0000-0000-0000E79F0000}"/>
    <cellStyle name="Remarque 3 3 3 3 6 3" xfId="20119" xr:uid="{00000000-0005-0000-0000-0000E89F0000}"/>
    <cellStyle name="Remarque 3 3 3 3 6 4" xfId="44079" xr:uid="{00000000-0005-0000-0000-0000E99F0000}"/>
    <cellStyle name="Remarque 3 3 3 3 7" xfId="10315" xr:uid="{00000000-0005-0000-0000-0000EA9F0000}"/>
    <cellStyle name="Remarque 3 3 3 3 7 2" xfId="34325" xr:uid="{00000000-0005-0000-0000-0000EB9F0000}"/>
    <cellStyle name="Remarque 3 3 3 3 7 2 2" xfId="58285" xr:uid="{00000000-0005-0000-0000-0000EC9F0000}"/>
    <cellStyle name="Remarque 3 3 3 3 7 3" xfId="21582" xr:uid="{00000000-0005-0000-0000-0000ED9F0000}"/>
    <cellStyle name="Remarque 3 3 3 3 7 4" xfId="45542" xr:uid="{00000000-0005-0000-0000-0000EE9F0000}"/>
    <cellStyle name="Remarque 3 3 3 3 8" xfId="12022" xr:uid="{00000000-0005-0000-0000-0000EF9F0000}"/>
    <cellStyle name="Remarque 3 3 3 3 8 2" xfId="23301" xr:uid="{00000000-0005-0000-0000-0000F09F0000}"/>
    <cellStyle name="Remarque 3 3 3 3 8 3" xfId="47261" xr:uid="{00000000-0005-0000-0000-0000F19F0000}"/>
    <cellStyle name="Remarque 3 3 3 3 9" xfId="1787" xr:uid="{00000000-0005-0000-0000-0000F29F0000}"/>
    <cellStyle name="Remarque 3 3 3 3 9 2" xfId="25801" xr:uid="{00000000-0005-0000-0000-0000F39F0000}"/>
    <cellStyle name="Remarque 3 3 3 3 9 3" xfId="49761" xr:uid="{00000000-0005-0000-0000-0000F49F0000}"/>
    <cellStyle name="Remarque 3 3 3 4" xfId="487" xr:uid="{00000000-0005-0000-0000-0000F59F0000}"/>
    <cellStyle name="Remarque 3 3 3 4 10" xfId="24519" xr:uid="{00000000-0005-0000-0000-0000F69F0000}"/>
    <cellStyle name="Remarque 3 3 3 4 10 2" xfId="48479" xr:uid="{00000000-0005-0000-0000-0000F79F0000}"/>
    <cellStyle name="Remarque 3 3 3 4 11" xfId="36610" xr:uid="{00000000-0005-0000-0000-0000F89F0000}"/>
    <cellStyle name="Remarque 3 3 3 4 11 2" xfId="60570" xr:uid="{00000000-0005-0000-0000-0000F99F0000}"/>
    <cellStyle name="Remarque 3 3 3 4 12" xfId="13184" xr:uid="{00000000-0005-0000-0000-0000FA9F0000}"/>
    <cellStyle name="Remarque 3 3 3 4 13" xfId="37144" xr:uid="{00000000-0005-0000-0000-0000FB9F0000}"/>
    <cellStyle name="Remarque 3 3 3 4 2" xfId="3393" xr:uid="{00000000-0005-0000-0000-0000FC9F0000}"/>
    <cellStyle name="Remarque 3 3 3 4 2 2" xfId="27407" xr:uid="{00000000-0005-0000-0000-0000FD9F0000}"/>
    <cellStyle name="Remarque 3 3 3 4 2 2 2" xfId="51367" xr:uid="{00000000-0005-0000-0000-0000FE9F0000}"/>
    <cellStyle name="Remarque 3 3 3 4 2 3" xfId="14654" xr:uid="{00000000-0005-0000-0000-0000FF9F0000}"/>
    <cellStyle name="Remarque 3 3 3 4 2 4" xfId="38614" xr:uid="{00000000-0005-0000-0000-000000A00000}"/>
    <cellStyle name="Remarque 3 3 3 4 3" xfId="4827" xr:uid="{00000000-0005-0000-0000-000001A00000}"/>
    <cellStyle name="Remarque 3 3 3 4 3 2" xfId="28841" xr:uid="{00000000-0005-0000-0000-000002A00000}"/>
    <cellStyle name="Remarque 3 3 3 4 3 2 2" xfId="52801" xr:uid="{00000000-0005-0000-0000-000003A00000}"/>
    <cellStyle name="Remarque 3 3 3 4 3 3" xfId="16088" xr:uid="{00000000-0005-0000-0000-000004A00000}"/>
    <cellStyle name="Remarque 3 3 3 4 3 4" xfId="40048" xr:uid="{00000000-0005-0000-0000-000005A00000}"/>
    <cellStyle name="Remarque 3 3 3 4 4" xfId="6221" xr:uid="{00000000-0005-0000-0000-000006A00000}"/>
    <cellStyle name="Remarque 3 3 3 4 4 2" xfId="30235" xr:uid="{00000000-0005-0000-0000-000007A00000}"/>
    <cellStyle name="Remarque 3 3 3 4 4 2 2" xfId="54195" xr:uid="{00000000-0005-0000-0000-000008A00000}"/>
    <cellStyle name="Remarque 3 3 3 4 4 3" xfId="17482" xr:uid="{00000000-0005-0000-0000-000009A00000}"/>
    <cellStyle name="Remarque 3 3 3 4 4 4" xfId="41442" xr:uid="{00000000-0005-0000-0000-00000AA00000}"/>
    <cellStyle name="Remarque 3 3 3 4 5" xfId="7609" xr:uid="{00000000-0005-0000-0000-00000BA00000}"/>
    <cellStyle name="Remarque 3 3 3 4 5 2" xfId="31623" xr:uid="{00000000-0005-0000-0000-00000CA00000}"/>
    <cellStyle name="Remarque 3 3 3 4 5 2 2" xfId="55583" xr:uid="{00000000-0005-0000-0000-00000DA00000}"/>
    <cellStyle name="Remarque 3 3 3 4 5 3" xfId="18870" xr:uid="{00000000-0005-0000-0000-00000EA00000}"/>
    <cellStyle name="Remarque 3 3 3 4 5 4" xfId="42830" xr:uid="{00000000-0005-0000-0000-00000FA00000}"/>
    <cellStyle name="Remarque 3 3 3 4 6" xfId="8994" xr:uid="{00000000-0005-0000-0000-000010A00000}"/>
    <cellStyle name="Remarque 3 3 3 4 6 2" xfId="33008" xr:uid="{00000000-0005-0000-0000-000011A00000}"/>
    <cellStyle name="Remarque 3 3 3 4 6 2 2" xfId="56968" xr:uid="{00000000-0005-0000-0000-000012A00000}"/>
    <cellStyle name="Remarque 3 3 3 4 6 3" xfId="20255" xr:uid="{00000000-0005-0000-0000-000013A00000}"/>
    <cellStyle name="Remarque 3 3 3 4 6 4" xfId="44215" xr:uid="{00000000-0005-0000-0000-000014A00000}"/>
    <cellStyle name="Remarque 3 3 3 4 7" xfId="10451" xr:uid="{00000000-0005-0000-0000-000015A00000}"/>
    <cellStyle name="Remarque 3 3 3 4 7 2" xfId="34461" xr:uid="{00000000-0005-0000-0000-000016A00000}"/>
    <cellStyle name="Remarque 3 3 3 4 7 2 2" xfId="58421" xr:uid="{00000000-0005-0000-0000-000017A00000}"/>
    <cellStyle name="Remarque 3 3 3 4 7 3" xfId="21718" xr:uid="{00000000-0005-0000-0000-000018A00000}"/>
    <cellStyle name="Remarque 3 3 3 4 7 4" xfId="45678" xr:uid="{00000000-0005-0000-0000-000019A00000}"/>
    <cellStyle name="Remarque 3 3 3 4 8" xfId="11712" xr:uid="{00000000-0005-0000-0000-00001AA00000}"/>
    <cellStyle name="Remarque 3 3 3 4 8 2" xfId="22982" xr:uid="{00000000-0005-0000-0000-00001BA00000}"/>
    <cellStyle name="Remarque 3 3 3 4 8 3" xfId="46942" xr:uid="{00000000-0005-0000-0000-00001CA00000}"/>
    <cellStyle name="Remarque 3 3 3 4 9" xfId="1923" xr:uid="{00000000-0005-0000-0000-00001DA00000}"/>
    <cellStyle name="Remarque 3 3 3 4 9 2" xfId="25937" xr:uid="{00000000-0005-0000-0000-00001EA00000}"/>
    <cellStyle name="Remarque 3 3 3 4 9 3" xfId="49897" xr:uid="{00000000-0005-0000-0000-00001FA00000}"/>
    <cellStyle name="Remarque 3 3 3 5" xfId="679" xr:uid="{00000000-0005-0000-0000-000020A00000}"/>
    <cellStyle name="Remarque 3 3 3 5 10" xfId="24711" xr:uid="{00000000-0005-0000-0000-000021A00000}"/>
    <cellStyle name="Remarque 3 3 3 5 10 2" xfId="48671" xr:uid="{00000000-0005-0000-0000-000022A00000}"/>
    <cellStyle name="Remarque 3 3 3 5 11" xfId="35777" xr:uid="{00000000-0005-0000-0000-000023A00000}"/>
    <cellStyle name="Remarque 3 3 3 5 11 2" xfId="59737" xr:uid="{00000000-0005-0000-0000-000024A00000}"/>
    <cellStyle name="Remarque 3 3 3 5 12" xfId="13376" xr:uid="{00000000-0005-0000-0000-000025A00000}"/>
    <cellStyle name="Remarque 3 3 3 5 13" xfId="37336" xr:uid="{00000000-0005-0000-0000-000026A00000}"/>
    <cellStyle name="Remarque 3 3 3 5 2" xfId="3585" xr:uid="{00000000-0005-0000-0000-000027A00000}"/>
    <cellStyle name="Remarque 3 3 3 5 2 2" xfId="27599" xr:uid="{00000000-0005-0000-0000-000028A00000}"/>
    <cellStyle name="Remarque 3 3 3 5 2 2 2" xfId="51559" xr:uid="{00000000-0005-0000-0000-000029A00000}"/>
    <cellStyle name="Remarque 3 3 3 5 2 3" xfId="14846" xr:uid="{00000000-0005-0000-0000-00002AA00000}"/>
    <cellStyle name="Remarque 3 3 3 5 2 4" xfId="38806" xr:uid="{00000000-0005-0000-0000-00002BA00000}"/>
    <cellStyle name="Remarque 3 3 3 5 3" xfId="5019" xr:uid="{00000000-0005-0000-0000-00002CA00000}"/>
    <cellStyle name="Remarque 3 3 3 5 3 2" xfId="29033" xr:uid="{00000000-0005-0000-0000-00002DA00000}"/>
    <cellStyle name="Remarque 3 3 3 5 3 2 2" xfId="52993" xr:uid="{00000000-0005-0000-0000-00002EA00000}"/>
    <cellStyle name="Remarque 3 3 3 5 3 3" xfId="16280" xr:uid="{00000000-0005-0000-0000-00002FA00000}"/>
    <cellStyle name="Remarque 3 3 3 5 3 4" xfId="40240" xr:uid="{00000000-0005-0000-0000-000030A00000}"/>
    <cellStyle name="Remarque 3 3 3 5 4" xfId="6413" xr:uid="{00000000-0005-0000-0000-000031A00000}"/>
    <cellStyle name="Remarque 3 3 3 5 4 2" xfId="30427" xr:uid="{00000000-0005-0000-0000-000032A00000}"/>
    <cellStyle name="Remarque 3 3 3 5 4 2 2" xfId="54387" xr:uid="{00000000-0005-0000-0000-000033A00000}"/>
    <cellStyle name="Remarque 3 3 3 5 4 3" xfId="17674" xr:uid="{00000000-0005-0000-0000-000034A00000}"/>
    <cellStyle name="Remarque 3 3 3 5 4 4" xfId="41634" xr:uid="{00000000-0005-0000-0000-000035A00000}"/>
    <cellStyle name="Remarque 3 3 3 5 5" xfId="7801" xr:uid="{00000000-0005-0000-0000-000036A00000}"/>
    <cellStyle name="Remarque 3 3 3 5 5 2" xfId="31815" xr:uid="{00000000-0005-0000-0000-000037A00000}"/>
    <cellStyle name="Remarque 3 3 3 5 5 2 2" xfId="55775" xr:uid="{00000000-0005-0000-0000-000038A00000}"/>
    <cellStyle name="Remarque 3 3 3 5 5 3" xfId="19062" xr:uid="{00000000-0005-0000-0000-000039A00000}"/>
    <cellStyle name="Remarque 3 3 3 5 5 4" xfId="43022" xr:uid="{00000000-0005-0000-0000-00003AA00000}"/>
    <cellStyle name="Remarque 3 3 3 5 6" xfId="9186" xr:uid="{00000000-0005-0000-0000-00003BA00000}"/>
    <cellStyle name="Remarque 3 3 3 5 6 2" xfId="33200" xr:uid="{00000000-0005-0000-0000-00003CA00000}"/>
    <cellStyle name="Remarque 3 3 3 5 6 2 2" xfId="57160" xr:uid="{00000000-0005-0000-0000-00003DA00000}"/>
    <cellStyle name="Remarque 3 3 3 5 6 3" xfId="20447" xr:uid="{00000000-0005-0000-0000-00003EA00000}"/>
    <cellStyle name="Remarque 3 3 3 5 6 4" xfId="44407" xr:uid="{00000000-0005-0000-0000-00003FA00000}"/>
    <cellStyle name="Remarque 3 3 3 5 7" xfId="10643" xr:uid="{00000000-0005-0000-0000-000040A00000}"/>
    <cellStyle name="Remarque 3 3 3 5 7 2" xfId="34653" xr:uid="{00000000-0005-0000-0000-000041A00000}"/>
    <cellStyle name="Remarque 3 3 3 5 7 2 2" xfId="58613" xr:uid="{00000000-0005-0000-0000-000042A00000}"/>
    <cellStyle name="Remarque 3 3 3 5 7 3" xfId="21910" xr:uid="{00000000-0005-0000-0000-000043A00000}"/>
    <cellStyle name="Remarque 3 3 3 5 7 4" xfId="45870" xr:uid="{00000000-0005-0000-0000-000044A00000}"/>
    <cellStyle name="Remarque 3 3 3 5 8" xfId="11799" xr:uid="{00000000-0005-0000-0000-000045A00000}"/>
    <cellStyle name="Remarque 3 3 3 5 8 2" xfId="23073" xr:uid="{00000000-0005-0000-0000-000046A00000}"/>
    <cellStyle name="Remarque 3 3 3 5 8 3" xfId="47033" xr:uid="{00000000-0005-0000-0000-000047A00000}"/>
    <cellStyle name="Remarque 3 3 3 5 9" xfId="2115" xr:uid="{00000000-0005-0000-0000-000048A00000}"/>
    <cellStyle name="Remarque 3 3 3 5 9 2" xfId="26129" xr:uid="{00000000-0005-0000-0000-000049A00000}"/>
    <cellStyle name="Remarque 3 3 3 5 9 3" xfId="50089" xr:uid="{00000000-0005-0000-0000-00004AA00000}"/>
    <cellStyle name="Remarque 3 3 3 6" xfId="873" xr:uid="{00000000-0005-0000-0000-00004BA00000}"/>
    <cellStyle name="Remarque 3 3 3 6 10" xfId="24905" xr:uid="{00000000-0005-0000-0000-00004CA00000}"/>
    <cellStyle name="Remarque 3 3 3 6 10 2" xfId="48865" xr:uid="{00000000-0005-0000-0000-00004DA00000}"/>
    <cellStyle name="Remarque 3 3 3 6 11" xfId="35655" xr:uid="{00000000-0005-0000-0000-00004EA00000}"/>
    <cellStyle name="Remarque 3 3 3 6 11 2" xfId="59615" xr:uid="{00000000-0005-0000-0000-00004FA00000}"/>
    <cellStyle name="Remarque 3 3 3 6 12" xfId="13570" xr:uid="{00000000-0005-0000-0000-000050A00000}"/>
    <cellStyle name="Remarque 3 3 3 6 13" xfId="37530" xr:uid="{00000000-0005-0000-0000-000051A00000}"/>
    <cellStyle name="Remarque 3 3 3 6 2" xfId="3779" xr:uid="{00000000-0005-0000-0000-000052A00000}"/>
    <cellStyle name="Remarque 3 3 3 6 2 2" xfId="27793" xr:uid="{00000000-0005-0000-0000-000053A00000}"/>
    <cellStyle name="Remarque 3 3 3 6 2 2 2" xfId="51753" xr:uid="{00000000-0005-0000-0000-000054A00000}"/>
    <cellStyle name="Remarque 3 3 3 6 2 3" xfId="15040" xr:uid="{00000000-0005-0000-0000-000055A00000}"/>
    <cellStyle name="Remarque 3 3 3 6 2 4" xfId="39000" xr:uid="{00000000-0005-0000-0000-000056A00000}"/>
    <cellStyle name="Remarque 3 3 3 6 3" xfId="5213" xr:uid="{00000000-0005-0000-0000-000057A00000}"/>
    <cellStyle name="Remarque 3 3 3 6 3 2" xfId="29227" xr:uid="{00000000-0005-0000-0000-000058A00000}"/>
    <cellStyle name="Remarque 3 3 3 6 3 2 2" xfId="53187" xr:uid="{00000000-0005-0000-0000-000059A00000}"/>
    <cellStyle name="Remarque 3 3 3 6 3 3" xfId="16474" xr:uid="{00000000-0005-0000-0000-00005AA00000}"/>
    <cellStyle name="Remarque 3 3 3 6 3 4" xfId="40434" xr:uid="{00000000-0005-0000-0000-00005BA00000}"/>
    <cellStyle name="Remarque 3 3 3 6 4" xfId="6607" xr:uid="{00000000-0005-0000-0000-00005CA00000}"/>
    <cellStyle name="Remarque 3 3 3 6 4 2" xfId="30621" xr:uid="{00000000-0005-0000-0000-00005DA00000}"/>
    <cellStyle name="Remarque 3 3 3 6 4 2 2" xfId="54581" xr:uid="{00000000-0005-0000-0000-00005EA00000}"/>
    <cellStyle name="Remarque 3 3 3 6 4 3" xfId="17868" xr:uid="{00000000-0005-0000-0000-00005FA00000}"/>
    <cellStyle name="Remarque 3 3 3 6 4 4" xfId="41828" xr:uid="{00000000-0005-0000-0000-000060A00000}"/>
    <cellStyle name="Remarque 3 3 3 6 5" xfId="7995" xr:uid="{00000000-0005-0000-0000-000061A00000}"/>
    <cellStyle name="Remarque 3 3 3 6 5 2" xfId="32009" xr:uid="{00000000-0005-0000-0000-000062A00000}"/>
    <cellStyle name="Remarque 3 3 3 6 5 2 2" xfId="55969" xr:uid="{00000000-0005-0000-0000-000063A00000}"/>
    <cellStyle name="Remarque 3 3 3 6 5 3" xfId="19256" xr:uid="{00000000-0005-0000-0000-000064A00000}"/>
    <cellStyle name="Remarque 3 3 3 6 5 4" xfId="43216" xr:uid="{00000000-0005-0000-0000-000065A00000}"/>
    <cellStyle name="Remarque 3 3 3 6 6" xfId="9380" xr:uid="{00000000-0005-0000-0000-000066A00000}"/>
    <cellStyle name="Remarque 3 3 3 6 6 2" xfId="33394" xr:uid="{00000000-0005-0000-0000-000067A00000}"/>
    <cellStyle name="Remarque 3 3 3 6 6 2 2" xfId="57354" xr:uid="{00000000-0005-0000-0000-000068A00000}"/>
    <cellStyle name="Remarque 3 3 3 6 6 3" xfId="20641" xr:uid="{00000000-0005-0000-0000-000069A00000}"/>
    <cellStyle name="Remarque 3 3 3 6 6 4" xfId="44601" xr:uid="{00000000-0005-0000-0000-00006AA00000}"/>
    <cellStyle name="Remarque 3 3 3 6 7" xfId="10837" xr:uid="{00000000-0005-0000-0000-00006BA00000}"/>
    <cellStyle name="Remarque 3 3 3 6 7 2" xfId="34847" xr:uid="{00000000-0005-0000-0000-00006CA00000}"/>
    <cellStyle name="Remarque 3 3 3 6 7 2 2" xfId="58807" xr:uid="{00000000-0005-0000-0000-00006DA00000}"/>
    <cellStyle name="Remarque 3 3 3 6 7 3" xfId="22104" xr:uid="{00000000-0005-0000-0000-00006EA00000}"/>
    <cellStyle name="Remarque 3 3 3 6 7 4" xfId="46064" xr:uid="{00000000-0005-0000-0000-00006FA00000}"/>
    <cellStyle name="Remarque 3 3 3 6 8" xfId="12041" xr:uid="{00000000-0005-0000-0000-000070A00000}"/>
    <cellStyle name="Remarque 3 3 3 6 8 2" xfId="23321" xr:uid="{00000000-0005-0000-0000-000071A00000}"/>
    <cellStyle name="Remarque 3 3 3 6 8 3" xfId="47281" xr:uid="{00000000-0005-0000-0000-000072A00000}"/>
    <cellStyle name="Remarque 3 3 3 6 9" xfId="2309" xr:uid="{00000000-0005-0000-0000-000073A00000}"/>
    <cellStyle name="Remarque 3 3 3 6 9 2" xfId="26323" xr:uid="{00000000-0005-0000-0000-000074A00000}"/>
    <cellStyle name="Remarque 3 3 3 6 9 3" xfId="50283" xr:uid="{00000000-0005-0000-0000-000075A00000}"/>
    <cellStyle name="Remarque 3 3 3 7" xfId="1066" xr:uid="{00000000-0005-0000-0000-000076A00000}"/>
    <cellStyle name="Remarque 3 3 3 7 10" xfId="25098" xr:uid="{00000000-0005-0000-0000-000077A00000}"/>
    <cellStyle name="Remarque 3 3 3 7 10 2" xfId="49058" xr:uid="{00000000-0005-0000-0000-000078A00000}"/>
    <cellStyle name="Remarque 3 3 3 7 11" xfId="36034" xr:uid="{00000000-0005-0000-0000-000079A00000}"/>
    <cellStyle name="Remarque 3 3 3 7 11 2" xfId="59994" xr:uid="{00000000-0005-0000-0000-00007AA00000}"/>
    <cellStyle name="Remarque 3 3 3 7 12" xfId="13763" xr:uid="{00000000-0005-0000-0000-00007BA00000}"/>
    <cellStyle name="Remarque 3 3 3 7 13" xfId="37723" xr:uid="{00000000-0005-0000-0000-00007CA00000}"/>
    <cellStyle name="Remarque 3 3 3 7 2" xfId="3972" xr:uid="{00000000-0005-0000-0000-00007DA00000}"/>
    <cellStyle name="Remarque 3 3 3 7 2 2" xfId="27986" xr:uid="{00000000-0005-0000-0000-00007EA00000}"/>
    <cellStyle name="Remarque 3 3 3 7 2 2 2" xfId="51946" xr:uid="{00000000-0005-0000-0000-00007FA00000}"/>
    <cellStyle name="Remarque 3 3 3 7 2 3" xfId="15233" xr:uid="{00000000-0005-0000-0000-000080A00000}"/>
    <cellStyle name="Remarque 3 3 3 7 2 4" xfId="39193" xr:uid="{00000000-0005-0000-0000-000081A00000}"/>
    <cellStyle name="Remarque 3 3 3 7 3" xfId="5406" xr:uid="{00000000-0005-0000-0000-000082A00000}"/>
    <cellStyle name="Remarque 3 3 3 7 3 2" xfId="29420" xr:uid="{00000000-0005-0000-0000-000083A00000}"/>
    <cellStyle name="Remarque 3 3 3 7 3 2 2" xfId="53380" xr:uid="{00000000-0005-0000-0000-000084A00000}"/>
    <cellStyle name="Remarque 3 3 3 7 3 3" xfId="16667" xr:uid="{00000000-0005-0000-0000-000085A00000}"/>
    <cellStyle name="Remarque 3 3 3 7 3 4" xfId="40627" xr:uid="{00000000-0005-0000-0000-000086A00000}"/>
    <cellStyle name="Remarque 3 3 3 7 4" xfId="6800" xr:uid="{00000000-0005-0000-0000-000087A00000}"/>
    <cellStyle name="Remarque 3 3 3 7 4 2" xfId="30814" xr:uid="{00000000-0005-0000-0000-000088A00000}"/>
    <cellStyle name="Remarque 3 3 3 7 4 2 2" xfId="54774" xr:uid="{00000000-0005-0000-0000-000089A00000}"/>
    <cellStyle name="Remarque 3 3 3 7 4 3" xfId="18061" xr:uid="{00000000-0005-0000-0000-00008AA00000}"/>
    <cellStyle name="Remarque 3 3 3 7 4 4" xfId="42021" xr:uid="{00000000-0005-0000-0000-00008BA00000}"/>
    <cellStyle name="Remarque 3 3 3 7 5" xfId="8188" xr:uid="{00000000-0005-0000-0000-00008CA00000}"/>
    <cellStyle name="Remarque 3 3 3 7 5 2" xfId="32202" xr:uid="{00000000-0005-0000-0000-00008DA00000}"/>
    <cellStyle name="Remarque 3 3 3 7 5 2 2" xfId="56162" xr:uid="{00000000-0005-0000-0000-00008EA00000}"/>
    <cellStyle name="Remarque 3 3 3 7 5 3" xfId="19449" xr:uid="{00000000-0005-0000-0000-00008FA00000}"/>
    <cellStyle name="Remarque 3 3 3 7 5 4" xfId="43409" xr:uid="{00000000-0005-0000-0000-000090A00000}"/>
    <cellStyle name="Remarque 3 3 3 7 6" xfId="9573" xr:uid="{00000000-0005-0000-0000-000091A00000}"/>
    <cellStyle name="Remarque 3 3 3 7 6 2" xfId="33587" xr:uid="{00000000-0005-0000-0000-000092A00000}"/>
    <cellStyle name="Remarque 3 3 3 7 6 2 2" xfId="57547" xr:uid="{00000000-0005-0000-0000-000093A00000}"/>
    <cellStyle name="Remarque 3 3 3 7 6 3" xfId="20834" xr:uid="{00000000-0005-0000-0000-000094A00000}"/>
    <cellStyle name="Remarque 3 3 3 7 6 4" xfId="44794" xr:uid="{00000000-0005-0000-0000-000095A00000}"/>
    <cellStyle name="Remarque 3 3 3 7 7" xfId="11030" xr:uid="{00000000-0005-0000-0000-000096A00000}"/>
    <cellStyle name="Remarque 3 3 3 7 7 2" xfId="35040" xr:uid="{00000000-0005-0000-0000-000097A00000}"/>
    <cellStyle name="Remarque 3 3 3 7 7 2 2" xfId="59000" xr:uid="{00000000-0005-0000-0000-000098A00000}"/>
    <cellStyle name="Remarque 3 3 3 7 7 3" xfId="22297" xr:uid="{00000000-0005-0000-0000-000099A00000}"/>
    <cellStyle name="Remarque 3 3 3 7 7 4" xfId="46257" xr:uid="{00000000-0005-0000-0000-00009AA00000}"/>
    <cellStyle name="Remarque 3 3 3 7 8" xfId="11637" xr:uid="{00000000-0005-0000-0000-00009BA00000}"/>
    <cellStyle name="Remarque 3 3 3 7 8 2" xfId="22905" xr:uid="{00000000-0005-0000-0000-00009CA00000}"/>
    <cellStyle name="Remarque 3 3 3 7 8 3" xfId="46865" xr:uid="{00000000-0005-0000-0000-00009DA00000}"/>
    <cellStyle name="Remarque 3 3 3 7 9" xfId="2502" xr:uid="{00000000-0005-0000-0000-00009EA00000}"/>
    <cellStyle name="Remarque 3 3 3 7 9 2" xfId="26516" xr:uid="{00000000-0005-0000-0000-00009FA00000}"/>
    <cellStyle name="Remarque 3 3 3 7 9 3" xfId="50476" xr:uid="{00000000-0005-0000-0000-0000A0A00000}"/>
    <cellStyle name="Remarque 3 3 3 8" xfId="1233" xr:uid="{00000000-0005-0000-0000-0000A1A00000}"/>
    <cellStyle name="Remarque 3 3 3 8 10" xfId="25265" xr:uid="{00000000-0005-0000-0000-0000A2A00000}"/>
    <cellStyle name="Remarque 3 3 3 8 10 2" xfId="49225" xr:uid="{00000000-0005-0000-0000-0000A3A00000}"/>
    <cellStyle name="Remarque 3 3 3 8 11" xfId="36833" xr:uid="{00000000-0005-0000-0000-0000A4A00000}"/>
    <cellStyle name="Remarque 3 3 3 8 11 2" xfId="60793" xr:uid="{00000000-0005-0000-0000-0000A5A00000}"/>
    <cellStyle name="Remarque 3 3 3 8 12" xfId="13930" xr:uid="{00000000-0005-0000-0000-0000A6A00000}"/>
    <cellStyle name="Remarque 3 3 3 8 13" xfId="37890" xr:uid="{00000000-0005-0000-0000-0000A7A00000}"/>
    <cellStyle name="Remarque 3 3 3 8 2" xfId="4139" xr:uid="{00000000-0005-0000-0000-0000A8A00000}"/>
    <cellStyle name="Remarque 3 3 3 8 2 2" xfId="28153" xr:uid="{00000000-0005-0000-0000-0000A9A00000}"/>
    <cellStyle name="Remarque 3 3 3 8 2 2 2" xfId="52113" xr:uid="{00000000-0005-0000-0000-0000AAA00000}"/>
    <cellStyle name="Remarque 3 3 3 8 2 3" xfId="15400" xr:uid="{00000000-0005-0000-0000-0000ABA00000}"/>
    <cellStyle name="Remarque 3 3 3 8 2 4" xfId="39360" xr:uid="{00000000-0005-0000-0000-0000ACA00000}"/>
    <cellStyle name="Remarque 3 3 3 8 3" xfId="5573" xr:uid="{00000000-0005-0000-0000-0000ADA00000}"/>
    <cellStyle name="Remarque 3 3 3 8 3 2" xfId="29587" xr:uid="{00000000-0005-0000-0000-0000AEA00000}"/>
    <cellStyle name="Remarque 3 3 3 8 3 2 2" xfId="53547" xr:uid="{00000000-0005-0000-0000-0000AFA00000}"/>
    <cellStyle name="Remarque 3 3 3 8 3 3" xfId="16834" xr:uid="{00000000-0005-0000-0000-0000B0A00000}"/>
    <cellStyle name="Remarque 3 3 3 8 3 4" xfId="40794" xr:uid="{00000000-0005-0000-0000-0000B1A00000}"/>
    <cellStyle name="Remarque 3 3 3 8 4" xfId="6967" xr:uid="{00000000-0005-0000-0000-0000B2A00000}"/>
    <cellStyle name="Remarque 3 3 3 8 4 2" xfId="30981" xr:uid="{00000000-0005-0000-0000-0000B3A00000}"/>
    <cellStyle name="Remarque 3 3 3 8 4 2 2" xfId="54941" xr:uid="{00000000-0005-0000-0000-0000B4A00000}"/>
    <cellStyle name="Remarque 3 3 3 8 4 3" xfId="18228" xr:uid="{00000000-0005-0000-0000-0000B5A00000}"/>
    <cellStyle name="Remarque 3 3 3 8 4 4" xfId="42188" xr:uid="{00000000-0005-0000-0000-0000B6A00000}"/>
    <cellStyle name="Remarque 3 3 3 8 5" xfId="8355" xr:uid="{00000000-0005-0000-0000-0000B7A00000}"/>
    <cellStyle name="Remarque 3 3 3 8 5 2" xfId="32369" xr:uid="{00000000-0005-0000-0000-0000B8A00000}"/>
    <cellStyle name="Remarque 3 3 3 8 5 2 2" xfId="56329" xr:uid="{00000000-0005-0000-0000-0000B9A00000}"/>
    <cellStyle name="Remarque 3 3 3 8 5 3" xfId="19616" xr:uid="{00000000-0005-0000-0000-0000BAA00000}"/>
    <cellStyle name="Remarque 3 3 3 8 5 4" xfId="43576" xr:uid="{00000000-0005-0000-0000-0000BBA00000}"/>
    <cellStyle name="Remarque 3 3 3 8 6" xfId="9740" xr:uid="{00000000-0005-0000-0000-0000BCA00000}"/>
    <cellStyle name="Remarque 3 3 3 8 6 2" xfId="33754" xr:uid="{00000000-0005-0000-0000-0000BDA00000}"/>
    <cellStyle name="Remarque 3 3 3 8 6 2 2" xfId="57714" xr:uid="{00000000-0005-0000-0000-0000BEA00000}"/>
    <cellStyle name="Remarque 3 3 3 8 6 3" xfId="21001" xr:uid="{00000000-0005-0000-0000-0000BFA00000}"/>
    <cellStyle name="Remarque 3 3 3 8 6 4" xfId="44961" xr:uid="{00000000-0005-0000-0000-0000C0A00000}"/>
    <cellStyle name="Remarque 3 3 3 8 7" xfId="11197" xr:uid="{00000000-0005-0000-0000-0000C1A00000}"/>
    <cellStyle name="Remarque 3 3 3 8 7 2" xfId="35207" xr:uid="{00000000-0005-0000-0000-0000C2A00000}"/>
    <cellStyle name="Remarque 3 3 3 8 7 2 2" xfId="59167" xr:uid="{00000000-0005-0000-0000-0000C3A00000}"/>
    <cellStyle name="Remarque 3 3 3 8 7 3" xfId="22464" xr:uid="{00000000-0005-0000-0000-0000C4A00000}"/>
    <cellStyle name="Remarque 3 3 3 8 7 4" xfId="46424" xr:uid="{00000000-0005-0000-0000-0000C5A00000}"/>
    <cellStyle name="Remarque 3 3 3 8 8" xfId="12558" xr:uid="{00000000-0005-0000-0000-0000C6A00000}"/>
    <cellStyle name="Remarque 3 3 3 8 8 2" xfId="23858" xr:uid="{00000000-0005-0000-0000-0000C7A00000}"/>
    <cellStyle name="Remarque 3 3 3 8 8 3" xfId="47818" xr:uid="{00000000-0005-0000-0000-0000C8A00000}"/>
    <cellStyle name="Remarque 3 3 3 8 9" xfId="2669" xr:uid="{00000000-0005-0000-0000-0000C9A00000}"/>
    <cellStyle name="Remarque 3 3 3 8 9 2" xfId="26683" xr:uid="{00000000-0005-0000-0000-0000CAA00000}"/>
    <cellStyle name="Remarque 3 3 3 8 9 3" xfId="50643" xr:uid="{00000000-0005-0000-0000-0000CBA00000}"/>
    <cellStyle name="Remarque 3 3 3 9" xfId="1402" xr:uid="{00000000-0005-0000-0000-0000CCA00000}"/>
    <cellStyle name="Remarque 3 3 3 9 10" xfId="25434" xr:uid="{00000000-0005-0000-0000-0000CDA00000}"/>
    <cellStyle name="Remarque 3 3 3 9 10 2" xfId="49394" xr:uid="{00000000-0005-0000-0000-0000CEA00000}"/>
    <cellStyle name="Remarque 3 3 3 9 11" xfId="35735" xr:uid="{00000000-0005-0000-0000-0000CFA00000}"/>
    <cellStyle name="Remarque 3 3 3 9 11 2" xfId="59695" xr:uid="{00000000-0005-0000-0000-0000D0A00000}"/>
    <cellStyle name="Remarque 3 3 3 9 12" xfId="14099" xr:uid="{00000000-0005-0000-0000-0000D1A00000}"/>
    <cellStyle name="Remarque 3 3 3 9 13" xfId="38059" xr:uid="{00000000-0005-0000-0000-0000D2A00000}"/>
    <cellStyle name="Remarque 3 3 3 9 2" xfId="4308" xr:uid="{00000000-0005-0000-0000-0000D3A00000}"/>
    <cellStyle name="Remarque 3 3 3 9 2 2" xfId="28322" xr:uid="{00000000-0005-0000-0000-0000D4A00000}"/>
    <cellStyle name="Remarque 3 3 3 9 2 2 2" xfId="52282" xr:uid="{00000000-0005-0000-0000-0000D5A00000}"/>
    <cellStyle name="Remarque 3 3 3 9 2 3" xfId="15569" xr:uid="{00000000-0005-0000-0000-0000D6A00000}"/>
    <cellStyle name="Remarque 3 3 3 9 2 4" xfId="39529" xr:uid="{00000000-0005-0000-0000-0000D7A00000}"/>
    <cellStyle name="Remarque 3 3 3 9 3" xfId="5742" xr:uid="{00000000-0005-0000-0000-0000D8A00000}"/>
    <cellStyle name="Remarque 3 3 3 9 3 2" xfId="29756" xr:uid="{00000000-0005-0000-0000-0000D9A00000}"/>
    <cellStyle name="Remarque 3 3 3 9 3 2 2" xfId="53716" xr:uid="{00000000-0005-0000-0000-0000DAA00000}"/>
    <cellStyle name="Remarque 3 3 3 9 3 3" xfId="17003" xr:uid="{00000000-0005-0000-0000-0000DBA00000}"/>
    <cellStyle name="Remarque 3 3 3 9 3 4" xfId="40963" xr:uid="{00000000-0005-0000-0000-0000DCA00000}"/>
    <cellStyle name="Remarque 3 3 3 9 4" xfId="7136" xr:uid="{00000000-0005-0000-0000-0000DDA00000}"/>
    <cellStyle name="Remarque 3 3 3 9 4 2" xfId="31150" xr:uid="{00000000-0005-0000-0000-0000DEA00000}"/>
    <cellStyle name="Remarque 3 3 3 9 4 2 2" xfId="55110" xr:uid="{00000000-0005-0000-0000-0000DFA00000}"/>
    <cellStyle name="Remarque 3 3 3 9 4 3" xfId="18397" xr:uid="{00000000-0005-0000-0000-0000E0A00000}"/>
    <cellStyle name="Remarque 3 3 3 9 4 4" xfId="42357" xr:uid="{00000000-0005-0000-0000-0000E1A00000}"/>
    <cellStyle name="Remarque 3 3 3 9 5" xfId="8524" xr:uid="{00000000-0005-0000-0000-0000E2A00000}"/>
    <cellStyle name="Remarque 3 3 3 9 5 2" xfId="32538" xr:uid="{00000000-0005-0000-0000-0000E3A00000}"/>
    <cellStyle name="Remarque 3 3 3 9 5 2 2" xfId="56498" xr:uid="{00000000-0005-0000-0000-0000E4A00000}"/>
    <cellStyle name="Remarque 3 3 3 9 5 3" xfId="19785" xr:uid="{00000000-0005-0000-0000-0000E5A00000}"/>
    <cellStyle name="Remarque 3 3 3 9 5 4" xfId="43745" xr:uid="{00000000-0005-0000-0000-0000E6A00000}"/>
    <cellStyle name="Remarque 3 3 3 9 6" xfId="9909" xr:uid="{00000000-0005-0000-0000-0000E7A00000}"/>
    <cellStyle name="Remarque 3 3 3 9 6 2" xfId="33923" xr:uid="{00000000-0005-0000-0000-0000E8A00000}"/>
    <cellStyle name="Remarque 3 3 3 9 6 2 2" xfId="57883" xr:uid="{00000000-0005-0000-0000-0000E9A00000}"/>
    <cellStyle name="Remarque 3 3 3 9 6 3" xfId="21170" xr:uid="{00000000-0005-0000-0000-0000EAA00000}"/>
    <cellStyle name="Remarque 3 3 3 9 6 4" xfId="45130" xr:uid="{00000000-0005-0000-0000-0000EBA00000}"/>
    <cellStyle name="Remarque 3 3 3 9 7" xfId="11366" xr:uid="{00000000-0005-0000-0000-0000ECA00000}"/>
    <cellStyle name="Remarque 3 3 3 9 7 2" xfId="35376" xr:uid="{00000000-0005-0000-0000-0000EDA00000}"/>
    <cellStyle name="Remarque 3 3 3 9 7 2 2" xfId="59336" xr:uid="{00000000-0005-0000-0000-0000EEA00000}"/>
    <cellStyle name="Remarque 3 3 3 9 7 3" xfId="22633" xr:uid="{00000000-0005-0000-0000-0000EFA00000}"/>
    <cellStyle name="Remarque 3 3 3 9 7 4" xfId="46593" xr:uid="{00000000-0005-0000-0000-0000F0A00000}"/>
    <cellStyle name="Remarque 3 3 3 9 8" xfId="11834" xr:uid="{00000000-0005-0000-0000-0000F1A00000}"/>
    <cellStyle name="Remarque 3 3 3 9 8 2" xfId="23108" xr:uid="{00000000-0005-0000-0000-0000F2A00000}"/>
    <cellStyle name="Remarque 3 3 3 9 8 3" xfId="47068" xr:uid="{00000000-0005-0000-0000-0000F3A00000}"/>
    <cellStyle name="Remarque 3 3 3 9 9" xfId="2838" xr:uid="{00000000-0005-0000-0000-0000F4A00000}"/>
    <cellStyle name="Remarque 3 3 3 9 9 2" xfId="26852" xr:uid="{00000000-0005-0000-0000-0000F5A00000}"/>
    <cellStyle name="Remarque 3 3 3 9 9 3" xfId="50812" xr:uid="{00000000-0005-0000-0000-0000F6A00000}"/>
    <cellStyle name="Remarque 3 3 4" xfId="85" xr:uid="{00000000-0005-0000-0000-0000F7A00000}"/>
    <cellStyle name="Remarque 3 3 4 10" xfId="36887" xr:uid="{00000000-0005-0000-0000-0000F8A00000}"/>
    <cellStyle name="Remarque 3 3 4 11" xfId="230" xr:uid="{00000000-0005-0000-0000-0000F9A00000}"/>
    <cellStyle name="Remarque 3 3 4 2" xfId="464" xr:uid="{00000000-0005-0000-0000-0000FAA00000}"/>
    <cellStyle name="Remarque 3 3 4 2 10" xfId="6198" xr:uid="{00000000-0005-0000-0000-0000FBA00000}"/>
    <cellStyle name="Remarque 3 3 4 2 10 2" xfId="30212" xr:uid="{00000000-0005-0000-0000-0000FCA00000}"/>
    <cellStyle name="Remarque 3 3 4 2 10 2 2" xfId="54172" xr:uid="{00000000-0005-0000-0000-0000FDA00000}"/>
    <cellStyle name="Remarque 3 3 4 2 10 3" xfId="17459" xr:uid="{00000000-0005-0000-0000-0000FEA00000}"/>
    <cellStyle name="Remarque 3 3 4 2 10 4" xfId="41419" xr:uid="{00000000-0005-0000-0000-0000FFA00000}"/>
    <cellStyle name="Remarque 3 3 4 2 11" xfId="7586" xr:uid="{00000000-0005-0000-0000-000000A10000}"/>
    <cellStyle name="Remarque 3 3 4 2 11 2" xfId="31600" xr:uid="{00000000-0005-0000-0000-000001A10000}"/>
    <cellStyle name="Remarque 3 3 4 2 11 2 2" xfId="55560" xr:uid="{00000000-0005-0000-0000-000002A10000}"/>
    <cellStyle name="Remarque 3 3 4 2 11 3" xfId="18847" xr:uid="{00000000-0005-0000-0000-000003A10000}"/>
    <cellStyle name="Remarque 3 3 4 2 11 4" xfId="42807" xr:uid="{00000000-0005-0000-0000-000004A10000}"/>
    <cellStyle name="Remarque 3 3 4 2 12" xfId="8971" xr:uid="{00000000-0005-0000-0000-000005A10000}"/>
    <cellStyle name="Remarque 3 3 4 2 12 2" xfId="32985" xr:uid="{00000000-0005-0000-0000-000006A10000}"/>
    <cellStyle name="Remarque 3 3 4 2 12 2 2" xfId="56945" xr:uid="{00000000-0005-0000-0000-000007A10000}"/>
    <cellStyle name="Remarque 3 3 4 2 12 3" xfId="20232" xr:uid="{00000000-0005-0000-0000-000008A10000}"/>
    <cellStyle name="Remarque 3 3 4 2 12 4" xfId="44192" xr:uid="{00000000-0005-0000-0000-000009A10000}"/>
    <cellStyle name="Remarque 3 3 4 2 13" xfId="10428" xr:uid="{00000000-0005-0000-0000-00000AA10000}"/>
    <cellStyle name="Remarque 3 3 4 2 13 2" xfId="34438" xr:uid="{00000000-0005-0000-0000-00000BA10000}"/>
    <cellStyle name="Remarque 3 3 4 2 13 2 2" xfId="58398" xr:uid="{00000000-0005-0000-0000-00000CA10000}"/>
    <cellStyle name="Remarque 3 3 4 2 13 3" xfId="21695" xr:uid="{00000000-0005-0000-0000-00000DA10000}"/>
    <cellStyle name="Remarque 3 3 4 2 13 4" xfId="45655" xr:uid="{00000000-0005-0000-0000-00000EA10000}"/>
    <cellStyle name="Remarque 3 3 4 2 14" xfId="12186" xr:uid="{00000000-0005-0000-0000-00000FA10000}"/>
    <cellStyle name="Remarque 3 3 4 2 14 2" xfId="23469" xr:uid="{00000000-0005-0000-0000-000010A10000}"/>
    <cellStyle name="Remarque 3 3 4 2 14 3" xfId="47429" xr:uid="{00000000-0005-0000-0000-000011A10000}"/>
    <cellStyle name="Remarque 3 3 4 2 15" xfId="1900" xr:uid="{00000000-0005-0000-0000-000012A10000}"/>
    <cellStyle name="Remarque 3 3 4 2 15 2" xfId="25914" xr:uid="{00000000-0005-0000-0000-000013A10000}"/>
    <cellStyle name="Remarque 3 3 4 2 15 3" xfId="49874" xr:uid="{00000000-0005-0000-0000-000014A10000}"/>
    <cellStyle name="Remarque 3 3 4 2 16" xfId="24496" xr:uid="{00000000-0005-0000-0000-000015A10000}"/>
    <cellStyle name="Remarque 3 3 4 2 16 2" xfId="48456" xr:uid="{00000000-0005-0000-0000-000016A10000}"/>
    <cellStyle name="Remarque 3 3 4 2 17" xfId="36519" xr:uid="{00000000-0005-0000-0000-000017A10000}"/>
    <cellStyle name="Remarque 3 3 4 2 17 2" xfId="60479" xr:uid="{00000000-0005-0000-0000-000018A10000}"/>
    <cellStyle name="Remarque 3 3 4 2 18" xfId="13161" xr:uid="{00000000-0005-0000-0000-000019A10000}"/>
    <cellStyle name="Remarque 3 3 4 2 19" xfId="37121" xr:uid="{00000000-0005-0000-0000-00001AA10000}"/>
    <cellStyle name="Remarque 3 3 4 2 2" xfId="600" xr:uid="{00000000-0005-0000-0000-00001BA10000}"/>
    <cellStyle name="Remarque 3 3 4 2 2 10" xfId="24632" xr:uid="{00000000-0005-0000-0000-00001CA10000}"/>
    <cellStyle name="Remarque 3 3 4 2 2 10 2" xfId="48592" xr:uid="{00000000-0005-0000-0000-00001DA10000}"/>
    <cellStyle name="Remarque 3 3 4 2 2 11" xfId="35973" xr:uid="{00000000-0005-0000-0000-00001EA10000}"/>
    <cellStyle name="Remarque 3 3 4 2 2 11 2" xfId="59933" xr:uid="{00000000-0005-0000-0000-00001FA10000}"/>
    <cellStyle name="Remarque 3 3 4 2 2 12" xfId="13297" xr:uid="{00000000-0005-0000-0000-000020A10000}"/>
    <cellStyle name="Remarque 3 3 4 2 2 13" xfId="37257" xr:uid="{00000000-0005-0000-0000-000021A10000}"/>
    <cellStyle name="Remarque 3 3 4 2 2 2" xfId="3506" xr:uid="{00000000-0005-0000-0000-000022A10000}"/>
    <cellStyle name="Remarque 3 3 4 2 2 2 2" xfId="27520" xr:uid="{00000000-0005-0000-0000-000023A10000}"/>
    <cellStyle name="Remarque 3 3 4 2 2 2 2 2" xfId="51480" xr:uid="{00000000-0005-0000-0000-000024A10000}"/>
    <cellStyle name="Remarque 3 3 4 2 2 2 3" xfId="14767" xr:uid="{00000000-0005-0000-0000-000025A10000}"/>
    <cellStyle name="Remarque 3 3 4 2 2 2 4" xfId="38727" xr:uid="{00000000-0005-0000-0000-000026A10000}"/>
    <cellStyle name="Remarque 3 3 4 2 2 3" xfId="4940" xr:uid="{00000000-0005-0000-0000-000027A10000}"/>
    <cellStyle name="Remarque 3 3 4 2 2 3 2" xfId="28954" xr:uid="{00000000-0005-0000-0000-000028A10000}"/>
    <cellStyle name="Remarque 3 3 4 2 2 3 2 2" xfId="52914" xr:uid="{00000000-0005-0000-0000-000029A10000}"/>
    <cellStyle name="Remarque 3 3 4 2 2 3 3" xfId="16201" xr:uid="{00000000-0005-0000-0000-00002AA10000}"/>
    <cellStyle name="Remarque 3 3 4 2 2 3 4" xfId="40161" xr:uid="{00000000-0005-0000-0000-00002BA10000}"/>
    <cellStyle name="Remarque 3 3 4 2 2 4" xfId="6334" xr:uid="{00000000-0005-0000-0000-00002CA10000}"/>
    <cellStyle name="Remarque 3 3 4 2 2 4 2" xfId="30348" xr:uid="{00000000-0005-0000-0000-00002DA10000}"/>
    <cellStyle name="Remarque 3 3 4 2 2 4 2 2" xfId="54308" xr:uid="{00000000-0005-0000-0000-00002EA10000}"/>
    <cellStyle name="Remarque 3 3 4 2 2 4 3" xfId="17595" xr:uid="{00000000-0005-0000-0000-00002FA10000}"/>
    <cellStyle name="Remarque 3 3 4 2 2 4 4" xfId="41555" xr:uid="{00000000-0005-0000-0000-000030A10000}"/>
    <cellStyle name="Remarque 3 3 4 2 2 5" xfId="7722" xr:uid="{00000000-0005-0000-0000-000031A10000}"/>
    <cellStyle name="Remarque 3 3 4 2 2 5 2" xfId="31736" xr:uid="{00000000-0005-0000-0000-000032A10000}"/>
    <cellStyle name="Remarque 3 3 4 2 2 5 2 2" xfId="55696" xr:uid="{00000000-0005-0000-0000-000033A10000}"/>
    <cellStyle name="Remarque 3 3 4 2 2 5 3" xfId="18983" xr:uid="{00000000-0005-0000-0000-000034A10000}"/>
    <cellStyle name="Remarque 3 3 4 2 2 5 4" xfId="42943" xr:uid="{00000000-0005-0000-0000-000035A10000}"/>
    <cellStyle name="Remarque 3 3 4 2 2 6" xfId="9107" xr:uid="{00000000-0005-0000-0000-000036A10000}"/>
    <cellStyle name="Remarque 3 3 4 2 2 6 2" xfId="33121" xr:uid="{00000000-0005-0000-0000-000037A10000}"/>
    <cellStyle name="Remarque 3 3 4 2 2 6 2 2" xfId="57081" xr:uid="{00000000-0005-0000-0000-000038A10000}"/>
    <cellStyle name="Remarque 3 3 4 2 2 6 3" xfId="20368" xr:uid="{00000000-0005-0000-0000-000039A10000}"/>
    <cellStyle name="Remarque 3 3 4 2 2 6 4" xfId="44328" xr:uid="{00000000-0005-0000-0000-00003AA10000}"/>
    <cellStyle name="Remarque 3 3 4 2 2 7" xfId="10564" xr:uid="{00000000-0005-0000-0000-00003BA10000}"/>
    <cellStyle name="Remarque 3 3 4 2 2 7 2" xfId="34574" xr:uid="{00000000-0005-0000-0000-00003CA10000}"/>
    <cellStyle name="Remarque 3 3 4 2 2 7 2 2" xfId="58534" xr:uid="{00000000-0005-0000-0000-00003DA10000}"/>
    <cellStyle name="Remarque 3 3 4 2 2 7 3" xfId="21831" xr:uid="{00000000-0005-0000-0000-00003EA10000}"/>
    <cellStyle name="Remarque 3 3 4 2 2 7 4" xfId="45791" xr:uid="{00000000-0005-0000-0000-00003FA10000}"/>
    <cellStyle name="Remarque 3 3 4 2 2 8" xfId="11598" xr:uid="{00000000-0005-0000-0000-000040A10000}"/>
    <cellStyle name="Remarque 3 3 4 2 2 8 2" xfId="22865" xr:uid="{00000000-0005-0000-0000-000041A10000}"/>
    <cellStyle name="Remarque 3 3 4 2 2 8 3" xfId="46825" xr:uid="{00000000-0005-0000-0000-000042A10000}"/>
    <cellStyle name="Remarque 3 3 4 2 2 9" xfId="2036" xr:uid="{00000000-0005-0000-0000-000043A10000}"/>
    <cellStyle name="Remarque 3 3 4 2 2 9 2" xfId="26050" xr:uid="{00000000-0005-0000-0000-000044A10000}"/>
    <cellStyle name="Remarque 3 3 4 2 2 9 3" xfId="50010" xr:uid="{00000000-0005-0000-0000-000045A10000}"/>
    <cellStyle name="Remarque 3 3 4 2 3" xfId="792" xr:uid="{00000000-0005-0000-0000-000046A10000}"/>
    <cellStyle name="Remarque 3 3 4 2 3 10" xfId="24824" xr:uid="{00000000-0005-0000-0000-000047A10000}"/>
    <cellStyle name="Remarque 3 3 4 2 3 10 2" xfId="48784" xr:uid="{00000000-0005-0000-0000-000048A10000}"/>
    <cellStyle name="Remarque 3 3 4 2 3 11" xfId="24072" xr:uid="{00000000-0005-0000-0000-000049A10000}"/>
    <cellStyle name="Remarque 3 3 4 2 3 11 2" xfId="48032" xr:uid="{00000000-0005-0000-0000-00004AA10000}"/>
    <cellStyle name="Remarque 3 3 4 2 3 12" xfId="13489" xr:uid="{00000000-0005-0000-0000-00004BA10000}"/>
    <cellStyle name="Remarque 3 3 4 2 3 13" xfId="37449" xr:uid="{00000000-0005-0000-0000-00004CA10000}"/>
    <cellStyle name="Remarque 3 3 4 2 3 2" xfId="3698" xr:uid="{00000000-0005-0000-0000-00004DA10000}"/>
    <cellStyle name="Remarque 3 3 4 2 3 2 2" xfId="27712" xr:uid="{00000000-0005-0000-0000-00004EA10000}"/>
    <cellStyle name="Remarque 3 3 4 2 3 2 2 2" xfId="51672" xr:uid="{00000000-0005-0000-0000-00004FA10000}"/>
    <cellStyle name="Remarque 3 3 4 2 3 2 3" xfId="14959" xr:uid="{00000000-0005-0000-0000-000050A10000}"/>
    <cellStyle name="Remarque 3 3 4 2 3 2 4" xfId="38919" xr:uid="{00000000-0005-0000-0000-000051A10000}"/>
    <cellStyle name="Remarque 3 3 4 2 3 3" xfId="5132" xr:uid="{00000000-0005-0000-0000-000052A10000}"/>
    <cellStyle name="Remarque 3 3 4 2 3 3 2" xfId="29146" xr:uid="{00000000-0005-0000-0000-000053A10000}"/>
    <cellStyle name="Remarque 3 3 4 2 3 3 2 2" xfId="53106" xr:uid="{00000000-0005-0000-0000-000054A10000}"/>
    <cellStyle name="Remarque 3 3 4 2 3 3 3" xfId="16393" xr:uid="{00000000-0005-0000-0000-000055A10000}"/>
    <cellStyle name="Remarque 3 3 4 2 3 3 4" xfId="40353" xr:uid="{00000000-0005-0000-0000-000056A10000}"/>
    <cellStyle name="Remarque 3 3 4 2 3 4" xfId="6526" xr:uid="{00000000-0005-0000-0000-000057A10000}"/>
    <cellStyle name="Remarque 3 3 4 2 3 4 2" xfId="30540" xr:uid="{00000000-0005-0000-0000-000058A10000}"/>
    <cellStyle name="Remarque 3 3 4 2 3 4 2 2" xfId="54500" xr:uid="{00000000-0005-0000-0000-000059A10000}"/>
    <cellStyle name="Remarque 3 3 4 2 3 4 3" xfId="17787" xr:uid="{00000000-0005-0000-0000-00005AA10000}"/>
    <cellStyle name="Remarque 3 3 4 2 3 4 4" xfId="41747" xr:uid="{00000000-0005-0000-0000-00005BA10000}"/>
    <cellStyle name="Remarque 3 3 4 2 3 5" xfId="7914" xr:uid="{00000000-0005-0000-0000-00005CA10000}"/>
    <cellStyle name="Remarque 3 3 4 2 3 5 2" xfId="31928" xr:uid="{00000000-0005-0000-0000-00005DA10000}"/>
    <cellStyle name="Remarque 3 3 4 2 3 5 2 2" xfId="55888" xr:uid="{00000000-0005-0000-0000-00005EA10000}"/>
    <cellStyle name="Remarque 3 3 4 2 3 5 3" xfId="19175" xr:uid="{00000000-0005-0000-0000-00005FA10000}"/>
    <cellStyle name="Remarque 3 3 4 2 3 5 4" xfId="43135" xr:uid="{00000000-0005-0000-0000-000060A10000}"/>
    <cellStyle name="Remarque 3 3 4 2 3 6" xfId="9299" xr:uid="{00000000-0005-0000-0000-000061A10000}"/>
    <cellStyle name="Remarque 3 3 4 2 3 6 2" xfId="33313" xr:uid="{00000000-0005-0000-0000-000062A10000}"/>
    <cellStyle name="Remarque 3 3 4 2 3 6 2 2" xfId="57273" xr:uid="{00000000-0005-0000-0000-000063A10000}"/>
    <cellStyle name="Remarque 3 3 4 2 3 6 3" xfId="20560" xr:uid="{00000000-0005-0000-0000-000064A10000}"/>
    <cellStyle name="Remarque 3 3 4 2 3 6 4" xfId="44520" xr:uid="{00000000-0005-0000-0000-000065A10000}"/>
    <cellStyle name="Remarque 3 3 4 2 3 7" xfId="10756" xr:uid="{00000000-0005-0000-0000-000066A10000}"/>
    <cellStyle name="Remarque 3 3 4 2 3 7 2" xfId="34766" xr:uid="{00000000-0005-0000-0000-000067A10000}"/>
    <cellStyle name="Remarque 3 3 4 2 3 7 2 2" xfId="58726" xr:uid="{00000000-0005-0000-0000-000068A10000}"/>
    <cellStyle name="Remarque 3 3 4 2 3 7 3" xfId="22023" xr:uid="{00000000-0005-0000-0000-000069A10000}"/>
    <cellStyle name="Remarque 3 3 4 2 3 7 4" xfId="45983" xr:uid="{00000000-0005-0000-0000-00006AA10000}"/>
    <cellStyle name="Remarque 3 3 4 2 3 8" xfId="12797" xr:uid="{00000000-0005-0000-0000-00006BA10000}"/>
    <cellStyle name="Remarque 3 3 4 2 3 8 2" xfId="24107" xr:uid="{00000000-0005-0000-0000-00006CA10000}"/>
    <cellStyle name="Remarque 3 3 4 2 3 8 3" xfId="48067" xr:uid="{00000000-0005-0000-0000-00006DA10000}"/>
    <cellStyle name="Remarque 3 3 4 2 3 9" xfId="2228" xr:uid="{00000000-0005-0000-0000-00006EA10000}"/>
    <cellStyle name="Remarque 3 3 4 2 3 9 2" xfId="26242" xr:uid="{00000000-0005-0000-0000-00006FA10000}"/>
    <cellStyle name="Remarque 3 3 4 2 3 9 3" xfId="50202" xr:uid="{00000000-0005-0000-0000-000070A10000}"/>
    <cellStyle name="Remarque 3 3 4 2 4" xfId="986" xr:uid="{00000000-0005-0000-0000-000071A10000}"/>
    <cellStyle name="Remarque 3 3 4 2 4 10" xfId="25018" xr:uid="{00000000-0005-0000-0000-000072A10000}"/>
    <cellStyle name="Remarque 3 3 4 2 4 10 2" xfId="48978" xr:uid="{00000000-0005-0000-0000-000073A10000}"/>
    <cellStyle name="Remarque 3 3 4 2 4 11" xfId="36152" xr:uid="{00000000-0005-0000-0000-000074A10000}"/>
    <cellStyle name="Remarque 3 3 4 2 4 11 2" xfId="60112" xr:uid="{00000000-0005-0000-0000-000075A10000}"/>
    <cellStyle name="Remarque 3 3 4 2 4 12" xfId="13683" xr:uid="{00000000-0005-0000-0000-000076A10000}"/>
    <cellStyle name="Remarque 3 3 4 2 4 13" xfId="37643" xr:uid="{00000000-0005-0000-0000-000077A10000}"/>
    <cellStyle name="Remarque 3 3 4 2 4 2" xfId="3892" xr:uid="{00000000-0005-0000-0000-000078A10000}"/>
    <cellStyle name="Remarque 3 3 4 2 4 2 2" xfId="27906" xr:uid="{00000000-0005-0000-0000-000079A10000}"/>
    <cellStyle name="Remarque 3 3 4 2 4 2 2 2" xfId="51866" xr:uid="{00000000-0005-0000-0000-00007AA10000}"/>
    <cellStyle name="Remarque 3 3 4 2 4 2 3" xfId="15153" xr:uid="{00000000-0005-0000-0000-00007BA10000}"/>
    <cellStyle name="Remarque 3 3 4 2 4 2 4" xfId="39113" xr:uid="{00000000-0005-0000-0000-00007CA10000}"/>
    <cellStyle name="Remarque 3 3 4 2 4 3" xfId="5326" xr:uid="{00000000-0005-0000-0000-00007DA10000}"/>
    <cellStyle name="Remarque 3 3 4 2 4 3 2" xfId="29340" xr:uid="{00000000-0005-0000-0000-00007EA10000}"/>
    <cellStyle name="Remarque 3 3 4 2 4 3 2 2" xfId="53300" xr:uid="{00000000-0005-0000-0000-00007FA10000}"/>
    <cellStyle name="Remarque 3 3 4 2 4 3 3" xfId="16587" xr:uid="{00000000-0005-0000-0000-000080A10000}"/>
    <cellStyle name="Remarque 3 3 4 2 4 3 4" xfId="40547" xr:uid="{00000000-0005-0000-0000-000081A10000}"/>
    <cellStyle name="Remarque 3 3 4 2 4 4" xfId="6720" xr:uid="{00000000-0005-0000-0000-000082A10000}"/>
    <cellStyle name="Remarque 3 3 4 2 4 4 2" xfId="30734" xr:uid="{00000000-0005-0000-0000-000083A10000}"/>
    <cellStyle name="Remarque 3 3 4 2 4 4 2 2" xfId="54694" xr:uid="{00000000-0005-0000-0000-000084A10000}"/>
    <cellStyle name="Remarque 3 3 4 2 4 4 3" xfId="17981" xr:uid="{00000000-0005-0000-0000-000085A10000}"/>
    <cellStyle name="Remarque 3 3 4 2 4 4 4" xfId="41941" xr:uid="{00000000-0005-0000-0000-000086A10000}"/>
    <cellStyle name="Remarque 3 3 4 2 4 5" xfId="8108" xr:uid="{00000000-0005-0000-0000-000087A10000}"/>
    <cellStyle name="Remarque 3 3 4 2 4 5 2" xfId="32122" xr:uid="{00000000-0005-0000-0000-000088A10000}"/>
    <cellStyle name="Remarque 3 3 4 2 4 5 2 2" xfId="56082" xr:uid="{00000000-0005-0000-0000-000089A10000}"/>
    <cellStyle name="Remarque 3 3 4 2 4 5 3" xfId="19369" xr:uid="{00000000-0005-0000-0000-00008AA10000}"/>
    <cellStyle name="Remarque 3 3 4 2 4 5 4" xfId="43329" xr:uid="{00000000-0005-0000-0000-00008BA10000}"/>
    <cellStyle name="Remarque 3 3 4 2 4 6" xfId="9493" xr:uid="{00000000-0005-0000-0000-00008CA10000}"/>
    <cellStyle name="Remarque 3 3 4 2 4 6 2" xfId="33507" xr:uid="{00000000-0005-0000-0000-00008DA10000}"/>
    <cellStyle name="Remarque 3 3 4 2 4 6 2 2" xfId="57467" xr:uid="{00000000-0005-0000-0000-00008EA10000}"/>
    <cellStyle name="Remarque 3 3 4 2 4 6 3" xfId="20754" xr:uid="{00000000-0005-0000-0000-00008FA10000}"/>
    <cellStyle name="Remarque 3 3 4 2 4 6 4" xfId="44714" xr:uid="{00000000-0005-0000-0000-000090A10000}"/>
    <cellStyle name="Remarque 3 3 4 2 4 7" xfId="10950" xr:uid="{00000000-0005-0000-0000-000091A10000}"/>
    <cellStyle name="Remarque 3 3 4 2 4 7 2" xfId="34960" xr:uid="{00000000-0005-0000-0000-000092A10000}"/>
    <cellStyle name="Remarque 3 3 4 2 4 7 2 2" xfId="58920" xr:uid="{00000000-0005-0000-0000-000093A10000}"/>
    <cellStyle name="Remarque 3 3 4 2 4 7 3" xfId="22217" xr:uid="{00000000-0005-0000-0000-000094A10000}"/>
    <cellStyle name="Remarque 3 3 4 2 4 7 4" xfId="46177" xr:uid="{00000000-0005-0000-0000-000095A10000}"/>
    <cellStyle name="Remarque 3 3 4 2 4 8" xfId="12449" xr:uid="{00000000-0005-0000-0000-000096A10000}"/>
    <cellStyle name="Remarque 3 3 4 2 4 8 2" xfId="23743" xr:uid="{00000000-0005-0000-0000-000097A10000}"/>
    <cellStyle name="Remarque 3 3 4 2 4 8 3" xfId="47703" xr:uid="{00000000-0005-0000-0000-000098A10000}"/>
    <cellStyle name="Remarque 3 3 4 2 4 9" xfId="2422" xr:uid="{00000000-0005-0000-0000-000099A10000}"/>
    <cellStyle name="Remarque 3 3 4 2 4 9 2" xfId="26436" xr:uid="{00000000-0005-0000-0000-00009AA10000}"/>
    <cellStyle name="Remarque 3 3 4 2 4 9 3" xfId="50396" xr:uid="{00000000-0005-0000-0000-00009BA10000}"/>
    <cellStyle name="Remarque 3 3 4 2 5" xfId="1179" xr:uid="{00000000-0005-0000-0000-00009CA10000}"/>
    <cellStyle name="Remarque 3 3 4 2 5 10" xfId="25211" xr:uid="{00000000-0005-0000-0000-00009DA10000}"/>
    <cellStyle name="Remarque 3 3 4 2 5 10 2" xfId="49171" xr:uid="{00000000-0005-0000-0000-00009EA10000}"/>
    <cellStyle name="Remarque 3 3 4 2 5 11" xfId="35743" xr:uid="{00000000-0005-0000-0000-00009FA10000}"/>
    <cellStyle name="Remarque 3 3 4 2 5 11 2" xfId="59703" xr:uid="{00000000-0005-0000-0000-0000A0A10000}"/>
    <cellStyle name="Remarque 3 3 4 2 5 12" xfId="13876" xr:uid="{00000000-0005-0000-0000-0000A1A10000}"/>
    <cellStyle name="Remarque 3 3 4 2 5 13" xfId="37836" xr:uid="{00000000-0005-0000-0000-0000A2A10000}"/>
    <cellStyle name="Remarque 3 3 4 2 5 2" xfId="4085" xr:uid="{00000000-0005-0000-0000-0000A3A10000}"/>
    <cellStyle name="Remarque 3 3 4 2 5 2 2" xfId="28099" xr:uid="{00000000-0005-0000-0000-0000A4A10000}"/>
    <cellStyle name="Remarque 3 3 4 2 5 2 2 2" xfId="52059" xr:uid="{00000000-0005-0000-0000-0000A5A10000}"/>
    <cellStyle name="Remarque 3 3 4 2 5 2 3" xfId="15346" xr:uid="{00000000-0005-0000-0000-0000A6A10000}"/>
    <cellStyle name="Remarque 3 3 4 2 5 2 4" xfId="39306" xr:uid="{00000000-0005-0000-0000-0000A7A10000}"/>
    <cellStyle name="Remarque 3 3 4 2 5 3" xfId="5519" xr:uid="{00000000-0005-0000-0000-0000A8A10000}"/>
    <cellStyle name="Remarque 3 3 4 2 5 3 2" xfId="29533" xr:uid="{00000000-0005-0000-0000-0000A9A10000}"/>
    <cellStyle name="Remarque 3 3 4 2 5 3 2 2" xfId="53493" xr:uid="{00000000-0005-0000-0000-0000AAA10000}"/>
    <cellStyle name="Remarque 3 3 4 2 5 3 3" xfId="16780" xr:uid="{00000000-0005-0000-0000-0000ABA10000}"/>
    <cellStyle name="Remarque 3 3 4 2 5 3 4" xfId="40740" xr:uid="{00000000-0005-0000-0000-0000ACA10000}"/>
    <cellStyle name="Remarque 3 3 4 2 5 4" xfId="6913" xr:uid="{00000000-0005-0000-0000-0000ADA10000}"/>
    <cellStyle name="Remarque 3 3 4 2 5 4 2" xfId="30927" xr:uid="{00000000-0005-0000-0000-0000AEA10000}"/>
    <cellStyle name="Remarque 3 3 4 2 5 4 2 2" xfId="54887" xr:uid="{00000000-0005-0000-0000-0000AFA10000}"/>
    <cellStyle name="Remarque 3 3 4 2 5 4 3" xfId="18174" xr:uid="{00000000-0005-0000-0000-0000B0A10000}"/>
    <cellStyle name="Remarque 3 3 4 2 5 4 4" xfId="42134" xr:uid="{00000000-0005-0000-0000-0000B1A10000}"/>
    <cellStyle name="Remarque 3 3 4 2 5 5" xfId="8301" xr:uid="{00000000-0005-0000-0000-0000B2A10000}"/>
    <cellStyle name="Remarque 3 3 4 2 5 5 2" xfId="32315" xr:uid="{00000000-0005-0000-0000-0000B3A10000}"/>
    <cellStyle name="Remarque 3 3 4 2 5 5 2 2" xfId="56275" xr:uid="{00000000-0005-0000-0000-0000B4A10000}"/>
    <cellStyle name="Remarque 3 3 4 2 5 5 3" xfId="19562" xr:uid="{00000000-0005-0000-0000-0000B5A10000}"/>
    <cellStyle name="Remarque 3 3 4 2 5 5 4" xfId="43522" xr:uid="{00000000-0005-0000-0000-0000B6A10000}"/>
    <cellStyle name="Remarque 3 3 4 2 5 6" xfId="9686" xr:uid="{00000000-0005-0000-0000-0000B7A10000}"/>
    <cellStyle name="Remarque 3 3 4 2 5 6 2" xfId="33700" xr:uid="{00000000-0005-0000-0000-0000B8A10000}"/>
    <cellStyle name="Remarque 3 3 4 2 5 6 2 2" xfId="57660" xr:uid="{00000000-0005-0000-0000-0000B9A10000}"/>
    <cellStyle name="Remarque 3 3 4 2 5 6 3" xfId="20947" xr:uid="{00000000-0005-0000-0000-0000BAA10000}"/>
    <cellStyle name="Remarque 3 3 4 2 5 6 4" xfId="44907" xr:uid="{00000000-0005-0000-0000-0000BBA10000}"/>
    <cellStyle name="Remarque 3 3 4 2 5 7" xfId="11143" xr:uid="{00000000-0005-0000-0000-0000BCA10000}"/>
    <cellStyle name="Remarque 3 3 4 2 5 7 2" xfId="35153" xr:uid="{00000000-0005-0000-0000-0000BDA10000}"/>
    <cellStyle name="Remarque 3 3 4 2 5 7 2 2" xfId="59113" xr:uid="{00000000-0005-0000-0000-0000BEA10000}"/>
    <cellStyle name="Remarque 3 3 4 2 5 7 3" xfId="22410" xr:uid="{00000000-0005-0000-0000-0000BFA10000}"/>
    <cellStyle name="Remarque 3 3 4 2 5 7 4" xfId="46370" xr:uid="{00000000-0005-0000-0000-0000C0A10000}"/>
    <cellStyle name="Remarque 3 3 4 2 5 8" xfId="12890" xr:uid="{00000000-0005-0000-0000-0000C1A10000}"/>
    <cellStyle name="Remarque 3 3 4 2 5 8 2" xfId="24202" xr:uid="{00000000-0005-0000-0000-0000C2A10000}"/>
    <cellStyle name="Remarque 3 3 4 2 5 8 3" xfId="48162" xr:uid="{00000000-0005-0000-0000-0000C3A10000}"/>
    <cellStyle name="Remarque 3 3 4 2 5 9" xfId="2615" xr:uid="{00000000-0005-0000-0000-0000C4A10000}"/>
    <cellStyle name="Remarque 3 3 4 2 5 9 2" xfId="26629" xr:uid="{00000000-0005-0000-0000-0000C5A10000}"/>
    <cellStyle name="Remarque 3 3 4 2 5 9 3" xfId="50589" xr:uid="{00000000-0005-0000-0000-0000C6A10000}"/>
    <cellStyle name="Remarque 3 3 4 2 6" xfId="1346" xr:uid="{00000000-0005-0000-0000-0000C7A10000}"/>
    <cellStyle name="Remarque 3 3 4 2 6 10" xfId="25378" xr:uid="{00000000-0005-0000-0000-0000C8A10000}"/>
    <cellStyle name="Remarque 3 3 4 2 6 10 2" xfId="49338" xr:uid="{00000000-0005-0000-0000-0000C9A10000}"/>
    <cellStyle name="Remarque 3 3 4 2 6 11" xfId="36496" xr:uid="{00000000-0005-0000-0000-0000CAA10000}"/>
    <cellStyle name="Remarque 3 3 4 2 6 11 2" xfId="60456" xr:uid="{00000000-0005-0000-0000-0000CBA10000}"/>
    <cellStyle name="Remarque 3 3 4 2 6 12" xfId="14043" xr:uid="{00000000-0005-0000-0000-0000CCA10000}"/>
    <cellStyle name="Remarque 3 3 4 2 6 13" xfId="38003" xr:uid="{00000000-0005-0000-0000-0000CDA10000}"/>
    <cellStyle name="Remarque 3 3 4 2 6 2" xfId="4252" xr:uid="{00000000-0005-0000-0000-0000CEA10000}"/>
    <cellStyle name="Remarque 3 3 4 2 6 2 2" xfId="28266" xr:uid="{00000000-0005-0000-0000-0000CFA10000}"/>
    <cellStyle name="Remarque 3 3 4 2 6 2 2 2" xfId="52226" xr:uid="{00000000-0005-0000-0000-0000D0A10000}"/>
    <cellStyle name="Remarque 3 3 4 2 6 2 3" xfId="15513" xr:uid="{00000000-0005-0000-0000-0000D1A10000}"/>
    <cellStyle name="Remarque 3 3 4 2 6 2 4" xfId="39473" xr:uid="{00000000-0005-0000-0000-0000D2A10000}"/>
    <cellStyle name="Remarque 3 3 4 2 6 3" xfId="5686" xr:uid="{00000000-0005-0000-0000-0000D3A10000}"/>
    <cellStyle name="Remarque 3 3 4 2 6 3 2" xfId="29700" xr:uid="{00000000-0005-0000-0000-0000D4A10000}"/>
    <cellStyle name="Remarque 3 3 4 2 6 3 2 2" xfId="53660" xr:uid="{00000000-0005-0000-0000-0000D5A10000}"/>
    <cellStyle name="Remarque 3 3 4 2 6 3 3" xfId="16947" xr:uid="{00000000-0005-0000-0000-0000D6A10000}"/>
    <cellStyle name="Remarque 3 3 4 2 6 3 4" xfId="40907" xr:uid="{00000000-0005-0000-0000-0000D7A10000}"/>
    <cellStyle name="Remarque 3 3 4 2 6 4" xfId="7080" xr:uid="{00000000-0005-0000-0000-0000D8A10000}"/>
    <cellStyle name="Remarque 3 3 4 2 6 4 2" xfId="31094" xr:uid="{00000000-0005-0000-0000-0000D9A10000}"/>
    <cellStyle name="Remarque 3 3 4 2 6 4 2 2" xfId="55054" xr:uid="{00000000-0005-0000-0000-0000DAA10000}"/>
    <cellStyle name="Remarque 3 3 4 2 6 4 3" xfId="18341" xr:uid="{00000000-0005-0000-0000-0000DBA10000}"/>
    <cellStyle name="Remarque 3 3 4 2 6 4 4" xfId="42301" xr:uid="{00000000-0005-0000-0000-0000DCA10000}"/>
    <cellStyle name="Remarque 3 3 4 2 6 5" xfId="8468" xr:uid="{00000000-0005-0000-0000-0000DDA10000}"/>
    <cellStyle name="Remarque 3 3 4 2 6 5 2" xfId="32482" xr:uid="{00000000-0005-0000-0000-0000DEA10000}"/>
    <cellStyle name="Remarque 3 3 4 2 6 5 2 2" xfId="56442" xr:uid="{00000000-0005-0000-0000-0000DFA10000}"/>
    <cellStyle name="Remarque 3 3 4 2 6 5 3" xfId="19729" xr:uid="{00000000-0005-0000-0000-0000E0A10000}"/>
    <cellStyle name="Remarque 3 3 4 2 6 5 4" xfId="43689" xr:uid="{00000000-0005-0000-0000-0000E1A10000}"/>
    <cellStyle name="Remarque 3 3 4 2 6 6" xfId="9853" xr:uid="{00000000-0005-0000-0000-0000E2A10000}"/>
    <cellStyle name="Remarque 3 3 4 2 6 6 2" xfId="33867" xr:uid="{00000000-0005-0000-0000-0000E3A10000}"/>
    <cellStyle name="Remarque 3 3 4 2 6 6 2 2" xfId="57827" xr:uid="{00000000-0005-0000-0000-0000E4A10000}"/>
    <cellStyle name="Remarque 3 3 4 2 6 6 3" xfId="21114" xr:uid="{00000000-0005-0000-0000-0000E5A10000}"/>
    <cellStyle name="Remarque 3 3 4 2 6 6 4" xfId="45074" xr:uid="{00000000-0005-0000-0000-0000E6A10000}"/>
    <cellStyle name="Remarque 3 3 4 2 6 7" xfId="11310" xr:uid="{00000000-0005-0000-0000-0000E7A10000}"/>
    <cellStyle name="Remarque 3 3 4 2 6 7 2" xfId="35320" xr:uid="{00000000-0005-0000-0000-0000E8A10000}"/>
    <cellStyle name="Remarque 3 3 4 2 6 7 2 2" xfId="59280" xr:uid="{00000000-0005-0000-0000-0000E9A10000}"/>
    <cellStyle name="Remarque 3 3 4 2 6 7 3" xfId="22577" xr:uid="{00000000-0005-0000-0000-0000EAA10000}"/>
    <cellStyle name="Remarque 3 3 4 2 6 7 4" xfId="46537" xr:uid="{00000000-0005-0000-0000-0000EBA10000}"/>
    <cellStyle name="Remarque 3 3 4 2 6 8" xfId="12373" xr:uid="{00000000-0005-0000-0000-0000ECA10000}"/>
    <cellStyle name="Remarque 3 3 4 2 6 8 2" xfId="23662" xr:uid="{00000000-0005-0000-0000-0000EDA10000}"/>
    <cellStyle name="Remarque 3 3 4 2 6 8 3" xfId="47622" xr:uid="{00000000-0005-0000-0000-0000EEA10000}"/>
    <cellStyle name="Remarque 3 3 4 2 6 9" xfId="2782" xr:uid="{00000000-0005-0000-0000-0000EFA10000}"/>
    <cellStyle name="Remarque 3 3 4 2 6 9 2" xfId="26796" xr:uid="{00000000-0005-0000-0000-0000F0A10000}"/>
    <cellStyle name="Remarque 3 3 4 2 6 9 3" xfId="50756" xr:uid="{00000000-0005-0000-0000-0000F1A10000}"/>
    <cellStyle name="Remarque 3 3 4 2 7" xfId="1515" xr:uid="{00000000-0005-0000-0000-0000F2A10000}"/>
    <cellStyle name="Remarque 3 3 4 2 7 10" xfId="25547" xr:uid="{00000000-0005-0000-0000-0000F3A10000}"/>
    <cellStyle name="Remarque 3 3 4 2 7 10 2" xfId="49507" xr:uid="{00000000-0005-0000-0000-0000F4A10000}"/>
    <cellStyle name="Remarque 3 3 4 2 7 11" xfId="36594" xr:uid="{00000000-0005-0000-0000-0000F5A10000}"/>
    <cellStyle name="Remarque 3 3 4 2 7 11 2" xfId="60554" xr:uid="{00000000-0005-0000-0000-0000F6A10000}"/>
    <cellStyle name="Remarque 3 3 4 2 7 12" xfId="14212" xr:uid="{00000000-0005-0000-0000-0000F7A10000}"/>
    <cellStyle name="Remarque 3 3 4 2 7 13" xfId="38172" xr:uid="{00000000-0005-0000-0000-0000F8A10000}"/>
    <cellStyle name="Remarque 3 3 4 2 7 2" xfId="4421" xr:uid="{00000000-0005-0000-0000-0000F9A10000}"/>
    <cellStyle name="Remarque 3 3 4 2 7 2 2" xfId="28435" xr:uid="{00000000-0005-0000-0000-0000FAA10000}"/>
    <cellStyle name="Remarque 3 3 4 2 7 2 2 2" xfId="52395" xr:uid="{00000000-0005-0000-0000-0000FBA10000}"/>
    <cellStyle name="Remarque 3 3 4 2 7 2 3" xfId="15682" xr:uid="{00000000-0005-0000-0000-0000FCA10000}"/>
    <cellStyle name="Remarque 3 3 4 2 7 2 4" xfId="39642" xr:uid="{00000000-0005-0000-0000-0000FDA10000}"/>
    <cellStyle name="Remarque 3 3 4 2 7 3" xfId="5855" xr:uid="{00000000-0005-0000-0000-0000FEA10000}"/>
    <cellStyle name="Remarque 3 3 4 2 7 3 2" xfId="29869" xr:uid="{00000000-0005-0000-0000-0000FFA10000}"/>
    <cellStyle name="Remarque 3 3 4 2 7 3 2 2" xfId="53829" xr:uid="{00000000-0005-0000-0000-000000A20000}"/>
    <cellStyle name="Remarque 3 3 4 2 7 3 3" xfId="17116" xr:uid="{00000000-0005-0000-0000-000001A20000}"/>
    <cellStyle name="Remarque 3 3 4 2 7 3 4" xfId="41076" xr:uid="{00000000-0005-0000-0000-000002A20000}"/>
    <cellStyle name="Remarque 3 3 4 2 7 4" xfId="7249" xr:uid="{00000000-0005-0000-0000-000003A20000}"/>
    <cellStyle name="Remarque 3 3 4 2 7 4 2" xfId="31263" xr:uid="{00000000-0005-0000-0000-000004A20000}"/>
    <cellStyle name="Remarque 3 3 4 2 7 4 2 2" xfId="55223" xr:uid="{00000000-0005-0000-0000-000005A20000}"/>
    <cellStyle name="Remarque 3 3 4 2 7 4 3" xfId="18510" xr:uid="{00000000-0005-0000-0000-000006A20000}"/>
    <cellStyle name="Remarque 3 3 4 2 7 4 4" xfId="42470" xr:uid="{00000000-0005-0000-0000-000007A20000}"/>
    <cellStyle name="Remarque 3 3 4 2 7 5" xfId="8637" xr:uid="{00000000-0005-0000-0000-000008A20000}"/>
    <cellStyle name="Remarque 3 3 4 2 7 5 2" xfId="32651" xr:uid="{00000000-0005-0000-0000-000009A20000}"/>
    <cellStyle name="Remarque 3 3 4 2 7 5 2 2" xfId="56611" xr:uid="{00000000-0005-0000-0000-00000AA20000}"/>
    <cellStyle name="Remarque 3 3 4 2 7 5 3" xfId="19898" xr:uid="{00000000-0005-0000-0000-00000BA20000}"/>
    <cellStyle name="Remarque 3 3 4 2 7 5 4" xfId="43858" xr:uid="{00000000-0005-0000-0000-00000CA20000}"/>
    <cellStyle name="Remarque 3 3 4 2 7 6" xfId="10022" xr:uid="{00000000-0005-0000-0000-00000DA20000}"/>
    <cellStyle name="Remarque 3 3 4 2 7 6 2" xfId="34036" xr:uid="{00000000-0005-0000-0000-00000EA20000}"/>
    <cellStyle name="Remarque 3 3 4 2 7 6 2 2" xfId="57996" xr:uid="{00000000-0005-0000-0000-00000FA20000}"/>
    <cellStyle name="Remarque 3 3 4 2 7 6 3" xfId="21283" xr:uid="{00000000-0005-0000-0000-000010A20000}"/>
    <cellStyle name="Remarque 3 3 4 2 7 6 4" xfId="45243" xr:uid="{00000000-0005-0000-0000-000011A20000}"/>
    <cellStyle name="Remarque 3 3 4 2 7 7" xfId="11479" xr:uid="{00000000-0005-0000-0000-000012A20000}"/>
    <cellStyle name="Remarque 3 3 4 2 7 7 2" xfId="35489" xr:uid="{00000000-0005-0000-0000-000013A20000}"/>
    <cellStyle name="Remarque 3 3 4 2 7 7 2 2" xfId="59449" xr:uid="{00000000-0005-0000-0000-000014A20000}"/>
    <cellStyle name="Remarque 3 3 4 2 7 7 3" xfId="22746" xr:uid="{00000000-0005-0000-0000-000015A20000}"/>
    <cellStyle name="Remarque 3 3 4 2 7 7 4" xfId="46706" xr:uid="{00000000-0005-0000-0000-000016A20000}"/>
    <cellStyle name="Remarque 3 3 4 2 7 8" xfId="12833" xr:uid="{00000000-0005-0000-0000-000017A20000}"/>
    <cellStyle name="Remarque 3 3 4 2 7 8 2" xfId="24144" xr:uid="{00000000-0005-0000-0000-000018A20000}"/>
    <cellStyle name="Remarque 3 3 4 2 7 8 3" xfId="48104" xr:uid="{00000000-0005-0000-0000-000019A20000}"/>
    <cellStyle name="Remarque 3 3 4 2 7 9" xfId="2951" xr:uid="{00000000-0005-0000-0000-00001AA20000}"/>
    <cellStyle name="Remarque 3 3 4 2 7 9 2" xfId="26965" xr:uid="{00000000-0005-0000-0000-00001BA20000}"/>
    <cellStyle name="Remarque 3 3 4 2 7 9 3" xfId="50925" xr:uid="{00000000-0005-0000-0000-00001CA20000}"/>
    <cellStyle name="Remarque 3 3 4 2 8" xfId="3370" xr:uid="{00000000-0005-0000-0000-00001DA20000}"/>
    <cellStyle name="Remarque 3 3 4 2 8 2" xfId="27384" xr:uid="{00000000-0005-0000-0000-00001EA20000}"/>
    <cellStyle name="Remarque 3 3 4 2 8 2 2" xfId="51344" xr:uid="{00000000-0005-0000-0000-00001FA20000}"/>
    <cellStyle name="Remarque 3 3 4 2 8 3" xfId="14631" xr:uid="{00000000-0005-0000-0000-000020A20000}"/>
    <cellStyle name="Remarque 3 3 4 2 8 4" xfId="38591" xr:uid="{00000000-0005-0000-0000-000021A20000}"/>
    <cellStyle name="Remarque 3 3 4 2 9" xfId="4804" xr:uid="{00000000-0005-0000-0000-000022A20000}"/>
    <cellStyle name="Remarque 3 3 4 2 9 2" xfId="28818" xr:uid="{00000000-0005-0000-0000-000023A20000}"/>
    <cellStyle name="Remarque 3 3 4 2 9 2 2" xfId="52778" xr:uid="{00000000-0005-0000-0000-000024A20000}"/>
    <cellStyle name="Remarque 3 3 4 2 9 3" xfId="16065" xr:uid="{00000000-0005-0000-0000-000025A20000}"/>
    <cellStyle name="Remarque 3 3 4 2 9 4" xfId="40025" xr:uid="{00000000-0005-0000-0000-000026A20000}"/>
    <cellStyle name="Remarque 3 3 4 3" xfId="272" xr:uid="{00000000-0005-0000-0000-000027A20000}"/>
    <cellStyle name="Remarque 3 3 4 3 10" xfId="24304" xr:uid="{00000000-0005-0000-0000-000028A20000}"/>
    <cellStyle name="Remarque 3 3 4 3 10 2" xfId="48264" xr:uid="{00000000-0005-0000-0000-000029A20000}"/>
    <cellStyle name="Remarque 3 3 4 3 11" xfId="36770" xr:uid="{00000000-0005-0000-0000-00002AA20000}"/>
    <cellStyle name="Remarque 3 3 4 3 11 2" xfId="60730" xr:uid="{00000000-0005-0000-0000-00002BA20000}"/>
    <cellStyle name="Remarque 3 3 4 3 12" xfId="12969" xr:uid="{00000000-0005-0000-0000-00002CA20000}"/>
    <cellStyle name="Remarque 3 3 4 3 13" xfId="36929" xr:uid="{00000000-0005-0000-0000-00002DA20000}"/>
    <cellStyle name="Remarque 3 3 4 3 2" xfId="3178" xr:uid="{00000000-0005-0000-0000-00002EA20000}"/>
    <cellStyle name="Remarque 3 3 4 3 2 2" xfId="27192" xr:uid="{00000000-0005-0000-0000-00002FA20000}"/>
    <cellStyle name="Remarque 3 3 4 3 2 2 2" xfId="51152" xr:uid="{00000000-0005-0000-0000-000030A20000}"/>
    <cellStyle name="Remarque 3 3 4 3 2 3" xfId="14439" xr:uid="{00000000-0005-0000-0000-000031A20000}"/>
    <cellStyle name="Remarque 3 3 4 3 2 4" xfId="38399" xr:uid="{00000000-0005-0000-0000-000032A20000}"/>
    <cellStyle name="Remarque 3 3 4 3 3" xfId="4612" xr:uid="{00000000-0005-0000-0000-000033A20000}"/>
    <cellStyle name="Remarque 3 3 4 3 3 2" xfId="28626" xr:uid="{00000000-0005-0000-0000-000034A20000}"/>
    <cellStyle name="Remarque 3 3 4 3 3 2 2" xfId="52586" xr:uid="{00000000-0005-0000-0000-000035A20000}"/>
    <cellStyle name="Remarque 3 3 4 3 3 3" xfId="15873" xr:uid="{00000000-0005-0000-0000-000036A20000}"/>
    <cellStyle name="Remarque 3 3 4 3 3 4" xfId="39833" xr:uid="{00000000-0005-0000-0000-000037A20000}"/>
    <cellStyle name="Remarque 3 3 4 3 4" xfId="6006" xr:uid="{00000000-0005-0000-0000-000038A20000}"/>
    <cellStyle name="Remarque 3 3 4 3 4 2" xfId="30020" xr:uid="{00000000-0005-0000-0000-000039A20000}"/>
    <cellStyle name="Remarque 3 3 4 3 4 2 2" xfId="53980" xr:uid="{00000000-0005-0000-0000-00003AA20000}"/>
    <cellStyle name="Remarque 3 3 4 3 4 3" xfId="17267" xr:uid="{00000000-0005-0000-0000-00003BA20000}"/>
    <cellStyle name="Remarque 3 3 4 3 4 4" xfId="41227" xr:uid="{00000000-0005-0000-0000-00003CA20000}"/>
    <cellStyle name="Remarque 3 3 4 3 5" xfId="7394" xr:uid="{00000000-0005-0000-0000-00003DA20000}"/>
    <cellStyle name="Remarque 3 3 4 3 5 2" xfId="31408" xr:uid="{00000000-0005-0000-0000-00003EA20000}"/>
    <cellStyle name="Remarque 3 3 4 3 5 2 2" xfId="55368" xr:uid="{00000000-0005-0000-0000-00003FA20000}"/>
    <cellStyle name="Remarque 3 3 4 3 5 3" xfId="18655" xr:uid="{00000000-0005-0000-0000-000040A20000}"/>
    <cellStyle name="Remarque 3 3 4 3 5 4" xfId="42615" xr:uid="{00000000-0005-0000-0000-000041A20000}"/>
    <cellStyle name="Remarque 3 3 4 3 6" xfId="8779" xr:uid="{00000000-0005-0000-0000-000042A20000}"/>
    <cellStyle name="Remarque 3 3 4 3 6 2" xfId="32793" xr:uid="{00000000-0005-0000-0000-000043A20000}"/>
    <cellStyle name="Remarque 3 3 4 3 6 2 2" xfId="56753" xr:uid="{00000000-0005-0000-0000-000044A20000}"/>
    <cellStyle name="Remarque 3 3 4 3 6 3" xfId="20040" xr:uid="{00000000-0005-0000-0000-000045A20000}"/>
    <cellStyle name="Remarque 3 3 4 3 6 4" xfId="44000" xr:uid="{00000000-0005-0000-0000-000046A20000}"/>
    <cellStyle name="Remarque 3 3 4 3 7" xfId="10236" xr:uid="{00000000-0005-0000-0000-000047A20000}"/>
    <cellStyle name="Remarque 3 3 4 3 7 2" xfId="34246" xr:uid="{00000000-0005-0000-0000-000048A20000}"/>
    <cellStyle name="Remarque 3 3 4 3 7 2 2" xfId="58206" xr:uid="{00000000-0005-0000-0000-000049A20000}"/>
    <cellStyle name="Remarque 3 3 4 3 7 3" xfId="21503" xr:uid="{00000000-0005-0000-0000-00004AA20000}"/>
    <cellStyle name="Remarque 3 3 4 3 7 4" xfId="45463" xr:uid="{00000000-0005-0000-0000-00004BA20000}"/>
    <cellStyle name="Remarque 3 3 4 3 8" xfId="12436" xr:uid="{00000000-0005-0000-0000-00004CA20000}"/>
    <cellStyle name="Remarque 3 3 4 3 8 2" xfId="23728" xr:uid="{00000000-0005-0000-0000-00004DA20000}"/>
    <cellStyle name="Remarque 3 3 4 3 8 3" xfId="47688" xr:uid="{00000000-0005-0000-0000-00004EA20000}"/>
    <cellStyle name="Remarque 3 3 4 3 9" xfId="1708" xr:uid="{00000000-0005-0000-0000-00004FA20000}"/>
    <cellStyle name="Remarque 3 3 4 3 9 2" xfId="25722" xr:uid="{00000000-0005-0000-0000-000050A20000}"/>
    <cellStyle name="Remarque 3 3 4 3 9 3" xfId="49682" xr:uid="{00000000-0005-0000-0000-000051A20000}"/>
    <cellStyle name="Remarque 3 3 4 4" xfId="657" xr:uid="{00000000-0005-0000-0000-000052A20000}"/>
    <cellStyle name="Remarque 3 3 4 4 10" xfId="24689" xr:uid="{00000000-0005-0000-0000-000053A20000}"/>
    <cellStyle name="Remarque 3 3 4 4 10 2" xfId="48649" xr:uid="{00000000-0005-0000-0000-000054A20000}"/>
    <cellStyle name="Remarque 3 3 4 4 11" xfId="36160" xr:uid="{00000000-0005-0000-0000-000055A20000}"/>
    <cellStyle name="Remarque 3 3 4 4 11 2" xfId="60120" xr:uid="{00000000-0005-0000-0000-000056A20000}"/>
    <cellStyle name="Remarque 3 3 4 4 12" xfId="13354" xr:uid="{00000000-0005-0000-0000-000057A20000}"/>
    <cellStyle name="Remarque 3 3 4 4 13" xfId="37314" xr:uid="{00000000-0005-0000-0000-000058A20000}"/>
    <cellStyle name="Remarque 3 3 4 4 2" xfId="3563" xr:uid="{00000000-0005-0000-0000-000059A20000}"/>
    <cellStyle name="Remarque 3 3 4 4 2 2" xfId="27577" xr:uid="{00000000-0005-0000-0000-00005AA20000}"/>
    <cellStyle name="Remarque 3 3 4 4 2 2 2" xfId="51537" xr:uid="{00000000-0005-0000-0000-00005BA20000}"/>
    <cellStyle name="Remarque 3 3 4 4 2 3" xfId="14824" xr:uid="{00000000-0005-0000-0000-00005CA20000}"/>
    <cellStyle name="Remarque 3 3 4 4 2 4" xfId="38784" xr:uid="{00000000-0005-0000-0000-00005DA20000}"/>
    <cellStyle name="Remarque 3 3 4 4 3" xfId="4997" xr:uid="{00000000-0005-0000-0000-00005EA20000}"/>
    <cellStyle name="Remarque 3 3 4 4 3 2" xfId="29011" xr:uid="{00000000-0005-0000-0000-00005FA20000}"/>
    <cellStyle name="Remarque 3 3 4 4 3 2 2" xfId="52971" xr:uid="{00000000-0005-0000-0000-000060A20000}"/>
    <cellStyle name="Remarque 3 3 4 4 3 3" xfId="16258" xr:uid="{00000000-0005-0000-0000-000061A20000}"/>
    <cellStyle name="Remarque 3 3 4 4 3 4" xfId="40218" xr:uid="{00000000-0005-0000-0000-000062A20000}"/>
    <cellStyle name="Remarque 3 3 4 4 4" xfId="6391" xr:uid="{00000000-0005-0000-0000-000063A20000}"/>
    <cellStyle name="Remarque 3 3 4 4 4 2" xfId="30405" xr:uid="{00000000-0005-0000-0000-000064A20000}"/>
    <cellStyle name="Remarque 3 3 4 4 4 2 2" xfId="54365" xr:uid="{00000000-0005-0000-0000-000065A20000}"/>
    <cellStyle name="Remarque 3 3 4 4 4 3" xfId="17652" xr:uid="{00000000-0005-0000-0000-000066A20000}"/>
    <cellStyle name="Remarque 3 3 4 4 4 4" xfId="41612" xr:uid="{00000000-0005-0000-0000-000067A20000}"/>
    <cellStyle name="Remarque 3 3 4 4 5" xfId="7779" xr:uid="{00000000-0005-0000-0000-000068A20000}"/>
    <cellStyle name="Remarque 3 3 4 4 5 2" xfId="31793" xr:uid="{00000000-0005-0000-0000-000069A20000}"/>
    <cellStyle name="Remarque 3 3 4 4 5 2 2" xfId="55753" xr:uid="{00000000-0005-0000-0000-00006AA20000}"/>
    <cellStyle name="Remarque 3 3 4 4 5 3" xfId="19040" xr:uid="{00000000-0005-0000-0000-00006BA20000}"/>
    <cellStyle name="Remarque 3 3 4 4 5 4" xfId="43000" xr:uid="{00000000-0005-0000-0000-00006CA20000}"/>
    <cellStyle name="Remarque 3 3 4 4 6" xfId="9164" xr:uid="{00000000-0005-0000-0000-00006DA20000}"/>
    <cellStyle name="Remarque 3 3 4 4 6 2" xfId="33178" xr:uid="{00000000-0005-0000-0000-00006EA20000}"/>
    <cellStyle name="Remarque 3 3 4 4 6 2 2" xfId="57138" xr:uid="{00000000-0005-0000-0000-00006FA20000}"/>
    <cellStyle name="Remarque 3 3 4 4 6 3" xfId="20425" xr:uid="{00000000-0005-0000-0000-000070A20000}"/>
    <cellStyle name="Remarque 3 3 4 4 6 4" xfId="44385" xr:uid="{00000000-0005-0000-0000-000071A20000}"/>
    <cellStyle name="Remarque 3 3 4 4 7" xfId="10621" xr:uid="{00000000-0005-0000-0000-000072A20000}"/>
    <cellStyle name="Remarque 3 3 4 4 7 2" xfId="34631" xr:uid="{00000000-0005-0000-0000-000073A20000}"/>
    <cellStyle name="Remarque 3 3 4 4 7 2 2" xfId="58591" xr:uid="{00000000-0005-0000-0000-000074A20000}"/>
    <cellStyle name="Remarque 3 3 4 4 7 3" xfId="21888" xr:uid="{00000000-0005-0000-0000-000075A20000}"/>
    <cellStyle name="Remarque 3 3 4 4 7 4" xfId="45848" xr:uid="{00000000-0005-0000-0000-000076A20000}"/>
    <cellStyle name="Remarque 3 3 4 4 8" xfId="11940" xr:uid="{00000000-0005-0000-0000-000077A20000}"/>
    <cellStyle name="Remarque 3 3 4 4 8 2" xfId="23218" xr:uid="{00000000-0005-0000-0000-000078A20000}"/>
    <cellStyle name="Remarque 3 3 4 4 8 3" xfId="47178" xr:uid="{00000000-0005-0000-0000-000079A20000}"/>
    <cellStyle name="Remarque 3 3 4 4 9" xfId="2093" xr:uid="{00000000-0005-0000-0000-00007AA20000}"/>
    <cellStyle name="Remarque 3 3 4 4 9 2" xfId="26107" xr:uid="{00000000-0005-0000-0000-00007BA20000}"/>
    <cellStyle name="Remarque 3 3 4 4 9 3" xfId="50067" xr:uid="{00000000-0005-0000-0000-00007CA20000}"/>
    <cellStyle name="Remarque 3 3 4 5" xfId="851" xr:uid="{00000000-0005-0000-0000-00007DA20000}"/>
    <cellStyle name="Remarque 3 3 4 5 10" xfId="24883" xr:uid="{00000000-0005-0000-0000-00007EA20000}"/>
    <cellStyle name="Remarque 3 3 4 5 10 2" xfId="48843" xr:uid="{00000000-0005-0000-0000-00007FA20000}"/>
    <cellStyle name="Remarque 3 3 4 5 11" xfId="36761" xr:uid="{00000000-0005-0000-0000-000080A20000}"/>
    <cellStyle name="Remarque 3 3 4 5 11 2" xfId="60721" xr:uid="{00000000-0005-0000-0000-000081A20000}"/>
    <cellStyle name="Remarque 3 3 4 5 12" xfId="13548" xr:uid="{00000000-0005-0000-0000-000082A20000}"/>
    <cellStyle name="Remarque 3 3 4 5 13" xfId="37508" xr:uid="{00000000-0005-0000-0000-000083A20000}"/>
    <cellStyle name="Remarque 3 3 4 5 2" xfId="3757" xr:uid="{00000000-0005-0000-0000-000084A20000}"/>
    <cellStyle name="Remarque 3 3 4 5 2 2" xfId="27771" xr:uid="{00000000-0005-0000-0000-000085A20000}"/>
    <cellStyle name="Remarque 3 3 4 5 2 2 2" xfId="51731" xr:uid="{00000000-0005-0000-0000-000086A20000}"/>
    <cellStyle name="Remarque 3 3 4 5 2 3" xfId="15018" xr:uid="{00000000-0005-0000-0000-000087A20000}"/>
    <cellStyle name="Remarque 3 3 4 5 2 4" xfId="38978" xr:uid="{00000000-0005-0000-0000-000088A20000}"/>
    <cellStyle name="Remarque 3 3 4 5 3" xfId="5191" xr:uid="{00000000-0005-0000-0000-000089A20000}"/>
    <cellStyle name="Remarque 3 3 4 5 3 2" xfId="29205" xr:uid="{00000000-0005-0000-0000-00008AA20000}"/>
    <cellStyle name="Remarque 3 3 4 5 3 2 2" xfId="53165" xr:uid="{00000000-0005-0000-0000-00008BA20000}"/>
    <cellStyle name="Remarque 3 3 4 5 3 3" xfId="16452" xr:uid="{00000000-0005-0000-0000-00008CA20000}"/>
    <cellStyle name="Remarque 3 3 4 5 3 4" xfId="40412" xr:uid="{00000000-0005-0000-0000-00008DA20000}"/>
    <cellStyle name="Remarque 3 3 4 5 4" xfId="6585" xr:uid="{00000000-0005-0000-0000-00008EA20000}"/>
    <cellStyle name="Remarque 3 3 4 5 4 2" xfId="30599" xr:uid="{00000000-0005-0000-0000-00008FA20000}"/>
    <cellStyle name="Remarque 3 3 4 5 4 2 2" xfId="54559" xr:uid="{00000000-0005-0000-0000-000090A20000}"/>
    <cellStyle name="Remarque 3 3 4 5 4 3" xfId="17846" xr:uid="{00000000-0005-0000-0000-000091A20000}"/>
    <cellStyle name="Remarque 3 3 4 5 4 4" xfId="41806" xr:uid="{00000000-0005-0000-0000-000092A20000}"/>
    <cellStyle name="Remarque 3 3 4 5 5" xfId="7973" xr:uid="{00000000-0005-0000-0000-000093A20000}"/>
    <cellStyle name="Remarque 3 3 4 5 5 2" xfId="31987" xr:uid="{00000000-0005-0000-0000-000094A20000}"/>
    <cellStyle name="Remarque 3 3 4 5 5 2 2" xfId="55947" xr:uid="{00000000-0005-0000-0000-000095A20000}"/>
    <cellStyle name="Remarque 3 3 4 5 5 3" xfId="19234" xr:uid="{00000000-0005-0000-0000-000096A20000}"/>
    <cellStyle name="Remarque 3 3 4 5 5 4" xfId="43194" xr:uid="{00000000-0005-0000-0000-000097A20000}"/>
    <cellStyle name="Remarque 3 3 4 5 6" xfId="9358" xr:uid="{00000000-0005-0000-0000-000098A20000}"/>
    <cellStyle name="Remarque 3 3 4 5 6 2" xfId="33372" xr:uid="{00000000-0005-0000-0000-000099A20000}"/>
    <cellStyle name="Remarque 3 3 4 5 6 2 2" xfId="57332" xr:uid="{00000000-0005-0000-0000-00009AA20000}"/>
    <cellStyle name="Remarque 3 3 4 5 6 3" xfId="20619" xr:uid="{00000000-0005-0000-0000-00009BA20000}"/>
    <cellStyle name="Remarque 3 3 4 5 6 4" xfId="44579" xr:uid="{00000000-0005-0000-0000-00009CA20000}"/>
    <cellStyle name="Remarque 3 3 4 5 7" xfId="10815" xr:uid="{00000000-0005-0000-0000-00009DA20000}"/>
    <cellStyle name="Remarque 3 3 4 5 7 2" xfId="34825" xr:uid="{00000000-0005-0000-0000-00009EA20000}"/>
    <cellStyle name="Remarque 3 3 4 5 7 2 2" xfId="58785" xr:uid="{00000000-0005-0000-0000-00009FA20000}"/>
    <cellStyle name="Remarque 3 3 4 5 7 3" xfId="22082" xr:uid="{00000000-0005-0000-0000-0000A0A20000}"/>
    <cellStyle name="Remarque 3 3 4 5 7 4" xfId="46042" xr:uid="{00000000-0005-0000-0000-0000A1A20000}"/>
    <cellStyle name="Remarque 3 3 4 5 8" xfId="11708" xr:uid="{00000000-0005-0000-0000-0000A2A20000}"/>
    <cellStyle name="Remarque 3 3 4 5 8 2" xfId="22978" xr:uid="{00000000-0005-0000-0000-0000A3A20000}"/>
    <cellStyle name="Remarque 3 3 4 5 8 3" xfId="46938" xr:uid="{00000000-0005-0000-0000-0000A4A20000}"/>
    <cellStyle name="Remarque 3 3 4 5 9" xfId="2287" xr:uid="{00000000-0005-0000-0000-0000A5A20000}"/>
    <cellStyle name="Remarque 3 3 4 5 9 2" xfId="26301" xr:uid="{00000000-0005-0000-0000-0000A6A20000}"/>
    <cellStyle name="Remarque 3 3 4 5 9 3" xfId="50261" xr:uid="{00000000-0005-0000-0000-0000A7A20000}"/>
    <cellStyle name="Remarque 3 3 4 6" xfId="1044" xr:uid="{00000000-0005-0000-0000-0000A8A20000}"/>
    <cellStyle name="Remarque 3 3 4 6 10" xfId="25076" xr:uid="{00000000-0005-0000-0000-0000A9A20000}"/>
    <cellStyle name="Remarque 3 3 4 6 10 2" xfId="49036" xr:uid="{00000000-0005-0000-0000-0000AAA20000}"/>
    <cellStyle name="Remarque 3 3 4 6 11" xfId="35776" xr:uid="{00000000-0005-0000-0000-0000ABA20000}"/>
    <cellStyle name="Remarque 3 3 4 6 11 2" xfId="59736" xr:uid="{00000000-0005-0000-0000-0000ACA20000}"/>
    <cellStyle name="Remarque 3 3 4 6 12" xfId="13741" xr:uid="{00000000-0005-0000-0000-0000ADA20000}"/>
    <cellStyle name="Remarque 3 3 4 6 13" xfId="37701" xr:uid="{00000000-0005-0000-0000-0000AEA20000}"/>
    <cellStyle name="Remarque 3 3 4 6 2" xfId="3950" xr:uid="{00000000-0005-0000-0000-0000AFA20000}"/>
    <cellStyle name="Remarque 3 3 4 6 2 2" xfId="27964" xr:uid="{00000000-0005-0000-0000-0000B0A20000}"/>
    <cellStyle name="Remarque 3 3 4 6 2 2 2" xfId="51924" xr:uid="{00000000-0005-0000-0000-0000B1A20000}"/>
    <cellStyle name="Remarque 3 3 4 6 2 3" xfId="15211" xr:uid="{00000000-0005-0000-0000-0000B2A20000}"/>
    <cellStyle name="Remarque 3 3 4 6 2 4" xfId="39171" xr:uid="{00000000-0005-0000-0000-0000B3A20000}"/>
    <cellStyle name="Remarque 3 3 4 6 3" xfId="5384" xr:uid="{00000000-0005-0000-0000-0000B4A20000}"/>
    <cellStyle name="Remarque 3 3 4 6 3 2" xfId="29398" xr:uid="{00000000-0005-0000-0000-0000B5A20000}"/>
    <cellStyle name="Remarque 3 3 4 6 3 2 2" xfId="53358" xr:uid="{00000000-0005-0000-0000-0000B6A20000}"/>
    <cellStyle name="Remarque 3 3 4 6 3 3" xfId="16645" xr:uid="{00000000-0005-0000-0000-0000B7A20000}"/>
    <cellStyle name="Remarque 3 3 4 6 3 4" xfId="40605" xr:uid="{00000000-0005-0000-0000-0000B8A20000}"/>
    <cellStyle name="Remarque 3 3 4 6 4" xfId="6778" xr:uid="{00000000-0005-0000-0000-0000B9A20000}"/>
    <cellStyle name="Remarque 3 3 4 6 4 2" xfId="30792" xr:uid="{00000000-0005-0000-0000-0000BAA20000}"/>
    <cellStyle name="Remarque 3 3 4 6 4 2 2" xfId="54752" xr:uid="{00000000-0005-0000-0000-0000BBA20000}"/>
    <cellStyle name="Remarque 3 3 4 6 4 3" xfId="18039" xr:uid="{00000000-0005-0000-0000-0000BCA20000}"/>
    <cellStyle name="Remarque 3 3 4 6 4 4" xfId="41999" xr:uid="{00000000-0005-0000-0000-0000BDA20000}"/>
    <cellStyle name="Remarque 3 3 4 6 5" xfId="8166" xr:uid="{00000000-0005-0000-0000-0000BEA20000}"/>
    <cellStyle name="Remarque 3 3 4 6 5 2" xfId="32180" xr:uid="{00000000-0005-0000-0000-0000BFA20000}"/>
    <cellStyle name="Remarque 3 3 4 6 5 2 2" xfId="56140" xr:uid="{00000000-0005-0000-0000-0000C0A20000}"/>
    <cellStyle name="Remarque 3 3 4 6 5 3" xfId="19427" xr:uid="{00000000-0005-0000-0000-0000C1A20000}"/>
    <cellStyle name="Remarque 3 3 4 6 5 4" xfId="43387" xr:uid="{00000000-0005-0000-0000-0000C2A20000}"/>
    <cellStyle name="Remarque 3 3 4 6 6" xfId="9551" xr:uid="{00000000-0005-0000-0000-0000C3A20000}"/>
    <cellStyle name="Remarque 3 3 4 6 6 2" xfId="33565" xr:uid="{00000000-0005-0000-0000-0000C4A20000}"/>
    <cellStyle name="Remarque 3 3 4 6 6 2 2" xfId="57525" xr:uid="{00000000-0005-0000-0000-0000C5A20000}"/>
    <cellStyle name="Remarque 3 3 4 6 6 3" xfId="20812" xr:uid="{00000000-0005-0000-0000-0000C6A20000}"/>
    <cellStyle name="Remarque 3 3 4 6 6 4" xfId="44772" xr:uid="{00000000-0005-0000-0000-0000C7A20000}"/>
    <cellStyle name="Remarque 3 3 4 6 7" xfId="11008" xr:uid="{00000000-0005-0000-0000-0000C8A20000}"/>
    <cellStyle name="Remarque 3 3 4 6 7 2" xfId="35018" xr:uid="{00000000-0005-0000-0000-0000C9A20000}"/>
    <cellStyle name="Remarque 3 3 4 6 7 2 2" xfId="58978" xr:uid="{00000000-0005-0000-0000-0000CAA20000}"/>
    <cellStyle name="Remarque 3 3 4 6 7 3" xfId="22275" xr:uid="{00000000-0005-0000-0000-0000CBA20000}"/>
    <cellStyle name="Remarque 3 3 4 6 7 4" xfId="46235" xr:uid="{00000000-0005-0000-0000-0000CCA20000}"/>
    <cellStyle name="Remarque 3 3 4 6 8" xfId="12349" xr:uid="{00000000-0005-0000-0000-0000CDA20000}"/>
    <cellStyle name="Remarque 3 3 4 6 8 2" xfId="23637" xr:uid="{00000000-0005-0000-0000-0000CEA20000}"/>
    <cellStyle name="Remarque 3 3 4 6 8 3" xfId="47597" xr:uid="{00000000-0005-0000-0000-0000CFA20000}"/>
    <cellStyle name="Remarque 3 3 4 6 9" xfId="2480" xr:uid="{00000000-0005-0000-0000-0000D0A20000}"/>
    <cellStyle name="Remarque 3 3 4 6 9 2" xfId="26494" xr:uid="{00000000-0005-0000-0000-0000D1A20000}"/>
    <cellStyle name="Remarque 3 3 4 6 9 3" xfId="50454" xr:uid="{00000000-0005-0000-0000-0000D2A20000}"/>
    <cellStyle name="Remarque 3 3 4 7" xfId="1380" xr:uid="{00000000-0005-0000-0000-0000D3A20000}"/>
    <cellStyle name="Remarque 3 3 4 7 10" xfId="25412" xr:uid="{00000000-0005-0000-0000-0000D4A20000}"/>
    <cellStyle name="Remarque 3 3 4 7 10 2" xfId="49372" xr:uid="{00000000-0005-0000-0000-0000D5A20000}"/>
    <cellStyle name="Remarque 3 3 4 7 11" xfId="35911" xr:uid="{00000000-0005-0000-0000-0000D6A20000}"/>
    <cellStyle name="Remarque 3 3 4 7 11 2" xfId="59871" xr:uid="{00000000-0005-0000-0000-0000D7A20000}"/>
    <cellStyle name="Remarque 3 3 4 7 12" xfId="14077" xr:uid="{00000000-0005-0000-0000-0000D8A20000}"/>
    <cellStyle name="Remarque 3 3 4 7 13" xfId="38037" xr:uid="{00000000-0005-0000-0000-0000D9A20000}"/>
    <cellStyle name="Remarque 3 3 4 7 2" xfId="4286" xr:uid="{00000000-0005-0000-0000-0000DAA20000}"/>
    <cellStyle name="Remarque 3 3 4 7 2 2" xfId="28300" xr:uid="{00000000-0005-0000-0000-0000DBA20000}"/>
    <cellStyle name="Remarque 3 3 4 7 2 2 2" xfId="52260" xr:uid="{00000000-0005-0000-0000-0000DCA20000}"/>
    <cellStyle name="Remarque 3 3 4 7 2 3" xfId="15547" xr:uid="{00000000-0005-0000-0000-0000DDA20000}"/>
    <cellStyle name="Remarque 3 3 4 7 2 4" xfId="39507" xr:uid="{00000000-0005-0000-0000-0000DEA20000}"/>
    <cellStyle name="Remarque 3 3 4 7 3" xfId="5720" xr:uid="{00000000-0005-0000-0000-0000DFA20000}"/>
    <cellStyle name="Remarque 3 3 4 7 3 2" xfId="29734" xr:uid="{00000000-0005-0000-0000-0000E0A20000}"/>
    <cellStyle name="Remarque 3 3 4 7 3 2 2" xfId="53694" xr:uid="{00000000-0005-0000-0000-0000E1A20000}"/>
    <cellStyle name="Remarque 3 3 4 7 3 3" xfId="16981" xr:uid="{00000000-0005-0000-0000-0000E2A20000}"/>
    <cellStyle name="Remarque 3 3 4 7 3 4" xfId="40941" xr:uid="{00000000-0005-0000-0000-0000E3A20000}"/>
    <cellStyle name="Remarque 3 3 4 7 4" xfId="7114" xr:uid="{00000000-0005-0000-0000-0000E4A20000}"/>
    <cellStyle name="Remarque 3 3 4 7 4 2" xfId="31128" xr:uid="{00000000-0005-0000-0000-0000E5A20000}"/>
    <cellStyle name="Remarque 3 3 4 7 4 2 2" xfId="55088" xr:uid="{00000000-0005-0000-0000-0000E6A20000}"/>
    <cellStyle name="Remarque 3 3 4 7 4 3" xfId="18375" xr:uid="{00000000-0005-0000-0000-0000E7A20000}"/>
    <cellStyle name="Remarque 3 3 4 7 4 4" xfId="42335" xr:uid="{00000000-0005-0000-0000-0000E8A20000}"/>
    <cellStyle name="Remarque 3 3 4 7 5" xfId="8502" xr:uid="{00000000-0005-0000-0000-0000E9A20000}"/>
    <cellStyle name="Remarque 3 3 4 7 5 2" xfId="32516" xr:uid="{00000000-0005-0000-0000-0000EAA20000}"/>
    <cellStyle name="Remarque 3 3 4 7 5 2 2" xfId="56476" xr:uid="{00000000-0005-0000-0000-0000EBA20000}"/>
    <cellStyle name="Remarque 3 3 4 7 5 3" xfId="19763" xr:uid="{00000000-0005-0000-0000-0000ECA20000}"/>
    <cellStyle name="Remarque 3 3 4 7 5 4" xfId="43723" xr:uid="{00000000-0005-0000-0000-0000EDA20000}"/>
    <cellStyle name="Remarque 3 3 4 7 6" xfId="9887" xr:uid="{00000000-0005-0000-0000-0000EEA20000}"/>
    <cellStyle name="Remarque 3 3 4 7 6 2" xfId="33901" xr:uid="{00000000-0005-0000-0000-0000EFA20000}"/>
    <cellStyle name="Remarque 3 3 4 7 6 2 2" xfId="57861" xr:uid="{00000000-0005-0000-0000-0000F0A20000}"/>
    <cellStyle name="Remarque 3 3 4 7 6 3" xfId="21148" xr:uid="{00000000-0005-0000-0000-0000F1A20000}"/>
    <cellStyle name="Remarque 3 3 4 7 6 4" xfId="45108" xr:uid="{00000000-0005-0000-0000-0000F2A20000}"/>
    <cellStyle name="Remarque 3 3 4 7 7" xfId="11344" xr:uid="{00000000-0005-0000-0000-0000F3A20000}"/>
    <cellStyle name="Remarque 3 3 4 7 7 2" xfId="35354" xr:uid="{00000000-0005-0000-0000-0000F4A20000}"/>
    <cellStyle name="Remarque 3 3 4 7 7 2 2" xfId="59314" xr:uid="{00000000-0005-0000-0000-0000F5A20000}"/>
    <cellStyle name="Remarque 3 3 4 7 7 3" xfId="22611" xr:uid="{00000000-0005-0000-0000-0000F6A20000}"/>
    <cellStyle name="Remarque 3 3 4 7 7 4" xfId="46571" xr:uid="{00000000-0005-0000-0000-0000F7A20000}"/>
    <cellStyle name="Remarque 3 3 4 7 8" xfId="12238" xr:uid="{00000000-0005-0000-0000-0000F8A20000}"/>
    <cellStyle name="Remarque 3 3 4 7 8 2" xfId="23522" xr:uid="{00000000-0005-0000-0000-0000F9A20000}"/>
    <cellStyle name="Remarque 3 3 4 7 8 3" xfId="47482" xr:uid="{00000000-0005-0000-0000-0000FAA20000}"/>
    <cellStyle name="Remarque 3 3 4 7 9" xfId="2816" xr:uid="{00000000-0005-0000-0000-0000FBA20000}"/>
    <cellStyle name="Remarque 3 3 4 7 9 2" xfId="26830" xr:uid="{00000000-0005-0000-0000-0000FCA20000}"/>
    <cellStyle name="Remarque 3 3 4 7 9 3" xfId="50790" xr:uid="{00000000-0005-0000-0000-0000FDA20000}"/>
    <cellStyle name="Remarque 3 3 4 8" xfId="3136" xr:uid="{00000000-0005-0000-0000-0000FEA20000}"/>
    <cellStyle name="Remarque 3 3 4 8 2" xfId="27150" xr:uid="{00000000-0005-0000-0000-0000FFA20000}"/>
    <cellStyle name="Remarque 3 3 4 8 2 2" xfId="51110" xr:uid="{00000000-0005-0000-0000-000000A30000}"/>
    <cellStyle name="Remarque 3 3 4 8 3" xfId="14397" xr:uid="{00000000-0005-0000-0000-000001A30000}"/>
    <cellStyle name="Remarque 3 3 4 8 4" xfId="38357" xr:uid="{00000000-0005-0000-0000-000002A30000}"/>
    <cellStyle name="Remarque 3 3 4 9" xfId="1666" xr:uid="{00000000-0005-0000-0000-000003A30000}"/>
    <cellStyle name="Remarque 3 3 4 9 2" xfId="25680" xr:uid="{00000000-0005-0000-0000-000004A30000}"/>
    <cellStyle name="Remarque 3 3 4 9 3" xfId="49640" xr:uid="{00000000-0005-0000-0000-000005A30000}"/>
    <cellStyle name="Remarque 3 3 5" xfId="125" xr:uid="{00000000-0005-0000-0000-000006A30000}"/>
    <cellStyle name="Remarque 3 3 5 10" xfId="6120" xr:uid="{00000000-0005-0000-0000-000007A30000}"/>
    <cellStyle name="Remarque 3 3 5 10 2" xfId="30134" xr:uid="{00000000-0005-0000-0000-000008A30000}"/>
    <cellStyle name="Remarque 3 3 5 10 2 2" xfId="54094" xr:uid="{00000000-0005-0000-0000-000009A30000}"/>
    <cellStyle name="Remarque 3 3 5 10 3" xfId="17381" xr:uid="{00000000-0005-0000-0000-00000AA30000}"/>
    <cellStyle name="Remarque 3 3 5 10 4" xfId="41341" xr:uid="{00000000-0005-0000-0000-00000BA30000}"/>
    <cellStyle name="Remarque 3 3 5 11" xfId="7508" xr:uid="{00000000-0005-0000-0000-00000CA30000}"/>
    <cellStyle name="Remarque 3 3 5 11 2" xfId="31522" xr:uid="{00000000-0005-0000-0000-00000DA30000}"/>
    <cellStyle name="Remarque 3 3 5 11 2 2" xfId="55482" xr:uid="{00000000-0005-0000-0000-00000EA30000}"/>
    <cellStyle name="Remarque 3 3 5 11 3" xfId="18769" xr:uid="{00000000-0005-0000-0000-00000FA30000}"/>
    <cellStyle name="Remarque 3 3 5 11 4" xfId="42729" xr:uid="{00000000-0005-0000-0000-000010A30000}"/>
    <cellStyle name="Remarque 3 3 5 12" xfId="8893" xr:uid="{00000000-0005-0000-0000-000011A30000}"/>
    <cellStyle name="Remarque 3 3 5 12 2" xfId="32907" xr:uid="{00000000-0005-0000-0000-000012A30000}"/>
    <cellStyle name="Remarque 3 3 5 12 2 2" xfId="56867" xr:uid="{00000000-0005-0000-0000-000013A30000}"/>
    <cellStyle name="Remarque 3 3 5 12 3" xfId="20154" xr:uid="{00000000-0005-0000-0000-000014A30000}"/>
    <cellStyle name="Remarque 3 3 5 12 4" xfId="44114" xr:uid="{00000000-0005-0000-0000-000015A30000}"/>
    <cellStyle name="Remarque 3 3 5 13" xfId="10350" xr:uid="{00000000-0005-0000-0000-000016A30000}"/>
    <cellStyle name="Remarque 3 3 5 13 2" xfId="34360" xr:uid="{00000000-0005-0000-0000-000017A30000}"/>
    <cellStyle name="Remarque 3 3 5 13 2 2" xfId="58320" xr:uid="{00000000-0005-0000-0000-000018A30000}"/>
    <cellStyle name="Remarque 3 3 5 13 3" xfId="21617" xr:uid="{00000000-0005-0000-0000-000019A30000}"/>
    <cellStyle name="Remarque 3 3 5 13 4" xfId="45577" xr:uid="{00000000-0005-0000-0000-00001AA30000}"/>
    <cellStyle name="Remarque 3 3 5 14" xfId="12668" xr:uid="{00000000-0005-0000-0000-00001BA30000}"/>
    <cellStyle name="Remarque 3 3 5 14 2" xfId="23973" xr:uid="{00000000-0005-0000-0000-00001CA30000}"/>
    <cellStyle name="Remarque 3 3 5 14 3" xfId="47933" xr:uid="{00000000-0005-0000-0000-00001DA30000}"/>
    <cellStyle name="Remarque 3 3 5 15" xfId="1822" xr:uid="{00000000-0005-0000-0000-00001EA30000}"/>
    <cellStyle name="Remarque 3 3 5 15 2" xfId="25836" xr:uid="{00000000-0005-0000-0000-00001FA30000}"/>
    <cellStyle name="Remarque 3 3 5 15 3" xfId="49796" xr:uid="{00000000-0005-0000-0000-000020A30000}"/>
    <cellStyle name="Remarque 3 3 5 16" xfId="24418" xr:uid="{00000000-0005-0000-0000-000021A30000}"/>
    <cellStyle name="Remarque 3 3 5 16 2" xfId="48378" xr:uid="{00000000-0005-0000-0000-000022A30000}"/>
    <cellStyle name="Remarque 3 3 5 17" xfId="36536" xr:uid="{00000000-0005-0000-0000-000023A30000}"/>
    <cellStyle name="Remarque 3 3 5 17 2" xfId="60496" xr:uid="{00000000-0005-0000-0000-000024A30000}"/>
    <cellStyle name="Remarque 3 3 5 18" xfId="13083" xr:uid="{00000000-0005-0000-0000-000025A30000}"/>
    <cellStyle name="Remarque 3 3 5 19" xfId="37043" xr:uid="{00000000-0005-0000-0000-000026A30000}"/>
    <cellStyle name="Remarque 3 3 5 2" xfId="522" xr:uid="{00000000-0005-0000-0000-000027A30000}"/>
    <cellStyle name="Remarque 3 3 5 2 10" xfId="24554" xr:uid="{00000000-0005-0000-0000-000028A30000}"/>
    <cellStyle name="Remarque 3 3 5 2 10 2" xfId="48514" xr:uid="{00000000-0005-0000-0000-000029A30000}"/>
    <cellStyle name="Remarque 3 3 5 2 11" xfId="36170" xr:uid="{00000000-0005-0000-0000-00002AA30000}"/>
    <cellStyle name="Remarque 3 3 5 2 11 2" xfId="60130" xr:uid="{00000000-0005-0000-0000-00002BA30000}"/>
    <cellStyle name="Remarque 3 3 5 2 12" xfId="13219" xr:uid="{00000000-0005-0000-0000-00002CA30000}"/>
    <cellStyle name="Remarque 3 3 5 2 13" xfId="37179" xr:uid="{00000000-0005-0000-0000-00002DA30000}"/>
    <cellStyle name="Remarque 3 3 5 2 2" xfId="3428" xr:uid="{00000000-0005-0000-0000-00002EA30000}"/>
    <cellStyle name="Remarque 3 3 5 2 2 2" xfId="27442" xr:uid="{00000000-0005-0000-0000-00002FA30000}"/>
    <cellStyle name="Remarque 3 3 5 2 2 2 2" xfId="51402" xr:uid="{00000000-0005-0000-0000-000030A30000}"/>
    <cellStyle name="Remarque 3 3 5 2 2 3" xfId="14689" xr:uid="{00000000-0005-0000-0000-000031A30000}"/>
    <cellStyle name="Remarque 3 3 5 2 2 4" xfId="38649" xr:uid="{00000000-0005-0000-0000-000032A30000}"/>
    <cellStyle name="Remarque 3 3 5 2 3" xfId="4862" xr:uid="{00000000-0005-0000-0000-000033A30000}"/>
    <cellStyle name="Remarque 3 3 5 2 3 2" xfId="28876" xr:uid="{00000000-0005-0000-0000-000034A30000}"/>
    <cellStyle name="Remarque 3 3 5 2 3 2 2" xfId="52836" xr:uid="{00000000-0005-0000-0000-000035A30000}"/>
    <cellStyle name="Remarque 3 3 5 2 3 3" xfId="16123" xr:uid="{00000000-0005-0000-0000-000036A30000}"/>
    <cellStyle name="Remarque 3 3 5 2 3 4" xfId="40083" xr:uid="{00000000-0005-0000-0000-000037A30000}"/>
    <cellStyle name="Remarque 3 3 5 2 4" xfId="6256" xr:uid="{00000000-0005-0000-0000-000038A30000}"/>
    <cellStyle name="Remarque 3 3 5 2 4 2" xfId="30270" xr:uid="{00000000-0005-0000-0000-000039A30000}"/>
    <cellStyle name="Remarque 3 3 5 2 4 2 2" xfId="54230" xr:uid="{00000000-0005-0000-0000-00003AA30000}"/>
    <cellStyle name="Remarque 3 3 5 2 4 3" xfId="17517" xr:uid="{00000000-0005-0000-0000-00003BA30000}"/>
    <cellStyle name="Remarque 3 3 5 2 4 4" xfId="41477" xr:uid="{00000000-0005-0000-0000-00003CA30000}"/>
    <cellStyle name="Remarque 3 3 5 2 5" xfId="7644" xr:uid="{00000000-0005-0000-0000-00003DA30000}"/>
    <cellStyle name="Remarque 3 3 5 2 5 2" xfId="31658" xr:uid="{00000000-0005-0000-0000-00003EA30000}"/>
    <cellStyle name="Remarque 3 3 5 2 5 2 2" xfId="55618" xr:uid="{00000000-0005-0000-0000-00003FA30000}"/>
    <cellStyle name="Remarque 3 3 5 2 5 3" xfId="18905" xr:uid="{00000000-0005-0000-0000-000040A30000}"/>
    <cellStyle name="Remarque 3 3 5 2 5 4" xfId="42865" xr:uid="{00000000-0005-0000-0000-000041A30000}"/>
    <cellStyle name="Remarque 3 3 5 2 6" xfId="9029" xr:uid="{00000000-0005-0000-0000-000042A30000}"/>
    <cellStyle name="Remarque 3 3 5 2 6 2" xfId="33043" xr:uid="{00000000-0005-0000-0000-000043A30000}"/>
    <cellStyle name="Remarque 3 3 5 2 6 2 2" xfId="57003" xr:uid="{00000000-0005-0000-0000-000044A30000}"/>
    <cellStyle name="Remarque 3 3 5 2 6 3" xfId="20290" xr:uid="{00000000-0005-0000-0000-000045A30000}"/>
    <cellStyle name="Remarque 3 3 5 2 6 4" xfId="44250" xr:uid="{00000000-0005-0000-0000-000046A30000}"/>
    <cellStyle name="Remarque 3 3 5 2 7" xfId="10486" xr:uid="{00000000-0005-0000-0000-000047A30000}"/>
    <cellStyle name="Remarque 3 3 5 2 7 2" xfId="34496" xr:uid="{00000000-0005-0000-0000-000048A30000}"/>
    <cellStyle name="Remarque 3 3 5 2 7 2 2" xfId="58456" xr:uid="{00000000-0005-0000-0000-000049A30000}"/>
    <cellStyle name="Remarque 3 3 5 2 7 3" xfId="21753" xr:uid="{00000000-0005-0000-0000-00004AA30000}"/>
    <cellStyle name="Remarque 3 3 5 2 7 4" xfId="45713" xr:uid="{00000000-0005-0000-0000-00004BA30000}"/>
    <cellStyle name="Remarque 3 3 5 2 8" xfId="12015" xr:uid="{00000000-0005-0000-0000-00004CA30000}"/>
    <cellStyle name="Remarque 3 3 5 2 8 2" xfId="23294" xr:uid="{00000000-0005-0000-0000-00004DA30000}"/>
    <cellStyle name="Remarque 3 3 5 2 8 3" xfId="47254" xr:uid="{00000000-0005-0000-0000-00004EA30000}"/>
    <cellStyle name="Remarque 3 3 5 2 9" xfId="1958" xr:uid="{00000000-0005-0000-0000-00004FA30000}"/>
    <cellStyle name="Remarque 3 3 5 2 9 2" xfId="25972" xr:uid="{00000000-0005-0000-0000-000050A30000}"/>
    <cellStyle name="Remarque 3 3 5 2 9 3" xfId="49932" xr:uid="{00000000-0005-0000-0000-000051A30000}"/>
    <cellStyle name="Remarque 3 3 5 20" xfId="386" xr:uid="{00000000-0005-0000-0000-000052A30000}"/>
    <cellStyle name="Remarque 3 3 5 3" xfId="714" xr:uid="{00000000-0005-0000-0000-000053A30000}"/>
    <cellStyle name="Remarque 3 3 5 3 10" xfId="24746" xr:uid="{00000000-0005-0000-0000-000054A30000}"/>
    <cellStyle name="Remarque 3 3 5 3 10 2" xfId="48706" xr:uid="{00000000-0005-0000-0000-000055A30000}"/>
    <cellStyle name="Remarque 3 3 5 3 11" xfId="36302" xr:uid="{00000000-0005-0000-0000-000056A30000}"/>
    <cellStyle name="Remarque 3 3 5 3 11 2" xfId="60262" xr:uid="{00000000-0005-0000-0000-000057A30000}"/>
    <cellStyle name="Remarque 3 3 5 3 12" xfId="13411" xr:uid="{00000000-0005-0000-0000-000058A30000}"/>
    <cellStyle name="Remarque 3 3 5 3 13" xfId="37371" xr:uid="{00000000-0005-0000-0000-000059A30000}"/>
    <cellStyle name="Remarque 3 3 5 3 2" xfId="3620" xr:uid="{00000000-0005-0000-0000-00005AA30000}"/>
    <cellStyle name="Remarque 3 3 5 3 2 2" xfId="27634" xr:uid="{00000000-0005-0000-0000-00005BA30000}"/>
    <cellStyle name="Remarque 3 3 5 3 2 2 2" xfId="51594" xr:uid="{00000000-0005-0000-0000-00005CA30000}"/>
    <cellStyle name="Remarque 3 3 5 3 2 3" xfId="14881" xr:uid="{00000000-0005-0000-0000-00005DA30000}"/>
    <cellStyle name="Remarque 3 3 5 3 2 4" xfId="38841" xr:uid="{00000000-0005-0000-0000-00005EA30000}"/>
    <cellStyle name="Remarque 3 3 5 3 3" xfId="5054" xr:uid="{00000000-0005-0000-0000-00005FA30000}"/>
    <cellStyle name="Remarque 3 3 5 3 3 2" xfId="29068" xr:uid="{00000000-0005-0000-0000-000060A30000}"/>
    <cellStyle name="Remarque 3 3 5 3 3 2 2" xfId="53028" xr:uid="{00000000-0005-0000-0000-000061A30000}"/>
    <cellStyle name="Remarque 3 3 5 3 3 3" xfId="16315" xr:uid="{00000000-0005-0000-0000-000062A30000}"/>
    <cellStyle name="Remarque 3 3 5 3 3 4" xfId="40275" xr:uid="{00000000-0005-0000-0000-000063A30000}"/>
    <cellStyle name="Remarque 3 3 5 3 4" xfId="6448" xr:uid="{00000000-0005-0000-0000-000064A30000}"/>
    <cellStyle name="Remarque 3 3 5 3 4 2" xfId="30462" xr:uid="{00000000-0005-0000-0000-000065A30000}"/>
    <cellStyle name="Remarque 3 3 5 3 4 2 2" xfId="54422" xr:uid="{00000000-0005-0000-0000-000066A30000}"/>
    <cellStyle name="Remarque 3 3 5 3 4 3" xfId="17709" xr:uid="{00000000-0005-0000-0000-000067A30000}"/>
    <cellStyle name="Remarque 3 3 5 3 4 4" xfId="41669" xr:uid="{00000000-0005-0000-0000-000068A30000}"/>
    <cellStyle name="Remarque 3 3 5 3 5" xfId="7836" xr:uid="{00000000-0005-0000-0000-000069A30000}"/>
    <cellStyle name="Remarque 3 3 5 3 5 2" xfId="31850" xr:uid="{00000000-0005-0000-0000-00006AA30000}"/>
    <cellStyle name="Remarque 3 3 5 3 5 2 2" xfId="55810" xr:uid="{00000000-0005-0000-0000-00006BA30000}"/>
    <cellStyle name="Remarque 3 3 5 3 5 3" xfId="19097" xr:uid="{00000000-0005-0000-0000-00006CA30000}"/>
    <cellStyle name="Remarque 3 3 5 3 5 4" xfId="43057" xr:uid="{00000000-0005-0000-0000-00006DA30000}"/>
    <cellStyle name="Remarque 3 3 5 3 6" xfId="9221" xr:uid="{00000000-0005-0000-0000-00006EA30000}"/>
    <cellStyle name="Remarque 3 3 5 3 6 2" xfId="33235" xr:uid="{00000000-0005-0000-0000-00006FA30000}"/>
    <cellStyle name="Remarque 3 3 5 3 6 2 2" xfId="57195" xr:uid="{00000000-0005-0000-0000-000070A30000}"/>
    <cellStyle name="Remarque 3 3 5 3 6 3" xfId="20482" xr:uid="{00000000-0005-0000-0000-000071A30000}"/>
    <cellStyle name="Remarque 3 3 5 3 6 4" xfId="44442" xr:uid="{00000000-0005-0000-0000-000072A30000}"/>
    <cellStyle name="Remarque 3 3 5 3 7" xfId="10678" xr:uid="{00000000-0005-0000-0000-000073A30000}"/>
    <cellStyle name="Remarque 3 3 5 3 7 2" xfId="34688" xr:uid="{00000000-0005-0000-0000-000074A30000}"/>
    <cellStyle name="Remarque 3 3 5 3 7 2 2" xfId="58648" xr:uid="{00000000-0005-0000-0000-000075A30000}"/>
    <cellStyle name="Remarque 3 3 5 3 7 3" xfId="21945" xr:uid="{00000000-0005-0000-0000-000076A30000}"/>
    <cellStyle name="Remarque 3 3 5 3 7 4" xfId="45905" xr:uid="{00000000-0005-0000-0000-000077A30000}"/>
    <cellStyle name="Remarque 3 3 5 3 8" xfId="12502" xr:uid="{00000000-0005-0000-0000-000078A30000}"/>
    <cellStyle name="Remarque 3 3 5 3 8 2" xfId="23799" xr:uid="{00000000-0005-0000-0000-000079A30000}"/>
    <cellStyle name="Remarque 3 3 5 3 8 3" xfId="47759" xr:uid="{00000000-0005-0000-0000-00007AA30000}"/>
    <cellStyle name="Remarque 3 3 5 3 9" xfId="2150" xr:uid="{00000000-0005-0000-0000-00007BA30000}"/>
    <cellStyle name="Remarque 3 3 5 3 9 2" xfId="26164" xr:uid="{00000000-0005-0000-0000-00007CA30000}"/>
    <cellStyle name="Remarque 3 3 5 3 9 3" xfId="50124" xr:uid="{00000000-0005-0000-0000-00007DA30000}"/>
    <cellStyle name="Remarque 3 3 5 4" xfId="908" xr:uid="{00000000-0005-0000-0000-00007EA30000}"/>
    <cellStyle name="Remarque 3 3 5 4 10" xfId="24940" xr:uid="{00000000-0005-0000-0000-00007FA30000}"/>
    <cellStyle name="Remarque 3 3 5 4 10 2" xfId="48900" xr:uid="{00000000-0005-0000-0000-000080A30000}"/>
    <cellStyle name="Remarque 3 3 5 4 11" xfId="36814" xr:uid="{00000000-0005-0000-0000-000081A30000}"/>
    <cellStyle name="Remarque 3 3 5 4 11 2" xfId="60774" xr:uid="{00000000-0005-0000-0000-000082A30000}"/>
    <cellStyle name="Remarque 3 3 5 4 12" xfId="13605" xr:uid="{00000000-0005-0000-0000-000083A30000}"/>
    <cellStyle name="Remarque 3 3 5 4 13" xfId="37565" xr:uid="{00000000-0005-0000-0000-000084A30000}"/>
    <cellStyle name="Remarque 3 3 5 4 2" xfId="3814" xr:uid="{00000000-0005-0000-0000-000085A30000}"/>
    <cellStyle name="Remarque 3 3 5 4 2 2" xfId="27828" xr:uid="{00000000-0005-0000-0000-000086A30000}"/>
    <cellStyle name="Remarque 3 3 5 4 2 2 2" xfId="51788" xr:uid="{00000000-0005-0000-0000-000087A30000}"/>
    <cellStyle name="Remarque 3 3 5 4 2 3" xfId="15075" xr:uid="{00000000-0005-0000-0000-000088A30000}"/>
    <cellStyle name="Remarque 3 3 5 4 2 4" xfId="39035" xr:uid="{00000000-0005-0000-0000-000089A30000}"/>
    <cellStyle name="Remarque 3 3 5 4 3" xfId="5248" xr:uid="{00000000-0005-0000-0000-00008AA30000}"/>
    <cellStyle name="Remarque 3 3 5 4 3 2" xfId="29262" xr:uid="{00000000-0005-0000-0000-00008BA30000}"/>
    <cellStyle name="Remarque 3 3 5 4 3 2 2" xfId="53222" xr:uid="{00000000-0005-0000-0000-00008CA30000}"/>
    <cellStyle name="Remarque 3 3 5 4 3 3" xfId="16509" xr:uid="{00000000-0005-0000-0000-00008DA30000}"/>
    <cellStyle name="Remarque 3 3 5 4 3 4" xfId="40469" xr:uid="{00000000-0005-0000-0000-00008EA30000}"/>
    <cellStyle name="Remarque 3 3 5 4 4" xfId="6642" xr:uid="{00000000-0005-0000-0000-00008FA30000}"/>
    <cellStyle name="Remarque 3 3 5 4 4 2" xfId="30656" xr:uid="{00000000-0005-0000-0000-000090A30000}"/>
    <cellStyle name="Remarque 3 3 5 4 4 2 2" xfId="54616" xr:uid="{00000000-0005-0000-0000-000091A30000}"/>
    <cellStyle name="Remarque 3 3 5 4 4 3" xfId="17903" xr:uid="{00000000-0005-0000-0000-000092A30000}"/>
    <cellStyle name="Remarque 3 3 5 4 4 4" xfId="41863" xr:uid="{00000000-0005-0000-0000-000093A30000}"/>
    <cellStyle name="Remarque 3 3 5 4 5" xfId="8030" xr:uid="{00000000-0005-0000-0000-000094A30000}"/>
    <cellStyle name="Remarque 3 3 5 4 5 2" xfId="32044" xr:uid="{00000000-0005-0000-0000-000095A30000}"/>
    <cellStyle name="Remarque 3 3 5 4 5 2 2" xfId="56004" xr:uid="{00000000-0005-0000-0000-000096A30000}"/>
    <cellStyle name="Remarque 3 3 5 4 5 3" xfId="19291" xr:uid="{00000000-0005-0000-0000-000097A30000}"/>
    <cellStyle name="Remarque 3 3 5 4 5 4" xfId="43251" xr:uid="{00000000-0005-0000-0000-000098A30000}"/>
    <cellStyle name="Remarque 3 3 5 4 6" xfId="9415" xr:uid="{00000000-0005-0000-0000-000099A30000}"/>
    <cellStyle name="Remarque 3 3 5 4 6 2" xfId="33429" xr:uid="{00000000-0005-0000-0000-00009AA30000}"/>
    <cellStyle name="Remarque 3 3 5 4 6 2 2" xfId="57389" xr:uid="{00000000-0005-0000-0000-00009BA30000}"/>
    <cellStyle name="Remarque 3 3 5 4 6 3" xfId="20676" xr:uid="{00000000-0005-0000-0000-00009CA30000}"/>
    <cellStyle name="Remarque 3 3 5 4 6 4" xfId="44636" xr:uid="{00000000-0005-0000-0000-00009DA30000}"/>
    <cellStyle name="Remarque 3 3 5 4 7" xfId="10872" xr:uid="{00000000-0005-0000-0000-00009EA30000}"/>
    <cellStyle name="Remarque 3 3 5 4 7 2" xfId="34882" xr:uid="{00000000-0005-0000-0000-00009FA30000}"/>
    <cellStyle name="Remarque 3 3 5 4 7 2 2" xfId="58842" xr:uid="{00000000-0005-0000-0000-0000A0A30000}"/>
    <cellStyle name="Remarque 3 3 5 4 7 3" xfId="22139" xr:uid="{00000000-0005-0000-0000-0000A1A30000}"/>
    <cellStyle name="Remarque 3 3 5 4 7 4" xfId="46099" xr:uid="{00000000-0005-0000-0000-0000A2A30000}"/>
    <cellStyle name="Remarque 3 3 5 4 8" xfId="12765" xr:uid="{00000000-0005-0000-0000-0000A3A30000}"/>
    <cellStyle name="Remarque 3 3 5 4 8 2" xfId="24073" xr:uid="{00000000-0005-0000-0000-0000A4A30000}"/>
    <cellStyle name="Remarque 3 3 5 4 8 3" xfId="48033" xr:uid="{00000000-0005-0000-0000-0000A5A30000}"/>
    <cellStyle name="Remarque 3 3 5 4 9" xfId="2344" xr:uid="{00000000-0005-0000-0000-0000A6A30000}"/>
    <cellStyle name="Remarque 3 3 5 4 9 2" xfId="26358" xr:uid="{00000000-0005-0000-0000-0000A7A30000}"/>
    <cellStyle name="Remarque 3 3 5 4 9 3" xfId="50318" xr:uid="{00000000-0005-0000-0000-0000A8A30000}"/>
    <cellStyle name="Remarque 3 3 5 5" xfId="1101" xr:uid="{00000000-0005-0000-0000-0000A9A30000}"/>
    <cellStyle name="Remarque 3 3 5 5 10" xfId="25133" xr:uid="{00000000-0005-0000-0000-0000AAA30000}"/>
    <cellStyle name="Remarque 3 3 5 5 10 2" xfId="49093" xr:uid="{00000000-0005-0000-0000-0000ABA30000}"/>
    <cellStyle name="Remarque 3 3 5 5 11" xfId="36622" xr:uid="{00000000-0005-0000-0000-0000ACA30000}"/>
    <cellStyle name="Remarque 3 3 5 5 11 2" xfId="60582" xr:uid="{00000000-0005-0000-0000-0000ADA30000}"/>
    <cellStyle name="Remarque 3 3 5 5 12" xfId="13798" xr:uid="{00000000-0005-0000-0000-0000AEA30000}"/>
    <cellStyle name="Remarque 3 3 5 5 13" xfId="37758" xr:uid="{00000000-0005-0000-0000-0000AFA30000}"/>
    <cellStyle name="Remarque 3 3 5 5 2" xfId="4007" xr:uid="{00000000-0005-0000-0000-0000B0A30000}"/>
    <cellStyle name="Remarque 3 3 5 5 2 2" xfId="28021" xr:uid="{00000000-0005-0000-0000-0000B1A30000}"/>
    <cellStyle name="Remarque 3 3 5 5 2 2 2" xfId="51981" xr:uid="{00000000-0005-0000-0000-0000B2A30000}"/>
    <cellStyle name="Remarque 3 3 5 5 2 3" xfId="15268" xr:uid="{00000000-0005-0000-0000-0000B3A30000}"/>
    <cellStyle name="Remarque 3 3 5 5 2 4" xfId="39228" xr:uid="{00000000-0005-0000-0000-0000B4A30000}"/>
    <cellStyle name="Remarque 3 3 5 5 3" xfId="5441" xr:uid="{00000000-0005-0000-0000-0000B5A30000}"/>
    <cellStyle name="Remarque 3 3 5 5 3 2" xfId="29455" xr:uid="{00000000-0005-0000-0000-0000B6A30000}"/>
    <cellStyle name="Remarque 3 3 5 5 3 2 2" xfId="53415" xr:uid="{00000000-0005-0000-0000-0000B7A30000}"/>
    <cellStyle name="Remarque 3 3 5 5 3 3" xfId="16702" xr:uid="{00000000-0005-0000-0000-0000B8A30000}"/>
    <cellStyle name="Remarque 3 3 5 5 3 4" xfId="40662" xr:uid="{00000000-0005-0000-0000-0000B9A30000}"/>
    <cellStyle name="Remarque 3 3 5 5 4" xfId="6835" xr:uid="{00000000-0005-0000-0000-0000BAA30000}"/>
    <cellStyle name="Remarque 3 3 5 5 4 2" xfId="30849" xr:uid="{00000000-0005-0000-0000-0000BBA30000}"/>
    <cellStyle name="Remarque 3 3 5 5 4 2 2" xfId="54809" xr:uid="{00000000-0005-0000-0000-0000BCA30000}"/>
    <cellStyle name="Remarque 3 3 5 5 4 3" xfId="18096" xr:uid="{00000000-0005-0000-0000-0000BDA30000}"/>
    <cellStyle name="Remarque 3 3 5 5 4 4" xfId="42056" xr:uid="{00000000-0005-0000-0000-0000BEA30000}"/>
    <cellStyle name="Remarque 3 3 5 5 5" xfId="8223" xr:uid="{00000000-0005-0000-0000-0000BFA30000}"/>
    <cellStyle name="Remarque 3 3 5 5 5 2" xfId="32237" xr:uid="{00000000-0005-0000-0000-0000C0A30000}"/>
    <cellStyle name="Remarque 3 3 5 5 5 2 2" xfId="56197" xr:uid="{00000000-0005-0000-0000-0000C1A30000}"/>
    <cellStyle name="Remarque 3 3 5 5 5 3" xfId="19484" xr:uid="{00000000-0005-0000-0000-0000C2A30000}"/>
    <cellStyle name="Remarque 3 3 5 5 5 4" xfId="43444" xr:uid="{00000000-0005-0000-0000-0000C3A30000}"/>
    <cellStyle name="Remarque 3 3 5 5 6" xfId="9608" xr:uid="{00000000-0005-0000-0000-0000C4A30000}"/>
    <cellStyle name="Remarque 3 3 5 5 6 2" xfId="33622" xr:uid="{00000000-0005-0000-0000-0000C5A30000}"/>
    <cellStyle name="Remarque 3 3 5 5 6 2 2" xfId="57582" xr:uid="{00000000-0005-0000-0000-0000C6A30000}"/>
    <cellStyle name="Remarque 3 3 5 5 6 3" xfId="20869" xr:uid="{00000000-0005-0000-0000-0000C7A30000}"/>
    <cellStyle name="Remarque 3 3 5 5 6 4" xfId="44829" xr:uid="{00000000-0005-0000-0000-0000C8A30000}"/>
    <cellStyle name="Remarque 3 3 5 5 7" xfId="11065" xr:uid="{00000000-0005-0000-0000-0000C9A30000}"/>
    <cellStyle name="Remarque 3 3 5 5 7 2" xfId="35075" xr:uid="{00000000-0005-0000-0000-0000CAA30000}"/>
    <cellStyle name="Remarque 3 3 5 5 7 2 2" xfId="59035" xr:uid="{00000000-0005-0000-0000-0000CBA30000}"/>
    <cellStyle name="Remarque 3 3 5 5 7 3" xfId="22332" xr:uid="{00000000-0005-0000-0000-0000CCA30000}"/>
    <cellStyle name="Remarque 3 3 5 5 7 4" xfId="46292" xr:uid="{00000000-0005-0000-0000-0000CDA30000}"/>
    <cellStyle name="Remarque 3 3 5 5 8" xfId="12795" xr:uid="{00000000-0005-0000-0000-0000CEA30000}"/>
    <cellStyle name="Remarque 3 3 5 5 8 2" xfId="24105" xr:uid="{00000000-0005-0000-0000-0000CFA30000}"/>
    <cellStyle name="Remarque 3 3 5 5 8 3" xfId="48065" xr:uid="{00000000-0005-0000-0000-0000D0A30000}"/>
    <cellStyle name="Remarque 3 3 5 5 9" xfId="2537" xr:uid="{00000000-0005-0000-0000-0000D1A30000}"/>
    <cellStyle name="Remarque 3 3 5 5 9 2" xfId="26551" xr:uid="{00000000-0005-0000-0000-0000D2A30000}"/>
    <cellStyle name="Remarque 3 3 5 5 9 3" xfId="50511" xr:uid="{00000000-0005-0000-0000-0000D3A30000}"/>
    <cellStyle name="Remarque 3 3 5 6" xfId="1268" xr:uid="{00000000-0005-0000-0000-0000D4A30000}"/>
    <cellStyle name="Remarque 3 3 5 6 10" xfId="25300" xr:uid="{00000000-0005-0000-0000-0000D5A30000}"/>
    <cellStyle name="Remarque 3 3 5 6 10 2" xfId="49260" xr:uid="{00000000-0005-0000-0000-0000D6A30000}"/>
    <cellStyle name="Remarque 3 3 5 6 11" xfId="36318" xr:uid="{00000000-0005-0000-0000-0000D7A30000}"/>
    <cellStyle name="Remarque 3 3 5 6 11 2" xfId="60278" xr:uid="{00000000-0005-0000-0000-0000D8A30000}"/>
    <cellStyle name="Remarque 3 3 5 6 12" xfId="13965" xr:uid="{00000000-0005-0000-0000-0000D9A30000}"/>
    <cellStyle name="Remarque 3 3 5 6 13" xfId="37925" xr:uid="{00000000-0005-0000-0000-0000DAA30000}"/>
    <cellStyle name="Remarque 3 3 5 6 2" xfId="4174" xr:uid="{00000000-0005-0000-0000-0000DBA30000}"/>
    <cellStyle name="Remarque 3 3 5 6 2 2" xfId="28188" xr:uid="{00000000-0005-0000-0000-0000DCA30000}"/>
    <cellStyle name="Remarque 3 3 5 6 2 2 2" xfId="52148" xr:uid="{00000000-0005-0000-0000-0000DDA30000}"/>
    <cellStyle name="Remarque 3 3 5 6 2 3" xfId="15435" xr:uid="{00000000-0005-0000-0000-0000DEA30000}"/>
    <cellStyle name="Remarque 3 3 5 6 2 4" xfId="39395" xr:uid="{00000000-0005-0000-0000-0000DFA30000}"/>
    <cellStyle name="Remarque 3 3 5 6 3" xfId="5608" xr:uid="{00000000-0005-0000-0000-0000E0A30000}"/>
    <cellStyle name="Remarque 3 3 5 6 3 2" xfId="29622" xr:uid="{00000000-0005-0000-0000-0000E1A30000}"/>
    <cellStyle name="Remarque 3 3 5 6 3 2 2" xfId="53582" xr:uid="{00000000-0005-0000-0000-0000E2A30000}"/>
    <cellStyle name="Remarque 3 3 5 6 3 3" xfId="16869" xr:uid="{00000000-0005-0000-0000-0000E3A30000}"/>
    <cellStyle name="Remarque 3 3 5 6 3 4" xfId="40829" xr:uid="{00000000-0005-0000-0000-0000E4A30000}"/>
    <cellStyle name="Remarque 3 3 5 6 4" xfId="7002" xr:uid="{00000000-0005-0000-0000-0000E5A30000}"/>
    <cellStyle name="Remarque 3 3 5 6 4 2" xfId="31016" xr:uid="{00000000-0005-0000-0000-0000E6A30000}"/>
    <cellStyle name="Remarque 3 3 5 6 4 2 2" xfId="54976" xr:uid="{00000000-0005-0000-0000-0000E7A30000}"/>
    <cellStyle name="Remarque 3 3 5 6 4 3" xfId="18263" xr:uid="{00000000-0005-0000-0000-0000E8A30000}"/>
    <cellStyle name="Remarque 3 3 5 6 4 4" xfId="42223" xr:uid="{00000000-0005-0000-0000-0000E9A30000}"/>
    <cellStyle name="Remarque 3 3 5 6 5" xfId="8390" xr:uid="{00000000-0005-0000-0000-0000EAA30000}"/>
    <cellStyle name="Remarque 3 3 5 6 5 2" xfId="32404" xr:uid="{00000000-0005-0000-0000-0000EBA30000}"/>
    <cellStyle name="Remarque 3 3 5 6 5 2 2" xfId="56364" xr:uid="{00000000-0005-0000-0000-0000ECA30000}"/>
    <cellStyle name="Remarque 3 3 5 6 5 3" xfId="19651" xr:uid="{00000000-0005-0000-0000-0000EDA30000}"/>
    <cellStyle name="Remarque 3 3 5 6 5 4" xfId="43611" xr:uid="{00000000-0005-0000-0000-0000EEA30000}"/>
    <cellStyle name="Remarque 3 3 5 6 6" xfId="9775" xr:uid="{00000000-0005-0000-0000-0000EFA30000}"/>
    <cellStyle name="Remarque 3 3 5 6 6 2" xfId="33789" xr:uid="{00000000-0005-0000-0000-0000F0A30000}"/>
    <cellStyle name="Remarque 3 3 5 6 6 2 2" xfId="57749" xr:uid="{00000000-0005-0000-0000-0000F1A30000}"/>
    <cellStyle name="Remarque 3 3 5 6 6 3" xfId="21036" xr:uid="{00000000-0005-0000-0000-0000F2A30000}"/>
    <cellStyle name="Remarque 3 3 5 6 6 4" xfId="44996" xr:uid="{00000000-0005-0000-0000-0000F3A30000}"/>
    <cellStyle name="Remarque 3 3 5 6 7" xfId="11232" xr:uid="{00000000-0005-0000-0000-0000F4A30000}"/>
    <cellStyle name="Remarque 3 3 5 6 7 2" xfId="35242" xr:uid="{00000000-0005-0000-0000-0000F5A30000}"/>
    <cellStyle name="Remarque 3 3 5 6 7 2 2" xfId="59202" xr:uid="{00000000-0005-0000-0000-0000F6A30000}"/>
    <cellStyle name="Remarque 3 3 5 6 7 3" xfId="22499" xr:uid="{00000000-0005-0000-0000-0000F7A30000}"/>
    <cellStyle name="Remarque 3 3 5 6 7 4" xfId="46459" xr:uid="{00000000-0005-0000-0000-0000F8A30000}"/>
    <cellStyle name="Remarque 3 3 5 6 8" xfId="11733" xr:uid="{00000000-0005-0000-0000-0000F9A30000}"/>
    <cellStyle name="Remarque 3 3 5 6 8 2" xfId="23004" xr:uid="{00000000-0005-0000-0000-0000FAA30000}"/>
    <cellStyle name="Remarque 3 3 5 6 8 3" xfId="46964" xr:uid="{00000000-0005-0000-0000-0000FBA30000}"/>
    <cellStyle name="Remarque 3 3 5 6 9" xfId="2704" xr:uid="{00000000-0005-0000-0000-0000FCA30000}"/>
    <cellStyle name="Remarque 3 3 5 6 9 2" xfId="26718" xr:uid="{00000000-0005-0000-0000-0000FDA30000}"/>
    <cellStyle name="Remarque 3 3 5 6 9 3" xfId="50678" xr:uid="{00000000-0005-0000-0000-0000FEA30000}"/>
    <cellStyle name="Remarque 3 3 5 7" xfId="1437" xr:uid="{00000000-0005-0000-0000-0000FFA30000}"/>
    <cellStyle name="Remarque 3 3 5 7 10" xfId="25469" xr:uid="{00000000-0005-0000-0000-000000A40000}"/>
    <cellStyle name="Remarque 3 3 5 7 10 2" xfId="49429" xr:uid="{00000000-0005-0000-0000-000001A40000}"/>
    <cellStyle name="Remarque 3 3 5 7 11" xfId="36811" xr:uid="{00000000-0005-0000-0000-000002A40000}"/>
    <cellStyle name="Remarque 3 3 5 7 11 2" xfId="60771" xr:uid="{00000000-0005-0000-0000-000003A40000}"/>
    <cellStyle name="Remarque 3 3 5 7 12" xfId="14134" xr:uid="{00000000-0005-0000-0000-000004A40000}"/>
    <cellStyle name="Remarque 3 3 5 7 13" xfId="38094" xr:uid="{00000000-0005-0000-0000-000005A40000}"/>
    <cellStyle name="Remarque 3 3 5 7 2" xfId="4343" xr:uid="{00000000-0005-0000-0000-000006A40000}"/>
    <cellStyle name="Remarque 3 3 5 7 2 2" xfId="28357" xr:uid="{00000000-0005-0000-0000-000007A40000}"/>
    <cellStyle name="Remarque 3 3 5 7 2 2 2" xfId="52317" xr:uid="{00000000-0005-0000-0000-000008A40000}"/>
    <cellStyle name="Remarque 3 3 5 7 2 3" xfId="15604" xr:uid="{00000000-0005-0000-0000-000009A40000}"/>
    <cellStyle name="Remarque 3 3 5 7 2 4" xfId="39564" xr:uid="{00000000-0005-0000-0000-00000AA40000}"/>
    <cellStyle name="Remarque 3 3 5 7 3" xfId="5777" xr:uid="{00000000-0005-0000-0000-00000BA40000}"/>
    <cellStyle name="Remarque 3 3 5 7 3 2" xfId="29791" xr:uid="{00000000-0005-0000-0000-00000CA40000}"/>
    <cellStyle name="Remarque 3 3 5 7 3 2 2" xfId="53751" xr:uid="{00000000-0005-0000-0000-00000DA40000}"/>
    <cellStyle name="Remarque 3 3 5 7 3 3" xfId="17038" xr:uid="{00000000-0005-0000-0000-00000EA40000}"/>
    <cellStyle name="Remarque 3 3 5 7 3 4" xfId="40998" xr:uid="{00000000-0005-0000-0000-00000FA40000}"/>
    <cellStyle name="Remarque 3 3 5 7 4" xfId="7171" xr:uid="{00000000-0005-0000-0000-000010A40000}"/>
    <cellStyle name="Remarque 3 3 5 7 4 2" xfId="31185" xr:uid="{00000000-0005-0000-0000-000011A40000}"/>
    <cellStyle name="Remarque 3 3 5 7 4 2 2" xfId="55145" xr:uid="{00000000-0005-0000-0000-000012A40000}"/>
    <cellStyle name="Remarque 3 3 5 7 4 3" xfId="18432" xr:uid="{00000000-0005-0000-0000-000013A40000}"/>
    <cellStyle name="Remarque 3 3 5 7 4 4" xfId="42392" xr:uid="{00000000-0005-0000-0000-000014A40000}"/>
    <cellStyle name="Remarque 3 3 5 7 5" xfId="8559" xr:uid="{00000000-0005-0000-0000-000015A40000}"/>
    <cellStyle name="Remarque 3 3 5 7 5 2" xfId="32573" xr:uid="{00000000-0005-0000-0000-000016A40000}"/>
    <cellStyle name="Remarque 3 3 5 7 5 2 2" xfId="56533" xr:uid="{00000000-0005-0000-0000-000017A40000}"/>
    <cellStyle name="Remarque 3 3 5 7 5 3" xfId="19820" xr:uid="{00000000-0005-0000-0000-000018A40000}"/>
    <cellStyle name="Remarque 3 3 5 7 5 4" xfId="43780" xr:uid="{00000000-0005-0000-0000-000019A40000}"/>
    <cellStyle name="Remarque 3 3 5 7 6" xfId="9944" xr:uid="{00000000-0005-0000-0000-00001AA40000}"/>
    <cellStyle name="Remarque 3 3 5 7 6 2" xfId="33958" xr:uid="{00000000-0005-0000-0000-00001BA40000}"/>
    <cellStyle name="Remarque 3 3 5 7 6 2 2" xfId="57918" xr:uid="{00000000-0005-0000-0000-00001CA40000}"/>
    <cellStyle name="Remarque 3 3 5 7 6 3" xfId="21205" xr:uid="{00000000-0005-0000-0000-00001DA40000}"/>
    <cellStyle name="Remarque 3 3 5 7 6 4" xfId="45165" xr:uid="{00000000-0005-0000-0000-00001EA40000}"/>
    <cellStyle name="Remarque 3 3 5 7 7" xfId="11401" xr:uid="{00000000-0005-0000-0000-00001FA40000}"/>
    <cellStyle name="Remarque 3 3 5 7 7 2" xfId="35411" xr:uid="{00000000-0005-0000-0000-000020A40000}"/>
    <cellStyle name="Remarque 3 3 5 7 7 2 2" xfId="59371" xr:uid="{00000000-0005-0000-0000-000021A40000}"/>
    <cellStyle name="Remarque 3 3 5 7 7 3" xfId="22668" xr:uid="{00000000-0005-0000-0000-000022A40000}"/>
    <cellStyle name="Remarque 3 3 5 7 7 4" xfId="46628" xr:uid="{00000000-0005-0000-0000-000023A40000}"/>
    <cellStyle name="Remarque 3 3 5 7 8" xfId="11633" xr:uid="{00000000-0005-0000-0000-000024A40000}"/>
    <cellStyle name="Remarque 3 3 5 7 8 2" xfId="22901" xr:uid="{00000000-0005-0000-0000-000025A40000}"/>
    <cellStyle name="Remarque 3 3 5 7 8 3" xfId="46861" xr:uid="{00000000-0005-0000-0000-000026A40000}"/>
    <cellStyle name="Remarque 3 3 5 7 9" xfId="2873" xr:uid="{00000000-0005-0000-0000-000027A40000}"/>
    <cellStyle name="Remarque 3 3 5 7 9 2" xfId="26887" xr:uid="{00000000-0005-0000-0000-000028A40000}"/>
    <cellStyle name="Remarque 3 3 5 7 9 3" xfId="50847" xr:uid="{00000000-0005-0000-0000-000029A40000}"/>
    <cellStyle name="Remarque 3 3 5 8" xfId="3292" xr:uid="{00000000-0005-0000-0000-00002AA40000}"/>
    <cellStyle name="Remarque 3 3 5 8 2" xfId="27306" xr:uid="{00000000-0005-0000-0000-00002BA40000}"/>
    <cellStyle name="Remarque 3 3 5 8 2 2" xfId="51266" xr:uid="{00000000-0005-0000-0000-00002CA40000}"/>
    <cellStyle name="Remarque 3 3 5 8 3" xfId="14553" xr:uid="{00000000-0005-0000-0000-00002DA40000}"/>
    <cellStyle name="Remarque 3 3 5 8 4" xfId="38513" xr:uid="{00000000-0005-0000-0000-00002EA40000}"/>
    <cellStyle name="Remarque 3 3 5 9" xfId="4726" xr:uid="{00000000-0005-0000-0000-00002FA40000}"/>
    <cellStyle name="Remarque 3 3 5 9 2" xfId="28740" xr:uid="{00000000-0005-0000-0000-000030A40000}"/>
    <cellStyle name="Remarque 3 3 5 9 2 2" xfId="52700" xr:uid="{00000000-0005-0000-0000-000031A40000}"/>
    <cellStyle name="Remarque 3 3 5 9 3" xfId="15987" xr:uid="{00000000-0005-0000-0000-000032A40000}"/>
    <cellStyle name="Remarque 3 3 5 9 4" xfId="39947" xr:uid="{00000000-0005-0000-0000-000033A40000}"/>
    <cellStyle name="Remarque 3 3 6" xfId="334" xr:uid="{00000000-0005-0000-0000-000034A40000}"/>
    <cellStyle name="Remarque 3 3 6 10" xfId="24366" xr:uid="{00000000-0005-0000-0000-000035A40000}"/>
    <cellStyle name="Remarque 3 3 6 10 2" xfId="48326" xr:uid="{00000000-0005-0000-0000-000036A40000}"/>
    <cellStyle name="Remarque 3 3 6 11" xfId="36240" xr:uid="{00000000-0005-0000-0000-000037A40000}"/>
    <cellStyle name="Remarque 3 3 6 11 2" xfId="60200" xr:uid="{00000000-0005-0000-0000-000038A40000}"/>
    <cellStyle name="Remarque 3 3 6 12" xfId="13031" xr:uid="{00000000-0005-0000-0000-000039A40000}"/>
    <cellStyle name="Remarque 3 3 6 13" xfId="36991" xr:uid="{00000000-0005-0000-0000-00003AA40000}"/>
    <cellStyle name="Remarque 3 3 6 2" xfId="3240" xr:uid="{00000000-0005-0000-0000-00003BA40000}"/>
    <cellStyle name="Remarque 3 3 6 2 2" xfId="27254" xr:uid="{00000000-0005-0000-0000-00003CA40000}"/>
    <cellStyle name="Remarque 3 3 6 2 2 2" xfId="51214" xr:uid="{00000000-0005-0000-0000-00003DA40000}"/>
    <cellStyle name="Remarque 3 3 6 2 3" xfId="14501" xr:uid="{00000000-0005-0000-0000-00003EA40000}"/>
    <cellStyle name="Remarque 3 3 6 2 4" xfId="38461" xr:uid="{00000000-0005-0000-0000-00003FA40000}"/>
    <cellStyle name="Remarque 3 3 6 3" xfId="4674" xr:uid="{00000000-0005-0000-0000-000040A40000}"/>
    <cellStyle name="Remarque 3 3 6 3 2" xfId="28688" xr:uid="{00000000-0005-0000-0000-000041A40000}"/>
    <cellStyle name="Remarque 3 3 6 3 2 2" xfId="52648" xr:uid="{00000000-0005-0000-0000-000042A40000}"/>
    <cellStyle name="Remarque 3 3 6 3 3" xfId="15935" xr:uid="{00000000-0005-0000-0000-000043A40000}"/>
    <cellStyle name="Remarque 3 3 6 3 4" xfId="39895" xr:uid="{00000000-0005-0000-0000-000044A40000}"/>
    <cellStyle name="Remarque 3 3 6 4" xfId="6068" xr:uid="{00000000-0005-0000-0000-000045A40000}"/>
    <cellStyle name="Remarque 3 3 6 4 2" xfId="30082" xr:uid="{00000000-0005-0000-0000-000046A40000}"/>
    <cellStyle name="Remarque 3 3 6 4 2 2" xfId="54042" xr:uid="{00000000-0005-0000-0000-000047A40000}"/>
    <cellStyle name="Remarque 3 3 6 4 3" xfId="17329" xr:uid="{00000000-0005-0000-0000-000048A40000}"/>
    <cellStyle name="Remarque 3 3 6 4 4" xfId="41289" xr:uid="{00000000-0005-0000-0000-000049A40000}"/>
    <cellStyle name="Remarque 3 3 6 5" xfId="7456" xr:uid="{00000000-0005-0000-0000-00004AA40000}"/>
    <cellStyle name="Remarque 3 3 6 5 2" xfId="31470" xr:uid="{00000000-0005-0000-0000-00004BA40000}"/>
    <cellStyle name="Remarque 3 3 6 5 2 2" xfId="55430" xr:uid="{00000000-0005-0000-0000-00004CA40000}"/>
    <cellStyle name="Remarque 3 3 6 5 3" xfId="18717" xr:uid="{00000000-0005-0000-0000-00004DA40000}"/>
    <cellStyle name="Remarque 3 3 6 5 4" xfId="42677" xr:uid="{00000000-0005-0000-0000-00004EA40000}"/>
    <cellStyle name="Remarque 3 3 6 6" xfId="8841" xr:uid="{00000000-0005-0000-0000-00004FA40000}"/>
    <cellStyle name="Remarque 3 3 6 6 2" xfId="32855" xr:uid="{00000000-0005-0000-0000-000050A40000}"/>
    <cellStyle name="Remarque 3 3 6 6 2 2" xfId="56815" xr:uid="{00000000-0005-0000-0000-000051A40000}"/>
    <cellStyle name="Remarque 3 3 6 6 3" xfId="20102" xr:uid="{00000000-0005-0000-0000-000052A40000}"/>
    <cellStyle name="Remarque 3 3 6 6 4" xfId="44062" xr:uid="{00000000-0005-0000-0000-000053A40000}"/>
    <cellStyle name="Remarque 3 3 6 7" xfId="10298" xr:uid="{00000000-0005-0000-0000-000054A40000}"/>
    <cellStyle name="Remarque 3 3 6 7 2" xfId="34308" xr:uid="{00000000-0005-0000-0000-000055A40000}"/>
    <cellStyle name="Remarque 3 3 6 7 2 2" xfId="58268" xr:uid="{00000000-0005-0000-0000-000056A40000}"/>
    <cellStyle name="Remarque 3 3 6 7 3" xfId="21565" xr:uid="{00000000-0005-0000-0000-000057A40000}"/>
    <cellStyle name="Remarque 3 3 6 7 4" xfId="45525" xr:uid="{00000000-0005-0000-0000-000058A40000}"/>
    <cellStyle name="Remarque 3 3 6 8" xfId="10145" xr:uid="{00000000-0005-0000-0000-000059A40000}"/>
    <cellStyle name="Remarque 3 3 6 8 2" xfId="21410" xr:uid="{00000000-0005-0000-0000-00005AA40000}"/>
    <cellStyle name="Remarque 3 3 6 8 3" xfId="45370" xr:uid="{00000000-0005-0000-0000-00005BA40000}"/>
    <cellStyle name="Remarque 3 3 6 9" xfId="1770" xr:uid="{00000000-0005-0000-0000-00005CA40000}"/>
    <cellStyle name="Remarque 3 3 6 9 2" xfId="25784" xr:uid="{00000000-0005-0000-0000-00005DA40000}"/>
    <cellStyle name="Remarque 3 3 6 9 3" xfId="49744" xr:uid="{00000000-0005-0000-0000-00005EA40000}"/>
    <cellStyle name="Remarque 3 3 7" xfId="619" xr:uid="{00000000-0005-0000-0000-00005FA40000}"/>
    <cellStyle name="Remarque 3 3 7 10" xfId="24651" xr:uid="{00000000-0005-0000-0000-000060A40000}"/>
    <cellStyle name="Remarque 3 3 7 10 2" xfId="48611" xr:uid="{00000000-0005-0000-0000-000061A40000}"/>
    <cellStyle name="Remarque 3 3 7 11" xfId="36662" xr:uid="{00000000-0005-0000-0000-000062A40000}"/>
    <cellStyle name="Remarque 3 3 7 11 2" xfId="60622" xr:uid="{00000000-0005-0000-0000-000063A40000}"/>
    <cellStyle name="Remarque 3 3 7 12" xfId="13316" xr:uid="{00000000-0005-0000-0000-000064A40000}"/>
    <cellStyle name="Remarque 3 3 7 13" xfId="37276" xr:uid="{00000000-0005-0000-0000-000065A40000}"/>
    <cellStyle name="Remarque 3 3 7 2" xfId="3525" xr:uid="{00000000-0005-0000-0000-000066A40000}"/>
    <cellStyle name="Remarque 3 3 7 2 2" xfId="27539" xr:uid="{00000000-0005-0000-0000-000067A40000}"/>
    <cellStyle name="Remarque 3 3 7 2 2 2" xfId="51499" xr:uid="{00000000-0005-0000-0000-000068A40000}"/>
    <cellStyle name="Remarque 3 3 7 2 3" xfId="14786" xr:uid="{00000000-0005-0000-0000-000069A40000}"/>
    <cellStyle name="Remarque 3 3 7 2 4" xfId="38746" xr:uid="{00000000-0005-0000-0000-00006AA40000}"/>
    <cellStyle name="Remarque 3 3 7 3" xfId="4959" xr:uid="{00000000-0005-0000-0000-00006BA40000}"/>
    <cellStyle name="Remarque 3 3 7 3 2" xfId="28973" xr:uid="{00000000-0005-0000-0000-00006CA40000}"/>
    <cellStyle name="Remarque 3 3 7 3 2 2" xfId="52933" xr:uid="{00000000-0005-0000-0000-00006DA40000}"/>
    <cellStyle name="Remarque 3 3 7 3 3" xfId="16220" xr:uid="{00000000-0005-0000-0000-00006EA40000}"/>
    <cellStyle name="Remarque 3 3 7 3 4" xfId="40180" xr:uid="{00000000-0005-0000-0000-00006FA40000}"/>
    <cellStyle name="Remarque 3 3 7 4" xfId="6353" xr:uid="{00000000-0005-0000-0000-000070A40000}"/>
    <cellStyle name="Remarque 3 3 7 4 2" xfId="30367" xr:uid="{00000000-0005-0000-0000-000071A40000}"/>
    <cellStyle name="Remarque 3 3 7 4 2 2" xfId="54327" xr:uid="{00000000-0005-0000-0000-000072A40000}"/>
    <cellStyle name="Remarque 3 3 7 4 3" xfId="17614" xr:uid="{00000000-0005-0000-0000-000073A40000}"/>
    <cellStyle name="Remarque 3 3 7 4 4" xfId="41574" xr:uid="{00000000-0005-0000-0000-000074A40000}"/>
    <cellStyle name="Remarque 3 3 7 5" xfId="7741" xr:uid="{00000000-0005-0000-0000-000075A40000}"/>
    <cellStyle name="Remarque 3 3 7 5 2" xfId="31755" xr:uid="{00000000-0005-0000-0000-000076A40000}"/>
    <cellStyle name="Remarque 3 3 7 5 2 2" xfId="55715" xr:uid="{00000000-0005-0000-0000-000077A40000}"/>
    <cellStyle name="Remarque 3 3 7 5 3" xfId="19002" xr:uid="{00000000-0005-0000-0000-000078A40000}"/>
    <cellStyle name="Remarque 3 3 7 5 4" xfId="42962" xr:uid="{00000000-0005-0000-0000-000079A40000}"/>
    <cellStyle name="Remarque 3 3 7 6" xfId="9126" xr:uid="{00000000-0005-0000-0000-00007AA40000}"/>
    <cellStyle name="Remarque 3 3 7 6 2" xfId="33140" xr:uid="{00000000-0005-0000-0000-00007BA40000}"/>
    <cellStyle name="Remarque 3 3 7 6 2 2" xfId="57100" xr:uid="{00000000-0005-0000-0000-00007CA40000}"/>
    <cellStyle name="Remarque 3 3 7 6 3" xfId="20387" xr:uid="{00000000-0005-0000-0000-00007DA40000}"/>
    <cellStyle name="Remarque 3 3 7 6 4" xfId="44347" xr:uid="{00000000-0005-0000-0000-00007EA40000}"/>
    <cellStyle name="Remarque 3 3 7 7" xfId="10583" xr:uid="{00000000-0005-0000-0000-00007FA40000}"/>
    <cellStyle name="Remarque 3 3 7 7 2" xfId="34593" xr:uid="{00000000-0005-0000-0000-000080A40000}"/>
    <cellStyle name="Remarque 3 3 7 7 2 2" xfId="58553" xr:uid="{00000000-0005-0000-0000-000081A40000}"/>
    <cellStyle name="Remarque 3 3 7 7 3" xfId="21850" xr:uid="{00000000-0005-0000-0000-000082A40000}"/>
    <cellStyle name="Remarque 3 3 7 7 4" xfId="45810" xr:uid="{00000000-0005-0000-0000-000083A40000}"/>
    <cellStyle name="Remarque 3 3 7 8" xfId="11675" xr:uid="{00000000-0005-0000-0000-000084A40000}"/>
    <cellStyle name="Remarque 3 3 7 8 2" xfId="22944" xr:uid="{00000000-0005-0000-0000-000085A40000}"/>
    <cellStyle name="Remarque 3 3 7 8 3" xfId="46904" xr:uid="{00000000-0005-0000-0000-000086A40000}"/>
    <cellStyle name="Remarque 3 3 7 9" xfId="2055" xr:uid="{00000000-0005-0000-0000-000087A40000}"/>
    <cellStyle name="Remarque 3 3 7 9 2" xfId="26069" xr:uid="{00000000-0005-0000-0000-000088A40000}"/>
    <cellStyle name="Remarque 3 3 7 9 3" xfId="50029" xr:uid="{00000000-0005-0000-0000-000089A40000}"/>
    <cellStyle name="Remarque 3 3 8" xfId="813" xr:uid="{00000000-0005-0000-0000-00008AA40000}"/>
    <cellStyle name="Remarque 3 3 8 10" xfId="24845" xr:uid="{00000000-0005-0000-0000-00008BA40000}"/>
    <cellStyle name="Remarque 3 3 8 10 2" xfId="48805" xr:uid="{00000000-0005-0000-0000-00008CA40000}"/>
    <cellStyle name="Remarque 3 3 8 11" xfId="36593" xr:uid="{00000000-0005-0000-0000-00008DA40000}"/>
    <cellStyle name="Remarque 3 3 8 11 2" xfId="60553" xr:uid="{00000000-0005-0000-0000-00008EA40000}"/>
    <cellStyle name="Remarque 3 3 8 12" xfId="13510" xr:uid="{00000000-0005-0000-0000-00008FA40000}"/>
    <cellStyle name="Remarque 3 3 8 13" xfId="37470" xr:uid="{00000000-0005-0000-0000-000090A40000}"/>
    <cellStyle name="Remarque 3 3 8 2" xfId="3719" xr:uid="{00000000-0005-0000-0000-000091A40000}"/>
    <cellStyle name="Remarque 3 3 8 2 2" xfId="27733" xr:uid="{00000000-0005-0000-0000-000092A40000}"/>
    <cellStyle name="Remarque 3 3 8 2 2 2" xfId="51693" xr:uid="{00000000-0005-0000-0000-000093A40000}"/>
    <cellStyle name="Remarque 3 3 8 2 3" xfId="14980" xr:uid="{00000000-0005-0000-0000-000094A40000}"/>
    <cellStyle name="Remarque 3 3 8 2 4" xfId="38940" xr:uid="{00000000-0005-0000-0000-000095A40000}"/>
    <cellStyle name="Remarque 3 3 8 3" xfId="5153" xr:uid="{00000000-0005-0000-0000-000096A40000}"/>
    <cellStyle name="Remarque 3 3 8 3 2" xfId="29167" xr:uid="{00000000-0005-0000-0000-000097A40000}"/>
    <cellStyle name="Remarque 3 3 8 3 2 2" xfId="53127" xr:uid="{00000000-0005-0000-0000-000098A40000}"/>
    <cellStyle name="Remarque 3 3 8 3 3" xfId="16414" xr:uid="{00000000-0005-0000-0000-000099A40000}"/>
    <cellStyle name="Remarque 3 3 8 3 4" xfId="40374" xr:uid="{00000000-0005-0000-0000-00009AA40000}"/>
    <cellStyle name="Remarque 3 3 8 4" xfId="6547" xr:uid="{00000000-0005-0000-0000-00009BA40000}"/>
    <cellStyle name="Remarque 3 3 8 4 2" xfId="30561" xr:uid="{00000000-0005-0000-0000-00009CA40000}"/>
    <cellStyle name="Remarque 3 3 8 4 2 2" xfId="54521" xr:uid="{00000000-0005-0000-0000-00009DA40000}"/>
    <cellStyle name="Remarque 3 3 8 4 3" xfId="17808" xr:uid="{00000000-0005-0000-0000-00009EA40000}"/>
    <cellStyle name="Remarque 3 3 8 4 4" xfId="41768" xr:uid="{00000000-0005-0000-0000-00009FA40000}"/>
    <cellStyle name="Remarque 3 3 8 5" xfId="7935" xr:uid="{00000000-0005-0000-0000-0000A0A40000}"/>
    <cellStyle name="Remarque 3 3 8 5 2" xfId="31949" xr:uid="{00000000-0005-0000-0000-0000A1A40000}"/>
    <cellStyle name="Remarque 3 3 8 5 2 2" xfId="55909" xr:uid="{00000000-0005-0000-0000-0000A2A40000}"/>
    <cellStyle name="Remarque 3 3 8 5 3" xfId="19196" xr:uid="{00000000-0005-0000-0000-0000A3A40000}"/>
    <cellStyle name="Remarque 3 3 8 5 4" xfId="43156" xr:uid="{00000000-0005-0000-0000-0000A4A40000}"/>
    <cellStyle name="Remarque 3 3 8 6" xfId="9320" xr:uid="{00000000-0005-0000-0000-0000A5A40000}"/>
    <cellStyle name="Remarque 3 3 8 6 2" xfId="33334" xr:uid="{00000000-0005-0000-0000-0000A6A40000}"/>
    <cellStyle name="Remarque 3 3 8 6 2 2" xfId="57294" xr:uid="{00000000-0005-0000-0000-0000A7A40000}"/>
    <cellStyle name="Remarque 3 3 8 6 3" xfId="20581" xr:uid="{00000000-0005-0000-0000-0000A8A40000}"/>
    <cellStyle name="Remarque 3 3 8 6 4" xfId="44541" xr:uid="{00000000-0005-0000-0000-0000A9A40000}"/>
    <cellStyle name="Remarque 3 3 8 7" xfId="10777" xr:uid="{00000000-0005-0000-0000-0000AAA40000}"/>
    <cellStyle name="Remarque 3 3 8 7 2" xfId="34787" xr:uid="{00000000-0005-0000-0000-0000ABA40000}"/>
    <cellStyle name="Remarque 3 3 8 7 2 2" xfId="58747" xr:uid="{00000000-0005-0000-0000-0000ACA40000}"/>
    <cellStyle name="Remarque 3 3 8 7 3" xfId="22044" xr:uid="{00000000-0005-0000-0000-0000ADA40000}"/>
    <cellStyle name="Remarque 3 3 8 7 4" xfId="46004" xr:uid="{00000000-0005-0000-0000-0000AEA40000}"/>
    <cellStyle name="Remarque 3 3 8 8" xfId="10191" xr:uid="{00000000-0005-0000-0000-0000AFA40000}"/>
    <cellStyle name="Remarque 3 3 8 8 2" xfId="21456" xr:uid="{00000000-0005-0000-0000-0000B0A40000}"/>
    <cellStyle name="Remarque 3 3 8 8 3" xfId="45416" xr:uid="{00000000-0005-0000-0000-0000B1A40000}"/>
    <cellStyle name="Remarque 3 3 8 9" xfId="2249" xr:uid="{00000000-0005-0000-0000-0000B2A40000}"/>
    <cellStyle name="Remarque 3 3 8 9 2" xfId="26263" xr:uid="{00000000-0005-0000-0000-0000B3A40000}"/>
    <cellStyle name="Remarque 3 3 8 9 3" xfId="50223" xr:uid="{00000000-0005-0000-0000-0000B4A40000}"/>
    <cellStyle name="Remarque 3 3 9" xfId="1007" xr:uid="{00000000-0005-0000-0000-0000B5A40000}"/>
    <cellStyle name="Remarque 3 3 9 10" xfId="25039" xr:uid="{00000000-0005-0000-0000-0000B6A40000}"/>
    <cellStyle name="Remarque 3 3 9 10 2" xfId="48999" xr:uid="{00000000-0005-0000-0000-0000B7A40000}"/>
    <cellStyle name="Remarque 3 3 9 11" xfId="36394" xr:uid="{00000000-0005-0000-0000-0000B8A40000}"/>
    <cellStyle name="Remarque 3 3 9 11 2" xfId="60354" xr:uid="{00000000-0005-0000-0000-0000B9A40000}"/>
    <cellStyle name="Remarque 3 3 9 12" xfId="13704" xr:uid="{00000000-0005-0000-0000-0000BAA40000}"/>
    <cellStyle name="Remarque 3 3 9 13" xfId="37664" xr:uid="{00000000-0005-0000-0000-0000BBA40000}"/>
    <cellStyle name="Remarque 3 3 9 2" xfId="3913" xr:uid="{00000000-0005-0000-0000-0000BCA40000}"/>
    <cellStyle name="Remarque 3 3 9 2 2" xfId="27927" xr:uid="{00000000-0005-0000-0000-0000BDA40000}"/>
    <cellStyle name="Remarque 3 3 9 2 2 2" xfId="51887" xr:uid="{00000000-0005-0000-0000-0000BEA40000}"/>
    <cellStyle name="Remarque 3 3 9 2 3" xfId="15174" xr:uid="{00000000-0005-0000-0000-0000BFA40000}"/>
    <cellStyle name="Remarque 3 3 9 2 4" xfId="39134" xr:uid="{00000000-0005-0000-0000-0000C0A40000}"/>
    <cellStyle name="Remarque 3 3 9 3" xfId="5347" xr:uid="{00000000-0005-0000-0000-0000C1A40000}"/>
    <cellStyle name="Remarque 3 3 9 3 2" xfId="29361" xr:uid="{00000000-0005-0000-0000-0000C2A40000}"/>
    <cellStyle name="Remarque 3 3 9 3 2 2" xfId="53321" xr:uid="{00000000-0005-0000-0000-0000C3A40000}"/>
    <cellStyle name="Remarque 3 3 9 3 3" xfId="16608" xr:uid="{00000000-0005-0000-0000-0000C4A40000}"/>
    <cellStyle name="Remarque 3 3 9 3 4" xfId="40568" xr:uid="{00000000-0005-0000-0000-0000C5A40000}"/>
    <cellStyle name="Remarque 3 3 9 4" xfId="6741" xr:uid="{00000000-0005-0000-0000-0000C6A40000}"/>
    <cellStyle name="Remarque 3 3 9 4 2" xfId="30755" xr:uid="{00000000-0005-0000-0000-0000C7A40000}"/>
    <cellStyle name="Remarque 3 3 9 4 2 2" xfId="54715" xr:uid="{00000000-0005-0000-0000-0000C8A40000}"/>
    <cellStyle name="Remarque 3 3 9 4 3" xfId="18002" xr:uid="{00000000-0005-0000-0000-0000C9A40000}"/>
    <cellStyle name="Remarque 3 3 9 4 4" xfId="41962" xr:uid="{00000000-0005-0000-0000-0000CAA40000}"/>
    <cellStyle name="Remarque 3 3 9 5" xfId="8129" xr:uid="{00000000-0005-0000-0000-0000CBA40000}"/>
    <cellStyle name="Remarque 3 3 9 5 2" xfId="32143" xr:uid="{00000000-0005-0000-0000-0000CCA40000}"/>
    <cellStyle name="Remarque 3 3 9 5 2 2" xfId="56103" xr:uid="{00000000-0005-0000-0000-0000CDA40000}"/>
    <cellStyle name="Remarque 3 3 9 5 3" xfId="19390" xr:uid="{00000000-0005-0000-0000-0000CEA40000}"/>
    <cellStyle name="Remarque 3 3 9 5 4" xfId="43350" xr:uid="{00000000-0005-0000-0000-0000CFA40000}"/>
    <cellStyle name="Remarque 3 3 9 6" xfId="9514" xr:uid="{00000000-0005-0000-0000-0000D0A40000}"/>
    <cellStyle name="Remarque 3 3 9 6 2" xfId="33528" xr:uid="{00000000-0005-0000-0000-0000D1A40000}"/>
    <cellStyle name="Remarque 3 3 9 6 2 2" xfId="57488" xr:uid="{00000000-0005-0000-0000-0000D2A40000}"/>
    <cellStyle name="Remarque 3 3 9 6 3" xfId="20775" xr:uid="{00000000-0005-0000-0000-0000D3A40000}"/>
    <cellStyle name="Remarque 3 3 9 6 4" xfId="44735" xr:uid="{00000000-0005-0000-0000-0000D4A40000}"/>
    <cellStyle name="Remarque 3 3 9 7" xfId="10971" xr:uid="{00000000-0005-0000-0000-0000D5A40000}"/>
    <cellStyle name="Remarque 3 3 9 7 2" xfId="34981" xr:uid="{00000000-0005-0000-0000-0000D6A40000}"/>
    <cellStyle name="Remarque 3 3 9 7 2 2" xfId="58941" xr:uid="{00000000-0005-0000-0000-0000D7A40000}"/>
    <cellStyle name="Remarque 3 3 9 7 3" xfId="22238" xr:uid="{00000000-0005-0000-0000-0000D8A40000}"/>
    <cellStyle name="Remarque 3 3 9 7 4" xfId="46198" xr:uid="{00000000-0005-0000-0000-0000D9A40000}"/>
    <cellStyle name="Remarque 3 3 9 8" xfId="12896" xr:uid="{00000000-0005-0000-0000-0000DAA40000}"/>
    <cellStyle name="Remarque 3 3 9 8 2" xfId="24209" xr:uid="{00000000-0005-0000-0000-0000DBA40000}"/>
    <cellStyle name="Remarque 3 3 9 8 3" xfId="48169" xr:uid="{00000000-0005-0000-0000-0000DCA40000}"/>
    <cellStyle name="Remarque 3 3 9 9" xfId="2443" xr:uid="{00000000-0005-0000-0000-0000DDA40000}"/>
    <cellStyle name="Remarque 3 3 9 9 2" xfId="26457" xr:uid="{00000000-0005-0000-0000-0000DEA40000}"/>
    <cellStyle name="Remarque 3 3 9 9 3" xfId="50417" xr:uid="{00000000-0005-0000-0000-0000DFA40000}"/>
    <cellStyle name="Remarque 3 4" xfId="59" xr:uid="{00000000-0005-0000-0000-0000E0A40000}"/>
    <cellStyle name="Remarque 3 4 10" xfId="1203" xr:uid="{00000000-0005-0000-0000-0000E1A40000}"/>
    <cellStyle name="Remarque 3 4 10 10" xfId="25235" xr:uid="{00000000-0005-0000-0000-0000E2A40000}"/>
    <cellStyle name="Remarque 3 4 10 10 2" xfId="49195" xr:uid="{00000000-0005-0000-0000-0000E3A40000}"/>
    <cellStyle name="Remarque 3 4 10 11" xfId="36222" xr:uid="{00000000-0005-0000-0000-0000E4A40000}"/>
    <cellStyle name="Remarque 3 4 10 11 2" xfId="60182" xr:uid="{00000000-0005-0000-0000-0000E5A40000}"/>
    <cellStyle name="Remarque 3 4 10 12" xfId="13900" xr:uid="{00000000-0005-0000-0000-0000E6A40000}"/>
    <cellStyle name="Remarque 3 4 10 13" xfId="37860" xr:uid="{00000000-0005-0000-0000-0000E7A40000}"/>
    <cellStyle name="Remarque 3 4 10 2" xfId="4109" xr:uid="{00000000-0005-0000-0000-0000E8A40000}"/>
    <cellStyle name="Remarque 3 4 10 2 2" xfId="28123" xr:uid="{00000000-0005-0000-0000-0000E9A40000}"/>
    <cellStyle name="Remarque 3 4 10 2 2 2" xfId="52083" xr:uid="{00000000-0005-0000-0000-0000EAA40000}"/>
    <cellStyle name="Remarque 3 4 10 2 3" xfId="15370" xr:uid="{00000000-0005-0000-0000-0000EBA40000}"/>
    <cellStyle name="Remarque 3 4 10 2 4" xfId="39330" xr:uid="{00000000-0005-0000-0000-0000ECA40000}"/>
    <cellStyle name="Remarque 3 4 10 3" xfId="5543" xr:uid="{00000000-0005-0000-0000-0000EDA40000}"/>
    <cellStyle name="Remarque 3 4 10 3 2" xfId="29557" xr:uid="{00000000-0005-0000-0000-0000EEA40000}"/>
    <cellStyle name="Remarque 3 4 10 3 2 2" xfId="53517" xr:uid="{00000000-0005-0000-0000-0000EFA40000}"/>
    <cellStyle name="Remarque 3 4 10 3 3" xfId="16804" xr:uid="{00000000-0005-0000-0000-0000F0A40000}"/>
    <cellStyle name="Remarque 3 4 10 3 4" xfId="40764" xr:uid="{00000000-0005-0000-0000-0000F1A40000}"/>
    <cellStyle name="Remarque 3 4 10 4" xfId="6937" xr:uid="{00000000-0005-0000-0000-0000F2A40000}"/>
    <cellStyle name="Remarque 3 4 10 4 2" xfId="30951" xr:uid="{00000000-0005-0000-0000-0000F3A40000}"/>
    <cellStyle name="Remarque 3 4 10 4 2 2" xfId="54911" xr:uid="{00000000-0005-0000-0000-0000F4A40000}"/>
    <cellStyle name="Remarque 3 4 10 4 3" xfId="18198" xr:uid="{00000000-0005-0000-0000-0000F5A40000}"/>
    <cellStyle name="Remarque 3 4 10 4 4" xfId="42158" xr:uid="{00000000-0005-0000-0000-0000F6A40000}"/>
    <cellStyle name="Remarque 3 4 10 5" xfId="8325" xr:uid="{00000000-0005-0000-0000-0000F7A40000}"/>
    <cellStyle name="Remarque 3 4 10 5 2" xfId="32339" xr:uid="{00000000-0005-0000-0000-0000F8A40000}"/>
    <cellStyle name="Remarque 3 4 10 5 2 2" xfId="56299" xr:uid="{00000000-0005-0000-0000-0000F9A40000}"/>
    <cellStyle name="Remarque 3 4 10 5 3" xfId="19586" xr:uid="{00000000-0005-0000-0000-0000FAA40000}"/>
    <cellStyle name="Remarque 3 4 10 5 4" xfId="43546" xr:uid="{00000000-0005-0000-0000-0000FBA40000}"/>
    <cellStyle name="Remarque 3 4 10 6" xfId="9710" xr:uid="{00000000-0005-0000-0000-0000FCA40000}"/>
    <cellStyle name="Remarque 3 4 10 6 2" xfId="33724" xr:uid="{00000000-0005-0000-0000-0000FDA40000}"/>
    <cellStyle name="Remarque 3 4 10 6 2 2" xfId="57684" xr:uid="{00000000-0005-0000-0000-0000FEA40000}"/>
    <cellStyle name="Remarque 3 4 10 6 3" xfId="20971" xr:uid="{00000000-0005-0000-0000-0000FFA40000}"/>
    <cellStyle name="Remarque 3 4 10 6 4" xfId="44931" xr:uid="{00000000-0005-0000-0000-000000A50000}"/>
    <cellStyle name="Remarque 3 4 10 7" xfId="11167" xr:uid="{00000000-0005-0000-0000-000001A50000}"/>
    <cellStyle name="Remarque 3 4 10 7 2" xfId="35177" xr:uid="{00000000-0005-0000-0000-000002A50000}"/>
    <cellStyle name="Remarque 3 4 10 7 2 2" xfId="59137" xr:uid="{00000000-0005-0000-0000-000003A50000}"/>
    <cellStyle name="Remarque 3 4 10 7 3" xfId="22434" xr:uid="{00000000-0005-0000-0000-000004A50000}"/>
    <cellStyle name="Remarque 3 4 10 7 4" xfId="46394" xr:uid="{00000000-0005-0000-0000-000005A50000}"/>
    <cellStyle name="Remarque 3 4 10 8" xfId="12009" xr:uid="{00000000-0005-0000-0000-000006A50000}"/>
    <cellStyle name="Remarque 3 4 10 8 2" xfId="23288" xr:uid="{00000000-0005-0000-0000-000007A50000}"/>
    <cellStyle name="Remarque 3 4 10 8 3" xfId="47248" xr:uid="{00000000-0005-0000-0000-000008A50000}"/>
    <cellStyle name="Remarque 3 4 10 9" xfId="2639" xr:uid="{00000000-0005-0000-0000-000009A50000}"/>
    <cellStyle name="Remarque 3 4 10 9 2" xfId="26653" xr:uid="{00000000-0005-0000-0000-00000AA50000}"/>
    <cellStyle name="Remarque 3 4 10 9 3" xfId="50613" xr:uid="{00000000-0005-0000-0000-00000BA50000}"/>
    <cellStyle name="Remarque 3 4 11" xfId="1194" xr:uid="{00000000-0005-0000-0000-00000CA50000}"/>
    <cellStyle name="Remarque 3 4 11 10" xfId="25226" xr:uid="{00000000-0005-0000-0000-00000DA50000}"/>
    <cellStyle name="Remarque 3 4 11 10 2" xfId="49186" xr:uid="{00000000-0005-0000-0000-00000EA50000}"/>
    <cellStyle name="Remarque 3 4 11 11" xfId="36601" xr:uid="{00000000-0005-0000-0000-00000FA50000}"/>
    <cellStyle name="Remarque 3 4 11 11 2" xfId="60561" xr:uid="{00000000-0005-0000-0000-000010A50000}"/>
    <cellStyle name="Remarque 3 4 11 12" xfId="13891" xr:uid="{00000000-0005-0000-0000-000011A50000}"/>
    <cellStyle name="Remarque 3 4 11 13" xfId="37851" xr:uid="{00000000-0005-0000-0000-000012A50000}"/>
    <cellStyle name="Remarque 3 4 11 2" xfId="4100" xr:uid="{00000000-0005-0000-0000-000013A50000}"/>
    <cellStyle name="Remarque 3 4 11 2 2" xfId="28114" xr:uid="{00000000-0005-0000-0000-000014A50000}"/>
    <cellStyle name="Remarque 3 4 11 2 2 2" xfId="52074" xr:uid="{00000000-0005-0000-0000-000015A50000}"/>
    <cellStyle name="Remarque 3 4 11 2 3" xfId="15361" xr:uid="{00000000-0005-0000-0000-000016A50000}"/>
    <cellStyle name="Remarque 3 4 11 2 4" xfId="39321" xr:uid="{00000000-0005-0000-0000-000017A50000}"/>
    <cellStyle name="Remarque 3 4 11 3" xfId="5534" xr:uid="{00000000-0005-0000-0000-000018A50000}"/>
    <cellStyle name="Remarque 3 4 11 3 2" xfId="29548" xr:uid="{00000000-0005-0000-0000-000019A50000}"/>
    <cellStyle name="Remarque 3 4 11 3 2 2" xfId="53508" xr:uid="{00000000-0005-0000-0000-00001AA50000}"/>
    <cellStyle name="Remarque 3 4 11 3 3" xfId="16795" xr:uid="{00000000-0005-0000-0000-00001BA50000}"/>
    <cellStyle name="Remarque 3 4 11 3 4" xfId="40755" xr:uid="{00000000-0005-0000-0000-00001CA50000}"/>
    <cellStyle name="Remarque 3 4 11 4" xfId="6928" xr:uid="{00000000-0005-0000-0000-00001DA50000}"/>
    <cellStyle name="Remarque 3 4 11 4 2" xfId="30942" xr:uid="{00000000-0005-0000-0000-00001EA50000}"/>
    <cellStyle name="Remarque 3 4 11 4 2 2" xfId="54902" xr:uid="{00000000-0005-0000-0000-00001FA50000}"/>
    <cellStyle name="Remarque 3 4 11 4 3" xfId="18189" xr:uid="{00000000-0005-0000-0000-000020A50000}"/>
    <cellStyle name="Remarque 3 4 11 4 4" xfId="42149" xr:uid="{00000000-0005-0000-0000-000021A50000}"/>
    <cellStyle name="Remarque 3 4 11 5" xfId="8316" xr:uid="{00000000-0005-0000-0000-000022A50000}"/>
    <cellStyle name="Remarque 3 4 11 5 2" xfId="32330" xr:uid="{00000000-0005-0000-0000-000023A50000}"/>
    <cellStyle name="Remarque 3 4 11 5 2 2" xfId="56290" xr:uid="{00000000-0005-0000-0000-000024A50000}"/>
    <cellStyle name="Remarque 3 4 11 5 3" xfId="19577" xr:uid="{00000000-0005-0000-0000-000025A50000}"/>
    <cellStyle name="Remarque 3 4 11 5 4" xfId="43537" xr:uid="{00000000-0005-0000-0000-000026A50000}"/>
    <cellStyle name="Remarque 3 4 11 6" xfId="9701" xr:uid="{00000000-0005-0000-0000-000027A50000}"/>
    <cellStyle name="Remarque 3 4 11 6 2" xfId="33715" xr:uid="{00000000-0005-0000-0000-000028A50000}"/>
    <cellStyle name="Remarque 3 4 11 6 2 2" xfId="57675" xr:uid="{00000000-0005-0000-0000-000029A50000}"/>
    <cellStyle name="Remarque 3 4 11 6 3" xfId="20962" xr:uid="{00000000-0005-0000-0000-00002AA50000}"/>
    <cellStyle name="Remarque 3 4 11 6 4" xfId="44922" xr:uid="{00000000-0005-0000-0000-00002BA50000}"/>
    <cellStyle name="Remarque 3 4 11 7" xfId="11158" xr:uid="{00000000-0005-0000-0000-00002CA50000}"/>
    <cellStyle name="Remarque 3 4 11 7 2" xfId="35168" xr:uid="{00000000-0005-0000-0000-00002DA50000}"/>
    <cellStyle name="Remarque 3 4 11 7 2 2" xfId="59128" xr:uid="{00000000-0005-0000-0000-00002EA50000}"/>
    <cellStyle name="Remarque 3 4 11 7 3" xfId="22425" xr:uid="{00000000-0005-0000-0000-00002FA50000}"/>
    <cellStyle name="Remarque 3 4 11 7 4" xfId="46385" xr:uid="{00000000-0005-0000-0000-000030A50000}"/>
    <cellStyle name="Remarque 3 4 11 8" xfId="12593" xr:uid="{00000000-0005-0000-0000-000031A50000}"/>
    <cellStyle name="Remarque 3 4 11 8 2" xfId="23894" xr:uid="{00000000-0005-0000-0000-000032A50000}"/>
    <cellStyle name="Remarque 3 4 11 8 3" xfId="47854" xr:uid="{00000000-0005-0000-0000-000033A50000}"/>
    <cellStyle name="Remarque 3 4 11 9" xfId="2630" xr:uid="{00000000-0005-0000-0000-000034A50000}"/>
    <cellStyle name="Remarque 3 4 11 9 2" xfId="26644" xr:uid="{00000000-0005-0000-0000-000035A50000}"/>
    <cellStyle name="Remarque 3 4 11 9 3" xfId="50604" xr:uid="{00000000-0005-0000-0000-000036A50000}"/>
    <cellStyle name="Remarque 3 4 12" xfId="1564" xr:uid="{00000000-0005-0000-0000-000037A50000}"/>
    <cellStyle name="Remarque 3 4 12 10" xfId="25596" xr:uid="{00000000-0005-0000-0000-000038A50000}"/>
    <cellStyle name="Remarque 3 4 12 10 2" xfId="49556" xr:uid="{00000000-0005-0000-0000-000039A50000}"/>
    <cellStyle name="Remarque 3 4 12 11" xfId="24014" xr:uid="{00000000-0005-0000-0000-00003AA50000}"/>
    <cellStyle name="Remarque 3 4 12 11 2" xfId="47974" xr:uid="{00000000-0005-0000-0000-00003BA50000}"/>
    <cellStyle name="Remarque 3 4 12 12" xfId="14261" xr:uid="{00000000-0005-0000-0000-00003CA50000}"/>
    <cellStyle name="Remarque 3 4 12 13" xfId="38221" xr:uid="{00000000-0005-0000-0000-00003DA50000}"/>
    <cellStyle name="Remarque 3 4 12 2" xfId="4470" xr:uid="{00000000-0005-0000-0000-00003EA50000}"/>
    <cellStyle name="Remarque 3 4 12 2 2" xfId="28484" xr:uid="{00000000-0005-0000-0000-00003FA50000}"/>
    <cellStyle name="Remarque 3 4 12 2 2 2" xfId="52444" xr:uid="{00000000-0005-0000-0000-000040A50000}"/>
    <cellStyle name="Remarque 3 4 12 2 3" xfId="15731" xr:uid="{00000000-0005-0000-0000-000041A50000}"/>
    <cellStyle name="Remarque 3 4 12 2 4" xfId="39691" xr:uid="{00000000-0005-0000-0000-000042A50000}"/>
    <cellStyle name="Remarque 3 4 12 3" xfId="5904" xr:uid="{00000000-0005-0000-0000-000043A50000}"/>
    <cellStyle name="Remarque 3 4 12 3 2" xfId="29918" xr:uid="{00000000-0005-0000-0000-000044A50000}"/>
    <cellStyle name="Remarque 3 4 12 3 2 2" xfId="53878" xr:uid="{00000000-0005-0000-0000-000045A50000}"/>
    <cellStyle name="Remarque 3 4 12 3 3" xfId="17165" xr:uid="{00000000-0005-0000-0000-000046A50000}"/>
    <cellStyle name="Remarque 3 4 12 3 4" xfId="41125" xr:uid="{00000000-0005-0000-0000-000047A50000}"/>
    <cellStyle name="Remarque 3 4 12 4" xfId="7298" xr:uid="{00000000-0005-0000-0000-000048A50000}"/>
    <cellStyle name="Remarque 3 4 12 4 2" xfId="31312" xr:uid="{00000000-0005-0000-0000-000049A50000}"/>
    <cellStyle name="Remarque 3 4 12 4 2 2" xfId="55272" xr:uid="{00000000-0005-0000-0000-00004AA50000}"/>
    <cellStyle name="Remarque 3 4 12 4 3" xfId="18559" xr:uid="{00000000-0005-0000-0000-00004BA50000}"/>
    <cellStyle name="Remarque 3 4 12 4 4" xfId="42519" xr:uid="{00000000-0005-0000-0000-00004CA50000}"/>
    <cellStyle name="Remarque 3 4 12 5" xfId="8686" xr:uid="{00000000-0005-0000-0000-00004DA50000}"/>
    <cellStyle name="Remarque 3 4 12 5 2" xfId="32700" xr:uid="{00000000-0005-0000-0000-00004EA50000}"/>
    <cellStyle name="Remarque 3 4 12 5 2 2" xfId="56660" xr:uid="{00000000-0005-0000-0000-00004FA50000}"/>
    <cellStyle name="Remarque 3 4 12 5 3" xfId="19947" xr:uid="{00000000-0005-0000-0000-000050A50000}"/>
    <cellStyle name="Remarque 3 4 12 5 4" xfId="43907" xr:uid="{00000000-0005-0000-0000-000051A50000}"/>
    <cellStyle name="Remarque 3 4 12 6" xfId="10071" xr:uid="{00000000-0005-0000-0000-000052A50000}"/>
    <cellStyle name="Remarque 3 4 12 6 2" xfId="34085" xr:uid="{00000000-0005-0000-0000-000053A50000}"/>
    <cellStyle name="Remarque 3 4 12 6 2 2" xfId="58045" xr:uid="{00000000-0005-0000-0000-000054A50000}"/>
    <cellStyle name="Remarque 3 4 12 6 3" xfId="21332" xr:uid="{00000000-0005-0000-0000-000055A50000}"/>
    <cellStyle name="Remarque 3 4 12 6 4" xfId="45292" xr:uid="{00000000-0005-0000-0000-000056A50000}"/>
    <cellStyle name="Remarque 3 4 12 7" xfId="11528" xr:uid="{00000000-0005-0000-0000-000057A50000}"/>
    <cellStyle name="Remarque 3 4 12 7 2" xfId="35538" xr:uid="{00000000-0005-0000-0000-000058A50000}"/>
    <cellStyle name="Remarque 3 4 12 7 2 2" xfId="59498" xr:uid="{00000000-0005-0000-0000-000059A50000}"/>
    <cellStyle name="Remarque 3 4 12 7 3" xfId="22795" xr:uid="{00000000-0005-0000-0000-00005AA50000}"/>
    <cellStyle name="Remarque 3 4 12 7 4" xfId="46755" xr:uid="{00000000-0005-0000-0000-00005BA50000}"/>
    <cellStyle name="Remarque 3 4 12 8" xfId="12872" xr:uid="{00000000-0005-0000-0000-00005CA50000}"/>
    <cellStyle name="Remarque 3 4 12 8 2" xfId="24184" xr:uid="{00000000-0005-0000-0000-00005DA50000}"/>
    <cellStyle name="Remarque 3 4 12 8 3" xfId="48144" xr:uid="{00000000-0005-0000-0000-00005EA50000}"/>
    <cellStyle name="Remarque 3 4 12 9" xfId="3000" xr:uid="{00000000-0005-0000-0000-00005FA50000}"/>
    <cellStyle name="Remarque 3 4 12 9 2" xfId="27014" xr:uid="{00000000-0005-0000-0000-000060A50000}"/>
    <cellStyle name="Remarque 3 4 12 9 3" xfId="50974" xr:uid="{00000000-0005-0000-0000-000061A50000}"/>
    <cellStyle name="Remarque 3 4 13" xfId="207" xr:uid="{00000000-0005-0000-0000-000062A50000}"/>
    <cellStyle name="Remarque 3 4 13 10" xfId="36476" xr:uid="{00000000-0005-0000-0000-000063A50000}"/>
    <cellStyle name="Remarque 3 4 13 10 2" xfId="60436" xr:uid="{00000000-0005-0000-0000-000064A50000}"/>
    <cellStyle name="Remarque 3 4 13 11" xfId="14374" xr:uid="{00000000-0005-0000-0000-000065A50000}"/>
    <cellStyle name="Remarque 3 4 13 12" xfId="38334" xr:uid="{00000000-0005-0000-0000-000066A50000}"/>
    <cellStyle name="Remarque 3 4 13 2" xfId="4552" xr:uid="{00000000-0005-0000-0000-000067A50000}"/>
    <cellStyle name="Remarque 3 4 13 2 2" xfId="28566" xr:uid="{00000000-0005-0000-0000-000068A50000}"/>
    <cellStyle name="Remarque 3 4 13 2 2 2" xfId="52526" xr:uid="{00000000-0005-0000-0000-000069A50000}"/>
    <cellStyle name="Remarque 3 4 13 2 3" xfId="15813" xr:uid="{00000000-0005-0000-0000-00006AA50000}"/>
    <cellStyle name="Remarque 3 4 13 2 4" xfId="39773" xr:uid="{00000000-0005-0000-0000-00006BA50000}"/>
    <cellStyle name="Remarque 3 4 13 3" xfId="5951" xr:uid="{00000000-0005-0000-0000-00006CA50000}"/>
    <cellStyle name="Remarque 3 4 13 3 2" xfId="29965" xr:uid="{00000000-0005-0000-0000-00006DA50000}"/>
    <cellStyle name="Remarque 3 4 13 3 2 2" xfId="53925" xr:uid="{00000000-0005-0000-0000-00006EA50000}"/>
    <cellStyle name="Remarque 3 4 13 3 3" xfId="17212" xr:uid="{00000000-0005-0000-0000-00006FA50000}"/>
    <cellStyle name="Remarque 3 4 13 3 4" xfId="41172" xr:uid="{00000000-0005-0000-0000-000070A50000}"/>
    <cellStyle name="Remarque 3 4 13 4" xfId="7345" xr:uid="{00000000-0005-0000-0000-000071A50000}"/>
    <cellStyle name="Remarque 3 4 13 4 2" xfId="31359" xr:uid="{00000000-0005-0000-0000-000072A50000}"/>
    <cellStyle name="Remarque 3 4 13 4 2 2" xfId="55319" xr:uid="{00000000-0005-0000-0000-000073A50000}"/>
    <cellStyle name="Remarque 3 4 13 4 3" xfId="18606" xr:uid="{00000000-0005-0000-0000-000074A50000}"/>
    <cellStyle name="Remarque 3 4 13 4 4" xfId="42566" xr:uid="{00000000-0005-0000-0000-000075A50000}"/>
    <cellStyle name="Remarque 3 4 13 5" xfId="8733" xr:uid="{00000000-0005-0000-0000-000076A50000}"/>
    <cellStyle name="Remarque 3 4 13 5 2" xfId="32747" xr:uid="{00000000-0005-0000-0000-000077A50000}"/>
    <cellStyle name="Remarque 3 4 13 5 2 2" xfId="56707" xr:uid="{00000000-0005-0000-0000-000078A50000}"/>
    <cellStyle name="Remarque 3 4 13 5 3" xfId="19994" xr:uid="{00000000-0005-0000-0000-000079A50000}"/>
    <cellStyle name="Remarque 3 4 13 5 4" xfId="43954" xr:uid="{00000000-0005-0000-0000-00007AA50000}"/>
    <cellStyle name="Remarque 3 4 13 6" xfId="10173" xr:uid="{00000000-0005-0000-0000-00007BA50000}"/>
    <cellStyle name="Remarque 3 4 13 6 2" xfId="34185" xr:uid="{00000000-0005-0000-0000-00007CA50000}"/>
    <cellStyle name="Remarque 3 4 13 6 2 2" xfId="58145" xr:uid="{00000000-0005-0000-0000-00007DA50000}"/>
    <cellStyle name="Remarque 3 4 13 6 3" xfId="21438" xr:uid="{00000000-0005-0000-0000-00007EA50000}"/>
    <cellStyle name="Remarque 3 4 13 6 4" xfId="45398" xr:uid="{00000000-0005-0000-0000-00007FA50000}"/>
    <cellStyle name="Remarque 3 4 13 7" xfId="12662" xr:uid="{00000000-0005-0000-0000-000080A50000}"/>
    <cellStyle name="Remarque 3 4 13 7 2" xfId="23967" xr:uid="{00000000-0005-0000-0000-000081A50000}"/>
    <cellStyle name="Remarque 3 4 13 7 3" xfId="47927" xr:uid="{00000000-0005-0000-0000-000082A50000}"/>
    <cellStyle name="Remarque 3 4 13 8" xfId="3113" xr:uid="{00000000-0005-0000-0000-000083A50000}"/>
    <cellStyle name="Remarque 3 4 13 8 2" xfId="27127" xr:uid="{00000000-0005-0000-0000-000084A50000}"/>
    <cellStyle name="Remarque 3 4 13 8 3" xfId="51087" xr:uid="{00000000-0005-0000-0000-000085A50000}"/>
    <cellStyle name="Remarque 3 4 13 9" xfId="24239" xr:uid="{00000000-0005-0000-0000-000086A50000}"/>
    <cellStyle name="Remarque 3 4 13 9 2" xfId="48199" xr:uid="{00000000-0005-0000-0000-000087A50000}"/>
    <cellStyle name="Remarque 3 4 14" xfId="3081" xr:uid="{00000000-0005-0000-0000-000088A50000}"/>
    <cellStyle name="Remarque 3 4 14 2" xfId="27095" xr:uid="{00000000-0005-0000-0000-000089A50000}"/>
    <cellStyle name="Remarque 3 4 14 2 2" xfId="51055" xr:uid="{00000000-0005-0000-0000-00008AA50000}"/>
    <cellStyle name="Remarque 3 4 14 3" xfId="14342" xr:uid="{00000000-0005-0000-0000-00008BA50000}"/>
    <cellStyle name="Remarque 3 4 14 4" xfId="38302" xr:uid="{00000000-0005-0000-0000-00008CA50000}"/>
    <cellStyle name="Remarque 3 4 15" xfId="1639" xr:uid="{00000000-0005-0000-0000-00008DA50000}"/>
    <cellStyle name="Remarque 3 4 15 2" xfId="25653" xr:uid="{00000000-0005-0000-0000-00008EA50000}"/>
    <cellStyle name="Remarque 3 4 15 3" xfId="49613" xr:uid="{00000000-0005-0000-0000-00008FA50000}"/>
    <cellStyle name="Remarque 3 4 16" xfId="12919" xr:uid="{00000000-0005-0000-0000-000090A50000}"/>
    <cellStyle name="Remarque 3 4 17" xfId="1630" xr:uid="{00000000-0005-0000-0000-000091A50000}"/>
    <cellStyle name="Remarque 3 4 18" xfId="175" xr:uid="{00000000-0005-0000-0000-000092A50000}"/>
    <cellStyle name="Remarque 3 4 2" xfId="73" xr:uid="{00000000-0005-0000-0000-000093A50000}"/>
    <cellStyle name="Remarque 3 4 2 10" xfId="1367" xr:uid="{00000000-0005-0000-0000-000094A50000}"/>
    <cellStyle name="Remarque 3 4 2 10 10" xfId="25399" xr:uid="{00000000-0005-0000-0000-000095A50000}"/>
    <cellStyle name="Remarque 3 4 2 10 10 2" xfId="49359" xr:uid="{00000000-0005-0000-0000-000096A50000}"/>
    <cellStyle name="Remarque 3 4 2 10 11" xfId="36419" xr:uid="{00000000-0005-0000-0000-000097A50000}"/>
    <cellStyle name="Remarque 3 4 2 10 11 2" xfId="60379" xr:uid="{00000000-0005-0000-0000-000098A50000}"/>
    <cellStyle name="Remarque 3 4 2 10 12" xfId="14064" xr:uid="{00000000-0005-0000-0000-000099A50000}"/>
    <cellStyle name="Remarque 3 4 2 10 13" xfId="38024" xr:uid="{00000000-0005-0000-0000-00009AA50000}"/>
    <cellStyle name="Remarque 3 4 2 10 2" xfId="4273" xr:uid="{00000000-0005-0000-0000-00009BA50000}"/>
    <cellStyle name="Remarque 3 4 2 10 2 2" xfId="28287" xr:uid="{00000000-0005-0000-0000-00009CA50000}"/>
    <cellStyle name="Remarque 3 4 2 10 2 2 2" xfId="52247" xr:uid="{00000000-0005-0000-0000-00009DA50000}"/>
    <cellStyle name="Remarque 3 4 2 10 2 3" xfId="15534" xr:uid="{00000000-0005-0000-0000-00009EA50000}"/>
    <cellStyle name="Remarque 3 4 2 10 2 4" xfId="39494" xr:uid="{00000000-0005-0000-0000-00009FA50000}"/>
    <cellStyle name="Remarque 3 4 2 10 3" xfId="5707" xr:uid="{00000000-0005-0000-0000-0000A0A50000}"/>
    <cellStyle name="Remarque 3 4 2 10 3 2" xfId="29721" xr:uid="{00000000-0005-0000-0000-0000A1A50000}"/>
    <cellStyle name="Remarque 3 4 2 10 3 2 2" xfId="53681" xr:uid="{00000000-0005-0000-0000-0000A2A50000}"/>
    <cellStyle name="Remarque 3 4 2 10 3 3" xfId="16968" xr:uid="{00000000-0005-0000-0000-0000A3A50000}"/>
    <cellStyle name="Remarque 3 4 2 10 3 4" xfId="40928" xr:uid="{00000000-0005-0000-0000-0000A4A50000}"/>
    <cellStyle name="Remarque 3 4 2 10 4" xfId="7101" xr:uid="{00000000-0005-0000-0000-0000A5A50000}"/>
    <cellStyle name="Remarque 3 4 2 10 4 2" xfId="31115" xr:uid="{00000000-0005-0000-0000-0000A6A50000}"/>
    <cellStyle name="Remarque 3 4 2 10 4 2 2" xfId="55075" xr:uid="{00000000-0005-0000-0000-0000A7A50000}"/>
    <cellStyle name="Remarque 3 4 2 10 4 3" xfId="18362" xr:uid="{00000000-0005-0000-0000-0000A8A50000}"/>
    <cellStyle name="Remarque 3 4 2 10 4 4" xfId="42322" xr:uid="{00000000-0005-0000-0000-0000A9A50000}"/>
    <cellStyle name="Remarque 3 4 2 10 5" xfId="8489" xr:uid="{00000000-0005-0000-0000-0000AAA50000}"/>
    <cellStyle name="Remarque 3 4 2 10 5 2" xfId="32503" xr:uid="{00000000-0005-0000-0000-0000ABA50000}"/>
    <cellStyle name="Remarque 3 4 2 10 5 2 2" xfId="56463" xr:uid="{00000000-0005-0000-0000-0000ACA50000}"/>
    <cellStyle name="Remarque 3 4 2 10 5 3" xfId="19750" xr:uid="{00000000-0005-0000-0000-0000ADA50000}"/>
    <cellStyle name="Remarque 3 4 2 10 5 4" xfId="43710" xr:uid="{00000000-0005-0000-0000-0000AEA50000}"/>
    <cellStyle name="Remarque 3 4 2 10 6" xfId="9874" xr:uid="{00000000-0005-0000-0000-0000AFA50000}"/>
    <cellStyle name="Remarque 3 4 2 10 6 2" xfId="33888" xr:uid="{00000000-0005-0000-0000-0000B0A50000}"/>
    <cellStyle name="Remarque 3 4 2 10 6 2 2" xfId="57848" xr:uid="{00000000-0005-0000-0000-0000B1A50000}"/>
    <cellStyle name="Remarque 3 4 2 10 6 3" xfId="21135" xr:uid="{00000000-0005-0000-0000-0000B2A50000}"/>
    <cellStyle name="Remarque 3 4 2 10 6 4" xfId="45095" xr:uid="{00000000-0005-0000-0000-0000B3A50000}"/>
    <cellStyle name="Remarque 3 4 2 10 7" xfId="11331" xr:uid="{00000000-0005-0000-0000-0000B4A50000}"/>
    <cellStyle name="Remarque 3 4 2 10 7 2" xfId="35341" xr:uid="{00000000-0005-0000-0000-0000B5A50000}"/>
    <cellStyle name="Remarque 3 4 2 10 7 2 2" xfId="59301" xr:uid="{00000000-0005-0000-0000-0000B6A50000}"/>
    <cellStyle name="Remarque 3 4 2 10 7 3" xfId="22598" xr:uid="{00000000-0005-0000-0000-0000B7A50000}"/>
    <cellStyle name="Remarque 3 4 2 10 7 4" xfId="46558" xr:uid="{00000000-0005-0000-0000-0000B8A50000}"/>
    <cellStyle name="Remarque 3 4 2 10 8" xfId="12469" xr:uid="{00000000-0005-0000-0000-0000B9A50000}"/>
    <cellStyle name="Remarque 3 4 2 10 8 2" xfId="23764" xr:uid="{00000000-0005-0000-0000-0000BAA50000}"/>
    <cellStyle name="Remarque 3 4 2 10 8 3" xfId="47724" xr:uid="{00000000-0005-0000-0000-0000BBA50000}"/>
    <cellStyle name="Remarque 3 4 2 10 9" xfId="2803" xr:uid="{00000000-0005-0000-0000-0000BCA50000}"/>
    <cellStyle name="Remarque 3 4 2 10 9 2" xfId="26817" xr:uid="{00000000-0005-0000-0000-0000BDA50000}"/>
    <cellStyle name="Remarque 3 4 2 10 9 3" xfId="50777" xr:uid="{00000000-0005-0000-0000-0000BEA50000}"/>
    <cellStyle name="Remarque 3 4 2 11" xfId="1578" xr:uid="{00000000-0005-0000-0000-0000BFA50000}"/>
    <cellStyle name="Remarque 3 4 2 11 10" xfId="25610" xr:uid="{00000000-0005-0000-0000-0000C0A50000}"/>
    <cellStyle name="Remarque 3 4 2 11 10 2" xfId="49570" xr:uid="{00000000-0005-0000-0000-0000C1A50000}"/>
    <cellStyle name="Remarque 3 4 2 11 11" xfId="24204" xr:uid="{00000000-0005-0000-0000-0000C2A50000}"/>
    <cellStyle name="Remarque 3 4 2 11 11 2" xfId="48164" xr:uid="{00000000-0005-0000-0000-0000C3A50000}"/>
    <cellStyle name="Remarque 3 4 2 11 12" xfId="14275" xr:uid="{00000000-0005-0000-0000-0000C4A50000}"/>
    <cellStyle name="Remarque 3 4 2 11 13" xfId="38235" xr:uid="{00000000-0005-0000-0000-0000C5A50000}"/>
    <cellStyle name="Remarque 3 4 2 11 2" xfId="4484" xr:uid="{00000000-0005-0000-0000-0000C6A50000}"/>
    <cellStyle name="Remarque 3 4 2 11 2 2" xfId="28498" xr:uid="{00000000-0005-0000-0000-0000C7A50000}"/>
    <cellStyle name="Remarque 3 4 2 11 2 2 2" xfId="52458" xr:uid="{00000000-0005-0000-0000-0000C8A50000}"/>
    <cellStyle name="Remarque 3 4 2 11 2 3" xfId="15745" xr:uid="{00000000-0005-0000-0000-0000C9A50000}"/>
    <cellStyle name="Remarque 3 4 2 11 2 4" xfId="39705" xr:uid="{00000000-0005-0000-0000-0000CAA50000}"/>
    <cellStyle name="Remarque 3 4 2 11 3" xfId="5918" xr:uid="{00000000-0005-0000-0000-0000CBA50000}"/>
    <cellStyle name="Remarque 3 4 2 11 3 2" xfId="29932" xr:uid="{00000000-0005-0000-0000-0000CCA50000}"/>
    <cellStyle name="Remarque 3 4 2 11 3 2 2" xfId="53892" xr:uid="{00000000-0005-0000-0000-0000CDA50000}"/>
    <cellStyle name="Remarque 3 4 2 11 3 3" xfId="17179" xr:uid="{00000000-0005-0000-0000-0000CEA50000}"/>
    <cellStyle name="Remarque 3 4 2 11 3 4" xfId="41139" xr:uid="{00000000-0005-0000-0000-0000CFA50000}"/>
    <cellStyle name="Remarque 3 4 2 11 4" xfId="7312" xr:uid="{00000000-0005-0000-0000-0000D0A50000}"/>
    <cellStyle name="Remarque 3 4 2 11 4 2" xfId="31326" xr:uid="{00000000-0005-0000-0000-0000D1A50000}"/>
    <cellStyle name="Remarque 3 4 2 11 4 2 2" xfId="55286" xr:uid="{00000000-0005-0000-0000-0000D2A50000}"/>
    <cellStyle name="Remarque 3 4 2 11 4 3" xfId="18573" xr:uid="{00000000-0005-0000-0000-0000D3A50000}"/>
    <cellStyle name="Remarque 3 4 2 11 4 4" xfId="42533" xr:uid="{00000000-0005-0000-0000-0000D4A50000}"/>
    <cellStyle name="Remarque 3 4 2 11 5" xfId="8700" xr:uid="{00000000-0005-0000-0000-0000D5A50000}"/>
    <cellStyle name="Remarque 3 4 2 11 5 2" xfId="32714" xr:uid="{00000000-0005-0000-0000-0000D6A50000}"/>
    <cellStyle name="Remarque 3 4 2 11 5 2 2" xfId="56674" xr:uid="{00000000-0005-0000-0000-0000D7A50000}"/>
    <cellStyle name="Remarque 3 4 2 11 5 3" xfId="19961" xr:uid="{00000000-0005-0000-0000-0000D8A50000}"/>
    <cellStyle name="Remarque 3 4 2 11 5 4" xfId="43921" xr:uid="{00000000-0005-0000-0000-0000D9A50000}"/>
    <cellStyle name="Remarque 3 4 2 11 6" xfId="10085" xr:uid="{00000000-0005-0000-0000-0000DAA50000}"/>
    <cellStyle name="Remarque 3 4 2 11 6 2" xfId="34099" xr:uid="{00000000-0005-0000-0000-0000DBA50000}"/>
    <cellStyle name="Remarque 3 4 2 11 6 2 2" xfId="58059" xr:uid="{00000000-0005-0000-0000-0000DCA50000}"/>
    <cellStyle name="Remarque 3 4 2 11 6 3" xfId="21346" xr:uid="{00000000-0005-0000-0000-0000DDA50000}"/>
    <cellStyle name="Remarque 3 4 2 11 6 4" xfId="45306" xr:uid="{00000000-0005-0000-0000-0000DEA50000}"/>
    <cellStyle name="Remarque 3 4 2 11 7" xfId="11542" xr:uid="{00000000-0005-0000-0000-0000DFA50000}"/>
    <cellStyle name="Remarque 3 4 2 11 7 2" xfId="35552" xr:uid="{00000000-0005-0000-0000-0000E0A50000}"/>
    <cellStyle name="Remarque 3 4 2 11 7 2 2" xfId="59512" xr:uid="{00000000-0005-0000-0000-0000E1A50000}"/>
    <cellStyle name="Remarque 3 4 2 11 7 3" xfId="22809" xr:uid="{00000000-0005-0000-0000-0000E2A50000}"/>
    <cellStyle name="Remarque 3 4 2 11 7 4" xfId="46769" xr:uid="{00000000-0005-0000-0000-0000E3A50000}"/>
    <cellStyle name="Remarque 3 4 2 11 8" xfId="12848" xr:uid="{00000000-0005-0000-0000-0000E4A50000}"/>
    <cellStyle name="Remarque 3 4 2 11 8 2" xfId="24160" xr:uid="{00000000-0005-0000-0000-0000E5A50000}"/>
    <cellStyle name="Remarque 3 4 2 11 8 3" xfId="48120" xr:uid="{00000000-0005-0000-0000-0000E6A50000}"/>
    <cellStyle name="Remarque 3 4 2 11 9" xfId="3014" xr:uid="{00000000-0005-0000-0000-0000E7A50000}"/>
    <cellStyle name="Remarque 3 4 2 11 9 2" xfId="27028" xr:uid="{00000000-0005-0000-0000-0000E8A50000}"/>
    <cellStyle name="Remarque 3 4 2 11 9 3" xfId="50988" xr:uid="{00000000-0005-0000-0000-0000E9A50000}"/>
    <cellStyle name="Remarque 3 4 2 12" xfId="1529" xr:uid="{00000000-0005-0000-0000-0000EAA50000}"/>
    <cellStyle name="Remarque 3 4 2 12 10" xfId="25561" xr:uid="{00000000-0005-0000-0000-0000EBA50000}"/>
    <cellStyle name="Remarque 3 4 2 12 10 2" xfId="49521" xr:uid="{00000000-0005-0000-0000-0000ECA50000}"/>
    <cellStyle name="Remarque 3 4 2 12 11" xfId="35787" xr:uid="{00000000-0005-0000-0000-0000EDA50000}"/>
    <cellStyle name="Remarque 3 4 2 12 11 2" xfId="59747" xr:uid="{00000000-0005-0000-0000-0000EEA50000}"/>
    <cellStyle name="Remarque 3 4 2 12 12" xfId="14226" xr:uid="{00000000-0005-0000-0000-0000EFA50000}"/>
    <cellStyle name="Remarque 3 4 2 12 13" xfId="38186" xr:uid="{00000000-0005-0000-0000-0000F0A50000}"/>
    <cellStyle name="Remarque 3 4 2 12 2" xfId="4435" xr:uid="{00000000-0005-0000-0000-0000F1A50000}"/>
    <cellStyle name="Remarque 3 4 2 12 2 2" xfId="28449" xr:uid="{00000000-0005-0000-0000-0000F2A50000}"/>
    <cellStyle name="Remarque 3 4 2 12 2 2 2" xfId="52409" xr:uid="{00000000-0005-0000-0000-0000F3A50000}"/>
    <cellStyle name="Remarque 3 4 2 12 2 3" xfId="15696" xr:uid="{00000000-0005-0000-0000-0000F4A50000}"/>
    <cellStyle name="Remarque 3 4 2 12 2 4" xfId="39656" xr:uid="{00000000-0005-0000-0000-0000F5A50000}"/>
    <cellStyle name="Remarque 3 4 2 12 3" xfId="5869" xr:uid="{00000000-0005-0000-0000-0000F6A50000}"/>
    <cellStyle name="Remarque 3 4 2 12 3 2" xfId="29883" xr:uid="{00000000-0005-0000-0000-0000F7A50000}"/>
    <cellStyle name="Remarque 3 4 2 12 3 2 2" xfId="53843" xr:uid="{00000000-0005-0000-0000-0000F8A50000}"/>
    <cellStyle name="Remarque 3 4 2 12 3 3" xfId="17130" xr:uid="{00000000-0005-0000-0000-0000F9A50000}"/>
    <cellStyle name="Remarque 3 4 2 12 3 4" xfId="41090" xr:uid="{00000000-0005-0000-0000-0000FAA50000}"/>
    <cellStyle name="Remarque 3 4 2 12 4" xfId="7263" xr:uid="{00000000-0005-0000-0000-0000FBA50000}"/>
    <cellStyle name="Remarque 3 4 2 12 4 2" xfId="31277" xr:uid="{00000000-0005-0000-0000-0000FCA50000}"/>
    <cellStyle name="Remarque 3 4 2 12 4 2 2" xfId="55237" xr:uid="{00000000-0005-0000-0000-0000FDA50000}"/>
    <cellStyle name="Remarque 3 4 2 12 4 3" xfId="18524" xr:uid="{00000000-0005-0000-0000-0000FEA50000}"/>
    <cellStyle name="Remarque 3 4 2 12 4 4" xfId="42484" xr:uid="{00000000-0005-0000-0000-0000FFA50000}"/>
    <cellStyle name="Remarque 3 4 2 12 5" xfId="8651" xr:uid="{00000000-0005-0000-0000-000000A60000}"/>
    <cellStyle name="Remarque 3 4 2 12 5 2" xfId="32665" xr:uid="{00000000-0005-0000-0000-000001A60000}"/>
    <cellStyle name="Remarque 3 4 2 12 5 2 2" xfId="56625" xr:uid="{00000000-0005-0000-0000-000002A60000}"/>
    <cellStyle name="Remarque 3 4 2 12 5 3" xfId="19912" xr:uid="{00000000-0005-0000-0000-000003A60000}"/>
    <cellStyle name="Remarque 3 4 2 12 5 4" xfId="43872" xr:uid="{00000000-0005-0000-0000-000004A60000}"/>
    <cellStyle name="Remarque 3 4 2 12 6" xfId="10036" xr:uid="{00000000-0005-0000-0000-000005A60000}"/>
    <cellStyle name="Remarque 3 4 2 12 6 2" xfId="34050" xr:uid="{00000000-0005-0000-0000-000006A60000}"/>
    <cellStyle name="Remarque 3 4 2 12 6 2 2" xfId="58010" xr:uid="{00000000-0005-0000-0000-000007A60000}"/>
    <cellStyle name="Remarque 3 4 2 12 6 3" xfId="21297" xr:uid="{00000000-0005-0000-0000-000008A60000}"/>
    <cellStyle name="Remarque 3 4 2 12 6 4" xfId="45257" xr:uid="{00000000-0005-0000-0000-000009A60000}"/>
    <cellStyle name="Remarque 3 4 2 12 7" xfId="11493" xr:uid="{00000000-0005-0000-0000-00000AA60000}"/>
    <cellStyle name="Remarque 3 4 2 12 7 2" xfId="35503" xr:uid="{00000000-0005-0000-0000-00000BA60000}"/>
    <cellStyle name="Remarque 3 4 2 12 7 2 2" xfId="59463" xr:uid="{00000000-0005-0000-0000-00000CA60000}"/>
    <cellStyle name="Remarque 3 4 2 12 7 3" xfId="22760" xr:uid="{00000000-0005-0000-0000-00000DA60000}"/>
    <cellStyle name="Remarque 3 4 2 12 7 4" xfId="46720" xr:uid="{00000000-0005-0000-0000-00000EA60000}"/>
    <cellStyle name="Remarque 3 4 2 12 8" xfId="12650" xr:uid="{00000000-0005-0000-0000-00000FA60000}"/>
    <cellStyle name="Remarque 3 4 2 12 8 2" xfId="23955" xr:uid="{00000000-0005-0000-0000-000010A60000}"/>
    <cellStyle name="Remarque 3 4 2 12 8 3" xfId="47915" xr:uid="{00000000-0005-0000-0000-000011A60000}"/>
    <cellStyle name="Remarque 3 4 2 12 9" xfId="2965" xr:uid="{00000000-0005-0000-0000-000012A60000}"/>
    <cellStyle name="Remarque 3 4 2 12 9 2" xfId="26979" xr:uid="{00000000-0005-0000-0000-000013A60000}"/>
    <cellStyle name="Remarque 3 4 2 12 9 3" xfId="50939" xr:uid="{00000000-0005-0000-0000-000014A60000}"/>
    <cellStyle name="Remarque 3 4 2 13" xfId="1595" xr:uid="{00000000-0005-0000-0000-000015A60000}"/>
    <cellStyle name="Remarque 3 4 2 13 10" xfId="25627" xr:uid="{00000000-0005-0000-0000-000016A60000}"/>
    <cellStyle name="Remarque 3 4 2 13 10 2" xfId="49587" xr:uid="{00000000-0005-0000-0000-000017A60000}"/>
    <cellStyle name="Remarque 3 4 2 13 11" xfId="36854" xr:uid="{00000000-0005-0000-0000-000018A60000}"/>
    <cellStyle name="Remarque 3 4 2 13 11 2" xfId="60814" xr:uid="{00000000-0005-0000-0000-000019A60000}"/>
    <cellStyle name="Remarque 3 4 2 13 12" xfId="14292" xr:uid="{00000000-0005-0000-0000-00001AA60000}"/>
    <cellStyle name="Remarque 3 4 2 13 13" xfId="38252" xr:uid="{00000000-0005-0000-0000-00001BA60000}"/>
    <cellStyle name="Remarque 3 4 2 13 2" xfId="4501" xr:uid="{00000000-0005-0000-0000-00001CA60000}"/>
    <cellStyle name="Remarque 3 4 2 13 2 2" xfId="28515" xr:uid="{00000000-0005-0000-0000-00001DA60000}"/>
    <cellStyle name="Remarque 3 4 2 13 2 2 2" xfId="52475" xr:uid="{00000000-0005-0000-0000-00001EA60000}"/>
    <cellStyle name="Remarque 3 4 2 13 2 3" xfId="15762" xr:uid="{00000000-0005-0000-0000-00001FA60000}"/>
    <cellStyle name="Remarque 3 4 2 13 2 4" xfId="39722" xr:uid="{00000000-0005-0000-0000-000020A60000}"/>
    <cellStyle name="Remarque 3 4 2 13 3" xfId="5935" xr:uid="{00000000-0005-0000-0000-000021A60000}"/>
    <cellStyle name="Remarque 3 4 2 13 3 2" xfId="29949" xr:uid="{00000000-0005-0000-0000-000022A60000}"/>
    <cellStyle name="Remarque 3 4 2 13 3 2 2" xfId="53909" xr:uid="{00000000-0005-0000-0000-000023A60000}"/>
    <cellStyle name="Remarque 3 4 2 13 3 3" xfId="17196" xr:uid="{00000000-0005-0000-0000-000024A60000}"/>
    <cellStyle name="Remarque 3 4 2 13 3 4" xfId="41156" xr:uid="{00000000-0005-0000-0000-000025A60000}"/>
    <cellStyle name="Remarque 3 4 2 13 4" xfId="7329" xr:uid="{00000000-0005-0000-0000-000026A60000}"/>
    <cellStyle name="Remarque 3 4 2 13 4 2" xfId="31343" xr:uid="{00000000-0005-0000-0000-000027A60000}"/>
    <cellStyle name="Remarque 3 4 2 13 4 2 2" xfId="55303" xr:uid="{00000000-0005-0000-0000-000028A60000}"/>
    <cellStyle name="Remarque 3 4 2 13 4 3" xfId="18590" xr:uid="{00000000-0005-0000-0000-000029A60000}"/>
    <cellStyle name="Remarque 3 4 2 13 4 4" xfId="42550" xr:uid="{00000000-0005-0000-0000-00002AA60000}"/>
    <cellStyle name="Remarque 3 4 2 13 5" xfId="8717" xr:uid="{00000000-0005-0000-0000-00002BA60000}"/>
    <cellStyle name="Remarque 3 4 2 13 5 2" xfId="32731" xr:uid="{00000000-0005-0000-0000-00002CA60000}"/>
    <cellStyle name="Remarque 3 4 2 13 5 2 2" xfId="56691" xr:uid="{00000000-0005-0000-0000-00002DA60000}"/>
    <cellStyle name="Remarque 3 4 2 13 5 3" xfId="19978" xr:uid="{00000000-0005-0000-0000-00002EA60000}"/>
    <cellStyle name="Remarque 3 4 2 13 5 4" xfId="43938" xr:uid="{00000000-0005-0000-0000-00002FA60000}"/>
    <cellStyle name="Remarque 3 4 2 13 6" xfId="10102" xr:uid="{00000000-0005-0000-0000-000030A60000}"/>
    <cellStyle name="Remarque 3 4 2 13 6 2" xfId="34116" xr:uid="{00000000-0005-0000-0000-000031A60000}"/>
    <cellStyle name="Remarque 3 4 2 13 6 2 2" xfId="58076" xr:uid="{00000000-0005-0000-0000-000032A60000}"/>
    <cellStyle name="Remarque 3 4 2 13 6 3" xfId="21363" xr:uid="{00000000-0005-0000-0000-000033A60000}"/>
    <cellStyle name="Remarque 3 4 2 13 6 4" xfId="45323" xr:uid="{00000000-0005-0000-0000-000034A60000}"/>
    <cellStyle name="Remarque 3 4 2 13 7" xfId="11559" xr:uid="{00000000-0005-0000-0000-000035A60000}"/>
    <cellStyle name="Remarque 3 4 2 13 7 2" xfId="35569" xr:uid="{00000000-0005-0000-0000-000036A60000}"/>
    <cellStyle name="Remarque 3 4 2 13 7 2 2" xfId="59529" xr:uid="{00000000-0005-0000-0000-000037A60000}"/>
    <cellStyle name="Remarque 3 4 2 13 7 3" xfId="22826" xr:uid="{00000000-0005-0000-0000-000038A60000}"/>
    <cellStyle name="Remarque 3 4 2 13 7 4" xfId="46786" xr:uid="{00000000-0005-0000-0000-000039A60000}"/>
    <cellStyle name="Remarque 3 4 2 13 8" xfId="10136" xr:uid="{00000000-0005-0000-0000-00003AA60000}"/>
    <cellStyle name="Remarque 3 4 2 13 8 2" xfId="21399" xr:uid="{00000000-0005-0000-0000-00003BA60000}"/>
    <cellStyle name="Remarque 3 4 2 13 8 3" xfId="45359" xr:uid="{00000000-0005-0000-0000-00003CA60000}"/>
    <cellStyle name="Remarque 3 4 2 13 9" xfId="3031" xr:uid="{00000000-0005-0000-0000-00003DA60000}"/>
    <cellStyle name="Remarque 3 4 2 13 9 2" xfId="27045" xr:uid="{00000000-0005-0000-0000-00003EA60000}"/>
    <cellStyle name="Remarque 3 4 2 13 9 3" xfId="51005" xr:uid="{00000000-0005-0000-0000-00003FA60000}"/>
    <cellStyle name="Remarque 3 4 2 14" xfId="220" xr:uid="{00000000-0005-0000-0000-000040A60000}"/>
    <cellStyle name="Remarque 3 4 2 14 10" xfId="36191" xr:uid="{00000000-0005-0000-0000-000041A60000}"/>
    <cellStyle name="Remarque 3 4 2 14 10 2" xfId="60151" xr:uid="{00000000-0005-0000-0000-000042A60000}"/>
    <cellStyle name="Remarque 3 4 2 14 11" xfId="14387" xr:uid="{00000000-0005-0000-0000-000043A60000}"/>
    <cellStyle name="Remarque 3 4 2 14 12" xfId="38347" xr:uid="{00000000-0005-0000-0000-000044A60000}"/>
    <cellStyle name="Remarque 3 4 2 14 2" xfId="4565" xr:uid="{00000000-0005-0000-0000-000045A60000}"/>
    <cellStyle name="Remarque 3 4 2 14 2 2" xfId="28579" xr:uid="{00000000-0005-0000-0000-000046A60000}"/>
    <cellStyle name="Remarque 3 4 2 14 2 2 2" xfId="52539" xr:uid="{00000000-0005-0000-0000-000047A60000}"/>
    <cellStyle name="Remarque 3 4 2 14 2 3" xfId="15826" xr:uid="{00000000-0005-0000-0000-000048A60000}"/>
    <cellStyle name="Remarque 3 4 2 14 2 4" xfId="39786" xr:uid="{00000000-0005-0000-0000-000049A60000}"/>
    <cellStyle name="Remarque 3 4 2 14 3" xfId="5964" xr:uid="{00000000-0005-0000-0000-00004AA60000}"/>
    <cellStyle name="Remarque 3 4 2 14 3 2" xfId="29978" xr:uid="{00000000-0005-0000-0000-00004BA60000}"/>
    <cellStyle name="Remarque 3 4 2 14 3 2 2" xfId="53938" xr:uid="{00000000-0005-0000-0000-00004CA60000}"/>
    <cellStyle name="Remarque 3 4 2 14 3 3" xfId="17225" xr:uid="{00000000-0005-0000-0000-00004DA60000}"/>
    <cellStyle name="Remarque 3 4 2 14 3 4" xfId="41185" xr:uid="{00000000-0005-0000-0000-00004EA60000}"/>
    <cellStyle name="Remarque 3 4 2 14 4" xfId="7358" xr:uid="{00000000-0005-0000-0000-00004FA60000}"/>
    <cellStyle name="Remarque 3 4 2 14 4 2" xfId="31372" xr:uid="{00000000-0005-0000-0000-000050A60000}"/>
    <cellStyle name="Remarque 3 4 2 14 4 2 2" xfId="55332" xr:uid="{00000000-0005-0000-0000-000051A60000}"/>
    <cellStyle name="Remarque 3 4 2 14 4 3" xfId="18619" xr:uid="{00000000-0005-0000-0000-000052A60000}"/>
    <cellStyle name="Remarque 3 4 2 14 4 4" xfId="42579" xr:uid="{00000000-0005-0000-0000-000053A60000}"/>
    <cellStyle name="Remarque 3 4 2 14 5" xfId="8746" xr:uid="{00000000-0005-0000-0000-000054A60000}"/>
    <cellStyle name="Remarque 3 4 2 14 5 2" xfId="32760" xr:uid="{00000000-0005-0000-0000-000055A60000}"/>
    <cellStyle name="Remarque 3 4 2 14 5 2 2" xfId="56720" xr:uid="{00000000-0005-0000-0000-000056A60000}"/>
    <cellStyle name="Remarque 3 4 2 14 5 3" xfId="20007" xr:uid="{00000000-0005-0000-0000-000057A60000}"/>
    <cellStyle name="Remarque 3 4 2 14 5 4" xfId="43967" xr:uid="{00000000-0005-0000-0000-000058A60000}"/>
    <cellStyle name="Remarque 3 4 2 14 6" xfId="10186" xr:uid="{00000000-0005-0000-0000-000059A60000}"/>
    <cellStyle name="Remarque 3 4 2 14 6 2" xfId="34198" xr:uid="{00000000-0005-0000-0000-00005AA60000}"/>
    <cellStyle name="Remarque 3 4 2 14 6 2 2" xfId="58158" xr:uid="{00000000-0005-0000-0000-00005BA60000}"/>
    <cellStyle name="Remarque 3 4 2 14 6 3" xfId="21451" xr:uid="{00000000-0005-0000-0000-00005CA60000}"/>
    <cellStyle name="Remarque 3 4 2 14 6 4" xfId="45411" xr:uid="{00000000-0005-0000-0000-00005DA60000}"/>
    <cellStyle name="Remarque 3 4 2 14 7" xfId="12640" xr:uid="{00000000-0005-0000-0000-00005EA60000}"/>
    <cellStyle name="Remarque 3 4 2 14 7 2" xfId="23945" xr:uid="{00000000-0005-0000-0000-00005FA60000}"/>
    <cellStyle name="Remarque 3 4 2 14 7 3" xfId="47905" xr:uid="{00000000-0005-0000-0000-000060A60000}"/>
    <cellStyle name="Remarque 3 4 2 14 8" xfId="3126" xr:uid="{00000000-0005-0000-0000-000061A60000}"/>
    <cellStyle name="Remarque 3 4 2 14 8 2" xfId="27140" xr:uid="{00000000-0005-0000-0000-000062A60000}"/>
    <cellStyle name="Remarque 3 4 2 14 8 3" xfId="51100" xr:uid="{00000000-0005-0000-0000-000063A60000}"/>
    <cellStyle name="Remarque 3 4 2 14 9" xfId="24252" xr:uid="{00000000-0005-0000-0000-000064A60000}"/>
    <cellStyle name="Remarque 3 4 2 14 9 2" xfId="48212" xr:uid="{00000000-0005-0000-0000-000065A60000}"/>
    <cellStyle name="Remarque 3 4 2 15" xfId="3095" xr:uid="{00000000-0005-0000-0000-000066A60000}"/>
    <cellStyle name="Remarque 3 4 2 15 2" xfId="27109" xr:uid="{00000000-0005-0000-0000-000067A60000}"/>
    <cellStyle name="Remarque 3 4 2 15 2 2" xfId="51069" xr:uid="{00000000-0005-0000-0000-000068A60000}"/>
    <cellStyle name="Remarque 3 4 2 15 3" xfId="14356" xr:uid="{00000000-0005-0000-0000-000069A60000}"/>
    <cellStyle name="Remarque 3 4 2 15 4" xfId="38316" xr:uid="{00000000-0005-0000-0000-00006AA60000}"/>
    <cellStyle name="Remarque 3 4 2 16" xfId="4534" xr:uid="{00000000-0005-0000-0000-00006BA60000}"/>
    <cellStyle name="Remarque 3 4 2 16 2" xfId="28548" xr:uid="{00000000-0005-0000-0000-00006CA60000}"/>
    <cellStyle name="Remarque 3 4 2 16 2 2" xfId="52508" xr:uid="{00000000-0005-0000-0000-00006DA60000}"/>
    <cellStyle name="Remarque 3 4 2 16 3" xfId="15795" xr:uid="{00000000-0005-0000-0000-00006EA60000}"/>
    <cellStyle name="Remarque 3 4 2 16 4" xfId="39755" xr:uid="{00000000-0005-0000-0000-00006FA60000}"/>
    <cellStyle name="Remarque 3 4 2 17" xfId="3062" xr:uid="{00000000-0005-0000-0000-000070A60000}"/>
    <cellStyle name="Remarque 3 4 2 17 2" xfId="27076" xr:uid="{00000000-0005-0000-0000-000071A60000}"/>
    <cellStyle name="Remarque 3 4 2 17 2 2" xfId="51036" xr:uid="{00000000-0005-0000-0000-000072A60000}"/>
    <cellStyle name="Remarque 3 4 2 17 3" xfId="14323" xr:uid="{00000000-0005-0000-0000-000073A60000}"/>
    <cellStyle name="Remarque 3 4 2 17 4" xfId="38283" xr:uid="{00000000-0005-0000-0000-000074A60000}"/>
    <cellStyle name="Remarque 3 4 2 18" xfId="3057" xr:uid="{00000000-0005-0000-0000-000075A60000}"/>
    <cellStyle name="Remarque 3 4 2 18 2" xfId="27071" xr:uid="{00000000-0005-0000-0000-000076A60000}"/>
    <cellStyle name="Remarque 3 4 2 18 2 2" xfId="51031" xr:uid="{00000000-0005-0000-0000-000077A60000}"/>
    <cellStyle name="Remarque 3 4 2 18 3" xfId="14318" xr:uid="{00000000-0005-0000-0000-000078A60000}"/>
    <cellStyle name="Remarque 3 4 2 18 4" xfId="38278" xr:uid="{00000000-0005-0000-0000-000079A60000}"/>
    <cellStyle name="Remarque 3 4 2 19" xfId="4522" xr:uid="{00000000-0005-0000-0000-00007AA60000}"/>
    <cellStyle name="Remarque 3 4 2 19 2" xfId="28536" xr:uid="{00000000-0005-0000-0000-00007BA60000}"/>
    <cellStyle name="Remarque 3 4 2 19 2 2" xfId="52496" xr:uid="{00000000-0005-0000-0000-00007CA60000}"/>
    <cellStyle name="Remarque 3 4 2 19 3" xfId="15783" xr:uid="{00000000-0005-0000-0000-00007DA60000}"/>
    <cellStyle name="Remarque 3 4 2 19 4" xfId="39743" xr:uid="{00000000-0005-0000-0000-00007EA60000}"/>
    <cellStyle name="Remarque 3 4 2 2" xfId="109" xr:uid="{00000000-0005-0000-0000-00007FA60000}"/>
    <cellStyle name="Remarque 3 4 2 2 10" xfId="3168" xr:uid="{00000000-0005-0000-0000-000080A60000}"/>
    <cellStyle name="Remarque 3 4 2 2 10 2" xfId="27182" xr:uid="{00000000-0005-0000-0000-000081A60000}"/>
    <cellStyle name="Remarque 3 4 2 2 10 2 2" xfId="51142" xr:uid="{00000000-0005-0000-0000-000082A60000}"/>
    <cellStyle name="Remarque 3 4 2 2 10 3" xfId="14429" xr:uid="{00000000-0005-0000-0000-000083A60000}"/>
    <cellStyle name="Remarque 3 4 2 2 10 4" xfId="38389" xr:uid="{00000000-0005-0000-0000-000084A60000}"/>
    <cellStyle name="Remarque 3 4 2 2 11" xfId="4602" xr:uid="{00000000-0005-0000-0000-000085A60000}"/>
    <cellStyle name="Remarque 3 4 2 2 11 2" xfId="28616" xr:uid="{00000000-0005-0000-0000-000086A60000}"/>
    <cellStyle name="Remarque 3 4 2 2 11 2 2" xfId="52576" xr:uid="{00000000-0005-0000-0000-000087A60000}"/>
    <cellStyle name="Remarque 3 4 2 2 11 3" xfId="15863" xr:uid="{00000000-0005-0000-0000-000088A60000}"/>
    <cellStyle name="Remarque 3 4 2 2 11 4" xfId="39823" xr:uid="{00000000-0005-0000-0000-000089A60000}"/>
    <cellStyle name="Remarque 3 4 2 2 12" xfId="5996" xr:uid="{00000000-0005-0000-0000-00008AA60000}"/>
    <cellStyle name="Remarque 3 4 2 2 12 2" xfId="30010" xr:uid="{00000000-0005-0000-0000-00008BA60000}"/>
    <cellStyle name="Remarque 3 4 2 2 12 2 2" xfId="53970" xr:uid="{00000000-0005-0000-0000-00008CA60000}"/>
    <cellStyle name="Remarque 3 4 2 2 12 3" xfId="17257" xr:uid="{00000000-0005-0000-0000-00008DA60000}"/>
    <cellStyle name="Remarque 3 4 2 2 12 4" xfId="41217" xr:uid="{00000000-0005-0000-0000-00008EA60000}"/>
    <cellStyle name="Remarque 3 4 2 2 13" xfId="7384" xr:uid="{00000000-0005-0000-0000-00008FA60000}"/>
    <cellStyle name="Remarque 3 4 2 2 13 2" xfId="31398" xr:uid="{00000000-0005-0000-0000-000090A60000}"/>
    <cellStyle name="Remarque 3 4 2 2 13 2 2" xfId="55358" xr:uid="{00000000-0005-0000-0000-000091A60000}"/>
    <cellStyle name="Remarque 3 4 2 2 13 3" xfId="18645" xr:uid="{00000000-0005-0000-0000-000092A60000}"/>
    <cellStyle name="Remarque 3 4 2 2 13 4" xfId="42605" xr:uid="{00000000-0005-0000-0000-000093A60000}"/>
    <cellStyle name="Remarque 3 4 2 2 14" xfId="8769" xr:uid="{00000000-0005-0000-0000-000094A60000}"/>
    <cellStyle name="Remarque 3 4 2 2 14 2" xfId="32783" xr:uid="{00000000-0005-0000-0000-000095A60000}"/>
    <cellStyle name="Remarque 3 4 2 2 14 2 2" xfId="56743" xr:uid="{00000000-0005-0000-0000-000096A60000}"/>
    <cellStyle name="Remarque 3 4 2 2 14 3" xfId="20030" xr:uid="{00000000-0005-0000-0000-000097A60000}"/>
    <cellStyle name="Remarque 3 4 2 2 14 4" xfId="43990" xr:uid="{00000000-0005-0000-0000-000098A60000}"/>
    <cellStyle name="Remarque 3 4 2 2 15" xfId="10226" xr:uid="{00000000-0005-0000-0000-000099A60000}"/>
    <cellStyle name="Remarque 3 4 2 2 15 2" xfId="34236" xr:uid="{00000000-0005-0000-0000-00009AA60000}"/>
    <cellStyle name="Remarque 3 4 2 2 15 2 2" xfId="58196" xr:uid="{00000000-0005-0000-0000-00009BA60000}"/>
    <cellStyle name="Remarque 3 4 2 2 15 3" xfId="21493" xr:uid="{00000000-0005-0000-0000-00009CA60000}"/>
    <cellStyle name="Remarque 3 4 2 2 15 4" xfId="45453" xr:uid="{00000000-0005-0000-0000-00009DA60000}"/>
    <cellStyle name="Remarque 3 4 2 2 16" xfId="11665" xr:uid="{00000000-0005-0000-0000-00009EA60000}"/>
    <cellStyle name="Remarque 3 4 2 2 16 2" xfId="22933" xr:uid="{00000000-0005-0000-0000-00009FA60000}"/>
    <cellStyle name="Remarque 3 4 2 2 16 3" xfId="46893" xr:uid="{00000000-0005-0000-0000-0000A0A60000}"/>
    <cellStyle name="Remarque 3 4 2 2 17" xfId="1698" xr:uid="{00000000-0005-0000-0000-0000A1A60000}"/>
    <cellStyle name="Remarque 3 4 2 2 17 2" xfId="25712" xr:uid="{00000000-0005-0000-0000-0000A2A60000}"/>
    <cellStyle name="Remarque 3 4 2 2 17 3" xfId="49672" xr:uid="{00000000-0005-0000-0000-0000A3A60000}"/>
    <cellStyle name="Remarque 3 4 2 2 18" xfId="24294" xr:uid="{00000000-0005-0000-0000-0000A4A60000}"/>
    <cellStyle name="Remarque 3 4 2 2 18 2" xfId="48254" xr:uid="{00000000-0005-0000-0000-0000A5A60000}"/>
    <cellStyle name="Remarque 3 4 2 2 19" xfId="36756" xr:uid="{00000000-0005-0000-0000-0000A6A60000}"/>
    <cellStyle name="Remarque 3 4 2 2 19 2" xfId="60716" xr:uid="{00000000-0005-0000-0000-0000A7A60000}"/>
    <cellStyle name="Remarque 3 4 2 2 2" xfId="437" xr:uid="{00000000-0005-0000-0000-0000A8A60000}"/>
    <cellStyle name="Remarque 3 4 2 2 2 10" xfId="6171" xr:uid="{00000000-0005-0000-0000-0000A9A60000}"/>
    <cellStyle name="Remarque 3 4 2 2 2 10 2" xfId="30185" xr:uid="{00000000-0005-0000-0000-0000AAA60000}"/>
    <cellStyle name="Remarque 3 4 2 2 2 10 2 2" xfId="54145" xr:uid="{00000000-0005-0000-0000-0000ABA60000}"/>
    <cellStyle name="Remarque 3 4 2 2 2 10 3" xfId="17432" xr:uid="{00000000-0005-0000-0000-0000ACA60000}"/>
    <cellStyle name="Remarque 3 4 2 2 2 10 4" xfId="41392" xr:uid="{00000000-0005-0000-0000-0000ADA60000}"/>
    <cellStyle name="Remarque 3 4 2 2 2 11" xfId="7559" xr:uid="{00000000-0005-0000-0000-0000AEA60000}"/>
    <cellStyle name="Remarque 3 4 2 2 2 11 2" xfId="31573" xr:uid="{00000000-0005-0000-0000-0000AFA60000}"/>
    <cellStyle name="Remarque 3 4 2 2 2 11 2 2" xfId="55533" xr:uid="{00000000-0005-0000-0000-0000B0A60000}"/>
    <cellStyle name="Remarque 3 4 2 2 2 11 3" xfId="18820" xr:uid="{00000000-0005-0000-0000-0000B1A60000}"/>
    <cellStyle name="Remarque 3 4 2 2 2 11 4" xfId="42780" xr:uid="{00000000-0005-0000-0000-0000B2A60000}"/>
    <cellStyle name="Remarque 3 4 2 2 2 12" xfId="8944" xr:uid="{00000000-0005-0000-0000-0000B3A60000}"/>
    <cellStyle name="Remarque 3 4 2 2 2 12 2" xfId="32958" xr:uid="{00000000-0005-0000-0000-0000B4A60000}"/>
    <cellStyle name="Remarque 3 4 2 2 2 12 2 2" xfId="56918" xr:uid="{00000000-0005-0000-0000-0000B5A60000}"/>
    <cellStyle name="Remarque 3 4 2 2 2 12 3" xfId="20205" xr:uid="{00000000-0005-0000-0000-0000B6A60000}"/>
    <cellStyle name="Remarque 3 4 2 2 2 12 4" xfId="44165" xr:uid="{00000000-0005-0000-0000-0000B7A60000}"/>
    <cellStyle name="Remarque 3 4 2 2 2 13" xfId="10401" xr:uid="{00000000-0005-0000-0000-0000B8A60000}"/>
    <cellStyle name="Remarque 3 4 2 2 2 13 2" xfId="34411" xr:uid="{00000000-0005-0000-0000-0000B9A60000}"/>
    <cellStyle name="Remarque 3 4 2 2 2 13 2 2" xfId="58371" xr:uid="{00000000-0005-0000-0000-0000BAA60000}"/>
    <cellStyle name="Remarque 3 4 2 2 2 13 3" xfId="21668" xr:uid="{00000000-0005-0000-0000-0000BBA60000}"/>
    <cellStyle name="Remarque 3 4 2 2 2 13 4" xfId="45628" xr:uid="{00000000-0005-0000-0000-0000BCA60000}"/>
    <cellStyle name="Remarque 3 4 2 2 2 14" xfId="10205" xr:uid="{00000000-0005-0000-0000-0000BDA60000}"/>
    <cellStyle name="Remarque 3 4 2 2 2 14 2" xfId="21472" xr:uid="{00000000-0005-0000-0000-0000BEA60000}"/>
    <cellStyle name="Remarque 3 4 2 2 2 14 3" xfId="45432" xr:uid="{00000000-0005-0000-0000-0000BFA60000}"/>
    <cellStyle name="Remarque 3 4 2 2 2 15" xfId="1873" xr:uid="{00000000-0005-0000-0000-0000C0A60000}"/>
    <cellStyle name="Remarque 3 4 2 2 2 15 2" xfId="25887" xr:uid="{00000000-0005-0000-0000-0000C1A60000}"/>
    <cellStyle name="Remarque 3 4 2 2 2 15 3" xfId="49847" xr:uid="{00000000-0005-0000-0000-0000C2A60000}"/>
    <cellStyle name="Remarque 3 4 2 2 2 16" xfId="24469" xr:uid="{00000000-0005-0000-0000-0000C3A60000}"/>
    <cellStyle name="Remarque 3 4 2 2 2 16 2" xfId="48429" xr:uid="{00000000-0005-0000-0000-0000C4A60000}"/>
    <cellStyle name="Remarque 3 4 2 2 2 17" xfId="35854" xr:uid="{00000000-0005-0000-0000-0000C5A60000}"/>
    <cellStyle name="Remarque 3 4 2 2 2 17 2" xfId="59814" xr:uid="{00000000-0005-0000-0000-0000C6A60000}"/>
    <cellStyle name="Remarque 3 4 2 2 2 18" xfId="13134" xr:uid="{00000000-0005-0000-0000-0000C7A60000}"/>
    <cellStyle name="Remarque 3 4 2 2 2 19" xfId="37094" xr:uid="{00000000-0005-0000-0000-0000C8A60000}"/>
    <cellStyle name="Remarque 3 4 2 2 2 2" xfId="573" xr:uid="{00000000-0005-0000-0000-0000C9A60000}"/>
    <cellStyle name="Remarque 3 4 2 2 2 2 10" xfId="24605" xr:uid="{00000000-0005-0000-0000-0000CAA60000}"/>
    <cellStyle name="Remarque 3 4 2 2 2 2 10 2" xfId="48565" xr:uid="{00000000-0005-0000-0000-0000CBA60000}"/>
    <cellStyle name="Remarque 3 4 2 2 2 2 11" xfId="36334" xr:uid="{00000000-0005-0000-0000-0000CCA60000}"/>
    <cellStyle name="Remarque 3 4 2 2 2 2 11 2" xfId="60294" xr:uid="{00000000-0005-0000-0000-0000CDA60000}"/>
    <cellStyle name="Remarque 3 4 2 2 2 2 12" xfId="13270" xr:uid="{00000000-0005-0000-0000-0000CEA60000}"/>
    <cellStyle name="Remarque 3 4 2 2 2 2 13" xfId="37230" xr:uid="{00000000-0005-0000-0000-0000CFA60000}"/>
    <cellStyle name="Remarque 3 4 2 2 2 2 2" xfId="3479" xr:uid="{00000000-0005-0000-0000-0000D0A60000}"/>
    <cellStyle name="Remarque 3 4 2 2 2 2 2 2" xfId="27493" xr:uid="{00000000-0005-0000-0000-0000D1A60000}"/>
    <cellStyle name="Remarque 3 4 2 2 2 2 2 2 2" xfId="51453" xr:uid="{00000000-0005-0000-0000-0000D2A60000}"/>
    <cellStyle name="Remarque 3 4 2 2 2 2 2 3" xfId="14740" xr:uid="{00000000-0005-0000-0000-0000D3A60000}"/>
    <cellStyle name="Remarque 3 4 2 2 2 2 2 4" xfId="38700" xr:uid="{00000000-0005-0000-0000-0000D4A60000}"/>
    <cellStyle name="Remarque 3 4 2 2 2 2 3" xfId="4913" xr:uid="{00000000-0005-0000-0000-0000D5A60000}"/>
    <cellStyle name="Remarque 3 4 2 2 2 2 3 2" xfId="28927" xr:uid="{00000000-0005-0000-0000-0000D6A60000}"/>
    <cellStyle name="Remarque 3 4 2 2 2 2 3 2 2" xfId="52887" xr:uid="{00000000-0005-0000-0000-0000D7A60000}"/>
    <cellStyle name="Remarque 3 4 2 2 2 2 3 3" xfId="16174" xr:uid="{00000000-0005-0000-0000-0000D8A60000}"/>
    <cellStyle name="Remarque 3 4 2 2 2 2 3 4" xfId="40134" xr:uid="{00000000-0005-0000-0000-0000D9A60000}"/>
    <cellStyle name="Remarque 3 4 2 2 2 2 4" xfId="6307" xr:uid="{00000000-0005-0000-0000-0000DAA60000}"/>
    <cellStyle name="Remarque 3 4 2 2 2 2 4 2" xfId="30321" xr:uid="{00000000-0005-0000-0000-0000DBA60000}"/>
    <cellStyle name="Remarque 3 4 2 2 2 2 4 2 2" xfId="54281" xr:uid="{00000000-0005-0000-0000-0000DCA60000}"/>
    <cellStyle name="Remarque 3 4 2 2 2 2 4 3" xfId="17568" xr:uid="{00000000-0005-0000-0000-0000DDA60000}"/>
    <cellStyle name="Remarque 3 4 2 2 2 2 4 4" xfId="41528" xr:uid="{00000000-0005-0000-0000-0000DEA60000}"/>
    <cellStyle name="Remarque 3 4 2 2 2 2 5" xfId="7695" xr:uid="{00000000-0005-0000-0000-0000DFA60000}"/>
    <cellStyle name="Remarque 3 4 2 2 2 2 5 2" xfId="31709" xr:uid="{00000000-0005-0000-0000-0000E0A60000}"/>
    <cellStyle name="Remarque 3 4 2 2 2 2 5 2 2" xfId="55669" xr:uid="{00000000-0005-0000-0000-0000E1A60000}"/>
    <cellStyle name="Remarque 3 4 2 2 2 2 5 3" xfId="18956" xr:uid="{00000000-0005-0000-0000-0000E2A60000}"/>
    <cellStyle name="Remarque 3 4 2 2 2 2 5 4" xfId="42916" xr:uid="{00000000-0005-0000-0000-0000E3A60000}"/>
    <cellStyle name="Remarque 3 4 2 2 2 2 6" xfId="9080" xr:uid="{00000000-0005-0000-0000-0000E4A60000}"/>
    <cellStyle name="Remarque 3 4 2 2 2 2 6 2" xfId="33094" xr:uid="{00000000-0005-0000-0000-0000E5A60000}"/>
    <cellStyle name="Remarque 3 4 2 2 2 2 6 2 2" xfId="57054" xr:uid="{00000000-0005-0000-0000-0000E6A60000}"/>
    <cellStyle name="Remarque 3 4 2 2 2 2 6 3" xfId="20341" xr:uid="{00000000-0005-0000-0000-0000E7A60000}"/>
    <cellStyle name="Remarque 3 4 2 2 2 2 6 4" xfId="44301" xr:uid="{00000000-0005-0000-0000-0000E8A60000}"/>
    <cellStyle name="Remarque 3 4 2 2 2 2 7" xfId="10537" xr:uid="{00000000-0005-0000-0000-0000E9A60000}"/>
    <cellStyle name="Remarque 3 4 2 2 2 2 7 2" xfId="34547" xr:uid="{00000000-0005-0000-0000-0000EAA60000}"/>
    <cellStyle name="Remarque 3 4 2 2 2 2 7 2 2" xfId="58507" xr:uid="{00000000-0005-0000-0000-0000EBA60000}"/>
    <cellStyle name="Remarque 3 4 2 2 2 2 7 3" xfId="21804" xr:uid="{00000000-0005-0000-0000-0000ECA60000}"/>
    <cellStyle name="Remarque 3 4 2 2 2 2 7 4" xfId="45764" xr:uid="{00000000-0005-0000-0000-0000EDA60000}"/>
    <cellStyle name="Remarque 3 4 2 2 2 2 8" xfId="12870" xr:uid="{00000000-0005-0000-0000-0000EEA60000}"/>
    <cellStyle name="Remarque 3 4 2 2 2 2 8 2" xfId="24182" xr:uid="{00000000-0005-0000-0000-0000EFA60000}"/>
    <cellStyle name="Remarque 3 4 2 2 2 2 8 3" xfId="48142" xr:uid="{00000000-0005-0000-0000-0000F0A60000}"/>
    <cellStyle name="Remarque 3 4 2 2 2 2 9" xfId="2009" xr:uid="{00000000-0005-0000-0000-0000F1A60000}"/>
    <cellStyle name="Remarque 3 4 2 2 2 2 9 2" xfId="26023" xr:uid="{00000000-0005-0000-0000-0000F2A60000}"/>
    <cellStyle name="Remarque 3 4 2 2 2 2 9 3" xfId="49983" xr:uid="{00000000-0005-0000-0000-0000F3A60000}"/>
    <cellStyle name="Remarque 3 4 2 2 2 3" xfId="765" xr:uid="{00000000-0005-0000-0000-0000F4A60000}"/>
    <cellStyle name="Remarque 3 4 2 2 2 3 10" xfId="24797" xr:uid="{00000000-0005-0000-0000-0000F5A60000}"/>
    <cellStyle name="Remarque 3 4 2 2 2 3 10 2" xfId="48757" xr:uid="{00000000-0005-0000-0000-0000F6A60000}"/>
    <cellStyle name="Remarque 3 4 2 2 2 3 11" xfId="36111" xr:uid="{00000000-0005-0000-0000-0000F7A60000}"/>
    <cellStyle name="Remarque 3 4 2 2 2 3 11 2" xfId="60071" xr:uid="{00000000-0005-0000-0000-0000F8A60000}"/>
    <cellStyle name="Remarque 3 4 2 2 2 3 12" xfId="13462" xr:uid="{00000000-0005-0000-0000-0000F9A60000}"/>
    <cellStyle name="Remarque 3 4 2 2 2 3 13" xfId="37422" xr:uid="{00000000-0005-0000-0000-0000FAA60000}"/>
    <cellStyle name="Remarque 3 4 2 2 2 3 2" xfId="3671" xr:uid="{00000000-0005-0000-0000-0000FBA60000}"/>
    <cellStyle name="Remarque 3 4 2 2 2 3 2 2" xfId="27685" xr:uid="{00000000-0005-0000-0000-0000FCA60000}"/>
    <cellStyle name="Remarque 3 4 2 2 2 3 2 2 2" xfId="51645" xr:uid="{00000000-0005-0000-0000-0000FDA60000}"/>
    <cellStyle name="Remarque 3 4 2 2 2 3 2 3" xfId="14932" xr:uid="{00000000-0005-0000-0000-0000FEA60000}"/>
    <cellStyle name="Remarque 3 4 2 2 2 3 2 4" xfId="38892" xr:uid="{00000000-0005-0000-0000-0000FFA60000}"/>
    <cellStyle name="Remarque 3 4 2 2 2 3 3" xfId="5105" xr:uid="{00000000-0005-0000-0000-000000A70000}"/>
    <cellStyle name="Remarque 3 4 2 2 2 3 3 2" xfId="29119" xr:uid="{00000000-0005-0000-0000-000001A70000}"/>
    <cellStyle name="Remarque 3 4 2 2 2 3 3 2 2" xfId="53079" xr:uid="{00000000-0005-0000-0000-000002A70000}"/>
    <cellStyle name="Remarque 3 4 2 2 2 3 3 3" xfId="16366" xr:uid="{00000000-0005-0000-0000-000003A70000}"/>
    <cellStyle name="Remarque 3 4 2 2 2 3 3 4" xfId="40326" xr:uid="{00000000-0005-0000-0000-000004A70000}"/>
    <cellStyle name="Remarque 3 4 2 2 2 3 4" xfId="6499" xr:uid="{00000000-0005-0000-0000-000005A70000}"/>
    <cellStyle name="Remarque 3 4 2 2 2 3 4 2" xfId="30513" xr:uid="{00000000-0005-0000-0000-000006A70000}"/>
    <cellStyle name="Remarque 3 4 2 2 2 3 4 2 2" xfId="54473" xr:uid="{00000000-0005-0000-0000-000007A70000}"/>
    <cellStyle name="Remarque 3 4 2 2 2 3 4 3" xfId="17760" xr:uid="{00000000-0005-0000-0000-000008A70000}"/>
    <cellStyle name="Remarque 3 4 2 2 2 3 4 4" xfId="41720" xr:uid="{00000000-0005-0000-0000-000009A70000}"/>
    <cellStyle name="Remarque 3 4 2 2 2 3 5" xfId="7887" xr:uid="{00000000-0005-0000-0000-00000AA70000}"/>
    <cellStyle name="Remarque 3 4 2 2 2 3 5 2" xfId="31901" xr:uid="{00000000-0005-0000-0000-00000BA70000}"/>
    <cellStyle name="Remarque 3 4 2 2 2 3 5 2 2" xfId="55861" xr:uid="{00000000-0005-0000-0000-00000CA70000}"/>
    <cellStyle name="Remarque 3 4 2 2 2 3 5 3" xfId="19148" xr:uid="{00000000-0005-0000-0000-00000DA70000}"/>
    <cellStyle name="Remarque 3 4 2 2 2 3 5 4" xfId="43108" xr:uid="{00000000-0005-0000-0000-00000EA70000}"/>
    <cellStyle name="Remarque 3 4 2 2 2 3 6" xfId="9272" xr:uid="{00000000-0005-0000-0000-00000FA70000}"/>
    <cellStyle name="Remarque 3 4 2 2 2 3 6 2" xfId="33286" xr:uid="{00000000-0005-0000-0000-000010A70000}"/>
    <cellStyle name="Remarque 3 4 2 2 2 3 6 2 2" xfId="57246" xr:uid="{00000000-0005-0000-0000-000011A70000}"/>
    <cellStyle name="Remarque 3 4 2 2 2 3 6 3" xfId="20533" xr:uid="{00000000-0005-0000-0000-000012A70000}"/>
    <cellStyle name="Remarque 3 4 2 2 2 3 6 4" xfId="44493" xr:uid="{00000000-0005-0000-0000-000013A70000}"/>
    <cellStyle name="Remarque 3 4 2 2 2 3 7" xfId="10729" xr:uid="{00000000-0005-0000-0000-000014A70000}"/>
    <cellStyle name="Remarque 3 4 2 2 2 3 7 2" xfId="34739" xr:uid="{00000000-0005-0000-0000-000015A70000}"/>
    <cellStyle name="Remarque 3 4 2 2 2 3 7 2 2" xfId="58699" xr:uid="{00000000-0005-0000-0000-000016A70000}"/>
    <cellStyle name="Remarque 3 4 2 2 2 3 7 3" xfId="21996" xr:uid="{00000000-0005-0000-0000-000017A70000}"/>
    <cellStyle name="Remarque 3 4 2 2 2 3 7 4" xfId="45956" xr:uid="{00000000-0005-0000-0000-000018A70000}"/>
    <cellStyle name="Remarque 3 4 2 2 2 3 8" xfId="11608" xr:uid="{00000000-0005-0000-0000-000019A70000}"/>
    <cellStyle name="Remarque 3 4 2 2 2 3 8 2" xfId="22875" xr:uid="{00000000-0005-0000-0000-00001AA70000}"/>
    <cellStyle name="Remarque 3 4 2 2 2 3 8 3" xfId="46835" xr:uid="{00000000-0005-0000-0000-00001BA70000}"/>
    <cellStyle name="Remarque 3 4 2 2 2 3 9" xfId="2201" xr:uid="{00000000-0005-0000-0000-00001CA70000}"/>
    <cellStyle name="Remarque 3 4 2 2 2 3 9 2" xfId="26215" xr:uid="{00000000-0005-0000-0000-00001DA70000}"/>
    <cellStyle name="Remarque 3 4 2 2 2 3 9 3" xfId="50175" xr:uid="{00000000-0005-0000-0000-00001EA70000}"/>
    <cellStyle name="Remarque 3 4 2 2 2 4" xfId="959" xr:uid="{00000000-0005-0000-0000-00001FA70000}"/>
    <cellStyle name="Remarque 3 4 2 2 2 4 10" xfId="24991" xr:uid="{00000000-0005-0000-0000-000020A70000}"/>
    <cellStyle name="Remarque 3 4 2 2 2 4 10 2" xfId="48951" xr:uid="{00000000-0005-0000-0000-000021A70000}"/>
    <cellStyle name="Remarque 3 4 2 2 2 4 11" xfId="35951" xr:uid="{00000000-0005-0000-0000-000022A70000}"/>
    <cellStyle name="Remarque 3 4 2 2 2 4 11 2" xfId="59911" xr:uid="{00000000-0005-0000-0000-000023A70000}"/>
    <cellStyle name="Remarque 3 4 2 2 2 4 12" xfId="13656" xr:uid="{00000000-0005-0000-0000-000024A70000}"/>
    <cellStyle name="Remarque 3 4 2 2 2 4 13" xfId="37616" xr:uid="{00000000-0005-0000-0000-000025A70000}"/>
    <cellStyle name="Remarque 3 4 2 2 2 4 2" xfId="3865" xr:uid="{00000000-0005-0000-0000-000026A70000}"/>
    <cellStyle name="Remarque 3 4 2 2 2 4 2 2" xfId="27879" xr:uid="{00000000-0005-0000-0000-000027A70000}"/>
    <cellStyle name="Remarque 3 4 2 2 2 4 2 2 2" xfId="51839" xr:uid="{00000000-0005-0000-0000-000028A70000}"/>
    <cellStyle name="Remarque 3 4 2 2 2 4 2 3" xfId="15126" xr:uid="{00000000-0005-0000-0000-000029A70000}"/>
    <cellStyle name="Remarque 3 4 2 2 2 4 2 4" xfId="39086" xr:uid="{00000000-0005-0000-0000-00002AA70000}"/>
    <cellStyle name="Remarque 3 4 2 2 2 4 3" xfId="5299" xr:uid="{00000000-0005-0000-0000-00002BA70000}"/>
    <cellStyle name="Remarque 3 4 2 2 2 4 3 2" xfId="29313" xr:uid="{00000000-0005-0000-0000-00002CA70000}"/>
    <cellStyle name="Remarque 3 4 2 2 2 4 3 2 2" xfId="53273" xr:uid="{00000000-0005-0000-0000-00002DA70000}"/>
    <cellStyle name="Remarque 3 4 2 2 2 4 3 3" xfId="16560" xr:uid="{00000000-0005-0000-0000-00002EA70000}"/>
    <cellStyle name="Remarque 3 4 2 2 2 4 3 4" xfId="40520" xr:uid="{00000000-0005-0000-0000-00002FA70000}"/>
    <cellStyle name="Remarque 3 4 2 2 2 4 4" xfId="6693" xr:uid="{00000000-0005-0000-0000-000030A70000}"/>
    <cellStyle name="Remarque 3 4 2 2 2 4 4 2" xfId="30707" xr:uid="{00000000-0005-0000-0000-000031A70000}"/>
    <cellStyle name="Remarque 3 4 2 2 2 4 4 2 2" xfId="54667" xr:uid="{00000000-0005-0000-0000-000032A70000}"/>
    <cellStyle name="Remarque 3 4 2 2 2 4 4 3" xfId="17954" xr:uid="{00000000-0005-0000-0000-000033A70000}"/>
    <cellStyle name="Remarque 3 4 2 2 2 4 4 4" xfId="41914" xr:uid="{00000000-0005-0000-0000-000034A70000}"/>
    <cellStyle name="Remarque 3 4 2 2 2 4 5" xfId="8081" xr:uid="{00000000-0005-0000-0000-000035A70000}"/>
    <cellStyle name="Remarque 3 4 2 2 2 4 5 2" xfId="32095" xr:uid="{00000000-0005-0000-0000-000036A70000}"/>
    <cellStyle name="Remarque 3 4 2 2 2 4 5 2 2" xfId="56055" xr:uid="{00000000-0005-0000-0000-000037A70000}"/>
    <cellStyle name="Remarque 3 4 2 2 2 4 5 3" xfId="19342" xr:uid="{00000000-0005-0000-0000-000038A70000}"/>
    <cellStyle name="Remarque 3 4 2 2 2 4 5 4" xfId="43302" xr:uid="{00000000-0005-0000-0000-000039A70000}"/>
    <cellStyle name="Remarque 3 4 2 2 2 4 6" xfId="9466" xr:uid="{00000000-0005-0000-0000-00003AA70000}"/>
    <cellStyle name="Remarque 3 4 2 2 2 4 6 2" xfId="33480" xr:uid="{00000000-0005-0000-0000-00003BA70000}"/>
    <cellStyle name="Remarque 3 4 2 2 2 4 6 2 2" xfId="57440" xr:uid="{00000000-0005-0000-0000-00003CA70000}"/>
    <cellStyle name="Remarque 3 4 2 2 2 4 6 3" xfId="20727" xr:uid="{00000000-0005-0000-0000-00003DA70000}"/>
    <cellStyle name="Remarque 3 4 2 2 2 4 6 4" xfId="44687" xr:uid="{00000000-0005-0000-0000-00003EA70000}"/>
    <cellStyle name="Remarque 3 4 2 2 2 4 7" xfId="10923" xr:uid="{00000000-0005-0000-0000-00003FA70000}"/>
    <cellStyle name="Remarque 3 4 2 2 2 4 7 2" xfId="34933" xr:uid="{00000000-0005-0000-0000-000040A70000}"/>
    <cellStyle name="Remarque 3 4 2 2 2 4 7 2 2" xfId="58893" xr:uid="{00000000-0005-0000-0000-000041A70000}"/>
    <cellStyle name="Remarque 3 4 2 2 2 4 7 3" xfId="22190" xr:uid="{00000000-0005-0000-0000-000042A70000}"/>
    <cellStyle name="Remarque 3 4 2 2 2 4 7 4" xfId="46150" xr:uid="{00000000-0005-0000-0000-000043A70000}"/>
    <cellStyle name="Remarque 3 4 2 2 2 4 8" xfId="12700" xr:uid="{00000000-0005-0000-0000-000044A70000}"/>
    <cellStyle name="Remarque 3 4 2 2 2 4 8 2" xfId="24005" xr:uid="{00000000-0005-0000-0000-000045A70000}"/>
    <cellStyle name="Remarque 3 4 2 2 2 4 8 3" xfId="47965" xr:uid="{00000000-0005-0000-0000-000046A70000}"/>
    <cellStyle name="Remarque 3 4 2 2 2 4 9" xfId="2395" xr:uid="{00000000-0005-0000-0000-000047A70000}"/>
    <cellStyle name="Remarque 3 4 2 2 2 4 9 2" xfId="26409" xr:uid="{00000000-0005-0000-0000-000048A70000}"/>
    <cellStyle name="Remarque 3 4 2 2 2 4 9 3" xfId="50369" xr:uid="{00000000-0005-0000-0000-000049A70000}"/>
    <cellStyle name="Remarque 3 4 2 2 2 5" xfId="1152" xr:uid="{00000000-0005-0000-0000-00004AA70000}"/>
    <cellStyle name="Remarque 3 4 2 2 2 5 10" xfId="25184" xr:uid="{00000000-0005-0000-0000-00004BA70000}"/>
    <cellStyle name="Remarque 3 4 2 2 2 5 10 2" xfId="49144" xr:uid="{00000000-0005-0000-0000-00004CA70000}"/>
    <cellStyle name="Remarque 3 4 2 2 2 5 11" xfId="35972" xr:uid="{00000000-0005-0000-0000-00004DA70000}"/>
    <cellStyle name="Remarque 3 4 2 2 2 5 11 2" xfId="59932" xr:uid="{00000000-0005-0000-0000-00004EA70000}"/>
    <cellStyle name="Remarque 3 4 2 2 2 5 12" xfId="13849" xr:uid="{00000000-0005-0000-0000-00004FA70000}"/>
    <cellStyle name="Remarque 3 4 2 2 2 5 13" xfId="37809" xr:uid="{00000000-0005-0000-0000-000050A70000}"/>
    <cellStyle name="Remarque 3 4 2 2 2 5 2" xfId="4058" xr:uid="{00000000-0005-0000-0000-000051A70000}"/>
    <cellStyle name="Remarque 3 4 2 2 2 5 2 2" xfId="28072" xr:uid="{00000000-0005-0000-0000-000052A70000}"/>
    <cellStyle name="Remarque 3 4 2 2 2 5 2 2 2" xfId="52032" xr:uid="{00000000-0005-0000-0000-000053A70000}"/>
    <cellStyle name="Remarque 3 4 2 2 2 5 2 3" xfId="15319" xr:uid="{00000000-0005-0000-0000-000054A70000}"/>
    <cellStyle name="Remarque 3 4 2 2 2 5 2 4" xfId="39279" xr:uid="{00000000-0005-0000-0000-000055A70000}"/>
    <cellStyle name="Remarque 3 4 2 2 2 5 3" xfId="5492" xr:uid="{00000000-0005-0000-0000-000056A70000}"/>
    <cellStyle name="Remarque 3 4 2 2 2 5 3 2" xfId="29506" xr:uid="{00000000-0005-0000-0000-000057A70000}"/>
    <cellStyle name="Remarque 3 4 2 2 2 5 3 2 2" xfId="53466" xr:uid="{00000000-0005-0000-0000-000058A70000}"/>
    <cellStyle name="Remarque 3 4 2 2 2 5 3 3" xfId="16753" xr:uid="{00000000-0005-0000-0000-000059A70000}"/>
    <cellStyle name="Remarque 3 4 2 2 2 5 3 4" xfId="40713" xr:uid="{00000000-0005-0000-0000-00005AA70000}"/>
    <cellStyle name="Remarque 3 4 2 2 2 5 4" xfId="6886" xr:uid="{00000000-0005-0000-0000-00005BA70000}"/>
    <cellStyle name="Remarque 3 4 2 2 2 5 4 2" xfId="30900" xr:uid="{00000000-0005-0000-0000-00005CA70000}"/>
    <cellStyle name="Remarque 3 4 2 2 2 5 4 2 2" xfId="54860" xr:uid="{00000000-0005-0000-0000-00005DA70000}"/>
    <cellStyle name="Remarque 3 4 2 2 2 5 4 3" xfId="18147" xr:uid="{00000000-0005-0000-0000-00005EA70000}"/>
    <cellStyle name="Remarque 3 4 2 2 2 5 4 4" xfId="42107" xr:uid="{00000000-0005-0000-0000-00005FA70000}"/>
    <cellStyle name="Remarque 3 4 2 2 2 5 5" xfId="8274" xr:uid="{00000000-0005-0000-0000-000060A70000}"/>
    <cellStyle name="Remarque 3 4 2 2 2 5 5 2" xfId="32288" xr:uid="{00000000-0005-0000-0000-000061A70000}"/>
    <cellStyle name="Remarque 3 4 2 2 2 5 5 2 2" xfId="56248" xr:uid="{00000000-0005-0000-0000-000062A70000}"/>
    <cellStyle name="Remarque 3 4 2 2 2 5 5 3" xfId="19535" xr:uid="{00000000-0005-0000-0000-000063A70000}"/>
    <cellStyle name="Remarque 3 4 2 2 2 5 5 4" xfId="43495" xr:uid="{00000000-0005-0000-0000-000064A70000}"/>
    <cellStyle name="Remarque 3 4 2 2 2 5 6" xfId="9659" xr:uid="{00000000-0005-0000-0000-000065A70000}"/>
    <cellStyle name="Remarque 3 4 2 2 2 5 6 2" xfId="33673" xr:uid="{00000000-0005-0000-0000-000066A70000}"/>
    <cellStyle name="Remarque 3 4 2 2 2 5 6 2 2" xfId="57633" xr:uid="{00000000-0005-0000-0000-000067A70000}"/>
    <cellStyle name="Remarque 3 4 2 2 2 5 6 3" xfId="20920" xr:uid="{00000000-0005-0000-0000-000068A70000}"/>
    <cellStyle name="Remarque 3 4 2 2 2 5 6 4" xfId="44880" xr:uid="{00000000-0005-0000-0000-000069A70000}"/>
    <cellStyle name="Remarque 3 4 2 2 2 5 7" xfId="11116" xr:uid="{00000000-0005-0000-0000-00006AA70000}"/>
    <cellStyle name="Remarque 3 4 2 2 2 5 7 2" xfId="35126" xr:uid="{00000000-0005-0000-0000-00006BA70000}"/>
    <cellStyle name="Remarque 3 4 2 2 2 5 7 2 2" xfId="59086" xr:uid="{00000000-0005-0000-0000-00006CA70000}"/>
    <cellStyle name="Remarque 3 4 2 2 2 5 7 3" xfId="22383" xr:uid="{00000000-0005-0000-0000-00006DA70000}"/>
    <cellStyle name="Remarque 3 4 2 2 2 5 7 4" xfId="46343" xr:uid="{00000000-0005-0000-0000-00006EA70000}"/>
    <cellStyle name="Remarque 3 4 2 2 2 5 8" xfId="12127" xr:uid="{00000000-0005-0000-0000-00006FA70000}"/>
    <cellStyle name="Remarque 3 4 2 2 2 5 8 2" xfId="23410" xr:uid="{00000000-0005-0000-0000-000070A70000}"/>
    <cellStyle name="Remarque 3 4 2 2 2 5 8 3" xfId="47370" xr:uid="{00000000-0005-0000-0000-000071A70000}"/>
    <cellStyle name="Remarque 3 4 2 2 2 5 9" xfId="2588" xr:uid="{00000000-0005-0000-0000-000072A70000}"/>
    <cellStyle name="Remarque 3 4 2 2 2 5 9 2" xfId="26602" xr:uid="{00000000-0005-0000-0000-000073A70000}"/>
    <cellStyle name="Remarque 3 4 2 2 2 5 9 3" xfId="50562" xr:uid="{00000000-0005-0000-0000-000074A70000}"/>
    <cellStyle name="Remarque 3 4 2 2 2 6" xfId="1319" xr:uid="{00000000-0005-0000-0000-000075A70000}"/>
    <cellStyle name="Remarque 3 4 2 2 2 6 10" xfId="25351" xr:uid="{00000000-0005-0000-0000-000076A70000}"/>
    <cellStyle name="Remarque 3 4 2 2 2 6 10 2" xfId="49311" xr:uid="{00000000-0005-0000-0000-000077A70000}"/>
    <cellStyle name="Remarque 3 4 2 2 2 6 11" xfId="36583" xr:uid="{00000000-0005-0000-0000-000078A70000}"/>
    <cellStyle name="Remarque 3 4 2 2 2 6 11 2" xfId="60543" xr:uid="{00000000-0005-0000-0000-000079A70000}"/>
    <cellStyle name="Remarque 3 4 2 2 2 6 12" xfId="14016" xr:uid="{00000000-0005-0000-0000-00007AA70000}"/>
    <cellStyle name="Remarque 3 4 2 2 2 6 13" xfId="37976" xr:uid="{00000000-0005-0000-0000-00007BA70000}"/>
    <cellStyle name="Remarque 3 4 2 2 2 6 2" xfId="4225" xr:uid="{00000000-0005-0000-0000-00007CA70000}"/>
    <cellStyle name="Remarque 3 4 2 2 2 6 2 2" xfId="28239" xr:uid="{00000000-0005-0000-0000-00007DA70000}"/>
    <cellStyle name="Remarque 3 4 2 2 2 6 2 2 2" xfId="52199" xr:uid="{00000000-0005-0000-0000-00007EA70000}"/>
    <cellStyle name="Remarque 3 4 2 2 2 6 2 3" xfId="15486" xr:uid="{00000000-0005-0000-0000-00007FA70000}"/>
    <cellStyle name="Remarque 3 4 2 2 2 6 2 4" xfId="39446" xr:uid="{00000000-0005-0000-0000-000080A70000}"/>
    <cellStyle name="Remarque 3 4 2 2 2 6 3" xfId="5659" xr:uid="{00000000-0005-0000-0000-000081A70000}"/>
    <cellStyle name="Remarque 3 4 2 2 2 6 3 2" xfId="29673" xr:uid="{00000000-0005-0000-0000-000082A70000}"/>
    <cellStyle name="Remarque 3 4 2 2 2 6 3 2 2" xfId="53633" xr:uid="{00000000-0005-0000-0000-000083A70000}"/>
    <cellStyle name="Remarque 3 4 2 2 2 6 3 3" xfId="16920" xr:uid="{00000000-0005-0000-0000-000084A70000}"/>
    <cellStyle name="Remarque 3 4 2 2 2 6 3 4" xfId="40880" xr:uid="{00000000-0005-0000-0000-000085A70000}"/>
    <cellStyle name="Remarque 3 4 2 2 2 6 4" xfId="7053" xr:uid="{00000000-0005-0000-0000-000086A70000}"/>
    <cellStyle name="Remarque 3 4 2 2 2 6 4 2" xfId="31067" xr:uid="{00000000-0005-0000-0000-000087A70000}"/>
    <cellStyle name="Remarque 3 4 2 2 2 6 4 2 2" xfId="55027" xr:uid="{00000000-0005-0000-0000-000088A70000}"/>
    <cellStyle name="Remarque 3 4 2 2 2 6 4 3" xfId="18314" xr:uid="{00000000-0005-0000-0000-000089A70000}"/>
    <cellStyle name="Remarque 3 4 2 2 2 6 4 4" xfId="42274" xr:uid="{00000000-0005-0000-0000-00008AA70000}"/>
    <cellStyle name="Remarque 3 4 2 2 2 6 5" xfId="8441" xr:uid="{00000000-0005-0000-0000-00008BA70000}"/>
    <cellStyle name="Remarque 3 4 2 2 2 6 5 2" xfId="32455" xr:uid="{00000000-0005-0000-0000-00008CA70000}"/>
    <cellStyle name="Remarque 3 4 2 2 2 6 5 2 2" xfId="56415" xr:uid="{00000000-0005-0000-0000-00008DA70000}"/>
    <cellStyle name="Remarque 3 4 2 2 2 6 5 3" xfId="19702" xr:uid="{00000000-0005-0000-0000-00008EA70000}"/>
    <cellStyle name="Remarque 3 4 2 2 2 6 5 4" xfId="43662" xr:uid="{00000000-0005-0000-0000-00008FA70000}"/>
    <cellStyle name="Remarque 3 4 2 2 2 6 6" xfId="9826" xr:uid="{00000000-0005-0000-0000-000090A70000}"/>
    <cellStyle name="Remarque 3 4 2 2 2 6 6 2" xfId="33840" xr:uid="{00000000-0005-0000-0000-000091A70000}"/>
    <cellStyle name="Remarque 3 4 2 2 2 6 6 2 2" xfId="57800" xr:uid="{00000000-0005-0000-0000-000092A70000}"/>
    <cellStyle name="Remarque 3 4 2 2 2 6 6 3" xfId="21087" xr:uid="{00000000-0005-0000-0000-000093A70000}"/>
    <cellStyle name="Remarque 3 4 2 2 2 6 6 4" xfId="45047" xr:uid="{00000000-0005-0000-0000-000094A70000}"/>
    <cellStyle name="Remarque 3 4 2 2 2 6 7" xfId="11283" xr:uid="{00000000-0005-0000-0000-000095A70000}"/>
    <cellStyle name="Remarque 3 4 2 2 2 6 7 2" xfId="35293" xr:uid="{00000000-0005-0000-0000-000096A70000}"/>
    <cellStyle name="Remarque 3 4 2 2 2 6 7 2 2" xfId="59253" xr:uid="{00000000-0005-0000-0000-000097A70000}"/>
    <cellStyle name="Remarque 3 4 2 2 2 6 7 3" xfId="22550" xr:uid="{00000000-0005-0000-0000-000098A70000}"/>
    <cellStyle name="Remarque 3 4 2 2 2 6 7 4" xfId="46510" xr:uid="{00000000-0005-0000-0000-000099A70000}"/>
    <cellStyle name="Remarque 3 4 2 2 2 6 8" xfId="12105" xr:uid="{00000000-0005-0000-0000-00009AA70000}"/>
    <cellStyle name="Remarque 3 4 2 2 2 6 8 2" xfId="23388" xr:uid="{00000000-0005-0000-0000-00009BA70000}"/>
    <cellStyle name="Remarque 3 4 2 2 2 6 8 3" xfId="47348" xr:uid="{00000000-0005-0000-0000-00009CA70000}"/>
    <cellStyle name="Remarque 3 4 2 2 2 6 9" xfId="2755" xr:uid="{00000000-0005-0000-0000-00009DA70000}"/>
    <cellStyle name="Remarque 3 4 2 2 2 6 9 2" xfId="26769" xr:uid="{00000000-0005-0000-0000-00009EA70000}"/>
    <cellStyle name="Remarque 3 4 2 2 2 6 9 3" xfId="50729" xr:uid="{00000000-0005-0000-0000-00009FA70000}"/>
    <cellStyle name="Remarque 3 4 2 2 2 7" xfId="1488" xr:uid="{00000000-0005-0000-0000-0000A0A70000}"/>
    <cellStyle name="Remarque 3 4 2 2 2 7 10" xfId="25520" xr:uid="{00000000-0005-0000-0000-0000A1A70000}"/>
    <cellStyle name="Remarque 3 4 2 2 2 7 10 2" xfId="49480" xr:uid="{00000000-0005-0000-0000-0000A2A70000}"/>
    <cellStyle name="Remarque 3 4 2 2 2 7 11" xfId="36595" xr:uid="{00000000-0005-0000-0000-0000A3A70000}"/>
    <cellStyle name="Remarque 3 4 2 2 2 7 11 2" xfId="60555" xr:uid="{00000000-0005-0000-0000-0000A4A70000}"/>
    <cellStyle name="Remarque 3 4 2 2 2 7 12" xfId="14185" xr:uid="{00000000-0005-0000-0000-0000A5A70000}"/>
    <cellStyle name="Remarque 3 4 2 2 2 7 13" xfId="38145" xr:uid="{00000000-0005-0000-0000-0000A6A70000}"/>
    <cellStyle name="Remarque 3 4 2 2 2 7 2" xfId="4394" xr:uid="{00000000-0005-0000-0000-0000A7A70000}"/>
    <cellStyle name="Remarque 3 4 2 2 2 7 2 2" xfId="28408" xr:uid="{00000000-0005-0000-0000-0000A8A70000}"/>
    <cellStyle name="Remarque 3 4 2 2 2 7 2 2 2" xfId="52368" xr:uid="{00000000-0005-0000-0000-0000A9A70000}"/>
    <cellStyle name="Remarque 3 4 2 2 2 7 2 3" xfId="15655" xr:uid="{00000000-0005-0000-0000-0000AAA70000}"/>
    <cellStyle name="Remarque 3 4 2 2 2 7 2 4" xfId="39615" xr:uid="{00000000-0005-0000-0000-0000ABA70000}"/>
    <cellStyle name="Remarque 3 4 2 2 2 7 3" xfId="5828" xr:uid="{00000000-0005-0000-0000-0000ACA70000}"/>
    <cellStyle name="Remarque 3 4 2 2 2 7 3 2" xfId="29842" xr:uid="{00000000-0005-0000-0000-0000ADA70000}"/>
    <cellStyle name="Remarque 3 4 2 2 2 7 3 2 2" xfId="53802" xr:uid="{00000000-0005-0000-0000-0000AEA70000}"/>
    <cellStyle name="Remarque 3 4 2 2 2 7 3 3" xfId="17089" xr:uid="{00000000-0005-0000-0000-0000AFA70000}"/>
    <cellStyle name="Remarque 3 4 2 2 2 7 3 4" xfId="41049" xr:uid="{00000000-0005-0000-0000-0000B0A70000}"/>
    <cellStyle name="Remarque 3 4 2 2 2 7 4" xfId="7222" xr:uid="{00000000-0005-0000-0000-0000B1A70000}"/>
    <cellStyle name="Remarque 3 4 2 2 2 7 4 2" xfId="31236" xr:uid="{00000000-0005-0000-0000-0000B2A70000}"/>
    <cellStyle name="Remarque 3 4 2 2 2 7 4 2 2" xfId="55196" xr:uid="{00000000-0005-0000-0000-0000B3A70000}"/>
    <cellStyle name="Remarque 3 4 2 2 2 7 4 3" xfId="18483" xr:uid="{00000000-0005-0000-0000-0000B4A70000}"/>
    <cellStyle name="Remarque 3 4 2 2 2 7 4 4" xfId="42443" xr:uid="{00000000-0005-0000-0000-0000B5A70000}"/>
    <cellStyle name="Remarque 3 4 2 2 2 7 5" xfId="8610" xr:uid="{00000000-0005-0000-0000-0000B6A70000}"/>
    <cellStyle name="Remarque 3 4 2 2 2 7 5 2" xfId="32624" xr:uid="{00000000-0005-0000-0000-0000B7A70000}"/>
    <cellStyle name="Remarque 3 4 2 2 2 7 5 2 2" xfId="56584" xr:uid="{00000000-0005-0000-0000-0000B8A70000}"/>
    <cellStyle name="Remarque 3 4 2 2 2 7 5 3" xfId="19871" xr:uid="{00000000-0005-0000-0000-0000B9A70000}"/>
    <cellStyle name="Remarque 3 4 2 2 2 7 5 4" xfId="43831" xr:uid="{00000000-0005-0000-0000-0000BAA70000}"/>
    <cellStyle name="Remarque 3 4 2 2 2 7 6" xfId="9995" xr:uid="{00000000-0005-0000-0000-0000BBA70000}"/>
    <cellStyle name="Remarque 3 4 2 2 2 7 6 2" xfId="34009" xr:uid="{00000000-0005-0000-0000-0000BCA70000}"/>
    <cellStyle name="Remarque 3 4 2 2 2 7 6 2 2" xfId="57969" xr:uid="{00000000-0005-0000-0000-0000BDA70000}"/>
    <cellStyle name="Remarque 3 4 2 2 2 7 6 3" xfId="21256" xr:uid="{00000000-0005-0000-0000-0000BEA70000}"/>
    <cellStyle name="Remarque 3 4 2 2 2 7 6 4" xfId="45216" xr:uid="{00000000-0005-0000-0000-0000BFA70000}"/>
    <cellStyle name="Remarque 3 4 2 2 2 7 7" xfId="11452" xr:uid="{00000000-0005-0000-0000-0000C0A70000}"/>
    <cellStyle name="Remarque 3 4 2 2 2 7 7 2" xfId="35462" xr:uid="{00000000-0005-0000-0000-0000C1A70000}"/>
    <cellStyle name="Remarque 3 4 2 2 2 7 7 2 2" xfId="59422" xr:uid="{00000000-0005-0000-0000-0000C2A70000}"/>
    <cellStyle name="Remarque 3 4 2 2 2 7 7 3" xfId="22719" xr:uid="{00000000-0005-0000-0000-0000C3A70000}"/>
    <cellStyle name="Remarque 3 4 2 2 2 7 7 4" xfId="46679" xr:uid="{00000000-0005-0000-0000-0000C4A70000}"/>
    <cellStyle name="Remarque 3 4 2 2 2 7 8" xfId="12097" xr:uid="{00000000-0005-0000-0000-0000C5A70000}"/>
    <cellStyle name="Remarque 3 4 2 2 2 7 8 2" xfId="23380" xr:uid="{00000000-0005-0000-0000-0000C6A70000}"/>
    <cellStyle name="Remarque 3 4 2 2 2 7 8 3" xfId="47340" xr:uid="{00000000-0005-0000-0000-0000C7A70000}"/>
    <cellStyle name="Remarque 3 4 2 2 2 7 9" xfId="2924" xr:uid="{00000000-0005-0000-0000-0000C8A70000}"/>
    <cellStyle name="Remarque 3 4 2 2 2 7 9 2" xfId="26938" xr:uid="{00000000-0005-0000-0000-0000C9A70000}"/>
    <cellStyle name="Remarque 3 4 2 2 2 7 9 3" xfId="50898" xr:uid="{00000000-0005-0000-0000-0000CAA70000}"/>
    <cellStyle name="Remarque 3 4 2 2 2 8" xfId="3343" xr:uid="{00000000-0005-0000-0000-0000CBA70000}"/>
    <cellStyle name="Remarque 3 4 2 2 2 8 2" xfId="27357" xr:uid="{00000000-0005-0000-0000-0000CCA70000}"/>
    <cellStyle name="Remarque 3 4 2 2 2 8 2 2" xfId="51317" xr:uid="{00000000-0005-0000-0000-0000CDA70000}"/>
    <cellStyle name="Remarque 3 4 2 2 2 8 3" xfId="14604" xr:uid="{00000000-0005-0000-0000-0000CEA70000}"/>
    <cellStyle name="Remarque 3 4 2 2 2 8 4" xfId="38564" xr:uid="{00000000-0005-0000-0000-0000CFA70000}"/>
    <cellStyle name="Remarque 3 4 2 2 2 9" xfId="4777" xr:uid="{00000000-0005-0000-0000-0000D0A70000}"/>
    <cellStyle name="Remarque 3 4 2 2 2 9 2" xfId="28791" xr:uid="{00000000-0005-0000-0000-0000D1A70000}"/>
    <cellStyle name="Remarque 3 4 2 2 2 9 2 2" xfId="52751" xr:uid="{00000000-0005-0000-0000-0000D2A70000}"/>
    <cellStyle name="Remarque 3 4 2 2 2 9 3" xfId="16038" xr:uid="{00000000-0005-0000-0000-0000D3A70000}"/>
    <cellStyle name="Remarque 3 4 2 2 2 9 4" xfId="39998" xr:uid="{00000000-0005-0000-0000-0000D4A70000}"/>
    <cellStyle name="Remarque 3 4 2 2 20" xfId="12959" xr:uid="{00000000-0005-0000-0000-0000D5A70000}"/>
    <cellStyle name="Remarque 3 4 2 2 21" xfId="36919" xr:uid="{00000000-0005-0000-0000-0000D6A70000}"/>
    <cellStyle name="Remarque 3 4 2 2 22" xfId="262" xr:uid="{00000000-0005-0000-0000-0000D7A70000}"/>
    <cellStyle name="Remarque 3 4 2 2 3" xfId="361" xr:uid="{00000000-0005-0000-0000-0000D8A70000}"/>
    <cellStyle name="Remarque 3 4 2 2 3 10" xfId="24393" xr:uid="{00000000-0005-0000-0000-0000D9A70000}"/>
    <cellStyle name="Remarque 3 4 2 2 3 10 2" xfId="48353" xr:uid="{00000000-0005-0000-0000-0000DAA70000}"/>
    <cellStyle name="Remarque 3 4 2 2 3 11" xfId="35781" xr:uid="{00000000-0005-0000-0000-0000DBA70000}"/>
    <cellStyle name="Remarque 3 4 2 2 3 11 2" xfId="59741" xr:uid="{00000000-0005-0000-0000-0000DCA70000}"/>
    <cellStyle name="Remarque 3 4 2 2 3 12" xfId="13058" xr:uid="{00000000-0005-0000-0000-0000DDA70000}"/>
    <cellStyle name="Remarque 3 4 2 2 3 13" xfId="37018" xr:uid="{00000000-0005-0000-0000-0000DEA70000}"/>
    <cellStyle name="Remarque 3 4 2 2 3 2" xfId="3267" xr:uid="{00000000-0005-0000-0000-0000DFA70000}"/>
    <cellStyle name="Remarque 3 4 2 2 3 2 2" xfId="27281" xr:uid="{00000000-0005-0000-0000-0000E0A70000}"/>
    <cellStyle name="Remarque 3 4 2 2 3 2 2 2" xfId="51241" xr:uid="{00000000-0005-0000-0000-0000E1A70000}"/>
    <cellStyle name="Remarque 3 4 2 2 3 2 3" xfId="14528" xr:uid="{00000000-0005-0000-0000-0000E2A70000}"/>
    <cellStyle name="Remarque 3 4 2 2 3 2 4" xfId="38488" xr:uid="{00000000-0005-0000-0000-0000E3A70000}"/>
    <cellStyle name="Remarque 3 4 2 2 3 3" xfId="4701" xr:uid="{00000000-0005-0000-0000-0000E4A70000}"/>
    <cellStyle name="Remarque 3 4 2 2 3 3 2" xfId="28715" xr:uid="{00000000-0005-0000-0000-0000E5A70000}"/>
    <cellStyle name="Remarque 3 4 2 2 3 3 2 2" xfId="52675" xr:uid="{00000000-0005-0000-0000-0000E6A70000}"/>
    <cellStyle name="Remarque 3 4 2 2 3 3 3" xfId="15962" xr:uid="{00000000-0005-0000-0000-0000E7A70000}"/>
    <cellStyle name="Remarque 3 4 2 2 3 3 4" xfId="39922" xr:uid="{00000000-0005-0000-0000-0000E8A70000}"/>
    <cellStyle name="Remarque 3 4 2 2 3 4" xfId="6095" xr:uid="{00000000-0005-0000-0000-0000E9A70000}"/>
    <cellStyle name="Remarque 3 4 2 2 3 4 2" xfId="30109" xr:uid="{00000000-0005-0000-0000-0000EAA70000}"/>
    <cellStyle name="Remarque 3 4 2 2 3 4 2 2" xfId="54069" xr:uid="{00000000-0005-0000-0000-0000EBA70000}"/>
    <cellStyle name="Remarque 3 4 2 2 3 4 3" xfId="17356" xr:uid="{00000000-0005-0000-0000-0000ECA70000}"/>
    <cellStyle name="Remarque 3 4 2 2 3 4 4" xfId="41316" xr:uid="{00000000-0005-0000-0000-0000EDA70000}"/>
    <cellStyle name="Remarque 3 4 2 2 3 5" xfId="7483" xr:uid="{00000000-0005-0000-0000-0000EEA70000}"/>
    <cellStyle name="Remarque 3 4 2 2 3 5 2" xfId="31497" xr:uid="{00000000-0005-0000-0000-0000EFA70000}"/>
    <cellStyle name="Remarque 3 4 2 2 3 5 2 2" xfId="55457" xr:uid="{00000000-0005-0000-0000-0000F0A70000}"/>
    <cellStyle name="Remarque 3 4 2 2 3 5 3" xfId="18744" xr:uid="{00000000-0005-0000-0000-0000F1A70000}"/>
    <cellStyle name="Remarque 3 4 2 2 3 5 4" xfId="42704" xr:uid="{00000000-0005-0000-0000-0000F2A70000}"/>
    <cellStyle name="Remarque 3 4 2 2 3 6" xfId="8868" xr:uid="{00000000-0005-0000-0000-0000F3A70000}"/>
    <cellStyle name="Remarque 3 4 2 2 3 6 2" xfId="32882" xr:uid="{00000000-0005-0000-0000-0000F4A70000}"/>
    <cellStyle name="Remarque 3 4 2 2 3 6 2 2" xfId="56842" xr:uid="{00000000-0005-0000-0000-0000F5A70000}"/>
    <cellStyle name="Remarque 3 4 2 2 3 6 3" xfId="20129" xr:uid="{00000000-0005-0000-0000-0000F6A70000}"/>
    <cellStyle name="Remarque 3 4 2 2 3 6 4" xfId="44089" xr:uid="{00000000-0005-0000-0000-0000F7A70000}"/>
    <cellStyle name="Remarque 3 4 2 2 3 7" xfId="10325" xr:uid="{00000000-0005-0000-0000-0000F8A70000}"/>
    <cellStyle name="Remarque 3 4 2 2 3 7 2" xfId="34335" xr:uid="{00000000-0005-0000-0000-0000F9A70000}"/>
    <cellStyle name="Remarque 3 4 2 2 3 7 2 2" xfId="58295" xr:uid="{00000000-0005-0000-0000-0000FAA70000}"/>
    <cellStyle name="Remarque 3 4 2 2 3 7 3" xfId="21592" xr:uid="{00000000-0005-0000-0000-0000FBA70000}"/>
    <cellStyle name="Remarque 3 4 2 2 3 7 4" xfId="45552" xr:uid="{00000000-0005-0000-0000-0000FCA70000}"/>
    <cellStyle name="Remarque 3 4 2 2 3 8" xfId="11614" xr:uid="{00000000-0005-0000-0000-0000FDA70000}"/>
    <cellStyle name="Remarque 3 4 2 2 3 8 2" xfId="22882" xr:uid="{00000000-0005-0000-0000-0000FEA70000}"/>
    <cellStyle name="Remarque 3 4 2 2 3 8 3" xfId="46842" xr:uid="{00000000-0005-0000-0000-0000FFA70000}"/>
    <cellStyle name="Remarque 3 4 2 2 3 9" xfId="1797" xr:uid="{00000000-0005-0000-0000-000000A80000}"/>
    <cellStyle name="Remarque 3 4 2 2 3 9 2" xfId="25811" xr:uid="{00000000-0005-0000-0000-000001A80000}"/>
    <cellStyle name="Remarque 3 4 2 2 3 9 3" xfId="49771" xr:uid="{00000000-0005-0000-0000-000002A80000}"/>
    <cellStyle name="Remarque 3 4 2 2 4" xfId="497" xr:uid="{00000000-0005-0000-0000-000003A80000}"/>
    <cellStyle name="Remarque 3 4 2 2 4 10" xfId="24529" xr:uid="{00000000-0005-0000-0000-000004A80000}"/>
    <cellStyle name="Remarque 3 4 2 2 4 10 2" xfId="48489" xr:uid="{00000000-0005-0000-0000-000005A80000}"/>
    <cellStyle name="Remarque 3 4 2 2 4 11" xfId="35682" xr:uid="{00000000-0005-0000-0000-000006A80000}"/>
    <cellStyle name="Remarque 3 4 2 2 4 11 2" xfId="59642" xr:uid="{00000000-0005-0000-0000-000007A80000}"/>
    <cellStyle name="Remarque 3 4 2 2 4 12" xfId="13194" xr:uid="{00000000-0005-0000-0000-000008A80000}"/>
    <cellStyle name="Remarque 3 4 2 2 4 13" xfId="37154" xr:uid="{00000000-0005-0000-0000-000009A80000}"/>
    <cellStyle name="Remarque 3 4 2 2 4 2" xfId="3403" xr:uid="{00000000-0005-0000-0000-00000AA80000}"/>
    <cellStyle name="Remarque 3 4 2 2 4 2 2" xfId="27417" xr:uid="{00000000-0005-0000-0000-00000BA80000}"/>
    <cellStyle name="Remarque 3 4 2 2 4 2 2 2" xfId="51377" xr:uid="{00000000-0005-0000-0000-00000CA80000}"/>
    <cellStyle name="Remarque 3 4 2 2 4 2 3" xfId="14664" xr:uid="{00000000-0005-0000-0000-00000DA80000}"/>
    <cellStyle name="Remarque 3 4 2 2 4 2 4" xfId="38624" xr:uid="{00000000-0005-0000-0000-00000EA80000}"/>
    <cellStyle name="Remarque 3 4 2 2 4 3" xfId="4837" xr:uid="{00000000-0005-0000-0000-00000FA80000}"/>
    <cellStyle name="Remarque 3 4 2 2 4 3 2" xfId="28851" xr:uid="{00000000-0005-0000-0000-000010A80000}"/>
    <cellStyle name="Remarque 3 4 2 2 4 3 2 2" xfId="52811" xr:uid="{00000000-0005-0000-0000-000011A80000}"/>
    <cellStyle name="Remarque 3 4 2 2 4 3 3" xfId="16098" xr:uid="{00000000-0005-0000-0000-000012A80000}"/>
    <cellStyle name="Remarque 3 4 2 2 4 3 4" xfId="40058" xr:uid="{00000000-0005-0000-0000-000013A80000}"/>
    <cellStyle name="Remarque 3 4 2 2 4 4" xfId="6231" xr:uid="{00000000-0005-0000-0000-000014A80000}"/>
    <cellStyle name="Remarque 3 4 2 2 4 4 2" xfId="30245" xr:uid="{00000000-0005-0000-0000-000015A80000}"/>
    <cellStyle name="Remarque 3 4 2 2 4 4 2 2" xfId="54205" xr:uid="{00000000-0005-0000-0000-000016A80000}"/>
    <cellStyle name="Remarque 3 4 2 2 4 4 3" xfId="17492" xr:uid="{00000000-0005-0000-0000-000017A80000}"/>
    <cellStyle name="Remarque 3 4 2 2 4 4 4" xfId="41452" xr:uid="{00000000-0005-0000-0000-000018A80000}"/>
    <cellStyle name="Remarque 3 4 2 2 4 5" xfId="7619" xr:uid="{00000000-0005-0000-0000-000019A80000}"/>
    <cellStyle name="Remarque 3 4 2 2 4 5 2" xfId="31633" xr:uid="{00000000-0005-0000-0000-00001AA80000}"/>
    <cellStyle name="Remarque 3 4 2 2 4 5 2 2" xfId="55593" xr:uid="{00000000-0005-0000-0000-00001BA80000}"/>
    <cellStyle name="Remarque 3 4 2 2 4 5 3" xfId="18880" xr:uid="{00000000-0005-0000-0000-00001CA80000}"/>
    <cellStyle name="Remarque 3 4 2 2 4 5 4" xfId="42840" xr:uid="{00000000-0005-0000-0000-00001DA80000}"/>
    <cellStyle name="Remarque 3 4 2 2 4 6" xfId="9004" xr:uid="{00000000-0005-0000-0000-00001EA80000}"/>
    <cellStyle name="Remarque 3 4 2 2 4 6 2" xfId="33018" xr:uid="{00000000-0005-0000-0000-00001FA80000}"/>
    <cellStyle name="Remarque 3 4 2 2 4 6 2 2" xfId="56978" xr:uid="{00000000-0005-0000-0000-000020A80000}"/>
    <cellStyle name="Remarque 3 4 2 2 4 6 3" xfId="20265" xr:uid="{00000000-0005-0000-0000-000021A80000}"/>
    <cellStyle name="Remarque 3 4 2 2 4 6 4" xfId="44225" xr:uid="{00000000-0005-0000-0000-000022A80000}"/>
    <cellStyle name="Remarque 3 4 2 2 4 7" xfId="10461" xr:uid="{00000000-0005-0000-0000-000023A80000}"/>
    <cellStyle name="Remarque 3 4 2 2 4 7 2" xfId="34471" xr:uid="{00000000-0005-0000-0000-000024A80000}"/>
    <cellStyle name="Remarque 3 4 2 2 4 7 2 2" xfId="58431" xr:uid="{00000000-0005-0000-0000-000025A80000}"/>
    <cellStyle name="Remarque 3 4 2 2 4 7 3" xfId="21728" xr:uid="{00000000-0005-0000-0000-000026A80000}"/>
    <cellStyle name="Remarque 3 4 2 2 4 7 4" xfId="45688" xr:uid="{00000000-0005-0000-0000-000027A80000}"/>
    <cellStyle name="Remarque 3 4 2 2 4 8" xfId="12837" xr:uid="{00000000-0005-0000-0000-000028A80000}"/>
    <cellStyle name="Remarque 3 4 2 2 4 8 2" xfId="24148" xr:uid="{00000000-0005-0000-0000-000029A80000}"/>
    <cellStyle name="Remarque 3 4 2 2 4 8 3" xfId="48108" xr:uid="{00000000-0005-0000-0000-00002AA80000}"/>
    <cellStyle name="Remarque 3 4 2 2 4 9" xfId="1933" xr:uid="{00000000-0005-0000-0000-00002BA80000}"/>
    <cellStyle name="Remarque 3 4 2 2 4 9 2" xfId="25947" xr:uid="{00000000-0005-0000-0000-00002CA80000}"/>
    <cellStyle name="Remarque 3 4 2 2 4 9 3" xfId="49907" xr:uid="{00000000-0005-0000-0000-00002DA80000}"/>
    <cellStyle name="Remarque 3 4 2 2 5" xfId="689" xr:uid="{00000000-0005-0000-0000-00002EA80000}"/>
    <cellStyle name="Remarque 3 4 2 2 5 10" xfId="24721" xr:uid="{00000000-0005-0000-0000-00002FA80000}"/>
    <cellStyle name="Remarque 3 4 2 2 5 10 2" xfId="48681" xr:uid="{00000000-0005-0000-0000-000030A80000}"/>
    <cellStyle name="Remarque 3 4 2 2 5 11" xfId="36110" xr:uid="{00000000-0005-0000-0000-000031A80000}"/>
    <cellStyle name="Remarque 3 4 2 2 5 11 2" xfId="60070" xr:uid="{00000000-0005-0000-0000-000032A80000}"/>
    <cellStyle name="Remarque 3 4 2 2 5 12" xfId="13386" xr:uid="{00000000-0005-0000-0000-000033A80000}"/>
    <cellStyle name="Remarque 3 4 2 2 5 13" xfId="37346" xr:uid="{00000000-0005-0000-0000-000034A80000}"/>
    <cellStyle name="Remarque 3 4 2 2 5 2" xfId="3595" xr:uid="{00000000-0005-0000-0000-000035A80000}"/>
    <cellStyle name="Remarque 3 4 2 2 5 2 2" xfId="27609" xr:uid="{00000000-0005-0000-0000-000036A80000}"/>
    <cellStyle name="Remarque 3 4 2 2 5 2 2 2" xfId="51569" xr:uid="{00000000-0005-0000-0000-000037A80000}"/>
    <cellStyle name="Remarque 3 4 2 2 5 2 3" xfId="14856" xr:uid="{00000000-0005-0000-0000-000038A80000}"/>
    <cellStyle name="Remarque 3 4 2 2 5 2 4" xfId="38816" xr:uid="{00000000-0005-0000-0000-000039A80000}"/>
    <cellStyle name="Remarque 3 4 2 2 5 3" xfId="5029" xr:uid="{00000000-0005-0000-0000-00003AA80000}"/>
    <cellStyle name="Remarque 3 4 2 2 5 3 2" xfId="29043" xr:uid="{00000000-0005-0000-0000-00003BA80000}"/>
    <cellStyle name="Remarque 3 4 2 2 5 3 2 2" xfId="53003" xr:uid="{00000000-0005-0000-0000-00003CA80000}"/>
    <cellStyle name="Remarque 3 4 2 2 5 3 3" xfId="16290" xr:uid="{00000000-0005-0000-0000-00003DA80000}"/>
    <cellStyle name="Remarque 3 4 2 2 5 3 4" xfId="40250" xr:uid="{00000000-0005-0000-0000-00003EA80000}"/>
    <cellStyle name="Remarque 3 4 2 2 5 4" xfId="6423" xr:uid="{00000000-0005-0000-0000-00003FA80000}"/>
    <cellStyle name="Remarque 3 4 2 2 5 4 2" xfId="30437" xr:uid="{00000000-0005-0000-0000-000040A80000}"/>
    <cellStyle name="Remarque 3 4 2 2 5 4 2 2" xfId="54397" xr:uid="{00000000-0005-0000-0000-000041A80000}"/>
    <cellStyle name="Remarque 3 4 2 2 5 4 3" xfId="17684" xr:uid="{00000000-0005-0000-0000-000042A80000}"/>
    <cellStyle name="Remarque 3 4 2 2 5 4 4" xfId="41644" xr:uid="{00000000-0005-0000-0000-000043A80000}"/>
    <cellStyle name="Remarque 3 4 2 2 5 5" xfId="7811" xr:uid="{00000000-0005-0000-0000-000044A80000}"/>
    <cellStyle name="Remarque 3 4 2 2 5 5 2" xfId="31825" xr:uid="{00000000-0005-0000-0000-000045A80000}"/>
    <cellStyle name="Remarque 3 4 2 2 5 5 2 2" xfId="55785" xr:uid="{00000000-0005-0000-0000-000046A80000}"/>
    <cellStyle name="Remarque 3 4 2 2 5 5 3" xfId="19072" xr:uid="{00000000-0005-0000-0000-000047A80000}"/>
    <cellStyle name="Remarque 3 4 2 2 5 5 4" xfId="43032" xr:uid="{00000000-0005-0000-0000-000048A80000}"/>
    <cellStyle name="Remarque 3 4 2 2 5 6" xfId="9196" xr:uid="{00000000-0005-0000-0000-000049A80000}"/>
    <cellStyle name="Remarque 3 4 2 2 5 6 2" xfId="33210" xr:uid="{00000000-0005-0000-0000-00004AA80000}"/>
    <cellStyle name="Remarque 3 4 2 2 5 6 2 2" xfId="57170" xr:uid="{00000000-0005-0000-0000-00004BA80000}"/>
    <cellStyle name="Remarque 3 4 2 2 5 6 3" xfId="20457" xr:uid="{00000000-0005-0000-0000-00004CA80000}"/>
    <cellStyle name="Remarque 3 4 2 2 5 6 4" xfId="44417" xr:uid="{00000000-0005-0000-0000-00004DA80000}"/>
    <cellStyle name="Remarque 3 4 2 2 5 7" xfId="10653" xr:uid="{00000000-0005-0000-0000-00004EA80000}"/>
    <cellStyle name="Remarque 3 4 2 2 5 7 2" xfId="34663" xr:uid="{00000000-0005-0000-0000-00004FA80000}"/>
    <cellStyle name="Remarque 3 4 2 2 5 7 2 2" xfId="58623" xr:uid="{00000000-0005-0000-0000-000050A80000}"/>
    <cellStyle name="Remarque 3 4 2 2 5 7 3" xfId="21920" xr:uid="{00000000-0005-0000-0000-000051A80000}"/>
    <cellStyle name="Remarque 3 4 2 2 5 7 4" xfId="45880" xr:uid="{00000000-0005-0000-0000-000052A80000}"/>
    <cellStyle name="Remarque 3 4 2 2 5 8" xfId="11690" xr:uid="{00000000-0005-0000-0000-000053A80000}"/>
    <cellStyle name="Remarque 3 4 2 2 5 8 2" xfId="22959" xr:uid="{00000000-0005-0000-0000-000054A80000}"/>
    <cellStyle name="Remarque 3 4 2 2 5 8 3" xfId="46919" xr:uid="{00000000-0005-0000-0000-000055A80000}"/>
    <cellStyle name="Remarque 3 4 2 2 5 9" xfId="2125" xr:uid="{00000000-0005-0000-0000-000056A80000}"/>
    <cellStyle name="Remarque 3 4 2 2 5 9 2" xfId="26139" xr:uid="{00000000-0005-0000-0000-000057A80000}"/>
    <cellStyle name="Remarque 3 4 2 2 5 9 3" xfId="50099" xr:uid="{00000000-0005-0000-0000-000058A80000}"/>
    <cellStyle name="Remarque 3 4 2 2 6" xfId="883" xr:uid="{00000000-0005-0000-0000-000059A80000}"/>
    <cellStyle name="Remarque 3 4 2 2 6 10" xfId="24915" xr:uid="{00000000-0005-0000-0000-00005AA80000}"/>
    <cellStyle name="Remarque 3 4 2 2 6 10 2" xfId="48875" xr:uid="{00000000-0005-0000-0000-00005BA80000}"/>
    <cellStyle name="Remarque 3 4 2 2 6 11" xfId="36459" xr:uid="{00000000-0005-0000-0000-00005CA80000}"/>
    <cellStyle name="Remarque 3 4 2 2 6 11 2" xfId="60419" xr:uid="{00000000-0005-0000-0000-00005DA80000}"/>
    <cellStyle name="Remarque 3 4 2 2 6 12" xfId="13580" xr:uid="{00000000-0005-0000-0000-00005EA80000}"/>
    <cellStyle name="Remarque 3 4 2 2 6 13" xfId="37540" xr:uid="{00000000-0005-0000-0000-00005FA80000}"/>
    <cellStyle name="Remarque 3 4 2 2 6 2" xfId="3789" xr:uid="{00000000-0005-0000-0000-000060A80000}"/>
    <cellStyle name="Remarque 3 4 2 2 6 2 2" xfId="27803" xr:uid="{00000000-0005-0000-0000-000061A80000}"/>
    <cellStyle name="Remarque 3 4 2 2 6 2 2 2" xfId="51763" xr:uid="{00000000-0005-0000-0000-000062A80000}"/>
    <cellStyle name="Remarque 3 4 2 2 6 2 3" xfId="15050" xr:uid="{00000000-0005-0000-0000-000063A80000}"/>
    <cellStyle name="Remarque 3 4 2 2 6 2 4" xfId="39010" xr:uid="{00000000-0005-0000-0000-000064A80000}"/>
    <cellStyle name="Remarque 3 4 2 2 6 3" xfId="5223" xr:uid="{00000000-0005-0000-0000-000065A80000}"/>
    <cellStyle name="Remarque 3 4 2 2 6 3 2" xfId="29237" xr:uid="{00000000-0005-0000-0000-000066A80000}"/>
    <cellStyle name="Remarque 3 4 2 2 6 3 2 2" xfId="53197" xr:uid="{00000000-0005-0000-0000-000067A80000}"/>
    <cellStyle name="Remarque 3 4 2 2 6 3 3" xfId="16484" xr:uid="{00000000-0005-0000-0000-000068A80000}"/>
    <cellStyle name="Remarque 3 4 2 2 6 3 4" xfId="40444" xr:uid="{00000000-0005-0000-0000-000069A80000}"/>
    <cellStyle name="Remarque 3 4 2 2 6 4" xfId="6617" xr:uid="{00000000-0005-0000-0000-00006AA80000}"/>
    <cellStyle name="Remarque 3 4 2 2 6 4 2" xfId="30631" xr:uid="{00000000-0005-0000-0000-00006BA80000}"/>
    <cellStyle name="Remarque 3 4 2 2 6 4 2 2" xfId="54591" xr:uid="{00000000-0005-0000-0000-00006CA80000}"/>
    <cellStyle name="Remarque 3 4 2 2 6 4 3" xfId="17878" xr:uid="{00000000-0005-0000-0000-00006DA80000}"/>
    <cellStyle name="Remarque 3 4 2 2 6 4 4" xfId="41838" xr:uid="{00000000-0005-0000-0000-00006EA80000}"/>
    <cellStyle name="Remarque 3 4 2 2 6 5" xfId="8005" xr:uid="{00000000-0005-0000-0000-00006FA80000}"/>
    <cellStyle name="Remarque 3 4 2 2 6 5 2" xfId="32019" xr:uid="{00000000-0005-0000-0000-000070A80000}"/>
    <cellStyle name="Remarque 3 4 2 2 6 5 2 2" xfId="55979" xr:uid="{00000000-0005-0000-0000-000071A80000}"/>
    <cellStyle name="Remarque 3 4 2 2 6 5 3" xfId="19266" xr:uid="{00000000-0005-0000-0000-000072A80000}"/>
    <cellStyle name="Remarque 3 4 2 2 6 5 4" xfId="43226" xr:uid="{00000000-0005-0000-0000-000073A80000}"/>
    <cellStyle name="Remarque 3 4 2 2 6 6" xfId="9390" xr:uid="{00000000-0005-0000-0000-000074A80000}"/>
    <cellStyle name="Remarque 3 4 2 2 6 6 2" xfId="33404" xr:uid="{00000000-0005-0000-0000-000075A80000}"/>
    <cellStyle name="Remarque 3 4 2 2 6 6 2 2" xfId="57364" xr:uid="{00000000-0005-0000-0000-000076A80000}"/>
    <cellStyle name="Remarque 3 4 2 2 6 6 3" xfId="20651" xr:uid="{00000000-0005-0000-0000-000077A80000}"/>
    <cellStyle name="Remarque 3 4 2 2 6 6 4" xfId="44611" xr:uid="{00000000-0005-0000-0000-000078A80000}"/>
    <cellStyle name="Remarque 3 4 2 2 6 7" xfId="10847" xr:uid="{00000000-0005-0000-0000-000079A80000}"/>
    <cellStyle name="Remarque 3 4 2 2 6 7 2" xfId="34857" xr:uid="{00000000-0005-0000-0000-00007AA80000}"/>
    <cellStyle name="Remarque 3 4 2 2 6 7 2 2" xfId="58817" xr:uid="{00000000-0005-0000-0000-00007BA80000}"/>
    <cellStyle name="Remarque 3 4 2 2 6 7 3" xfId="22114" xr:uid="{00000000-0005-0000-0000-00007CA80000}"/>
    <cellStyle name="Remarque 3 4 2 2 6 7 4" xfId="46074" xr:uid="{00000000-0005-0000-0000-00007DA80000}"/>
    <cellStyle name="Remarque 3 4 2 2 6 8" xfId="12697" xr:uid="{00000000-0005-0000-0000-00007EA80000}"/>
    <cellStyle name="Remarque 3 4 2 2 6 8 2" xfId="24002" xr:uid="{00000000-0005-0000-0000-00007FA80000}"/>
    <cellStyle name="Remarque 3 4 2 2 6 8 3" xfId="47962" xr:uid="{00000000-0005-0000-0000-000080A80000}"/>
    <cellStyle name="Remarque 3 4 2 2 6 9" xfId="2319" xr:uid="{00000000-0005-0000-0000-000081A80000}"/>
    <cellStyle name="Remarque 3 4 2 2 6 9 2" xfId="26333" xr:uid="{00000000-0005-0000-0000-000082A80000}"/>
    <cellStyle name="Remarque 3 4 2 2 6 9 3" xfId="50293" xr:uid="{00000000-0005-0000-0000-000083A80000}"/>
    <cellStyle name="Remarque 3 4 2 2 7" xfId="1076" xr:uid="{00000000-0005-0000-0000-000084A80000}"/>
    <cellStyle name="Remarque 3 4 2 2 7 10" xfId="25108" xr:uid="{00000000-0005-0000-0000-000085A80000}"/>
    <cellStyle name="Remarque 3 4 2 2 7 10 2" xfId="49068" xr:uid="{00000000-0005-0000-0000-000086A80000}"/>
    <cellStyle name="Remarque 3 4 2 2 7 11" xfId="36489" xr:uid="{00000000-0005-0000-0000-000087A80000}"/>
    <cellStyle name="Remarque 3 4 2 2 7 11 2" xfId="60449" xr:uid="{00000000-0005-0000-0000-000088A80000}"/>
    <cellStyle name="Remarque 3 4 2 2 7 12" xfId="13773" xr:uid="{00000000-0005-0000-0000-000089A80000}"/>
    <cellStyle name="Remarque 3 4 2 2 7 13" xfId="37733" xr:uid="{00000000-0005-0000-0000-00008AA80000}"/>
    <cellStyle name="Remarque 3 4 2 2 7 2" xfId="3982" xr:uid="{00000000-0005-0000-0000-00008BA80000}"/>
    <cellStyle name="Remarque 3 4 2 2 7 2 2" xfId="27996" xr:uid="{00000000-0005-0000-0000-00008CA80000}"/>
    <cellStyle name="Remarque 3 4 2 2 7 2 2 2" xfId="51956" xr:uid="{00000000-0005-0000-0000-00008DA80000}"/>
    <cellStyle name="Remarque 3 4 2 2 7 2 3" xfId="15243" xr:uid="{00000000-0005-0000-0000-00008EA80000}"/>
    <cellStyle name="Remarque 3 4 2 2 7 2 4" xfId="39203" xr:uid="{00000000-0005-0000-0000-00008FA80000}"/>
    <cellStyle name="Remarque 3 4 2 2 7 3" xfId="5416" xr:uid="{00000000-0005-0000-0000-000090A80000}"/>
    <cellStyle name="Remarque 3 4 2 2 7 3 2" xfId="29430" xr:uid="{00000000-0005-0000-0000-000091A80000}"/>
    <cellStyle name="Remarque 3 4 2 2 7 3 2 2" xfId="53390" xr:uid="{00000000-0005-0000-0000-000092A80000}"/>
    <cellStyle name="Remarque 3 4 2 2 7 3 3" xfId="16677" xr:uid="{00000000-0005-0000-0000-000093A80000}"/>
    <cellStyle name="Remarque 3 4 2 2 7 3 4" xfId="40637" xr:uid="{00000000-0005-0000-0000-000094A80000}"/>
    <cellStyle name="Remarque 3 4 2 2 7 4" xfId="6810" xr:uid="{00000000-0005-0000-0000-000095A80000}"/>
    <cellStyle name="Remarque 3 4 2 2 7 4 2" xfId="30824" xr:uid="{00000000-0005-0000-0000-000096A80000}"/>
    <cellStyle name="Remarque 3 4 2 2 7 4 2 2" xfId="54784" xr:uid="{00000000-0005-0000-0000-000097A80000}"/>
    <cellStyle name="Remarque 3 4 2 2 7 4 3" xfId="18071" xr:uid="{00000000-0005-0000-0000-000098A80000}"/>
    <cellStyle name="Remarque 3 4 2 2 7 4 4" xfId="42031" xr:uid="{00000000-0005-0000-0000-000099A80000}"/>
    <cellStyle name="Remarque 3 4 2 2 7 5" xfId="8198" xr:uid="{00000000-0005-0000-0000-00009AA80000}"/>
    <cellStyle name="Remarque 3 4 2 2 7 5 2" xfId="32212" xr:uid="{00000000-0005-0000-0000-00009BA80000}"/>
    <cellStyle name="Remarque 3 4 2 2 7 5 2 2" xfId="56172" xr:uid="{00000000-0005-0000-0000-00009CA80000}"/>
    <cellStyle name="Remarque 3 4 2 2 7 5 3" xfId="19459" xr:uid="{00000000-0005-0000-0000-00009DA80000}"/>
    <cellStyle name="Remarque 3 4 2 2 7 5 4" xfId="43419" xr:uid="{00000000-0005-0000-0000-00009EA80000}"/>
    <cellStyle name="Remarque 3 4 2 2 7 6" xfId="9583" xr:uid="{00000000-0005-0000-0000-00009FA80000}"/>
    <cellStyle name="Remarque 3 4 2 2 7 6 2" xfId="33597" xr:uid="{00000000-0005-0000-0000-0000A0A80000}"/>
    <cellStyle name="Remarque 3 4 2 2 7 6 2 2" xfId="57557" xr:uid="{00000000-0005-0000-0000-0000A1A80000}"/>
    <cellStyle name="Remarque 3 4 2 2 7 6 3" xfId="20844" xr:uid="{00000000-0005-0000-0000-0000A2A80000}"/>
    <cellStyle name="Remarque 3 4 2 2 7 6 4" xfId="44804" xr:uid="{00000000-0005-0000-0000-0000A3A80000}"/>
    <cellStyle name="Remarque 3 4 2 2 7 7" xfId="11040" xr:uid="{00000000-0005-0000-0000-0000A4A80000}"/>
    <cellStyle name="Remarque 3 4 2 2 7 7 2" xfId="35050" xr:uid="{00000000-0005-0000-0000-0000A5A80000}"/>
    <cellStyle name="Remarque 3 4 2 2 7 7 2 2" xfId="59010" xr:uid="{00000000-0005-0000-0000-0000A6A80000}"/>
    <cellStyle name="Remarque 3 4 2 2 7 7 3" xfId="22307" xr:uid="{00000000-0005-0000-0000-0000A7A80000}"/>
    <cellStyle name="Remarque 3 4 2 2 7 7 4" xfId="46267" xr:uid="{00000000-0005-0000-0000-0000A8A80000}"/>
    <cellStyle name="Remarque 3 4 2 2 7 8" xfId="12362" xr:uid="{00000000-0005-0000-0000-0000A9A80000}"/>
    <cellStyle name="Remarque 3 4 2 2 7 8 2" xfId="23651" xr:uid="{00000000-0005-0000-0000-0000AAA80000}"/>
    <cellStyle name="Remarque 3 4 2 2 7 8 3" xfId="47611" xr:uid="{00000000-0005-0000-0000-0000ABA80000}"/>
    <cellStyle name="Remarque 3 4 2 2 7 9" xfId="2512" xr:uid="{00000000-0005-0000-0000-0000ACA80000}"/>
    <cellStyle name="Remarque 3 4 2 2 7 9 2" xfId="26526" xr:uid="{00000000-0005-0000-0000-0000ADA80000}"/>
    <cellStyle name="Remarque 3 4 2 2 7 9 3" xfId="50486" xr:uid="{00000000-0005-0000-0000-0000AEA80000}"/>
    <cellStyle name="Remarque 3 4 2 2 8" xfId="1243" xr:uid="{00000000-0005-0000-0000-0000AFA80000}"/>
    <cellStyle name="Remarque 3 4 2 2 8 10" xfId="25275" xr:uid="{00000000-0005-0000-0000-0000B0A80000}"/>
    <cellStyle name="Remarque 3 4 2 2 8 10 2" xfId="49235" xr:uid="{00000000-0005-0000-0000-0000B1A80000}"/>
    <cellStyle name="Remarque 3 4 2 2 8 11" xfId="35933" xr:uid="{00000000-0005-0000-0000-0000B2A80000}"/>
    <cellStyle name="Remarque 3 4 2 2 8 11 2" xfId="59893" xr:uid="{00000000-0005-0000-0000-0000B3A80000}"/>
    <cellStyle name="Remarque 3 4 2 2 8 12" xfId="13940" xr:uid="{00000000-0005-0000-0000-0000B4A80000}"/>
    <cellStyle name="Remarque 3 4 2 2 8 13" xfId="37900" xr:uid="{00000000-0005-0000-0000-0000B5A80000}"/>
    <cellStyle name="Remarque 3 4 2 2 8 2" xfId="4149" xr:uid="{00000000-0005-0000-0000-0000B6A80000}"/>
    <cellStyle name="Remarque 3 4 2 2 8 2 2" xfId="28163" xr:uid="{00000000-0005-0000-0000-0000B7A80000}"/>
    <cellStyle name="Remarque 3 4 2 2 8 2 2 2" xfId="52123" xr:uid="{00000000-0005-0000-0000-0000B8A80000}"/>
    <cellStyle name="Remarque 3 4 2 2 8 2 3" xfId="15410" xr:uid="{00000000-0005-0000-0000-0000B9A80000}"/>
    <cellStyle name="Remarque 3 4 2 2 8 2 4" xfId="39370" xr:uid="{00000000-0005-0000-0000-0000BAA80000}"/>
    <cellStyle name="Remarque 3 4 2 2 8 3" xfId="5583" xr:uid="{00000000-0005-0000-0000-0000BBA80000}"/>
    <cellStyle name="Remarque 3 4 2 2 8 3 2" xfId="29597" xr:uid="{00000000-0005-0000-0000-0000BCA80000}"/>
    <cellStyle name="Remarque 3 4 2 2 8 3 2 2" xfId="53557" xr:uid="{00000000-0005-0000-0000-0000BDA80000}"/>
    <cellStyle name="Remarque 3 4 2 2 8 3 3" xfId="16844" xr:uid="{00000000-0005-0000-0000-0000BEA80000}"/>
    <cellStyle name="Remarque 3 4 2 2 8 3 4" xfId="40804" xr:uid="{00000000-0005-0000-0000-0000BFA80000}"/>
    <cellStyle name="Remarque 3 4 2 2 8 4" xfId="6977" xr:uid="{00000000-0005-0000-0000-0000C0A80000}"/>
    <cellStyle name="Remarque 3 4 2 2 8 4 2" xfId="30991" xr:uid="{00000000-0005-0000-0000-0000C1A80000}"/>
    <cellStyle name="Remarque 3 4 2 2 8 4 2 2" xfId="54951" xr:uid="{00000000-0005-0000-0000-0000C2A80000}"/>
    <cellStyle name="Remarque 3 4 2 2 8 4 3" xfId="18238" xr:uid="{00000000-0005-0000-0000-0000C3A80000}"/>
    <cellStyle name="Remarque 3 4 2 2 8 4 4" xfId="42198" xr:uid="{00000000-0005-0000-0000-0000C4A80000}"/>
    <cellStyle name="Remarque 3 4 2 2 8 5" xfId="8365" xr:uid="{00000000-0005-0000-0000-0000C5A80000}"/>
    <cellStyle name="Remarque 3 4 2 2 8 5 2" xfId="32379" xr:uid="{00000000-0005-0000-0000-0000C6A80000}"/>
    <cellStyle name="Remarque 3 4 2 2 8 5 2 2" xfId="56339" xr:uid="{00000000-0005-0000-0000-0000C7A80000}"/>
    <cellStyle name="Remarque 3 4 2 2 8 5 3" xfId="19626" xr:uid="{00000000-0005-0000-0000-0000C8A80000}"/>
    <cellStyle name="Remarque 3 4 2 2 8 5 4" xfId="43586" xr:uid="{00000000-0005-0000-0000-0000C9A80000}"/>
    <cellStyle name="Remarque 3 4 2 2 8 6" xfId="9750" xr:uid="{00000000-0005-0000-0000-0000CAA80000}"/>
    <cellStyle name="Remarque 3 4 2 2 8 6 2" xfId="33764" xr:uid="{00000000-0005-0000-0000-0000CBA80000}"/>
    <cellStyle name="Remarque 3 4 2 2 8 6 2 2" xfId="57724" xr:uid="{00000000-0005-0000-0000-0000CCA80000}"/>
    <cellStyle name="Remarque 3 4 2 2 8 6 3" xfId="21011" xr:uid="{00000000-0005-0000-0000-0000CDA80000}"/>
    <cellStyle name="Remarque 3 4 2 2 8 6 4" xfId="44971" xr:uid="{00000000-0005-0000-0000-0000CEA80000}"/>
    <cellStyle name="Remarque 3 4 2 2 8 7" xfId="11207" xr:uid="{00000000-0005-0000-0000-0000CFA80000}"/>
    <cellStyle name="Remarque 3 4 2 2 8 7 2" xfId="35217" xr:uid="{00000000-0005-0000-0000-0000D0A80000}"/>
    <cellStyle name="Remarque 3 4 2 2 8 7 2 2" xfId="59177" xr:uid="{00000000-0005-0000-0000-0000D1A80000}"/>
    <cellStyle name="Remarque 3 4 2 2 8 7 3" xfId="22474" xr:uid="{00000000-0005-0000-0000-0000D2A80000}"/>
    <cellStyle name="Remarque 3 4 2 2 8 7 4" xfId="46434" xr:uid="{00000000-0005-0000-0000-0000D3A80000}"/>
    <cellStyle name="Remarque 3 4 2 2 8 8" xfId="12102" xr:uid="{00000000-0005-0000-0000-0000D4A80000}"/>
    <cellStyle name="Remarque 3 4 2 2 8 8 2" xfId="23385" xr:uid="{00000000-0005-0000-0000-0000D5A80000}"/>
    <cellStyle name="Remarque 3 4 2 2 8 8 3" xfId="47345" xr:uid="{00000000-0005-0000-0000-0000D6A80000}"/>
    <cellStyle name="Remarque 3 4 2 2 8 9" xfId="2679" xr:uid="{00000000-0005-0000-0000-0000D7A80000}"/>
    <cellStyle name="Remarque 3 4 2 2 8 9 2" xfId="26693" xr:uid="{00000000-0005-0000-0000-0000D8A80000}"/>
    <cellStyle name="Remarque 3 4 2 2 8 9 3" xfId="50653" xr:uid="{00000000-0005-0000-0000-0000D9A80000}"/>
    <cellStyle name="Remarque 3 4 2 2 9" xfId="1412" xr:uid="{00000000-0005-0000-0000-0000DAA80000}"/>
    <cellStyle name="Remarque 3 4 2 2 9 10" xfId="25444" xr:uid="{00000000-0005-0000-0000-0000DBA80000}"/>
    <cellStyle name="Remarque 3 4 2 2 9 10 2" xfId="49404" xr:uid="{00000000-0005-0000-0000-0000DCA80000}"/>
    <cellStyle name="Remarque 3 4 2 2 9 11" xfId="36566" xr:uid="{00000000-0005-0000-0000-0000DDA80000}"/>
    <cellStyle name="Remarque 3 4 2 2 9 11 2" xfId="60526" xr:uid="{00000000-0005-0000-0000-0000DEA80000}"/>
    <cellStyle name="Remarque 3 4 2 2 9 12" xfId="14109" xr:uid="{00000000-0005-0000-0000-0000DFA80000}"/>
    <cellStyle name="Remarque 3 4 2 2 9 13" xfId="38069" xr:uid="{00000000-0005-0000-0000-0000E0A80000}"/>
    <cellStyle name="Remarque 3 4 2 2 9 2" xfId="4318" xr:uid="{00000000-0005-0000-0000-0000E1A80000}"/>
    <cellStyle name="Remarque 3 4 2 2 9 2 2" xfId="28332" xr:uid="{00000000-0005-0000-0000-0000E2A80000}"/>
    <cellStyle name="Remarque 3 4 2 2 9 2 2 2" xfId="52292" xr:uid="{00000000-0005-0000-0000-0000E3A80000}"/>
    <cellStyle name="Remarque 3 4 2 2 9 2 3" xfId="15579" xr:uid="{00000000-0005-0000-0000-0000E4A80000}"/>
    <cellStyle name="Remarque 3 4 2 2 9 2 4" xfId="39539" xr:uid="{00000000-0005-0000-0000-0000E5A80000}"/>
    <cellStyle name="Remarque 3 4 2 2 9 3" xfId="5752" xr:uid="{00000000-0005-0000-0000-0000E6A80000}"/>
    <cellStyle name="Remarque 3 4 2 2 9 3 2" xfId="29766" xr:uid="{00000000-0005-0000-0000-0000E7A80000}"/>
    <cellStyle name="Remarque 3 4 2 2 9 3 2 2" xfId="53726" xr:uid="{00000000-0005-0000-0000-0000E8A80000}"/>
    <cellStyle name="Remarque 3 4 2 2 9 3 3" xfId="17013" xr:uid="{00000000-0005-0000-0000-0000E9A80000}"/>
    <cellStyle name="Remarque 3 4 2 2 9 3 4" xfId="40973" xr:uid="{00000000-0005-0000-0000-0000EAA80000}"/>
    <cellStyle name="Remarque 3 4 2 2 9 4" xfId="7146" xr:uid="{00000000-0005-0000-0000-0000EBA80000}"/>
    <cellStyle name="Remarque 3 4 2 2 9 4 2" xfId="31160" xr:uid="{00000000-0005-0000-0000-0000ECA80000}"/>
    <cellStyle name="Remarque 3 4 2 2 9 4 2 2" xfId="55120" xr:uid="{00000000-0005-0000-0000-0000EDA80000}"/>
    <cellStyle name="Remarque 3 4 2 2 9 4 3" xfId="18407" xr:uid="{00000000-0005-0000-0000-0000EEA80000}"/>
    <cellStyle name="Remarque 3 4 2 2 9 4 4" xfId="42367" xr:uid="{00000000-0005-0000-0000-0000EFA80000}"/>
    <cellStyle name="Remarque 3 4 2 2 9 5" xfId="8534" xr:uid="{00000000-0005-0000-0000-0000F0A80000}"/>
    <cellStyle name="Remarque 3 4 2 2 9 5 2" xfId="32548" xr:uid="{00000000-0005-0000-0000-0000F1A80000}"/>
    <cellStyle name="Remarque 3 4 2 2 9 5 2 2" xfId="56508" xr:uid="{00000000-0005-0000-0000-0000F2A80000}"/>
    <cellStyle name="Remarque 3 4 2 2 9 5 3" xfId="19795" xr:uid="{00000000-0005-0000-0000-0000F3A80000}"/>
    <cellStyle name="Remarque 3 4 2 2 9 5 4" xfId="43755" xr:uid="{00000000-0005-0000-0000-0000F4A80000}"/>
    <cellStyle name="Remarque 3 4 2 2 9 6" xfId="9919" xr:uid="{00000000-0005-0000-0000-0000F5A80000}"/>
    <cellStyle name="Remarque 3 4 2 2 9 6 2" xfId="33933" xr:uid="{00000000-0005-0000-0000-0000F6A80000}"/>
    <cellStyle name="Remarque 3 4 2 2 9 6 2 2" xfId="57893" xr:uid="{00000000-0005-0000-0000-0000F7A80000}"/>
    <cellStyle name="Remarque 3 4 2 2 9 6 3" xfId="21180" xr:uid="{00000000-0005-0000-0000-0000F8A80000}"/>
    <cellStyle name="Remarque 3 4 2 2 9 6 4" xfId="45140" xr:uid="{00000000-0005-0000-0000-0000F9A80000}"/>
    <cellStyle name="Remarque 3 4 2 2 9 7" xfId="11376" xr:uid="{00000000-0005-0000-0000-0000FAA80000}"/>
    <cellStyle name="Remarque 3 4 2 2 9 7 2" xfId="35386" xr:uid="{00000000-0005-0000-0000-0000FBA80000}"/>
    <cellStyle name="Remarque 3 4 2 2 9 7 2 2" xfId="59346" xr:uid="{00000000-0005-0000-0000-0000FCA80000}"/>
    <cellStyle name="Remarque 3 4 2 2 9 7 3" xfId="22643" xr:uid="{00000000-0005-0000-0000-0000FDA80000}"/>
    <cellStyle name="Remarque 3 4 2 2 9 7 4" xfId="46603" xr:uid="{00000000-0005-0000-0000-0000FEA80000}"/>
    <cellStyle name="Remarque 3 4 2 2 9 8" xfId="12310" xr:uid="{00000000-0005-0000-0000-0000FFA80000}"/>
    <cellStyle name="Remarque 3 4 2 2 9 8 2" xfId="23598" xr:uid="{00000000-0005-0000-0000-000000A90000}"/>
    <cellStyle name="Remarque 3 4 2 2 9 8 3" xfId="47558" xr:uid="{00000000-0005-0000-0000-000001A90000}"/>
    <cellStyle name="Remarque 3 4 2 2 9 9" xfId="2848" xr:uid="{00000000-0005-0000-0000-000002A90000}"/>
    <cellStyle name="Remarque 3 4 2 2 9 9 2" xfId="26862" xr:uid="{00000000-0005-0000-0000-000003A90000}"/>
    <cellStyle name="Remarque 3 4 2 2 9 9 3" xfId="50822" xr:uid="{00000000-0005-0000-0000-000004A90000}"/>
    <cellStyle name="Remarque 3 4 2 20" xfId="10155" xr:uid="{00000000-0005-0000-0000-000005A90000}"/>
    <cellStyle name="Remarque 3 4 2 20 2" xfId="34167" xr:uid="{00000000-0005-0000-0000-000006A90000}"/>
    <cellStyle name="Remarque 3 4 2 20 2 2" xfId="58127" xr:uid="{00000000-0005-0000-0000-000007A90000}"/>
    <cellStyle name="Remarque 3 4 2 20 3" xfId="21420" xr:uid="{00000000-0005-0000-0000-000008A90000}"/>
    <cellStyle name="Remarque 3 4 2 20 4" xfId="45380" xr:uid="{00000000-0005-0000-0000-000009A90000}"/>
    <cellStyle name="Remarque 3 4 2 21" xfId="12414" xr:uid="{00000000-0005-0000-0000-00000AA90000}"/>
    <cellStyle name="Remarque 3 4 2 21 2" xfId="23705" xr:uid="{00000000-0005-0000-0000-00000BA90000}"/>
    <cellStyle name="Remarque 3 4 2 21 3" xfId="47665" xr:uid="{00000000-0005-0000-0000-00000CA90000}"/>
    <cellStyle name="Remarque 3 4 2 22" xfId="1653" xr:uid="{00000000-0005-0000-0000-00000DA90000}"/>
    <cellStyle name="Remarque 3 4 2 22 2" xfId="25667" xr:uid="{00000000-0005-0000-0000-00000EA90000}"/>
    <cellStyle name="Remarque 3 4 2 22 3" xfId="49627" xr:uid="{00000000-0005-0000-0000-00000FA90000}"/>
    <cellStyle name="Remarque 3 4 2 23" xfId="23263" xr:uid="{00000000-0005-0000-0000-000010A90000}"/>
    <cellStyle name="Remarque 3 4 2 23 2" xfId="47223" xr:uid="{00000000-0005-0000-0000-000011A90000}"/>
    <cellStyle name="Remarque 3 4 2 24" xfId="36585" xr:uid="{00000000-0005-0000-0000-000012A90000}"/>
    <cellStyle name="Remarque 3 4 2 24 2" xfId="60545" xr:uid="{00000000-0005-0000-0000-000013A90000}"/>
    <cellStyle name="Remarque 3 4 2 25" xfId="12933" xr:uid="{00000000-0005-0000-0000-000014A90000}"/>
    <cellStyle name="Remarque 3 4 2 26" xfId="36874" xr:uid="{00000000-0005-0000-0000-000015A90000}"/>
    <cellStyle name="Remarque 3 4 2 27" xfId="189" xr:uid="{00000000-0005-0000-0000-000016A90000}"/>
    <cellStyle name="Remarque 3 4 2 3" xfId="149" xr:uid="{00000000-0005-0000-0000-000017A90000}"/>
    <cellStyle name="Remarque 3 4 2 3 10" xfId="6145" xr:uid="{00000000-0005-0000-0000-000018A90000}"/>
    <cellStyle name="Remarque 3 4 2 3 10 2" xfId="30159" xr:uid="{00000000-0005-0000-0000-000019A90000}"/>
    <cellStyle name="Remarque 3 4 2 3 10 2 2" xfId="54119" xr:uid="{00000000-0005-0000-0000-00001AA90000}"/>
    <cellStyle name="Remarque 3 4 2 3 10 3" xfId="17406" xr:uid="{00000000-0005-0000-0000-00001BA90000}"/>
    <cellStyle name="Remarque 3 4 2 3 10 4" xfId="41366" xr:uid="{00000000-0005-0000-0000-00001CA90000}"/>
    <cellStyle name="Remarque 3 4 2 3 11" xfId="7533" xr:uid="{00000000-0005-0000-0000-00001DA90000}"/>
    <cellStyle name="Remarque 3 4 2 3 11 2" xfId="31547" xr:uid="{00000000-0005-0000-0000-00001EA90000}"/>
    <cellStyle name="Remarque 3 4 2 3 11 2 2" xfId="55507" xr:uid="{00000000-0005-0000-0000-00001FA90000}"/>
    <cellStyle name="Remarque 3 4 2 3 11 3" xfId="18794" xr:uid="{00000000-0005-0000-0000-000020A90000}"/>
    <cellStyle name="Remarque 3 4 2 3 11 4" xfId="42754" xr:uid="{00000000-0005-0000-0000-000021A90000}"/>
    <cellStyle name="Remarque 3 4 2 3 12" xfId="8918" xr:uid="{00000000-0005-0000-0000-000022A90000}"/>
    <cellStyle name="Remarque 3 4 2 3 12 2" xfId="32932" xr:uid="{00000000-0005-0000-0000-000023A90000}"/>
    <cellStyle name="Remarque 3 4 2 3 12 2 2" xfId="56892" xr:uid="{00000000-0005-0000-0000-000024A90000}"/>
    <cellStyle name="Remarque 3 4 2 3 12 3" xfId="20179" xr:uid="{00000000-0005-0000-0000-000025A90000}"/>
    <cellStyle name="Remarque 3 4 2 3 12 4" xfId="44139" xr:uid="{00000000-0005-0000-0000-000026A90000}"/>
    <cellStyle name="Remarque 3 4 2 3 13" xfId="10375" xr:uid="{00000000-0005-0000-0000-000027A90000}"/>
    <cellStyle name="Remarque 3 4 2 3 13 2" xfId="34385" xr:uid="{00000000-0005-0000-0000-000028A90000}"/>
    <cellStyle name="Remarque 3 4 2 3 13 2 2" xfId="58345" xr:uid="{00000000-0005-0000-0000-000029A90000}"/>
    <cellStyle name="Remarque 3 4 2 3 13 3" xfId="21642" xr:uid="{00000000-0005-0000-0000-00002AA90000}"/>
    <cellStyle name="Remarque 3 4 2 3 13 4" xfId="45602" xr:uid="{00000000-0005-0000-0000-00002BA90000}"/>
    <cellStyle name="Remarque 3 4 2 3 14" xfId="11769" xr:uid="{00000000-0005-0000-0000-00002CA90000}"/>
    <cellStyle name="Remarque 3 4 2 3 14 2" xfId="23042" xr:uid="{00000000-0005-0000-0000-00002DA90000}"/>
    <cellStyle name="Remarque 3 4 2 3 14 3" xfId="47002" xr:uid="{00000000-0005-0000-0000-00002EA90000}"/>
    <cellStyle name="Remarque 3 4 2 3 15" xfId="1847" xr:uid="{00000000-0005-0000-0000-00002FA90000}"/>
    <cellStyle name="Remarque 3 4 2 3 15 2" xfId="25861" xr:uid="{00000000-0005-0000-0000-000030A90000}"/>
    <cellStyle name="Remarque 3 4 2 3 15 3" xfId="49821" xr:uid="{00000000-0005-0000-0000-000031A90000}"/>
    <cellStyle name="Remarque 3 4 2 3 16" xfId="24443" xr:uid="{00000000-0005-0000-0000-000032A90000}"/>
    <cellStyle name="Remarque 3 4 2 3 16 2" xfId="48403" xr:uid="{00000000-0005-0000-0000-000033A90000}"/>
    <cellStyle name="Remarque 3 4 2 3 17" xfId="36726" xr:uid="{00000000-0005-0000-0000-000034A90000}"/>
    <cellStyle name="Remarque 3 4 2 3 17 2" xfId="60686" xr:uid="{00000000-0005-0000-0000-000035A90000}"/>
    <cellStyle name="Remarque 3 4 2 3 18" xfId="13108" xr:uid="{00000000-0005-0000-0000-000036A90000}"/>
    <cellStyle name="Remarque 3 4 2 3 19" xfId="37068" xr:uid="{00000000-0005-0000-0000-000037A90000}"/>
    <cellStyle name="Remarque 3 4 2 3 2" xfId="547" xr:uid="{00000000-0005-0000-0000-000038A90000}"/>
    <cellStyle name="Remarque 3 4 2 3 2 10" xfId="24579" xr:uid="{00000000-0005-0000-0000-000039A90000}"/>
    <cellStyle name="Remarque 3 4 2 3 2 10 2" xfId="48539" xr:uid="{00000000-0005-0000-0000-00003AA90000}"/>
    <cellStyle name="Remarque 3 4 2 3 2 11" xfId="34148" xr:uid="{00000000-0005-0000-0000-00003BA90000}"/>
    <cellStyle name="Remarque 3 4 2 3 2 11 2" xfId="58108" xr:uid="{00000000-0005-0000-0000-00003CA90000}"/>
    <cellStyle name="Remarque 3 4 2 3 2 12" xfId="13244" xr:uid="{00000000-0005-0000-0000-00003DA90000}"/>
    <cellStyle name="Remarque 3 4 2 3 2 13" xfId="37204" xr:uid="{00000000-0005-0000-0000-00003EA90000}"/>
    <cellStyle name="Remarque 3 4 2 3 2 2" xfId="3453" xr:uid="{00000000-0005-0000-0000-00003FA90000}"/>
    <cellStyle name="Remarque 3 4 2 3 2 2 2" xfId="27467" xr:uid="{00000000-0005-0000-0000-000040A90000}"/>
    <cellStyle name="Remarque 3 4 2 3 2 2 2 2" xfId="51427" xr:uid="{00000000-0005-0000-0000-000041A90000}"/>
    <cellStyle name="Remarque 3 4 2 3 2 2 3" xfId="14714" xr:uid="{00000000-0005-0000-0000-000042A90000}"/>
    <cellStyle name="Remarque 3 4 2 3 2 2 4" xfId="38674" xr:uid="{00000000-0005-0000-0000-000043A90000}"/>
    <cellStyle name="Remarque 3 4 2 3 2 3" xfId="4887" xr:uid="{00000000-0005-0000-0000-000044A90000}"/>
    <cellStyle name="Remarque 3 4 2 3 2 3 2" xfId="28901" xr:uid="{00000000-0005-0000-0000-000045A90000}"/>
    <cellStyle name="Remarque 3 4 2 3 2 3 2 2" xfId="52861" xr:uid="{00000000-0005-0000-0000-000046A90000}"/>
    <cellStyle name="Remarque 3 4 2 3 2 3 3" xfId="16148" xr:uid="{00000000-0005-0000-0000-000047A90000}"/>
    <cellStyle name="Remarque 3 4 2 3 2 3 4" xfId="40108" xr:uid="{00000000-0005-0000-0000-000048A90000}"/>
    <cellStyle name="Remarque 3 4 2 3 2 4" xfId="6281" xr:uid="{00000000-0005-0000-0000-000049A90000}"/>
    <cellStyle name="Remarque 3 4 2 3 2 4 2" xfId="30295" xr:uid="{00000000-0005-0000-0000-00004AA90000}"/>
    <cellStyle name="Remarque 3 4 2 3 2 4 2 2" xfId="54255" xr:uid="{00000000-0005-0000-0000-00004BA90000}"/>
    <cellStyle name="Remarque 3 4 2 3 2 4 3" xfId="17542" xr:uid="{00000000-0005-0000-0000-00004CA90000}"/>
    <cellStyle name="Remarque 3 4 2 3 2 4 4" xfId="41502" xr:uid="{00000000-0005-0000-0000-00004DA90000}"/>
    <cellStyle name="Remarque 3 4 2 3 2 5" xfId="7669" xr:uid="{00000000-0005-0000-0000-00004EA90000}"/>
    <cellStyle name="Remarque 3 4 2 3 2 5 2" xfId="31683" xr:uid="{00000000-0005-0000-0000-00004FA90000}"/>
    <cellStyle name="Remarque 3 4 2 3 2 5 2 2" xfId="55643" xr:uid="{00000000-0005-0000-0000-000050A90000}"/>
    <cellStyle name="Remarque 3 4 2 3 2 5 3" xfId="18930" xr:uid="{00000000-0005-0000-0000-000051A90000}"/>
    <cellStyle name="Remarque 3 4 2 3 2 5 4" xfId="42890" xr:uid="{00000000-0005-0000-0000-000052A90000}"/>
    <cellStyle name="Remarque 3 4 2 3 2 6" xfId="9054" xr:uid="{00000000-0005-0000-0000-000053A90000}"/>
    <cellStyle name="Remarque 3 4 2 3 2 6 2" xfId="33068" xr:uid="{00000000-0005-0000-0000-000054A90000}"/>
    <cellStyle name="Remarque 3 4 2 3 2 6 2 2" xfId="57028" xr:uid="{00000000-0005-0000-0000-000055A90000}"/>
    <cellStyle name="Remarque 3 4 2 3 2 6 3" xfId="20315" xr:uid="{00000000-0005-0000-0000-000056A90000}"/>
    <cellStyle name="Remarque 3 4 2 3 2 6 4" xfId="44275" xr:uid="{00000000-0005-0000-0000-000057A90000}"/>
    <cellStyle name="Remarque 3 4 2 3 2 7" xfId="10511" xr:uid="{00000000-0005-0000-0000-000058A90000}"/>
    <cellStyle name="Remarque 3 4 2 3 2 7 2" xfId="34521" xr:uid="{00000000-0005-0000-0000-000059A90000}"/>
    <cellStyle name="Remarque 3 4 2 3 2 7 2 2" xfId="58481" xr:uid="{00000000-0005-0000-0000-00005AA90000}"/>
    <cellStyle name="Remarque 3 4 2 3 2 7 3" xfId="21778" xr:uid="{00000000-0005-0000-0000-00005BA90000}"/>
    <cellStyle name="Remarque 3 4 2 3 2 7 4" xfId="45738" xr:uid="{00000000-0005-0000-0000-00005CA90000}"/>
    <cellStyle name="Remarque 3 4 2 3 2 8" xfId="12269" xr:uid="{00000000-0005-0000-0000-00005DA90000}"/>
    <cellStyle name="Remarque 3 4 2 3 2 8 2" xfId="23555" xr:uid="{00000000-0005-0000-0000-00005EA90000}"/>
    <cellStyle name="Remarque 3 4 2 3 2 8 3" xfId="47515" xr:uid="{00000000-0005-0000-0000-00005FA90000}"/>
    <cellStyle name="Remarque 3 4 2 3 2 9" xfId="1983" xr:uid="{00000000-0005-0000-0000-000060A90000}"/>
    <cellStyle name="Remarque 3 4 2 3 2 9 2" xfId="25997" xr:uid="{00000000-0005-0000-0000-000061A90000}"/>
    <cellStyle name="Remarque 3 4 2 3 2 9 3" xfId="49957" xr:uid="{00000000-0005-0000-0000-000062A90000}"/>
    <cellStyle name="Remarque 3 4 2 3 20" xfId="411" xr:uid="{00000000-0005-0000-0000-000063A90000}"/>
    <cellStyle name="Remarque 3 4 2 3 3" xfId="739" xr:uid="{00000000-0005-0000-0000-000064A90000}"/>
    <cellStyle name="Remarque 3 4 2 3 3 10" xfId="24771" xr:uid="{00000000-0005-0000-0000-000065A90000}"/>
    <cellStyle name="Remarque 3 4 2 3 3 10 2" xfId="48731" xr:uid="{00000000-0005-0000-0000-000066A90000}"/>
    <cellStyle name="Remarque 3 4 2 3 3 11" xfId="36219" xr:uid="{00000000-0005-0000-0000-000067A90000}"/>
    <cellStyle name="Remarque 3 4 2 3 3 11 2" xfId="60179" xr:uid="{00000000-0005-0000-0000-000068A90000}"/>
    <cellStyle name="Remarque 3 4 2 3 3 12" xfId="13436" xr:uid="{00000000-0005-0000-0000-000069A90000}"/>
    <cellStyle name="Remarque 3 4 2 3 3 13" xfId="37396" xr:uid="{00000000-0005-0000-0000-00006AA90000}"/>
    <cellStyle name="Remarque 3 4 2 3 3 2" xfId="3645" xr:uid="{00000000-0005-0000-0000-00006BA90000}"/>
    <cellStyle name="Remarque 3 4 2 3 3 2 2" xfId="27659" xr:uid="{00000000-0005-0000-0000-00006CA90000}"/>
    <cellStyle name="Remarque 3 4 2 3 3 2 2 2" xfId="51619" xr:uid="{00000000-0005-0000-0000-00006DA90000}"/>
    <cellStyle name="Remarque 3 4 2 3 3 2 3" xfId="14906" xr:uid="{00000000-0005-0000-0000-00006EA90000}"/>
    <cellStyle name="Remarque 3 4 2 3 3 2 4" xfId="38866" xr:uid="{00000000-0005-0000-0000-00006FA90000}"/>
    <cellStyle name="Remarque 3 4 2 3 3 3" xfId="5079" xr:uid="{00000000-0005-0000-0000-000070A90000}"/>
    <cellStyle name="Remarque 3 4 2 3 3 3 2" xfId="29093" xr:uid="{00000000-0005-0000-0000-000071A90000}"/>
    <cellStyle name="Remarque 3 4 2 3 3 3 2 2" xfId="53053" xr:uid="{00000000-0005-0000-0000-000072A90000}"/>
    <cellStyle name="Remarque 3 4 2 3 3 3 3" xfId="16340" xr:uid="{00000000-0005-0000-0000-000073A90000}"/>
    <cellStyle name="Remarque 3 4 2 3 3 3 4" xfId="40300" xr:uid="{00000000-0005-0000-0000-000074A90000}"/>
    <cellStyle name="Remarque 3 4 2 3 3 4" xfId="6473" xr:uid="{00000000-0005-0000-0000-000075A90000}"/>
    <cellStyle name="Remarque 3 4 2 3 3 4 2" xfId="30487" xr:uid="{00000000-0005-0000-0000-000076A90000}"/>
    <cellStyle name="Remarque 3 4 2 3 3 4 2 2" xfId="54447" xr:uid="{00000000-0005-0000-0000-000077A90000}"/>
    <cellStyle name="Remarque 3 4 2 3 3 4 3" xfId="17734" xr:uid="{00000000-0005-0000-0000-000078A90000}"/>
    <cellStyle name="Remarque 3 4 2 3 3 4 4" xfId="41694" xr:uid="{00000000-0005-0000-0000-000079A90000}"/>
    <cellStyle name="Remarque 3 4 2 3 3 5" xfId="7861" xr:uid="{00000000-0005-0000-0000-00007AA90000}"/>
    <cellStyle name="Remarque 3 4 2 3 3 5 2" xfId="31875" xr:uid="{00000000-0005-0000-0000-00007BA90000}"/>
    <cellStyle name="Remarque 3 4 2 3 3 5 2 2" xfId="55835" xr:uid="{00000000-0005-0000-0000-00007CA90000}"/>
    <cellStyle name="Remarque 3 4 2 3 3 5 3" xfId="19122" xr:uid="{00000000-0005-0000-0000-00007DA90000}"/>
    <cellStyle name="Remarque 3 4 2 3 3 5 4" xfId="43082" xr:uid="{00000000-0005-0000-0000-00007EA90000}"/>
    <cellStyle name="Remarque 3 4 2 3 3 6" xfId="9246" xr:uid="{00000000-0005-0000-0000-00007FA90000}"/>
    <cellStyle name="Remarque 3 4 2 3 3 6 2" xfId="33260" xr:uid="{00000000-0005-0000-0000-000080A90000}"/>
    <cellStyle name="Remarque 3 4 2 3 3 6 2 2" xfId="57220" xr:uid="{00000000-0005-0000-0000-000081A90000}"/>
    <cellStyle name="Remarque 3 4 2 3 3 6 3" xfId="20507" xr:uid="{00000000-0005-0000-0000-000082A90000}"/>
    <cellStyle name="Remarque 3 4 2 3 3 6 4" xfId="44467" xr:uid="{00000000-0005-0000-0000-000083A90000}"/>
    <cellStyle name="Remarque 3 4 2 3 3 7" xfId="10703" xr:uid="{00000000-0005-0000-0000-000084A90000}"/>
    <cellStyle name="Remarque 3 4 2 3 3 7 2" xfId="34713" xr:uid="{00000000-0005-0000-0000-000085A90000}"/>
    <cellStyle name="Remarque 3 4 2 3 3 7 2 2" xfId="58673" xr:uid="{00000000-0005-0000-0000-000086A90000}"/>
    <cellStyle name="Remarque 3 4 2 3 3 7 3" xfId="21970" xr:uid="{00000000-0005-0000-0000-000087A90000}"/>
    <cellStyle name="Remarque 3 4 2 3 3 7 4" xfId="45930" xr:uid="{00000000-0005-0000-0000-000088A90000}"/>
    <cellStyle name="Remarque 3 4 2 3 3 8" xfId="12743" xr:uid="{00000000-0005-0000-0000-000089A90000}"/>
    <cellStyle name="Remarque 3 4 2 3 3 8 2" xfId="24049" xr:uid="{00000000-0005-0000-0000-00008AA90000}"/>
    <cellStyle name="Remarque 3 4 2 3 3 8 3" xfId="48009" xr:uid="{00000000-0005-0000-0000-00008BA90000}"/>
    <cellStyle name="Remarque 3 4 2 3 3 9" xfId="2175" xr:uid="{00000000-0005-0000-0000-00008CA90000}"/>
    <cellStyle name="Remarque 3 4 2 3 3 9 2" xfId="26189" xr:uid="{00000000-0005-0000-0000-00008DA90000}"/>
    <cellStyle name="Remarque 3 4 2 3 3 9 3" xfId="50149" xr:uid="{00000000-0005-0000-0000-00008EA90000}"/>
    <cellStyle name="Remarque 3 4 2 3 4" xfId="933" xr:uid="{00000000-0005-0000-0000-00008FA90000}"/>
    <cellStyle name="Remarque 3 4 2 3 4 10" xfId="24965" xr:uid="{00000000-0005-0000-0000-000090A90000}"/>
    <cellStyle name="Remarque 3 4 2 3 4 10 2" xfId="48925" xr:uid="{00000000-0005-0000-0000-000091A90000}"/>
    <cellStyle name="Remarque 3 4 2 3 4 11" xfId="35636" xr:uid="{00000000-0005-0000-0000-000092A90000}"/>
    <cellStyle name="Remarque 3 4 2 3 4 11 2" xfId="59596" xr:uid="{00000000-0005-0000-0000-000093A90000}"/>
    <cellStyle name="Remarque 3 4 2 3 4 12" xfId="13630" xr:uid="{00000000-0005-0000-0000-000094A90000}"/>
    <cellStyle name="Remarque 3 4 2 3 4 13" xfId="37590" xr:uid="{00000000-0005-0000-0000-000095A90000}"/>
    <cellStyle name="Remarque 3 4 2 3 4 2" xfId="3839" xr:uid="{00000000-0005-0000-0000-000096A90000}"/>
    <cellStyle name="Remarque 3 4 2 3 4 2 2" xfId="27853" xr:uid="{00000000-0005-0000-0000-000097A90000}"/>
    <cellStyle name="Remarque 3 4 2 3 4 2 2 2" xfId="51813" xr:uid="{00000000-0005-0000-0000-000098A90000}"/>
    <cellStyle name="Remarque 3 4 2 3 4 2 3" xfId="15100" xr:uid="{00000000-0005-0000-0000-000099A90000}"/>
    <cellStyle name="Remarque 3 4 2 3 4 2 4" xfId="39060" xr:uid="{00000000-0005-0000-0000-00009AA90000}"/>
    <cellStyle name="Remarque 3 4 2 3 4 3" xfId="5273" xr:uid="{00000000-0005-0000-0000-00009BA90000}"/>
    <cellStyle name="Remarque 3 4 2 3 4 3 2" xfId="29287" xr:uid="{00000000-0005-0000-0000-00009CA90000}"/>
    <cellStyle name="Remarque 3 4 2 3 4 3 2 2" xfId="53247" xr:uid="{00000000-0005-0000-0000-00009DA90000}"/>
    <cellStyle name="Remarque 3 4 2 3 4 3 3" xfId="16534" xr:uid="{00000000-0005-0000-0000-00009EA90000}"/>
    <cellStyle name="Remarque 3 4 2 3 4 3 4" xfId="40494" xr:uid="{00000000-0005-0000-0000-00009FA90000}"/>
    <cellStyle name="Remarque 3 4 2 3 4 4" xfId="6667" xr:uid="{00000000-0005-0000-0000-0000A0A90000}"/>
    <cellStyle name="Remarque 3 4 2 3 4 4 2" xfId="30681" xr:uid="{00000000-0005-0000-0000-0000A1A90000}"/>
    <cellStyle name="Remarque 3 4 2 3 4 4 2 2" xfId="54641" xr:uid="{00000000-0005-0000-0000-0000A2A90000}"/>
    <cellStyle name="Remarque 3 4 2 3 4 4 3" xfId="17928" xr:uid="{00000000-0005-0000-0000-0000A3A90000}"/>
    <cellStyle name="Remarque 3 4 2 3 4 4 4" xfId="41888" xr:uid="{00000000-0005-0000-0000-0000A4A90000}"/>
    <cellStyle name="Remarque 3 4 2 3 4 5" xfId="8055" xr:uid="{00000000-0005-0000-0000-0000A5A90000}"/>
    <cellStyle name="Remarque 3 4 2 3 4 5 2" xfId="32069" xr:uid="{00000000-0005-0000-0000-0000A6A90000}"/>
    <cellStyle name="Remarque 3 4 2 3 4 5 2 2" xfId="56029" xr:uid="{00000000-0005-0000-0000-0000A7A90000}"/>
    <cellStyle name="Remarque 3 4 2 3 4 5 3" xfId="19316" xr:uid="{00000000-0005-0000-0000-0000A8A90000}"/>
    <cellStyle name="Remarque 3 4 2 3 4 5 4" xfId="43276" xr:uid="{00000000-0005-0000-0000-0000A9A90000}"/>
    <cellStyle name="Remarque 3 4 2 3 4 6" xfId="9440" xr:uid="{00000000-0005-0000-0000-0000AAA90000}"/>
    <cellStyle name="Remarque 3 4 2 3 4 6 2" xfId="33454" xr:uid="{00000000-0005-0000-0000-0000ABA90000}"/>
    <cellStyle name="Remarque 3 4 2 3 4 6 2 2" xfId="57414" xr:uid="{00000000-0005-0000-0000-0000ACA90000}"/>
    <cellStyle name="Remarque 3 4 2 3 4 6 3" xfId="20701" xr:uid="{00000000-0005-0000-0000-0000ADA90000}"/>
    <cellStyle name="Remarque 3 4 2 3 4 6 4" xfId="44661" xr:uid="{00000000-0005-0000-0000-0000AEA90000}"/>
    <cellStyle name="Remarque 3 4 2 3 4 7" xfId="10897" xr:uid="{00000000-0005-0000-0000-0000AFA90000}"/>
    <cellStyle name="Remarque 3 4 2 3 4 7 2" xfId="34907" xr:uid="{00000000-0005-0000-0000-0000B0A90000}"/>
    <cellStyle name="Remarque 3 4 2 3 4 7 2 2" xfId="58867" xr:uid="{00000000-0005-0000-0000-0000B1A90000}"/>
    <cellStyle name="Remarque 3 4 2 3 4 7 3" xfId="22164" xr:uid="{00000000-0005-0000-0000-0000B2A90000}"/>
    <cellStyle name="Remarque 3 4 2 3 4 7 4" xfId="46124" xr:uid="{00000000-0005-0000-0000-0000B3A90000}"/>
    <cellStyle name="Remarque 3 4 2 3 4 8" xfId="12877" xr:uid="{00000000-0005-0000-0000-0000B4A90000}"/>
    <cellStyle name="Remarque 3 4 2 3 4 8 2" xfId="24189" xr:uid="{00000000-0005-0000-0000-0000B5A90000}"/>
    <cellStyle name="Remarque 3 4 2 3 4 8 3" xfId="48149" xr:uid="{00000000-0005-0000-0000-0000B6A90000}"/>
    <cellStyle name="Remarque 3 4 2 3 4 9" xfId="2369" xr:uid="{00000000-0005-0000-0000-0000B7A90000}"/>
    <cellStyle name="Remarque 3 4 2 3 4 9 2" xfId="26383" xr:uid="{00000000-0005-0000-0000-0000B8A90000}"/>
    <cellStyle name="Remarque 3 4 2 3 4 9 3" xfId="50343" xr:uid="{00000000-0005-0000-0000-0000B9A90000}"/>
    <cellStyle name="Remarque 3 4 2 3 5" xfId="1126" xr:uid="{00000000-0005-0000-0000-0000BAA90000}"/>
    <cellStyle name="Remarque 3 4 2 3 5 10" xfId="25158" xr:uid="{00000000-0005-0000-0000-0000BBA90000}"/>
    <cellStyle name="Remarque 3 4 2 3 5 10 2" xfId="49118" xr:uid="{00000000-0005-0000-0000-0000BCA90000}"/>
    <cellStyle name="Remarque 3 4 2 3 5 11" xfId="36004" xr:uid="{00000000-0005-0000-0000-0000BDA90000}"/>
    <cellStyle name="Remarque 3 4 2 3 5 11 2" xfId="59964" xr:uid="{00000000-0005-0000-0000-0000BEA90000}"/>
    <cellStyle name="Remarque 3 4 2 3 5 12" xfId="13823" xr:uid="{00000000-0005-0000-0000-0000BFA90000}"/>
    <cellStyle name="Remarque 3 4 2 3 5 13" xfId="37783" xr:uid="{00000000-0005-0000-0000-0000C0A90000}"/>
    <cellStyle name="Remarque 3 4 2 3 5 2" xfId="4032" xr:uid="{00000000-0005-0000-0000-0000C1A90000}"/>
    <cellStyle name="Remarque 3 4 2 3 5 2 2" xfId="28046" xr:uid="{00000000-0005-0000-0000-0000C2A90000}"/>
    <cellStyle name="Remarque 3 4 2 3 5 2 2 2" xfId="52006" xr:uid="{00000000-0005-0000-0000-0000C3A90000}"/>
    <cellStyle name="Remarque 3 4 2 3 5 2 3" xfId="15293" xr:uid="{00000000-0005-0000-0000-0000C4A90000}"/>
    <cellStyle name="Remarque 3 4 2 3 5 2 4" xfId="39253" xr:uid="{00000000-0005-0000-0000-0000C5A90000}"/>
    <cellStyle name="Remarque 3 4 2 3 5 3" xfId="5466" xr:uid="{00000000-0005-0000-0000-0000C6A90000}"/>
    <cellStyle name="Remarque 3 4 2 3 5 3 2" xfId="29480" xr:uid="{00000000-0005-0000-0000-0000C7A90000}"/>
    <cellStyle name="Remarque 3 4 2 3 5 3 2 2" xfId="53440" xr:uid="{00000000-0005-0000-0000-0000C8A90000}"/>
    <cellStyle name="Remarque 3 4 2 3 5 3 3" xfId="16727" xr:uid="{00000000-0005-0000-0000-0000C9A90000}"/>
    <cellStyle name="Remarque 3 4 2 3 5 3 4" xfId="40687" xr:uid="{00000000-0005-0000-0000-0000CAA90000}"/>
    <cellStyle name="Remarque 3 4 2 3 5 4" xfId="6860" xr:uid="{00000000-0005-0000-0000-0000CBA90000}"/>
    <cellStyle name="Remarque 3 4 2 3 5 4 2" xfId="30874" xr:uid="{00000000-0005-0000-0000-0000CCA90000}"/>
    <cellStyle name="Remarque 3 4 2 3 5 4 2 2" xfId="54834" xr:uid="{00000000-0005-0000-0000-0000CDA90000}"/>
    <cellStyle name="Remarque 3 4 2 3 5 4 3" xfId="18121" xr:uid="{00000000-0005-0000-0000-0000CEA90000}"/>
    <cellStyle name="Remarque 3 4 2 3 5 4 4" xfId="42081" xr:uid="{00000000-0005-0000-0000-0000CFA90000}"/>
    <cellStyle name="Remarque 3 4 2 3 5 5" xfId="8248" xr:uid="{00000000-0005-0000-0000-0000D0A90000}"/>
    <cellStyle name="Remarque 3 4 2 3 5 5 2" xfId="32262" xr:uid="{00000000-0005-0000-0000-0000D1A90000}"/>
    <cellStyle name="Remarque 3 4 2 3 5 5 2 2" xfId="56222" xr:uid="{00000000-0005-0000-0000-0000D2A90000}"/>
    <cellStyle name="Remarque 3 4 2 3 5 5 3" xfId="19509" xr:uid="{00000000-0005-0000-0000-0000D3A90000}"/>
    <cellStyle name="Remarque 3 4 2 3 5 5 4" xfId="43469" xr:uid="{00000000-0005-0000-0000-0000D4A90000}"/>
    <cellStyle name="Remarque 3 4 2 3 5 6" xfId="9633" xr:uid="{00000000-0005-0000-0000-0000D5A90000}"/>
    <cellStyle name="Remarque 3 4 2 3 5 6 2" xfId="33647" xr:uid="{00000000-0005-0000-0000-0000D6A90000}"/>
    <cellStyle name="Remarque 3 4 2 3 5 6 2 2" xfId="57607" xr:uid="{00000000-0005-0000-0000-0000D7A90000}"/>
    <cellStyle name="Remarque 3 4 2 3 5 6 3" xfId="20894" xr:uid="{00000000-0005-0000-0000-0000D8A90000}"/>
    <cellStyle name="Remarque 3 4 2 3 5 6 4" xfId="44854" xr:uid="{00000000-0005-0000-0000-0000D9A90000}"/>
    <cellStyle name="Remarque 3 4 2 3 5 7" xfId="11090" xr:uid="{00000000-0005-0000-0000-0000DAA90000}"/>
    <cellStyle name="Remarque 3 4 2 3 5 7 2" xfId="35100" xr:uid="{00000000-0005-0000-0000-0000DBA90000}"/>
    <cellStyle name="Remarque 3 4 2 3 5 7 2 2" xfId="59060" xr:uid="{00000000-0005-0000-0000-0000DCA90000}"/>
    <cellStyle name="Remarque 3 4 2 3 5 7 3" xfId="22357" xr:uid="{00000000-0005-0000-0000-0000DDA90000}"/>
    <cellStyle name="Remarque 3 4 2 3 5 7 4" xfId="46317" xr:uid="{00000000-0005-0000-0000-0000DEA90000}"/>
    <cellStyle name="Remarque 3 4 2 3 5 8" xfId="12244" xr:uid="{00000000-0005-0000-0000-0000DFA90000}"/>
    <cellStyle name="Remarque 3 4 2 3 5 8 2" xfId="23529" xr:uid="{00000000-0005-0000-0000-0000E0A90000}"/>
    <cellStyle name="Remarque 3 4 2 3 5 8 3" xfId="47489" xr:uid="{00000000-0005-0000-0000-0000E1A90000}"/>
    <cellStyle name="Remarque 3 4 2 3 5 9" xfId="2562" xr:uid="{00000000-0005-0000-0000-0000E2A90000}"/>
    <cellStyle name="Remarque 3 4 2 3 5 9 2" xfId="26576" xr:uid="{00000000-0005-0000-0000-0000E3A90000}"/>
    <cellStyle name="Remarque 3 4 2 3 5 9 3" xfId="50536" xr:uid="{00000000-0005-0000-0000-0000E4A90000}"/>
    <cellStyle name="Remarque 3 4 2 3 6" xfId="1293" xr:uid="{00000000-0005-0000-0000-0000E5A90000}"/>
    <cellStyle name="Remarque 3 4 2 3 6 10" xfId="25325" xr:uid="{00000000-0005-0000-0000-0000E6A90000}"/>
    <cellStyle name="Remarque 3 4 2 3 6 10 2" xfId="49285" xr:uid="{00000000-0005-0000-0000-0000E7A90000}"/>
    <cellStyle name="Remarque 3 4 2 3 6 11" xfId="35785" xr:uid="{00000000-0005-0000-0000-0000E8A90000}"/>
    <cellStyle name="Remarque 3 4 2 3 6 11 2" xfId="59745" xr:uid="{00000000-0005-0000-0000-0000E9A90000}"/>
    <cellStyle name="Remarque 3 4 2 3 6 12" xfId="13990" xr:uid="{00000000-0005-0000-0000-0000EAA90000}"/>
    <cellStyle name="Remarque 3 4 2 3 6 13" xfId="37950" xr:uid="{00000000-0005-0000-0000-0000EBA90000}"/>
    <cellStyle name="Remarque 3 4 2 3 6 2" xfId="4199" xr:uid="{00000000-0005-0000-0000-0000ECA90000}"/>
    <cellStyle name="Remarque 3 4 2 3 6 2 2" xfId="28213" xr:uid="{00000000-0005-0000-0000-0000EDA90000}"/>
    <cellStyle name="Remarque 3 4 2 3 6 2 2 2" xfId="52173" xr:uid="{00000000-0005-0000-0000-0000EEA90000}"/>
    <cellStyle name="Remarque 3 4 2 3 6 2 3" xfId="15460" xr:uid="{00000000-0005-0000-0000-0000EFA90000}"/>
    <cellStyle name="Remarque 3 4 2 3 6 2 4" xfId="39420" xr:uid="{00000000-0005-0000-0000-0000F0A90000}"/>
    <cellStyle name="Remarque 3 4 2 3 6 3" xfId="5633" xr:uid="{00000000-0005-0000-0000-0000F1A90000}"/>
    <cellStyle name="Remarque 3 4 2 3 6 3 2" xfId="29647" xr:uid="{00000000-0005-0000-0000-0000F2A90000}"/>
    <cellStyle name="Remarque 3 4 2 3 6 3 2 2" xfId="53607" xr:uid="{00000000-0005-0000-0000-0000F3A90000}"/>
    <cellStyle name="Remarque 3 4 2 3 6 3 3" xfId="16894" xr:uid="{00000000-0005-0000-0000-0000F4A90000}"/>
    <cellStyle name="Remarque 3 4 2 3 6 3 4" xfId="40854" xr:uid="{00000000-0005-0000-0000-0000F5A90000}"/>
    <cellStyle name="Remarque 3 4 2 3 6 4" xfId="7027" xr:uid="{00000000-0005-0000-0000-0000F6A90000}"/>
    <cellStyle name="Remarque 3 4 2 3 6 4 2" xfId="31041" xr:uid="{00000000-0005-0000-0000-0000F7A90000}"/>
    <cellStyle name="Remarque 3 4 2 3 6 4 2 2" xfId="55001" xr:uid="{00000000-0005-0000-0000-0000F8A90000}"/>
    <cellStyle name="Remarque 3 4 2 3 6 4 3" xfId="18288" xr:uid="{00000000-0005-0000-0000-0000F9A90000}"/>
    <cellStyle name="Remarque 3 4 2 3 6 4 4" xfId="42248" xr:uid="{00000000-0005-0000-0000-0000FAA90000}"/>
    <cellStyle name="Remarque 3 4 2 3 6 5" xfId="8415" xr:uid="{00000000-0005-0000-0000-0000FBA90000}"/>
    <cellStyle name="Remarque 3 4 2 3 6 5 2" xfId="32429" xr:uid="{00000000-0005-0000-0000-0000FCA90000}"/>
    <cellStyle name="Remarque 3 4 2 3 6 5 2 2" xfId="56389" xr:uid="{00000000-0005-0000-0000-0000FDA90000}"/>
    <cellStyle name="Remarque 3 4 2 3 6 5 3" xfId="19676" xr:uid="{00000000-0005-0000-0000-0000FEA90000}"/>
    <cellStyle name="Remarque 3 4 2 3 6 5 4" xfId="43636" xr:uid="{00000000-0005-0000-0000-0000FFA90000}"/>
    <cellStyle name="Remarque 3 4 2 3 6 6" xfId="9800" xr:uid="{00000000-0005-0000-0000-000000AA0000}"/>
    <cellStyle name="Remarque 3 4 2 3 6 6 2" xfId="33814" xr:uid="{00000000-0005-0000-0000-000001AA0000}"/>
    <cellStyle name="Remarque 3 4 2 3 6 6 2 2" xfId="57774" xr:uid="{00000000-0005-0000-0000-000002AA0000}"/>
    <cellStyle name="Remarque 3 4 2 3 6 6 3" xfId="21061" xr:uid="{00000000-0005-0000-0000-000003AA0000}"/>
    <cellStyle name="Remarque 3 4 2 3 6 6 4" xfId="45021" xr:uid="{00000000-0005-0000-0000-000004AA0000}"/>
    <cellStyle name="Remarque 3 4 2 3 6 7" xfId="11257" xr:uid="{00000000-0005-0000-0000-000005AA0000}"/>
    <cellStyle name="Remarque 3 4 2 3 6 7 2" xfId="35267" xr:uid="{00000000-0005-0000-0000-000006AA0000}"/>
    <cellStyle name="Remarque 3 4 2 3 6 7 2 2" xfId="59227" xr:uid="{00000000-0005-0000-0000-000007AA0000}"/>
    <cellStyle name="Remarque 3 4 2 3 6 7 3" xfId="22524" xr:uid="{00000000-0005-0000-0000-000008AA0000}"/>
    <cellStyle name="Remarque 3 4 2 3 6 7 4" xfId="46484" xr:uid="{00000000-0005-0000-0000-000009AA0000}"/>
    <cellStyle name="Remarque 3 4 2 3 6 8" xfId="11689" xr:uid="{00000000-0005-0000-0000-00000AAA0000}"/>
    <cellStyle name="Remarque 3 4 2 3 6 8 2" xfId="22958" xr:uid="{00000000-0005-0000-0000-00000BAA0000}"/>
    <cellStyle name="Remarque 3 4 2 3 6 8 3" xfId="46918" xr:uid="{00000000-0005-0000-0000-00000CAA0000}"/>
    <cellStyle name="Remarque 3 4 2 3 6 9" xfId="2729" xr:uid="{00000000-0005-0000-0000-00000DAA0000}"/>
    <cellStyle name="Remarque 3 4 2 3 6 9 2" xfId="26743" xr:uid="{00000000-0005-0000-0000-00000EAA0000}"/>
    <cellStyle name="Remarque 3 4 2 3 6 9 3" xfId="50703" xr:uid="{00000000-0005-0000-0000-00000FAA0000}"/>
    <cellStyle name="Remarque 3 4 2 3 7" xfId="1462" xr:uid="{00000000-0005-0000-0000-000010AA0000}"/>
    <cellStyle name="Remarque 3 4 2 3 7 10" xfId="25494" xr:uid="{00000000-0005-0000-0000-000011AA0000}"/>
    <cellStyle name="Remarque 3 4 2 3 7 10 2" xfId="49454" xr:uid="{00000000-0005-0000-0000-000012AA0000}"/>
    <cellStyle name="Remarque 3 4 2 3 7 11" xfId="36187" xr:uid="{00000000-0005-0000-0000-000013AA0000}"/>
    <cellStyle name="Remarque 3 4 2 3 7 11 2" xfId="60147" xr:uid="{00000000-0005-0000-0000-000014AA0000}"/>
    <cellStyle name="Remarque 3 4 2 3 7 12" xfId="14159" xr:uid="{00000000-0005-0000-0000-000015AA0000}"/>
    <cellStyle name="Remarque 3 4 2 3 7 13" xfId="38119" xr:uid="{00000000-0005-0000-0000-000016AA0000}"/>
    <cellStyle name="Remarque 3 4 2 3 7 2" xfId="4368" xr:uid="{00000000-0005-0000-0000-000017AA0000}"/>
    <cellStyle name="Remarque 3 4 2 3 7 2 2" xfId="28382" xr:uid="{00000000-0005-0000-0000-000018AA0000}"/>
    <cellStyle name="Remarque 3 4 2 3 7 2 2 2" xfId="52342" xr:uid="{00000000-0005-0000-0000-000019AA0000}"/>
    <cellStyle name="Remarque 3 4 2 3 7 2 3" xfId="15629" xr:uid="{00000000-0005-0000-0000-00001AAA0000}"/>
    <cellStyle name="Remarque 3 4 2 3 7 2 4" xfId="39589" xr:uid="{00000000-0005-0000-0000-00001BAA0000}"/>
    <cellStyle name="Remarque 3 4 2 3 7 3" xfId="5802" xr:uid="{00000000-0005-0000-0000-00001CAA0000}"/>
    <cellStyle name="Remarque 3 4 2 3 7 3 2" xfId="29816" xr:uid="{00000000-0005-0000-0000-00001DAA0000}"/>
    <cellStyle name="Remarque 3 4 2 3 7 3 2 2" xfId="53776" xr:uid="{00000000-0005-0000-0000-00001EAA0000}"/>
    <cellStyle name="Remarque 3 4 2 3 7 3 3" xfId="17063" xr:uid="{00000000-0005-0000-0000-00001FAA0000}"/>
    <cellStyle name="Remarque 3 4 2 3 7 3 4" xfId="41023" xr:uid="{00000000-0005-0000-0000-000020AA0000}"/>
    <cellStyle name="Remarque 3 4 2 3 7 4" xfId="7196" xr:uid="{00000000-0005-0000-0000-000021AA0000}"/>
    <cellStyle name="Remarque 3 4 2 3 7 4 2" xfId="31210" xr:uid="{00000000-0005-0000-0000-000022AA0000}"/>
    <cellStyle name="Remarque 3 4 2 3 7 4 2 2" xfId="55170" xr:uid="{00000000-0005-0000-0000-000023AA0000}"/>
    <cellStyle name="Remarque 3 4 2 3 7 4 3" xfId="18457" xr:uid="{00000000-0005-0000-0000-000024AA0000}"/>
    <cellStyle name="Remarque 3 4 2 3 7 4 4" xfId="42417" xr:uid="{00000000-0005-0000-0000-000025AA0000}"/>
    <cellStyle name="Remarque 3 4 2 3 7 5" xfId="8584" xr:uid="{00000000-0005-0000-0000-000026AA0000}"/>
    <cellStyle name="Remarque 3 4 2 3 7 5 2" xfId="32598" xr:uid="{00000000-0005-0000-0000-000027AA0000}"/>
    <cellStyle name="Remarque 3 4 2 3 7 5 2 2" xfId="56558" xr:uid="{00000000-0005-0000-0000-000028AA0000}"/>
    <cellStyle name="Remarque 3 4 2 3 7 5 3" xfId="19845" xr:uid="{00000000-0005-0000-0000-000029AA0000}"/>
    <cellStyle name="Remarque 3 4 2 3 7 5 4" xfId="43805" xr:uid="{00000000-0005-0000-0000-00002AAA0000}"/>
    <cellStyle name="Remarque 3 4 2 3 7 6" xfId="9969" xr:uid="{00000000-0005-0000-0000-00002BAA0000}"/>
    <cellStyle name="Remarque 3 4 2 3 7 6 2" xfId="33983" xr:uid="{00000000-0005-0000-0000-00002CAA0000}"/>
    <cellStyle name="Remarque 3 4 2 3 7 6 2 2" xfId="57943" xr:uid="{00000000-0005-0000-0000-00002DAA0000}"/>
    <cellStyle name="Remarque 3 4 2 3 7 6 3" xfId="21230" xr:uid="{00000000-0005-0000-0000-00002EAA0000}"/>
    <cellStyle name="Remarque 3 4 2 3 7 6 4" xfId="45190" xr:uid="{00000000-0005-0000-0000-00002FAA0000}"/>
    <cellStyle name="Remarque 3 4 2 3 7 7" xfId="11426" xr:uid="{00000000-0005-0000-0000-000030AA0000}"/>
    <cellStyle name="Remarque 3 4 2 3 7 7 2" xfId="35436" xr:uid="{00000000-0005-0000-0000-000031AA0000}"/>
    <cellStyle name="Remarque 3 4 2 3 7 7 2 2" xfId="59396" xr:uid="{00000000-0005-0000-0000-000032AA0000}"/>
    <cellStyle name="Remarque 3 4 2 3 7 7 3" xfId="22693" xr:uid="{00000000-0005-0000-0000-000033AA0000}"/>
    <cellStyle name="Remarque 3 4 2 3 7 7 4" xfId="46653" xr:uid="{00000000-0005-0000-0000-000034AA0000}"/>
    <cellStyle name="Remarque 3 4 2 3 7 8" xfId="11859" xr:uid="{00000000-0005-0000-0000-000035AA0000}"/>
    <cellStyle name="Remarque 3 4 2 3 7 8 2" xfId="23135" xr:uid="{00000000-0005-0000-0000-000036AA0000}"/>
    <cellStyle name="Remarque 3 4 2 3 7 8 3" xfId="47095" xr:uid="{00000000-0005-0000-0000-000037AA0000}"/>
    <cellStyle name="Remarque 3 4 2 3 7 9" xfId="2898" xr:uid="{00000000-0005-0000-0000-000038AA0000}"/>
    <cellStyle name="Remarque 3 4 2 3 7 9 2" xfId="26912" xr:uid="{00000000-0005-0000-0000-000039AA0000}"/>
    <cellStyle name="Remarque 3 4 2 3 7 9 3" xfId="50872" xr:uid="{00000000-0005-0000-0000-00003AAA0000}"/>
    <cellStyle name="Remarque 3 4 2 3 8" xfId="3317" xr:uid="{00000000-0005-0000-0000-00003BAA0000}"/>
    <cellStyle name="Remarque 3 4 2 3 8 2" xfId="27331" xr:uid="{00000000-0005-0000-0000-00003CAA0000}"/>
    <cellStyle name="Remarque 3 4 2 3 8 2 2" xfId="51291" xr:uid="{00000000-0005-0000-0000-00003DAA0000}"/>
    <cellStyle name="Remarque 3 4 2 3 8 3" xfId="14578" xr:uid="{00000000-0005-0000-0000-00003EAA0000}"/>
    <cellStyle name="Remarque 3 4 2 3 8 4" xfId="38538" xr:uid="{00000000-0005-0000-0000-00003FAA0000}"/>
    <cellStyle name="Remarque 3 4 2 3 9" xfId="4751" xr:uid="{00000000-0005-0000-0000-000040AA0000}"/>
    <cellStyle name="Remarque 3 4 2 3 9 2" xfId="28765" xr:uid="{00000000-0005-0000-0000-000041AA0000}"/>
    <cellStyle name="Remarque 3 4 2 3 9 2 2" xfId="52725" xr:uid="{00000000-0005-0000-0000-000042AA0000}"/>
    <cellStyle name="Remarque 3 4 2 3 9 3" xfId="16012" xr:uid="{00000000-0005-0000-0000-000043AA0000}"/>
    <cellStyle name="Remarque 3 4 2 3 9 4" xfId="39972" xr:uid="{00000000-0005-0000-0000-000044AA0000}"/>
    <cellStyle name="Remarque 3 4 2 4" xfId="451" xr:uid="{00000000-0005-0000-0000-000045AA0000}"/>
    <cellStyle name="Remarque 3 4 2 4 10" xfId="6185" xr:uid="{00000000-0005-0000-0000-000046AA0000}"/>
    <cellStyle name="Remarque 3 4 2 4 10 2" xfId="30199" xr:uid="{00000000-0005-0000-0000-000047AA0000}"/>
    <cellStyle name="Remarque 3 4 2 4 10 2 2" xfId="54159" xr:uid="{00000000-0005-0000-0000-000048AA0000}"/>
    <cellStyle name="Remarque 3 4 2 4 10 3" xfId="17446" xr:uid="{00000000-0005-0000-0000-000049AA0000}"/>
    <cellStyle name="Remarque 3 4 2 4 10 4" xfId="41406" xr:uid="{00000000-0005-0000-0000-00004AAA0000}"/>
    <cellStyle name="Remarque 3 4 2 4 11" xfId="7573" xr:uid="{00000000-0005-0000-0000-00004BAA0000}"/>
    <cellStyle name="Remarque 3 4 2 4 11 2" xfId="31587" xr:uid="{00000000-0005-0000-0000-00004CAA0000}"/>
    <cellStyle name="Remarque 3 4 2 4 11 2 2" xfId="55547" xr:uid="{00000000-0005-0000-0000-00004DAA0000}"/>
    <cellStyle name="Remarque 3 4 2 4 11 3" xfId="18834" xr:uid="{00000000-0005-0000-0000-00004EAA0000}"/>
    <cellStyle name="Remarque 3 4 2 4 11 4" xfId="42794" xr:uid="{00000000-0005-0000-0000-00004FAA0000}"/>
    <cellStyle name="Remarque 3 4 2 4 12" xfId="8958" xr:uid="{00000000-0005-0000-0000-000050AA0000}"/>
    <cellStyle name="Remarque 3 4 2 4 12 2" xfId="32972" xr:uid="{00000000-0005-0000-0000-000051AA0000}"/>
    <cellStyle name="Remarque 3 4 2 4 12 2 2" xfId="56932" xr:uid="{00000000-0005-0000-0000-000052AA0000}"/>
    <cellStyle name="Remarque 3 4 2 4 12 3" xfId="20219" xr:uid="{00000000-0005-0000-0000-000053AA0000}"/>
    <cellStyle name="Remarque 3 4 2 4 12 4" xfId="44179" xr:uid="{00000000-0005-0000-0000-000054AA0000}"/>
    <cellStyle name="Remarque 3 4 2 4 13" xfId="10415" xr:uid="{00000000-0005-0000-0000-000055AA0000}"/>
    <cellStyle name="Remarque 3 4 2 4 13 2" xfId="34425" xr:uid="{00000000-0005-0000-0000-000056AA0000}"/>
    <cellStyle name="Remarque 3 4 2 4 13 2 2" xfId="58385" xr:uid="{00000000-0005-0000-0000-000057AA0000}"/>
    <cellStyle name="Remarque 3 4 2 4 13 3" xfId="21682" xr:uid="{00000000-0005-0000-0000-000058AA0000}"/>
    <cellStyle name="Remarque 3 4 2 4 13 4" xfId="45642" xr:uid="{00000000-0005-0000-0000-000059AA0000}"/>
    <cellStyle name="Remarque 3 4 2 4 14" xfId="12190" xr:uid="{00000000-0005-0000-0000-00005AAA0000}"/>
    <cellStyle name="Remarque 3 4 2 4 14 2" xfId="23473" xr:uid="{00000000-0005-0000-0000-00005BAA0000}"/>
    <cellStyle name="Remarque 3 4 2 4 14 3" xfId="47433" xr:uid="{00000000-0005-0000-0000-00005CAA0000}"/>
    <cellStyle name="Remarque 3 4 2 4 15" xfId="1887" xr:uid="{00000000-0005-0000-0000-00005DAA0000}"/>
    <cellStyle name="Remarque 3 4 2 4 15 2" xfId="25901" xr:uid="{00000000-0005-0000-0000-00005EAA0000}"/>
    <cellStyle name="Remarque 3 4 2 4 15 3" xfId="49861" xr:uid="{00000000-0005-0000-0000-00005FAA0000}"/>
    <cellStyle name="Remarque 3 4 2 4 16" xfId="24483" xr:uid="{00000000-0005-0000-0000-000060AA0000}"/>
    <cellStyle name="Remarque 3 4 2 4 16 2" xfId="48443" xr:uid="{00000000-0005-0000-0000-000061AA0000}"/>
    <cellStyle name="Remarque 3 4 2 4 17" xfId="36608" xr:uid="{00000000-0005-0000-0000-000062AA0000}"/>
    <cellStyle name="Remarque 3 4 2 4 17 2" xfId="60568" xr:uid="{00000000-0005-0000-0000-000063AA0000}"/>
    <cellStyle name="Remarque 3 4 2 4 18" xfId="13148" xr:uid="{00000000-0005-0000-0000-000064AA0000}"/>
    <cellStyle name="Remarque 3 4 2 4 19" xfId="37108" xr:uid="{00000000-0005-0000-0000-000065AA0000}"/>
    <cellStyle name="Remarque 3 4 2 4 2" xfId="587" xr:uid="{00000000-0005-0000-0000-000066AA0000}"/>
    <cellStyle name="Remarque 3 4 2 4 2 10" xfId="24619" xr:uid="{00000000-0005-0000-0000-000067AA0000}"/>
    <cellStyle name="Remarque 3 4 2 4 2 10 2" xfId="48579" xr:uid="{00000000-0005-0000-0000-000068AA0000}"/>
    <cellStyle name="Remarque 3 4 2 4 2 11" xfId="36504" xr:uid="{00000000-0005-0000-0000-000069AA0000}"/>
    <cellStyle name="Remarque 3 4 2 4 2 11 2" xfId="60464" xr:uid="{00000000-0005-0000-0000-00006AAA0000}"/>
    <cellStyle name="Remarque 3 4 2 4 2 12" xfId="13284" xr:uid="{00000000-0005-0000-0000-00006BAA0000}"/>
    <cellStyle name="Remarque 3 4 2 4 2 13" xfId="37244" xr:uid="{00000000-0005-0000-0000-00006CAA0000}"/>
    <cellStyle name="Remarque 3 4 2 4 2 2" xfId="3493" xr:uid="{00000000-0005-0000-0000-00006DAA0000}"/>
    <cellStyle name="Remarque 3 4 2 4 2 2 2" xfId="27507" xr:uid="{00000000-0005-0000-0000-00006EAA0000}"/>
    <cellStyle name="Remarque 3 4 2 4 2 2 2 2" xfId="51467" xr:uid="{00000000-0005-0000-0000-00006FAA0000}"/>
    <cellStyle name="Remarque 3 4 2 4 2 2 3" xfId="14754" xr:uid="{00000000-0005-0000-0000-000070AA0000}"/>
    <cellStyle name="Remarque 3 4 2 4 2 2 4" xfId="38714" xr:uid="{00000000-0005-0000-0000-000071AA0000}"/>
    <cellStyle name="Remarque 3 4 2 4 2 3" xfId="4927" xr:uid="{00000000-0005-0000-0000-000072AA0000}"/>
    <cellStyle name="Remarque 3 4 2 4 2 3 2" xfId="28941" xr:uid="{00000000-0005-0000-0000-000073AA0000}"/>
    <cellStyle name="Remarque 3 4 2 4 2 3 2 2" xfId="52901" xr:uid="{00000000-0005-0000-0000-000074AA0000}"/>
    <cellStyle name="Remarque 3 4 2 4 2 3 3" xfId="16188" xr:uid="{00000000-0005-0000-0000-000075AA0000}"/>
    <cellStyle name="Remarque 3 4 2 4 2 3 4" xfId="40148" xr:uid="{00000000-0005-0000-0000-000076AA0000}"/>
    <cellStyle name="Remarque 3 4 2 4 2 4" xfId="6321" xr:uid="{00000000-0005-0000-0000-000077AA0000}"/>
    <cellStyle name="Remarque 3 4 2 4 2 4 2" xfId="30335" xr:uid="{00000000-0005-0000-0000-000078AA0000}"/>
    <cellStyle name="Remarque 3 4 2 4 2 4 2 2" xfId="54295" xr:uid="{00000000-0005-0000-0000-000079AA0000}"/>
    <cellStyle name="Remarque 3 4 2 4 2 4 3" xfId="17582" xr:uid="{00000000-0005-0000-0000-00007AAA0000}"/>
    <cellStyle name="Remarque 3 4 2 4 2 4 4" xfId="41542" xr:uid="{00000000-0005-0000-0000-00007BAA0000}"/>
    <cellStyle name="Remarque 3 4 2 4 2 5" xfId="7709" xr:uid="{00000000-0005-0000-0000-00007CAA0000}"/>
    <cellStyle name="Remarque 3 4 2 4 2 5 2" xfId="31723" xr:uid="{00000000-0005-0000-0000-00007DAA0000}"/>
    <cellStyle name="Remarque 3 4 2 4 2 5 2 2" xfId="55683" xr:uid="{00000000-0005-0000-0000-00007EAA0000}"/>
    <cellStyle name="Remarque 3 4 2 4 2 5 3" xfId="18970" xr:uid="{00000000-0005-0000-0000-00007FAA0000}"/>
    <cellStyle name="Remarque 3 4 2 4 2 5 4" xfId="42930" xr:uid="{00000000-0005-0000-0000-000080AA0000}"/>
    <cellStyle name="Remarque 3 4 2 4 2 6" xfId="9094" xr:uid="{00000000-0005-0000-0000-000081AA0000}"/>
    <cellStyle name="Remarque 3 4 2 4 2 6 2" xfId="33108" xr:uid="{00000000-0005-0000-0000-000082AA0000}"/>
    <cellStyle name="Remarque 3 4 2 4 2 6 2 2" xfId="57068" xr:uid="{00000000-0005-0000-0000-000083AA0000}"/>
    <cellStyle name="Remarque 3 4 2 4 2 6 3" xfId="20355" xr:uid="{00000000-0005-0000-0000-000084AA0000}"/>
    <cellStyle name="Remarque 3 4 2 4 2 6 4" xfId="44315" xr:uid="{00000000-0005-0000-0000-000085AA0000}"/>
    <cellStyle name="Remarque 3 4 2 4 2 7" xfId="10551" xr:uid="{00000000-0005-0000-0000-000086AA0000}"/>
    <cellStyle name="Remarque 3 4 2 4 2 7 2" xfId="34561" xr:uid="{00000000-0005-0000-0000-000087AA0000}"/>
    <cellStyle name="Remarque 3 4 2 4 2 7 2 2" xfId="58521" xr:uid="{00000000-0005-0000-0000-000088AA0000}"/>
    <cellStyle name="Remarque 3 4 2 4 2 7 3" xfId="21818" xr:uid="{00000000-0005-0000-0000-000089AA0000}"/>
    <cellStyle name="Remarque 3 4 2 4 2 7 4" xfId="45778" xr:uid="{00000000-0005-0000-0000-00008AAA0000}"/>
    <cellStyle name="Remarque 3 4 2 4 2 8" xfId="11748" xr:uid="{00000000-0005-0000-0000-00008BAA0000}"/>
    <cellStyle name="Remarque 3 4 2 4 2 8 2" xfId="23020" xr:uid="{00000000-0005-0000-0000-00008CAA0000}"/>
    <cellStyle name="Remarque 3 4 2 4 2 8 3" xfId="46980" xr:uid="{00000000-0005-0000-0000-00008DAA0000}"/>
    <cellStyle name="Remarque 3 4 2 4 2 9" xfId="2023" xr:uid="{00000000-0005-0000-0000-00008EAA0000}"/>
    <cellStyle name="Remarque 3 4 2 4 2 9 2" xfId="26037" xr:uid="{00000000-0005-0000-0000-00008FAA0000}"/>
    <cellStyle name="Remarque 3 4 2 4 2 9 3" xfId="49997" xr:uid="{00000000-0005-0000-0000-000090AA0000}"/>
    <cellStyle name="Remarque 3 4 2 4 3" xfId="779" xr:uid="{00000000-0005-0000-0000-000091AA0000}"/>
    <cellStyle name="Remarque 3 4 2 4 3 10" xfId="24811" xr:uid="{00000000-0005-0000-0000-000092AA0000}"/>
    <cellStyle name="Remarque 3 4 2 4 3 10 2" xfId="48771" xr:uid="{00000000-0005-0000-0000-000093AA0000}"/>
    <cellStyle name="Remarque 3 4 2 4 3 11" xfId="36683" xr:uid="{00000000-0005-0000-0000-000094AA0000}"/>
    <cellStyle name="Remarque 3 4 2 4 3 11 2" xfId="60643" xr:uid="{00000000-0005-0000-0000-000095AA0000}"/>
    <cellStyle name="Remarque 3 4 2 4 3 12" xfId="13476" xr:uid="{00000000-0005-0000-0000-000096AA0000}"/>
    <cellStyle name="Remarque 3 4 2 4 3 13" xfId="37436" xr:uid="{00000000-0005-0000-0000-000097AA0000}"/>
    <cellStyle name="Remarque 3 4 2 4 3 2" xfId="3685" xr:uid="{00000000-0005-0000-0000-000098AA0000}"/>
    <cellStyle name="Remarque 3 4 2 4 3 2 2" xfId="27699" xr:uid="{00000000-0005-0000-0000-000099AA0000}"/>
    <cellStyle name="Remarque 3 4 2 4 3 2 2 2" xfId="51659" xr:uid="{00000000-0005-0000-0000-00009AAA0000}"/>
    <cellStyle name="Remarque 3 4 2 4 3 2 3" xfId="14946" xr:uid="{00000000-0005-0000-0000-00009BAA0000}"/>
    <cellStyle name="Remarque 3 4 2 4 3 2 4" xfId="38906" xr:uid="{00000000-0005-0000-0000-00009CAA0000}"/>
    <cellStyle name="Remarque 3 4 2 4 3 3" xfId="5119" xr:uid="{00000000-0005-0000-0000-00009DAA0000}"/>
    <cellStyle name="Remarque 3 4 2 4 3 3 2" xfId="29133" xr:uid="{00000000-0005-0000-0000-00009EAA0000}"/>
    <cellStyle name="Remarque 3 4 2 4 3 3 2 2" xfId="53093" xr:uid="{00000000-0005-0000-0000-00009FAA0000}"/>
    <cellStyle name="Remarque 3 4 2 4 3 3 3" xfId="16380" xr:uid="{00000000-0005-0000-0000-0000A0AA0000}"/>
    <cellStyle name="Remarque 3 4 2 4 3 3 4" xfId="40340" xr:uid="{00000000-0005-0000-0000-0000A1AA0000}"/>
    <cellStyle name="Remarque 3 4 2 4 3 4" xfId="6513" xr:uid="{00000000-0005-0000-0000-0000A2AA0000}"/>
    <cellStyle name="Remarque 3 4 2 4 3 4 2" xfId="30527" xr:uid="{00000000-0005-0000-0000-0000A3AA0000}"/>
    <cellStyle name="Remarque 3 4 2 4 3 4 2 2" xfId="54487" xr:uid="{00000000-0005-0000-0000-0000A4AA0000}"/>
    <cellStyle name="Remarque 3 4 2 4 3 4 3" xfId="17774" xr:uid="{00000000-0005-0000-0000-0000A5AA0000}"/>
    <cellStyle name="Remarque 3 4 2 4 3 4 4" xfId="41734" xr:uid="{00000000-0005-0000-0000-0000A6AA0000}"/>
    <cellStyle name="Remarque 3 4 2 4 3 5" xfId="7901" xr:uid="{00000000-0005-0000-0000-0000A7AA0000}"/>
    <cellStyle name="Remarque 3 4 2 4 3 5 2" xfId="31915" xr:uid="{00000000-0005-0000-0000-0000A8AA0000}"/>
    <cellStyle name="Remarque 3 4 2 4 3 5 2 2" xfId="55875" xr:uid="{00000000-0005-0000-0000-0000A9AA0000}"/>
    <cellStyle name="Remarque 3 4 2 4 3 5 3" xfId="19162" xr:uid="{00000000-0005-0000-0000-0000AAAA0000}"/>
    <cellStyle name="Remarque 3 4 2 4 3 5 4" xfId="43122" xr:uid="{00000000-0005-0000-0000-0000ABAA0000}"/>
    <cellStyle name="Remarque 3 4 2 4 3 6" xfId="9286" xr:uid="{00000000-0005-0000-0000-0000ACAA0000}"/>
    <cellStyle name="Remarque 3 4 2 4 3 6 2" xfId="33300" xr:uid="{00000000-0005-0000-0000-0000ADAA0000}"/>
    <cellStyle name="Remarque 3 4 2 4 3 6 2 2" xfId="57260" xr:uid="{00000000-0005-0000-0000-0000AEAA0000}"/>
    <cellStyle name="Remarque 3 4 2 4 3 6 3" xfId="20547" xr:uid="{00000000-0005-0000-0000-0000AFAA0000}"/>
    <cellStyle name="Remarque 3 4 2 4 3 6 4" xfId="44507" xr:uid="{00000000-0005-0000-0000-0000B0AA0000}"/>
    <cellStyle name="Remarque 3 4 2 4 3 7" xfId="10743" xr:uid="{00000000-0005-0000-0000-0000B1AA0000}"/>
    <cellStyle name="Remarque 3 4 2 4 3 7 2" xfId="34753" xr:uid="{00000000-0005-0000-0000-0000B2AA0000}"/>
    <cellStyle name="Remarque 3 4 2 4 3 7 2 2" xfId="58713" xr:uid="{00000000-0005-0000-0000-0000B3AA0000}"/>
    <cellStyle name="Remarque 3 4 2 4 3 7 3" xfId="22010" xr:uid="{00000000-0005-0000-0000-0000B4AA0000}"/>
    <cellStyle name="Remarque 3 4 2 4 3 7 4" xfId="45970" xr:uid="{00000000-0005-0000-0000-0000B5AA0000}"/>
    <cellStyle name="Remarque 3 4 2 4 3 8" xfId="12612" xr:uid="{00000000-0005-0000-0000-0000B6AA0000}"/>
    <cellStyle name="Remarque 3 4 2 4 3 8 2" xfId="23914" xr:uid="{00000000-0005-0000-0000-0000B7AA0000}"/>
    <cellStyle name="Remarque 3 4 2 4 3 8 3" xfId="47874" xr:uid="{00000000-0005-0000-0000-0000B8AA0000}"/>
    <cellStyle name="Remarque 3 4 2 4 3 9" xfId="2215" xr:uid="{00000000-0005-0000-0000-0000B9AA0000}"/>
    <cellStyle name="Remarque 3 4 2 4 3 9 2" xfId="26229" xr:uid="{00000000-0005-0000-0000-0000BAAA0000}"/>
    <cellStyle name="Remarque 3 4 2 4 3 9 3" xfId="50189" xr:uid="{00000000-0005-0000-0000-0000BBAA0000}"/>
    <cellStyle name="Remarque 3 4 2 4 4" xfId="973" xr:uid="{00000000-0005-0000-0000-0000BCAA0000}"/>
    <cellStyle name="Remarque 3 4 2 4 4 10" xfId="25005" xr:uid="{00000000-0005-0000-0000-0000BDAA0000}"/>
    <cellStyle name="Remarque 3 4 2 4 4 10 2" xfId="48965" xr:uid="{00000000-0005-0000-0000-0000BEAA0000}"/>
    <cellStyle name="Remarque 3 4 2 4 4 11" xfId="35954" xr:uid="{00000000-0005-0000-0000-0000BFAA0000}"/>
    <cellStyle name="Remarque 3 4 2 4 4 11 2" xfId="59914" xr:uid="{00000000-0005-0000-0000-0000C0AA0000}"/>
    <cellStyle name="Remarque 3 4 2 4 4 12" xfId="13670" xr:uid="{00000000-0005-0000-0000-0000C1AA0000}"/>
    <cellStyle name="Remarque 3 4 2 4 4 13" xfId="37630" xr:uid="{00000000-0005-0000-0000-0000C2AA0000}"/>
    <cellStyle name="Remarque 3 4 2 4 4 2" xfId="3879" xr:uid="{00000000-0005-0000-0000-0000C3AA0000}"/>
    <cellStyle name="Remarque 3 4 2 4 4 2 2" xfId="27893" xr:uid="{00000000-0005-0000-0000-0000C4AA0000}"/>
    <cellStyle name="Remarque 3 4 2 4 4 2 2 2" xfId="51853" xr:uid="{00000000-0005-0000-0000-0000C5AA0000}"/>
    <cellStyle name="Remarque 3 4 2 4 4 2 3" xfId="15140" xr:uid="{00000000-0005-0000-0000-0000C6AA0000}"/>
    <cellStyle name="Remarque 3 4 2 4 4 2 4" xfId="39100" xr:uid="{00000000-0005-0000-0000-0000C7AA0000}"/>
    <cellStyle name="Remarque 3 4 2 4 4 3" xfId="5313" xr:uid="{00000000-0005-0000-0000-0000C8AA0000}"/>
    <cellStyle name="Remarque 3 4 2 4 4 3 2" xfId="29327" xr:uid="{00000000-0005-0000-0000-0000C9AA0000}"/>
    <cellStyle name="Remarque 3 4 2 4 4 3 2 2" xfId="53287" xr:uid="{00000000-0005-0000-0000-0000CAAA0000}"/>
    <cellStyle name="Remarque 3 4 2 4 4 3 3" xfId="16574" xr:uid="{00000000-0005-0000-0000-0000CBAA0000}"/>
    <cellStyle name="Remarque 3 4 2 4 4 3 4" xfId="40534" xr:uid="{00000000-0005-0000-0000-0000CCAA0000}"/>
    <cellStyle name="Remarque 3 4 2 4 4 4" xfId="6707" xr:uid="{00000000-0005-0000-0000-0000CDAA0000}"/>
    <cellStyle name="Remarque 3 4 2 4 4 4 2" xfId="30721" xr:uid="{00000000-0005-0000-0000-0000CEAA0000}"/>
    <cellStyle name="Remarque 3 4 2 4 4 4 2 2" xfId="54681" xr:uid="{00000000-0005-0000-0000-0000CFAA0000}"/>
    <cellStyle name="Remarque 3 4 2 4 4 4 3" xfId="17968" xr:uid="{00000000-0005-0000-0000-0000D0AA0000}"/>
    <cellStyle name="Remarque 3 4 2 4 4 4 4" xfId="41928" xr:uid="{00000000-0005-0000-0000-0000D1AA0000}"/>
    <cellStyle name="Remarque 3 4 2 4 4 5" xfId="8095" xr:uid="{00000000-0005-0000-0000-0000D2AA0000}"/>
    <cellStyle name="Remarque 3 4 2 4 4 5 2" xfId="32109" xr:uid="{00000000-0005-0000-0000-0000D3AA0000}"/>
    <cellStyle name="Remarque 3 4 2 4 4 5 2 2" xfId="56069" xr:uid="{00000000-0005-0000-0000-0000D4AA0000}"/>
    <cellStyle name="Remarque 3 4 2 4 4 5 3" xfId="19356" xr:uid="{00000000-0005-0000-0000-0000D5AA0000}"/>
    <cellStyle name="Remarque 3 4 2 4 4 5 4" xfId="43316" xr:uid="{00000000-0005-0000-0000-0000D6AA0000}"/>
    <cellStyle name="Remarque 3 4 2 4 4 6" xfId="9480" xr:uid="{00000000-0005-0000-0000-0000D7AA0000}"/>
    <cellStyle name="Remarque 3 4 2 4 4 6 2" xfId="33494" xr:uid="{00000000-0005-0000-0000-0000D8AA0000}"/>
    <cellStyle name="Remarque 3 4 2 4 4 6 2 2" xfId="57454" xr:uid="{00000000-0005-0000-0000-0000D9AA0000}"/>
    <cellStyle name="Remarque 3 4 2 4 4 6 3" xfId="20741" xr:uid="{00000000-0005-0000-0000-0000DAAA0000}"/>
    <cellStyle name="Remarque 3 4 2 4 4 6 4" xfId="44701" xr:uid="{00000000-0005-0000-0000-0000DBAA0000}"/>
    <cellStyle name="Remarque 3 4 2 4 4 7" xfId="10937" xr:uid="{00000000-0005-0000-0000-0000DCAA0000}"/>
    <cellStyle name="Remarque 3 4 2 4 4 7 2" xfId="34947" xr:uid="{00000000-0005-0000-0000-0000DDAA0000}"/>
    <cellStyle name="Remarque 3 4 2 4 4 7 2 2" xfId="58907" xr:uid="{00000000-0005-0000-0000-0000DEAA0000}"/>
    <cellStyle name="Remarque 3 4 2 4 4 7 3" xfId="22204" xr:uid="{00000000-0005-0000-0000-0000DFAA0000}"/>
    <cellStyle name="Remarque 3 4 2 4 4 7 4" xfId="46164" xr:uid="{00000000-0005-0000-0000-0000E0AA0000}"/>
    <cellStyle name="Remarque 3 4 2 4 4 8" xfId="12359" xr:uid="{00000000-0005-0000-0000-0000E1AA0000}"/>
    <cellStyle name="Remarque 3 4 2 4 4 8 2" xfId="23648" xr:uid="{00000000-0005-0000-0000-0000E2AA0000}"/>
    <cellStyle name="Remarque 3 4 2 4 4 8 3" xfId="47608" xr:uid="{00000000-0005-0000-0000-0000E3AA0000}"/>
    <cellStyle name="Remarque 3 4 2 4 4 9" xfId="2409" xr:uid="{00000000-0005-0000-0000-0000E4AA0000}"/>
    <cellStyle name="Remarque 3 4 2 4 4 9 2" xfId="26423" xr:uid="{00000000-0005-0000-0000-0000E5AA0000}"/>
    <cellStyle name="Remarque 3 4 2 4 4 9 3" xfId="50383" xr:uid="{00000000-0005-0000-0000-0000E6AA0000}"/>
    <cellStyle name="Remarque 3 4 2 4 5" xfId="1166" xr:uid="{00000000-0005-0000-0000-0000E7AA0000}"/>
    <cellStyle name="Remarque 3 4 2 4 5 10" xfId="25198" xr:uid="{00000000-0005-0000-0000-0000E8AA0000}"/>
    <cellStyle name="Remarque 3 4 2 4 5 10 2" xfId="49158" xr:uid="{00000000-0005-0000-0000-0000E9AA0000}"/>
    <cellStyle name="Remarque 3 4 2 4 5 11" xfId="36678" xr:uid="{00000000-0005-0000-0000-0000EAAA0000}"/>
    <cellStyle name="Remarque 3 4 2 4 5 11 2" xfId="60638" xr:uid="{00000000-0005-0000-0000-0000EBAA0000}"/>
    <cellStyle name="Remarque 3 4 2 4 5 12" xfId="13863" xr:uid="{00000000-0005-0000-0000-0000ECAA0000}"/>
    <cellStyle name="Remarque 3 4 2 4 5 13" xfId="37823" xr:uid="{00000000-0005-0000-0000-0000EDAA0000}"/>
    <cellStyle name="Remarque 3 4 2 4 5 2" xfId="4072" xr:uid="{00000000-0005-0000-0000-0000EEAA0000}"/>
    <cellStyle name="Remarque 3 4 2 4 5 2 2" xfId="28086" xr:uid="{00000000-0005-0000-0000-0000EFAA0000}"/>
    <cellStyle name="Remarque 3 4 2 4 5 2 2 2" xfId="52046" xr:uid="{00000000-0005-0000-0000-0000F0AA0000}"/>
    <cellStyle name="Remarque 3 4 2 4 5 2 3" xfId="15333" xr:uid="{00000000-0005-0000-0000-0000F1AA0000}"/>
    <cellStyle name="Remarque 3 4 2 4 5 2 4" xfId="39293" xr:uid="{00000000-0005-0000-0000-0000F2AA0000}"/>
    <cellStyle name="Remarque 3 4 2 4 5 3" xfId="5506" xr:uid="{00000000-0005-0000-0000-0000F3AA0000}"/>
    <cellStyle name="Remarque 3 4 2 4 5 3 2" xfId="29520" xr:uid="{00000000-0005-0000-0000-0000F4AA0000}"/>
    <cellStyle name="Remarque 3 4 2 4 5 3 2 2" xfId="53480" xr:uid="{00000000-0005-0000-0000-0000F5AA0000}"/>
    <cellStyle name="Remarque 3 4 2 4 5 3 3" xfId="16767" xr:uid="{00000000-0005-0000-0000-0000F6AA0000}"/>
    <cellStyle name="Remarque 3 4 2 4 5 3 4" xfId="40727" xr:uid="{00000000-0005-0000-0000-0000F7AA0000}"/>
    <cellStyle name="Remarque 3 4 2 4 5 4" xfId="6900" xr:uid="{00000000-0005-0000-0000-0000F8AA0000}"/>
    <cellStyle name="Remarque 3 4 2 4 5 4 2" xfId="30914" xr:uid="{00000000-0005-0000-0000-0000F9AA0000}"/>
    <cellStyle name="Remarque 3 4 2 4 5 4 2 2" xfId="54874" xr:uid="{00000000-0005-0000-0000-0000FAAA0000}"/>
    <cellStyle name="Remarque 3 4 2 4 5 4 3" xfId="18161" xr:uid="{00000000-0005-0000-0000-0000FBAA0000}"/>
    <cellStyle name="Remarque 3 4 2 4 5 4 4" xfId="42121" xr:uid="{00000000-0005-0000-0000-0000FCAA0000}"/>
    <cellStyle name="Remarque 3 4 2 4 5 5" xfId="8288" xr:uid="{00000000-0005-0000-0000-0000FDAA0000}"/>
    <cellStyle name="Remarque 3 4 2 4 5 5 2" xfId="32302" xr:uid="{00000000-0005-0000-0000-0000FEAA0000}"/>
    <cellStyle name="Remarque 3 4 2 4 5 5 2 2" xfId="56262" xr:uid="{00000000-0005-0000-0000-0000FFAA0000}"/>
    <cellStyle name="Remarque 3 4 2 4 5 5 3" xfId="19549" xr:uid="{00000000-0005-0000-0000-000000AB0000}"/>
    <cellStyle name="Remarque 3 4 2 4 5 5 4" xfId="43509" xr:uid="{00000000-0005-0000-0000-000001AB0000}"/>
    <cellStyle name="Remarque 3 4 2 4 5 6" xfId="9673" xr:uid="{00000000-0005-0000-0000-000002AB0000}"/>
    <cellStyle name="Remarque 3 4 2 4 5 6 2" xfId="33687" xr:uid="{00000000-0005-0000-0000-000003AB0000}"/>
    <cellStyle name="Remarque 3 4 2 4 5 6 2 2" xfId="57647" xr:uid="{00000000-0005-0000-0000-000004AB0000}"/>
    <cellStyle name="Remarque 3 4 2 4 5 6 3" xfId="20934" xr:uid="{00000000-0005-0000-0000-000005AB0000}"/>
    <cellStyle name="Remarque 3 4 2 4 5 6 4" xfId="44894" xr:uid="{00000000-0005-0000-0000-000006AB0000}"/>
    <cellStyle name="Remarque 3 4 2 4 5 7" xfId="11130" xr:uid="{00000000-0005-0000-0000-000007AB0000}"/>
    <cellStyle name="Remarque 3 4 2 4 5 7 2" xfId="35140" xr:uid="{00000000-0005-0000-0000-000008AB0000}"/>
    <cellStyle name="Remarque 3 4 2 4 5 7 2 2" xfId="59100" xr:uid="{00000000-0005-0000-0000-000009AB0000}"/>
    <cellStyle name="Remarque 3 4 2 4 5 7 3" xfId="22397" xr:uid="{00000000-0005-0000-0000-00000AAB0000}"/>
    <cellStyle name="Remarque 3 4 2 4 5 7 4" xfId="46357" xr:uid="{00000000-0005-0000-0000-00000BAB0000}"/>
    <cellStyle name="Remarque 3 4 2 4 5 8" xfId="12021" xr:uid="{00000000-0005-0000-0000-00000CAB0000}"/>
    <cellStyle name="Remarque 3 4 2 4 5 8 2" xfId="23300" xr:uid="{00000000-0005-0000-0000-00000DAB0000}"/>
    <cellStyle name="Remarque 3 4 2 4 5 8 3" xfId="47260" xr:uid="{00000000-0005-0000-0000-00000EAB0000}"/>
    <cellStyle name="Remarque 3 4 2 4 5 9" xfId="2602" xr:uid="{00000000-0005-0000-0000-00000FAB0000}"/>
    <cellStyle name="Remarque 3 4 2 4 5 9 2" xfId="26616" xr:uid="{00000000-0005-0000-0000-000010AB0000}"/>
    <cellStyle name="Remarque 3 4 2 4 5 9 3" xfId="50576" xr:uid="{00000000-0005-0000-0000-000011AB0000}"/>
    <cellStyle name="Remarque 3 4 2 4 6" xfId="1333" xr:uid="{00000000-0005-0000-0000-000012AB0000}"/>
    <cellStyle name="Remarque 3 4 2 4 6 10" xfId="25365" xr:uid="{00000000-0005-0000-0000-000013AB0000}"/>
    <cellStyle name="Remarque 3 4 2 4 6 10 2" xfId="49325" xr:uid="{00000000-0005-0000-0000-000014AB0000}"/>
    <cellStyle name="Remarque 3 4 2 4 6 11" xfId="36029" xr:uid="{00000000-0005-0000-0000-000015AB0000}"/>
    <cellStyle name="Remarque 3 4 2 4 6 11 2" xfId="59989" xr:uid="{00000000-0005-0000-0000-000016AB0000}"/>
    <cellStyle name="Remarque 3 4 2 4 6 12" xfId="14030" xr:uid="{00000000-0005-0000-0000-000017AB0000}"/>
    <cellStyle name="Remarque 3 4 2 4 6 13" xfId="37990" xr:uid="{00000000-0005-0000-0000-000018AB0000}"/>
    <cellStyle name="Remarque 3 4 2 4 6 2" xfId="4239" xr:uid="{00000000-0005-0000-0000-000019AB0000}"/>
    <cellStyle name="Remarque 3 4 2 4 6 2 2" xfId="28253" xr:uid="{00000000-0005-0000-0000-00001AAB0000}"/>
    <cellStyle name="Remarque 3 4 2 4 6 2 2 2" xfId="52213" xr:uid="{00000000-0005-0000-0000-00001BAB0000}"/>
    <cellStyle name="Remarque 3 4 2 4 6 2 3" xfId="15500" xr:uid="{00000000-0005-0000-0000-00001CAB0000}"/>
    <cellStyle name="Remarque 3 4 2 4 6 2 4" xfId="39460" xr:uid="{00000000-0005-0000-0000-00001DAB0000}"/>
    <cellStyle name="Remarque 3 4 2 4 6 3" xfId="5673" xr:uid="{00000000-0005-0000-0000-00001EAB0000}"/>
    <cellStyle name="Remarque 3 4 2 4 6 3 2" xfId="29687" xr:uid="{00000000-0005-0000-0000-00001FAB0000}"/>
    <cellStyle name="Remarque 3 4 2 4 6 3 2 2" xfId="53647" xr:uid="{00000000-0005-0000-0000-000020AB0000}"/>
    <cellStyle name="Remarque 3 4 2 4 6 3 3" xfId="16934" xr:uid="{00000000-0005-0000-0000-000021AB0000}"/>
    <cellStyle name="Remarque 3 4 2 4 6 3 4" xfId="40894" xr:uid="{00000000-0005-0000-0000-000022AB0000}"/>
    <cellStyle name="Remarque 3 4 2 4 6 4" xfId="7067" xr:uid="{00000000-0005-0000-0000-000023AB0000}"/>
    <cellStyle name="Remarque 3 4 2 4 6 4 2" xfId="31081" xr:uid="{00000000-0005-0000-0000-000024AB0000}"/>
    <cellStyle name="Remarque 3 4 2 4 6 4 2 2" xfId="55041" xr:uid="{00000000-0005-0000-0000-000025AB0000}"/>
    <cellStyle name="Remarque 3 4 2 4 6 4 3" xfId="18328" xr:uid="{00000000-0005-0000-0000-000026AB0000}"/>
    <cellStyle name="Remarque 3 4 2 4 6 4 4" xfId="42288" xr:uid="{00000000-0005-0000-0000-000027AB0000}"/>
    <cellStyle name="Remarque 3 4 2 4 6 5" xfId="8455" xr:uid="{00000000-0005-0000-0000-000028AB0000}"/>
    <cellStyle name="Remarque 3 4 2 4 6 5 2" xfId="32469" xr:uid="{00000000-0005-0000-0000-000029AB0000}"/>
    <cellStyle name="Remarque 3 4 2 4 6 5 2 2" xfId="56429" xr:uid="{00000000-0005-0000-0000-00002AAB0000}"/>
    <cellStyle name="Remarque 3 4 2 4 6 5 3" xfId="19716" xr:uid="{00000000-0005-0000-0000-00002BAB0000}"/>
    <cellStyle name="Remarque 3 4 2 4 6 5 4" xfId="43676" xr:uid="{00000000-0005-0000-0000-00002CAB0000}"/>
    <cellStyle name="Remarque 3 4 2 4 6 6" xfId="9840" xr:uid="{00000000-0005-0000-0000-00002DAB0000}"/>
    <cellStyle name="Remarque 3 4 2 4 6 6 2" xfId="33854" xr:uid="{00000000-0005-0000-0000-00002EAB0000}"/>
    <cellStyle name="Remarque 3 4 2 4 6 6 2 2" xfId="57814" xr:uid="{00000000-0005-0000-0000-00002FAB0000}"/>
    <cellStyle name="Remarque 3 4 2 4 6 6 3" xfId="21101" xr:uid="{00000000-0005-0000-0000-000030AB0000}"/>
    <cellStyle name="Remarque 3 4 2 4 6 6 4" xfId="45061" xr:uid="{00000000-0005-0000-0000-000031AB0000}"/>
    <cellStyle name="Remarque 3 4 2 4 6 7" xfId="11297" xr:uid="{00000000-0005-0000-0000-000032AB0000}"/>
    <cellStyle name="Remarque 3 4 2 4 6 7 2" xfId="35307" xr:uid="{00000000-0005-0000-0000-000033AB0000}"/>
    <cellStyle name="Remarque 3 4 2 4 6 7 2 2" xfId="59267" xr:uid="{00000000-0005-0000-0000-000034AB0000}"/>
    <cellStyle name="Remarque 3 4 2 4 6 7 3" xfId="22564" xr:uid="{00000000-0005-0000-0000-000035AB0000}"/>
    <cellStyle name="Remarque 3 4 2 4 6 7 4" xfId="46524" xr:uid="{00000000-0005-0000-0000-000036AB0000}"/>
    <cellStyle name="Remarque 3 4 2 4 6 8" xfId="10192" xr:uid="{00000000-0005-0000-0000-000037AB0000}"/>
    <cellStyle name="Remarque 3 4 2 4 6 8 2" xfId="21457" xr:uid="{00000000-0005-0000-0000-000038AB0000}"/>
    <cellStyle name="Remarque 3 4 2 4 6 8 3" xfId="45417" xr:uid="{00000000-0005-0000-0000-000039AB0000}"/>
    <cellStyle name="Remarque 3 4 2 4 6 9" xfId="2769" xr:uid="{00000000-0005-0000-0000-00003AAB0000}"/>
    <cellStyle name="Remarque 3 4 2 4 6 9 2" xfId="26783" xr:uid="{00000000-0005-0000-0000-00003BAB0000}"/>
    <cellStyle name="Remarque 3 4 2 4 6 9 3" xfId="50743" xr:uid="{00000000-0005-0000-0000-00003CAB0000}"/>
    <cellStyle name="Remarque 3 4 2 4 7" xfId="1502" xr:uid="{00000000-0005-0000-0000-00003DAB0000}"/>
    <cellStyle name="Remarque 3 4 2 4 7 10" xfId="25534" xr:uid="{00000000-0005-0000-0000-00003EAB0000}"/>
    <cellStyle name="Remarque 3 4 2 4 7 10 2" xfId="49494" xr:uid="{00000000-0005-0000-0000-00003FAB0000}"/>
    <cellStyle name="Remarque 3 4 2 4 7 11" xfId="36591" xr:uid="{00000000-0005-0000-0000-000040AB0000}"/>
    <cellStyle name="Remarque 3 4 2 4 7 11 2" xfId="60551" xr:uid="{00000000-0005-0000-0000-000041AB0000}"/>
    <cellStyle name="Remarque 3 4 2 4 7 12" xfId="14199" xr:uid="{00000000-0005-0000-0000-000042AB0000}"/>
    <cellStyle name="Remarque 3 4 2 4 7 13" xfId="38159" xr:uid="{00000000-0005-0000-0000-000043AB0000}"/>
    <cellStyle name="Remarque 3 4 2 4 7 2" xfId="4408" xr:uid="{00000000-0005-0000-0000-000044AB0000}"/>
    <cellStyle name="Remarque 3 4 2 4 7 2 2" xfId="28422" xr:uid="{00000000-0005-0000-0000-000045AB0000}"/>
    <cellStyle name="Remarque 3 4 2 4 7 2 2 2" xfId="52382" xr:uid="{00000000-0005-0000-0000-000046AB0000}"/>
    <cellStyle name="Remarque 3 4 2 4 7 2 3" xfId="15669" xr:uid="{00000000-0005-0000-0000-000047AB0000}"/>
    <cellStyle name="Remarque 3 4 2 4 7 2 4" xfId="39629" xr:uid="{00000000-0005-0000-0000-000048AB0000}"/>
    <cellStyle name="Remarque 3 4 2 4 7 3" xfId="5842" xr:uid="{00000000-0005-0000-0000-000049AB0000}"/>
    <cellStyle name="Remarque 3 4 2 4 7 3 2" xfId="29856" xr:uid="{00000000-0005-0000-0000-00004AAB0000}"/>
    <cellStyle name="Remarque 3 4 2 4 7 3 2 2" xfId="53816" xr:uid="{00000000-0005-0000-0000-00004BAB0000}"/>
    <cellStyle name="Remarque 3 4 2 4 7 3 3" xfId="17103" xr:uid="{00000000-0005-0000-0000-00004CAB0000}"/>
    <cellStyle name="Remarque 3 4 2 4 7 3 4" xfId="41063" xr:uid="{00000000-0005-0000-0000-00004DAB0000}"/>
    <cellStyle name="Remarque 3 4 2 4 7 4" xfId="7236" xr:uid="{00000000-0005-0000-0000-00004EAB0000}"/>
    <cellStyle name="Remarque 3 4 2 4 7 4 2" xfId="31250" xr:uid="{00000000-0005-0000-0000-00004FAB0000}"/>
    <cellStyle name="Remarque 3 4 2 4 7 4 2 2" xfId="55210" xr:uid="{00000000-0005-0000-0000-000050AB0000}"/>
    <cellStyle name="Remarque 3 4 2 4 7 4 3" xfId="18497" xr:uid="{00000000-0005-0000-0000-000051AB0000}"/>
    <cellStyle name="Remarque 3 4 2 4 7 4 4" xfId="42457" xr:uid="{00000000-0005-0000-0000-000052AB0000}"/>
    <cellStyle name="Remarque 3 4 2 4 7 5" xfId="8624" xr:uid="{00000000-0005-0000-0000-000053AB0000}"/>
    <cellStyle name="Remarque 3 4 2 4 7 5 2" xfId="32638" xr:uid="{00000000-0005-0000-0000-000054AB0000}"/>
    <cellStyle name="Remarque 3 4 2 4 7 5 2 2" xfId="56598" xr:uid="{00000000-0005-0000-0000-000055AB0000}"/>
    <cellStyle name="Remarque 3 4 2 4 7 5 3" xfId="19885" xr:uid="{00000000-0005-0000-0000-000056AB0000}"/>
    <cellStyle name="Remarque 3 4 2 4 7 5 4" xfId="43845" xr:uid="{00000000-0005-0000-0000-000057AB0000}"/>
    <cellStyle name="Remarque 3 4 2 4 7 6" xfId="10009" xr:uid="{00000000-0005-0000-0000-000058AB0000}"/>
    <cellStyle name="Remarque 3 4 2 4 7 6 2" xfId="34023" xr:uid="{00000000-0005-0000-0000-000059AB0000}"/>
    <cellStyle name="Remarque 3 4 2 4 7 6 2 2" xfId="57983" xr:uid="{00000000-0005-0000-0000-00005AAB0000}"/>
    <cellStyle name="Remarque 3 4 2 4 7 6 3" xfId="21270" xr:uid="{00000000-0005-0000-0000-00005BAB0000}"/>
    <cellStyle name="Remarque 3 4 2 4 7 6 4" xfId="45230" xr:uid="{00000000-0005-0000-0000-00005CAB0000}"/>
    <cellStyle name="Remarque 3 4 2 4 7 7" xfId="11466" xr:uid="{00000000-0005-0000-0000-00005DAB0000}"/>
    <cellStyle name="Remarque 3 4 2 4 7 7 2" xfId="35476" xr:uid="{00000000-0005-0000-0000-00005EAB0000}"/>
    <cellStyle name="Remarque 3 4 2 4 7 7 2 2" xfId="59436" xr:uid="{00000000-0005-0000-0000-00005FAB0000}"/>
    <cellStyle name="Remarque 3 4 2 4 7 7 3" xfId="22733" xr:uid="{00000000-0005-0000-0000-000060AB0000}"/>
    <cellStyle name="Remarque 3 4 2 4 7 7 4" xfId="46693" xr:uid="{00000000-0005-0000-0000-000061AB0000}"/>
    <cellStyle name="Remarque 3 4 2 4 7 8" xfId="11736" xr:uid="{00000000-0005-0000-0000-000062AB0000}"/>
    <cellStyle name="Remarque 3 4 2 4 7 8 2" xfId="23007" xr:uid="{00000000-0005-0000-0000-000063AB0000}"/>
    <cellStyle name="Remarque 3 4 2 4 7 8 3" xfId="46967" xr:uid="{00000000-0005-0000-0000-000064AB0000}"/>
    <cellStyle name="Remarque 3 4 2 4 7 9" xfId="2938" xr:uid="{00000000-0005-0000-0000-000065AB0000}"/>
    <cellStyle name="Remarque 3 4 2 4 7 9 2" xfId="26952" xr:uid="{00000000-0005-0000-0000-000066AB0000}"/>
    <cellStyle name="Remarque 3 4 2 4 7 9 3" xfId="50912" xr:uid="{00000000-0005-0000-0000-000067AB0000}"/>
    <cellStyle name="Remarque 3 4 2 4 8" xfId="3357" xr:uid="{00000000-0005-0000-0000-000068AB0000}"/>
    <cellStyle name="Remarque 3 4 2 4 8 2" xfId="27371" xr:uid="{00000000-0005-0000-0000-000069AB0000}"/>
    <cellStyle name="Remarque 3 4 2 4 8 2 2" xfId="51331" xr:uid="{00000000-0005-0000-0000-00006AAB0000}"/>
    <cellStyle name="Remarque 3 4 2 4 8 3" xfId="14618" xr:uid="{00000000-0005-0000-0000-00006BAB0000}"/>
    <cellStyle name="Remarque 3 4 2 4 8 4" xfId="38578" xr:uid="{00000000-0005-0000-0000-00006CAB0000}"/>
    <cellStyle name="Remarque 3 4 2 4 9" xfId="4791" xr:uid="{00000000-0005-0000-0000-00006DAB0000}"/>
    <cellStyle name="Remarque 3 4 2 4 9 2" xfId="28805" xr:uid="{00000000-0005-0000-0000-00006EAB0000}"/>
    <cellStyle name="Remarque 3 4 2 4 9 2 2" xfId="52765" xr:uid="{00000000-0005-0000-0000-00006FAB0000}"/>
    <cellStyle name="Remarque 3 4 2 4 9 3" xfId="16052" xr:uid="{00000000-0005-0000-0000-000070AB0000}"/>
    <cellStyle name="Remarque 3 4 2 4 9 4" xfId="40012" xr:uid="{00000000-0005-0000-0000-000071AB0000}"/>
    <cellStyle name="Remarque 3 4 2 5" xfId="296" xr:uid="{00000000-0005-0000-0000-000072AB0000}"/>
    <cellStyle name="Remarque 3 4 2 5 10" xfId="24328" xr:uid="{00000000-0005-0000-0000-000073AB0000}"/>
    <cellStyle name="Remarque 3 4 2 5 10 2" xfId="48288" xr:uid="{00000000-0005-0000-0000-000074AB0000}"/>
    <cellStyle name="Remarque 3 4 2 5 11" xfId="35717" xr:uid="{00000000-0005-0000-0000-000075AB0000}"/>
    <cellStyle name="Remarque 3 4 2 5 11 2" xfId="59677" xr:uid="{00000000-0005-0000-0000-000076AB0000}"/>
    <cellStyle name="Remarque 3 4 2 5 12" xfId="12993" xr:uid="{00000000-0005-0000-0000-000077AB0000}"/>
    <cellStyle name="Remarque 3 4 2 5 13" xfId="36953" xr:uid="{00000000-0005-0000-0000-000078AB0000}"/>
    <cellStyle name="Remarque 3 4 2 5 2" xfId="3202" xr:uid="{00000000-0005-0000-0000-000079AB0000}"/>
    <cellStyle name="Remarque 3 4 2 5 2 2" xfId="27216" xr:uid="{00000000-0005-0000-0000-00007AAB0000}"/>
    <cellStyle name="Remarque 3 4 2 5 2 2 2" xfId="51176" xr:uid="{00000000-0005-0000-0000-00007BAB0000}"/>
    <cellStyle name="Remarque 3 4 2 5 2 3" xfId="14463" xr:uid="{00000000-0005-0000-0000-00007CAB0000}"/>
    <cellStyle name="Remarque 3 4 2 5 2 4" xfId="38423" xr:uid="{00000000-0005-0000-0000-00007DAB0000}"/>
    <cellStyle name="Remarque 3 4 2 5 3" xfId="4636" xr:uid="{00000000-0005-0000-0000-00007EAB0000}"/>
    <cellStyle name="Remarque 3 4 2 5 3 2" xfId="28650" xr:uid="{00000000-0005-0000-0000-00007FAB0000}"/>
    <cellStyle name="Remarque 3 4 2 5 3 2 2" xfId="52610" xr:uid="{00000000-0005-0000-0000-000080AB0000}"/>
    <cellStyle name="Remarque 3 4 2 5 3 3" xfId="15897" xr:uid="{00000000-0005-0000-0000-000081AB0000}"/>
    <cellStyle name="Remarque 3 4 2 5 3 4" xfId="39857" xr:uid="{00000000-0005-0000-0000-000082AB0000}"/>
    <cellStyle name="Remarque 3 4 2 5 4" xfId="6030" xr:uid="{00000000-0005-0000-0000-000083AB0000}"/>
    <cellStyle name="Remarque 3 4 2 5 4 2" xfId="30044" xr:uid="{00000000-0005-0000-0000-000084AB0000}"/>
    <cellStyle name="Remarque 3 4 2 5 4 2 2" xfId="54004" xr:uid="{00000000-0005-0000-0000-000085AB0000}"/>
    <cellStyle name="Remarque 3 4 2 5 4 3" xfId="17291" xr:uid="{00000000-0005-0000-0000-000086AB0000}"/>
    <cellStyle name="Remarque 3 4 2 5 4 4" xfId="41251" xr:uid="{00000000-0005-0000-0000-000087AB0000}"/>
    <cellStyle name="Remarque 3 4 2 5 5" xfId="7418" xr:uid="{00000000-0005-0000-0000-000088AB0000}"/>
    <cellStyle name="Remarque 3 4 2 5 5 2" xfId="31432" xr:uid="{00000000-0005-0000-0000-000089AB0000}"/>
    <cellStyle name="Remarque 3 4 2 5 5 2 2" xfId="55392" xr:uid="{00000000-0005-0000-0000-00008AAB0000}"/>
    <cellStyle name="Remarque 3 4 2 5 5 3" xfId="18679" xr:uid="{00000000-0005-0000-0000-00008BAB0000}"/>
    <cellStyle name="Remarque 3 4 2 5 5 4" xfId="42639" xr:uid="{00000000-0005-0000-0000-00008CAB0000}"/>
    <cellStyle name="Remarque 3 4 2 5 6" xfId="8803" xr:uid="{00000000-0005-0000-0000-00008DAB0000}"/>
    <cellStyle name="Remarque 3 4 2 5 6 2" xfId="32817" xr:uid="{00000000-0005-0000-0000-00008EAB0000}"/>
    <cellStyle name="Remarque 3 4 2 5 6 2 2" xfId="56777" xr:uid="{00000000-0005-0000-0000-00008FAB0000}"/>
    <cellStyle name="Remarque 3 4 2 5 6 3" xfId="20064" xr:uid="{00000000-0005-0000-0000-000090AB0000}"/>
    <cellStyle name="Remarque 3 4 2 5 6 4" xfId="44024" xr:uid="{00000000-0005-0000-0000-000091AB0000}"/>
    <cellStyle name="Remarque 3 4 2 5 7" xfId="10260" xr:uid="{00000000-0005-0000-0000-000092AB0000}"/>
    <cellStyle name="Remarque 3 4 2 5 7 2" xfId="34270" xr:uid="{00000000-0005-0000-0000-000093AB0000}"/>
    <cellStyle name="Remarque 3 4 2 5 7 2 2" xfId="58230" xr:uid="{00000000-0005-0000-0000-000094AB0000}"/>
    <cellStyle name="Remarque 3 4 2 5 7 3" xfId="21527" xr:uid="{00000000-0005-0000-0000-000095AB0000}"/>
    <cellStyle name="Remarque 3 4 2 5 7 4" xfId="45487" xr:uid="{00000000-0005-0000-0000-000096AB0000}"/>
    <cellStyle name="Remarque 3 4 2 5 8" xfId="12643" xr:uid="{00000000-0005-0000-0000-000097AB0000}"/>
    <cellStyle name="Remarque 3 4 2 5 8 2" xfId="23948" xr:uid="{00000000-0005-0000-0000-000098AB0000}"/>
    <cellStyle name="Remarque 3 4 2 5 8 3" xfId="47908" xr:uid="{00000000-0005-0000-0000-000099AB0000}"/>
    <cellStyle name="Remarque 3 4 2 5 9" xfId="1732" xr:uid="{00000000-0005-0000-0000-00009AAB0000}"/>
    <cellStyle name="Remarque 3 4 2 5 9 2" xfId="25746" xr:uid="{00000000-0005-0000-0000-00009BAB0000}"/>
    <cellStyle name="Remarque 3 4 2 5 9 3" xfId="49706" xr:uid="{00000000-0005-0000-0000-00009CAB0000}"/>
    <cellStyle name="Remarque 3 4 2 6" xfId="644" xr:uid="{00000000-0005-0000-0000-00009DAB0000}"/>
    <cellStyle name="Remarque 3 4 2 6 10" xfId="24676" xr:uid="{00000000-0005-0000-0000-00009EAB0000}"/>
    <cellStyle name="Remarque 3 4 2 6 10 2" xfId="48636" xr:uid="{00000000-0005-0000-0000-00009FAB0000}"/>
    <cellStyle name="Remarque 3 4 2 6 11" xfId="36364" xr:uid="{00000000-0005-0000-0000-0000A0AB0000}"/>
    <cellStyle name="Remarque 3 4 2 6 11 2" xfId="60324" xr:uid="{00000000-0005-0000-0000-0000A1AB0000}"/>
    <cellStyle name="Remarque 3 4 2 6 12" xfId="13341" xr:uid="{00000000-0005-0000-0000-0000A2AB0000}"/>
    <cellStyle name="Remarque 3 4 2 6 13" xfId="37301" xr:uid="{00000000-0005-0000-0000-0000A3AB0000}"/>
    <cellStyle name="Remarque 3 4 2 6 2" xfId="3550" xr:uid="{00000000-0005-0000-0000-0000A4AB0000}"/>
    <cellStyle name="Remarque 3 4 2 6 2 2" xfId="27564" xr:uid="{00000000-0005-0000-0000-0000A5AB0000}"/>
    <cellStyle name="Remarque 3 4 2 6 2 2 2" xfId="51524" xr:uid="{00000000-0005-0000-0000-0000A6AB0000}"/>
    <cellStyle name="Remarque 3 4 2 6 2 3" xfId="14811" xr:uid="{00000000-0005-0000-0000-0000A7AB0000}"/>
    <cellStyle name="Remarque 3 4 2 6 2 4" xfId="38771" xr:uid="{00000000-0005-0000-0000-0000A8AB0000}"/>
    <cellStyle name="Remarque 3 4 2 6 3" xfId="4984" xr:uid="{00000000-0005-0000-0000-0000A9AB0000}"/>
    <cellStyle name="Remarque 3 4 2 6 3 2" xfId="28998" xr:uid="{00000000-0005-0000-0000-0000AAAB0000}"/>
    <cellStyle name="Remarque 3 4 2 6 3 2 2" xfId="52958" xr:uid="{00000000-0005-0000-0000-0000ABAB0000}"/>
    <cellStyle name="Remarque 3 4 2 6 3 3" xfId="16245" xr:uid="{00000000-0005-0000-0000-0000ACAB0000}"/>
    <cellStyle name="Remarque 3 4 2 6 3 4" xfId="40205" xr:uid="{00000000-0005-0000-0000-0000ADAB0000}"/>
    <cellStyle name="Remarque 3 4 2 6 4" xfId="6378" xr:uid="{00000000-0005-0000-0000-0000AEAB0000}"/>
    <cellStyle name="Remarque 3 4 2 6 4 2" xfId="30392" xr:uid="{00000000-0005-0000-0000-0000AFAB0000}"/>
    <cellStyle name="Remarque 3 4 2 6 4 2 2" xfId="54352" xr:uid="{00000000-0005-0000-0000-0000B0AB0000}"/>
    <cellStyle name="Remarque 3 4 2 6 4 3" xfId="17639" xr:uid="{00000000-0005-0000-0000-0000B1AB0000}"/>
    <cellStyle name="Remarque 3 4 2 6 4 4" xfId="41599" xr:uid="{00000000-0005-0000-0000-0000B2AB0000}"/>
    <cellStyle name="Remarque 3 4 2 6 5" xfId="7766" xr:uid="{00000000-0005-0000-0000-0000B3AB0000}"/>
    <cellStyle name="Remarque 3 4 2 6 5 2" xfId="31780" xr:uid="{00000000-0005-0000-0000-0000B4AB0000}"/>
    <cellStyle name="Remarque 3 4 2 6 5 2 2" xfId="55740" xr:uid="{00000000-0005-0000-0000-0000B5AB0000}"/>
    <cellStyle name="Remarque 3 4 2 6 5 3" xfId="19027" xr:uid="{00000000-0005-0000-0000-0000B6AB0000}"/>
    <cellStyle name="Remarque 3 4 2 6 5 4" xfId="42987" xr:uid="{00000000-0005-0000-0000-0000B7AB0000}"/>
    <cellStyle name="Remarque 3 4 2 6 6" xfId="9151" xr:uid="{00000000-0005-0000-0000-0000B8AB0000}"/>
    <cellStyle name="Remarque 3 4 2 6 6 2" xfId="33165" xr:uid="{00000000-0005-0000-0000-0000B9AB0000}"/>
    <cellStyle name="Remarque 3 4 2 6 6 2 2" xfId="57125" xr:uid="{00000000-0005-0000-0000-0000BAAB0000}"/>
    <cellStyle name="Remarque 3 4 2 6 6 3" xfId="20412" xr:uid="{00000000-0005-0000-0000-0000BBAB0000}"/>
    <cellStyle name="Remarque 3 4 2 6 6 4" xfId="44372" xr:uid="{00000000-0005-0000-0000-0000BCAB0000}"/>
    <cellStyle name="Remarque 3 4 2 6 7" xfId="10608" xr:uid="{00000000-0005-0000-0000-0000BDAB0000}"/>
    <cellStyle name="Remarque 3 4 2 6 7 2" xfId="34618" xr:uid="{00000000-0005-0000-0000-0000BEAB0000}"/>
    <cellStyle name="Remarque 3 4 2 6 7 2 2" xfId="58578" xr:uid="{00000000-0005-0000-0000-0000BFAB0000}"/>
    <cellStyle name="Remarque 3 4 2 6 7 3" xfId="21875" xr:uid="{00000000-0005-0000-0000-0000C0AB0000}"/>
    <cellStyle name="Remarque 3 4 2 6 7 4" xfId="45835" xr:uid="{00000000-0005-0000-0000-0000C1AB0000}"/>
    <cellStyle name="Remarque 3 4 2 6 8" xfId="11962" xr:uid="{00000000-0005-0000-0000-0000C2AB0000}"/>
    <cellStyle name="Remarque 3 4 2 6 8 2" xfId="23240" xr:uid="{00000000-0005-0000-0000-0000C3AB0000}"/>
    <cellStyle name="Remarque 3 4 2 6 8 3" xfId="47200" xr:uid="{00000000-0005-0000-0000-0000C4AB0000}"/>
    <cellStyle name="Remarque 3 4 2 6 9" xfId="2080" xr:uid="{00000000-0005-0000-0000-0000C5AB0000}"/>
    <cellStyle name="Remarque 3 4 2 6 9 2" xfId="26094" xr:uid="{00000000-0005-0000-0000-0000C6AB0000}"/>
    <cellStyle name="Remarque 3 4 2 6 9 3" xfId="50054" xr:uid="{00000000-0005-0000-0000-0000C7AB0000}"/>
    <cellStyle name="Remarque 3 4 2 7" xfId="838" xr:uid="{00000000-0005-0000-0000-0000C8AB0000}"/>
    <cellStyle name="Remarque 3 4 2 7 10" xfId="24870" xr:uid="{00000000-0005-0000-0000-0000C9AB0000}"/>
    <cellStyle name="Remarque 3 4 2 7 10 2" xfId="48830" xr:uid="{00000000-0005-0000-0000-0000CAAB0000}"/>
    <cellStyle name="Remarque 3 4 2 7 11" xfId="36582" xr:uid="{00000000-0005-0000-0000-0000CBAB0000}"/>
    <cellStyle name="Remarque 3 4 2 7 11 2" xfId="60542" xr:uid="{00000000-0005-0000-0000-0000CCAB0000}"/>
    <cellStyle name="Remarque 3 4 2 7 12" xfId="13535" xr:uid="{00000000-0005-0000-0000-0000CDAB0000}"/>
    <cellStyle name="Remarque 3 4 2 7 13" xfId="37495" xr:uid="{00000000-0005-0000-0000-0000CEAB0000}"/>
    <cellStyle name="Remarque 3 4 2 7 2" xfId="3744" xr:uid="{00000000-0005-0000-0000-0000CFAB0000}"/>
    <cellStyle name="Remarque 3 4 2 7 2 2" xfId="27758" xr:uid="{00000000-0005-0000-0000-0000D0AB0000}"/>
    <cellStyle name="Remarque 3 4 2 7 2 2 2" xfId="51718" xr:uid="{00000000-0005-0000-0000-0000D1AB0000}"/>
    <cellStyle name="Remarque 3 4 2 7 2 3" xfId="15005" xr:uid="{00000000-0005-0000-0000-0000D2AB0000}"/>
    <cellStyle name="Remarque 3 4 2 7 2 4" xfId="38965" xr:uid="{00000000-0005-0000-0000-0000D3AB0000}"/>
    <cellStyle name="Remarque 3 4 2 7 3" xfId="5178" xr:uid="{00000000-0005-0000-0000-0000D4AB0000}"/>
    <cellStyle name="Remarque 3 4 2 7 3 2" xfId="29192" xr:uid="{00000000-0005-0000-0000-0000D5AB0000}"/>
    <cellStyle name="Remarque 3 4 2 7 3 2 2" xfId="53152" xr:uid="{00000000-0005-0000-0000-0000D6AB0000}"/>
    <cellStyle name="Remarque 3 4 2 7 3 3" xfId="16439" xr:uid="{00000000-0005-0000-0000-0000D7AB0000}"/>
    <cellStyle name="Remarque 3 4 2 7 3 4" xfId="40399" xr:uid="{00000000-0005-0000-0000-0000D8AB0000}"/>
    <cellStyle name="Remarque 3 4 2 7 4" xfId="6572" xr:uid="{00000000-0005-0000-0000-0000D9AB0000}"/>
    <cellStyle name="Remarque 3 4 2 7 4 2" xfId="30586" xr:uid="{00000000-0005-0000-0000-0000DAAB0000}"/>
    <cellStyle name="Remarque 3 4 2 7 4 2 2" xfId="54546" xr:uid="{00000000-0005-0000-0000-0000DBAB0000}"/>
    <cellStyle name="Remarque 3 4 2 7 4 3" xfId="17833" xr:uid="{00000000-0005-0000-0000-0000DCAB0000}"/>
    <cellStyle name="Remarque 3 4 2 7 4 4" xfId="41793" xr:uid="{00000000-0005-0000-0000-0000DDAB0000}"/>
    <cellStyle name="Remarque 3 4 2 7 5" xfId="7960" xr:uid="{00000000-0005-0000-0000-0000DEAB0000}"/>
    <cellStyle name="Remarque 3 4 2 7 5 2" xfId="31974" xr:uid="{00000000-0005-0000-0000-0000DFAB0000}"/>
    <cellStyle name="Remarque 3 4 2 7 5 2 2" xfId="55934" xr:uid="{00000000-0005-0000-0000-0000E0AB0000}"/>
    <cellStyle name="Remarque 3 4 2 7 5 3" xfId="19221" xr:uid="{00000000-0005-0000-0000-0000E1AB0000}"/>
    <cellStyle name="Remarque 3 4 2 7 5 4" xfId="43181" xr:uid="{00000000-0005-0000-0000-0000E2AB0000}"/>
    <cellStyle name="Remarque 3 4 2 7 6" xfId="9345" xr:uid="{00000000-0005-0000-0000-0000E3AB0000}"/>
    <cellStyle name="Remarque 3 4 2 7 6 2" xfId="33359" xr:uid="{00000000-0005-0000-0000-0000E4AB0000}"/>
    <cellStyle name="Remarque 3 4 2 7 6 2 2" xfId="57319" xr:uid="{00000000-0005-0000-0000-0000E5AB0000}"/>
    <cellStyle name="Remarque 3 4 2 7 6 3" xfId="20606" xr:uid="{00000000-0005-0000-0000-0000E6AB0000}"/>
    <cellStyle name="Remarque 3 4 2 7 6 4" xfId="44566" xr:uid="{00000000-0005-0000-0000-0000E7AB0000}"/>
    <cellStyle name="Remarque 3 4 2 7 7" xfId="10802" xr:uid="{00000000-0005-0000-0000-0000E8AB0000}"/>
    <cellStyle name="Remarque 3 4 2 7 7 2" xfId="34812" xr:uid="{00000000-0005-0000-0000-0000E9AB0000}"/>
    <cellStyle name="Remarque 3 4 2 7 7 2 2" xfId="58772" xr:uid="{00000000-0005-0000-0000-0000EAAB0000}"/>
    <cellStyle name="Remarque 3 4 2 7 7 3" xfId="22069" xr:uid="{00000000-0005-0000-0000-0000EBAB0000}"/>
    <cellStyle name="Remarque 3 4 2 7 7 4" xfId="46029" xr:uid="{00000000-0005-0000-0000-0000ECAB0000}"/>
    <cellStyle name="Remarque 3 4 2 7 8" xfId="12777" xr:uid="{00000000-0005-0000-0000-0000EDAB0000}"/>
    <cellStyle name="Remarque 3 4 2 7 8 2" xfId="24085" xr:uid="{00000000-0005-0000-0000-0000EEAB0000}"/>
    <cellStyle name="Remarque 3 4 2 7 8 3" xfId="48045" xr:uid="{00000000-0005-0000-0000-0000EFAB0000}"/>
    <cellStyle name="Remarque 3 4 2 7 9" xfId="2274" xr:uid="{00000000-0005-0000-0000-0000F0AB0000}"/>
    <cellStyle name="Remarque 3 4 2 7 9 2" xfId="26288" xr:uid="{00000000-0005-0000-0000-0000F1AB0000}"/>
    <cellStyle name="Remarque 3 4 2 7 9 3" xfId="50248" xr:uid="{00000000-0005-0000-0000-0000F2AB0000}"/>
    <cellStyle name="Remarque 3 4 2 8" xfId="1031" xr:uid="{00000000-0005-0000-0000-0000F3AB0000}"/>
    <cellStyle name="Remarque 3 4 2 8 10" xfId="25063" xr:uid="{00000000-0005-0000-0000-0000F4AB0000}"/>
    <cellStyle name="Remarque 3 4 2 8 10 2" xfId="49023" xr:uid="{00000000-0005-0000-0000-0000F5AB0000}"/>
    <cellStyle name="Remarque 3 4 2 8 11" xfId="36375" xr:uid="{00000000-0005-0000-0000-0000F6AB0000}"/>
    <cellStyle name="Remarque 3 4 2 8 11 2" xfId="60335" xr:uid="{00000000-0005-0000-0000-0000F7AB0000}"/>
    <cellStyle name="Remarque 3 4 2 8 12" xfId="13728" xr:uid="{00000000-0005-0000-0000-0000F8AB0000}"/>
    <cellStyle name="Remarque 3 4 2 8 13" xfId="37688" xr:uid="{00000000-0005-0000-0000-0000F9AB0000}"/>
    <cellStyle name="Remarque 3 4 2 8 2" xfId="3937" xr:uid="{00000000-0005-0000-0000-0000FAAB0000}"/>
    <cellStyle name="Remarque 3 4 2 8 2 2" xfId="27951" xr:uid="{00000000-0005-0000-0000-0000FBAB0000}"/>
    <cellStyle name="Remarque 3 4 2 8 2 2 2" xfId="51911" xr:uid="{00000000-0005-0000-0000-0000FCAB0000}"/>
    <cellStyle name="Remarque 3 4 2 8 2 3" xfId="15198" xr:uid="{00000000-0005-0000-0000-0000FDAB0000}"/>
    <cellStyle name="Remarque 3 4 2 8 2 4" xfId="39158" xr:uid="{00000000-0005-0000-0000-0000FEAB0000}"/>
    <cellStyle name="Remarque 3 4 2 8 3" xfId="5371" xr:uid="{00000000-0005-0000-0000-0000FFAB0000}"/>
    <cellStyle name="Remarque 3 4 2 8 3 2" xfId="29385" xr:uid="{00000000-0005-0000-0000-000000AC0000}"/>
    <cellStyle name="Remarque 3 4 2 8 3 2 2" xfId="53345" xr:uid="{00000000-0005-0000-0000-000001AC0000}"/>
    <cellStyle name="Remarque 3 4 2 8 3 3" xfId="16632" xr:uid="{00000000-0005-0000-0000-000002AC0000}"/>
    <cellStyle name="Remarque 3 4 2 8 3 4" xfId="40592" xr:uid="{00000000-0005-0000-0000-000003AC0000}"/>
    <cellStyle name="Remarque 3 4 2 8 4" xfId="6765" xr:uid="{00000000-0005-0000-0000-000004AC0000}"/>
    <cellStyle name="Remarque 3 4 2 8 4 2" xfId="30779" xr:uid="{00000000-0005-0000-0000-000005AC0000}"/>
    <cellStyle name="Remarque 3 4 2 8 4 2 2" xfId="54739" xr:uid="{00000000-0005-0000-0000-000006AC0000}"/>
    <cellStyle name="Remarque 3 4 2 8 4 3" xfId="18026" xr:uid="{00000000-0005-0000-0000-000007AC0000}"/>
    <cellStyle name="Remarque 3 4 2 8 4 4" xfId="41986" xr:uid="{00000000-0005-0000-0000-000008AC0000}"/>
    <cellStyle name="Remarque 3 4 2 8 5" xfId="8153" xr:uid="{00000000-0005-0000-0000-000009AC0000}"/>
    <cellStyle name="Remarque 3 4 2 8 5 2" xfId="32167" xr:uid="{00000000-0005-0000-0000-00000AAC0000}"/>
    <cellStyle name="Remarque 3 4 2 8 5 2 2" xfId="56127" xr:uid="{00000000-0005-0000-0000-00000BAC0000}"/>
    <cellStyle name="Remarque 3 4 2 8 5 3" xfId="19414" xr:uid="{00000000-0005-0000-0000-00000CAC0000}"/>
    <cellStyle name="Remarque 3 4 2 8 5 4" xfId="43374" xr:uid="{00000000-0005-0000-0000-00000DAC0000}"/>
    <cellStyle name="Remarque 3 4 2 8 6" xfId="9538" xr:uid="{00000000-0005-0000-0000-00000EAC0000}"/>
    <cellStyle name="Remarque 3 4 2 8 6 2" xfId="33552" xr:uid="{00000000-0005-0000-0000-00000FAC0000}"/>
    <cellStyle name="Remarque 3 4 2 8 6 2 2" xfId="57512" xr:uid="{00000000-0005-0000-0000-000010AC0000}"/>
    <cellStyle name="Remarque 3 4 2 8 6 3" xfId="20799" xr:uid="{00000000-0005-0000-0000-000011AC0000}"/>
    <cellStyle name="Remarque 3 4 2 8 6 4" xfId="44759" xr:uid="{00000000-0005-0000-0000-000012AC0000}"/>
    <cellStyle name="Remarque 3 4 2 8 7" xfId="10995" xr:uid="{00000000-0005-0000-0000-000013AC0000}"/>
    <cellStyle name="Remarque 3 4 2 8 7 2" xfId="35005" xr:uid="{00000000-0005-0000-0000-000014AC0000}"/>
    <cellStyle name="Remarque 3 4 2 8 7 2 2" xfId="58965" xr:uid="{00000000-0005-0000-0000-000015AC0000}"/>
    <cellStyle name="Remarque 3 4 2 8 7 3" xfId="22262" xr:uid="{00000000-0005-0000-0000-000016AC0000}"/>
    <cellStyle name="Remarque 3 4 2 8 7 4" xfId="46222" xr:uid="{00000000-0005-0000-0000-000017AC0000}"/>
    <cellStyle name="Remarque 3 4 2 8 8" xfId="12393" xr:uid="{00000000-0005-0000-0000-000018AC0000}"/>
    <cellStyle name="Remarque 3 4 2 8 8 2" xfId="23683" xr:uid="{00000000-0005-0000-0000-000019AC0000}"/>
    <cellStyle name="Remarque 3 4 2 8 8 3" xfId="47643" xr:uid="{00000000-0005-0000-0000-00001AAC0000}"/>
    <cellStyle name="Remarque 3 4 2 8 9" xfId="2467" xr:uid="{00000000-0005-0000-0000-00001BAC0000}"/>
    <cellStyle name="Remarque 3 4 2 8 9 2" xfId="26481" xr:uid="{00000000-0005-0000-0000-00001CAC0000}"/>
    <cellStyle name="Remarque 3 4 2 8 9 3" xfId="50441" xr:uid="{00000000-0005-0000-0000-00001DAC0000}"/>
    <cellStyle name="Remarque 3 4 2 9" xfId="1217" xr:uid="{00000000-0005-0000-0000-00001EAC0000}"/>
    <cellStyle name="Remarque 3 4 2 9 10" xfId="25249" xr:uid="{00000000-0005-0000-0000-00001FAC0000}"/>
    <cellStyle name="Remarque 3 4 2 9 10 2" xfId="49209" xr:uid="{00000000-0005-0000-0000-000020AC0000}"/>
    <cellStyle name="Remarque 3 4 2 9 11" xfId="36255" xr:uid="{00000000-0005-0000-0000-000021AC0000}"/>
    <cellStyle name="Remarque 3 4 2 9 11 2" xfId="60215" xr:uid="{00000000-0005-0000-0000-000022AC0000}"/>
    <cellStyle name="Remarque 3 4 2 9 12" xfId="13914" xr:uid="{00000000-0005-0000-0000-000023AC0000}"/>
    <cellStyle name="Remarque 3 4 2 9 13" xfId="37874" xr:uid="{00000000-0005-0000-0000-000024AC0000}"/>
    <cellStyle name="Remarque 3 4 2 9 2" xfId="4123" xr:uid="{00000000-0005-0000-0000-000025AC0000}"/>
    <cellStyle name="Remarque 3 4 2 9 2 2" xfId="28137" xr:uid="{00000000-0005-0000-0000-000026AC0000}"/>
    <cellStyle name="Remarque 3 4 2 9 2 2 2" xfId="52097" xr:uid="{00000000-0005-0000-0000-000027AC0000}"/>
    <cellStyle name="Remarque 3 4 2 9 2 3" xfId="15384" xr:uid="{00000000-0005-0000-0000-000028AC0000}"/>
    <cellStyle name="Remarque 3 4 2 9 2 4" xfId="39344" xr:uid="{00000000-0005-0000-0000-000029AC0000}"/>
    <cellStyle name="Remarque 3 4 2 9 3" xfId="5557" xr:uid="{00000000-0005-0000-0000-00002AAC0000}"/>
    <cellStyle name="Remarque 3 4 2 9 3 2" xfId="29571" xr:uid="{00000000-0005-0000-0000-00002BAC0000}"/>
    <cellStyle name="Remarque 3 4 2 9 3 2 2" xfId="53531" xr:uid="{00000000-0005-0000-0000-00002CAC0000}"/>
    <cellStyle name="Remarque 3 4 2 9 3 3" xfId="16818" xr:uid="{00000000-0005-0000-0000-00002DAC0000}"/>
    <cellStyle name="Remarque 3 4 2 9 3 4" xfId="40778" xr:uid="{00000000-0005-0000-0000-00002EAC0000}"/>
    <cellStyle name="Remarque 3 4 2 9 4" xfId="6951" xr:uid="{00000000-0005-0000-0000-00002FAC0000}"/>
    <cellStyle name="Remarque 3 4 2 9 4 2" xfId="30965" xr:uid="{00000000-0005-0000-0000-000030AC0000}"/>
    <cellStyle name="Remarque 3 4 2 9 4 2 2" xfId="54925" xr:uid="{00000000-0005-0000-0000-000031AC0000}"/>
    <cellStyle name="Remarque 3 4 2 9 4 3" xfId="18212" xr:uid="{00000000-0005-0000-0000-000032AC0000}"/>
    <cellStyle name="Remarque 3 4 2 9 4 4" xfId="42172" xr:uid="{00000000-0005-0000-0000-000033AC0000}"/>
    <cellStyle name="Remarque 3 4 2 9 5" xfId="8339" xr:uid="{00000000-0005-0000-0000-000034AC0000}"/>
    <cellStyle name="Remarque 3 4 2 9 5 2" xfId="32353" xr:uid="{00000000-0005-0000-0000-000035AC0000}"/>
    <cellStyle name="Remarque 3 4 2 9 5 2 2" xfId="56313" xr:uid="{00000000-0005-0000-0000-000036AC0000}"/>
    <cellStyle name="Remarque 3 4 2 9 5 3" xfId="19600" xr:uid="{00000000-0005-0000-0000-000037AC0000}"/>
    <cellStyle name="Remarque 3 4 2 9 5 4" xfId="43560" xr:uid="{00000000-0005-0000-0000-000038AC0000}"/>
    <cellStyle name="Remarque 3 4 2 9 6" xfId="9724" xr:uid="{00000000-0005-0000-0000-000039AC0000}"/>
    <cellStyle name="Remarque 3 4 2 9 6 2" xfId="33738" xr:uid="{00000000-0005-0000-0000-00003AAC0000}"/>
    <cellStyle name="Remarque 3 4 2 9 6 2 2" xfId="57698" xr:uid="{00000000-0005-0000-0000-00003BAC0000}"/>
    <cellStyle name="Remarque 3 4 2 9 6 3" xfId="20985" xr:uid="{00000000-0005-0000-0000-00003CAC0000}"/>
    <cellStyle name="Remarque 3 4 2 9 6 4" xfId="44945" xr:uid="{00000000-0005-0000-0000-00003DAC0000}"/>
    <cellStyle name="Remarque 3 4 2 9 7" xfId="11181" xr:uid="{00000000-0005-0000-0000-00003EAC0000}"/>
    <cellStyle name="Remarque 3 4 2 9 7 2" xfId="35191" xr:uid="{00000000-0005-0000-0000-00003FAC0000}"/>
    <cellStyle name="Remarque 3 4 2 9 7 2 2" xfId="59151" xr:uid="{00000000-0005-0000-0000-000040AC0000}"/>
    <cellStyle name="Remarque 3 4 2 9 7 3" xfId="22448" xr:uid="{00000000-0005-0000-0000-000041AC0000}"/>
    <cellStyle name="Remarque 3 4 2 9 7 4" xfId="46408" xr:uid="{00000000-0005-0000-0000-000042AC0000}"/>
    <cellStyle name="Remarque 3 4 2 9 8" xfId="11669" xr:uid="{00000000-0005-0000-0000-000043AC0000}"/>
    <cellStyle name="Remarque 3 4 2 9 8 2" xfId="22937" xr:uid="{00000000-0005-0000-0000-000044AC0000}"/>
    <cellStyle name="Remarque 3 4 2 9 8 3" xfId="46897" xr:uid="{00000000-0005-0000-0000-000045AC0000}"/>
    <cellStyle name="Remarque 3 4 2 9 9" xfId="2653" xr:uid="{00000000-0005-0000-0000-000046AC0000}"/>
    <cellStyle name="Remarque 3 4 2 9 9 2" xfId="26667" xr:uid="{00000000-0005-0000-0000-000047AC0000}"/>
    <cellStyle name="Remarque 3 4 2 9 9 3" xfId="50627" xr:uid="{00000000-0005-0000-0000-000048AC0000}"/>
    <cellStyle name="Remarque 3 4 3" xfId="95" xr:uid="{00000000-0005-0000-0000-000049AC0000}"/>
    <cellStyle name="Remarque 3 4 3 10" xfId="36896" xr:uid="{00000000-0005-0000-0000-00004AAC0000}"/>
    <cellStyle name="Remarque 3 4 3 11" xfId="239" xr:uid="{00000000-0005-0000-0000-00004BAC0000}"/>
    <cellStyle name="Remarque 3 4 3 2" xfId="473" xr:uid="{00000000-0005-0000-0000-00004CAC0000}"/>
    <cellStyle name="Remarque 3 4 3 2 10" xfId="6207" xr:uid="{00000000-0005-0000-0000-00004DAC0000}"/>
    <cellStyle name="Remarque 3 4 3 2 10 2" xfId="30221" xr:uid="{00000000-0005-0000-0000-00004EAC0000}"/>
    <cellStyle name="Remarque 3 4 3 2 10 2 2" xfId="54181" xr:uid="{00000000-0005-0000-0000-00004FAC0000}"/>
    <cellStyle name="Remarque 3 4 3 2 10 3" xfId="17468" xr:uid="{00000000-0005-0000-0000-000050AC0000}"/>
    <cellStyle name="Remarque 3 4 3 2 10 4" xfId="41428" xr:uid="{00000000-0005-0000-0000-000051AC0000}"/>
    <cellStyle name="Remarque 3 4 3 2 11" xfId="7595" xr:uid="{00000000-0005-0000-0000-000052AC0000}"/>
    <cellStyle name="Remarque 3 4 3 2 11 2" xfId="31609" xr:uid="{00000000-0005-0000-0000-000053AC0000}"/>
    <cellStyle name="Remarque 3 4 3 2 11 2 2" xfId="55569" xr:uid="{00000000-0005-0000-0000-000054AC0000}"/>
    <cellStyle name="Remarque 3 4 3 2 11 3" xfId="18856" xr:uid="{00000000-0005-0000-0000-000055AC0000}"/>
    <cellStyle name="Remarque 3 4 3 2 11 4" xfId="42816" xr:uid="{00000000-0005-0000-0000-000056AC0000}"/>
    <cellStyle name="Remarque 3 4 3 2 12" xfId="8980" xr:uid="{00000000-0005-0000-0000-000057AC0000}"/>
    <cellStyle name="Remarque 3 4 3 2 12 2" xfId="32994" xr:uid="{00000000-0005-0000-0000-000058AC0000}"/>
    <cellStyle name="Remarque 3 4 3 2 12 2 2" xfId="56954" xr:uid="{00000000-0005-0000-0000-000059AC0000}"/>
    <cellStyle name="Remarque 3 4 3 2 12 3" xfId="20241" xr:uid="{00000000-0005-0000-0000-00005AAC0000}"/>
    <cellStyle name="Remarque 3 4 3 2 12 4" xfId="44201" xr:uid="{00000000-0005-0000-0000-00005BAC0000}"/>
    <cellStyle name="Remarque 3 4 3 2 13" xfId="10437" xr:uid="{00000000-0005-0000-0000-00005CAC0000}"/>
    <cellStyle name="Remarque 3 4 3 2 13 2" xfId="34447" xr:uid="{00000000-0005-0000-0000-00005DAC0000}"/>
    <cellStyle name="Remarque 3 4 3 2 13 2 2" xfId="58407" xr:uid="{00000000-0005-0000-0000-00005EAC0000}"/>
    <cellStyle name="Remarque 3 4 3 2 13 3" xfId="21704" xr:uid="{00000000-0005-0000-0000-00005FAC0000}"/>
    <cellStyle name="Remarque 3 4 3 2 13 4" xfId="45664" xr:uid="{00000000-0005-0000-0000-000060AC0000}"/>
    <cellStyle name="Remarque 3 4 3 2 14" xfId="11815" xr:uid="{00000000-0005-0000-0000-000061AC0000}"/>
    <cellStyle name="Remarque 3 4 3 2 14 2" xfId="23089" xr:uid="{00000000-0005-0000-0000-000062AC0000}"/>
    <cellStyle name="Remarque 3 4 3 2 14 3" xfId="47049" xr:uid="{00000000-0005-0000-0000-000063AC0000}"/>
    <cellStyle name="Remarque 3 4 3 2 15" xfId="1909" xr:uid="{00000000-0005-0000-0000-000064AC0000}"/>
    <cellStyle name="Remarque 3 4 3 2 15 2" xfId="25923" xr:uid="{00000000-0005-0000-0000-000065AC0000}"/>
    <cellStyle name="Remarque 3 4 3 2 15 3" xfId="49883" xr:uid="{00000000-0005-0000-0000-000066AC0000}"/>
    <cellStyle name="Remarque 3 4 3 2 16" xfId="24505" xr:uid="{00000000-0005-0000-0000-000067AC0000}"/>
    <cellStyle name="Remarque 3 4 3 2 16 2" xfId="48465" xr:uid="{00000000-0005-0000-0000-000068AC0000}"/>
    <cellStyle name="Remarque 3 4 3 2 17" xfId="36429" xr:uid="{00000000-0005-0000-0000-000069AC0000}"/>
    <cellStyle name="Remarque 3 4 3 2 17 2" xfId="60389" xr:uid="{00000000-0005-0000-0000-00006AAC0000}"/>
    <cellStyle name="Remarque 3 4 3 2 18" xfId="13170" xr:uid="{00000000-0005-0000-0000-00006BAC0000}"/>
    <cellStyle name="Remarque 3 4 3 2 19" xfId="37130" xr:uid="{00000000-0005-0000-0000-00006CAC0000}"/>
    <cellStyle name="Remarque 3 4 3 2 2" xfId="609" xr:uid="{00000000-0005-0000-0000-00006DAC0000}"/>
    <cellStyle name="Remarque 3 4 3 2 2 10" xfId="24641" xr:uid="{00000000-0005-0000-0000-00006EAC0000}"/>
    <cellStyle name="Remarque 3 4 3 2 2 10 2" xfId="48601" xr:uid="{00000000-0005-0000-0000-00006FAC0000}"/>
    <cellStyle name="Remarque 3 4 3 2 2 11" xfId="36727" xr:uid="{00000000-0005-0000-0000-000070AC0000}"/>
    <cellStyle name="Remarque 3 4 3 2 2 11 2" xfId="60687" xr:uid="{00000000-0005-0000-0000-000071AC0000}"/>
    <cellStyle name="Remarque 3 4 3 2 2 12" xfId="13306" xr:uid="{00000000-0005-0000-0000-000072AC0000}"/>
    <cellStyle name="Remarque 3 4 3 2 2 13" xfId="37266" xr:uid="{00000000-0005-0000-0000-000073AC0000}"/>
    <cellStyle name="Remarque 3 4 3 2 2 2" xfId="3515" xr:uid="{00000000-0005-0000-0000-000074AC0000}"/>
    <cellStyle name="Remarque 3 4 3 2 2 2 2" xfId="27529" xr:uid="{00000000-0005-0000-0000-000075AC0000}"/>
    <cellStyle name="Remarque 3 4 3 2 2 2 2 2" xfId="51489" xr:uid="{00000000-0005-0000-0000-000076AC0000}"/>
    <cellStyle name="Remarque 3 4 3 2 2 2 3" xfId="14776" xr:uid="{00000000-0005-0000-0000-000077AC0000}"/>
    <cellStyle name="Remarque 3 4 3 2 2 2 4" xfId="38736" xr:uid="{00000000-0005-0000-0000-000078AC0000}"/>
    <cellStyle name="Remarque 3 4 3 2 2 3" xfId="4949" xr:uid="{00000000-0005-0000-0000-000079AC0000}"/>
    <cellStyle name="Remarque 3 4 3 2 2 3 2" xfId="28963" xr:uid="{00000000-0005-0000-0000-00007AAC0000}"/>
    <cellStyle name="Remarque 3 4 3 2 2 3 2 2" xfId="52923" xr:uid="{00000000-0005-0000-0000-00007BAC0000}"/>
    <cellStyle name="Remarque 3 4 3 2 2 3 3" xfId="16210" xr:uid="{00000000-0005-0000-0000-00007CAC0000}"/>
    <cellStyle name="Remarque 3 4 3 2 2 3 4" xfId="40170" xr:uid="{00000000-0005-0000-0000-00007DAC0000}"/>
    <cellStyle name="Remarque 3 4 3 2 2 4" xfId="6343" xr:uid="{00000000-0005-0000-0000-00007EAC0000}"/>
    <cellStyle name="Remarque 3 4 3 2 2 4 2" xfId="30357" xr:uid="{00000000-0005-0000-0000-00007FAC0000}"/>
    <cellStyle name="Remarque 3 4 3 2 2 4 2 2" xfId="54317" xr:uid="{00000000-0005-0000-0000-000080AC0000}"/>
    <cellStyle name="Remarque 3 4 3 2 2 4 3" xfId="17604" xr:uid="{00000000-0005-0000-0000-000081AC0000}"/>
    <cellStyle name="Remarque 3 4 3 2 2 4 4" xfId="41564" xr:uid="{00000000-0005-0000-0000-000082AC0000}"/>
    <cellStyle name="Remarque 3 4 3 2 2 5" xfId="7731" xr:uid="{00000000-0005-0000-0000-000083AC0000}"/>
    <cellStyle name="Remarque 3 4 3 2 2 5 2" xfId="31745" xr:uid="{00000000-0005-0000-0000-000084AC0000}"/>
    <cellStyle name="Remarque 3 4 3 2 2 5 2 2" xfId="55705" xr:uid="{00000000-0005-0000-0000-000085AC0000}"/>
    <cellStyle name="Remarque 3 4 3 2 2 5 3" xfId="18992" xr:uid="{00000000-0005-0000-0000-000086AC0000}"/>
    <cellStyle name="Remarque 3 4 3 2 2 5 4" xfId="42952" xr:uid="{00000000-0005-0000-0000-000087AC0000}"/>
    <cellStyle name="Remarque 3 4 3 2 2 6" xfId="9116" xr:uid="{00000000-0005-0000-0000-000088AC0000}"/>
    <cellStyle name="Remarque 3 4 3 2 2 6 2" xfId="33130" xr:uid="{00000000-0005-0000-0000-000089AC0000}"/>
    <cellStyle name="Remarque 3 4 3 2 2 6 2 2" xfId="57090" xr:uid="{00000000-0005-0000-0000-00008AAC0000}"/>
    <cellStyle name="Remarque 3 4 3 2 2 6 3" xfId="20377" xr:uid="{00000000-0005-0000-0000-00008BAC0000}"/>
    <cellStyle name="Remarque 3 4 3 2 2 6 4" xfId="44337" xr:uid="{00000000-0005-0000-0000-00008CAC0000}"/>
    <cellStyle name="Remarque 3 4 3 2 2 7" xfId="10573" xr:uid="{00000000-0005-0000-0000-00008DAC0000}"/>
    <cellStyle name="Remarque 3 4 3 2 2 7 2" xfId="34583" xr:uid="{00000000-0005-0000-0000-00008EAC0000}"/>
    <cellStyle name="Remarque 3 4 3 2 2 7 2 2" xfId="58543" xr:uid="{00000000-0005-0000-0000-00008FAC0000}"/>
    <cellStyle name="Remarque 3 4 3 2 2 7 3" xfId="21840" xr:uid="{00000000-0005-0000-0000-000090AC0000}"/>
    <cellStyle name="Remarque 3 4 3 2 2 7 4" xfId="45800" xr:uid="{00000000-0005-0000-0000-000091AC0000}"/>
    <cellStyle name="Remarque 3 4 3 2 2 8" xfId="12626" xr:uid="{00000000-0005-0000-0000-000092AC0000}"/>
    <cellStyle name="Remarque 3 4 3 2 2 8 2" xfId="23929" xr:uid="{00000000-0005-0000-0000-000093AC0000}"/>
    <cellStyle name="Remarque 3 4 3 2 2 8 3" xfId="47889" xr:uid="{00000000-0005-0000-0000-000094AC0000}"/>
    <cellStyle name="Remarque 3 4 3 2 2 9" xfId="2045" xr:uid="{00000000-0005-0000-0000-000095AC0000}"/>
    <cellStyle name="Remarque 3 4 3 2 2 9 2" xfId="26059" xr:uid="{00000000-0005-0000-0000-000096AC0000}"/>
    <cellStyle name="Remarque 3 4 3 2 2 9 3" xfId="50019" xr:uid="{00000000-0005-0000-0000-000097AC0000}"/>
    <cellStyle name="Remarque 3 4 3 2 3" xfId="801" xr:uid="{00000000-0005-0000-0000-000098AC0000}"/>
    <cellStyle name="Remarque 3 4 3 2 3 10" xfId="24833" xr:uid="{00000000-0005-0000-0000-000099AC0000}"/>
    <cellStyle name="Remarque 3 4 3 2 3 10 2" xfId="48793" xr:uid="{00000000-0005-0000-0000-00009AAC0000}"/>
    <cellStyle name="Remarque 3 4 3 2 3 11" xfId="36103" xr:uid="{00000000-0005-0000-0000-00009BAC0000}"/>
    <cellStyle name="Remarque 3 4 3 2 3 11 2" xfId="60063" xr:uid="{00000000-0005-0000-0000-00009CAC0000}"/>
    <cellStyle name="Remarque 3 4 3 2 3 12" xfId="13498" xr:uid="{00000000-0005-0000-0000-00009DAC0000}"/>
    <cellStyle name="Remarque 3 4 3 2 3 13" xfId="37458" xr:uid="{00000000-0005-0000-0000-00009EAC0000}"/>
    <cellStyle name="Remarque 3 4 3 2 3 2" xfId="3707" xr:uid="{00000000-0005-0000-0000-00009FAC0000}"/>
    <cellStyle name="Remarque 3 4 3 2 3 2 2" xfId="27721" xr:uid="{00000000-0005-0000-0000-0000A0AC0000}"/>
    <cellStyle name="Remarque 3 4 3 2 3 2 2 2" xfId="51681" xr:uid="{00000000-0005-0000-0000-0000A1AC0000}"/>
    <cellStyle name="Remarque 3 4 3 2 3 2 3" xfId="14968" xr:uid="{00000000-0005-0000-0000-0000A2AC0000}"/>
    <cellStyle name="Remarque 3 4 3 2 3 2 4" xfId="38928" xr:uid="{00000000-0005-0000-0000-0000A3AC0000}"/>
    <cellStyle name="Remarque 3 4 3 2 3 3" xfId="5141" xr:uid="{00000000-0005-0000-0000-0000A4AC0000}"/>
    <cellStyle name="Remarque 3 4 3 2 3 3 2" xfId="29155" xr:uid="{00000000-0005-0000-0000-0000A5AC0000}"/>
    <cellStyle name="Remarque 3 4 3 2 3 3 2 2" xfId="53115" xr:uid="{00000000-0005-0000-0000-0000A6AC0000}"/>
    <cellStyle name="Remarque 3 4 3 2 3 3 3" xfId="16402" xr:uid="{00000000-0005-0000-0000-0000A7AC0000}"/>
    <cellStyle name="Remarque 3 4 3 2 3 3 4" xfId="40362" xr:uid="{00000000-0005-0000-0000-0000A8AC0000}"/>
    <cellStyle name="Remarque 3 4 3 2 3 4" xfId="6535" xr:uid="{00000000-0005-0000-0000-0000A9AC0000}"/>
    <cellStyle name="Remarque 3 4 3 2 3 4 2" xfId="30549" xr:uid="{00000000-0005-0000-0000-0000AAAC0000}"/>
    <cellStyle name="Remarque 3 4 3 2 3 4 2 2" xfId="54509" xr:uid="{00000000-0005-0000-0000-0000ABAC0000}"/>
    <cellStyle name="Remarque 3 4 3 2 3 4 3" xfId="17796" xr:uid="{00000000-0005-0000-0000-0000ACAC0000}"/>
    <cellStyle name="Remarque 3 4 3 2 3 4 4" xfId="41756" xr:uid="{00000000-0005-0000-0000-0000ADAC0000}"/>
    <cellStyle name="Remarque 3 4 3 2 3 5" xfId="7923" xr:uid="{00000000-0005-0000-0000-0000AEAC0000}"/>
    <cellStyle name="Remarque 3 4 3 2 3 5 2" xfId="31937" xr:uid="{00000000-0005-0000-0000-0000AFAC0000}"/>
    <cellStyle name="Remarque 3 4 3 2 3 5 2 2" xfId="55897" xr:uid="{00000000-0005-0000-0000-0000B0AC0000}"/>
    <cellStyle name="Remarque 3 4 3 2 3 5 3" xfId="19184" xr:uid="{00000000-0005-0000-0000-0000B1AC0000}"/>
    <cellStyle name="Remarque 3 4 3 2 3 5 4" xfId="43144" xr:uid="{00000000-0005-0000-0000-0000B2AC0000}"/>
    <cellStyle name="Remarque 3 4 3 2 3 6" xfId="9308" xr:uid="{00000000-0005-0000-0000-0000B3AC0000}"/>
    <cellStyle name="Remarque 3 4 3 2 3 6 2" xfId="33322" xr:uid="{00000000-0005-0000-0000-0000B4AC0000}"/>
    <cellStyle name="Remarque 3 4 3 2 3 6 2 2" xfId="57282" xr:uid="{00000000-0005-0000-0000-0000B5AC0000}"/>
    <cellStyle name="Remarque 3 4 3 2 3 6 3" xfId="20569" xr:uid="{00000000-0005-0000-0000-0000B6AC0000}"/>
    <cellStyle name="Remarque 3 4 3 2 3 6 4" xfId="44529" xr:uid="{00000000-0005-0000-0000-0000B7AC0000}"/>
    <cellStyle name="Remarque 3 4 3 2 3 7" xfId="10765" xr:uid="{00000000-0005-0000-0000-0000B8AC0000}"/>
    <cellStyle name="Remarque 3 4 3 2 3 7 2" xfId="34775" xr:uid="{00000000-0005-0000-0000-0000B9AC0000}"/>
    <cellStyle name="Remarque 3 4 3 2 3 7 2 2" xfId="58735" xr:uid="{00000000-0005-0000-0000-0000BAAC0000}"/>
    <cellStyle name="Remarque 3 4 3 2 3 7 3" xfId="22032" xr:uid="{00000000-0005-0000-0000-0000BBAC0000}"/>
    <cellStyle name="Remarque 3 4 3 2 3 7 4" xfId="45992" xr:uid="{00000000-0005-0000-0000-0000BCAC0000}"/>
    <cellStyle name="Remarque 3 4 3 2 3 8" xfId="12901" xr:uid="{00000000-0005-0000-0000-0000BDAC0000}"/>
    <cellStyle name="Remarque 3 4 3 2 3 8 2" xfId="24214" xr:uid="{00000000-0005-0000-0000-0000BEAC0000}"/>
    <cellStyle name="Remarque 3 4 3 2 3 8 3" xfId="48174" xr:uid="{00000000-0005-0000-0000-0000BFAC0000}"/>
    <cellStyle name="Remarque 3 4 3 2 3 9" xfId="2237" xr:uid="{00000000-0005-0000-0000-0000C0AC0000}"/>
    <cellStyle name="Remarque 3 4 3 2 3 9 2" xfId="26251" xr:uid="{00000000-0005-0000-0000-0000C1AC0000}"/>
    <cellStyle name="Remarque 3 4 3 2 3 9 3" xfId="50211" xr:uid="{00000000-0005-0000-0000-0000C2AC0000}"/>
    <cellStyle name="Remarque 3 4 3 2 4" xfId="995" xr:uid="{00000000-0005-0000-0000-0000C3AC0000}"/>
    <cellStyle name="Remarque 3 4 3 2 4 10" xfId="25027" xr:uid="{00000000-0005-0000-0000-0000C4AC0000}"/>
    <cellStyle name="Remarque 3 4 3 2 4 10 2" xfId="48987" xr:uid="{00000000-0005-0000-0000-0000C5AC0000}"/>
    <cellStyle name="Remarque 3 4 3 2 4 11" xfId="21394" xr:uid="{00000000-0005-0000-0000-0000C6AC0000}"/>
    <cellStyle name="Remarque 3 4 3 2 4 11 2" xfId="45354" xr:uid="{00000000-0005-0000-0000-0000C7AC0000}"/>
    <cellStyle name="Remarque 3 4 3 2 4 12" xfId="13692" xr:uid="{00000000-0005-0000-0000-0000C8AC0000}"/>
    <cellStyle name="Remarque 3 4 3 2 4 13" xfId="37652" xr:uid="{00000000-0005-0000-0000-0000C9AC0000}"/>
    <cellStyle name="Remarque 3 4 3 2 4 2" xfId="3901" xr:uid="{00000000-0005-0000-0000-0000CAAC0000}"/>
    <cellStyle name="Remarque 3 4 3 2 4 2 2" xfId="27915" xr:uid="{00000000-0005-0000-0000-0000CBAC0000}"/>
    <cellStyle name="Remarque 3 4 3 2 4 2 2 2" xfId="51875" xr:uid="{00000000-0005-0000-0000-0000CCAC0000}"/>
    <cellStyle name="Remarque 3 4 3 2 4 2 3" xfId="15162" xr:uid="{00000000-0005-0000-0000-0000CDAC0000}"/>
    <cellStyle name="Remarque 3 4 3 2 4 2 4" xfId="39122" xr:uid="{00000000-0005-0000-0000-0000CEAC0000}"/>
    <cellStyle name="Remarque 3 4 3 2 4 3" xfId="5335" xr:uid="{00000000-0005-0000-0000-0000CFAC0000}"/>
    <cellStyle name="Remarque 3 4 3 2 4 3 2" xfId="29349" xr:uid="{00000000-0005-0000-0000-0000D0AC0000}"/>
    <cellStyle name="Remarque 3 4 3 2 4 3 2 2" xfId="53309" xr:uid="{00000000-0005-0000-0000-0000D1AC0000}"/>
    <cellStyle name="Remarque 3 4 3 2 4 3 3" xfId="16596" xr:uid="{00000000-0005-0000-0000-0000D2AC0000}"/>
    <cellStyle name="Remarque 3 4 3 2 4 3 4" xfId="40556" xr:uid="{00000000-0005-0000-0000-0000D3AC0000}"/>
    <cellStyle name="Remarque 3 4 3 2 4 4" xfId="6729" xr:uid="{00000000-0005-0000-0000-0000D4AC0000}"/>
    <cellStyle name="Remarque 3 4 3 2 4 4 2" xfId="30743" xr:uid="{00000000-0005-0000-0000-0000D5AC0000}"/>
    <cellStyle name="Remarque 3 4 3 2 4 4 2 2" xfId="54703" xr:uid="{00000000-0005-0000-0000-0000D6AC0000}"/>
    <cellStyle name="Remarque 3 4 3 2 4 4 3" xfId="17990" xr:uid="{00000000-0005-0000-0000-0000D7AC0000}"/>
    <cellStyle name="Remarque 3 4 3 2 4 4 4" xfId="41950" xr:uid="{00000000-0005-0000-0000-0000D8AC0000}"/>
    <cellStyle name="Remarque 3 4 3 2 4 5" xfId="8117" xr:uid="{00000000-0005-0000-0000-0000D9AC0000}"/>
    <cellStyle name="Remarque 3 4 3 2 4 5 2" xfId="32131" xr:uid="{00000000-0005-0000-0000-0000DAAC0000}"/>
    <cellStyle name="Remarque 3 4 3 2 4 5 2 2" xfId="56091" xr:uid="{00000000-0005-0000-0000-0000DBAC0000}"/>
    <cellStyle name="Remarque 3 4 3 2 4 5 3" xfId="19378" xr:uid="{00000000-0005-0000-0000-0000DCAC0000}"/>
    <cellStyle name="Remarque 3 4 3 2 4 5 4" xfId="43338" xr:uid="{00000000-0005-0000-0000-0000DDAC0000}"/>
    <cellStyle name="Remarque 3 4 3 2 4 6" xfId="9502" xr:uid="{00000000-0005-0000-0000-0000DEAC0000}"/>
    <cellStyle name="Remarque 3 4 3 2 4 6 2" xfId="33516" xr:uid="{00000000-0005-0000-0000-0000DFAC0000}"/>
    <cellStyle name="Remarque 3 4 3 2 4 6 2 2" xfId="57476" xr:uid="{00000000-0005-0000-0000-0000E0AC0000}"/>
    <cellStyle name="Remarque 3 4 3 2 4 6 3" xfId="20763" xr:uid="{00000000-0005-0000-0000-0000E1AC0000}"/>
    <cellStyle name="Remarque 3 4 3 2 4 6 4" xfId="44723" xr:uid="{00000000-0005-0000-0000-0000E2AC0000}"/>
    <cellStyle name="Remarque 3 4 3 2 4 7" xfId="10959" xr:uid="{00000000-0005-0000-0000-0000E3AC0000}"/>
    <cellStyle name="Remarque 3 4 3 2 4 7 2" xfId="34969" xr:uid="{00000000-0005-0000-0000-0000E4AC0000}"/>
    <cellStyle name="Remarque 3 4 3 2 4 7 2 2" xfId="58929" xr:uid="{00000000-0005-0000-0000-0000E5AC0000}"/>
    <cellStyle name="Remarque 3 4 3 2 4 7 3" xfId="22226" xr:uid="{00000000-0005-0000-0000-0000E6AC0000}"/>
    <cellStyle name="Remarque 3 4 3 2 4 7 4" xfId="46186" xr:uid="{00000000-0005-0000-0000-0000E7AC0000}"/>
    <cellStyle name="Remarque 3 4 3 2 4 8" xfId="12032" xr:uid="{00000000-0005-0000-0000-0000E8AC0000}"/>
    <cellStyle name="Remarque 3 4 3 2 4 8 2" xfId="23312" xr:uid="{00000000-0005-0000-0000-0000E9AC0000}"/>
    <cellStyle name="Remarque 3 4 3 2 4 8 3" xfId="47272" xr:uid="{00000000-0005-0000-0000-0000EAAC0000}"/>
    <cellStyle name="Remarque 3 4 3 2 4 9" xfId="2431" xr:uid="{00000000-0005-0000-0000-0000EBAC0000}"/>
    <cellStyle name="Remarque 3 4 3 2 4 9 2" xfId="26445" xr:uid="{00000000-0005-0000-0000-0000ECAC0000}"/>
    <cellStyle name="Remarque 3 4 3 2 4 9 3" xfId="50405" xr:uid="{00000000-0005-0000-0000-0000EDAC0000}"/>
    <cellStyle name="Remarque 3 4 3 2 5" xfId="1188" xr:uid="{00000000-0005-0000-0000-0000EEAC0000}"/>
    <cellStyle name="Remarque 3 4 3 2 5 10" xfId="25220" xr:uid="{00000000-0005-0000-0000-0000EFAC0000}"/>
    <cellStyle name="Remarque 3 4 3 2 5 10 2" xfId="49180" xr:uid="{00000000-0005-0000-0000-0000F0AC0000}"/>
    <cellStyle name="Remarque 3 4 3 2 5 11" xfId="36266" xr:uid="{00000000-0005-0000-0000-0000F1AC0000}"/>
    <cellStyle name="Remarque 3 4 3 2 5 11 2" xfId="60226" xr:uid="{00000000-0005-0000-0000-0000F2AC0000}"/>
    <cellStyle name="Remarque 3 4 3 2 5 12" xfId="13885" xr:uid="{00000000-0005-0000-0000-0000F3AC0000}"/>
    <cellStyle name="Remarque 3 4 3 2 5 13" xfId="37845" xr:uid="{00000000-0005-0000-0000-0000F4AC0000}"/>
    <cellStyle name="Remarque 3 4 3 2 5 2" xfId="4094" xr:uid="{00000000-0005-0000-0000-0000F5AC0000}"/>
    <cellStyle name="Remarque 3 4 3 2 5 2 2" xfId="28108" xr:uid="{00000000-0005-0000-0000-0000F6AC0000}"/>
    <cellStyle name="Remarque 3 4 3 2 5 2 2 2" xfId="52068" xr:uid="{00000000-0005-0000-0000-0000F7AC0000}"/>
    <cellStyle name="Remarque 3 4 3 2 5 2 3" xfId="15355" xr:uid="{00000000-0005-0000-0000-0000F8AC0000}"/>
    <cellStyle name="Remarque 3 4 3 2 5 2 4" xfId="39315" xr:uid="{00000000-0005-0000-0000-0000F9AC0000}"/>
    <cellStyle name="Remarque 3 4 3 2 5 3" xfId="5528" xr:uid="{00000000-0005-0000-0000-0000FAAC0000}"/>
    <cellStyle name="Remarque 3 4 3 2 5 3 2" xfId="29542" xr:uid="{00000000-0005-0000-0000-0000FBAC0000}"/>
    <cellStyle name="Remarque 3 4 3 2 5 3 2 2" xfId="53502" xr:uid="{00000000-0005-0000-0000-0000FCAC0000}"/>
    <cellStyle name="Remarque 3 4 3 2 5 3 3" xfId="16789" xr:uid="{00000000-0005-0000-0000-0000FDAC0000}"/>
    <cellStyle name="Remarque 3 4 3 2 5 3 4" xfId="40749" xr:uid="{00000000-0005-0000-0000-0000FEAC0000}"/>
    <cellStyle name="Remarque 3 4 3 2 5 4" xfId="6922" xr:uid="{00000000-0005-0000-0000-0000FFAC0000}"/>
    <cellStyle name="Remarque 3 4 3 2 5 4 2" xfId="30936" xr:uid="{00000000-0005-0000-0000-000000AD0000}"/>
    <cellStyle name="Remarque 3 4 3 2 5 4 2 2" xfId="54896" xr:uid="{00000000-0005-0000-0000-000001AD0000}"/>
    <cellStyle name="Remarque 3 4 3 2 5 4 3" xfId="18183" xr:uid="{00000000-0005-0000-0000-000002AD0000}"/>
    <cellStyle name="Remarque 3 4 3 2 5 4 4" xfId="42143" xr:uid="{00000000-0005-0000-0000-000003AD0000}"/>
    <cellStyle name="Remarque 3 4 3 2 5 5" xfId="8310" xr:uid="{00000000-0005-0000-0000-000004AD0000}"/>
    <cellStyle name="Remarque 3 4 3 2 5 5 2" xfId="32324" xr:uid="{00000000-0005-0000-0000-000005AD0000}"/>
    <cellStyle name="Remarque 3 4 3 2 5 5 2 2" xfId="56284" xr:uid="{00000000-0005-0000-0000-000006AD0000}"/>
    <cellStyle name="Remarque 3 4 3 2 5 5 3" xfId="19571" xr:uid="{00000000-0005-0000-0000-000007AD0000}"/>
    <cellStyle name="Remarque 3 4 3 2 5 5 4" xfId="43531" xr:uid="{00000000-0005-0000-0000-000008AD0000}"/>
    <cellStyle name="Remarque 3 4 3 2 5 6" xfId="9695" xr:uid="{00000000-0005-0000-0000-000009AD0000}"/>
    <cellStyle name="Remarque 3 4 3 2 5 6 2" xfId="33709" xr:uid="{00000000-0005-0000-0000-00000AAD0000}"/>
    <cellStyle name="Remarque 3 4 3 2 5 6 2 2" xfId="57669" xr:uid="{00000000-0005-0000-0000-00000BAD0000}"/>
    <cellStyle name="Remarque 3 4 3 2 5 6 3" xfId="20956" xr:uid="{00000000-0005-0000-0000-00000CAD0000}"/>
    <cellStyle name="Remarque 3 4 3 2 5 6 4" xfId="44916" xr:uid="{00000000-0005-0000-0000-00000DAD0000}"/>
    <cellStyle name="Remarque 3 4 3 2 5 7" xfId="11152" xr:uid="{00000000-0005-0000-0000-00000EAD0000}"/>
    <cellStyle name="Remarque 3 4 3 2 5 7 2" xfId="35162" xr:uid="{00000000-0005-0000-0000-00000FAD0000}"/>
    <cellStyle name="Remarque 3 4 3 2 5 7 2 2" xfId="59122" xr:uid="{00000000-0005-0000-0000-000010AD0000}"/>
    <cellStyle name="Remarque 3 4 3 2 5 7 3" xfId="22419" xr:uid="{00000000-0005-0000-0000-000011AD0000}"/>
    <cellStyle name="Remarque 3 4 3 2 5 7 4" xfId="46379" xr:uid="{00000000-0005-0000-0000-000012AD0000}"/>
    <cellStyle name="Remarque 3 4 3 2 5 8" xfId="12425" xr:uid="{00000000-0005-0000-0000-000013AD0000}"/>
    <cellStyle name="Remarque 3 4 3 2 5 8 2" xfId="23716" xr:uid="{00000000-0005-0000-0000-000014AD0000}"/>
    <cellStyle name="Remarque 3 4 3 2 5 8 3" xfId="47676" xr:uid="{00000000-0005-0000-0000-000015AD0000}"/>
    <cellStyle name="Remarque 3 4 3 2 5 9" xfId="2624" xr:uid="{00000000-0005-0000-0000-000016AD0000}"/>
    <cellStyle name="Remarque 3 4 3 2 5 9 2" xfId="26638" xr:uid="{00000000-0005-0000-0000-000017AD0000}"/>
    <cellStyle name="Remarque 3 4 3 2 5 9 3" xfId="50598" xr:uid="{00000000-0005-0000-0000-000018AD0000}"/>
    <cellStyle name="Remarque 3 4 3 2 6" xfId="1355" xr:uid="{00000000-0005-0000-0000-000019AD0000}"/>
    <cellStyle name="Remarque 3 4 3 2 6 10" xfId="25387" xr:uid="{00000000-0005-0000-0000-00001AAD0000}"/>
    <cellStyle name="Remarque 3 4 3 2 6 10 2" xfId="49347" xr:uid="{00000000-0005-0000-0000-00001BAD0000}"/>
    <cellStyle name="Remarque 3 4 3 2 6 11" xfId="36799" xr:uid="{00000000-0005-0000-0000-00001CAD0000}"/>
    <cellStyle name="Remarque 3 4 3 2 6 11 2" xfId="60759" xr:uid="{00000000-0005-0000-0000-00001DAD0000}"/>
    <cellStyle name="Remarque 3 4 3 2 6 12" xfId="14052" xr:uid="{00000000-0005-0000-0000-00001EAD0000}"/>
    <cellStyle name="Remarque 3 4 3 2 6 13" xfId="38012" xr:uid="{00000000-0005-0000-0000-00001FAD0000}"/>
    <cellStyle name="Remarque 3 4 3 2 6 2" xfId="4261" xr:uid="{00000000-0005-0000-0000-000020AD0000}"/>
    <cellStyle name="Remarque 3 4 3 2 6 2 2" xfId="28275" xr:uid="{00000000-0005-0000-0000-000021AD0000}"/>
    <cellStyle name="Remarque 3 4 3 2 6 2 2 2" xfId="52235" xr:uid="{00000000-0005-0000-0000-000022AD0000}"/>
    <cellStyle name="Remarque 3 4 3 2 6 2 3" xfId="15522" xr:uid="{00000000-0005-0000-0000-000023AD0000}"/>
    <cellStyle name="Remarque 3 4 3 2 6 2 4" xfId="39482" xr:uid="{00000000-0005-0000-0000-000024AD0000}"/>
    <cellStyle name="Remarque 3 4 3 2 6 3" xfId="5695" xr:uid="{00000000-0005-0000-0000-000025AD0000}"/>
    <cellStyle name="Remarque 3 4 3 2 6 3 2" xfId="29709" xr:uid="{00000000-0005-0000-0000-000026AD0000}"/>
    <cellStyle name="Remarque 3 4 3 2 6 3 2 2" xfId="53669" xr:uid="{00000000-0005-0000-0000-000027AD0000}"/>
    <cellStyle name="Remarque 3 4 3 2 6 3 3" xfId="16956" xr:uid="{00000000-0005-0000-0000-000028AD0000}"/>
    <cellStyle name="Remarque 3 4 3 2 6 3 4" xfId="40916" xr:uid="{00000000-0005-0000-0000-000029AD0000}"/>
    <cellStyle name="Remarque 3 4 3 2 6 4" xfId="7089" xr:uid="{00000000-0005-0000-0000-00002AAD0000}"/>
    <cellStyle name="Remarque 3 4 3 2 6 4 2" xfId="31103" xr:uid="{00000000-0005-0000-0000-00002BAD0000}"/>
    <cellStyle name="Remarque 3 4 3 2 6 4 2 2" xfId="55063" xr:uid="{00000000-0005-0000-0000-00002CAD0000}"/>
    <cellStyle name="Remarque 3 4 3 2 6 4 3" xfId="18350" xr:uid="{00000000-0005-0000-0000-00002DAD0000}"/>
    <cellStyle name="Remarque 3 4 3 2 6 4 4" xfId="42310" xr:uid="{00000000-0005-0000-0000-00002EAD0000}"/>
    <cellStyle name="Remarque 3 4 3 2 6 5" xfId="8477" xr:uid="{00000000-0005-0000-0000-00002FAD0000}"/>
    <cellStyle name="Remarque 3 4 3 2 6 5 2" xfId="32491" xr:uid="{00000000-0005-0000-0000-000030AD0000}"/>
    <cellStyle name="Remarque 3 4 3 2 6 5 2 2" xfId="56451" xr:uid="{00000000-0005-0000-0000-000031AD0000}"/>
    <cellStyle name="Remarque 3 4 3 2 6 5 3" xfId="19738" xr:uid="{00000000-0005-0000-0000-000032AD0000}"/>
    <cellStyle name="Remarque 3 4 3 2 6 5 4" xfId="43698" xr:uid="{00000000-0005-0000-0000-000033AD0000}"/>
    <cellStyle name="Remarque 3 4 3 2 6 6" xfId="9862" xr:uid="{00000000-0005-0000-0000-000034AD0000}"/>
    <cellStyle name="Remarque 3 4 3 2 6 6 2" xfId="33876" xr:uid="{00000000-0005-0000-0000-000035AD0000}"/>
    <cellStyle name="Remarque 3 4 3 2 6 6 2 2" xfId="57836" xr:uid="{00000000-0005-0000-0000-000036AD0000}"/>
    <cellStyle name="Remarque 3 4 3 2 6 6 3" xfId="21123" xr:uid="{00000000-0005-0000-0000-000037AD0000}"/>
    <cellStyle name="Remarque 3 4 3 2 6 6 4" xfId="45083" xr:uid="{00000000-0005-0000-0000-000038AD0000}"/>
    <cellStyle name="Remarque 3 4 3 2 6 7" xfId="11319" xr:uid="{00000000-0005-0000-0000-000039AD0000}"/>
    <cellStyle name="Remarque 3 4 3 2 6 7 2" xfId="35329" xr:uid="{00000000-0005-0000-0000-00003AAD0000}"/>
    <cellStyle name="Remarque 3 4 3 2 6 7 2 2" xfId="59289" xr:uid="{00000000-0005-0000-0000-00003BAD0000}"/>
    <cellStyle name="Remarque 3 4 3 2 6 7 3" xfId="22586" xr:uid="{00000000-0005-0000-0000-00003CAD0000}"/>
    <cellStyle name="Remarque 3 4 3 2 6 7 4" xfId="46546" xr:uid="{00000000-0005-0000-0000-00003DAD0000}"/>
    <cellStyle name="Remarque 3 4 3 2 6 8" xfId="11947" xr:uid="{00000000-0005-0000-0000-00003EAD0000}"/>
    <cellStyle name="Remarque 3 4 3 2 6 8 2" xfId="23225" xr:uid="{00000000-0005-0000-0000-00003FAD0000}"/>
    <cellStyle name="Remarque 3 4 3 2 6 8 3" xfId="47185" xr:uid="{00000000-0005-0000-0000-000040AD0000}"/>
    <cellStyle name="Remarque 3 4 3 2 6 9" xfId="2791" xr:uid="{00000000-0005-0000-0000-000041AD0000}"/>
    <cellStyle name="Remarque 3 4 3 2 6 9 2" xfId="26805" xr:uid="{00000000-0005-0000-0000-000042AD0000}"/>
    <cellStyle name="Remarque 3 4 3 2 6 9 3" xfId="50765" xr:uid="{00000000-0005-0000-0000-000043AD0000}"/>
    <cellStyle name="Remarque 3 4 3 2 7" xfId="1524" xr:uid="{00000000-0005-0000-0000-000044AD0000}"/>
    <cellStyle name="Remarque 3 4 3 2 7 10" xfId="25556" xr:uid="{00000000-0005-0000-0000-000045AD0000}"/>
    <cellStyle name="Remarque 3 4 3 2 7 10 2" xfId="49516" xr:uid="{00000000-0005-0000-0000-000046AD0000}"/>
    <cellStyle name="Remarque 3 4 3 2 7 11" xfId="35988" xr:uid="{00000000-0005-0000-0000-000047AD0000}"/>
    <cellStyle name="Remarque 3 4 3 2 7 11 2" xfId="59948" xr:uid="{00000000-0005-0000-0000-000048AD0000}"/>
    <cellStyle name="Remarque 3 4 3 2 7 12" xfId="14221" xr:uid="{00000000-0005-0000-0000-000049AD0000}"/>
    <cellStyle name="Remarque 3 4 3 2 7 13" xfId="38181" xr:uid="{00000000-0005-0000-0000-00004AAD0000}"/>
    <cellStyle name="Remarque 3 4 3 2 7 2" xfId="4430" xr:uid="{00000000-0005-0000-0000-00004BAD0000}"/>
    <cellStyle name="Remarque 3 4 3 2 7 2 2" xfId="28444" xr:uid="{00000000-0005-0000-0000-00004CAD0000}"/>
    <cellStyle name="Remarque 3 4 3 2 7 2 2 2" xfId="52404" xr:uid="{00000000-0005-0000-0000-00004DAD0000}"/>
    <cellStyle name="Remarque 3 4 3 2 7 2 3" xfId="15691" xr:uid="{00000000-0005-0000-0000-00004EAD0000}"/>
    <cellStyle name="Remarque 3 4 3 2 7 2 4" xfId="39651" xr:uid="{00000000-0005-0000-0000-00004FAD0000}"/>
    <cellStyle name="Remarque 3 4 3 2 7 3" xfId="5864" xr:uid="{00000000-0005-0000-0000-000050AD0000}"/>
    <cellStyle name="Remarque 3 4 3 2 7 3 2" xfId="29878" xr:uid="{00000000-0005-0000-0000-000051AD0000}"/>
    <cellStyle name="Remarque 3 4 3 2 7 3 2 2" xfId="53838" xr:uid="{00000000-0005-0000-0000-000052AD0000}"/>
    <cellStyle name="Remarque 3 4 3 2 7 3 3" xfId="17125" xr:uid="{00000000-0005-0000-0000-000053AD0000}"/>
    <cellStyle name="Remarque 3 4 3 2 7 3 4" xfId="41085" xr:uid="{00000000-0005-0000-0000-000054AD0000}"/>
    <cellStyle name="Remarque 3 4 3 2 7 4" xfId="7258" xr:uid="{00000000-0005-0000-0000-000055AD0000}"/>
    <cellStyle name="Remarque 3 4 3 2 7 4 2" xfId="31272" xr:uid="{00000000-0005-0000-0000-000056AD0000}"/>
    <cellStyle name="Remarque 3 4 3 2 7 4 2 2" xfId="55232" xr:uid="{00000000-0005-0000-0000-000057AD0000}"/>
    <cellStyle name="Remarque 3 4 3 2 7 4 3" xfId="18519" xr:uid="{00000000-0005-0000-0000-000058AD0000}"/>
    <cellStyle name="Remarque 3 4 3 2 7 4 4" xfId="42479" xr:uid="{00000000-0005-0000-0000-000059AD0000}"/>
    <cellStyle name="Remarque 3 4 3 2 7 5" xfId="8646" xr:uid="{00000000-0005-0000-0000-00005AAD0000}"/>
    <cellStyle name="Remarque 3 4 3 2 7 5 2" xfId="32660" xr:uid="{00000000-0005-0000-0000-00005BAD0000}"/>
    <cellStyle name="Remarque 3 4 3 2 7 5 2 2" xfId="56620" xr:uid="{00000000-0005-0000-0000-00005CAD0000}"/>
    <cellStyle name="Remarque 3 4 3 2 7 5 3" xfId="19907" xr:uid="{00000000-0005-0000-0000-00005DAD0000}"/>
    <cellStyle name="Remarque 3 4 3 2 7 5 4" xfId="43867" xr:uid="{00000000-0005-0000-0000-00005EAD0000}"/>
    <cellStyle name="Remarque 3 4 3 2 7 6" xfId="10031" xr:uid="{00000000-0005-0000-0000-00005FAD0000}"/>
    <cellStyle name="Remarque 3 4 3 2 7 6 2" xfId="34045" xr:uid="{00000000-0005-0000-0000-000060AD0000}"/>
    <cellStyle name="Remarque 3 4 3 2 7 6 2 2" xfId="58005" xr:uid="{00000000-0005-0000-0000-000061AD0000}"/>
    <cellStyle name="Remarque 3 4 3 2 7 6 3" xfId="21292" xr:uid="{00000000-0005-0000-0000-000062AD0000}"/>
    <cellStyle name="Remarque 3 4 3 2 7 6 4" xfId="45252" xr:uid="{00000000-0005-0000-0000-000063AD0000}"/>
    <cellStyle name="Remarque 3 4 3 2 7 7" xfId="11488" xr:uid="{00000000-0005-0000-0000-000064AD0000}"/>
    <cellStyle name="Remarque 3 4 3 2 7 7 2" xfId="35498" xr:uid="{00000000-0005-0000-0000-000065AD0000}"/>
    <cellStyle name="Remarque 3 4 3 2 7 7 2 2" xfId="59458" xr:uid="{00000000-0005-0000-0000-000066AD0000}"/>
    <cellStyle name="Remarque 3 4 3 2 7 7 3" xfId="22755" xr:uid="{00000000-0005-0000-0000-000067AD0000}"/>
    <cellStyle name="Remarque 3 4 3 2 7 7 4" xfId="46715" xr:uid="{00000000-0005-0000-0000-000068AD0000}"/>
    <cellStyle name="Remarque 3 4 3 2 7 8" xfId="12365" xr:uid="{00000000-0005-0000-0000-000069AD0000}"/>
    <cellStyle name="Remarque 3 4 3 2 7 8 2" xfId="23654" xr:uid="{00000000-0005-0000-0000-00006AAD0000}"/>
    <cellStyle name="Remarque 3 4 3 2 7 8 3" xfId="47614" xr:uid="{00000000-0005-0000-0000-00006BAD0000}"/>
    <cellStyle name="Remarque 3 4 3 2 7 9" xfId="2960" xr:uid="{00000000-0005-0000-0000-00006CAD0000}"/>
    <cellStyle name="Remarque 3 4 3 2 7 9 2" xfId="26974" xr:uid="{00000000-0005-0000-0000-00006DAD0000}"/>
    <cellStyle name="Remarque 3 4 3 2 7 9 3" xfId="50934" xr:uid="{00000000-0005-0000-0000-00006EAD0000}"/>
    <cellStyle name="Remarque 3 4 3 2 8" xfId="3379" xr:uid="{00000000-0005-0000-0000-00006FAD0000}"/>
    <cellStyle name="Remarque 3 4 3 2 8 2" xfId="27393" xr:uid="{00000000-0005-0000-0000-000070AD0000}"/>
    <cellStyle name="Remarque 3 4 3 2 8 2 2" xfId="51353" xr:uid="{00000000-0005-0000-0000-000071AD0000}"/>
    <cellStyle name="Remarque 3 4 3 2 8 3" xfId="14640" xr:uid="{00000000-0005-0000-0000-000072AD0000}"/>
    <cellStyle name="Remarque 3 4 3 2 8 4" xfId="38600" xr:uid="{00000000-0005-0000-0000-000073AD0000}"/>
    <cellStyle name="Remarque 3 4 3 2 9" xfId="4813" xr:uid="{00000000-0005-0000-0000-000074AD0000}"/>
    <cellStyle name="Remarque 3 4 3 2 9 2" xfId="28827" xr:uid="{00000000-0005-0000-0000-000075AD0000}"/>
    <cellStyle name="Remarque 3 4 3 2 9 2 2" xfId="52787" xr:uid="{00000000-0005-0000-0000-000076AD0000}"/>
    <cellStyle name="Remarque 3 4 3 2 9 3" xfId="16074" xr:uid="{00000000-0005-0000-0000-000077AD0000}"/>
    <cellStyle name="Remarque 3 4 3 2 9 4" xfId="40034" xr:uid="{00000000-0005-0000-0000-000078AD0000}"/>
    <cellStyle name="Remarque 3 4 3 3" xfId="287" xr:uid="{00000000-0005-0000-0000-000079AD0000}"/>
    <cellStyle name="Remarque 3 4 3 3 10" xfId="24319" xr:uid="{00000000-0005-0000-0000-00007AAD0000}"/>
    <cellStyle name="Remarque 3 4 3 3 10 2" xfId="48279" xr:uid="{00000000-0005-0000-0000-00007BAD0000}"/>
    <cellStyle name="Remarque 3 4 3 3 11" xfId="36558" xr:uid="{00000000-0005-0000-0000-00007CAD0000}"/>
    <cellStyle name="Remarque 3 4 3 3 11 2" xfId="60518" xr:uid="{00000000-0005-0000-0000-00007DAD0000}"/>
    <cellStyle name="Remarque 3 4 3 3 12" xfId="12984" xr:uid="{00000000-0005-0000-0000-00007EAD0000}"/>
    <cellStyle name="Remarque 3 4 3 3 13" xfId="36944" xr:uid="{00000000-0005-0000-0000-00007FAD0000}"/>
    <cellStyle name="Remarque 3 4 3 3 2" xfId="3193" xr:uid="{00000000-0005-0000-0000-000080AD0000}"/>
    <cellStyle name="Remarque 3 4 3 3 2 2" xfId="27207" xr:uid="{00000000-0005-0000-0000-000081AD0000}"/>
    <cellStyle name="Remarque 3 4 3 3 2 2 2" xfId="51167" xr:uid="{00000000-0005-0000-0000-000082AD0000}"/>
    <cellStyle name="Remarque 3 4 3 3 2 3" xfId="14454" xr:uid="{00000000-0005-0000-0000-000083AD0000}"/>
    <cellStyle name="Remarque 3 4 3 3 2 4" xfId="38414" xr:uid="{00000000-0005-0000-0000-000084AD0000}"/>
    <cellStyle name="Remarque 3 4 3 3 3" xfId="4627" xr:uid="{00000000-0005-0000-0000-000085AD0000}"/>
    <cellStyle name="Remarque 3 4 3 3 3 2" xfId="28641" xr:uid="{00000000-0005-0000-0000-000086AD0000}"/>
    <cellStyle name="Remarque 3 4 3 3 3 2 2" xfId="52601" xr:uid="{00000000-0005-0000-0000-000087AD0000}"/>
    <cellStyle name="Remarque 3 4 3 3 3 3" xfId="15888" xr:uid="{00000000-0005-0000-0000-000088AD0000}"/>
    <cellStyle name="Remarque 3 4 3 3 3 4" xfId="39848" xr:uid="{00000000-0005-0000-0000-000089AD0000}"/>
    <cellStyle name="Remarque 3 4 3 3 4" xfId="6021" xr:uid="{00000000-0005-0000-0000-00008AAD0000}"/>
    <cellStyle name="Remarque 3 4 3 3 4 2" xfId="30035" xr:uid="{00000000-0005-0000-0000-00008BAD0000}"/>
    <cellStyle name="Remarque 3 4 3 3 4 2 2" xfId="53995" xr:uid="{00000000-0005-0000-0000-00008CAD0000}"/>
    <cellStyle name="Remarque 3 4 3 3 4 3" xfId="17282" xr:uid="{00000000-0005-0000-0000-00008DAD0000}"/>
    <cellStyle name="Remarque 3 4 3 3 4 4" xfId="41242" xr:uid="{00000000-0005-0000-0000-00008EAD0000}"/>
    <cellStyle name="Remarque 3 4 3 3 5" xfId="7409" xr:uid="{00000000-0005-0000-0000-00008FAD0000}"/>
    <cellStyle name="Remarque 3 4 3 3 5 2" xfId="31423" xr:uid="{00000000-0005-0000-0000-000090AD0000}"/>
    <cellStyle name="Remarque 3 4 3 3 5 2 2" xfId="55383" xr:uid="{00000000-0005-0000-0000-000091AD0000}"/>
    <cellStyle name="Remarque 3 4 3 3 5 3" xfId="18670" xr:uid="{00000000-0005-0000-0000-000092AD0000}"/>
    <cellStyle name="Remarque 3 4 3 3 5 4" xfId="42630" xr:uid="{00000000-0005-0000-0000-000093AD0000}"/>
    <cellStyle name="Remarque 3 4 3 3 6" xfId="8794" xr:uid="{00000000-0005-0000-0000-000094AD0000}"/>
    <cellStyle name="Remarque 3 4 3 3 6 2" xfId="32808" xr:uid="{00000000-0005-0000-0000-000095AD0000}"/>
    <cellStyle name="Remarque 3 4 3 3 6 2 2" xfId="56768" xr:uid="{00000000-0005-0000-0000-000096AD0000}"/>
    <cellStyle name="Remarque 3 4 3 3 6 3" xfId="20055" xr:uid="{00000000-0005-0000-0000-000097AD0000}"/>
    <cellStyle name="Remarque 3 4 3 3 6 4" xfId="44015" xr:uid="{00000000-0005-0000-0000-000098AD0000}"/>
    <cellStyle name="Remarque 3 4 3 3 7" xfId="10251" xr:uid="{00000000-0005-0000-0000-000099AD0000}"/>
    <cellStyle name="Remarque 3 4 3 3 7 2" xfId="34261" xr:uid="{00000000-0005-0000-0000-00009AAD0000}"/>
    <cellStyle name="Remarque 3 4 3 3 7 2 2" xfId="58221" xr:uid="{00000000-0005-0000-0000-00009BAD0000}"/>
    <cellStyle name="Remarque 3 4 3 3 7 3" xfId="21518" xr:uid="{00000000-0005-0000-0000-00009CAD0000}"/>
    <cellStyle name="Remarque 3 4 3 3 7 4" xfId="45478" xr:uid="{00000000-0005-0000-0000-00009DAD0000}"/>
    <cellStyle name="Remarque 3 4 3 3 8" xfId="11954" xr:uid="{00000000-0005-0000-0000-00009EAD0000}"/>
    <cellStyle name="Remarque 3 4 3 3 8 2" xfId="23232" xr:uid="{00000000-0005-0000-0000-00009FAD0000}"/>
    <cellStyle name="Remarque 3 4 3 3 8 3" xfId="47192" xr:uid="{00000000-0005-0000-0000-0000A0AD0000}"/>
    <cellStyle name="Remarque 3 4 3 3 9" xfId="1723" xr:uid="{00000000-0005-0000-0000-0000A1AD0000}"/>
    <cellStyle name="Remarque 3 4 3 3 9 2" xfId="25737" xr:uid="{00000000-0005-0000-0000-0000A2AD0000}"/>
    <cellStyle name="Remarque 3 4 3 3 9 3" xfId="49697" xr:uid="{00000000-0005-0000-0000-0000A3AD0000}"/>
    <cellStyle name="Remarque 3 4 3 4" xfId="666" xr:uid="{00000000-0005-0000-0000-0000A4AD0000}"/>
    <cellStyle name="Remarque 3 4 3 4 10" xfId="24698" xr:uid="{00000000-0005-0000-0000-0000A5AD0000}"/>
    <cellStyle name="Remarque 3 4 3 4 10 2" xfId="48658" xr:uid="{00000000-0005-0000-0000-0000A6AD0000}"/>
    <cellStyle name="Remarque 3 4 3 4 11" xfId="36121" xr:uid="{00000000-0005-0000-0000-0000A7AD0000}"/>
    <cellStyle name="Remarque 3 4 3 4 11 2" xfId="60081" xr:uid="{00000000-0005-0000-0000-0000A8AD0000}"/>
    <cellStyle name="Remarque 3 4 3 4 12" xfId="13363" xr:uid="{00000000-0005-0000-0000-0000A9AD0000}"/>
    <cellStyle name="Remarque 3 4 3 4 13" xfId="37323" xr:uid="{00000000-0005-0000-0000-0000AAAD0000}"/>
    <cellStyle name="Remarque 3 4 3 4 2" xfId="3572" xr:uid="{00000000-0005-0000-0000-0000ABAD0000}"/>
    <cellStyle name="Remarque 3 4 3 4 2 2" xfId="27586" xr:uid="{00000000-0005-0000-0000-0000ACAD0000}"/>
    <cellStyle name="Remarque 3 4 3 4 2 2 2" xfId="51546" xr:uid="{00000000-0005-0000-0000-0000ADAD0000}"/>
    <cellStyle name="Remarque 3 4 3 4 2 3" xfId="14833" xr:uid="{00000000-0005-0000-0000-0000AEAD0000}"/>
    <cellStyle name="Remarque 3 4 3 4 2 4" xfId="38793" xr:uid="{00000000-0005-0000-0000-0000AFAD0000}"/>
    <cellStyle name="Remarque 3 4 3 4 3" xfId="5006" xr:uid="{00000000-0005-0000-0000-0000B0AD0000}"/>
    <cellStyle name="Remarque 3 4 3 4 3 2" xfId="29020" xr:uid="{00000000-0005-0000-0000-0000B1AD0000}"/>
    <cellStyle name="Remarque 3 4 3 4 3 2 2" xfId="52980" xr:uid="{00000000-0005-0000-0000-0000B2AD0000}"/>
    <cellStyle name="Remarque 3 4 3 4 3 3" xfId="16267" xr:uid="{00000000-0005-0000-0000-0000B3AD0000}"/>
    <cellStyle name="Remarque 3 4 3 4 3 4" xfId="40227" xr:uid="{00000000-0005-0000-0000-0000B4AD0000}"/>
    <cellStyle name="Remarque 3 4 3 4 4" xfId="6400" xr:uid="{00000000-0005-0000-0000-0000B5AD0000}"/>
    <cellStyle name="Remarque 3 4 3 4 4 2" xfId="30414" xr:uid="{00000000-0005-0000-0000-0000B6AD0000}"/>
    <cellStyle name="Remarque 3 4 3 4 4 2 2" xfId="54374" xr:uid="{00000000-0005-0000-0000-0000B7AD0000}"/>
    <cellStyle name="Remarque 3 4 3 4 4 3" xfId="17661" xr:uid="{00000000-0005-0000-0000-0000B8AD0000}"/>
    <cellStyle name="Remarque 3 4 3 4 4 4" xfId="41621" xr:uid="{00000000-0005-0000-0000-0000B9AD0000}"/>
    <cellStyle name="Remarque 3 4 3 4 5" xfId="7788" xr:uid="{00000000-0005-0000-0000-0000BAAD0000}"/>
    <cellStyle name="Remarque 3 4 3 4 5 2" xfId="31802" xr:uid="{00000000-0005-0000-0000-0000BBAD0000}"/>
    <cellStyle name="Remarque 3 4 3 4 5 2 2" xfId="55762" xr:uid="{00000000-0005-0000-0000-0000BCAD0000}"/>
    <cellStyle name="Remarque 3 4 3 4 5 3" xfId="19049" xr:uid="{00000000-0005-0000-0000-0000BDAD0000}"/>
    <cellStyle name="Remarque 3 4 3 4 5 4" xfId="43009" xr:uid="{00000000-0005-0000-0000-0000BEAD0000}"/>
    <cellStyle name="Remarque 3 4 3 4 6" xfId="9173" xr:uid="{00000000-0005-0000-0000-0000BFAD0000}"/>
    <cellStyle name="Remarque 3 4 3 4 6 2" xfId="33187" xr:uid="{00000000-0005-0000-0000-0000C0AD0000}"/>
    <cellStyle name="Remarque 3 4 3 4 6 2 2" xfId="57147" xr:uid="{00000000-0005-0000-0000-0000C1AD0000}"/>
    <cellStyle name="Remarque 3 4 3 4 6 3" xfId="20434" xr:uid="{00000000-0005-0000-0000-0000C2AD0000}"/>
    <cellStyle name="Remarque 3 4 3 4 6 4" xfId="44394" xr:uid="{00000000-0005-0000-0000-0000C3AD0000}"/>
    <cellStyle name="Remarque 3 4 3 4 7" xfId="10630" xr:uid="{00000000-0005-0000-0000-0000C4AD0000}"/>
    <cellStyle name="Remarque 3 4 3 4 7 2" xfId="34640" xr:uid="{00000000-0005-0000-0000-0000C5AD0000}"/>
    <cellStyle name="Remarque 3 4 3 4 7 2 2" xfId="58600" xr:uid="{00000000-0005-0000-0000-0000C6AD0000}"/>
    <cellStyle name="Remarque 3 4 3 4 7 3" xfId="21897" xr:uid="{00000000-0005-0000-0000-0000C7AD0000}"/>
    <cellStyle name="Remarque 3 4 3 4 7 4" xfId="45857" xr:uid="{00000000-0005-0000-0000-0000C8AD0000}"/>
    <cellStyle name="Remarque 3 4 3 4 8" xfId="12728" xr:uid="{00000000-0005-0000-0000-0000C9AD0000}"/>
    <cellStyle name="Remarque 3 4 3 4 8 2" xfId="24034" xr:uid="{00000000-0005-0000-0000-0000CAAD0000}"/>
    <cellStyle name="Remarque 3 4 3 4 8 3" xfId="47994" xr:uid="{00000000-0005-0000-0000-0000CBAD0000}"/>
    <cellStyle name="Remarque 3 4 3 4 9" xfId="2102" xr:uid="{00000000-0005-0000-0000-0000CCAD0000}"/>
    <cellStyle name="Remarque 3 4 3 4 9 2" xfId="26116" xr:uid="{00000000-0005-0000-0000-0000CDAD0000}"/>
    <cellStyle name="Remarque 3 4 3 4 9 3" xfId="50076" xr:uid="{00000000-0005-0000-0000-0000CEAD0000}"/>
    <cellStyle name="Remarque 3 4 3 5" xfId="860" xr:uid="{00000000-0005-0000-0000-0000CFAD0000}"/>
    <cellStyle name="Remarque 3 4 3 5 10" xfId="24892" xr:uid="{00000000-0005-0000-0000-0000D0AD0000}"/>
    <cellStyle name="Remarque 3 4 3 5 10 2" xfId="48852" xr:uid="{00000000-0005-0000-0000-0000D1AD0000}"/>
    <cellStyle name="Remarque 3 4 3 5 11" xfId="36463" xr:uid="{00000000-0005-0000-0000-0000D2AD0000}"/>
    <cellStyle name="Remarque 3 4 3 5 11 2" xfId="60423" xr:uid="{00000000-0005-0000-0000-0000D3AD0000}"/>
    <cellStyle name="Remarque 3 4 3 5 12" xfId="13557" xr:uid="{00000000-0005-0000-0000-0000D4AD0000}"/>
    <cellStyle name="Remarque 3 4 3 5 13" xfId="37517" xr:uid="{00000000-0005-0000-0000-0000D5AD0000}"/>
    <cellStyle name="Remarque 3 4 3 5 2" xfId="3766" xr:uid="{00000000-0005-0000-0000-0000D6AD0000}"/>
    <cellStyle name="Remarque 3 4 3 5 2 2" xfId="27780" xr:uid="{00000000-0005-0000-0000-0000D7AD0000}"/>
    <cellStyle name="Remarque 3 4 3 5 2 2 2" xfId="51740" xr:uid="{00000000-0005-0000-0000-0000D8AD0000}"/>
    <cellStyle name="Remarque 3 4 3 5 2 3" xfId="15027" xr:uid="{00000000-0005-0000-0000-0000D9AD0000}"/>
    <cellStyle name="Remarque 3 4 3 5 2 4" xfId="38987" xr:uid="{00000000-0005-0000-0000-0000DAAD0000}"/>
    <cellStyle name="Remarque 3 4 3 5 3" xfId="5200" xr:uid="{00000000-0005-0000-0000-0000DBAD0000}"/>
    <cellStyle name="Remarque 3 4 3 5 3 2" xfId="29214" xr:uid="{00000000-0005-0000-0000-0000DCAD0000}"/>
    <cellStyle name="Remarque 3 4 3 5 3 2 2" xfId="53174" xr:uid="{00000000-0005-0000-0000-0000DDAD0000}"/>
    <cellStyle name="Remarque 3 4 3 5 3 3" xfId="16461" xr:uid="{00000000-0005-0000-0000-0000DEAD0000}"/>
    <cellStyle name="Remarque 3 4 3 5 3 4" xfId="40421" xr:uid="{00000000-0005-0000-0000-0000DFAD0000}"/>
    <cellStyle name="Remarque 3 4 3 5 4" xfId="6594" xr:uid="{00000000-0005-0000-0000-0000E0AD0000}"/>
    <cellStyle name="Remarque 3 4 3 5 4 2" xfId="30608" xr:uid="{00000000-0005-0000-0000-0000E1AD0000}"/>
    <cellStyle name="Remarque 3 4 3 5 4 2 2" xfId="54568" xr:uid="{00000000-0005-0000-0000-0000E2AD0000}"/>
    <cellStyle name="Remarque 3 4 3 5 4 3" xfId="17855" xr:uid="{00000000-0005-0000-0000-0000E3AD0000}"/>
    <cellStyle name="Remarque 3 4 3 5 4 4" xfId="41815" xr:uid="{00000000-0005-0000-0000-0000E4AD0000}"/>
    <cellStyle name="Remarque 3 4 3 5 5" xfId="7982" xr:uid="{00000000-0005-0000-0000-0000E5AD0000}"/>
    <cellStyle name="Remarque 3 4 3 5 5 2" xfId="31996" xr:uid="{00000000-0005-0000-0000-0000E6AD0000}"/>
    <cellStyle name="Remarque 3 4 3 5 5 2 2" xfId="55956" xr:uid="{00000000-0005-0000-0000-0000E7AD0000}"/>
    <cellStyle name="Remarque 3 4 3 5 5 3" xfId="19243" xr:uid="{00000000-0005-0000-0000-0000E8AD0000}"/>
    <cellStyle name="Remarque 3 4 3 5 5 4" xfId="43203" xr:uid="{00000000-0005-0000-0000-0000E9AD0000}"/>
    <cellStyle name="Remarque 3 4 3 5 6" xfId="9367" xr:uid="{00000000-0005-0000-0000-0000EAAD0000}"/>
    <cellStyle name="Remarque 3 4 3 5 6 2" xfId="33381" xr:uid="{00000000-0005-0000-0000-0000EBAD0000}"/>
    <cellStyle name="Remarque 3 4 3 5 6 2 2" xfId="57341" xr:uid="{00000000-0005-0000-0000-0000ECAD0000}"/>
    <cellStyle name="Remarque 3 4 3 5 6 3" xfId="20628" xr:uid="{00000000-0005-0000-0000-0000EDAD0000}"/>
    <cellStyle name="Remarque 3 4 3 5 6 4" xfId="44588" xr:uid="{00000000-0005-0000-0000-0000EEAD0000}"/>
    <cellStyle name="Remarque 3 4 3 5 7" xfId="10824" xr:uid="{00000000-0005-0000-0000-0000EFAD0000}"/>
    <cellStyle name="Remarque 3 4 3 5 7 2" xfId="34834" xr:uid="{00000000-0005-0000-0000-0000F0AD0000}"/>
    <cellStyle name="Remarque 3 4 3 5 7 2 2" xfId="58794" xr:uid="{00000000-0005-0000-0000-0000F1AD0000}"/>
    <cellStyle name="Remarque 3 4 3 5 7 3" xfId="22091" xr:uid="{00000000-0005-0000-0000-0000F2AD0000}"/>
    <cellStyle name="Remarque 3 4 3 5 7 4" xfId="46051" xr:uid="{00000000-0005-0000-0000-0000F3AD0000}"/>
    <cellStyle name="Remarque 3 4 3 5 8" xfId="12905" xr:uid="{00000000-0005-0000-0000-0000F4AD0000}"/>
    <cellStyle name="Remarque 3 4 3 5 8 2" xfId="24218" xr:uid="{00000000-0005-0000-0000-0000F5AD0000}"/>
    <cellStyle name="Remarque 3 4 3 5 8 3" xfId="48178" xr:uid="{00000000-0005-0000-0000-0000F6AD0000}"/>
    <cellStyle name="Remarque 3 4 3 5 9" xfId="2296" xr:uid="{00000000-0005-0000-0000-0000F7AD0000}"/>
    <cellStyle name="Remarque 3 4 3 5 9 2" xfId="26310" xr:uid="{00000000-0005-0000-0000-0000F8AD0000}"/>
    <cellStyle name="Remarque 3 4 3 5 9 3" xfId="50270" xr:uid="{00000000-0005-0000-0000-0000F9AD0000}"/>
    <cellStyle name="Remarque 3 4 3 6" xfId="1053" xr:uid="{00000000-0005-0000-0000-0000FAAD0000}"/>
    <cellStyle name="Remarque 3 4 3 6 10" xfId="25085" xr:uid="{00000000-0005-0000-0000-0000FBAD0000}"/>
    <cellStyle name="Remarque 3 4 3 6 10 2" xfId="49045" xr:uid="{00000000-0005-0000-0000-0000FCAD0000}"/>
    <cellStyle name="Remarque 3 4 3 6 11" xfId="24270" xr:uid="{00000000-0005-0000-0000-0000FDAD0000}"/>
    <cellStyle name="Remarque 3 4 3 6 11 2" xfId="48230" xr:uid="{00000000-0005-0000-0000-0000FEAD0000}"/>
    <cellStyle name="Remarque 3 4 3 6 12" xfId="13750" xr:uid="{00000000-0005-0000-0000-0000FFAD0000}"/>
    <cellStyle name="Remarque 3 4 3 6 13" xfId="37710" xr:uid="{00000000-0005-0000-0000-000000AE0000}"/>
    <cellStyle name="Remarque 3 4 3 6 2" xfId="3959" xr:uid="{00000000-0005-0000-0000-000001AE0000}"/>
    <cellStyle name="Remarque 3 4 3 6 2 2" xfId="27973" xr:uid="{00000000-0005-0000-0000-000002AE0000}"/>
    <cellStyle name="Remarque 3 4 3 6 2 2 2" xfId="51933" xr:uid="{00000000-0005-0000-0000-000003AE0000}"/>
    <cellStyle name="Remarque 3 4 3 6 2 3" xfId="15220" xr:uid="{00000000-0005-0000-0000-000004AE0000}"/>
    <cellStyle name="Remarque 3 4 3 6 2 4" xfId="39180" xr:uid="{00000000-0005-0000-0000-000005AE0000}"/>
    <cellStyle name="Remarque 3 4 3 6 3" xfId="5393" xr:uid="{00000000-0005-0000-0000-000006AE0000}"/>
    <cellStyle name="Remarque 3 4 3 6 3 2" xfId="29407" xr:uid="{00000000-0005-0000-0000-000007AE0000}"/>
    <cellStyle name="Remarque 3 4 3 6 3 2 2" xfId="53367" xr:uid="{00000000-0005-0000-0000-000008AE0000}"/>
    <cellStyle name="Remarque 3 4 3 6 3 3" xfId="16654" xr:uid="{00000000-0005-0000-0000-000009AE0000}"/>
    <cellStyle name="Remarque 3 4 3 6 3 4" xfId="40614" xr:uid="{00000000-0005-0000-0000-00000AAE0000}"/>
    <cellStyle name="Remarque 3 4 3 6 4" xfId="6787" xr:uid="{00000000-0005-0000-0000-00000BAE0000}"/>
    <cellStyle name="Remarque 3 4 3 6 4 2" xfId="30801" xr:uid="{00000000-0005-0000-0000-00000CAE0000}"/>
    <cellStyle name="Remarque 3 4 3 6 4 2 2" xfId="54761" xr:uid="{00000000-0005-0000-0000-00000DAE0000}"/>
    <cellStyle name="Remarque 3 4 3 6 4 3" xfId="18048" xr:uid="{00000000-0005-0000-0000-00000EAE0000}"/>
    <cellStyle name="Remarque 3 4 3 6 4 4" xfId="42008" xr:uid="{00000000-0005-0000-0000-00000FAE0000}"/>
    <cellStyle name="Remarque 3 4 3 6 5" xfId="8175" xr:uid="{00000000-0005-0000-0000-000010AE0000}"/>
    <cellStyle name="Remarque 3 4 3 6 5 2" xfId="32189" xr:uid="{00000000-0005-0000-0000-000011AE0000}"/>
    <cellStyle name="Remarque 3 4 3 6 5 2 2" xfId="56149" xr:uid="{00000000-0005-0000-0000-000012AE0000}"/>
    <cellStyle name="Remarque 3 4 3 6 5 3" xfId="19436" xr:uid="{00000000-0005-0000-0000-000013AE0000}"/>
    <cellStyle name="Remarque 3 4 3 6 5 4" xfId="43396" xr:uid="{00000000-0005-0000-0000-000014AE0000}"/>
    <cellStyle name="Remarque 3 4 3 6 6" xfId="9560" xr:uid="{00000000-0005-0000-0000-000015AE0000}"/>
    <cellStyle name="Remarque 3 4 3 6 6 2" xfId="33574" xr:uid="{00000000-0005-0000-0000-000016AE0000}"/>
    <cellStyle name="Remarque 3 4 3 6 6 2 2" xfId="57534" xr:uid="{00000000-0005-0000-0000-000017AE0000}"/>
    <cellStyle name="Remarque 3 4 3 6 6 3" xfId="20821" xr:uid="{00000000-0005-0000-0000-000018AE0000}"/>
    <cellStyle name="Remarque 3 4 3 6 6 4" xfId="44781" xr:uid="{00000000-0005-0000-0000-000019AE0000}"/>
    <cellStyle name="Remarque 3 4 3 6 7" xfId="11017" xr:uid="{00000000-0005-0000-0000-00001AAE0000}"/>
    <cellStyle name="Remarque 3 4 3 6 7 2" xfId="35027" xr:uid="{00000000-0005-0000-0000-00001BAE0000}"/>
    <cellStyle name="Remarque 3 4 3 6 7 2 2" xfId="58987" xr:uid="{00000000-0005-0000-0000-00001CAE0000}"/>
    <cellStyle name="Remarque 3 4 3 6 7 3" xfId="22284" xr:uid="{00000000-0005-0000-0000-00001DAE0000}"/>
    <cellStyle name="Remarque 3 4 3 6 7 4" xfId="46244" xr:uid="{00000000-0005-0000-0000-00001EAE0000}"/>
    <cellStyle name="Remarque 3 4 3 6 8" xfId="11865" xr:uid="{00000000-0005-0000-0000-00001FAE0000}"/>
    <cellStyle name="Remarque 3 4 3 6 8 2" xfId="23141" xr:uid="{00000000-0005-0000-0000-000020AE0000}"/>
    <cellStyle name="Remarque 3 4 3 6 8 3" xfId="47101" xr:uid="{00000000-0005-0000-0000-000021AE0000}"/>
    <cellStyle name="Remarque 3 4 3 6 9" xfId="2489" xr:uid="{00000000-0005-0000-0000-000022AE0000}"/>
    <cellStyle name="Remarque 3 4 3 6 9 2" xfId="26503" xr:uid="{00000000-0005-0000-0000-000023AE0000}"/>
    <cellStyle name="Remarque 3 4 3 6 9 3" xfId="50463" xr:uid="{00000000-0005-0000-0000-000024AE0000}"/>
    <cellStyle name="Remarque 3 4 3 7" xfId="1389" xr:uid="{00000000-0005-0000-0000-000025AE0000}"/>
    <cellStyle name="Remarque 3 4 3 7 10" xfId="25421" xr:uid="{00000000-0005-0000-0000-000026AE0000}"/>
    <cellStyle name="Remarque 3 4 3 7 10 2" xfId="49381" xr:uid="{00000000-0005-0000-0000-000027AE0000}"/>
    <cellStyle name="Remarque 3 4 3 7 11" xfId="35688" xr:uid="{00000000-0005-0000-0000-000028AE0000}"/>
    <cellStyle name="Remarque 3 4 3 7 11 2" xfId="59648" xr:uid="{00000000-0005-0000-0000-000029AE0000}"/>
    <cellStyle name="Remarque 3 4 3 7 12" xfId="14086" xr:uid="{00000000-0005-0000-0000-00002AAE0000}"/>
    <cellStyle name="Remarque 3 4 3 7 13" xfId="38046" xr:uid="{00000000-0005-0000-0000-00002BAE0000}"/>
    <cellStyle name="Remarque 3 4 3 7 2" xfId="4295" xr:uid="{00000000-0005-0000-0000-00002CAE0000}"/>
    <cellStyle name="Remarque 3 4 3 7 2 2" xfId="28309" xr:uid="{00000000-0005-0000-0000-00002DAE0000}"/>
    <cellStyle name="Remarque 3 4 3 7 2 2 2" xfId="52269" xr:uid="{00000000-0005-0000-0000-00002EAE0000}"/>
    <cellStyle name="Remarque 3 4 3 7 2 3" xfId="15556" xr:uid="{00000000-0005-0000-0000-00002FAE0000}"/>
    <cellStyle name="Remarque 3 4 3 7 2 4" xfId="39516" xr:uid="{00000000-0005-0000-0000-000030AE0000}"/>
    <cellStyle name="Remarque 3 4 3 7 3" xfId="5729" xr:uid="{00000000-0005-0000-0000-000031AE0000}"/>
    <cellStyle name="Remarque 3 4 3 7 3 2" xfId="29743" xr:uid="{00000000-0005-0000-0000-000032AE0000}"/>
    <cellStyle name="Remarque 3 4 3 7 3 2 2" xfId="53703" xr:uid="{00000000-0005-0000-0000-000033AE0000}"/>
    <cellStyle name="Remarque 3 4 3 7 3 3" xfId="16990" xr:uid="{00000000-0005-0000-0000-000034AE0000}"/>
    <cellStyle name="Remarque 3 4 3 7 3 4" xfId="40950" xr:uid="{00000000-0005-0000-0000-000035AE0000}"/>
    <cellStyle name="Remarque 3 4 3 7 4" xfId="7123" xr:uid="{00000000-0005-0000-0000-000036AE0000}"/>
    <cellStyle name="Remarque 3 4 3 7 4 2" xfId="31137" xr:uid="{00000000-0005-0000-0000-000037AE0000}"/>
    <cellStyle name="Remarque 3 4 3 7 4 2 2" xfId="55097" xr:uid="{00000000-0005-0000-0000-000038AE0000}"/>
    <cellStyle name="Remarque 3 4 3 7 4 3" xfId="18384" xr:uid="{00000000-0005-0000-0000-000039AE0000}"/>
    <cellStyle name="Remarque 3 4 3 7 4 4" xfId="42344" xr:uid="{00000000-0005-0000-0000-00003AAE0000}"/>
    <cellStyle name="Remarque 3 4 3 7 5" xfId="8511" xr:uid="{00000000-0005-0000-0000-00003BAE0000}"/>
    <cellStyle name="Remarque 3 4 3 7 5 2" xfId="32525" xr:uid="{00000000-0005-0000-0000-00003CAE0000}"/>
    <cellStyle name="Remarque 3 4 3 7 5 2 2" xfId="56485" xr:uid="{00000000-0005-0000-0000-00003DAE0000}"/>
    <cellStyle name="Remarque 3 4 3 7 5 3" xfId="19772" xr:uid="{00000000-0005-0000-0000-00003EAE0000}"/>
    <cellStyle name="Remarque 3 4 3 7 5 4" xfId="43732" xr:uid="{00000000-0005-0000-0000-00003FAE0000}"/>
    <cellStyle name="Remarque 3 4 3 7 6" xfId="9896" xr:uid="{00000000-0005-0000-0000-000040AE0000}"/>
    <cellStyle name="Remarque 3 4 3 7 6 2" xfId="33910" xr:uid="{00000000-0005-0000-0000-000041AE0000}"/>
    <cellStyle name="Remarque 3 4 3 7 6 2 2" xfId="57870" xr:uid="{00000000-0005-0000-0000-000042AE0000}"/>
    <cellStyle name="Remarque 3 4 3 7 6 3" xfId="21157" xr:uid="{00000000-0005-0000-0000-000043AE0000}"/>
    <cellStyle name="Remarque 3 4 3 7 6 4" xfId="45117" xr:uid="{00000000-0005-0000-0000-000044AE0000}"/>
    <cellStyle name="Remarque 3 4 3 7 7" xfId="11353" xr:uid="{00000000-0005-0000-0000-000045AE0000}"/>
    <cellStyle name="Remarque 3 4 3 7 7 2" xfId="35363" xr:uid="{00000000-0005-0000-0000-000046AE0000}"/>
    <cellStyle name="Remarque 3 4 3 7 7 2 2" xfId="59323" xr:uid="{00000000-0005-0000-0000-000047AE0000}"/>
    <cellStyle name="Remarque 3 4 3 7 7 3" xfId="22620" xr:uid="{00000000-0005-0000-0000-000048AE0000}"/>
    <cellStyle name="Remarque 3 4 3 7 7 4" xfId="46580" xr:uid="{00000000-0005-0000-0000-000049AE0000}"/>
    <cellStyle name="Remarque 3 4 3 7 8" xfId="11891" xr:uid="{00000000-0005-0000-0000-00004AAE0000}"/>
    <cellStyle name="Remarque 3 4 3 7 8 2" xfId="23168" xr:uid="{00000000-0005-0000-0000-00004BAE0000}"/>
    <cellStyle name="Remarque 3 4 3 7 8 3" xfId="47128" xr:uid="{00000000-0005-0000-0000-00004CAE0000}"/>
    <cellStyle name="Remarque 3 4 3 7 9" xfId="2825" xr:uid="{00000000-0005-0000-0000-00004DAE0000}"/>
    <cellStyle name="Remarque 3 4 3 7 9 2" xfId="26839" xr:uid="{00000000-0005-0000-0000-00004EAE0000}"/>
    <cellStyle name="Remarque 3 4 3 7 9 3" xfId="50799" xr:uid="{00000000-0005-0000-0000-00004FAE0000}"/>
    <cellStyle name="Remarque 3 4 3 8" xfId="3145" xr:uid="{00000000-0005-0000-0000-000050AE0000}"/>
    <cellStyle name="Remarque 3 4 3 8 2" xfId="27159" xr:uid="{00000000-0005-0000-0000-000051AE0000}"/>
    <cellStyle name="Remarque 3 4 3 8 2 2" xfId="51119" xr:uid="{00000000-0005-0000-0000-000052AE0000}"/>
    <cellStyle name="Remarque 3 4 3 8 3" xfId="14406" xr:uid="{00000000-0005-0000-0000-000053AE0000}"/>
    <cellStyle name="Remarque 3 4 3 8 4" xfId="38366" xr:uid="{00000000-0005-0000-0000-000054AE0000}"/>
    <cellStyle name="Remarque 3 4 3 9" xfId="1675" xr:uid="{00000000-0005-0000-0000-000055AE0000}"/>
    <cellStyle name="Remarque 3 4 3 9 2" xfId="25689" xr:uid="{00000000-0005-0000-0000-000056AE0000}"/>
    <cellStyle name="Remarque 3 4 3 9 3" xfId="49649" xr:uid="{00000000-0005-0000-0000-000057AE0000}"/>
    <cellStyle name="Remarque 3 4 4" xfId="135" xr:uid="{00000000-0005-0000-0000-000058AE0000}"/>
    <cellStyle name="Remarque 3 4 4 10" xfId="6131" xr:uid="{00000000-0005-0000-0000-000059AE0000}"/>
    <cellStyle name="Remarque 3 4 4 10 2" xfId="30145" xr:uid="{00000000-0005-0000-0000-00005AAE0000}"/>
    <cellStyle name="Remarque 3 4 4 10 2 2" xfId="54105" xr:uid="{00000000-0005-0000-0000-00005BAE0000}"/>
    <cellStyle name="Remarque 3 4 4 10 3" xfId="17392" xr:uid="{00000000-0005-0000-0000-00005CAE0000}"/>
    <cellStyle name="Remarque 3 4 4 10 4" xfId="41352" xr:uid="{00000000-0005-0000-0000-00005DAE0000}"/>
    <cellStyle name="Remarque 3 4 4 11" xfId="7519" xr:uid="{00000000-0005-0000-0000-00005EAE0000}"/>
    <cellStyle name="Remarque 3 4 4 11 2" xfId="31533" xr:uid="{00000000-0005-0000-0000-00005FAE0000}"/>
    <cellStyle name="Remarque 3 4 4 11 2 2" xfId="55493" xr:uid="{00000000-0005-0000-0000-000060AE0000}"/>
    <cellStyle name="Remarque 3 4 4 11 3" xfId="18780" xr:uid="{00000000-0005-0000-0000-000061AE0000}"/>
    <cellStyle name="Remarque 3 4 4 11 4" xfId="42740" xr:uid="{00000000-0005-0000-0000-000062AE0000}"/>
    <cellStyle name="Remarque 3 4 4 12" xfId="8904" xr:uid="{00000000-0005-0000-0000-000063AE0000}"/>
    <cellStyle name="Remarque 3 4 4 12 2" xfId="32918" xr:uid="{00000000-0005-0000-0000-000064AE0000}"/>
    <cellStyle name="Remarque 3 4 4 12 2 2" xfId="56878" xr:uid="{00000000-0005-0000-0000-000065AE0000}"/>
    <cellStyle name="Remarque 3 4 4 12 3" xfId="20165" xr:uid="{00000000-0005-0000-0000-000066AE0000}"/>
    <cellStyle name="Remarque 3 4 4 12 4" xfId="44125" xr:uid="{00000000-0005-0000-0000-000067AE0000}"/>
    <cellStyle name="Remarque 3 4 4 13" xfId="10361" xr:uid="{00000000-0005-0000-0000-000068AE0000}"/>
    <cellStyle name="Remarque 3 4 4 13 2" xfId="34371" xr:uid="{00000000-0005-0000-0000-000069AE0000}"/>
    <cellStyle name="Remarque 3 4 4 13 2 2" xfId="58331" xr:uid="{00000000-0005-0000-0000-00006AAE0000}"/>
    <cellStyle name="Remarque 3 4 4 13 3" xfId="21628" xr:uid="{00000000-0005-0000-0000-00006BAE0000}"/>
    <cellStyle name="Remarque 3 4 4 13 4" xfId="45588" xr:uid="{00000000-0005-0000-0000-00006CAE0000}"/>
    <cellStyle name="Remarque 3 4 4 14" xfId="11678" xr:uid="{00000000-0005-0000-0000-00006DAE0000}"/>
    <cellStyle name="Remarque 3 4 4 14 2" xfId="22947" xr:uid="{00000000-0005-0000-0000-00006EAE0000}"/>
    <cellStyle name="Remarque 3 4 4 14 3" xfId="46907" xr:uid="{00000000-0005-0000-0000-00006FAE0000}"/>
    <cellStyle name="Remarque 3 4 4 15" xfId="1833" xr:uid="{00000000-0005-0000-0000-000070AE0000}"/>
    <cellStyle name="Remarque 3 4 4 15 2" xfId="25847" xr:uid="{00000000-0005-0000-0000-000071AE0000}"/>
    <cellStyle name="Remarque 3 4 4 15 3" xfId="49807" xr:uid="{00000000-0005-0000-0000-000072AE0000}"/>
    <cellStyle name="Remarque 3 4 4 16" xfId="24429" xr:uid="{00000000-0005-0000-0000-000073AE0000}"/>
    <cellStyle name="Remarque 3 4 4 16 2" xfId="48389" xr:uid="{00000000-0005-0000-0000-000074AE0000}"/>
    <cellStyle name="Remarque 3 4 4 17" xfId="35624" xr:uid="{00000000-0005-0000-0000-000075AE0000}"/>
    <cellStyle name="Remarque 3 4 4 17 2" xfId="59584" xr:uid="{00000000-0005-0000-0000-000076AE0000}"/>
    <cellStyle name="Remarque 3 4 4 18" xfId="13094" xr:uid="{00000000-0005-0000-0000-000077AE0000}"/>
    <cellStyle name="Remarque 3 4 4 19" xfId="37054" xr:uid="{00000000-0005-0000-0000-000078AE0000}"/>
    <cellStyle name="Remarque 3 4 4 2" xfId="533" xr:uid="{00000000-0005-0000-0000-000079AE0000}"/>
    <cellStyle name="Remarque 3 4 4 2 10" xfId="24565" xr:uid="{00000000-0005-0000-0000-00007AAE0000}"/>
    <cellStyle name="Remarque 3 4 4 2 10 2" xfId="48525" xr:uid="{00000000-0005-0000-0000-00007BAE0000}"/>
    <cellStyle name="Remarque 3 4 4 2 11" xfId="36323" xr:uid="{00000000-0005-0000-0000-00007CAE0000}"/>
    <cellStyle name="Remarque 3 4 4 2 11 2" xfId="60283" xr:uid="{00000000-0005-0000-0000-00007DAE0000}"/>
    <cellStyle name="Remarque 3 4 4 2 12" xfId="13230" xr:uid="{00000000-0005-0000-0000-00007EAE0000}"/>
    <cellStyle name="Remarque 3 4 4 2 13" xfId="37190" xr:uid="{00000000-0005-0000-0000-00007FAE0000}"/>
    <cellStyle name="Remarque 3 4 4 2 2" xfId="3439" xr:uid="{00000000-0005-0000-0000-000080AE0000}"/>
    <cellStyle name="Remarque 3 4 4 2 2 2" xfId="27453" xr:uid="{00000000-0005-0000-0000-000081AE0000}"/>
    <cellStyle name="Remarque 3 4 4 2 2 2 2" xfId="51413" xr:uid="{00000000-0005-0000-0000-000082AE0000}"/>
    <cellStyle name="Remarque 3 4 4 2 2 3" xfId="14700" xr:uid="{00000000-0005-0000-0000-000083AE0000}"/>
    <cellStyle name="Remarque 3 4 4 2 2 4" xfId="38660" xr:uid="{00000000-0005-0000-0000-000084AE0000}"/>
    <cellStyle name="Remarque 3 4 4 2 3" xfId="4873" xr:uid="{00000000-0005-0000-0000-000085AE0000}"/>
    <cellStyle name="Remarque 3 4 4 2 3 2" xfId="28887" xr:uid="{00000000-0005-0000-0000-000086AE0000}"/>
    <cellStyle name="Remarque 3 4 4 2 3 2 2" xfId="52847" xr:uid="{00000000-0005-0000-0000-000087AE0000}"/>
    <cellStyle name="Remarque 3 4 4 2 3 3" xfId="16134" xr:uid="{00000000-0005-0000-0000-000088AE0000}"/>
    <cellStyle name="Remarque 3 4 4 2 3 4" xfId="40094" xr:uid="{00000000-0005-0000-0000-000089AE0000}"/>
    <cellStyle name="Remarque 3 4 4 2 4" xfId="6267" xr:uid="{00000000-0005-0000-0000-00008AAE0000}"/>
    <cellStyle name="Remarque 3 4 4 2 4 2" xfId="30281" xr:uid="{00000000-0005-0000-0000-00008BAE0000}"/>
    <cellStyle name="Remarque 3 4 4 2 4 2 2" xfId="54241" xr:uid="{00000000-0005-0000-0000-00008CAE0000}"/>
    <cellStyle name="Remarque 3 4 4 2 4 3" xfId="17528" xr:uid="{00000000-0005-0000-0000-00008DAE0000}"/>
    <cellStyle name="Remarque 3 4 4 2 4 4" xfId="41488" xr:uid="{00000000-0005-0000-0000-00008EAE0000}"/>
    <cellStyle name="Remarque 3 4 4 2 5" xfId="7655" xr:uid="{00000000-0005-0000-0000-00008FAE0000}"/>
    <cellStyle name="Remarque 3 4 4 2 5 2" xfId="31669" xr:uid="{00000000-0005-0000-0000-000090AE0000}"/>
    <cellStyle name="Remarque 3 4 4 2 5 2 2" xfId="55629" xr:uid="{00000000-0005-0000-0000-000091AE0000}"/>
    <cellStyle name="Remarque 3 4 4 2 5 3" xfId="18916" xr:uid="{00000000-0005-0000-0000-000092AE0000}"/>
    <cellStyle name="Remarque 3 4 4 2 5 4" xfId="42876" xr:uid="{00000000-0005-0000-0000-000093AE0000}"/>
    <cellStyle name="Remarque 3 4 4 2 6" xfId="9040" xr:uid="{00000000-0005-0000-0000-000094AE0000}"/>
    <cellStyle name="Remarque 3 4 4 2 6 2" xfId="33054" xr:uid="{00000000-0005-0000-0000-000095AE0000}"/>
    <cellStyle name="Remarque 3 4 4 2 6 2 2" xfId="57014" xr:uid="{00000000-0005-0000-0000-000096AE0000}"/>
    <cellStyle name="Remarque 3 4 4 2 6 3" xfId="20301" xr:uid="{00000000-0005-0000-0000-000097AE0000}"/>
    <cellStyle name="Remarque 3 4 4 2 6 4" xfId="44261" xr:uid="{00000000-0005-0000-0000-000098AE0000}"/>
    <cellStyle name="Remarque 3 4 4 2 7" xfId="10497" xr:uid="{00000000-0005-0000-0000-000099AE0000}"/>
    <cellStyle name="Remarque 3 4 4 2 7 2" xfId="34507" xr:uid="{00000000-0005-0000-0000-00009AAE0000}"/>
    <cellStyle name="Remarque 3 4 4 2 7 2 2" xfId="58467" xr:uid="{00000000-0005-0000-0000-00009BAE0000}"/>
    <cellStyle name="Remarque 3 4 4 2 7 3" xfId="21764" xr:uid="{00000000-0005-0000-0000-00009CAE0000}"/>
    <cellStyle name="Remarque 3 4 4 2 7 4" xfId="45724" xr:uid="{00000000-0005-0000-0000-00009DAE0000}"/>
    <cellStyle name="Remarque 3 4 4 2 8" xfId="12363" xr:uid="{00000000-0005-0000-0000-00009EAE0000}"/>
    <cellStyle name="Remarque 3 4 4 2 8 2" xfId="23652" xr:uid="{00000000-0005-0000-0000-00009FAE0000}"/>
    <cellStyle name="Remarque 3 4 4 2 8 3" xfId="47612" xr:uid="{00000000-0005-0000-0000-0000A0AE0000}"/>
    <cellStyle name="Remarque 3 4 4 2 9" xfId="1969" xr:uid="{00000000-0005-0000-0000-0000A1AE0000}"/>
    <cellStyle name="Remarque 3 4 4 2 9 2" xfId="25983" xr:uid="{00000000-0005-0000-0000-0000A2AE0000}"/>
    <cellStyle name="Remarque 3 4 4 2 9 3" xfId="49943" xr:uid="{00000000-0005-0000-0000-0000A3AE0000}"/>
    <cellStyle name="Remarque 3 4 4 20" xfId="397" xr:uid="{00000000-0005-0000-0000-0000A4AE0000}"/>
    <cellStyle name="Remarque 3 4 4 3" xfId="725" xr:uid="{00000000-0005-0000-0000-0000A5AE0000}"/>
    <cellStyle name="Remarque 3 4 4 3 10" xfId="24757" xr:uid="{00000000-0005-0000-0000-0000A6AE0000}"/>
    <cellStyle name="Remarque 3 4 4 3 10 2" xfId="48717" xr:uid="{00000000-0005-0000-0000-0000A7AE0000}"/>
    <cellStyle name="Remarque 3 4 4 3 11" xfId="34132" xr:uid="{00000000-0005-0000-0000-0000A8AE0000}"/>
    <cellStyle name="Remarque 3 4 4 3 11 2" xfId="58092" xr:uid="{00000000-0005-0000-0000-0000A9AE0000}"/>
    <cellStyle name="Remarque 3 4 4 3 12" xfId="13422" xr:uid="{00000000-0005-0000-0000-0000AAAE0000}"/>
    <cellStyle name="Remarque 3 4 4 3 13" xfId="37382" xr:uid="{00000000-0005-0000-0000-0000ABAE0000}"/>
    <cellStyle name="Remarque 3 4 4 3 2" xfId="3631" xr:uid="{00000000-0005-0000-0000-0000ACAE0000}"/>
    <cellStyle name="Remarque 3 4 4 3 2 2" xfId="27645" xr:uid="{00000000-0005-0000-0000-0000ADAE0000}"/>
    <cellStyle name="Remarque 3 4 4 3 2 2 2" xfId="51605" xr:uid="{00000000-0005-0000-0000-0000AEAE0000}"/>
    <cellStyle name="Remarque 3 4 4 3 2 3" xfId="14892" xr:uid="{00000000-0005-0000-0000-0000AFAE0000}"/>
    <cellStyle name="Remarque 3 4 4 3 2 4" xfId="38852" xr:uid="{00000000-0005-0000-0000-0000B0AE0000}"/>
    <cellStyle name="Remarque 3 4 4 3 3" xfId="5065" xr:uid="{00000000-0005-0000-0000-0000B1AE0000}"/>
    <cellStyle name="Remarque 3 4 4 3 3 2" xfId="29079" xr:uid="{00000000-0005-0000-0000-0000B2AE0000}"/>
    <cellStyle name="Remarque 3 4 4 3 3 2 2" xfId="53039" xr:uid="{00000000-0005-0000-0000-0000B3AE0000}"/>
    <cellStyle name="Remarque 3 4 4 3 3 3" xfId="16326" xr:uid="{00000000-0005-0000-0000-0000B4AE0000}"/>
    <cellStyle name="Remarque 3 4 4 3 3 4" xfId="40286" xr:uid="{00000000-0005-0000-0000-0000B5AE0000}"/>
    <cellStyle name="Remarque 3 4 4 3 4" xfId="6459" xr:uid="{00000000-0005-0000-0000-0000B6AE0000}"/>
    <cellStyle name="Remarque 3 4 4 3 4 2" xfId="30473" xr:uid="{00000000-0005-0000-0000-0000B7AE0000}"/>
    <cellStyle name="Remarque 3 4 4 3 4 2 2" xfId="54433" xr:uid="{00000000-0005-0000-0000-0000B8AE0000}"/>
    <cellStyle name="Remarque 3 4 4 3 4 3" xfId="17720" xr:uid="{00000000-0005-0000-0000-0000B9AE0000}"/>
    <cellStyle name="Remarque 3 4 4 3 4 4" xfId="41680" xr:uid="{00000000-0005-0000-0000-0000BAAE0000}"/>
    <cellStyle name="Remarque 3 4 4 3 5" xfId="7847" xr:uid="{00000000-0005-0000-0000-0000BBAE0000}"/>
    <cellStyle name="Remarque 3 4 4 3 5 2" xfId="31861" xr:uid="{00000000-0005-0000-0000-0000BCAE0000}"/>
    <cellStyle name="Remarque 3 4 4 3 5 2 2" xfId="55821" xr:uid="{00000000-0005-0000-0000-0000BDAE0000}"/>
    <cellStyle name="Remarque 3 4 4 3 5 3" xfId="19108" xr:uid="{00000000-0005-0000-0000-0000BEAE0000}"/>
    <cellStyle name="Remarque 3 4 4 3 5 4" xfId="43068" xr:uid="{00000000-0005-0000-0000-0000BFAE0000}"/>
    <cellStyle name="Remarque 3 4 4 3 6" xfId="9232" xr:uid="{00000000-0005-0000-0000-0000C0AE0000}"/>
    <cellStyle name="Remarque 3 4 4 3 6 2" xfId="33246" xr:uid="{00000000-0005-0000-0000-0000C1AE0000}"/>
    <cellStyle name="Remarque 3 4 4 3 6 2 2" xfId="57206" xr:uid="{00000000-0005-0000-0000-0000C2AE0000}"/>
    <cellStyle name="Remarque 3 4 4 3 6 3" xfId="20493" xr:uid="{00000000-0005-0000-0000-0000C3AE0000}"/>
    <cellStyle name="Remarque 3 4 4 3 6 4" xfId="44453" xr:uid="{00000000-0005-0000-0000-0000C4AE0000}"/>
    <cellStyle name="Remarque 3 4 4 3 7" xfId="10689" xr:uid="{00000000-0005-0000-0000-0000C5AE0000}"/>
    <cellStyle name="Remarque 3 4 4 3 7 2" xfId="34699" xr:uid="{00000000-0005-0000-0000-0000C6AE0000}"/>
    <cellStyle name="Remarque 3 4 4 3 7 2 2" xfId="58659" xr:uid="{00000000-0005-0000-0000-0000C7AE0000}"/>
    <cellStyle name="Remarque 3 4 4 3 7 3" xfId="21956" xr:uid="{00000000-0005-0000-0000-0000C8AE0000}"/>
    <cellStyle name="Remarque 3 4 4 3 7 4" xfId="45916" xr:uid="{00000000-0005-0000-0000-0000C9AE0000}"/>
    <cellStyle name="Remarque 3 4 4 3 8" xfId="11841" xr:uid="{00000000-0005-0000-0000-0000CAAE0000}"/>
    <cellStyle name="Remarque 3 4 4 3 8 2" xfId="23116" xr:uid="{00000000-0005-0000-0000-0000CBAE0000}"/>
    <cellStyle name="Remarque 3 4 4 3 8 3" xfId="47076" xr:uid="{00000000-0005-0000-0000-0000CCAE0000}"/>
    <cellStyle name="Remarque 3 4 4 3 9" xfId="2161" xr:uid="{00000000-0005-0000-0000-0000CDAE0000}"/>
    <cellStyle name="Remarque 3 4 4 3 9 2" xfId="26175" xr:uid="{00000000-0005-0000-0000-0000CEAE0000}"/>
    <cellStyle name="Remarque 3 4 4 3 9 3" xfId="50135" xr:uid="{00000000-0005-0000-0000-0000CFAE0000}"/>
    <cellStyle name="Remarque 3 4 4 4" xfId="919" xr:uid="{00000000-0005-0000-0000-0000D0AE0000}"/>
    <cellStyle name="Remarque 3 4 4 4 10" xfId="24951" xr:uid="{00000000-0005-0000-0000-0000D1AE0000}"/>
    <cellStyle name="Remarque 3 4 4 4 10 2" xfId="48911" xr:uid="{00000000-0005-0000-0000-0000D2AE0000}"/>
    <cellStyle name="Remarque 3 4 4 4 11" xfId="23738" xr:uid="{00000000-0005-0000-0000-0000D3AE0000}"/>
    <cellStyle name="Remarque 3 4 4 4 11 2" xfId="47698" xr:uid="{00000000-0005-0000-0000-0000D4AE0000}"/>
    <cellStyle name="Remarque 3 4 4 4 12" xfId="13616" xr:uid="{00000000-0005-0000-0000-0000D5AE0000}"/>
    <cellStyle name="Remarque 3 4 4 4 13" xfId="37576" xr:uid="{00000000-0005-0000-0000-0000D6AE0000}"/>
    <cellStyle name="Remarque 3 4 4 4 2" xfId="3825" xr:uid="{00000000-0005-0000-0000-0000D7AE0000}"/>
    <cellStyle name="Remarque 3 4 4 4 2 2" xfId="27839" xr:uid="{00000000-0005-0000-0000-0000D8AE0000}"/>
    <cellStyle name="Remarque 3 4 4 4 2 2 2" xfId="51799" xr:uid="{00000000-0005-0000-0000-0000D9AE0000}"/>
    <cellStyle name="Remarque 3 4 4 4 2 3" xfId="15086" xr:uid="{00000000-0005-0000-0000-0000DAAE0000}"/>
    <cellStyle name="Remarque 3 4 4 4 2 4" xfId="39046" xr:uid="{00000000-0005-0000-0000-0000DBAE0000}"/>
    <cellStyle name="Remarque 3 4 4 4 3" xfId="5259" xr:uid="{00000000-0005-0000-0000-0000DCAE0000}"/>
    <cellStyle name="Remarque 3 4 4 4 3 2" xfId="29273" xr:uid="{00000000-0005-0000-0000-0000DDAE0000}"/>
    <cellStyle name="Remarque 3 4 4 4 3 2 2" xfId="53233" xr:uid="{00000000-0005-0000-0000-0000DEAE0000}"/>
    <cellStyle name="Remarque 3 4 4 4 3 3" xfId="16520" xr:uid="{00000000-0005-0000-0000-0000DFAE0000}"/>
    <cellStyle name="Remarque 3 4 4 4 3 4" xfId="40480" xr:uid="{00000000-0005-0000-0000-0000E0AE0000}"/>
    <cellStyle name="Remarque 3 4 4 4 4" xfId="6653" xr:uid="{00000000-0005-0000-0000-0000E1AE0000}"/>
    <cellStyle name="Remarque 3 4 4 4 4 2" xfId="30667" xr:uid="{00000000-0005-0000-0000-0000E2AE0000}"/>
    <cellStyle name="Remarque 3 4 4 4 4 2 2" xfId="54627" xr:uid="{00000000-0005-0000-0000-0000E3AE0000}"/>
    <cellStyle name="Remarque 3 4 4 4 4 3" xfId="17914" xr:uid="{00000000-0005-0000-0000-0000E4AE0000}"/>
    <cellStyle name="Remarque 3 4 4 4 4 4" xfId="41874" xr:uid="{00000000-0005-0000-0000-0000E5AE0000}"/>
    <cellStyle name="Remarque 3 4 4 4 5" xfId="8041" xr:uid="{00000000-0005-0000-0000-0000E6AE0000}"/>
    <cellStyle name="Remarque 3 4 4 4 5 2" xfId="32055" xr:uid="{00000000-0005-0000-0000-0000E7AE0000}"/>
    <cellStyle name="Remarque 3 4 4 4 5 2 2" xfId="56015" xr:uid="{00000000-0005-0000-0000-0000E8AE0000}"/>
    <cellStyle name="Remarque 3 4 4 4 5 3" xfId="19302" xr:uid="{00000000-0005-0000-0000-0000E9AE0000}"/>
    <cellStyle name="Remarque 3 4 4 4 5 4" xfId="43262" xr:uid="{00000000-0005-0000-0000-0000EAAE0000}"/>
    <cellStyle name="Remarque 3 4 4 4 6" xfId="9426" xr:uid="{00000000-0005-0000-0000-0000EBAE0000}"/>
    <cellStyle name="Remarque 3 4 4 4 6 2" xfId="33440" xr:uid="{00000000-0005-0000-0000-0000ECAE0000}"/>
    <cellStyle name="Remarque 3 4 4 4 6 2 2" xfId="57400" xr:uid="{00000000-0005-0000-0000-0000EDAE0000}"/>
    <cellStyle name="Remarque 3 4 4 4 6 3" xfId="20687" xr:uid="{00000000-0005-0000-0000-0000EEAE0000}"/>
    <cellStyle name="Remarque 3 4 4 4 6 4" xfId="44647" xr:uid="{00000000-0005-0000-0000-0000EFAE0000}"/>
    <cellStyle name="Remarque 3 4 4 4 7" xfId="10883" xr:uid="{00000000-0005-0000-0000-0000F0AE0000}"/>
    <cellStyle name="Remarque 3 4 4 4 7 2" xfId="34893" xr:uid="{00000000-0005-0000-0000-0000F1AE0000}"/>
    <cellStyle name="Remarque 3 4 4 4 7 2 2" xfId="58853" xr:uid="{00000000-0005-0000-0000-0000F2AE0000}"/>
    <cellStyle name="Remarque 3 4 4 4 7 3" xfId="22150" xr:uid="{00000000-0005-0000-0000-0000F3AE0000}"/>
    <cellStyle name="Remarque 3 4 4 4 7 4" xfId="46110" xr:uid="{00000000-0005-0000-0000-0000F4AE0000}"/>
    <cellStyle name="Remarque 3 4 4 4 8" xfId="12029" xr:uid="{00000000-0005-0000-0000-0000F5AE0000}"/>
    <cellStyle name="Remarque 3 4 4 4 8 2" xfId="23309" xr:uid="{00000000-0005-0000-0000-0000F6AE0000}"/>
    <cellStyle name="Remarque 3 4 4 4 8 3" xfId="47269" xr:uid="{00000000-0005-0000-0000-0000F7AE0000}"/>
    <cellStyle name="Remarque 3 4 4 4 9" xfId="2355" xr:uid="{00000000-0005-0000-0000-0000F8AE0000}"/>
    <cellStyle name="Remarque 3 4 4 4 9 2" xfId="26369" xr:uid="{00000000-0005-0000-0000-0000F9AE0000}"/>
    <cellStyle name="Remarque 3 4 4 4 9 3" xfId="50329" xr:uid="{00000000-0005-0000-0000-0000FAAE0000}"/>
    <cellStyle name="Remarque 3 4 4 5" xfId="1112" xr:uid="{00000000-0005-0000-0000-0000FBAE0000}"/>
    <cellStyle name="Remarque 3 4 4 5 10" xfId="25144" xr:uid="{00000000-0005-0000-0000-0000FCAE0000}"/>
    <cellStyle name="Remarque 3 4 4 5 10 2" xfId="49104" xr:uid="{00000000-0005-0000-0000-0000FDAE0000}"/>
    <cellStyle name="Remarque 3 4 4 5 11" xfId="36749" xr:uid="{00000000-0005-0000-0000-0000FEAE0000}"/>
    <cellStyle name="Remarque 3 4 4 5 11 2" xfId="60709" xr:uid="{00000000-0005-0000-0000-0000FFAE0000}"/>
    <cellStyle name="Remarque 3 4 4 5 12" xfId="13809" xr:uid="{00000000-0005-0000-0000-000000AF0000}"/>
    <cellStyle name="Remarque 3 4 4 5 13" xfId="37769" xr:uid="{00000000-0005-0000-0000-000001AF0000}"/>
    <cellStyle name="Remarque 3 4 4 5 2" xfId="4018" xr:uid="{00000000-0005-0000-0000-000002AF0000}"/>
    <cellStyle name="Remarque 3 4 4 5 2 2" xfId="28032" xr:uid="{00000000-0005-0000-0000-000003AF0000}"/>
    <cellStyle name="Remarque 3 4 4 5 2 2 2" xfId="51992" xr:uid="{00000000-0005-0000-0000-000004AF0000}"/>
    <cellStyle name="Remarque 3 4 4 5 2 3" xfId="15279" xr:uid="{00000000-0005-0000-0000-000005AF0000}"/>
    <cellStyle name="Remarque 3 4 4 5 2 4" xfId="39239" xr:uid="{00000000-0005-0000-0000-000006AF0000}"/>
    <cellStyle name="Remarque 3 4 4 5 3" xfId="5452" xr:uid="{00000000-0005-0000-0000-000007AF0000}"/>
    <cellStyle name="Remarque 3 4 4 5 3 2" xfId="29466" xr:uid="{00000000-0005-0000-0000-000008AF0000}"/>
    <cellStyle name="Remarque 3 4 4 5 3 2 2" xfId="53426" xr:uid="{00000000-0005-0000-0000-000009AF0000}"/>
    <cellStyle name="Remarque 3 4 4 5 3 3" xfId="16713" xr:uid="{00000000-0005-0000-0000-00000AAF0000}"/>
    <cellStyle name="Remarque 3 4 4 5 3 4" xfId="40673" xr:uid="{00000000-0005-0000-0000-00000BAF0000}"/>
    <cellStyle name="Remarque 3 4 4 5 4" xfId="6846" xr:uid="{00000000-0005-0000-0000-00000CAF0000}"/>
    <cellStyle name="Remarque 3 4 4 5 4 2" xfId="30860" xr:uid="{00000000-0005-0000-0000-00000DAF0000}"/>
    <cellStyle name="Remarque 3 4 4 5 4 2 2" xfId="54820" xr:uid="{00000000-0005-0000-0000-00000EAF0000}"/>
    <cellStyle name="Remarque 3 4 4 5 4 3" xfId="18107" xr:uid="{00000000-0005-0000-0000-00000FAF0000}"/>
    <cellStyle name="Remarque 3 4 4 5 4 4" xfId="42067" xr:uid="{00000000-0005-0000-0000-000010AF0000}"/>
    <cellStyle name="Remarque 3 4 4 5 5" xfId="8234" xr:uid="{00000000-0005-0000-0000-000011AF0000}"/>
    <cellStyle name="Remarque 3 4 4 5 5 2" xfId="32248" xr:uid="{00000000-0005-0000-0000-000012AF0000}"/>
    <cellStyle name="Remarque 3 4 4 5 5 2 2" xfId="56208" xr:uid="{00000000-0005-0000-0000-000013AF0000}"/>
    <cellStyle name="Remarque 3 4 4 5 5 3" xfId="19495" xr:uid="{00000000-0005-0000-0000-000014AF0000}"/>
    <cellStyle name="Remarque 3 4 4 5 5 4" xfId="43455" xr:uid="{00000000-0005-0000-0000-000015AF0000}"/>
    <cellStyle name="Remarque 3 4 4 5 6" xfId="9619" xr:uid="{00000000-0005-0000-0000-000016AF0000}"/>
    <cellStyle name="Remarque 3 4 4 5 6 2" xfId="33633" xr:uid="{00000000-0005-0000-0000-000017AF0000}"/>
    <cellStyle name="Remarque 3 4 4 5 6 2 2" xfId="57593" xr:uid="{00000000-0005-0000-0000-000018AF0000}"/>
    <cellStyle name="Remarque 3 4 4 5 6 3" xfId="20880" xr:uid="{00000000-0005-0000-0000-000019AF0000}"/>
    <cellStyle name="Remarque 3 4 4 5 6 4" xfId="44840" xr:uid="{00000000-0005-0000-0000-00001AAF0000}"/>
    <cellStyle name="Remarque 3 4 4 5 7" xfId="11076" xr:uid="{00000000-0005-0000-0000-00001BAF0000}"/>
    <cellStyle name="Remarque 3 4 4 5 7 2" xfId="35086" xr:uid="{00000000-0005-0000-0000-00001CAF0000}"/>
    <cellStyle name="Remarque 3 4 4 5 7 2 2" xfId="59046" xr:uid="{00000000-0005-0000-0000-00001DAF0000}"/>
    <cellStyle name="Remarque 3 4 4 5 7 3" xfId="22343" xr:uid="{00000000-0005-0000-0000-00001EAF0000}"/>
    <cellStyle name="Remarque 3 4 4 5 7 4" xfId="46303" xr:uid="{00000000-0005-0000-0000-00001FAF0000}"/>
    <cellStyle name="Remarque 3 4 4 5 8" xfId="12883" xr:uid="{00000000-0005-0000-0000-000020AF0000}"/>
    <cellStyle name="Remarque 3 4 4 5 8 2" xfId="24195" xr:uid="{00000000-0005-0000-0000-000021AF0000}"/>
    <cellStyle name="Remarque 3 4 4 5 8 3" xfId="48155" xr:uid="{00000000-0005-0000-0000-000022AF0000}"/>
    <cellStyle name="Remarque 3 4 4 5 9" xfId="2548" xr:uid="{00000000-0005-0000-0000-000023AF0000}"/>
    <cellStyle name="Remarque 3 4 4 5 9 2" xfId="26562" xr:uid="{00000000-0005-0000-0000-000024AF0000}"/>
    <cellStyle name="Remarque 3 4 4 5 9 3" xfId="50522" xr:uid="{00000000-0005-0000-0000-000025AF0000}"/>
    <cellStyle name="Remarque 3 4 4 6" xfId="1279" xr:uid="{00000000-0005-0000-0000-000026AF0000}"/>
    <cellStyle name="Remarque 3 4 4 6 10" xfId="25311" xr:uid="{00000000-0005-0000-0000-000027AF0000}"/>
    <cellStyle name="Remarque 3 4 4 6 10 2" xfId="49271" xr:uid="{00000000-0005-0000-0000-000028AF0000}"/>
    <cellStyle name="Remarque 3 4 4 6 11" xfId="35750" xr:uid="{00000000-0005-0000-0000-000029AF0000}"/>
    <cellStyle name="Remarque 3 4 4 6 11 2" xfId="59710" xr:uid="{00000000-0005-0000-0000-00002AAF0000}"/>
    <cellStyle name="Remarque 3 4 4 6 12" xfId="13976" xr:uid="{00000000-0005-0000-0000-00002BAF0000}"/>
    <cellStyle name="Remarque 3 4 4 6 13" xfId="37936" xr:uid="{00000000-0005-0000-0000-00002CAF0000}"/>
    <cellStyle name="Remarque 3 4 4 6 2" xfId="4185" xr:uid="{00000000-0005-0000-0000-00002DAF0000}"/>
    <cellStyle name="Remarque 3 4 4 6 2 2" xfId="28199" xr:uid="{00000000-0005-0000-0000-00002EAF0000}"/>
    <cellStyle name="Remarque 3 4 4 6 2 2 2" xfId="52159" xr:uid="{00000000-0005-0000-0000-00002FAF0000}"/>
    <cellStyle name="Remarque 3 4 4 6 2 3" xfId="15446" xr:uid="{00000000-0005-0000-0000-000030AF0000}"/>
    <cellStyle name="Remarque 3 4 4 6 2 4" xfId="39406" xr:uid="{00000000-0005-0000-0000-000031AF0000}"/>
    <cellStyle name="Remarque 3 4 4 6 3" xfId="5619" xr:uid="{00000000-0005-0000-0000-000032AF0000}"/>
    <cellStyle name="Remarque 3 4 4 6 3 2" xfId="29633" xr:uid="{00000000-0005-0000-0000-000033AF0000}"/>
    <cellStyle name="Remarque 3 4 4 6 3 2 2" xfId="53593" xr:uid="{00000000-0005-0000-0000-000034AF0000}"/>
    <cellStyle name="Remarque 3 4 4 6 3 3" xfId="16880" xr:uid="{00000000-0005-0000-0000-000035AF0000}"/>
    <cellStyle name="Remarque 3 4 4 6 3 4" xfId="40840" xr:uid="{00000000-0005-0000-0000-000036AF0000}"/>
    <cellStyle name="Remarque 3 4 4 6 4" xfId="7013" xr:uid="{00000000-0005-0000-0000-000037AF0000}"/>
    <cellStyle name="Remarque 3 4 4 6 4 2" xfId="31027" xr:uid="{00000000-0005-0000-0000-000038AF0000}"/>
    <cellStyle name="Remarque 3 4 4 6 4 2 2" xfId="54987" xr:uid="{00000000-0005-0000-0000-000039AF0000}"/>
    <cellStyle name="Remarque 3 4 4 6 4 3" xfId="18274" xr:uid="{00000000-0005-0000-0000-00003AAF0000}"/>
    <cellStyle name="Remarque 3 4 4 6 4 4" xfId="42234" xr:uid="{00000000-0005-0000-0000-00003BAF0000}"/>
    <cellStyle name="Remarque 3 4 4 6 5" xfId="8401" xr:uid="{00000000-0005-0000-0000-00003CAF0000}"/>
    <cellStyle name="Remarque 3 4 4 6 5 2" xfId="32415" xr:uid="{00000000-0005-0000-0000-00003DAF0000}"/>
    <cellStyle name="Remarque 3 4 4 6 5 2 2" xfId="56375" xr:uid="{00000000-0005-0000-0000-00003EAF0000}"/>
    <cellStyle name="Remarque 3 4 4 6 5 3" xfId="19662" xr:uid="{00000000-0005-0000-0000-00003FAF0000}"/>
    <cellStyle name="Remarque 3 4 4 6 5 4" xfId="43622" xr:uid="{00000000-0005-0000-0000-000040AF0000}"/>
    <cellStyle name="Remarque 3 4 4 6 6" xfId="9786" xr:uid="{00000000-0005-0000-0000-000041AF0000}"/>
    <cellStyle name="Remarque 3 4 4 6 6 2" xfId="33800" xr:uid="{00000000-0005-0000-0000-000042AF0000}"/>
    <cellStyle name="Remarque 3 4 4 6 6 2 2" xfId="57760" xr:uid="{00000000-0005-0000-0000-000043AF0000}"/>
    <cellStyle name="Remarque 3 4 4 6 6 3" xfId="21047" xr:uid="{00000000-0005-0000-0000-000044AF0000}"/>
    <cellStyle name="Remarque 3 4 4 6 6 4" xfId="45007" xr:uid="{00000000-0005-0000-0000-000045AF0000}"/>
    <cellStyle name="Remarque 3 4 4 6 7" xfId="11243" xr:uid="{00000000-0005-0000-0000-000046AF0000}"/>
    <cellStyle name="Remarque 3 4 4 6 7 2" xfId="35253" xr:uid="{00000000-0005-0000-0000-000047AF0000}"/>
    <cellStyle name="Remarque 3 4 4 6 7 2 2" xfId="59213" xr:uid="{00000000-0005-0000-0000-000048AF0000}"/>
    <cellStyle name="Remarque 3 4 4 6 7 3" xfId="22510" xr:uid="{00000000-0005-0000-0000-000049AF0000}"/>
    <cellStyle name="Remarque 3 4 4 6 7 4" xfId="46470" xr:uid="{00000000-0005-0000-0000-00004AAF0000}"/>
    <cellStyle name="Remarque 3 4 4 6 8" xfId="12012" xr:uid="{00000000-0005-0000-0000-00004BAF0000}"/>
    <cellStyle name="Remarque 3 4 4 6 8 2" xfId="23291" xr:uid="{00000000-0005-0000-0000-00004CAF0000}"/>
    <cellStyle name="Remarque 3 4 4 6 8 3" xfId="47251" xr:uid="{00000000-0005-0000-0000-00004DAF0000}"/>
    <cellStyle name="Remarque 3 4 4 6 9" xfId="2715" xr:uid="{00000000-0005-0000-0000-00004EAF0000}"/>
    <cellStyle name="Remarque 3 4 4 6 9 2" xfId="26729" xr:uid="{00000000-0005-0000-0000-00004FAF0000}"/>
    <cellStyle name="Remarque 3 4 4 6 9 3" xfId="50689" xr:uid="{00000000-0005-0000-0000-000050AF0000}"/>
    <cellStyle name="Remarque 3 4 4 7" xfId="1448" xr:uid="{00000000-0005-0000-0000-000051AF0000}"/>
    <cellStyle name="Remarque 3 4 4 7 10" xfId="25480" xr:uid="{00000000-0005-0000-0000-000052AF0000}"/>
    <cellStyle name="Remarque 3 4 4 7 10 2" xfId="49440" xr:uid="{00000000-0005-0000-0000-000053AF0000}"/>
    <cellStyle name="Remarque 3 4 4 7 11" xfId="36348" xr:uid="{00000000-0005-0000-0000-000054AF0000}"/>
    <cellStyle name="Remarque 3 4 4 7 11 2" xfId="60308" xr:uid="{00000000-0005-0000-0000-000055AF0000}"/>
    <cellStyle name="Remarque 3 4 4 7 12" xfId="14145" xr:uid="{00000000-0005-0000-0000-000056AF0000}"/>
    <cellStyle name="Remarque 3 4 4 7 13" xfId="38105" xr:uid="{00000000-0005-0000-0000-000057AF0000}"/>
    <cellStyle name="Remarque 3 4 4 7 2" xfId="4354" xr:uid="{00000000-0005-0000-0000-000058AF0000}"/>
    <cellStyle name="Remarque 3 4 4 7 2 2" xfId="28368" xr:uid="{00000000-0005-0000-0000-000059AF0000}"/>
    <cellStyle name="Remarque 3 4 4 7 2 2 2" xfId="52328" xr:uid="{00000000-0005-0000-0000-00005AAF0000}"/>
    <cellStyle name="Remarque 3 4 4 7 2 3" xfId="15615" xr:uid="{00000000-0005-0000-0000-00005BAF0000}"/>
    <cellStyle name="Remarque 3 4 4 7 2 4" xfId="39575" xr:uid="{00000000-0005-0000-0000-00005CAF0000}"/>
    <cellStyle name="Remarque 3 4 4 7 3" xfId="5788" xr:uid="{00000000-0005-0000-0000-00005DAF0000}"/>
    <cellStyle name="Remarque 3 4 4 7 3 2" xfId="29802" xr:uid="{00000000-0005-0000-0000-00005EAF0000}"/>
    <cellStyle name="Remarque 3 4 4 7 3 2 2" xfId="53762" xr:uid="{00000000-0005-0000-0000-00005FAF0000}"/>
    <cellStyle name="Remarque 3 4 4 7 3 3" xfId="17049" xr:uid="{00000000-0005-0000-0000-000060AF0000}"/>
    <cellStyle name="Remarque 3 4 4 7 3 4" xfId="41009" xr:uid="{00000000-0005-0000-0000-000061AF0000}"/>
    <cellStyle name="Remarque 3 4 4 7 4" xfId="7182" xr:uid="{00000000-0005-0000-0000-000062AF0000}"/>
    <cellStyle name="Remarque 3 4 4 7 4 2" xfId="31196" xr:uid="{00000000-0005-0000-0000-000063AF0000}"/>
    <cellStyle name="Remarque 3 4 4 7 4 2 2" xfId="55156" xr:uid="{00000000-0005-0000-0000-000064AF0000}"/>
    <cellStyle name="Remarque 3 4 4 7 4 3" xfId="18443" xr:uid="{00000000-0005-0000-0000-000065AF0000}"/>
    <cellStyle name="Remarque 3 4 4 7 4 4" xfId="42403" xr:uid="{00000000-0005-0000-0000-000066AF0000}"/>
    <cellStyle name="Remarque 3 4 4 7 5" xfId="8570" xr:uid="{00000000-0005-0000-0000-000067AF0000}"/>
    <cellStyle name="Remarque 3 4 4 7 5 2" xfId="32584" xr:uid="{00000000-0005-0000-0000-000068AF0000}"/>
    <cellStyle name="Remarque 3 4 4 7 5 2 2" xfId="56544" xr:uid="{00000000-0005-0000-0000-000069AF0000}"/>
    <cellStyle name="Remarque 3 4 4 7 5 3" xfId="19831" xr:uid="{00000000-0005-0000-0000-00006AAF0000}"/>
    <cellStyle name="Remarque 3 4 4 7 5 4" xfId="43791" xr:uid="{00000000-0005-0000-0000-00006BAF0000}"/>
    <cellStyle name="Remarque 3 4 4 7 6" xfId="9955" xr:uid="{00000000-0005-0000-0000-00006CAF0000}"/>
    <cellStyle name="Remarque 3 4 4 7 6 2" xfId="33969" xr:uid="{00000000-0005-0000-0000-00006DAF0000}"/>
    <cellStyle name="Remarque 3 4 4 7 6 2 2" xfId="57929" xr:uid="{00000000-0005-0000-0000-00006EAF0000}"/>
    <cellStyle name="Remarque 3 4 4 7 6 3" xfId="21216" xr:uid="{00000000-0005-0000-0000-00006FAF0000}"/>
    <cellStyle name="Remarque 3 4 4 7 6 4" xfId="45176" xr:uid="{00000000-0005-0000-0000-000070AF0000}"/>
    <cellStyle name="Remarque 3 4 4 7 7" xfId="11412" xr:uid="{00000000-0005-0000-0000-000071AF0000}"/>
    <cellStyle name="Remarque 3 4 4 7 7 2" xfId="35422" xr:uid="{00000000-0005-0000-0000-000072AF0000}"/>
    <cellStyle name="Remarque 3 4 4 7 7 2 2" xfId="59382" xr:uid="{00000000-0005-0000-0000-000073AF0000}"/>
    <cellStyle name="Remarque 3 4 4 7 7 3" xfId="22679" xr:uid="{00000000-0005-0000-0000-000074AF0000}"/>
    <cellStyle name="Remarque 3 4 4 7 7 4" xfId="46639" xr:uid="{00000000-0005-0000-0000-000075AF0000}"/>
    <cellStyle name="Remarque 3 4 4 7 8" xfId="4572" xr:uid="{00000000-0005-0000-0000-000076AF0000}"/>
    <cellStyle name="Remarque 3 4 4 7 8 2" xfId="15833" xr:uid="{00000000-0005-0000-0000-000077AF0000}"/>
    <cellStyle name="Remarque 3 4 4 7 8 3" xfId="39793" xr:uid="{00000000-0005-0000-0000-000078AF0000}"/>
    <cellStyle name="Remarque 3 4 4 7 9" xfId="2884" xr:uid="{00000000-0005-0000-0000-000079AF0000}"/>
    <cellStyle name="Remarque 3 4 4 7 9 2" xfId="26898" xr:uid="{00000000-0005-0000-0000-00007AAF0000}"/>
    <cellStyle name="Remarque 3 4 4 7 9 3" xfId="50858" xr:uid="{00000000-0005-0000-0000-00007BAF0000}"/>
    <cellStyle name="Remarque 3 4 4 8" xfId="3303" xr:uid="{00000000-0005-0000-0000-00007CAF0000}"/>
    <cellStyle name="Remarque 3 4 4 8 2" xfId="27317" xr:uid="{00000000-0005-0000-0000-00007DAF0000}"/>
    <cellStyle name="Remarque 3 4 4 8 2 2" xfId="51277" xr:uid="{00000000-0005-0000-0000-00007EAF0000}"/>
    <cellStyle name="Remarque 3 4 4 8 3" xfId="14564" xr:uid="{00000000-0005-0000-0000-00007FAF0000}"/>
    <cellStyle name="Remarque 3 4 4 8 4" xfId="38524" xr:uid="{00000000-0005-0000-0000-000080AF0000}"/>
    <cellStyle name="Remarque 3 4 4 9" xfId="4737" xr:uid="{00000000-0005-0000-0000-000081AF0000}"/>
    <cellStyle name="Remarque 3 4 4 9 2" xfId="28751" xr:uid="{00000000-0005-0000-0000-000082AF0000}"/>
    <cellStyle name="Remarque 3 4 4 9 2 2" xfId="52711" xr:uid="{00000000-0005-0000-0000-000083AF0000}"/>
    <cellStyle name="Remarque 3 4 4 9 3" xfId="15998" xr:uid="{00000000-0005-0000-0000-000084AF0000}"/>
    <cellStyle name="Remarque 3 4 4 9 4" xfId="39958" xr:uid="{00000000-0005-0000-0000-000085AF0000}"/>
    <cellStyle name="Remarque 3 4 5" xfId="367" xr:uid="{00000000-0005-0000-0000-000086AF0000}"/>
    <cellStyle name="Remarque 3 4 5 10" xfId="6101" xr:uid="{00000000-0005-0000-0000-000087AF0000}"/>
    <cellStyle name="Remarque 3 4 5 10 2" xfId="30115" xr:uid="{00000000-0005-0000-0000-000088AF0000}"/>
    <cellStyle name="Remarque 3 4 5 10 2 2" xfId="54075" xr:uid="{00000000-0005-0000-0000-000089AF0000}"/>
    <cellStyle name="Remarque 3 4 5 10 3" xfId="17362" xr:uid="{00000000-0005-0000-0000-00008AAF0000}"/>
    <cellStyle name="Remarque 3 4 5 10 4" xfId="41322" xr:uid="{00000000-0005-0000-0000-00008BAF0000}"/>
    <cellStyle name="Remarque 3 4 5 11" xfId="7489" xr:uid="{00000000-0005-0000-0000-00008CAF0000}"/>
    <cellStyle name="Remarque 3 4 5 11 2" xfId="31503" xr:uid="{00000000-0005-0000-0000-00008DAF0000}"/>
    <cellStyle name="Remarque 3 4 5 11 2 2" xfId="55463" xr:uid="{00000000-0005-0000-0000-00008EAF0000}"/>
    <cellStyle name="Remarque 3 4 5 11 3" xfId="18750" xr:uid="{00000000-0005-0000-0000-00008FAF0000}"/>
    <cellStyle name="Remarque 3 4 5 11 4" xfId="42710" xr:uid="{00000000-0005-0000-0000-000090AF0000}"/>
    <cellStyle name="Remarque 3 4 5 12" xfId="8874" xr:uid="{00000000-0005-0000-0000-000091AF0000}"/>
    <cellStyle name="Remarque 3 4 5 12 2" xfId="32888" xr:uid="{00000000-0005-0000-0000-000092AF0000}"/>
    <cellStyle name="Remarque 3 4 5 12 2 2" xfId="56848" xr:uid="{00000000-0005-0000-0000-000093AF0000}"/>
    <cellStyle name="Remarque 3 4 5 12 3" xfId="20135" xr:uid="{00000000-0005-0000-0000-000094AF0000}"/>
    <cellStyle name="Remarque 3 4 5 12 4" xfId="44095" xr:uid="{00000000-0005-0000-0000-000095AF0000}"/>
    <cellStyle name="Remarque 3 4 5 13" xfId="10331" xr:uid="{00000000-0005-0000-0000-000096AF0000}"/>
    <cellStyle name="Remarque 3 4 5 13 2" xfId="34341" xr:uid="{00000000-0005-0000-0000-000097AF0000}"/>
    <cellStyle name="Remarque 3 4 5 13 2 2" xfId="58301" xr:uid="{00000000-0005-0000-0000-000098AF0000}"/>
    <cellStyle name="Remarque 3 4 5 13 3" xfId="21598" xr:uid="{00000000-0005-0000-0000-000099AF0000}"/>
    <cellStyle name="Remarque 3 4 5 13 4" xfId="45558" xr:uid="{00000000-0005-0000-0000-00009AAF0000}"/>
    <cellStyle name="Remarque 3 4 5 14" xfId="12590" xr:uid="{00000000-0005-0000-0000-00009BAF0000}"/>
    <cellStyle name="Remarque 3 4 5 14 2" xfId="23891" xr:uid="{00000000-0005-0000-0000-00009CAF0000}"/>
    <cellStyle name="Remarque 3 4 5 14 3" xfId="47851" xr:uid="{00000000-0005-0000-0000-00009DAF0000}"/>
    <cellStyle name="Remarque 3 4 5 15" xfId="1803" xr:uid="{00000000-0005-0000-0000-00009EAF0000}"/>
    <cellStyle name="Remarque 3 4 5 15 2" xfId="25817" xr:uid="{00000000-0005-0000-0000-00009FAF0000}"/>
    <cellStyle name="Remarque 3 4 5 15 3" xfId="49777" xr:uid="{00000000-0005-0000-0000-0000A0AF0000}"/>
    <cellStyle name="Remarque 3 4 5 16" xfId="24399" xr:uid="{00000000-0005-0000-0000-0000A1AF0000}"/>
    <cellStyle name="Remarque 3 4 5 16 2" xfId="48359" xr:uid="{00000000-0005-0000-0000-0000A2AF0000}"/>
    <cellStyle name="Remarque 3 4 5 17" xfId="36362" xr:uid="{00000000-0005-0000-0000-0000A3AF0000}"/>
    <cellStyle name="Remarque 3 4 5 17 2" xfId="60322" xr:uid="{00000000-0005-0000-0000-0000A4AF0000}"/>
    <cellStyle name="Remarque 3 4 5 18" xfId="13064" xr:uid="{00000000-0005-0000-0000-0000A5AF0000}"/>
    <cellStyle name="Remarque 3 4 5 19" xfId="37024" xr:uid="{00000000-0005-0000-0000-0000A6AF0000}"/>
    <cellStyle name="Remarque 3 4 5 2" xfId="503" xr:uid="{00000000-0005-0000-0000-0000A7AF0000}"/>
    <cellStyle name="Remarque 3 4 5 2 10" xfId="24535" xr:uid="{00000000-0005-0000-0000-0000A8AF0000}"/>
    <cellStyle name="Remarque 3 4 5 2 10 2" xfId="48495" xr:uid="{00000000-0005-0000-0000-0000A9AF0000}"/>
    <cellStyle name="Remarque 3 4 5 2 11" xfId="36326" xr:uid="{00000000-0005-0000-0000-0000AAAF0000}"/>
    <cellStyle name="Remarque 3 4 5 2 11 2" xfId="60286" xr:uid="{00000000-0005-0000-0000-0000ABAF0000}"/>
    <cellStyle name="Remarque 3 4 5 2 12" xfId="13200" xr:uid="{00000000-0005-0000-0000-0000ACAF0000}"/>
    <cellStyle name="Remarque 3 4 5 2 13" xfId="37160" xr:uid="{00000000-0005-0000-0000-0000ADAF0000}"/>
    <cellStyle name="Remarque 3 4 5 2 2" xfId="3409" xr:uid="{00000000-0005-0000-0000-0000AEAF0000}"/>
    <cellStyle name="Remarque 3 4 5 2 2 2" xfId="27423" xr:uid="{00000000-0005-0000-0000-0000AFAF0000}"/>
    <cellStyle name="Remarque 3 4 5 2 2 2 2" xfId="51383" xr:uid="{00000000-0005-0000-0000-0000B0AF0000}"/>
    <cellStyle name="Remarque 3 4 5 2 2 3" xfId="14670" xr:uid="{00000000-0005-0000-0000-0000B1AF0000}"/>
    <cellStyle name="Remarque 3 4 5 2 2 4" xfId="38630" xr:uid="{00000000-0005-0000-0000-0000B2AF0000}"/>
    <cellStyle name="Remarque 3 4 5 2 3" xfId="4843" xr:uid="{00000000-0005-0000-0000-0000B3AF0000}"/>
    <cellStyle name="Remarque 3 4 5 2 3 2" xfId="28857" xr:uid="{00000000-0005-0000-0000-0000B4AF0000}"/>
    <cellStyle name="Remarque 3 4 5 2 3 2 2" xfId="52817" xr:uid="{00000000-0005-0000-0000-0000B5AF0000}"/>
    <cellStyle name="Remarque 3 4 5 2 3 3" xfId="16104" xr:uid="{00000000-0005-0000-0000-0000B6AF0000}"/>
    <cellStyle name="Remarque 3 4 5 2 3 4" xfId="40064" xr:uid="{00000000-0005-0000-0000-0000B7AF0000}"/>
    <cellStyle name="Remarque 3 4 5 2 4" xfId="6237" xr:uid="{00000000-0005-0000-0000-0000B8AF0000}"/>
    <cellStyle name="Remarque 3 4 5 2 4 2" xfId="30251" xr:uid="{00000000-0005-0000-0000-0000B9AF0000}"/>
    <cellStyle name="Remarque 3 4 5 2 4 2 2" xfId="54211" xr:uid="{00000000-0005-0000-0000-0000BAAF0000}"/>
    <cellStyle name="Remarque 3 4 5 2 4 3" xfId="17498" xr:uid="{00000000-0005-0000-0000-0000BBAF0000}"/>
    <cellStyle name="Remarque 3 4 5 2 4 4" xfId="41458" xr:uid="{00000000-0005-0000-0000-0000BCAF0000}"/>
    <cellStyle name="Remarque 3 4 5 2 5" xfId="7625" xr:uid="{00000000-0005-0000-0000-0000BDAF0000}"/>
    <cellStyle name="Remarque 3 4 5 2 5 2" xfId="31639" xr:uid="{00000000-0005-0000-0000-0000BEAF0000}"/>
    <cellStyle name="Remarque 3 4 5 2 5 2 2" xfId="55599" xr:uid="{00000000-0005-0000-0000-0000BFAF0000}"/>
    <cellStyle name="Remarque 3 4 5 2 5 3" xfId="18886" xr:uid="{00000000-0005-0000-0000-0000C0AF0000}"/>
    <cellStyle name="Remarque 3 4 5 2 5 4" xfId="42846" xr:uid="{00000000-0005-0000-0000-0000C1AF0000}"/>
    <cellStyle name="Remarque 3 4 5 2 6" xfId="9010" xr:uid="{00000000-0005-0000-0000-0000C2AF0000}"/>
    <cellStyle name="Remarque 3 4 5 2 6 2" xfId="33024" xr:uid="{00000000-0005-0000-0000-0000C3AF0000}"/>
    <cellStyle name="Remarque 3 4 5 2 6 2 2" xfId="56984" xr:uid="{00000000-0005-0000-0000-0000C4AF0000}"/>
    <cellStyle name="Remarque 3 4 5 2 6 3" xfId="20271" xr:uid="{00000000-0005-0000-0000-0000C5AF0000}"/>
    <cellStyle name="Remarque 3 4 5 2 6 4" xfId="44231" xr:uid="{00000000-0005-0000-0000-0000C6AF0000}"/>
    <cellStyle name="Remarque 3 4 5 2 7" xfId="10467" xr:uid="{00000000-0005-0000-0000-0000C7AF0000}"/>
    <cellStyle name="Remarque 3 4 5 2 7 2" xfId="34477" xr:uid="{00000000-0005-0000-0000-0000C8AF0000}"/>
    <cellStyle name="Remarque 3 4 5 2 7 2 2" xfId="58437" xr:uid="{00000000-0005-0000-0000-0000C9AF0000}"/>
    <cellStyle name="Remarque 3 4 5 2 7 3" xfId="21734" xr:uid="{00000000-0005-0000-0000-0000CAAF0000}"/>
    <cellStyle name="Remarque 3 4 5 2 7 4" xfId="45694" xr:uid="{00000000-0005-0000-0000-0000CBAF0000}"/>
    <cellStyle name="Remarque 3 4 5 2 8" xfId="11980" xr:uid="{00000000-0005-0000-0000-0000CCAF0000}"/>
    <cellStyle name="Remarque 3 4 5 2 8 2" xfId="23258" xr:uid="{00000000-0005-0000-0000-0000CDAF0000}"/>
    <cellStyle name="Remarque 3 4 5 2 8 3" xfId="47218" xr:uid="{00000000-0005-0000-0000-0000CEAF0000}"/>
    <cellStyle name="Remarque 3 4 5 2 9" xfId="1939" xr:uid="{00000000-0005-0000-0000-0000CFAF0000}"/>
    <cellStyle name="Remarque 3 4 5 2 9 2" xfId="25953" xr:uid="{00000000-0005-0000-0000-0000D0AF0000}"/>
    <cellStyle name="Remarque 3 4 5 2 9 3" xfId="49913" xr:uid="{00000000-0005-0000-0000-0000D1AF0000}"/>
    <cellStyle name="Remarque 3 4 5 3" xfId="695" xr:uid="{00000000-0005-0000-0000-0000D2AF0000}"/>
    <cellStyle name="Remarque 3 4 5 3 10" xfId="24727" xr:uid="{00000000-0005-0000-0000-0000D3AF0000}"/>
    <cellStyle name="Remarque 3 4 5 3 10 2" xfId="48687" xr:uid="{00000000-0005-0000-0000-0000D4AF0000}"/>
    <cellStyle name="Remarque 3 4 5 3 11" xfId="35728" xr:uid="{00000000-0005-0000-0000-0000D5AF0000}"/>
    <cellStyle name="Remarque 3 4 5 3 11 2" xfId="59688" xr:uid="{00000000-0005-0000-0000-0000D6AF0000}"/>
    <cellStyle name="Remarque 3 4 5 3 12" xfId="13392" xr:uid="{00000000-0005-0000-0000-0000D7AF0000}"/>
    <cellStyle name="Remarque 3 4 5 3 13" xfId="37352" xr:uid="{00000000-0005-0000-0000-0000D8AF0000}"/>
    <cellStyle name="Remarque 3 4 5 3 2" xfId="3601" xr:uid="{00000000-0005-0000-0000-0000D9AF0000}"/>
    <cellStyle name="Remarque 3 4 5 3 2 2" xfId="27615" xr:uid="{00000000-0005-0000-0000-0000DAAF0000}"/>
    <cellStyle name="Remarque 3 4 5 3 2 2 2" xfId="51575" xr:uid="{00000000-0005-0000-0000-0000DBAF0000}"/>
    <cellStyle name="Remarque 3 4 5 3 2 3" xfId="14862" xr:uid="{00000000-0005-0000-0000-0000DCAF0000}"/>
    <cellStyle name="Remarque 3 4 5 3 2 4" xfId="38822" xr:uid="{00000000-0005-0000-0000-0000DDAF0000}"/>
    <cellStyle name="Remarque 3 4 5 3 3" xfId="5035" xr:uid="{00000000-0005-0000-0000-0000DEAF0000}"/>
    <cellStyle name="Remarque 3 4 5 3 3 2" xfId="29049" xr:uid="{00000000-0005-0000-0000-0000DFAF0000}"/>
    <cellStyle name="Remarque 3 4 5 3 3 2 2" xfId="53009" xr:uid="{00000000-0005-0000-0000-0000E0AF0000}"/>
    <cellStyle name="Remarque 3 4 5 3 3 3" xfId="16296" xr:uid="{00000000-0005-0000-0000-0000E1AF0000}"/>
    <cellStyle name="Remarque 3 4 5 3 3 4" xfId="40256" xr:uid="{00000000-0005-0000-0000-0000E2AF0000}"/>
    <cellStyle name="Remarque 3 4 5 3 4" xfId="6429" xr:uid="{00000000-0005-0000-0000-0000E3AF0000}"/>
    <cellStyle name="Remarque 3 4 5 3 4 2" xfId="30443" xr:uid="{00000000-0005-0000-0000-0000E4AF0000}"/>
    <cellStyle name="Remarque 3 4 5 3 4 2 2" xfId="54403" xr:uid="{00000000-0005-0000-0000-0000E5AF0000}"/>
    <cellStyle name="Remarque 3 4 5 3 4 3" xfId="17690" xr:uid="{00000000-0005-0000-0000-0000E6AF0000}"/>
    <cellStyle name="Remarque 3 4 5 3 4 4" xfId="41650" xr:uid="{00000000-0005-0000-0000-0000E7AF0000}"/>
    <cellStyle name="Remarque 3 4 5 3 5" xfId="7817" xr:uid="{00000000-0005-0000-0000-0000E8AF0000}"/>
    <cellStyle name="Remarque 3 4 5 3 5 2" xfId="31831" xr:uid="{00000000-0005-0000-0000-0000E9AF0000}"/>
    <cellStyle name="Remarque 3 4 5 3 5 2 2" xfId="55791" xr:uid="{00000000-0005-0000-0000-0000EAAF0000}"/>
    <cellStyle name="Remarque 3 4 5 3 5 3" xfId="19078" xr:uid="{00000000-0005-0000-0000-0000EBAF0000}"/>
    <cellStyle name="Remarque 3 4 5 3 5 4" xfId="43038" xr:uid="{00000000-0005-0000-0000-0000ECAF0000}"/>
    <cellStyle name="Remarque 3 4 5 3 6" xfId="9202" xr:uid="{00000000-0005-0000-0000-0000EDAF0000}"/>
    <cellStyle name="Remarque 3 4 5 3 6 2" xfId="33216" xr:uid="{00000000-0005-0000-0000-0000EEAF0000}"/>
    <cellStyle name="Remarque 3 4 5 3 6 2 2" xfId="57176" xr:uid="{00000000-0005-0000-0000-0000EFAF0000}"/>
    <cellStyle name="Remarque 3 4 5 3 6 3" xfId="20463" xr:uid="{00000000-0005-0000-0000-0000F0AF0000}"/>
    <cellStyle name="Remarque 3 4 5 3 6 4" xfId="44423" xr:uid="{00000000-0005-0000-0000-0000F1AF0000}"/>
    <cellStyle name="Remarque 3 4 5 3 7" xfId="10659" xr:uid="{00000000-0005-0000-0000-0000F2AF0000}"/>
    <cellStyle name="Remarque 3 4 5 3 7 2" xfId="34669" xr:uid="{00000000-0005-0000-0000-0000F3AF0000}"/>
    <cellStyle name="Remarque 3 4 5 3 7 2 2" xfId="58629" xr:uid="{00000000-0005-0000-0000-0000F4AF0000}"/>
    <cellStyle name="Remarque 3 4 5 3 7 3" xfId="21926" xr:uid="{00000000-0005-0000-0000-0000F5AF0000}"/>
    <cellStyle name="Remarque 3 4 5 3 7 4" xfId="45886" xr:uid="{00000000-0005-0000-0000-0000F6AF0000}"/>
    <cellStyle name="Remarque 3 4 5 3 8" xfId="10137" xr:uid="{00000000-0005-0000-0000-0000F7AF0000}"/>
    <cellStyle name="Remarque 3 4 5 3 8 2" xfId="21400" xr:uid="{00000000-0005-0000-0000-0000F8AF0000}"/>
    <cellStyle name="Remarque 3 4 5 3 8 3" xfId="45360" xr:uid="{00000000-0005-0000-0000-0000F9AF0000}"/>
    <cellStyle name="Remarque 3 4 5 3 9" xfId="2131" xr:uid="{00000000-0005-0000-0000-0000FAAF0000}"/>
    <cellStyle name="Remarque 3 4 5 3 9 2" xfId="26145" xr:uid="{00000000-0005-0000-0000-0000FBAF0000}"/>
    <cellStyle name="Remarque 3 4 5 3 9 3" xfId="50105" xr:uid="{00000000-0005-0000-0000-0000FCAF0000}"/>
    <cellStyle name="Remarque 3 4 5 4" xfId="889" xr:uid="{00000000-0005-0000-0000-0000FDAF0000}"/>
    <cellStyle name="Remarque 3 4 5 4 10" xfId="24921" xr:uid="{00000000-0005-0000-0000-0000FEAF0000}"/>
    <cellStyle name="Remarque 3 4 5 4 10 2" xfId="48881" xr:uid="{00000000-0005-0000-0000-0000FFAF0000}"/>
    <cellStyle name="Remarque 3 4 5 4 11" xfId="34155" xr:uid="{00000000-0005-0000-0000-000000B00000}"/>
    <cellStyle name="Remarque 3 4 5 4 11 2" xfId="58115" xr:uid="{00000000-0005-0000-0000-000001B00000}"/>
    <cellStyle name="Remarque 3 4 5 4 12" xfId="13586" xr:uid="{00000000-0005-0000-0000-000002B00000}"/>
    <cellStyle name="Remarque 3 4 5 4 13" xfId="37546" xr:uid="{00000000-0005-0000-0000-000003B00000}"/>
    <cellStyle name="Remarque 3 4 5 4 2" xfId="3795" xr:uid="{00000000-0005-0000-0000-000004B00000}"/>
    <cellStyle name="Remarque 3 4 5 4 2 2" xfId="27809" xr:uid="{00000000-0005-0000-0000-000005B00000}"/>
    <cellStyle name="Remarque 3 4 5 4 2 2 2" xfId="51769" xr:uid="{00000000-0005-0000-0000-000006B00000}"/>
    <cellStyle name="Remarque 3 4 5 4 2 3" xfId="15056" xr:uid="{00000000-0005-0000-0000-000007B00000}"/>
    <cellStyle name="Remarque 3 4 5 4 2 4" xfId="39016" xr:uid="{00000000-0005-0000-0000-000008B00000}"/>
    <cellStyle name="Remarque 3 4 5 4 3" xfId="5229" xr:uid="{00000000-0005-0000-0000-000009B00000}"/>
    <cellStyle name="Remarque 3 4 5 4 3 2" xfId="29243" xr:uid="{00000000-0005-0000-0000-00000AB00000}"/>
    <cellStyle name="Remarque 3 4 5 4 3 2 2" xfId="53203" xr:uid="{00000000-0005-0000-0000-00000BB00000}"/>
    <cellStyle name="Remarque 3 4 5 4 3 3" xfId="16490" xr:uid="{00000000-0005-0000-0000-00000CB00000}"/>
    <cellStyle name="Remarque 3 4 5 4 3 4" xfId="40450" xr:uid="{00000000-0005-0000-0000-00000DB00000}"/>
    <cellStyle name="Remarque 3 4 5 4 4" xfId="6623" xr:uid="{00000000-0005-0000-0000-00000EB00000}"/>
    <cellStyle name="Remarque 3 4 5 4 4 2" xfId="30637" xr:uid="{00000000-0005-0000-0000-00000FB00000}"/>
    <cellStyle name="Remarque 3 4 5 4 4 2 2" xfId="54597" xr:uid="{00000000-0005-0000-0000-000010B00000}"/>
    <cellStyle name="Remarque 3 4 5 4 4 3" xfId="17884" xr:uid="{00000000-0005-0000-0000-000011B00000}"/>
    <cellStyle name="Remarque 3 4 5 4 4 4" xfId="41844" xr:uid="{00000000-0005-0000-0000-000012B00000}"/>
    <cellStyle name="Remarque 3 4 5 4 5" xfId="8011" xr:uid="{00000000-0005-0000-0000-000013B00000}"/>
    <cellStyle name="Remarque 3 4 5 4 5 2" xfId="32025" xr:uid="{00000000-0005-0000-0000-000014B00000}"/>
    <cellStyle name="Remarque 3 4 5 4 5 2 2" xfId="55985" xr:uid="{00000000-0005-0000-0000-000015B00000}"/>
    <cellStyle name="Remarque 3 4 5 4 5 3" xfId="19272" xr:uid="{00000000-0005-0000-0000-000016B00000}"/>
    <cellStyle name="Remarque 3 4 5 4 5 4" xfId="43232" xr:uid="{00000000-0005-0000-0000-000017B00000}"/>
    <cellStyle name="Remarque 3 4 5 4 6" xfId="9396" xr:uid="{00000000-0005-0000-0000-000018B00000}"/>
    <cellStyle name="Remarque 3 4 5 4 6 2" xfId="33410" xr:uid="{00000000-0005-0000-0000-000019B00000}"/>
    <cellStyle name="Remarque 3 4 5 4 6 2 2" xfId="57370" xr:uid="{00000000-0005-0000-0000-00001AB00000}"/>
    <cellStyle name="Remarque 3 4 5 4 6 3" xfId="20657" xr:uid="{00000000-0005-0000-0000-00001BB00000}"/>
    <cellStyle name="Remarque 3 4 5 4 6 4" xfId="44617" xr:uid="{00000000-0005-0000-0000-00001CB00000}"/>
    <cellStyle name="Remarque 3 4 5 4 7" xfId="10853" xr:uid="{00000000-0005-0000-0000-00001DB00000}"/>
    <cellStyle name="Remarque 3 4 5 4 7 2" xfId="34863" xr:uid="{00000000-0005-0000-0000-00001EB00000}"/>
    <cellStyle name="Remarque 3 4 5 4 7 2 2" xfId="58823" xr:uid="{00000000-0005-0000-0000-00001FB00000}"/>
    <cellStyle name="Remarque 3 4 5 4 7 3" xfId="22120" xr:uid="{00000000-0005-0000-0000-000020B00000}"/>
    <cellStyle name="Remarque 3 4 5 4 7 4" xfId="46080" xr:uid="{00000000-0005-0000-0000-000021B00000}"/>
    <cellStyle name="Remarque 3 4 5 4 8" xfId="12663" xr:uid="{00000000-0005-0000-0000-000022B00000}"/>
    <cellStyle name="Remarque 3 4 5 4 8 2" xfId="23968" xr:uid="{00000000-0005-0000-0000-000023B00000}"/>
    <cellStyle name="Remarque 3 4 5 4 8 3" xfId="47928" xr:uid="{00000000-0005-0000-0000-000024B00000}"/>
    <cellStyle name="Remarque 3 4 5 4 9" xfId="2325" xr:uid="{00000000-0005-0000-0000-000025B00000}"/>
    <cellStyle name="Remarque 3 4 5 4 9 2" xfId="26339" xr:uid="{00000000-0005-0000-0000-000026B00000}"/>
    <cellStyle name="Remarque 3 4 5 4 9 3" xfId="50299" xr:uid="{00000000-0005-0000-0000-000027B00000}"/>
    <cellStyle name="Remarque 3 4 5 5" xfId="1082" xr:uid="{00000000-0005-0000-0000-000028B00000}"/>
    <cellStyle name="Remarque 3 4 5 5 10" xfId="25114" xr:uid="{00000000-0005-0000-0000-000029B00000}"/>
    <cellStyle name="Remarque 3 4 5 5 10 2" xfId="49074" xr:uid="{00000000-0005-0000-0000-00002AB00000}"/>
    <cellStyle name="Remarque 3 4 5 5 11" xfId="36263" xr:uid="{00000000-0005-0000-0000-00002BB00000}"/>
    <cellStyle name="Remarque 3 4 5 5 11 2" xfId="60223" xr:uid="{00000000-0005-0000-0000-00002CB00000}"/>
    <cellStyle name="Remarque 3 4 5 5 12" xfId="13779" xr:uid="{00000000-0005-0000-0000-00002DB00000}"/>
    <cellStyle name="Remarque 3 4 5 5 13" xfId="37739" xr:uid="{00000000-0005-0000-0000-00002EB00000}"/>
    <cellStyle name="Remarque 3 4 5 5 2" xfId="3988" xr:uid="{00000000-0005-0000-0000-00002FB00000}"/>
    <cellStyle name="Remarque 3 4 5 5 2 2" xfId="28002" xr:uid="{00000000-0005-0000-0000-000030B00000}"/>
    <cellStyle name="Remarque 3 4 5 5 2 2 2" xfId="51962" xr:uid="{00000000-0005-0000-0000-000031B00000}"/>
    <cellStyle name="Remarque 3 4 5 5 2 3" xfId="15249" xr:uid="{00000000-0005-0000-0000-000032B00000}"/>
    <cellStyle name="Remarque 3 4 5 5 2 4" xfId="39209" xr:uid="{00000000-0005-0000-0000-000033B00000}"/>
    <cellStyle name="Remarque 3 4 5 5 3" xfId="5422" xr:uid="{00000000-0005-0000-0000-000034B00000}"/>
    <cellStyle name="Remarque 3 4 5 5 3 2" xfId="29436" xr:uid="{00000000-0005-0000-0000-000035B00000}"/>
    <cellStyle name="Remarque 3 4 5 5 3 2 2" xfId="53396" xr:uid="{00000000-0005-0000-0000-000036B00000}"/>
    <cellStyle name="Remarque 3 4 5 5 3 3" xfId="16683" xr:uid="{00000000-0005-0000-0000-000037B00000}"/>
    <cellStyle name="Remarque 3 4 5 5 3 4" xfId="40643" xr:uid="{00000000-0005-0000-0000-000038B00000}"/>
    <cellStyle name="Remarque 3 4 5 5 4" xfId="6816" xr:uid="{00000000-0005-0000-0000-000039B00000}"/>
    <cellStyle name="Remarque 3 4 5 5 4 2" xfId="30830" xr:uid="{00000000-0005-0000-0000-00003AB00000}"/>
    <cellStyle name="Remarque 3 4 5 5 4 2 2" xfId="54790" xr:uid="{00000000-0005-0000-0000-00003BB00000}"/>
    <cellStyle name="Remarque 3 4 5 5 4 3" xfId="18077" xr:uid="{00000000-0005-0000-0000-00003CB00000}"/>
    <cellStyle name="Remarque 3 4 5 5 4 4" xfId="42037" xr:uid="{00000000-0005-0000-0000-00003DB00000}"/>
    <cellStyle name="Remarque 3 4 5 5 5" xfId="8204" xr:uid="{00000000-0005-0000-0000-00003EB00000}"/>
    <cellStyle name="Remarque 3 4 5 5 5 2" xfId="32218" xr:uid="{00000000-0005-0000-0000-00003FB00000}"/>
    <cellStyle name="Remarque 3 4 5 5 5 2 2" xfId="56178" xr:uid="{00000000-0005-0000-0000-000040B00000}"/>
    <cellStyle name="Remarque 3 4 5 5 5 3" xfId="19465" xr:uid="{00000000-0005-0000-0000-000041B00000}"/>
    <cellStyle name="Remarque 3 4 5 5 5 4" xfId="43425" xr:uid="{00000000-0005-0000-0000-000042B00000}"/>
    <cellStyle name="Remarque 3 4 5 5 6" xfId="9589" xr:uid="{00000000-0005-0000-0000-000043B00000}"/>
    <cellStyle name="Remarque 3 4 5 5 6 2" xfId="33603" xr:uid="{00000000-0005-0000-0000-000044B00000}"/>
    <cellStyle name="Remarque 3 4 5 5 6 2 2" xfId="57563" xr:uid="{00000000-0005-0000-0000-000045B00000}"/>
    <cellStyle name="Remarque 3 4 5 5 6 3" xfId="20850" xr:uid="{00000000-0005-0000-0000-000046B00000}"/>
    <cellStyle name="Remarque 3 4 5 5 6 4" xfId="44810" xr:uid="{00000000-0005-0000-0000-000047B00000}"/>
    <cellStyle name="Remarque 3 4 5 5 7" xfId="11046" xr:uid="{00000000-0005-0000-0000-000048B00000}"/>
    <cellStyle name="Remarque 3 4 5 5 7 2" xfId="35056" xr:uid="{00000000-0005-0000-0000-000049B00000}"/>
    <cellStyle name="Remarque 3 4 5 5 7 2 2" xfId="59016" xr:uid="{00000000-0005-0000-0000-00004AB00000}"/>
    <cellStyle name="Remarque 3 4 5 5 7 3" xfId="22313" xr:uid="{00000000-0005-0000-0000-00004BB00000}"/>
    <cellStyle name="Remarque 3 4 5 5 7 4" xfId="46273" xr:uid="{00000000-0005-0000-0000-00004CB00000}"/>
    <cellStyle name="Remarque 3 4 5 5 8" xfId="12489" xr:uid="{00000000-0005-0000-0000-00004DB00000}"/>
    <cellStyle name="Remarque 3 4 5 5 8 2" xfId="23786" xr:uid="{00000000-0005-0000-0000-00004EB00000}"/>
    <cellStyle name="Remarque 3 4 5 5 8 3" xfId="47746" xr:uid="{00000000-0005-0000-0000-00004FB00000}"/>
    <cellStyle name="Remarque 3 4 5 5 9" xfId="2518" xr:uid="{00000000-0005-0000-0000-000050B00000}"/>
    <cellStyle name="Remarque 3 4 5 5 9 2" xfId="26532" xr:uid="{00000000-0005-0000-0000-000051B00000}"/>
    <cellStyle name="Remarque 3 4 5 5 9 3" xfId="50492" xr:uid="{00000000-0005-0000-0000-000052B00000}"/>
    <cellStyle name="Remarque 3 4 5 6" xfId="1249" xr:uid="{00000000-0005-0000-0000-000053B00000}"/>
    <cellStyle name="Remarque 3 4 5 6 10" xfId="25281" xr:uid="{00000000-0005-0000-0000-000054B00000}"/>
    <cellStyle name="Remarque 3 4 5 6 10 2" xfId="49241" xr:uid="{00000000-0005-0000-0000-000055B00000}"/>
    <cellStyle name="Remarque 3 4 5 6 11" xfId="36646" xr:uid="{00000000-0005-0000-0000-000056B00000}"/>
    <cellStyle name="Remarque 3 4 5 6 11 2" xfId="60606" xr:uid="{00000000-0005-0000-0000-000057B00000}"/>
    <cellStyle name="Remarque 3 4 5 6 12" xfId="13946" xr:uid="{00000000-0005-0000-0000-000058B00000}"/>
    <cellStyle name="Remarque 3 4 5 6 13" xfId="37906" xr:uid="{00000000-0005-0000-0000-000059B00000}"/>
    <cellStyle name="Remarque 3 4 5 6 2" xfId="4155" xr:uid="{00000000-0005-0000-0000-00005AB00000}"/>
    <cellStyle name="Remarque 3 4 5 6 2 2" xfId="28169" xr:uid="{00000000-0005-0000-0000-00005BB00000}"/>
    <cellStyle name="Remarque 3 4 5 6 2 2 2" xfId="52129" xr:uid="{00000000-0005-0000-0000-00005CB00000}"/>
    <cellStyle name="Remarque 3 4 5 6 2 3" xfId="15416" xr:uid="{00000000-0005-0000-0000-00005DB00000}"/>
    <cellStyle name="Remarque 3 4 5 6 2 4" xfId="39376" xr:uid="{00000000-0005-0000-0000-00005EB00000}"/>
    <cellStyle name="Remarque 3 4 5 6 3" xfId="5589" xr:uid="{00000000-0005-0000-0000-00005FB00000}"/>
    <cellStyle name="Remarque 3 4 5 6 3 2" xfId="29603" xr:uid="{00000000-0005-0000-0000-000060B00000}"/>
    <cellStyle name="Remarque 3 4 5 6 3 2 2" xfId="53563" xr:uid="{00000000-0005-0000-0000-000061B00000}"/>
    <cellStyle name="Remarque 3 4 5 6 3 3" xfId="16850" xr:uid="{00000000-0005-0000-0000-000062B00000}"/>
    <cellStyle name="Remarque 3 4 5 6 3 4" xfId="40810" xr:uid="{00000000-0005-0000-0000-000063B00000}"/>
    <cellStyle name="Remarque 3 4 5 6 4" xfId="6983" xr:uid="{00000000-0005-0000-0000-000064B00000}"/>
    <cellStyle name="Remarque 3 4 5 6 4 2" xfId="30997" xr:uid="{00000000-0005-0000-0000-000065B00000}"/>
    <cellStyle name="Remarque 3 4 5 6 4 2 2" xfId="54957" xr:uid="{00000000-0005-0000-0000-000066B00000}"/>
    <cellStyle name="Remarque 3 4 5 6 4 3" xfId="18244" xr:uid="{00000000-0005-0000-0000-000067B00000}"/>
    <cellStyle name="Remarque 3 4 5 6 4 4" xfId="42204" xr:uid="{00000000-0005-0000-0000-000068B00000}"/>
    <cellStyle name="Remarque 3 4 5 6 5" xfId="8371" xr:uid="{00000000-0005-0000-0000-000069B00000}"/>
    <cellStyle name="Remarque 3 4 5 6 5 2" xfId="32385" xr:uid="{00000000-0005-0000-0000-00006AB00000}"/>
    <cellStyle name="Remarque 3 4 5 6 5 2 2" xfId="56345" xr:uid="{00000000-0005-0000-0000-00006BB00000}"/>
    <cellStyle name="Remarque 3 4 5 6 5 3" xfId="19632" xr:uid="{00000000-0005-0000-0000-00006CB00000}"/>
    <cellStyle name="Remarque 3 4 5 6 5 4" xfId="43592" xr:uid="{00000000-0005-0000-0000-00006DB00000}"/>
    <cellStyle name="Remarque 3 4 5 6 6" xfId="9756" xr:uid="{00000000-0005-0000-0000-00006EB00000}"/>
    <cellStyle name="Remarque 3 4 5 6 6 2" xfId="33770" xr:uid="{00000000-0005-0000-0000-00006FB00000}"/>
    <cellStyle name="Remarque 3 4 5 6 6 2 2" xfId="57730" xr:uid="{00000000-0005-0000-0000-000070B00000}"/>
    <cellStyle name="Remarque 3 4 5 6 6 3" xfId="21017" xr:uid="{00000000-0005-0000-0000-000071B00000}"/>
    <cellStyle name="Remarque 3 4 5 6 6 4" xfId="44977" xr:uid="{00000000-0005-0000-0000-000072B00000}"/>
    <cellStyle name="Remarque 3 4 5 6 7" xfId="11213" xr:uid="{00000000-0005-0000-0000-000073B00000}"/>
    <cellStyle name="Remarque 3 4 5 6 7 2" xfId="35223" xr:uid="{00000000-0005-0000-0000-000074B00000}"/>
    <cellStyle name="Remarque 3 4 5 6 7 2 2" xfId="59183" xr:uid="{00000000-0005-0000-0000-000075B00000}"/>
    <cellStyle name="Remarque 3 4 5 6 7 3" xfId="22480" xr:uid="{00000000-0005-0000-0000-000076B00000}"/>
    <cellStyle name="Remarque 3 4 5 6 7 4" xfId="46440" xr:uid="{00000000-0005-0000-0000-000077B00000}"/>
    <cellStyle name="Remarque 3 4 5 6 8" xfId="12852" xr:uid="{00000000-0005-0000-0000-000078B00000}"/>
    <cellStyle name="Remarque 3 4 5 6 8 2" xfId="24164" xr:uid="{00000000-0005-0000-0000-000079B00000}"/>
    <cellStyle name="Remarque 3 4 5 6 8 3" xfId="48124" xr:uid="{00000000-0005-0000-0000-00007AB00000}"/>
    <cellStyle name="Remarque 3 4 5 6 9" xfId="2685" xr:uid="{00000000-0005-0000-0000-00007BB00000}"/>
    <cellStyle name="Remarque 3 4 5 6 9 2" xfId="26699" xr:uid="{00000000-0005-0000-0000-00007CB00000}"/>
    <cellStyle name="Remarque 3 4 5 6 9 3" xfId="50659" xr:uid="{00000000-0005-0000-0000-00007DB00000}"/>
    <cellStyle name="Remarque 3 4 5 7" xfId="1418" xr:uid="{00000000-0005-0000-0000-00007EB00000}"/>
    <cellStyle name="Remarque 3 4 5 7 10" xfId="25450" xr:uid="{00000000-0005-0000-0000-00007FB00000}"/>
    <cellStyle name="Remarque 3 4 5 7 10 2" xfId="49410" xr:uid="{00000000-0005-0000-0000-000080B00000}"/>
    <cellStyle name="Remarque 3 4 5 7 11" xfId="35926" xr:uid="{00000000-0005-0000-0000-000081B00000}"/>
    <cellStyle name="Remarque 3 4 5 7 11 2" xfId="59886" xr:uid="{00000000-0005-0000-0000-000082B00000}"/>
    <cellStyle name="Remarque 3 4 5 7 12" xfId="14115" xr:uid="{00000000-0005-0000-0000-000083B00000}"/>
    <cellStyle name="Remarque 3 4 5 7 13" xfId="38075" xr:uid="{00000000-0005-0000-0000-000084B00000}"/>
    <cellStyle name="Remarque 3 4 5 7 2" xfId="4324" xr:uid="{00000000-0005-0000-0000-000085B00000}"/>
    <cellStyle name="Remarque 3 4 5 7 2 2" xfId="28338" xr:uid="{00000000-0005-0000-0000-000086B00000}"/>
    <cellStyle name="Remarque 3 4 5 7 2 2 2" xfId="52298" xr:uid="{00000000-0005-0000-0000-000087B00000}"/>
    <cellStyle name="Remarque 3 4 5 7 2 3" xfId="15585" xr:uid="{00000000-0005-0000-0000-000088B00000}"/>
    <cellStyle name="Remarque 3 4 5 7 2 4" xfId="39545" xr:uid="{00000000-0005-0000-0000-000089B00000}"/>
    <cellStyle name="Remarque 3 4 5 7 3" xfId="5758" xr:uid="{00000000-0005-0000-0000-00008AB00000}"/>
    <cellStyle name="Remarque 3 4 5 7 3 2" xfId="29772" xr:uid="{00000000-0005-0000-0000-00008BB00000}"/>
    <cellStyle name="Remarque 3 4 5 7 3 2 2" xfId="53732" xr:uid="{00000000-0005-0000-0000-00008CB00000}"/>
    <cellStyle name="Remarque 3 4 5 7 3 3" xfId="17019" xr:uid="{00000000-0005-0000-0000-00008DB00000}"/>
    <cellStyle name="Remarque 3 4 5 7 3 4" xfId="40979" xr:uid="{00000000-0005-0000-0000-00008EB00000}"/>
    <cellStyle name="Remarque 3 4 5 7 4" xfId="7152" xr:uid="{00000000-0005-0000-0000-00008FB00000}"/>
    <cellStyle name="Remarque 3 4 5 7 4 2" xfId="31166" xr:uid="{00000000-0005-0000-0000-000090B00000}"/>
    <cellStyle name="Remarque 3 4 5 7 4 2 2" xfId="55126" xr:uid="{00000000-0005-0000-0000-000091B00000}"/>
    <cellStyle name="Remarque 3 4 5 7 4 3" xfId="18413" xr:uid="{00000000-0005-0000-0000-000092B00000}"/>
    <cellStyle name="Remarque 3 4 5 7 4 4" xfId="42373" xr:uid="{00000000-0005-0000-0000-000093B00000}"/>
    <cellStyle name="Remarque 3 4 5 7 5" xfId="8540" xr:uid="{00000000-0005-0000-0000-000094B00000}"/>
    <cellStyle name="Remarque 3 4 5 7 5 2" xfId="32554" xr:uid="{00000000-0005-0000-0000-000095B00000}"/>
    <cellStyle name="Remarque 3 4 5 7 5 2 2" xfId="56514" xr:uid="{00000000-0005-0000-0000-000096B00000}"/>
    <cellStyle name="Remarque 3 4 5 7 5 3" xfId="19801" xr:uid="{00000000-0005-0000-0000-000097B00000}"/>
    <cellStyle name="Remarque 3 4 5 7 5 4" xfId="43761" xr:uid="{00000000-0005-0000-0000-000098B00000}"/>
    <cellStyle name="Remarque 3 4 5 7 6" xfId="9925" xr:uid="{00000000-0005-0000-0000-000099B00000}"/>
    <cellStyle name="Remarque 3 4 5 7 6 2" xfId="33939" xr:uid="{00000000-0005-0000-0000-00009AB00000}"/>
    <cellStyle name="Remarque 3 4 5 7 6 2 2" xfId="57899" xr:uid="{00000000-0005-0000-0000-00009BB00000}"/>
    <cellStyle name="Remarque 3 4 5 7 6 3" xfId="21186" xr:uid="{00000000-0005-0000-0000-00009CB00000}"/>
    <cellStyle name="Remarque 3 4 5 7 6 4" xfId="45146" xr:uid="{00000000-0005-0000-0000-00009DB00000}"/>
    <cellStyle name="Remarque 3 4 5 7 7" xfId="11382" xr:uid="{00000000-0005-0000-0000-00009EB00000}"/>
    <cellStyle name="Remarque 3 4 5 7 7 2" xfId="35392" xr:uid="{00000000-0005-0000-0000-00009FB00000}"/>
    <cellStyle name="Remarque 3 4 5 7 7 2 2" xfId="59352" xr:uid="{00000000-0005-0000-0000-0000A0B00000}"/>
    <cellStyle name="Remarque 3 4 5 7 7 3" xfId="22649" xr:uid="{00000000-0005-0000-0000-0000A1B00000}"/>
    <cellStyle name="Remarque 3 4 5 7 7 4" xfId="46609" xr:uid="{00000000-0005-0000-0000-0000A2B00000}"/>
    <cellStyle name="Remarque 3 4 5 7 8" xfId="12457" xr:uid="{00000000-0005-0000-0000-0000A3B00000}"/>
    <cellStyle name="Remarque 3 4 5 7 8 2" xfId="23751" xr:uid="{00000000-0005-0000-0000-0000A4B00000}"/>
    <cellStyle name="Remarque 3 4 5 7 8 3" xfId="47711" xr:uid="{00000000-0005-0000-0000-0000A5B00000}"/>
    <cellStyle name="Remarque 3 4 5 7 9" xfId="2854" xr:uid="{00000000-0005-0000-0000-0000A6B00000}"/>
    <cellStyle name="Remarque 3 4 5 7 9 2" xfId="26868" xr:uid="{00000000-0005-0000-0000-0000A7B00000}"/>
    <cellStyle name="Remarque 3 4 5 7 9 3" xfId="50828" xr:uid="{00000000-0005-0000-0000-0000A8B00000}"/>
    <cellStyle name="Remarque 3 4 5 8" xfId="3273" xr:uid="{00000000-0005-0000-0000-0000A9B00000}"/>
    <cellStyle name="Remarque 3 4 5 8 2" xfId="27287" xr:uid="{00000000-0005-0000-0000-0000AAB00000}"/>
    <cellStyle name="Remarque 3 4 5 8 2 2" xfId="51247" xr:uid="{00000000-0005-0000-0000-0000ABB00000}"/>
    <cellStyle name="Remarque 3 4 5 8 3" xfId="14534" xr:uid="{00000000-0005-0000-0000-0000ACB00000}"/>
    <cellStyle name="Remarque 3 4 5 8 4" xfId="38494" xr:uid="{00000000-0005-0000-0000-0000ADB00000}"/>
    <cellStyle name="Remarque 3 4 5 9" xfId="4707" xr:uid="{00000000-0005-0000-0000-0000AEB00000}"/>
    <cellStyle name="Remarque 3 4 5 9 2" xfId="28721" xr:uid="{00000000-0005-0000-0000-0000AFB00000}"/>
    <cellStyle name="Remarque 3 4 5 9 2 2" xfId="52681" xr:uid="{00000000-0005-0000-0000-0000B0B00000}"/>
    <cellStyle name="Remarque 3 4 5 9 3" xfId="15968" xr:uid="{00000000-0005-0000-0000-0000B1B00000}"/>
    <cellStyle name="Remarque 3 4 5 9 4" xfId="39928" xr:uid="{00000000-0005-0000-0000-0000B2B00000}"/>
    <cellStyle name="Remarque 3 4 6" xfId="306" xr:uid="{00000000-0005-0000-0000-0000B3B00000}"/>
    <cellStyle name="Remarque 3 4 6 10" xfId="24338" xr:uid="{00000000-0005-0000-0000-0000B4B00000}"/>
    <cellStyle name="Remarque 3 4 6 10 2" xfId="48298" xr:uid="{00000000-0005-0000-0000-0000B5B00000}"/>
    <cellStyle name="Remarque 3 4 6 11" xfId="36245" xr:uid="{00000000-0005-0000-0000-0000B6B00000}"/>
    <cellStyle name="Remarque 3 4 6 11 2" xfId="60205" xr:uid="{00000000-0005-0000-0000-0000B7B00000}"/>
    <cellStyle name="Remarque 3 4 6 12" xfId="13003" xr:uid="{00000000-0005-0000-0000-0000B8B00000}"/>
    <cellStyle name="Remarque 3 4 6 13" xfId="36963" xr:uid="{00000000-0005-0000-0000-0000B9B00000}"/>
    <cellStyle name="Remarque 3 4 6 2" xfId="3212" xr:uid="{00000000-0005-0000-0000-0000BAB00000}"/>
    <cellStyle name="Remarque 3 4 6 2 2" xfId="27226" xr:uid="{00000000-0005-0000-0000-0000BBB00000}"/>
    <cellStyle name="Remarque 3 4 6 2 2 2" xfId="51186" xr:uid="{00000000-0005-0000-0000-0000BCB00000}"/>
    <cellStyle name="Remarque 3 4 6 2 3" xfId="14473" xr:uid="{00000000-0005-0000-0000-0000BDB00000}"/>
    <cellStyle name="Remarque 3 4 6 2 4" xfId="38433" xr:uid="{00000000-0005-0000-0000-0000BEB00000}"/>
    <cellStyle name="Remarque 3 4 6 3" xfId="4646" xr:uid="{00000000-0005-0000-0000-0000BFB00000}"/>
    <cellStyle name="Remarque 3 4 6 3 2" xfId="28660" xr:uid="{00000000-0005-0000-0000-0000C0B00000}"/>
    <cellStyle name="Remarque 3 4 6 3 2 2" xfId="52620" xr:uid="{00000000-0005-0000-0000-0000C1B00000}"/>
    <cellStyle name="Remarque 3 4 6 3 3" xfId="15907" xr:uid="{00000000-0005-0000-0000-0000C2B00000}"/>
    <cellStyle name="Remarque 3 4 6 3 4" xfId="39867" xr:uid="{00000000-0005-0000-0000-0000C3B00000}"/>
    <cellStyle name="Remarque 3 4 6 4" xfId="6040" xr:uid="{00000000-0005-0000-0000-0000C4B00000}"/>
    <cellStyle name="Remarque 3 4 6 4 2" xfId="30054" xr:uid="{00000000-0005-0000-0000-0000C5B00000}"/>
    <cellStyle name="Remarque 3 4 6 4 2 2" xfId="54014" xr:uid="{00000000-0005-0000-0000-0000C6B00000}"/>
    <cellStyle name="Remarque 3 4 6 4 3" xfId="17301" xr:uid="{00000000-0005-0000-0000-0000C7B00000}"/>
    <cellStyle name="Remarque 3 4 6 4 4" xfId="41261" xr:uid="{00000000-0005-0000-0000-0000C8B00000}"/>
    <cellStyle name="Remarque 3 4 6 5" xfId="7428" xr:uid="{00000000-0005-0000-0000-0000C9B00000}"/>
    <cellStyle name="Remarque 3 4 6 5 2" xfId="31442" xr:uid="{00000000-0005-0000-0000-0000CAB00000}"/>
    <cellStyle name="Remarque 3 4 6 5 2 2" xfId="55402" xr:uid="{00000000-0005-0000-0000-0000CBB00000}"/>
    <cellStyle name="Remarque 3 4 6 5 3" xfId="18689" xr:uid="{00000000-0005-0000-0000-0000CCB00000}"/>
    <cellStyle name="Remarque 3 4 6 5 4" xfId="42649" xr:uid="{00000000-0005-0000-0000-0000CDB00000}"/>
    <cellStyle name="Remarque 3 4 6 6" xfId="8813" xr:uid="{00000000-0005-0000-0000-0000CEB00000}"/>
    <cellStyle name="Remarque 3 4 6 6 2" xfId="32827" xr:uid="{00000000-0005-0000-0000-0000CFB00000}"/>
    <cellStyle name="Remarque 3 4 6 6 2 2" xfId="56787" xr:uid="{00000000-0005-0000-0000-0000D0B00000}"/>
    <cellStyle name="Remarque 3 4 6 6 3" xfId="20074" xr:uid="{00000000-0005-0000-0000-0000D1B00000}"/>
    <cellStyle name="Remarque 3 4 6 6 4" xfId="44034" xr:uid="{00000000-0005-0000-0000-0000D2B00000}"/>
    <cellStyle name="Remarque 3 4 6 7" xfId="10270" xr:uid="{00000000-0005-0000-0000-0000D3B00000}"/>
    <cellStyle name="Remarque 3 4 6 7 2" xfId="34280" xr:uid="{00000000-0005-0000-0000-0000D4B00000}"/>
    <cellStyle name="Remarque 3 4 6 7 2 2" xfId="58240" xr:uid="{00000000-0005-0000-0000-0000D5B00000}"/>
    <cellStyle name="Remarque 3 4 6 7 3" xfId="21537" xr:uid="{00000000-0005-0000-0000-0000D6B00000}"/>
    <cellStyle name="Remarque 3 4 6 7 4" xfId="45497" xr:uid="{00000000-0005-0000-0000-0000D7B00000}"/>
    <cellStyle name="Remarque 3 4 6 8" xfId="12078" xr:uid="{00000000-0005-0000-0000-0000D8B00000}"/>
    <cellStyle name="Remarque 3 4 6 8 2" xfId="23361" xr:uid="{00000000-0005-0000-0000-0000D9B00000}"/>
    <cellStyle name="Remarque 3 4 6 8 3" xfId="47321" xr:uid="{00000000-0005-0000-0000-0000DAB00000}"/>
    <cellStyle name="Remarque 3 4 6 9" xfId="1742" xr:uid="{00000000-0005-0000-0000-0000DBB00000}"/>
    <cellStyle name="Remarque 3 4 6 9 2" xfId="25756" xr:uid="{00000000-0005-0000-0000-0000DCB00000}"/>
    <cellStyle name="Remarque 3 4 6 9 3" xfId="49716" xr:uid="{00000000-0005-0000-0000-0000DDB00000}"/>
    <cellStyle name="Remarque 3 4 7" xfId="630" xr:uid="{00000000-0005-0000-0000-0000DEB00000}"/>
    <cellStyle name="Remarque 3 4 7 10" xfId="24662" xr:uid="{00000000-0005-0000-0000-0000DFB00000}"/>
    <cellStyle name="Remarque 3 4 7 10 2" xfId="48622" xr:uid="{00000000-0005-0000-0000-0000E0B00000}"/>
    <cellStyle name="Remarque 3 4 7 11" xfId="36228" xr:uid="{00000000-0005-0000-0000-0000E1B00000}"/>
    <cellStyle name="Remarque 3 4 7 11 2" xfId="60188" xr:uid="{00000000-0005-0000-0000-0000E2B00000}"/>
    <cellStyle name="Remarque 3 4 7 12" xfId="13327" xr:uid="{00000000-0005-0000-0000-0000E3B00000}"/>
    <cellStyle name="Remarque 3 4 7 13" xfId="37287" xr:uid="{00000000-0005-0000-0000-0000E4B00000}"/>
    <cellStyle name="Remarque 3 4 7 2" xfId="3536" xr:uid="{00000000-0005-0000-0000-0000E5B00000}"/>
    <cellStyle name="Remarque 3 4 7 2 2" xfId="27550" xr:uid="{00000000-0005-0000-0000-0000E6B00000}"/>
    <cellStyle name="Remarque 3 4 7 2 2 2" xfId="51510" xr:uid="{00000000-0005-0000-0000-0000E7B00000}"/>
    <cellStyle name="Remarque 3 4 7 2 3" xfId="14797" xr:uid="{00000000-0005-0000-0000-0000E8B00000}"/>
    <cellStyle name="Remarque 3 4 7 2 4" xfId="38757" xr:uid="{00000000-0005-0000-0000-0000E9B00000}"/>
    <cellStyle name="Remarque 3 4 7 3" xfId="4970" xr:uid="{00000000-0005-0000-0000-0000EAB00000}"/>
    <cellStyle name="Remarque 3 4 7 3 2" xfId="28984" xr:uid="{00000000-0005-0000-0000-0000EBB00000}"/>
    <cellStyle name="Remarque 3 4 7 3 2 2" xfId="52944" xr:uid="{00000000-0005-0000-0000-0000ECB00000}"/>
    <cellStyle name="Remarque 3 4 7 3 3" xfId="16231" xr:uid="{00000000-0005-0000-0000-0000EDB00000}"/>
    <cellStyle name="Remarque 3 4 7 3 4" xfId="40191" xr:uid="{00000000-0005-0000-0000-0000EEB00000}"/>
    <cellStyle name="Remarque 3 4 7 4" xfId="6364" xr:uid="{00000000-0005-0000-0000-0000EFB00000}"/>
    <cellStyle name="Remarque 3 4 7 4 2" xfId="30378" xr:uid="{00000000-0005-0000-0000-0000F0B00000}"/>
    <cellStyle name="Remarque 3 4 7 4 2 2" xfId="54338" xr:uid="{00000000-0005-0000-0000-0000F1B00000}"/>
    <cellStyle name="Remarque 3 4 7 4 3" xfId="17625" xr:uid="{00000000-0005-0000-0000-0000F2B00000}"/>
    <cellStyle name="Remarque 3 4 7 4 4" xfId="41585" xr:uid="{00000000-0005-0000-0000-0000F3B00000}"/>
    <cellStyle name="Remarque 3 4 7 5" xfId="7752" xr:uid="{00000000-0005-0000-0000-0000F4B00000}"/>
    <cellStyle name="Remarque 3 4 7 5 2" xfId="31766" xr:uid="{00000000-0005-0000-0000-0000F5B00000}"/>
    <cellStyle name="Remarque 3 4 7 5 2 2" xfId="55726" xr:uid="{00000000-0005-0000-0000-0000F6B00000}"/>
    <cellStyle name="Remarque 3 4 7 5 3" xfId="19013" xr:uid="{00000000-0005-0000-0000-0000F7B00000}"/>
    <cellStyle name="Remarque 3 4 7 5 4" xfId="42973" xr:uid="{00000000-0005-0000-0000-0000F8B00000}"/>
    <cellStyle name="Remarque 3 4 7 6" xfId="9137" xr:uid="{00000000-0005-0000-0000-0000F9B00000}"/>
    <cellStyle name="Remarque 3 4 7 6 2" xfId="33151" xr:uid="{00000000-0005-0000-0000-0000FAB00000}"/>
    <cellStyle name="Remarque 3 4 7 6 2 2" xfId="57111" xr:uid="{00000000-0005-0000-0000-0000FBB00000}"/>
    <cellStyle name="Remarque 3 4 7 6 3" xfId="20398" xr:uid="{00000000-0005-0000-0000-0000FCB00000}"/>
    <cellStyle name="Remarque 3 4 7 6 4" xfId="44358" xr:uid="{00000000-0005-0000-0000-0000FDB00000}"/>
    <cellStyle name="Remarque 3 4 7 7" xfId="10594" xr:uid="{00000000-0005-0000-0000-0000FEB00000}"/>
    <cellStyle name="Remarque 3 4 7 7 2" xfId="34604" xr:uid="{00000000-0005-0000-0000-0000FFB00000}"/>
    <cellStyle name="Remarque 3 4 7 7 2 2" xfId="58564" xr:uid="{00000000-0005-0000-0000-000000B10000}"/>
    <cellStyle name="Remarque 3 4 7 7 3" xfId="21861" xr:uid="{00000000-0005-0000-0000-000001B10000}"/>
    <cellStyle name="Remarque 3 4 7 7 4" xfId="45821" xr:uid="{00000000-0005-0000-0000-000002B10000}"/>
    <cellStyle name="Remarque 3 4 7 8" xfId="12260" xr:uid="{00000000-0005-0000-0000-000003B10000}"/>
    <cellStyle name="Remarque 3 4 7 8 2" xfId="23545" xr:uid="{00000000-0005-0000-0000-000004B10000}"/>
    <cellStyle name="Remarque 3 4 7 8 3" xfId="47505" xr:uid="{00000000-0005-0000-0000-000005B10000}"/>
    <cellStyle name="Remarque 3 4 7 9" xfId="2066" xr:uid="{00000000-0005-0000-0000-000006B10000}"/>
    <cellStyle name="Remarque 3 4 7 9 2" xfId="26080" xr:uid="{00000000-0005-0000-0000-000007B10000}"/>
    <cellStyle name="Remarque 3 4 7 9 3" xfId="50040" xr:uid="{00000000-0005-0000-0000-000008B10000}"/>
    <cellStyle name="Remarque 3 4 8" xfId="824" xr:uid="{00000000-0005-0000-0000-000009B10000}"/>
    <cellStyle name="Remarque 3 4 8 10" xfId="24856" xr:uid="{00000000-0005-0000-0000-00000AB10000}"/>
    <cellStyle name="Remarque 3 4 8 10 2" xfId="48816" xr:uid="{00000000-0005-0000-0000-00000BB10000}"/>
    <cellStyle name="Remarque 3 4 8 11" xfId="36693" xr:uid="{00000000-0005-0000-0000-00000CB10000}"/>
    <cellStyle name="Remarque 3 4 8 11 2" xfId="60653" xr:uid="{00000000-0005-0000-0000-00000DB10000}"/>
    <cellStyle name="Remarque 3 4 8 12" xfId="13521" xr:uid="{00000000-0005-0000-0000-00000EB10000}"/>
    <cellStyle name="Remarque 3 4 8 13" xfId="37481" xr:uid="{00000000-0005-0000-0000-00000FB10000}"/>
    <cellStyle name="Remarque 3 4 8 2" xfId="3730" xr:uid="{00000000-0005-0000-0000-000010B10000}"/>
    <cellStyle name="Remarque 3 4 8 2 2" xfId="27744" xr:uid="{00000000-0005-0000-0000-000011B10000}"/>
    <cellStyle name="Remarque 3 4 8 2 2 2" xfId="51704" xr:uid="{00000000-0005-0000-0000-000012B10000}"/>
    <cellStyle name="Remarque 3 4 8 2 3" xfId="14991" xr:uid="{00000000-0005-0000-0000-000013B10000}"/>
    <cellStyle name="Remarque 3 4 8 2 4" xfId="38951" xr:uid="{00000000-0005-0000-0000-000014B10000}"/>
    <cellStyle name="Remarque 3 4 8 3" xfId="5164" xr:uid="{00000000-0005-0000-0000-000015B10000}"/>
    <cellStyle name="Remarque 3 4 8 3 2" xfId="29178" xr:uid="{00000000-0005-0000-0000-000016B10000}"/>
    <cellStyle name="Remarque 3 4 8 3 2 2" xfId="53138" xr:uid="{00000000-0005-0000-0000-000017B10000}"/>
    <cellStyle name="Remarque 3 4 8 3 3" xfId="16425" xr:uid="{00000000-0005-0000-0000-000018B10000}"/>
    <cellStyle name="Remarque 3 4 8 3 4" xfId="40385" xr:uid="{00000000-0005-0000-0000-000019B10000}"/>
    <cellStyle name="Remarque 3 4 8 4" xfId="6558" xr:uid="{00000000-0005-0000-0000-00001AB10000}"/>
    <cellStyle name="Remarque 3 4 8 4 2" xfId="30572" xr:uid="{00000000-0005-0000-0000-00001BB10000}"/>
    <cellStyle name="Remarque 3 4 8 4 2 2" xfId="54532" xr:uid="{00000000-0005-0000-0000-00001CB10000}"/>
    <cellStyle name="Remarque 3 4 8 4 3" xfId="17819" xr:uid="{00000000-0005-0000-0000-00001DB10000}"/>
    <cellStyle name="Remarque 3 4 8 4 4" xfId="41779" xr:uid="{00000000-0005-0000-0000-00001EB10000}"/>
    <cellStyle name="Remarque 3 4 8 5" xfId="7946" xr:uid="{00000000-0005-0000-0000-00001FB10000}"/>
    <cellStyle name="Remarque 3 4 8 5 2" xfId="31960" xr:uid="{00000000-0005-0000-0000-000020B10000}"/>
    <cellStyle name="Remarque 3 4 8 5 2 2" xfId="55920" xr:uid="{00000000-0005-0000-0000-000021B10000}"/>
    <cellStyle name="Remarque 3 4 8 5 3" xfId="19207" xr:uid="{00000000-0005-0000-0000-000022B10000}"/>
    <cellStyle name="Remarque 3 4 8 5 4" xfId="43167" xr:uid="{00000000-0005-0000-0000-000023B10000}"/>
    <cellStyle name="Remarque 3 4 8 6" xfId="9331" xr:uid="{00000000-0005-0000-0000-000024B10000}"/>
    <cellStyle name="Remarque 3 4 8 6 2" xfId="33345" xr:uid="{00000000-0005-0000-0000-000025B10000}"/>
    <cellStyle name="Remarque 3 4 8 6 2 2" xfId="57305" xr:uid="{00000000-0005-0000-0000-000026B10000}"/>
    <cellStyle name="Remarque 3 4 8 6 3" xfId="20592" xr:uid="{00000000-0005-0000-0000-000027B10000}"/>
    <cellStyle name="Remarque 3 4 8 6 4" xfId="44552" xr:uid="{00000000-0005-0000-0000-000028B10000}"/>
    <cellStyle name="Remarque 3 4 8 7" xfId="10788" xr:uid="{00000000-0005-0000-0000-000029B10000}"/>
    <cellStyle name="Remarque 3 4 8 7 2" xfId="34798" xr:uid="{00000000-0005-0000-0000-00002AB10000}"/>
    <cellStyle name="Remarque 3 4 8 7 2 2" xfId="58758" xr:uid="{00000000-0005-0000-0000-00002BB10000}"/>
    <cellStyle name="Remarque 3 4 8 7 3" xfId="22055" xr:uid="{00000000-0005-0000-0000-00002CB10000}"/>
    <cellStyle name="Remarque 3 4 8 7 4" xfId="46015" xr:uid="{00000000-0005-0000-0000-00002DB10000}"/>
    <cellStyle name="Remarque 3 4 8 8" xfId="11873" xr:uid="{00000000-0005-0000-0000-00002EB10000}"/>
    <cellStyle name="Remarque 3 4 8 8 2" xfId="23150" xr:uid="{00000000-0005-0000-0000-00002FB10000}"/>
    <cellStyle name="Remarque 3 4 8 8 3" xfId="47110" xr:uid="{00000000-0005-0000-0000-000030B10000}"/>
    <cellStyle name="Remarque 3 4 8 9" xfId="2260" xr:uid="{00000000-0005-0000-0000-000031B10000}"/>
    <cellStyle name="Remarque 3 4 8 9 2" xfId="26274" xr:uid="{00000000-0005-0000-0000-000032B10000}"/>
    <cellStyle name="Remarque 3 4 8 9 3" xfId="50234" xr:uid="{00000000-0005-0000-0000-000033B10000}"/>
    <cellStyle name="Remarque 3 4 9" xfId="1017" xr:uid="{00000000-0005-0000-0000-000034B10000}"/>
    <cellStyle name="Remarque 3 4 9 10" xfId="25049" xr:uid="{00000000-0005-0000-0000-000035B10000}"/>
    <cellStyle name="Remarque 3 4 9 10 2" xfId="49009" xr:uid="{00000000-0005-0000-0000-000036B10000}"/>
    <cellStyle name="Remarque 3 4 9 11" xfId="36283" xr:uid="{00000000-0005-0000-0000-000037B10000}"/>
    <cellStyle name="Remarque 3 4 9 11 2" xfId="60243" xr:uid="{00000000-0005-0000-0000-000038B10000}"/>
    <cellStyle name="Remarque 3 4 9 12" xfId="13714" xr:uid="{00000000-0005-0000-0000-000039B10000}"/>
    <cellStyle name="Remarque 3 4 9 13" xfId="37674" xr:uid="{00000000-0005-0000-0000-00003AB10000}"/>
    <cellStyle name="Remarque 3 4 9 2" xfId="3923" xr:uid="{00000000-0005-0000-0000-00003BB10000}"/>
    <cellStyle name="Remarque 3 4 9 2 2" xfId="27937" xr:uid="{00000000-0005-0000-0000-00003CB10000}"/>
    <cellStyle name="Remarque 3 4 9 2 2 2" xfId="51897" xr:uid="{00000000-0005-0000-0000-00003DB10000}"/>
    <cellStyle name="Remarque 3 4 9 2 3" xfId="15184" xr:uid="{00000000-0005-0000-0000-00003EB10000}"/>
    <cellStyle name="Remarque 3 4 9 2 4" xfId="39144" xr:uid="{00000000-0005-0000-0000-00003FB10000}"/>
    <cellStyle name="Remarque 3 4 9 3" xfId="5357" xr:uid="{00000000-0005-0000-0000-000040B10000}"/>
    <cellStyle name="Remarque 3 4 9 3 2" xfId="29371" xr:uid="{00000000-0005-0000-0000-000041B10000}"/>
    <cellStyle name="Remarque 3 4 9 3 2 2" xfId="53331" xr:uid="{00000000-0005-0000-0000-000042B10000}"/>
    <cellStyle name="Remarque 3 4 9 3 3" xfId="16618" xr:uid="{00000000-0005-0000-0000-000043B10000}"/>
    <cellStyle name="Remarque 3 4 9 3 4" xfId="40578" xr:uid="{00000000-0005-0000-0000-000044B10000}"/>
    <cellStyle name="Remarque 3 4 9 4" xfId="6751" xr:uid="{00000000-0005-0000-0000-000045B10000}"/>
    <cellStyle name="Remarque 3 4 9 4 2" xfId="30765" xr:uid="{00000000-0005-0000-0000-000046B10000}"/>
    <cellStyle name="Remarque 3 4 9 4 2 2" xfId="54725" xr:uid="{00000000-0005-0000-0000-000047B10000}"/>
    <cellStyle name="Remarque 3 4 9 4 3" xfId="18012" xr:uid="{00000000-0005-0000-0000-000048B10000}"/>
    <cellStyle name="Remarque 3 4 9 4 4" xfId="41972" xr:uid="{00000000-0005-0000-0000-000049B10000}"/>
    <cellStyle name="Remarque 3 4 9 5" xfId="8139" xr:uid="{00000000-0005-0000-0000-00004AB10000}"/>
    <cellStyle name="Remarque 3 4 9 5 2" xfId="32153" xr:uid="{00000000-0005-0000-0000-00004BB10000}"/>
    <cellStyle name="Remarque 3 4 9 5 2 2" xfId="56113" xr:uid="{00000000-0005-0000-0000-00004CB10000}"/>
    <cellStyle name="Remarque 3 4 9 5 3" xfId="19400" xr:uid="{00000000-0005-0000-0000-00004DB10000}"/>
    <cellStyle name="Remarque 3 4 9 5 4" xfId="43360" xr:uid="{00000000-0005-0000-0000-00004EB10000}"/>
    <cellStyle name="Remarque 3 4 9 6" xfId="9524" xr:uid="{00000000-0005-0000-0000-00004FB10000}"/>
    <cellStyle name="Remarque 3 4 9 6 2" xfId="33538" xr:uid="{00000000-0005-0000-0000-000050B10000}"/>
    <cellStyle name="Remarque 3 4 9 6 2 2" xfId="57498" xr:uid="{00000000-0005-0000-0000-000051B10000}"/>
    <cellStyle name="Remarque 3 4 9 6 3" xfId="20785" xr:uid="{00000000-0005-0000-0000-000052B10000}"/>
    <cellStyle name="Remarque 3 4 9 6 4" xfId="44745" xr:uid="{00000000-0005-0000-0000-000053B10000}"/>
    <cellStyle name="Remarque 3 4 9 7" xfId="10981" xr:uid="{00000000-0005-0000-0000-000054B10000}"/>
    <cellStyle name="Remarque 3 4 9 7 2" xfId="34991" xr:uid="{00000000-0005-0000-0000-000055B10000}"/>
    <cellStyle name="Remarque 3 4 9 7 2 2" xfId="58951" xr:uid="{00000000-0005-0000-0000-000056B10000}"/>
    <cellStyle name="Remarque 3 4 9 7 3" xfId="22248" xr:uid="{00000000-0005-0000-0000-000057B10000}"/>
    <cellStyle name="Remarque 3 4 9 7 4" xfId="46208" xr:uid="{00000000-0005-0000-0000-000058B10000}"/>
    <cellStyle name="Remarque 3 4 9 8" xfId="11677" xr:uid="{00000000-0005-0000-0000-000059B10000}"/>
    <cellStyle name="Remarque 3 4 9 8 2" xfId="22946" xr:uid="{00000000-0005-0000-0000-00005AB10000}"/>
    <cellStyle name="Remarque 3 4 9 8 3" xfId="46906" xr:uid="{00000000-0005-0000-0000-00005BB10000}"/>
    <cellStyle name="Remarque 3 4 9 9" xfId="2453" xr:uid="{00000000-0005-0000-0000-00005CB10000}"/>
    <cellStyle name="Remarque 3 4 9 9 2" xfId="26467" xr:uid="{00000000-0005-0000-0000-00005DB10000}"/>
    <cellStyle name="Remarque 3 4 9 9 3" xfId="50427" xr:uid="{00000000-0005-0000-0000-00005EB10000}"/>
    <cellStyle name="Remarque 3 5" xfId="80" xr:uid="{00000000-0005-0000-0000-00005FB10000}"/>
    <cellStyle name="Remarque 3 5 10" xfId="1374" xr:uid="{00000000-0005-0000-0000-000060B10000}"/>
    <cellStyle name="Remarque 3 5 10 10" xfId="25406" xr:uid="{00000000-0005-0000-0000-000061B10000}"/>
    <cellStyle name="Remarque 3 5 10 10 2" xfId="49366" xr:uid="{00000000-0005-0000-0000-000062B10000}"/>
    <cellStyle name="Remarque 3 5 10 11" xfId="36080" xr:uid="{00000000-0005-0000-0000-000063B10000}"/>
    <cellStyle name="Remarque 3 5 10 11 2" xfId="60040" xr:uid="{00000000-0005-0000-0000-000064B10000}"/>
    <cellStyle name="Remarque 3 5 10 12" xfId="14071" xr:uid="{00000000-0005-0000-0000-000065B10000}"/>
    <cellStyle name="Remarque 3 5 10 13" xfId="38031" xr:uid="{00000000-0005-0000-0000-000066B10000}"/>
    <cellStyle name="Remarque 3 5 10 2" xfId="4280" xr:uid="{00000000-0005-0000-0000-000067B10000}"/>
    <cellStyle name="Remarque 3 5 10 2 2" xfId="28294" xr:uid="{00000000-0005-0000-0000-000068B10000}"/>
    <cellStyle name="Remarque 3 5 10 2 2 2" xfId="52254" xr:uid="{00000000-0005-0000-0000-000069B10000}"/>
    <cellStyle name="Remarque 3 5 10 2 3" xfId="15541" xr:uid="{00000000-0005-0000-0000-00006AB10000}"/>
    <cellStyle name="Remarque 3 5 10 2 4" xfId="39501" xr:uid="{00000000-0005-0000-0000-00006BB10000}"/>
    <cellStyle name="Remarque 3 5 10 3" xfId="5714" xr:uid="{00000000-0005-0000-0000-00006CB10000}"/>
    <cellStyle name="Remarque 3 5 10 3 2" xfId="29728" xr:uid="{00000000-0005-0000-0000-00006DB10000}"/>
    <cellStyle name="Remarque 3 5 10 3 2 2" xfId="53688" xr:uid="{00000000-0005-0000-0000-00006EB10000}"/>
    <cellStyle name="Remarque 3 5 10 3 3" xfId="16975" xr:uid="{00000000-0005-0000-0000-00006FB10000}"/>
    <cellStyle name="Remarque 3 5 10 3 4" xfId="40935" xr:uid="{00000000-0005-0000-0000-000070B10000}"/>
    <cellStyle name="Remarque 3 5 10 4" xfId="7108" xr:uid="{00000000-0005-0000-0000-000071B10000}"/>
    <cellStyle name="Remarque 3 5 10 4 2" xfId="31122" xr:uid="{00000000-0005-0000-0000-000072B10000}"/>
    <cellStyle name="Remarque 3 5 10 4 2 2" xfId="55082" xr:uid="{00000000-0005-0000-0000-000073B10000}"/>
    <cellStyle name="Remarque 3 5 10 4 3" xfId="18369" xr:uid="{00000000-0005-0000-0000-000074B10000}"/>
    <cellStyle name="Remarque 3 5 10 4 4" xfId="42329" xr:uid="{00000000-0005-0000-0000-000075B10000}"/>
    <cellStyle name="Remarque 3 5 10 5" xfId="8496" xr:uid="{00000000-0005-0000-0000-000076B10000}"/>
    <cellStyle name="Remarque 3 5 10 5 2" xfId="32510" xr:uid="{00000000-0005-0000-0000-000077B10000}"/>
    <cellStyle name="Remarque 3 5 10 5 2 2" xfId="56470" xr:uid="{00000000-0005-0000-0000-000078B10000}"/>
    <cellStyle name="Remarque 3 5 10 5 3" xfId="19757" xr:uid="{00000000-0005-0000-0000-000079B10000}"/>
    <cellStyle name="Remarque 3 5 10 5 4" xfId="43717" xr:uid="{00000000-0005-0000-0000-00007AB10000}"/>
    <cellStyle name="Remarque 3 5 10 6" xfId="9881" xr:uid="{00000000-0005-0000-0000-00007BB10000}"/>
    <cellStyle name="Remarque 3 5 10 6 2" xfId="33895" xr:uid="{00000000-0005-0000-0000-00007CB10000}"/>
    <cellStyle name="Remarque 3 5 10 6 2 2" xfId="57855" xr:uid="{00000000-0005-0000-0000-00007DB10000}"/>
    <cellStyle name="Remarque 3 5 10 6 3" xfId="21142" xr:uid="{00000000-0005-0000-0000-00007EB10000}"/>
    <cellStyle name="Remarque 3 5 10 6 4" xfId="45102" xr:uid="{00000000-0005-0000-0000-00007FB10000}"/>
    <cellStyle name="Remarque 3 5 10 7" xfId="11338" xr:uid="{00000000-0005-0000-0000-000080B10000}"/>
    <cellStyle name="Remarque 3 5 10 7 2" xfId="35348" xr:uid="{00000000-0005-0000-0000-000081B10000}"/>
    <cellStyle name="Remarque 3 5 10 7 2 2" xfId="59308" xr:uid="{00000000-0005-0000-0000-000082B10000}"/>
    <cellStyle name="Remarque 3 5 10 7 3" xfId="22605" xr:uid="{00000000-0005-0000-0000-000083B10000}"/>
    <cellStyle name="Remarque 3 5 10 7 4" xfId="46565" xr:uid="{00000000-0005-0000-0000-000084B10000}"/>
    <cellStyle name="Remarque 3 5 10 8" xfId="12170" xr:uid="{00000000-0005-0000-0000-000085B10000}"/>
    <cellStyle name="Remarque 3 5 10 8 2" xfId="23453" xr:uid="{00000000-0005-0000-0000-000086B10000}"/>
    <cellStyle name="Remarque 3 5 10 8 3" xfId="47413" xr:uid="{00000000-0005-0000-0000-000087B10000}"/>
    <cellStyle name="Remarque 3 5 10 9" xfId="2810" xr:uid="{00000000-0005-0000-0000-000088B10000}"/>
    <cellStyle name="Remarque 3 5 10 9 2" xfId="26824" xr:uid="{00000000-0005-0000-0000-000089B10000}"/>
    <cellStyle name="Remarque 3 5 10 9 3" xfId="50784" xr:uid="{00000000-0005-0000-0000-00008AB10000}"/>
    <cellStyle name="Remarque 3 5 11" xfId="1585" xr:uid="{00000000-0005-0000-0000-00008BB10000}"/>
    <cellStyle name="Remarque 3 5 11 10" xfId="25617" xr:uid="{00000000-0005-0000-0000-00008CB10000}"/>
    <cellStyle name="Remarque 3 5 11 10 2" xfId="49577" xr:uid="{00000000-0005-0000-0000-00008DB10000}"/>
    <cellStyle name="Remarque 3 5 11 11" xfId="36844" xr:uid="{00000000-0005-0000-0000-00008EB10000}"/>
    <cellStyle name="Remarque 3 5 11 11 2" xfId="60804" xr:uid="{00000000-0005-0000-0000-00008FB10000}"/>
    <cellStyle name="Remarque 3 5 11 12" xfId="14282" xr:uid="{00000000-0005-0000-0000-000090B10000}"/>
    <cellStyle name="Remarque 3 5 11 13" xfId="38242" xr:uid="{00000000-0005-0000-0000-000091B10000}"/>
    <cellStyle name="Remarque 3 5 11 2" xfId="4491" xr:uid="{00000000-0005-0000-0000-000092B10000}"/>
    <cellStyle name="Remarque 3 5 11 2 2" xfId="28505" xr:uid="{00000000-0005-0000-0000-000093B10000}"/>
    <cellStyle name="Remarque 3 5 11 2 2 2" xfId="52465" xr:uid="{00000000-0005-0000-0000-000094B10000}"/>
    <cellStyle name="Remarque 3 5 11 2 3" xfId="15752" xr:uid="{00000000-0005-0000-0000-000095B10000}"/>
    <cellStyle name="Remarque 3 5 11 2 4" xfId="39712" xr:uid="{00000000-0005-0000-0000-000096B10000}"/>
    <cellStyle name="Remarque 3 5 11 3" xfId="5925" xr:uid="{00000000-0005-0000-0000-000097B10000}"/>
    <cellStyle name="Remarque 3 5 11 3 2" xfId="29939" xr:uid="{00000000-0005-0000-0000-000098B10000}"/>
    <cellStyle name="Remarque 3 5 11 3 2 2" xfId="53899" xr:uid="{00000000-0005-0000-0000-000099B10000}"/>
    <cellStyle name="Remarque 3 5 11 3 3" xfId="17186" xr:uid="{00000000-0005-0000-0000-00009AB10000}"/>
    <cellStyle name="Remarque 3 5 11 3 4" xfId="41146" xr:uid="{00000000-0005-0000-0000-00009BB10000}"/>
    <cellStyle name="Remarque 3 5 11 4" xfId="7319" xr:uid="{00000000-0005-0000-0000-00009CB10000}"/>
    <cellStyle name="Remarque 3 5 11 4 2" xfId="31333" xr:uid="{00000000-0005-0000-0000-00009DB10000}"/>
    <cellStyle name="Remarque 3 5 11 4 2 2" xfId="55293" xr:uid="{00000000-0005-0000-0000-00009EB10000}"/>
    <cellStyle name="Remarque 3 5 11 4 3" xfId="18580" xr:uid="{00000000-0005-0000-0000-00009FB10000}"/>
    <cellStyle name="Remarque 3 5 11 4 4" xfId="42540" xr:uid="{00000000-0005-0000-0000-0000A0B10000}"/>
    <cellStyle name="Remarque 3 5 11 5" xfId="8707" xr:uid="{00000000-0005-0000-0000-0000A1B10000}"/>
    <cellStyle name="Remarque 3 5 11 5 2" xfId="32721" xr:uid="{00000000-0005-0000-0000-0000A2B10000}"/>
    <cellStyle name="Remarque 3 5 11 5 2 2" xfId="56681" xr:uid="{00000000-0005-0000-0000-0000A3B10000}"/>
    <cellStyle name="Remarque 3 5 11 5 3" xfId="19968" xr:uid="{00000000-0005-0000-0000-0000A4B10000}"/>
    <cellStyle name="Remarque 3 5 11 5 4" xfId="43928" xr:uid="{00000000-0005-0000-0000-0000A5B10000}"/>
    <cellStyle name="Remarque 3 5 11 6" xfId="10092" xr:uid="{00000000-0005-0000-0000-0000A6B10000}"/>
    <cellStyle name="Remarque 3 5 11 6 2" xfId="34106" xr:uid="{00000000-0005-0000-0000-0000A7B10000}"/>
    <cellStyle name="Remarque 3 5 11 6 2 2" xfId="58066" xr:uid="{00000000-0005-0000-0000-0000A8B10000}"/>
    <cellStyle name="Remarque 3 5 11 6 3" xfId="21353" xr:uid="{00000000-0005-0000-0000-0000A9B10000}"/>
    <cellStyle name="Remarque 3 5 11 6 4" xfId="45313" xr:uid="{00000000-0005-0000-0000-0000AAB10000}"/>
    <cellStyle name="Remarque 3 5 11 7" xfId="11549" xr:uid="{00000000-0005-0000-0000-0000ABB10000}"/>
    <cellStyle name="Remarque 3 5 11 7 2" xfId="35559" xr:uid="{00000000-0005-0000-0000-0000ACB10000}"/>
    <cellStyle name="Remarque 3 5 11 7 2 2" xfId="59519" xr:uid="{00000000-0005-0000-0000-0000ADB10000}"/>
    <cellStyle name="Remarque 3 5 11 7 3" xfId="22816" xr:uid="{00000000-0005-0000-0000-0000AEB10000}"/>
    <cellStyle name="Remarque 3 5 11 7 4" xfId="46776" xr:uid="{00000000-0005-0000-0000-0000AFB10000}"/>
    <cellStyle name="Remarque 3 5 11 8" xfId="10204" xr:uid="{00000000-0005-0000-0000-0000B0B10000}"/>
    <cellStyle name="Remarque 3 5 11 8 2" xfId="21470" xr:uid="{00000000-0005-0000-0000-0000B1B10000}"/>
    <cellStyle name="Remarque 3 5 11 8 3" xfId="45430" xr:uid="{00000000-0005-0000-0000-0000B2B10000}"/>
    <cellStyle name="Remarque 3 5 11 9" xfId="3021" xr:uid="{00000000-0005-0000-0000-0000B3B10000}"/>
    <cellStyle name="Remarque 3 5 11 9 2" xfId="27035" xr:uid="{00000000-0005-0000-0000-0000B4B10000}"/>
    <cellStyle name="Remarque 3 5 11 9 3" xfId="50995" xr:uid="{00000000-0005-0000-0000-0000B5B10000}"/>
    <cellStyle name="Remarque 3 5 12" xfId="1530" xr:uid="{00000000-0005-0000-0000-0000B6B10000}"/>
    <cellStyle name="Remarque 3 5 12 10" xfId="25562" xr:uid="{00000000-0005-0000-0000-0000B7B10000}"/>
    <cellStyle name="Remarque 3 5 12 10 2" xfId="49522" xr:uid="{00000000-0005-0000-0000-0000B8B10000}"/>
    <cellStyle name="Remarque 3 5 12 11" xfId="35795" xr:uid="{00000000-0005-0000-0000-0000B9B10000}"/>
    <cellStyle name="Remarque 3 5 12 11 2" xfId="59755" xr:uid="{00000000-0005-0000-0000-0000BAB10000}"/>
    <cellStyle name="Remarque 3 5 12 12" xfId="14227" xr:uid="{00000000-0005-0000-0000-0000BBB10000}"/>
    <cellStyle name="Remarque 3 5 12 13" xfId="38187" xr:uid="{00000000-0005-0000-0000-0000BCB10000}"/>
    <cellStyle name="Remarque 3 5 12 2" xfId="4436" xr:uid="{00000000-0005-0000-0000-0000BDB10000}"/>
    <cellStyle name="Remarque 3 5 12 2 2" xfId="28450" xr:uid="{00000000-0005-0000-0000-0000BEB10000}"/>
    <cellStyle name="Remarque 3 5 12 2 2 2" xfId="52410" xr:uid="{00000000-0005-0000-0000-0000BFB10000}"/>
    <cellStyle name="Remarque 3 5 12 2 3" xfId="15697" xr:uid="{00000000-0005-0000-0000-0000C0B10000}"/>
    <cellStyle name="Remarque 3 5 12 2 4" xfId="39657" xr:uid="{00000000-0005-0000-0000-0000C1B10000}"/>
    <cellStyle name="Remarque 3 5 12 3" xfId="5870" xr:uid="{00000000-0005-0000-0000-0000C2B10000}"/>
    <cellStyle name="Remarque 3 5 12 3 2" xfId="29884" xr:uid="{00000000-0005-0000-0000-0000C3B10000}"/>
    <cellStyle name="Remarque 3 5 12 3 2 2" xfId="53844" xr:uid="{00000000-0005-0000-0000-0000C4B10000}"/>
    <cellStyle name="Remarque 3 5 12 3 3" xfId="17131" xr:uid="{00000000-0005-0000-0000-0000C5B10000}"/>
    <cellStyle name="Remarque 3 5 12 3 4" xfId="41091" xr:uid="{00000000-0005-0000-0000-0000C6B10000}"/>
    <cellStyle name="Remarque 3 5 12 4" xfId="7264" xr:uid="{00000000-0005-0000-0000-0000C7B10000}"/>
    <cellStyle name="Remarque 3 5 12 4 2" xfId="31278" xr:uid="{00000000-0005-0000-0000-0000C8B10000}"/>
    <cellStyle name="Remarque 3 5 12 4 2 2" xfId="55238" xr:uid="{00000000-0005-0000-0000-0000C9B10000}"/>
    <cellStyle name="Remarque 3 5 12 4 3" xfId="18525" xr:uid="{00000000-0005-0000-0000-0000CAB10000}"/>
    <cellStyle name="Remarque 3 5 12 4 4" xfId="42485" xr:uid="{00000000-0005-0000-0000-0000CBB10000}"/>
    <cellStyle name="Remarque 3 5 12 5" xfId="8652" xr:uid="{00000000-0005-0000-0000-0000CCB10000}"/>
    <cellStyle name="Remarque 3 5 12 5 2" xfId="32666" xr:uid="{00000000-0005-0000-0000-0000CDB10000}"/>
    <cellStyle name="Remarque 3 5 12 5 2 2" xfId="56626" xr:uid="{00000000-0005-0000-0000-0000CEB10000}"/>
    <cellStyle name="Remarque 3 5 12 5 3" xfId="19913" xr:uid="{00000000-0005-0000-0000-0000CFB10000}"/>
    <cellStyle name="Remarque 3 5 12 5 4" xfId="43873" xr:uid="{00000000-0005-0000-0000-0000D0B10000}"/>
    <cellStyle name="Remarque 3 5 12 6" xfId="10037" xr:uid="{00000000-0005-0000-0000-0000D1B10000}"/>
    <cellStyle name="Remarque 3 5 12 6 2" xfId="34051" xr:uid="{00000000-0005-0000-0000-0000D2B10000}"/>
    <cellStyle name="Remarque 3 5 12 6 2 2" xfId="58011" xr:uid="{00000000-0005-0000-0000-0000D3B10000}"/>
    <cellStyle name="Remarque 3 5 12 6 3" xfId="21298" xr:uid="{00000000-0005-0000-0000-0000D4B10000}"/>
    <cellStyle name="Remarque 3 5 12 6 4" xfId="45258" xr:uid="{00000000-0005-0000-0000-0000D5B10000}"/>
    <cellStyle name="Remarque 3 5 12 7" xfId="11494" xr:uid="{00000000-0005-0000-0000-0000D6B10000}"/>
    <cellStyle name="Remarque 3 5 12 7 2" xfId="35504" xr:uid="{00000000-0005-0000-0000-0000D7B10000}"/>
    <cellStyle name="Remarque 3 5 12 7 2 2" xfId="59464" xr:uid="{00000000-0005-0000-0000-0000D8B10000}"/>
    <cellStyle name="Remarque 3 5 12 7 3" xfId="22761" xr:uid="{00000000-0005-0000-0000-0000D9B10000}"/>
    <cellStyle name="Remarque 3 5 12 7 4" xfId="46721" xr:uid="{00000000-0005-0000-0000-0000DAB10000}"/>
    <cellStyle name="Remarque 3 5 12 8" xfId="12492" xr:uid="{00000000-0005-0000-0000-0000DBB10000}"/>
    <cellStyle name="Remarque 3 5 12 8 2" xfId="23789" xr:uid="{00000000-0005-0000-0000-0000DCB10000}"/>
    <cellStyle name="Remarque 3 5 12 8 3" xfId="47749" xr:uid="{00000000-0005-0000-0000-0000DDB10000}"/>
    <cellStyle name="Remarque 3 5 12 9" xfId="2966" xr:uid="{00000000-0005-0000-0000-0000DEB10000}"/>
    <cellStyle name="Remarque 3 5 12 9 2" xfId="26980" xr:uid="{00000000-0005-0000-0000-0000DFB10000}"/>
    <cellStyle name="Remarque 3 5 12 9 3" xfId="50940" xr:uid="{00000000-0005-0000-0000-0000E0B10000}"/>
    <cellStyle name="Remarque 3 5 13" xfId="1602" xr:uid="{00000000-0005-0000-0000-0000E1B10000}"/>
    <cellStyle name="Remarque 3 5 13 10" xfId="25634" xr:uid="{00000000-0005-0000-0000-0000E2B10000}"/>
    <cellStyle name="Remarque 3 5 13 10 2" xfId="49594" xr:uid="{00000000-0005-0000-0000-0000E3B10000}"/>
    <cellStyle name="Remarque 3 5 13 11" xfId="36861" xr:uid="{00000000-0005-0000-0000-0000E4B10000}"/>
    <cellStyle name="Remarque 3 5 13 11 2" xfId="60821" xr:uid="{00000000-0005-0000-0000-0000E5B10000}"/>
    <cellStyle name="Remarque 3 5 13 12" xfId="14299" xr:uid="{00000000-0005-0000-0000-0000E6B10000}"/>
    <cellStyle name="Remarque 3 5 13 13" xfId="38259" xr:uid="{00000000-0005-0000-0000-0000E7B10000}"/>
    <cellStyle name="Remarque 3 5 13 2" xfId="4508" xr:uid="{00000000-0005-0000-0000-0000E8B10000}"/>
    <cellStyle name="Remarque 3 5 13 2 2" xfId="28522" xr:uid="{00000000-0005-0000-0000-0000E9B10000}"/>
    <cellStyle name="Remarque 3 5 13 2 2 2" xfId="52482" xr:uid="{00000000-0005-0000-0000-0000EAB10000}"/>
    <cellStyle name="Remarque 3 5 13 2 3" xfId="15769" xr:uid="{00000000-0005-0000-0000-0000EBB10000}"/>
    <cellStyle name="Remarque 3 5 13 2 4" xfId="39729" xr:uid="{00000000-0005-0000-0000-0000ECB10000}"/>
    <cellStyle name="Remarque 3 5 13 3" xfId="5942" xr:uid="{00000000-0005-0000-0000-0000EDB10000}"/>
    <cellStyle name="Remarque 3 5 13 3 2" xfId="29956" xr:uid="{00000000-0005-0000-0000-0000EEB10000}"/>
    <cellStyle name="Remarque 3 5 13 3 2 2" xfId="53916" xr:uid="{00000000-0005-0000-0000-0000EFB10000}"/>
    <cellStyle name="Remarque 3 5 13 3 3" xfId="17203" xr:uid="{00000000-0005-0000-0000-0000F0B10000}"/>
    <cellStyle name="Remarque 3 5 13 3 4" xfId="41163" xr:uid="{00000000-0005-0000-0000-0000F1B10000}"/>
    <cellStyle name="Remarque 3 5 13 4" xfId="7336" xr:uid="{00000000-0005-0000-0000-0000F2B10000}"/>
    <cellStyle name="Remarque 3 5 13 4 2" xfId="31350" xr:uid="{00000000-0005-0000-0000-0000F3B10000}"/>
    <cellStyle name="Remarque 3 5 13 4 2 2" xfId="55310" xr:uid="{00000000-0005-0000-0000-0000F4B10000}"/>
    <cellStyle name="Remarque 3 5 13 4 3" xfId="18597" xr:uid="{00000000-0005-0000-0000-0000F5B10000}"/>
    <cellStyle name="Remarque 3 5 13 4 4" xfId="42557" xr:uid="{00000000-0005-0000-0000-0000F6B10000}"/>
    <cellStyle name="Remarque 3 5 13 5" xfId="8724" xr:uid="{00000000-0005-0000-0000-0000F7B10000}"/>
    <cellStyle name="Remarque 3 5 13 5 2" xfId="32738" xr:uid="{00000000-0005-0000-0000-0000F8B10000}"/>
    <cellStyle name="Remarque 3 5 13 5 2 2" xfId="56698" xr:uid="{00000000-0005-0000-0000-0000F9B10000}"/>
    <cellStyle name="Remarque 3 5 13 5 3" xfId="19985" xr:uid="{00000000-0005-0000-0000-0000FAB10000}"/>
    <cellStyle name="Remarque 3 5 13 5 4" xfId="43945" xr:uid="{00000000-0005-0000-0000-0000FBB10000}"/>
    <cellStyle name="Remarque 3 5 13 6" xfId="10109" xr:uid="{00000000-0005-0000-0000-0000FCB10000}"/>
    <cellStyle name="Remarque 3 5 13 6 2" xfId="34123" xr:uid="{00000000-0005-0000-0000-0000FDB10000}"/>
    <cellStyle name="Remarque 3 5 13 6 2 2" xfId="58083" xr:uid="{00000000-0005-0000-0000-0000FEB10000}"/>
    <cellStyle name="Remarque 3 5 13 6 3" xfId="21370" xr:uid="{00000000-0005-0000-0000-0000FFB10000}"/>
    <cellStyle name="Remarque 3 5 13 6 4" xfId="45330" xr:uid="{00000000-0005-0000-0000-000000B20000}"/>
    <cellStyle name="Remarque 3 5 13 7" xfId="11566" xr:uid="{00000000-0005-0000-0000-000001B20000}"/>
    <cellStyle name="Remarque 3 5 13 7 2" xfId="35576" xr:uid="{00000000-0005-0000-0000-000002B20000}"/>
    <cellStyle name="Remarque 3 5 13 7 2 2" xfId="59536" xr:uid="{00000000-0005-0000-0000-000003B20000}"/>
    <cellStyle name="Remarque 3 5 13 7 3" xfId="22833" xr:uid="{00000000-0005-0000-0000-000004B20000}"/>
    <cellStyle name="Remarque 3 5 13 7 4" xfId="46793" xr:uid="{00000000-0005-0000-0000-000005B20000}"/>
    <cellStyle name="Remarque 3 5 13 8" xfId="12908" xr:uid="{00000000-0005-0000-0000-000006B20000}"/>
    <cellStyle name="Remarque 3 5 13 8 2" xfId="24221" xr:uid="{00000000-0005-0000-0000-000007B20000}"/>
    <cellStyle name="Remarque 3 5 13 8 3" xfId="48181" xr:uid="{00000000-0005-0000-0000-000008B20000}"/>
    <cellStyle name="Remarque 3 5 13 9" xfId="3038" xr:uid="{00000000-0005-0000-0000-000009B20000}"/>
    <cellStyle name="Remarque 3 5 13 9 2" xfId="27052" xr:uid="{00000000-0005-0000-0000-00000AB20000}"/>
    <cellStyle name="Remarque 3 5 13 9 3" xfId="51012" xr:uid="{00000000-0005-0000-0000-00000BB20000}"/>
    <cellStyle name="Remarque 3 5 14" xfId="3102" xr:uid="{00000000-0005-0000-0000-00000CB20000}"/>
    <cellStyle name="Remarque 3 5 14 2" xfId="27116" xr:uid="{00000000-0005-0000-0000-00000DB20000}"/>
    <cellStyle name="Remarque 3 5 14 2 2" xfId="51076" xr:uid="{00000000-0005-0000-0000-00000EB20000}"/>
    <cellStyle name="Remarque 3 5 14 3" xfId="14363" xr:uid="{00000000-0005-0000-0000-00000FB20000}"/>
    <cellStyle name="Remarque 3 5 14 4" xfId="38323" xr:uid="{00000000-0005-0000-0000-000010B20000}"/>
    <cellStyle name="Remarque 3 5 15" xfId="4541" xr:uid="{00000000-0005-0000-0000-000011B20000}"/>
    <cellStyle name="Remarque 3 5 15 2" xfId="28555" xr:uid="{00000000-0005-0000-0000-000012B20000}"/>
    <cellStyle name="Remarque 3 5 15 2 2" xfId="52515" xr:uid="{00000000-0005-0000-0000-000013B20000}"/>
    <cellStyle name="Remarque 3 5 15 3" xfId="15802" xr:uid="{00000000-0005-0000-0000-000014B20000}"/>
    <cellStyle name="Remarque 3 5 15 4" xfId="39762" xr:uid="{00000000-0005-0000-0000-000015B20000}"/>
    <cellStyle name="Remarque 3 5 16" xfId="3042" xr:uid="{00000000-0005-0000-0000-000016B20000}"/>
    <cellStyle name="Remarque 3 5 16 2" xfId="27056" xr:uid="{00000000-0005-0000-0000-000017B20000}"/>
    <cellStyle name="Remarque 3 5 16 2 2" xfId="51016" xr:uid="{00000000-0005-0000-0000-000018B20000}"/>
    <cellStyle name="Remarque 3 5 16 3" xfId="14303" xr:uid="{00000000-0005-0000-0000-000019B20000}"/>
    <cellStyle name="Remarque 3 5 16 4" xfId="38263" xr:uid="{00000000-0005-0000-0000-00001AB20000}"/>
    <cellStyle name="Remarque 3 5 17" xfId="4519" xr:uid="{00000000-0005-0000-0000-00001BB20000}"/>
    <cellStyle name="Remarque 3 5 17 2" xfId="28533" xr:uid="{00000000-0005-0000-0000-00001CB20000}"/>
    <cellStyle name="Remarque 3 5 17 2 2" xfId="52493" xr:uid="{00000000-0005-0000-0000-00001DB20000}"/>
    <cellStyle name="Remarque 3 5 17 3" xfId="15780" xr:uid="{00000000-0005-0000-0000-00001EB20000}"/>
    <cellStyle name="Remarque 3 5 17 4" xfId="39740" xr:uid="{00000000-0005-0000-0000-00001FB20000}"/>
    <cellStyle name="Remarque 3 5 18" xfId="4524" xr:uid="{00000000-0005-0000-0000-000020B20000}"/>
    <cellStyle name="Remarque 3 5 18 2" xfId="28538" xr:uid="{00000000-0005-0000-0000-000021B20000}"/>
    <cellStyle name="Remarque 3 5 18 2 2" xfId="52498" xr:uid="{00000000-0005-0000-0000-000022B20000}"/>
    <cellStyle name="Remarque 3 5 18 3" xfId="15785" xr:uid="{00000000-0005-0000-0000-000023B20000}"/>
    <cellStyle name="Remarque 3 5 18 4" xfId="39745" xr:uid="{00000000-0005-0000-0000-000024B20000}"/>
    <cellStyle name="Remarque 3 5 19" xfId="10162" xr:uid="{00000000-0005-0000-0000-000025B20000}"/>
    <cellStyle name="Remarque 3 5 19 2" xfId="34174" xr:uid="{00000000-0005-0000-0000-000026B20000}"/>
    <cellStyle name="Remarque 3 5 19 2 2" xfId="58134" xr:uid="{00000000-0005-0000-0000-000027B20000}"/>
    <cellStyle name="Remarque 3 5 19 3" xfId="21427" xr:uid="{00000000-0005-0000-0000-000028B20000}"/>
    <cellStyle name="Remarque 3 5 19 4" xfId="45387" xr:uid="{00000000-0005-0000-0000-000029B20000}"/>
    <cellStyle name="Remarque 3 5 2" xfId="116" xr:uid="{00000000-0005-0000-0000-00002AB20000}"/>
    <cellStyle name="Remarque 3 5 2 10" xfId="3155" xr:uid="{00000000-0005-0000-0000-00002BB20000}"/>
    <cellStyle name="Remarque 3 5 2 10 2" xfId="27169" xr:uid="{00000000-0005-0000-0000-00002CB20000}"/>
    <cellStyle name="Remarque 3 5 2 10 2 2" xfId="51129" xr:uid="{00000000-0005-0000-0000-00002DB20000}"/>
    <cellStyle name="Remarque 3 5 2 10 3" xfId="14416" xr:uid="{00000000-0005-0000-0000-00002EB20000}"/>
    <cellStyle name="Remarque 3 5 2 10 4" xfId="38376" xr:uid="{00000000-0005-0000-0000-00002FB20000}"/>
    <cellStyle name="Remarque 3 5 2 11" xfId="4589" xr:uid="{00000000-0005-0000-0000-000030B20000}"/>
    <cellStyle name="Remarque 3 5 2 11 2" xfId="28603" xr:uid="{00000000-0005-0000-0000-000031B20000}"/>
    <cellStyle name="Remarque 3 5 2 11 2 2" xfId="52563" xr:uid="{00000000-0005-0000-0000-000032B20000}"/>
    <cellStyle name="Remarque 3 5 2 11 3" xfId="15850" xr:uid="{00000000-0005-0000-0000-000033B20000}"/>
    <cellStyle name="Remarque 3 5 2 11 4" xfId="39810" xr:uid="{00000000-0005-0000-0000-000034B20000}"/>
    <cellStyle name="Remarque 3 5 2 12" xfId="5983" xr:uid="{00000000-0005-0000-0000-000035B20000}"/>
    <cellStyle name="Remarque 3 5 2 12 2" xfId="29997" xr:uid="{00000000-0005-0000-0000-000036B20000}"/>
    <cellStyle name="Remarque 3 5 2 12 2 2" xfId="53957" xr:uid="{00000000-0005-0000-0000-000037B20000}"/>
    <cellStyle name="Remarque 3 5 2 12 3" xfId="17244" xr:uid="{00000000-0005-0000-0000-000038B20000}"/>
    <cellStyle name="Remarque 3 5 2 12 4" xfId="41204" xr:uid="{00000000-0005-0000-0000-000039B20000}"/>
    <cellStyle name="Remarque 3 5 2 13" xfId="7371" xr:uid="{00000000-0005-0000-0000-00003AB20000}"/>
    <cellStyle name="Remarque 3 5 2 13 2" xfId="31385" xr:uid="{00000000-0005-0000-0000-00003BB20000}"/>
    <cellStyle name="Remarque 3 5 2 13 2 2" xfId="55345" xr:uid="{00000000-0005-0000-0000-00003CB20000}"/>
    <cellStyle name="Remarque 3 5 2 13 3" xfId="18632" xr:uid="{00000000-0005-0000-0000-00003DB20000}"/>
    <cellStyle name="Remarque 3 5 2 13 4" xfId="42592" xr:uid="{00000000-0005-0000-0000-00003EB20000}"/>
    <cellStyle name="Remarque 3 5 2 14" xfId="8756" xr:uid="{00000000-0005-0000-0000-00003FB20000}"/>
    <cellStyle name="Remarque 3 5 2 14 2" xfId="32770" xr:uid="{00000000-0005-0000-0000-000040B20000}"/>
    <cellStyle name="Remarque 3 5 2 14 2 2" xfId="56730" xr:uid="{00000000-0005-0000-0000-000041B20000}"/>
    <cellStyle name="Remarque 3 5 2 14 3" xfId="20017" xr:uid="{00000000-0005-0000-0000-000042B20000}"/>
    <cellStyle name="Remarque 3 5 2 14 4" xfId="43977" xr:uid="{00000000-0005-0000-0000-000043B20000}"/>
    <cellStyle name="Remarque 3 5 2 15" xfId="10213" xr:uid="{00000000-0005-0000-0000-000044B20000}"/>
    <cellStyle name="Remarque 3 5 2 15 2" xfId="34223" xr:uid="{00000000-0005-0000-0000-000045B20000}"/>
    <cellStyle name="Remarque 3 5 2 15 2 2" xfId="58183" xr:uid="{00000000-0005-0000-0000-000046B20000}"/>
    <cellStyle name="Remarque 3 5 2 15 3" xfId="21480" xr:uid="{00000000-0005-0000-0000-000047B20000}"/>
    <cellStyle name="Remarque 3 5 2 15 4" xfId="45440" xr:uid="{00000000-0005-0000-0000-000048B20000}"/>
    <cellStyle name="Remarque 3 5 2 16" xfId="12892" xr:uid="{00000000-0005-0000-0000-000049B20000}"/>
    <cellStyle name="Remarque 3 5 2 16 2" xfId="24205" xr:uid="{00000000-0005-0000-0000-00004AB20000}"/>
    <cellStyle name="Remarque 3 5 2 16 3" xfId="48165" xr:uid="{00000000-0005-0000-0000-00004BB20000}"/>
    <cellStyle name="Remarque 3 5 2 17" xfId="1685" xr:uid="{00000000-0005-0000-0000-00004CB20000}"/>
    <cellStyle name="Remarque 3 5 2 17 2" xfId="25699" xr:uid="{00000000-0005-0000-0000-00004DB20000}"/>
    <cellStyle name="Remarque 3 5 2 17 3" xfId="49659" xr:uid="{00000000-0005-0000-0000-00004EB20000}"/>
    <cellStyle name="Remarque 3 5 2 18" xfId="24281" xr:uid="{00000000-0005-0000-0000-00004FB20000}"/>
    <cellStyle name="Remarque 3 5 2 18 2" xfId="48241" xr:uid="{00000000-0005-0000-0000-000050B20000}"/>
    <cellStyle name="Remarque 3 5 2 19" xfId="27058" xr:uid="{00000000-0005-0000-0000-000051B20000}"/>
    <cellStyle name="Remarque 3 5 2 19 2" xfId="51018" xr:uid="{00000000-0005-0000-0000-000052B20000}"/>
    <cellStyle name="Remarque 3 5 2 2" xfId="424" xr:uid="{00000000-0005-0000-0000-000053B20000}"/>
    <cellStyle name="Remarque 3 5 2 2 10" xfId="6158" xr:uid="{00000000-0005-0000-0000-000054B20000}"/>
    <cellStyle name="Remarque 3 5 2 2 10 2" xfId="30172" xr:uid="{00000000-0005-0000-0000-000055B20000}"/>
    <cellStyle name="Remarque 3 5 2 2 10 2 2" xfId="54132" xr:uid="{00000000-0005-0000-0000-000056B20000}"/>
    <cellStyle name="Remarque 3 5 2 2 10 3" xfId="17419" xr:uid="{00000000-0005-0000-0000-000057B20000}"/>
    <cellStyle name="Remarque 3 5 2 2 10 4" xfId="41379" xr:uid="{00000000-0005-0000-0000-000058B20000}"/>
    <cellStyle name="Remarque 3 5 2 2 11" xfId="7546" xr:uid="{00000000-0005-0000-0000-000059B20000}"/>
    <cellStyle name="Remarque 3 5 2 2 11 2" xfId="31560" xr:uid="{00000000-0005-0000-0000-00005AB20000}"/>
    <cellStyle name="Remarque 3 5 2 2 11 2 2" xfId="55520" xr:uid="{00000000-0005-0000-0000-00005BB20000}"/>
    <cellStyle name="Remarque 3 5 2 2 11 3" xfId="18807" xr:uid="{00000000-0005-0000-0000-00005CB20000}"/>
    <cellStyle name="Remarque 3 5 2 2 11 4" xfId="42767" xr:uid="{00000000-0005-0000-0000-00005DB20000}"/>
    <cellStyle name="Remarque 3 5 2 2 12" xfId="8931" xr:uid="{00000000-0005-0000-0000-00005EB20000}"/>
    <cellStyle name="Remarque 3 5 2 2 12 2" xfId="32945" xr:uid="{00000000-0005-0000-0000-00005FB20000}"/>
    <cellStyle name="Remarque 3 5 2 2 12 2 2" xfId="56905" xr:uid="{00000000-0005-0000-0000-000060B20000}"/>
    <cellStyle name="Remarque 3 5 2 2 12 3" xfId="20192" xr:uid="{00000000-0005-0000-0000-000061B20000}"/>
    <cellStyle name="Remarque 3 5 2 2 12 4" xfId="44152" xr:uid="{00000000-0005-0000-0000-000062B20000}"/>
    <cellStyle name="Remarque 3 5 2 2 13" xfId="10388" xr:uid="{00000000-0005-0000-0000-000063B20000}"/>
    <cellStyle name="Remarque 3 5 2 2 13 2" xfId="34398" xr:uid="{00000000-0005-0000-0000-000064B20000}"/>
    <cellStyle name="Remarque 3 5 2 2 13 2 2" xfId="58358" xr:uid="{00000000-0005-0000-0000-000065B20000}"/>
    <cellStyle name="Remarque 3 5 2 2 13 3" xfId="21655" xr:uid="{00000000-0005-0000-0000-000066B20000}"/>
    <cellStyle name="Remarque 3 5 2 2 13 4" xfId="45615" xr:uid="{00000000-0005-0000-0000-000067B20000}"/>
    <cellStyle name="Remarque 3 5 2 2 14" xfId="11922" xr:uid="{00000000-0005-0000-0000-000068B20000}"/>
    <cellStyle name="Remarque 3 5 2 2 14 2" xfId="23200" xr:uid="{00000000-0005-0000-0000-000069B20000}"/>
    <cellStyle name="Remarque 3 5 2 2 14 3" xfId="47160" xr:uid="{00000000-0005-0000-0000-00006AB20000}"/>
    <cellStyle name="Remarque 3 5 2 2 15" xfId="1860" xr:uid="{00000000-0005-0000-0000-00006BB20000}"/>
    <cellStyle name="Remarque 3 5 2 2 15 2" xfId="25874" xr:uid="{00000000-0005-0000-0000-00006CB20000}"/>
    <cellStyle name="Remarque 3 5 2 2 15 3" xfId="49834" xr:uid="{00000000-0005-0000-0000-00006DB20000}"/>
    <cellStyle name="Remarque 3 5 2 2 16" xfId="24456" xr:uid="{00000000-0005-0000-0000-00006EB20000}"/>
    <cellStyle name="Remarque 3 5 2 2 16 2" xfId="48416" xr:uid="{00000000-0005-0000-0000-00006FB20000}"/>
    <cellStyle name="Remarque 3 5 2 2 17" xfId="35803" xr:uid="{00000000-0005-0000-0000-000070B20000}"/>
    <cellStyle name="Remarque 3 5 2 2 17 2" xfId="59763" xr:uid="{00000000-0005-0000-0000-000071B20000}"/>
    <cellStyle name="Remarque 3 5 2 2 18" xfId="13121" xr:uid="{00000000-0005-0000-0000-000072B20000}"/>
    <cellStyle name="Remarque 3 5 2 2 19" xfId="37081" xr:uid="{00000000-0005-0000-0000-000073B20000}"/>
    <cellStyle name="Remarque 3 5 2 2 2" xfId="560" xr:uid="{00000000-0005-0000-0000-000074B20000}"/>
    <cellStyle name="Remarque 3 5 2 2 2 10" xfId="24592" xr:uid="{00000000-0005-0000-0000-000075B20000}"/>
    <cellStyle name="Remarque 3 5 2 2 2 10 2" xfId="48552" xr:uid="{00000000-0005-0000-0000-000076B20000}"/>
    <cellStyle name="Remarque 3 5 2 2 2 11" xfId="35639" xr:uid="{00000000-0005-0000-0000-000077B20000}"/>
    <cellStyle name="Remarque 3 5 2 2 2 11 2" xfId="59599" xr:uid="{00000000-0005-0000-0000-000078B20000}"/>
    <cellStyle name="Remarque 3 5 2 2 2 12" xfId="13257" xr:uid="{00000000-0005-0000-0000-000079B20000}"/>
    <cellStyle name="Remarque 3 5 2 2 2 13" xfId="37217" xr:uid="{00000000-0005-0000-0000-00007AB20000}"/>
    <cellStyle name="Remarque 3 5 2 2 2 2" xfId="3466" xr:uid="{00000000-0005-0000-0000-00007BB20000}"/>
    <cellStyle name="Remarque 3 5 2 2 2 2 2" xfId="27480" xr:uid="{00000000-0005-0000-0000-00007CB20000}"/>
    <cellStyle name="Remarque 3 5 2 2 2 2 2 2" xfId="51440" xr:uid="{00000000-0005-0000-0000-00007DB20000}"/>
    <cellStyle name="Remarque 3 5 2 2 2 2 3" xfId="14727" xr:uid="{00000000-0005-0000-0000-00007EB20000}"/>
    <cellStyle name="Remarque 3 5 2 2 2 2 4" xfId="38687" xr:uid="{00000000-0005-0000-0000-00007FB20000}"/>
    <cellStyle name="Remarque 3 5 2 2 2 3" xfId="4900" xr:uid="{00000000-0005-0000-0000-000080B20000}"/>
    <cellStyle name="Remarque 3 5 2 2 2 3 2" xfId="28914" xr:uid="{00000000-0005-0000-0000-000081B20000}"/>
    <cellStyle name="Remarque 3 5 2 2 2 3 2 2" xfId="52874" xr:uid="{00000000-0005-0000-0000-000082B20000}"/>
    <cellStyle name="Remarque 3 5 2 2 2 3 3" xfId="16161" xr:uid="{00000000-0005-0000-0000-000083B20000}"/>
    <cellStyle name="Remarque 3 5 2 2 2 3 4" xfId="40121" xr:uid="{00000000-0005-0000-0000-000084B20000}"/>
    <cellStyle name="Remarque 3 5 2 2 2 4" xfId="6294" xr:uid="{00000000-0005-0000-0000-000085B20000}"/>
    <cellStyle name="Remarque 3 5 2 2 2 4 2" xfId="30308" xr:uid="{00000000-0005-0000-0000-000086B20000}"/>
    <cellStyle name="Remarque 3 5 2 2 2 4 2 2" xfId="54268" xr:uid="{00000000-0005-0000-0000-000087B20000}"/>
    <cellStyle name="Remarque 3 5 2 2 2 4 3" xfId="17555" xr:uid="{00000000-0005-0000-0000-000088B20000}"/>
    <cellStyle name="Remarque 3 5 2 2 2 4 4" xfId="41515" xr:uid="{00000000-0005-0000-0000-000089B20000}"/>
    <cellStyle name="Remarque 3 5 2 2 2 5" xfId="7682" xr:uid="{00000000-0005-0000-0000-00008AB20000}"/>
    <cellStyle name="Remarque 3 5 2 2 2 5 2" xfId="31696" xr:uid="{00000000-0005-0000-0000-00008BB20000}"/>
    <cellStyle name="Remarque 3 5 2 2 2 5 2 2" xfId="55656" xr:uid="{00000000-0005-0000-0000-00008CB20000}"/>
    <cellStyle name="Remarque 3 5 2 2 2 5 3" xfId="18943" xr:uid="{00000000-0005-0000-0000-00008DB20000}"/>
    <cellStyle name="Remarque 3 5 2 2 2 5 4" xfId="42903" xr:uid="{00000000-0005-0000-0000-00008EB20000}"/>
    <cellStyle name="Remarque 3 5 2 2 2 6" xfId="9067" xr:uid="{00000000-0005-0000-0000-00008FB20000}"/>
    <cellStyle name="Remarque 3 5 2 2 2 6 2" xfId="33081" xr:uid="{00000000-0005-0000-0000-000090B20000}"/>
    <cellStyle name="Remarque 3 5 2 2 2 6 2 2" xfId="57041" xr:uid="{00000000-0005-0000-0000-000091B20000}"/>
    <cellStyle name="Remarque 3 5 2 2 2 6 3" xfId="20328" xr:uid="{00000000-0005-0000-0000-000092B20000}"/>
    <cellStyle name="Remarque 3 5 2 2 2 6 4" xfId="44288" xr:uid="{00000000-0005-0000-0000-000093B20000}"/>
    <cellStyle name="Remarque 3 5 2 2 2 7" xfId="10524" xr:uid="{00000000-0005-0000-0000-000094B20000}"/>
    <cellStyle name="Remarque 3 5 2 2 2 7 2" xfId="34534" xr:uid="{00000000-0005-0000-0000-000095B20000}"/>
    <cellStyle name="Remarque 3 5 2 2 2 7 2 2" xfId="58494" xr:uid="{00000000-0005-0000-0000-000096B20000}"/>
    <cellStyle name="Remarque 3 5 2 2 2 7 3" xfId="21791" xr:uid="{00000000-0005-0000-0000-000097B20000}"/>
    <cellStyle name="Remarque 3 5 2 2 2 7 4" xfId="45751" xr:uid="{00000000-0005-0000-0000-000098B20000}"/>
    <cellStyle name="Remarque 3 5 2 2 2 8" xfId="12477" xr:uid="{00000000-0005-0000-0000-000099B20000}"/>
    <cellStyle name="Remarque 3 5 2 2 2 8 2" xfId="23773" xr:uid="{00000000-0005-0000-0000-00009AB20000}"/>
    <cellStyle name="Remarque 3 5 2 2 2 8 3" xfId="47733" xr:uid="{00000000-0005-0000-0000-00009BB20000}"/>
    <cellStyle name="Remarque 3 5 2 2 2 9" xfId="1996" xr:uid="{00000000-0005-0000-0000-00009CB20000}"/>
    <cellStyle name="Remarque 3 5 2 2 2 9 2" xfId="26010" xr:uid="{00000000-0005-0000-0000-00009DB20000}"/>
    <cellStyle name="Remarque 3 5 2 2 2 9 3" xfId="49970" xr:uid="{00000000-0005-0000-0000-00009EB20000}"/>
    <cellStyle name="Remarque 3 5 2 2 3" xfId="752" xr:uid="{00000000-0005-0000-0000-00009FB20000}"/>
    <cellStyle name="Remarque 3 5 2 2 3 10" xfId="24784" xr:uid="{00000000-0005-0000-0000-0000A0B20000}"/>
    <cellStyle name="Remarque 3 5 2 2 3 10 2" xfId="48744" xr:uid="{00000000-0005-0000-0000-0000A1B20000}"/>
    <cellStyle name="Remarque 3 5 2 2 3 11" xfId="35838" xr:uid="{00000000-0005-0000-0000-0000A2B20000}"/>
    <cellStyle name="Remarque 3 5 2 2 3 11 2" xfId="59798" xr:uid="{00000000-0005-0000-0000-0000A3B20000}"/>
    <cellStyle name="Remarque 3 5 2 2 3 12" xfId="13449" xr:uid="{00000000-0005-0000-0000-0000A4B20000}"/>
    <cellStyle name="Remarque 3 5 2 2 3 13" xfId="37409" xr:uid="{00000000-0005-0000-0000-0000A5B20000}"/>
    <cellStyle name="Remarque 3 5 2 2 3 2" xfId="3658" xr:uid="{00000000-0005-0000-0000-0000A6B20000}"/>
    <cellStyle name="Remarque 3 5 2 2 3 2 2" xfId="27672" xr:uid="{00000000-0005-0000-0000-0000A7B20000}"/>
    <cellStyle name="Remarque 3 5 2 2 3 2 2 2" xfId="51632" xr:uid="{00000000-0005-0000-0000-0000A8B20000}"/>
    <cellStyle name="Remarque 3 5 2 2 3 2 3" xfId="14919" xr:uid="{00000000-0005-0000-0000-0000A9B20000}"/>
    <cellStyle name="Remarque 3 5 2 2 3 2 4" xfId="38879" xr:uid="{00000000-0005-0000-0000-0000AAB20000}"/>
    <cellStyle name="Remarque 3 5 2 2 3 3" xfId="5092" xr:uid="{00000000-0005-0000-0000-0000ABB20000}"/>
    <cellStyle name="Remarque 3 5 2 2 3 3 2" xfId="29106" xr:uid="{00000000-0005-0000-0000-0000ACB20000}"/>
    <cellStyle name="Remarque 3 5 2 2 3 3 2 2" xfId="53066" xr:uid="{00000000-0005-0000-0000-0000ADB20000}"/>
    <cellStyle name="Remarque 3 5 2 2 3 3 3" xfId="16353" xr:uid="{00000000-0005-0000-0000-0000AEB20000}"/>
    <cellStyle name="Remarque 3 5 2 2 3 3 4" xfId="40313" xr:uid="{00000000-0005-0000-0000-0000AFB20000}"/>
    <cellStyle name="Remarque 3 5 2 2 3 4" xfId="6486" xr:uid="{00000000-0005-0000-0000-0000B0B20000}"/>
    <cellStyle name="Remarque 3 5 2 2 3 4 2" xfId="30500" xr:uid="{00000000-0005-0000-0000-0000B1B20000}"/>
    <cellStyle name="Remarque 3 5 2 2 3 4 2 2" xfId="54460" xr:uid="{00000000-0005-0000-0000-0000B2B20000}"/>
    <cellStyle name="Remarque 3 5 2 2 3 4 3" xfId="17747" xr:uid="{00000000-0005-0000-0000-0000B3B20000}"/>
    <cellStyle name="Remarque 3 5 2 2 3 4 4" xfId="41707" xr:uid="{00000000-0005-0000-0000-0000B4B20000}"/>
    <cellStyle name="Remarque 3 5 2 2 3 5" xfId="7874" xr:uid="{00000000-0005-0000-0000-0000B5B20000}"/>
    <cellStyle name="Remarque 3 5 2 2 3 5 2" xfId="31888" xr:uid="{00000000-0005-0000-0000-0000B6B20000}"/>
    <cellStyle name="Remarque 3 5 2 2 3 5 2 2" xfId="55848" xr:uid="{00000000-0005-0000-0000-0000B7B20000}"/>
    <cellStyle name="Remarque 3 5 2 2 3 5 3" xfId="19135" xr:uid="{00000000-0005-0000-0000-0000B8B20000}"/>
    <cellStyle name="Remarque 3 5 2 2 3 5 4" xfId="43095" xr:uid="{00000000-0005-0000-0000-0000B9B20000}"/>
    <cellStyle name="Remarque 3 5 2 2 3 6" xfId="9259" xr:uid="{00000000-0005-0000-0000-0000BAB20000}"/>
    <cellStyle name="Remarque 3 5 2 2 3 6 2" xfId="33273" xr:uid="{00000000-0005-0000-0000-0000BBB20000}"/>
    <cellStyle name="Remarque 3 5 2 2 3 6 2 2" xfId="57233" xr:uid="{00000000-0005-0000-0000-0000BCB20000}"/>
    <cellStyle name="Remarque 3 5 2 2 3 6 3" xfId="20520" xr:uid="{00000000-0005-0000-0000-0000BDB20000}"/>
    <cellStyle name="Remarque 3 5 2 2 3 6 4" xfId="44480" xr:uid="{00000000-0005-0000-0000-0000BEB20000}"/>
    <cellStyle name="Remarque 3 5 2 2 3 7" xfId="10716" xr:uid="{00000000-0005-0000-0000-0000BFB20000}"/>
    <cellStyle name="Remarque 3 5 2 2 3 7 2" xfId="34726" xr:uid="{00000000-0005-0000-0000-0000C0B20000}"/>
    <cellStyle name="Remarque 3 5 2 2 3 7 2 2" xfId="58686" xr:uid="{00000000-0005-0000-0000-0000C1B20000}"/>
    <cellStyle name="Remarque 3 5 2 2 3 7 3" xfId="21983" xr:uid="{00000000-0005-0000-0000-0000C2B20000}"/>
    <cellStyle name="Remarque 3 5 2 2 3 7 4" xfId="45943" xr:uid="{00000000-0005-0000-0000-0000C3B20000}"/>
    <cellStyle name="Remarque 3 5 2 2 3 8" xfId="11760" xr:uid="{00000000-0005-0000-0000-0000C4B20000}"/>
    <cellStyle name="Remarque 3 5 2 2 3 8 2" xfId="23032" xr:uid="{00000000-0005-0000-0000-0000C5B20000}"/>
    <cellStyle name="Remarque 3 5 2 2 3 8 3" xfId="46992" xr:uid="{00000000-0005-0000-0000-0000C6B20000}"/>
    <cellStyle name="Remarque 3 5 2 2 3 9" xfId="2188" xr:uid="{00000000-0005-0000-0000-0000C7B20000}"/>
    <cellStyle name="Remarque 3 5 2 2 3 9 2" xfId="26202" xr:uid="{00000000-0005-0000-0000-0000C8B20000}"/>
    <cellStyle name="Remarque 3 5 2 2 3 9 3" xfId="50162" xr:uid="{00000000-0005-0000-0000-0000C9B20000}"/>
    <cellStyle name="Remarque 3 5 2 2 4" xfId="946" xr:uid="{00000000-0005-0000-0000-0000CAB20000}"/>
    <cellStyle name="Remarque 3 5 2 2 4 10" xfId="24978" xr:uid="{00000000-0005-0000-0000-0000CBB20000}"/>
    <cellStyle name="Remarque 3 5 2 2 4 10 2" xfId="48938" xr:uid="{00000000-0005-0000-0000-0000CCB20000}"/>
    <cellStyle name="Remarque 3 5 2 2 4 11" xfId="36666" xr:uid="{00000000-0005-0000-0000-0000CDB20000}"/>
    <cellStyle name="Remarque 3 5 2 2 4 11 2" xfId="60626" xr:uid="{00000000-0005-0000-0000-0000CEB20000}"/>
    <cellStyle name="Remarque 3 5 2 2 4 12" xfId="13643" xr:uid="{00000000-0005-0000-0000-0000CFB20000}"/>
    <cellStyle name="Remarque 3 5 2 2 4 13" xfId="37603" xr:uid="{00000000-0005-0000-0000-0000D0B20000}"/>
    <cellStyle name="Remarque 3 5 2 2 4 2" xfId="3852" xr:uid="{00000000-0005-0000-0000-0000D1B20000}"/>
    <cellStyle name="Remarque 3 5 2 2 4 2 2" xfId="27866" xr:uid="{00000000-0005-0000-0000-0000D2B20000}"/>
    <cellStyle name="Remarque 3 5 2 2 4 2 2 2" xfId="51826" xr:uid="{00000000-0005-0000-0000-0000D3B20000}"/>
    <cellStyle name="Remarque 3 5 2 2 4 2 3" xfId="15113" xr:uid="{00000000-0005-0000-0000-0000D4B20000}"/>
    <cellStyle name="Remarque 3 5 2 2 4 2 4" xfId="39073" xr:uid="{00000000-0005-0000-0000-0000D5B20000}"/>
    <cellStyle name="Remarque 3 5 2 2 4 3" xfId="5286" xr:uid="{00000000-0005-0000-0000-0000D6B20000}"/>
    <cellStyle name="Remarque 3 5 2 2 4 3 2" xfId="29300" xr:uid="{00000000-0005-0000-0000-0000D7B20000}"/>
    <cellStyle name="Remarque 3 5 2 2 4 3 2 2" xfId="53260" xr:uid="{00000000-0005-0000-0000-0000D8B20000}"/>
    <cellStyle name="Remarque 3 5 2 2 4 3 3" xfId="16547" xr:uid="{00000000-0005-0000-0000-0000D9B20000}"/>
    <cellStyle name="Remarque 3 5 2 2 4 3 4" xfId="40507" xr:uid="{00000000-0005-0000-0000-0000DAB20000}"/>
    <cellStyle name="Remarque 3 5 2 2 4 4" xfId="6680" xr:uid="{00000000-0005-0000-0000-0000DBB20000}"/>
    <cellStyle name="Remarque 3 5 2 2 4 4 2" xfId="30694" xr:uid="{00000000-0005-0000-0000-0000DCB20000}"/>
    <cellStyle name="Remarque 3 5 2 2 4 4 2 2" xfId="54654" xr:uid="{00000000-0005-0000-0000-0000DDB20000}"/>
    <cellStyle name="Remarque 3 5 2 2 4 4 3" xfId="17941" xr:uid="{00000000-0005-0000-0000-0000DEB20000}"/>
    <cellStyle name="Remarque 3 5 2 2 4 4 4" xfId="41901" xr:uid="{00000000-0005-0000-0000-0000DFB20000}"/>
    <cellStyle name="Remarque 3 5 2 2 4 5" xfId="8068" xr:uid="{00000000-0005-0000-0000-0000E0B20000}"/>
    <cellStyle name="Remarque 3 5 2 2 4 5 2" xfId="32082" xr:uid="{00000000-0005-0000-0000-0000E1B20000}"/>
    <cellStyle name="Remarque 3 5 2 2 4 5 2 2" xfId="56042" xr:uid="{00000000-0005-0000-0000-0000E2B20000}"/>
    <cellStyle name="Remarque 3 5 2 2 4 5 3" xfId="19329" xr:uid="{00000000-0005-0000-0000-0000E3B20000}"/>
    <cellStyle name="Remarque 3 5 2 2 4 5 4" xfId="43289" xr:uid="{00000000-0005-0000-0000-0000E4B20000}"/>
    <cellStyle name="Remarque 3 5 2 2 4 6" xfId="9453" xr:uid="{00000000-0005-0000-0000-0000E5B20000}"/>
    <cellStyle name="Remarque 3 5 2 2 4 6 2" xfId="33467" xr:uid="{00000000-0005-0000-0000-0000E6B20000}"/>
    <cellStyle name="Remarque 3 5 2 2 4 6 2 2" xfId="57427" xr:uid="{00000000-0005-0000-0000-0000E7B20000}"/>
    <cellStyle name="Remarque 3 5 2 2 4 6 3" xfId="20714" xr:uid="{00000000-0005-0000-0000-0000E8B20000}"/>
    <cellStyle name="Remarque 3 5 2 2 4 6 4" xfId="44674" xr:uid="{00000000-0005-0000-0000-0000E9B20000}"/>
    <cellStyle name="Remarque 3 5 2 2 4 7" xfId="10910" xr:uid="{00000000-0005-0000-0000-0000EAB20000}"/>
    <cellStyle name="Remarque 3 5 2 2 4 7 2" xfId="34920" xr:uid="{00000000-0005-0000-0000-0000EBB20000}"/>
    <cellStyle name="Remarque 3 5 2 2 4 7 2 2" xfId="58880" xr:uid="{00000000-0005-0000-0000-0000ECB20000}"/>
    <cellStyle name="Remarque 3 5 2 2 4 7 3" xfId="22177" xr:uid="{00000000-0005-0000-0000-0000EDB20000}"/>
    <cellStyle name="Remarque 3 5 2 2 4 7 4" xfId="46137" xr:uid="{00000000-0005-0000-0000-0000EEB20000}"/>
    <cellStyle name="Remarque 3 5 2 2 4 8" xfId="12575" xr:uid="{00000000-0005-0000-0000-0000EFB20000}"/>
    <cellStyle name="Remarque 3 5 2 2 4 8 2" xfId="23875" xr:uid="{00000000-0005-0000-0000-0000F0B20000}"/>
    <cellStyle name="Remarque 3 5 2 2 4 8 3" xfId="47835" xr:uid="{00000000-0005-0000-0000-0000F1B20000}"/>
    <cellStyle name="Remarque 3 5 2 2 4 9" xfId="2382" xr:uid="{00000000-0005-0000-0000-0000F2B20000}"/>
    <cellStyle name="Remarque 3 5 2 2 4 9 2" xfId="26396" xr:uid="{00000000-0005-0000-0000-0000F3B20000}"/>
    <cellStyle name="Remarque 3 5 2 2 4 9 3" xfId="50356" xr:uid="{00000000-0005-0000-0000-0000F4B20000}"/>
    <cellStyle name="Remarque 3 5 2 2 5" xfId="1139" xr:uid="{00000000-0005-0000-0000-0000F5B20000}"/>
    <cellStyle name="Remarque 3 5 2 2 5 10" xfId="25171" xr:uid="{00000000-0005-0000-0000-0000F6B20000}"/>
    <cellStyle name="Remarque 3 5 2 2 5 10 2" xfId="49131" xr:uid="{00000000-0005-0000-0000-0000F7B20000}"/>
    <cellStyle name="Remarque 3 5 2 2 5 11" xfId="36366" xr:uid="{00000000-0005-0000-0000-0000F8B20000}"/>
    <cellStyle name="Remarque 3 5 2 2 5 11 2" xfId="60326" xr:uid="{00000000-0005-0000-0000-0000F9B20000}"/>
    <cellStyle name="Remarque 3 5 2 2 5 12" xfId="13836" xr:uid="{00000000-0005-0000-0000-0000FAB20000}"/>
    <cellStyle name="Remarque 3 5 2 2 5 13" xfId="37796" xr:uid="{00000000-0005-0000-0000-0000FBB20000}"/>
    <cellStyle name="Remarque 3 5 2 2 5 2" xfId="4045" xr:uid="{00000000-0005-0000-0000-0000FCB20000}"/>
    <cellStyle name="Remarque 3 5 2 2 5 2 2" xfId="28059" xr:uid="{00000000-0005-0000-0000-0000FDB20000}"/>
    <cellStyle name="Remarque 3 5 2 2 5 2 2 2" xfId="52019" xr:uid="{00000000-0005-0000-0000-0000FEB20000}"/>
    <cellStyle name="Remarque 3 5 2 2 5 2 3" xfId="15306" xr:uid="{00000000-0005-0000-0000-0000FFB20000}"/>
    <cellStyle name="Remarque 3 5 2 2 5 2 4" xfId="39266" xr:uid="{00000000-0005-0000-0000-000000B30000}"/>
    <cellStyle name="Remarque 3 5 2 2 5 3" xfId="5479" xr:uid="{00000000-0005-0000-0000-000001B30000}"/>
    <cellStyle name="Remarque 3 5 2 2 5 3 2" xfId="29493" xr:uid="{00000000-0005-0000-0000-000002B30000}"/>
    <cellStyle name="Remarque 3 5 2 2 5 3 2 2" xfId="53453" xr:uid="{00000000-0005-0000-0000-000003B30000}"/>
    <cellStyle name="Remarque 3 5 2 2 5 3 3" xfId="16740" xr:uid="{00000000-0005-0000-0000-000004B30000}"/>
    <cellStyle name="Remarque 3 5 2 2 5 3 4" xfId="40700" xr:uid="{00000000-0005-0000-0000-000005B30000}"/>
    <cellStyle name="Remarque 3 5 2 2 5 4" xfId="6873" xr:uid="{00000000-0005-0000-0000-000006B30000}"/>
    <cellStyle name="Remarque 3 5 2 2 5 4 2" xfId="30887" xr:uid="{00000000-0005-0000-0000-000007B30000}"/>
    <cellStyle name="Remarque 3 5 2 2 5 4 2 2" xfId="54847" xr:uid="{00000000-0005-0000-0000-000008B30000}"/>
    <cellStyle name="Remarque 3 5 2 2 5 4 3" xfId="18134" xr:uid="{00000000-0005-0000-0000-000009B30000}"/>
    <cellStyle name="Remarque 3 5 2 2 5 4 4" xfId="42094" xr:uid="{00000000-0005-0000-0000-00000AB30000}"/>
    <cellStyle name="Remarque 3 5 2 2 5 5" xfId="8261" xr:uid="{00000000-0005-0000-0000-00000BB30000}"/>
    <cellStyle name="Remarque 3 5 2 2 5 5 2" xfId="32275" xr:uid="{00000000-0005-0000-0000-00000CB30000}"/>
    <cellStyle name="Remarque 3 5 2 2 5 5 2 2" xfId="56235" xr:uid="{00000000-0005-0000-0000-00000DB30000}"/>
    <cellStyle name="Remarque 3 5 2 2 5 5 3" xfId="19522" xr:uid="{00000000-0005-0000-0000-00000EB30000}"/>
    <cellStyle name="Remarque 3 5 2 2 5 5 4" xfId="43482" xr:uid="{00000000-0005-0000-0000-00000FB30000}"/>
    <cellStyle name="Remarque 3 5 2 2 5 6" xfId="9646" xr:uid="{00000000-0005-0000-0000-000010B30000}"/>
    <cellStyle name="Remarque 3 5 2 2 5 6 2" xfId="33660" xr:uid="{00000000-0005-0000-0000-000011B30000}"/>
    <cellStyle name="Remarque 3 5 2 2 5 6 2 2" xfId="57620" xr:uid="{00000000-0005-0000-0000-000012B30000}"/>
    <cellStyle name="Remarque 3 5 2 2 5 6 3" xfId="20907" xr:uid="{00000000-0005-0000-0000-000013B30000}"/>
    <cellStyle name="Remarque 3 5 2 2 5 6 4" xfId="44867" xr:uid="{00000000-0005-0000-0000-000014B30000}"/>
    <cellStyle name="Remarque 3 5 2 2 5 7" xfId="11103" xr:uid="{00000000-0005-0000-0000-000015B30000}"/>
    <cellStyle name="Remarque 3 5 2 2 5 7 2" xfId="35113" xr:uid="{00000000-0005-0000-0000-000016B30000}"/>
    <cellStyle name="Remarque 3 5 2 2 5 7 2 2" xfId="59073" xr:uid="{00000000-0005-0000-0000-000017B30000}"/>
    <cellStyle name="Remarque 3 5 2 2 5 7 3" xfId="22370" xr:uid="{00000000-0005-0000-0000-000018B30000}"/>
    <cellStyle name="Remarque 3 5 2 2 5 7 4" xfId="46330" xr:uid="{00000000-0005-0000-0000-000019B30000}"/>
    <cellStyle name="Remarque 3 5 2 2 5 8" xfId="12129" xr:uid="{00000000-0005-0000-0000-00001AB30000}"/>
    <cellStyle name="Remarque 3 5 2 2 5 8 2" xfId="23412" xr:uid="{00000000-0005-0000-0000-00001BB30000}"/>
    <cellStyle name="Remarque 3 5 2 2 5 8 3" xfId="47372" xr:uid="{00000000-0005-0000-0000-00001CB30000}"/>
    <cellStyle name="Remarque 3 5 2 2 5 9" xfId="2575" xr:uid="{00000000-0005-0000-0000-00001DB30000}"/>
    <cellStyle name="Remarque 3 5 2 2 5 9 2" xfId="26589" xr:uid="{00000000-0005-0000-0000-00001EB30000}"/>
    <cellStyle name="Remarque 3 5 2 2 5 9 3" xfId="50549" xr:uid="{00000000-0005-0000-0000-00001FB30000}"/>
    <cellStyle name="Remarque 3 5 2 2 6" xfId="1306" xr:uid="{00000000-0005-0000-0000-000020B30000}"/>
    <cellStyle name="Remarque 3 5 2 2 6 10" xfId="25338" xr:uid="{00000000-0005-0000-0000-000021B30000}"/>
    <cellStyle name="Remarque 3 5 2 2 6 10 2" xfId="49298" xr:uid="{00000000-0005-0000-0000-000022B30000}"/>
    <cellStyle name="Remarque 3 5 2 2 6 11" xfId="36787" xr:uid="{00000000-0005-0000-0000-000023B30000}"/>
    <cellStyle name="Remarque 3 5 2 2 6 11 2" xfId="60747" xr:uid="{00000000-0005-0000-0000-000024B30000}"/>
    <cellStyle name="Remarque 3 5 2 2 6 12" xfId="14003" xr:uid="{00000000-0005-0000-0000-000025B30000}"/>
    <cellStyle name="Remarque 3 5 2 2 6 13" xfId="37963" xr:uid="{00000000-0005-0000-0000-000026B30000}"/>
    <cellStyle name="Remarque 3 5 2 2 6 2" xfId="4212" xr:uid="{00000000-0005-0000-0000-000027B30000}"/>
    <cellStyle name="Remarque 3 5 2 2 6 2 2" xfId="28226" xr:uid="{00000000-0005-0000-0000-000028B30000}"/>
    <cellStyle name="Remarque 3 5 2 2 6 2 2 2" xfId="52186" xr:uid="{00000000-0005-0000-0000-000029B30000}"/>
    <cellStyle name="Remarque 3 5 2 2 6 2 3" xfId="15473" xr:uid="{00000000-0005-0000-0000-00002AB30000}"/>
    <cellStyle name="Remarque 3 5 2 2 6 2 4" xfId="39433" xr:uid="{00000000-0005-0000-0000-00002BB30000}"/>
    <cellStyle name="Remarque 3 5 2 2 6 3" xfId="5646" xr:uid="{00000000-0005-0000-0000-00002CB30000}"/>
    <cellStyle name="Remarque 3 5 2 2 6 3 2" xfId="29660" xr:uid="{00000000-0005-0000-0000-00002DB30000}"/>
    <cellStyle name="Remarque 3 5 2 2 6 3 2 2" xfId="53620" xr:uid="{00000000-0005-0000-0000-00002EB30000}"/>
    <cellStyle name="Remarque 3 5 2 2 6 3 3" xfId="16907" xr:uid="{00000000-0005-0000-0000-00002FB30000}"/>
    <cellStyle name="Remarque 3 5 2 2 6 3 4" xfId="40867" xr:uid="{00000000-0005-0000-0000-000030B30000}"/>
    <cellStyle name="Remarque 3 5 2 2 6 4" xfId="7040" xr:uid="{00000000-0005-0000-0000-000031B30000}"/>
    <cellStyle name="Remarque 3 5 2 2 6 4 2" xfId="31054" xr:uid="{00000000-0005-0000-0000-000032B30000}"/>
    <cellStyle name="Remarque 3 5 2 2 6 4 2 2" xfId="55014" xr:uid="{00000000-0005-0000-0000-000033B30000}"/>
    <cellStyle name="Remarque 3 5 2 2 6 4 3" xfId="18301" xr:uid="{00000000-0005-0000-0000-000034B30000}"/>
    <cellStyle name="Remarque 3 5 2 2 6 4 4" xfId="42261" xr:uid="{00000000-0005-0000-0000-000035B30000}"/>
    <cellStyle name="Remarque 3 5 2 2 6 5" xfId="8428" xr:uid="{00000000-0005-0000-0000-000036B30000}"/>
    <cellStyle name="Remarque 3 5 2 2 6 5 2" xfId="32442" xr:uid="{00000000-0005-0000-0000-000037B30000}"/>
    <cellStyle name="Remarque 3 5 2 2 6 5 2 2" xfId="56402" xr:uid="{00000000-0005-0000-0000-000038B30000}"/>
    <cellStyle name="Remarque 3 5 2 2 6 5 3" xfId="19689" xr:uid="{00000000-0005-0000-0000-000039B30000}"/>
    <cellStyle name="Remarque 3 5 2 2 6 5 4" xfId="43649" xr:uid="{00000000-0005-0000-0000-00003AB30000}"/>
    <cellStyle name="Remarque 3 5 2 2 6 6" xfId="9813" xr:uid="{00000000-0005-0000-0000-00003BB30000}"/>
    <cellStyle name="Remarque 3 5 2 2 6 6 2" xfId="33827" xr:uid="{00000000-0005-0000-0000-00003CB30000}"/>
    <cellStyle name="Remarque 3 5 2 2 6 6 2 2" xfId="57787" xr:uid="{00000000-0005-0000-0000-00003DB30000}"/>
    <cellStyle name="Remarque 3 5 2 2 6 6 3" xfId="21074" xr:uid="{00000000-0005-0000-0000-00003EB30000}"/>
    <cellStyle name="Remarque 3 5 2 2 6 6 4" xfId="45034" xr:uid="{00000000-0005-0000-0000-00003FB30000}"/>
    <cellStyle name="Remarque 3 5 2 2 6 7" xfId="11270" xr:uid="{00000000-0005-0000-0000-000040B30000}"/>
    <cellStyle name="Remarque 3 5 2 2 6 7 2" xfId="35280" xr:uid="{00000000-0005-0000-0000-000041B30000}"/>
    <cellStyle name="Remarque 3 5 2 2 6 7 2 2" xfId="59240" xr:uid="{00000000-0005-0000-0000-000042B30000}"/>
    <cellStyle name="Remarque 3 5 2 2 6 7 3" xfId="22537" xr:uid="{00000000-0005-0000-0000-000043B30000}"/>
    <cellStyle name="Remarque 3 5 2 2 6 7 4" xfId="46497" xr:uid="{00000000-0005-0000-0000-000044B30000}"/>
    <cellStyle name="Remarque 3 5 2 2 6 8" xfId="11896" xr:uid="{00000000-0005-0000-0000-000045B30000}"/>
    <cellStyle name="Remarque 3 5 2 2 6 8 2" xfId="23173" xr:uid="{00000000-0005-0000-0000-000046B30000}"/>
    <cellStyle name="Remarque 3 5 2 2 6 8 3" xfId="47133" xr:uid="{00000000-0005-0000-0000-000047B30000}"/>
    <cellStyle name="Remarque 3 5 2 2 6 9" xfId="2742" xr:uid="{00000000-0005-0000-0000-000048B30000}"/>
    <cellStyle name="Remarque 3 5 2 2 6 9 2" xfId="26756" xr:uid="{00000000-0005-0000-0000-000049B30000}"/>
    <cellStyle name="Remarque 3 5 2 2 6 9 3" xfId="50716" xr:uid="{00000000-0005-0000-0000-00004AB30000}"/>
    <cellStyle name="Remarque 3 5 2 2 7" xfId="1475" xr:uid="{00000000-0005-0000-0000-00004BB30000}"/>
    <cellStyle name="Remarque 3 5 2 2 7 10" xfId="25507" xr:uid="{00000000-0005-0000-0000-00004CB30000}"/>
    <cellStyle name="Remarque 3 5 2 2 7 10 2" xfId="49467" xr:uid="{00000000-0005-0000-0000-00004DB30000}"/>
    <cellStyle name="Remarque 3 5 2 2 7 11" xfId="36518" xr:uid="{00000000-0005-0000-0000-00004EB30000}"/>
    <cellStyle name="Remarque 3 5 2 2 7 11 2" xfId="60478" xr:uid="{00000000-0005-0000-0000-00004FB30000}"/>
    <cellStyle name="Remarque 3 5 2 2 7 12" xfId="14172" xr:uid="{00000000-0005-0000-0000-000050B30000}"/>
    <cellStyle name="Remarque 3 5 2 2 7 13" xfId="38132" xr:uid="{00000000-0005-0000-0000-000051B30000}"/>
    <cellStyle name="Remarque 3 5 2 2 7 2" xfId="4381" xr:uid="{00000000-0005-0000-0000-000052B30000}"/>
    <cellStyle name="Remarque 3 5 2 2 7 2 2" xfId="28395" xr:uid="{00000000-0005-0000-0000-000053B30000}"/>
    <cellStyle name="Remarque 3 5 2 2 7 2 2 2" xfId="52355" xr:uid="{00000000-0005-0000-0000-000054B30000}"/>
    <cellStyle name="Remarque 3 5 2 2 7 2 3" xfId="15642" xr:uid="{00000000-0005-0000-0000-000055B30000}"/>
    <cellStyle name="Remarque 3 5 2 2 7 2 4" xfId="39602" xr:uid="{00000000-0005-0000-0000-000056B30000}"/>
    <cellStyle name="Remarque 3 5 2 2 7 3" xfId="5815" xr:uid="{00000000-0005-0000-0000-000057B30000}"/>
    <cellStyle name="Remarque 3 5 2 2 7 3 2" xfId="29829" xr:uid="{00000000-0005-0000-0000-000058B30000}"/>
    <cellStyle name="Remarque 3 5 2 2 7 3 2 2" xfId="53789" xr:uid="{00000000-0005-0000-0000-000059B30000}"/>
    <cellStyle name="Remarque 3 5 2 2 7 3 3" xfId="17076" xr:uid="{00000000-0005-0000-0000-00005AB30000}"/>
    <cellStyle name="Remarque 3 5 2 2 7 3 4" xfId="41036" xr:uid="{00000000-0005-0000-0000-00005BB30000}"/>
    <cellStyle name="Remarque 3 5 2 2 7 4" xfId="7209" xr:uid="{00000000-0005-0000-0000-00005CB30000}"/>
    <cellStyle name="Remarque 3 5 2 2 7 4 2" xfId="31223" xr:uid="{00000000-0005-0000-0000-00005DB30000}"/>
    <cellStyle name="Remarque 3 5 2 2 7 4 2 2" xfId="55183" xr:uid="{00000000-0005-0000-0000-00005EB30000}"/>
    <cellStyle name="Remarque 3 5 2 2 7 4 3" xfId="18470" xr:uid="{00000000-0005-0000-0000-00005FB30000}"/>
    <cellStyle name="Remarque 3 5 2 2 7 4 4" xfId="42430" xr:uid="{00000000-0005-0000-0000-000060B30000}"/>
    <cellStyle name="Remarque 3 5 2 2 7 5" xfId="8597" xr:uid="{00000000-0005-0000-0000-000061B30000}"/>
    <cellStyle name="Remarque 3 5 2 2 7 5 2" xfId="32611" xr:uid="{00000000-0005-0000-0000-000062B30000}"/>
    <cellStyle name="Remarque 3 5 2 2 7 5 2 2" xfId="56571" xr:uid="{00000000-0005-0000-0000-000063B30000}"/>
    <cellStyle name="Remarque 3 5 2 2 7 5 3" xfId="19858" xr:uid="{00000000-0005-0000-0000-000064B30000}"/>
    <cellStyle name="Remarque 3 5 2 2 7 5 4" xfId="43818" xr:uid="{00000000-0005-0000-0000-000065B30000}"/>
    <cellStyle name="Remarque 3 5 2 2 7 6" xfId="9982" xr:uid="{00000000-0005-0000-0000-000066B30000}"/>
    <cellStyle name="Remarque 3 5 2 2 7 6 2" xfId="33996" xr:uid="{00000000-0005-0000-0000-000067B30000}"/>
    <cellStyle name="Remarque 3 5 2 2 7 6 2 2" xfId="57956" xr:uid="{00000000-0005-0000-0000-000068B30000}"/>
    <cellStyle name="Remarque 3 5 2 2 7 6 3" xfId="21243" xr:uid="{00000000-0005-0000-0000-000069B30000}"/>
    <cellStyle name="Remarque 3 5 2 2 7 6 4" xfId="45203" xr:uid="{00000000-0005-0000-0000-00006AB30000}"/>
    <cellStyle name="Remarque 3 5 2 2 7 7" xfId="11439" xr:uid="{00000000-0005-0000-0000-00006BB30000}"/>
    <cellStyle name="Remarque 3 5 2 2 7 7 2" xfId="35449" xr:uid="{00000000-0005-0000-0000-00006CB30000}"/>
    <cellStyle name="Remarque 3 5 2 2 7 7 2 2" xfId="59409" xr:uid="{00000000-0005-0000-0000-00006DB30000}"/>
    <cellStyle name="Remarque 3 5 2 2 7 7 3" xfId="22706" xr:uid="{00000000-0005-0000-0000-00006EB30000}"/>
    <cellStyle name="Remarque 3 5 2 2 7 7 4" xfId="46666" xr:uid="{00000000-0005-0000-0000-00006FB30000}"/>
    <cellStyle name="Remarque 3 5 2 2 7 8" xfId="11817" xr:uid="{00000000-0005-0000-0000-000070B30000}"/>
    <cellStyle name="Remarque 3 5 2 2 7 8 2" xfId="23091" xr:uid="{00000000-0005-0000-0000-000071B30000}"/>
    <cellStyle name="Remarque 3 5 2 2 7 8 3" xfId="47051" xr:uid="{00000000-0005-0000-0000-000072B30000}"/>
    <cellStyle name="Remarque 3 5 2 2 7 9" xfId="2911" xr:uid="{00000000-0005-0000-0000-000073B30000}"/>
    <cellStyle name="Remarque 3 5 2 2 7 9 2" xfId="26925" xr:uid="{00000000-0005-0000-0000-000074B30000}"/>
    <cellStyle name="Remarque 3 5 2 2 7 9 3" xfId="50885" xr:uid="{00000000-0005-0000-0000-000075B30000}"/>
    <cellStyle name="Remarque 3 5 2 2 8" xfId="3330" xr:uid="{00000000-0005-0000-0000-000076B30000}"/>
    <cellStyle name="Remarque 3 5 2 2 8 2" xfId="27344" xr:uid="{00000000-0005-0000-0000-000077B30000}"/>
    <cellStyle name="Remarque 3 5 2 2 8 2 2" xfId="51304" xr:uid="{00000000-0005-0000-0000-000078B30000}"/>
    <cellStyle name="Remarque 3 5 2 2 8 3" xfId="14591" xr:uid="{00000000-0005-0000-0000-000079B30000}"/>
    <cellStyle name="Remarque 3 5 2 2 8 4" xfId="38551" xr:uid="{00000000-0005-0000-0000-00007AB30000}"/>
    <cellStyle name="Remarque 3 5 2 2 9" xfId="4764" xr:uid="{00000000-0005-0000-0000-00007BB30000}"/>
    <cellStyle name="Remarque 3 5 2 2 9 2" xfId="28778" xr:uid="{00000000-0005-0000-0000-00007CB30000}"/>
    <cellStyle name="Remarque 3 5 2 2 9 2 2" xfId="52738" xr:uid="{00000000-0005-0000-0000-00007DB30000}"/>
    <cellStyle name="Remarque 3 5 2 2 9 3" xfId="16025" xr:uid="{00000000-0005-0000-0000-00007EB30000}"/>
    <cellStyle name="Remarque 3 5 2 2 9 4" xfId="39985" xr:uid="{00000000-0005-0000-0000-00007FB30000}"/>
    <cellStyle name="Remarque 3 5 2 20" xfId="12946" xr:uid="{00000000-0005-0000-0000-000080B30000}"/>
    <cellStyle name="Remarque 3 5 2 21" xfId="36906" xr:uid="{00000000-0005-0000-0000-000081B30000}"/>
    <cellStyle name="Remarque 3 5 2 22" xfId="249" xr:uid="{00000000-0005-0000-0000-000082B30000}"/>
    <cellStyle name="Remarque 3 5 2 3" xfId="348" xr:uid="{00000000-0005-0000-0000-000083B30000}"/>
    <cellStyle name="Remarque 3 5 2 3 10" xfId="24380" xr:uid="{00000000-0005-0000-0000-000084B30000}"/>
    <cellStyle name="Remarque 3 5 2 3 10 2" xfId="48340" xr:uid="{00000000-0005-0000-0000-000085B30000}"/>
    <cellStyle name="Remarque 3 5 2 3 11" xfId="36401" xr:uid="{00000000-0005-0000-0000-000086B30000}"/>
    <cellStyle name="Remarque 3 5 2 3 11 2" xfId="60361" xr:uid="{00000000-0005-0000-0000-000087B30000}"/>
    <cellStyle name="Remarque 3 5 2 3 12" xfId="13045" xr:uid="{00000000-0005-0000-0000-000088B30000}"/>
    <cellStyle name="Remarque 3 5 2 3 13" xfId="37005" xr:uid="{00000000-0005-0000-0000-000089B30000}"/>
    <cellStyle name="Remarque 3 5 2 3 2" xfId="3254" xr:uid="{00000000-0005-0000-0000-00008AB30000}"/>
    <cellStyle name="Remarque 3 5 2 3 2 2" xfId="27268" xr:uid="{00000000-0005-0000-0000-00008BB30000}"/>
    <cellStyle name="Remarque 3 5 2 3 2 2 2" xfId="51228" xr:uid="{00000000-0005-0000-0000-00008CB30000}"/>
    <cellStyle name="Remarque 3 5 2 3 2 3" xfId="14515" xr:uid="{00000000-0005-0000-0000-00008DB30000}"/>
    <cellStyle name="Remarque 3 5 2 3 2 4" xfId="38475" xr:uid="{00000000-0005-0000-0000-00008EB30000}"/>
    <cellStyle name="Remarque 3 5 2 3 3" xfId="4688" xr:uid="{00000000-0005-0000-0000-00008FB30000}"/>
    <cellStyle name="Remarque 3 5 2 3 3 2" xfId="28702" xr:uid="{00000000-0005-0000-0000-000090B30000}"/>
    <cellStyle name="Remarque 3 5 2 3 3 2 2" xfId="52662" xr:uid="{00000000-0005-0000-0000-000091B30000}"/>
    <cellStyle name="Remarque 3 5 2 3 3 3" xfId="15949" xr:uid="{00000000-0005-0000-0000-000092B30000}"/>
    <cellStyle name="Remarque 3 5 2 3 3 4" xfId="39909" xr:uid="{00000000-0005-0000-0000-000093B30000}"/>
    <cellStyle name="Remarque 3 5 2 3 4" xfId="6082" xr:uid="{00000000-0005-0000-0000-000094B30000}"/>
    <cellStyle name="Remarque 3 5 2 3 4 2" xfId="30096" xr:uid="{00000000-0005-0000-0000-000095B30000}"/>
    <cellStyle name="Remarque 3 5 2 3 4 2 2" xfId="54056" xr:uid="{00000000-0005-0000-0000-000096B30000}"/>
    <cellStyle name="Remarque 3 5 2 3 4 3" xfId="17343" xr:uid="{00000000-0005-0000-0000-000097B30000}"/>
    <cellStyle name="Remarque 3 5 2 3 4 4" xfId="41303" xr:uid="{00000000-0005-0000-0000-000098B30000}"/>
    <cellStyle name="Remarque 3 5 2 3 5" xfId="7470" xr:uid="{00000000-0005-0000-0000-000099B30000}"/>
    <cellStyle name="Remarque 3 5 2 3 5 2" xfId="31484" xr:uid="{00000000-0005-0000-0000-00009AB30000}"/>
    <cellStyle name="Remarque 3 5 2 3 5 2 2" xfId="55444" xr:uid="{00000000-0005-0000-0000-00009BB30000}"/>
    <cellStyle name="Remarque 3 5 2 3 5 3" xfId="18731" xr:uid="{00000000-0005-0000-0000-00009CB30000}"/>
    <cellStyle name="Remarque 3 5 2 3 5 4" xfId="42691" xr:uid="{00000000-0005-0000-0000-00009DB30000}"/>
    <cellStyle name="Remarque 3 5 2 3 6" xfId="8855" xr:uid="{00000000-0005-0000-0000-00009EB30000}"/>
    <cellStyle name="Remarque 3 5 2 3 6 2" xfId="32869" xr:uid="{00000000-0005-0000-0000-00009FB30000}"/>
    <cellStyle name="Remarque 3 5 2 3 6 2 2" xfId="56829" xr:uid="{00000000-0005-0000-0000-0000A0B30000}"/>
    <cellStyle name="Remarque 3 5 2 3 6 3" xfId="20116" xr:uid="{00000000-0005-0000-0000-0000A1B30000}"/>
    <cellStyle name="Remarque 3 5 2 3 6 4" xfId="44076" xr:uid="{00000000-0005-0000-0000-0000A2B30000}"/>
    <cellStyle name="Remarque 3 5 2 3 7" xfId="10312" xr:uid="{00000000-0005-0000-0000-0000A3B30000}"/>
    <cellStyle name="Remarque 3 5 2 3 7 2" xfId="34322" xr:uid="{00000000-0005-0000-0000-0000A4B30000}"/>
    <cellStyle name="Remarque 3 5 2 3 7 2 2" xfId="58282" xr:uid="{00000000-0005-0000-0000-0000A5B30000}"/>
    <cellStyle name="Remarque 3 5 2 3 7 3" xfId="21579" xr:uid="{00000000-0005-0000-0000-0000A6B30000}"/>
    <cellStyle name="Remarque 3 5 2 3 7 4" xfId="45539" xr:uid="{00000000-0005-0000-0000-0000A7B30000}"/>
    <cellStyle name="Remarque 3 5 2 3 8" xfId="12550" xr:uid="{00000000-0005-0000-0000-0000A8B30000}"/>
    <cellStyle name="Remarque 3 5 2 3 8 2" xfId="23849" xr:uid="{00000000-0005-0000-0000-0000A9B30000}"/>
    <cellStyle name="Remarque 3 5 2 3 8 3" xfId="47809" xr:uid="{00000000-0005-0000-0000-0000AAB30000}"/>
    <cellStyle name="Remarque 3 5 2 3 9" xfId="1784" xr:uid="{00000000-0005-0000-0000-0000ABB30000}"/>
    <cellStyle name="Remarque 3 5 2 3 9 2" xfId="25798" xr:uid="{00000000-0005-0000-0000-0000ACB30000}"/>
    <cellStyle name="Remarque 3 5 2 3 9 3" xfId="49758" xr:uid="{00000000-0005-0000-0000-0000ADB30000}"/>
    <cellStyle name="Remarque 3 5 2 4" xfId="484" xr:uid="{00000000-0005-0000-0000-0000AEB30000}"/>
    <cellStyle name="Remarque 3 5 2 4 10" xfId="24516" xr:uid="{00000000-0005-0000-0000-0000AFB30000}"/>
    <cellStyle name="Remarque 3 5 2 4 10 2" xfId="48476" xr:uid="{00000000-0005-0000-0000-0000B0B30000}"/>
    <cellStyle name="Remarque 3 5 2 4 11" xfId="36411" xr:uid="{00000000-0005-0000-0000-0000B1B30000}"/>
    <cellStyle name="Remarque 3 5 2 4 11 2" xfId="60371" xr:uid="{00000000-0005-0000-0000-0000B2B30000}"/>
    <cellStyle name="Remarque 3 5 2 4 12" xfId="13181" xr:uid="{00000000-0005-0000-0000-0000B3B30000}"/>
    <cellStyle name="Remarque 3 5 2 4 13" xfId="37141" xr:uid="{00000000-0005-0000-0000-0000B4B30000}"/>
    <cellStyle name="Remarque 3 5 2 4 2" xfId="3390" xr:uid="{00000000-0005-0000-0000-0000B5B30000}"/>
    <cellStyle name="Remarque 3 5 2 4 2 2" xfId="27404" xr:uid="{00000000-0005-0000-0000-0000B6B30000}"/>
    <cellStyle name="Remarque 3 5 2 4 2 2 2" xfId="51364" xr:uid="{00000000-0005-0000-0000-0000B7B30000}"/>
    <cellStyle name="Remarque 3 5 2 4 2 3" xfId="14651" xr:uid="{00000000-0005-0000-0000-0000B8B30000}"/>
    <cellStyle name="Remarque 3 5 2 4 2 4" xfId="38611" xr:uid="{00000000-0005-0000-0000-0000B9B30000}"/>
    <cellStyle name="Remarque 3 5 2 4 3" xfId="4824" xr:uid="{00000000-0005-0000-0000-0000BAB30000}"/>
    <cellStyle name="Remarque 3 5 2 4 3 2" xfId="28838" xr:uid="{00000000-0005-0000-0000-0000BBB30000}"/>
    <cellStyle name="Remarque 3 5 2 4 3 2 2" xfId="52798" xr:uid="{00000000-0005-0000-0000-0000BCB30000}"/>
    <cellStyle name="Remarque 3 5 2 4 3 3" xfId="16085" xr:uid="{00000000-0005-0000-0000-0000BDB30000}"/>
    <cellStyle name="Remarque 3 5 2 4 3 4" xfId="40045" xr:uid="{00000000-0005-0000-0000-0000BEB30000}"/>
    <cellStyle name="Remarque 3 5 2 4 4" xfId="6218" xr:uid="{00000000-0005-0000-0000-0000BFB30000}"/>
    <cellStyle name="Remarque 3 5 2 4 4 2" xfId="30232" xr:uid="{00000000-0005-0000-0000-0000C0B30000}"/>
    <cellStyle name="Remarque 3 5 2 4 4 2 2" xfId="54192" xr:uid="{00000000-0005-0000-0000-0000C1B30000}"/>
    <cellStyle name="Remarque 3 5 2 4 4 3" xfId="17479" xr:uid="{00000000-0005-0000-0000-0000C2B30000}"/>
    <cellStyle name="Remarque 3 5 2 4 4 4" xfId="41439" xr:uid="{00000000-0005-0000-0000-0000C3B30000}"/>
    <cellStyle name="Remarque 3 5 2 4 5" xfId="7606" xr:uid="{00000000-0005-0000-0000-0000C4B30000}"/>
    <cellStyle name="Remarque 3 5 2 4 5 2" xfId="31620" xr:uid="{00000000-0005-0000-0000-0000C5B30000}"/>
    <cellStyle name="Remarque 3 5 2 4 5 2 2" xfId="55580" xr:uid="{00000000-0005-0000-0000-0000C6B30000}"/>
    <cellStyle name="Remarque 3 5 2 4 5 3" xfId="18867" xr:uid="{00000000-0005-0000-0000-0000C7B30000}"/>
    <cellStyle name="Remarque 3 5 2 4 5 4" xfId="42827" xr:uid="{00000000-0005-0000-0000-0000C8B30000}"/>
    <cellStyle name="Remarque 3 5 2 4 6" xfId="8991" xr:uid="{00000000-0005-0000-0000-0000C9B30000}"/>
    <cellStyle name="Remarque 3 5 2 4 6 2" xfId="33005" xr:uid="{00000000-0005-0000-0000-0000CAB30000}"/>
    <cellStyle name="Remarque 3 5 2 4 6 2 2" xfId="56965" xr:uid="{00000000-0005-0000-0000-0000CBB30000}"/>
    <cellStyle name="Remarque 3 5 2 4 6 3" xfId="20252" xr:uid="{00000000-0005-0000-0000-0000CCB30000}"/>
    <cellStyle name="Remarque 3 5 2 4 6 4" xfId="44212" xr:uid="{00000000-0005-0000-0000-0000CDB30000}"/>
    <cellStyle name="Remarque 3 5 2 4 7" xfId="10448" xr:uid="{00000000-0005-0000-0000-0000CEB30000}"/>
    <cellStyle name="Remarque 3 5 2 4 7 2" xfId="34458" xr:uid="{00000000-0005-0000-0000-0000CFB30000}"/>
    <cellStyle name="Remarque 3 5 2 4 7 2 2" xfId="58418" xr:uid="{00000000-0005-0000-0000-0000D0B30000}"/>
    <cellStyle name="Remarque 3 5 2 4 7 3" xfId="21715" xr:uid="{00000000-0005-0000-0000-0000D1B30000}"/>
    <cellStyle name="Remarque 3 5 2 4 7 4" xfId="45675" xr:uid="{00000000-0005-0000-0000-0000D2B30000}"/>
    <cellStyle name="Remarque 3 5 2 4 8" xfId="12210" xr:uid="{00000000-0005-0000-0000-0000D3B30000}"/>
    <cellStyle name="Remarque 3 5 2 4 8 2" xfId="23494" xr:uid="{00000000-0005-0000-0000-0000D4B30000}"/>
    <cellStyle name="Remarque 3 5 2 4 8 3" xfId="47454" xr:uid="{00000000-0005-0000-0000-0000D5B30000}"/>
    <cellStyle name="Remarque 3 5 2 4 9" xfId="1920" xr:uid="{00000000-0005-0000-0000-0000D6B30000}"/>
    <cellStyle name="Remarque 3 5 2 4 9 2" xfId="25934" xr:uid="{00000000-0005-0000-0000-0000D7B30000}"/>
    <cellStyle name="Remarque 3 5 2 4 9 3" xfId="49894" xr:uid="{00000000-0005-0000-0000-0000D8B30000}"/>
    <cellStyle name="Remarque 3 5 2 5" xfId="676" xr:uid="{00000000-0005-0000-0000-0000D9B30000}"/>
    <cellStyle name="Remarque 3 5 2 5 10" xfId="24708" xr:uid="{00000000-0005-0000-0000-0000DAB30000}"/>
    <cellStyle name="Remarque 3 5 2 5 10 2" xfId="48668" xr:uid="{00000000-0005-0000-0000-0000DBB30000}"/>
    <cellStyle name="Remarque 3 5 2 5 11" xfId="36792" xr:uid="{00000000-0005-0000-0000-0000DCB30000}"/>
    <cellStyle name="Remarque 3 5 2 5 11 2" xfId="60752" xr:uid="{00000000-0005-0000-0000-0000DDB30000}"/>
    <cellStyle name="Remarque 3 5 2 5 12" xfId="13373" xr:uid="{00000000-0005-0000-0000-0000DEB30000}"/>
    <cellStyle name="Remarque 3 5 2 5 13" xfId="37333" xr:uid="{00000000-0005-0000-0000-0000DFB30000}"/>
    <cellStyle name="Remarque 3 5 2 5 2" xfId="3582" xr:uid="{00000000-0005-0000-0000-0000E0B30000}"/>
    <cellStyle name="Remarque 3 5 2 5 2 2" xfId="27596" xr:uid="{00000000-0005-0000-0000-0000E1B30000}"/>
    <cellStyle name="Remarque 3 5 2 5 2 2 2" xfId="51556" xr:uid="{00000000-0005-0000-0000-0000E2B30000}"/>
    <cellStyle name="Remarque 3 5 2 5 2 3" xfId="14843" xr:uid="{00000000-0005-0000-0000-0000E3B30000}"/>
    <cellStyle name="Remarque 3 5 2 5 2 4" xfId="38803" xr:uid="{00000000-0005-0000-0000-0000E4B30000}"/>
    <cellStyle name="Remarque 3 5 2 5 3" xfId="5016" xr:uid="{00000000-0005-0000-0000-0000E5B30000}"/>
    <cellStyle name="Remarque 3 5 2 5 3 2" xfId="29030" xr:uid="{00000000-0005-0000-0000-0000E6B30000}"/>
    <cellStyle name="Remarque 3 5 2 5 3 2 2" xfId="52990" xr:uid="{00000000-0005-0000-0000-0000E7B30000}"/>
    <cellStyle name="Remarque 3 5 2 5 3 3" xfId="16277" xr:uid="{00000000-0005-0000-0000-0000E8B30000}"/>
    <cellStyle name="Remarque 3 5 2 5 3 4" xfId="40237" xr:uid="{00000000-0005-0000-0000-0000E9B30000}"/>
    <cellStyle name="Remarque 3 5 2 5 4" xfId="6410" xr:uid="{00000000-0005-0000-0000-0000EAB30000}"/>
    <cellStyle name="Remarque 3 5 2 5 4 2" xfId="30424" xr:uid="{00000000-0005-0000-0000-0000EBB30000}"/>
    <cellStyle name="Remarque 3 5 2 5 4 2 2" xfId="54384" xr:uid="{00000000-0005-0000-0000-0000ECB30000}"/>
    <cellStyle name="Remarque 3 5 2 5 4 3" xfId="17671" xr:uid="{00000000-0005-0000-0000-0000EDB30000}"/>
    <cellStyle name="Remarque 3 5 2 5 4 4" xfId="41631" xr:uid="{00000000-0005-0000-0000-0000EEB30000}"/>
    <cellStyle name="Remarque 3 5 2 5 5" xfId="7798" xr:uid="{00000000-0005-0000-0000-0000EFB30000}"/>
    <cellStyle name="Remarque 3 5 2 5 5 2" xfId="31812" xr:uid="{00000000-0005-0000-0000-0000F0B30000}"/>
    <cellStyle name="Remarque 3 5 2 5 5 2 2" xfId="55772" xr:uid="{00000000-0005-0000-0000-0000F1B30000}"/>
    <cellStyle name="Remarque 3 5 2 5 5 3" xfId="19059" xr:uid="{00000000-0005-0000-0000-0000F2B30000}"/>
    <cellStyle name="Remarque 3 5 2 5 5 4" xfId="43019" xr:uid="{00000000-0005-0000-0000-0000F3B30000}"/>
    <cellStyle name="Remarque 3 5 2 5 6" xfId="9183" xr:uid="{00000000-0005-0000-0000-0000F4B30000}"/>
    <cellStyle name="Remarque 3 5 2 5 6 2" xfId="33197" xr:uid="{00000000-0005-0000-0000-0000F5B30000}"/>
    <cellStyle name="Remarque 3 5 2 5 6 2 2" xfId="57157" xr:uid="{00000000-0005-0000-0000-0000F6B30000}"/>
    <cellStyle name="Remarque 3 5 2 5 6 3" xfId="20444" xr:uid="{00000000-0005-0000-0000-0000F7B30000}"/>
    <cellStyle name="Remarque 3 5 2 5 6 4" xfId="44404" xr:uid="{00000000-0005-0000-0000-0000F8B30000}"/>
    <cellStyle name="Remarque 3 5 2 5 7" xfId="10640" xr:uid="{00000000-0005-0000-0000-0000F9B30000}"/>
    <cellStyle name="Remarque 3 5 2 5 7 2" xfId="34650" xr:uid="{00000000-0005-0000-0000-0000FAB30000}"/>
    <cellStyle name="Remarque 3 5 2 5 7 2 2" xfId="58610" xr:uid="{00000000-0005-0000-0000-0000FBB30000}"/>
    <cellStyle name="Remarque 3 5 2 5 7 3" xfId="21907" xr:uid="{00000000-0005-0000-0000-0000FCB30000}"/>
    <cellStyle name="Remarque 3 5 2 5 7 4" xfId="45867" xr:uid="{00000000-0005-0000-0000-0000FDB30000}"/>
    <cellStyle name="Remarque 3 5 2 5 8" xfId="12296" xr:uid="{00000000-0005-0000-0000-0000FEB30000}"/>
    <cellStyle name="Remarque 3 5 2 5 8 2" xfId="23584" xr:uid="{00000000-0005-0000-0000-0000FFB30000}"/>
    <cellStyle name="Remarque 3 5 2 5 8 3" xfId="47544" xr:uid="{00000000-0005-0000-0000-000000B40000}"/>
    <cellStyle name="Remarque 3 5 2 5 9" xfId="2112" xr:uid="{00000000-0005-0000-0000-000001B40000}"/>
    <cellStyle name="Remarque 3 5 2 5 9 2" xfId="26126" xr:uid="{00000000-0005-0000-0000-000002B40000}"/>
    <cellStyle name="Remarque 3 5 2 5 9 3" xfId="50086" xr:uid="{00000000-0005-0000-0000-000003B40000}"/>
    <cellStyle name="Remarque 3 5 2 6" xfId="870" xr:uid="{00000000-0005-0000-0000-000004B40000}"/>
    <cellStyle name="Remarque 3 5 2 6 10" xfId="24902" xr:uid="{00000000-0005-0000-0000-000005B40000}"/>
    <cellStyle name="Remarque 3 5 2 6 10 2" xfId="48862" xr:uid="{00000000-0005-0000-0000-000006B40000}"/>
    <cellStyle name="Remarque 3 5 2 6 11" xfId="36070" xr:uid="{00000000-0005-0000-0000-000007B40000}"/>
    <cellStyle name="Remarque 3 5 2 6 11 2" xfId="60030" xr:uid="{00000000-0005-0000-0000-000008B40000}"/>
    <cellStyle name="Remarque 3 5 2 6 12" xfId="13567" xr:uid="{00000000-0005-0000-0000-000009B40000}"/>
    <cellStyle name="Remarque 3 5 2 6 13" xfId="37527" xr:uid="{00000000-0005-0000-0000-00000AB40000}"/>
    <cellStyle name="Remarque 3 5 2 6 2" xfId="3776" xr:uid="{00000000-0005-0000-0000-00000BB40000}"/>
    <cellStyle name="Remarque 3 5 2 6 2 2" xfId="27790" xr:uid="{00000000-0005-0000-0000-00000CB40000}"/>
    <cellStyle name="Remarque 3 5 2 6 2 2 2" xfId="51750" xr:uid="{00000000-0005-0000-0000-00000DB40000}"/>
    <cellStyle name="Remarque 3 5 2 6 2 3" xfId="15037" xr:uid="{00000000-0005-0000-0000-00000EB40000}"/>
    <cellStyle name="Remarque 3 5 2 6 2 4" xfId="38997" xr:uid="{00000000-0005-0000-0000-00000FB40000}"/>
    <cellStyle name="Remarque 3 5 2 6 3" xfId="5210" xr:uid="{00000000-0005-0000-0000-000010B40000}"/>
    <cellStyle name="Remarque 3 5 2 6 3 2" xfId="29224" xr:uid="{00000000-0005-0000-0000-000011B40000}"/>
    <cellStyle name="Remarque 3 5 2 6 3 2 2" xfId="53184" xr:uid="{00000000-0005-0000-0000-000012B40000}"/>
    <cellStyle name="Remarque 3 5 2 6 3 3" xfId="16471" xr:uid="{00000000-0005-0000-0000-000013B40000}"/>
    <cellStyle name="Remarque 3 5 2 6 3 4" xfId="40431" xr:uid="{00000000-0005-0000-0000-000014B40000}"/>
    <cellStyle name="Remarque 3 5 2 6 4" xfId="6604" xr:uid="{00000000-0005-0000-0000-000015B40000}"/>
    <cellStyle name="Remarque 3 5 2 6 4 2" xfId="30618" xr:uid="{00000000-0005-0000-0000-000016B40000}"/>
    <cellStyle name="Remarque 3 5 2 6 4 2 2" xfId="54578" xr:uid="{00000000-0005-0000-0000-000017B40000}"/>
    <cellStyle name="Remarque 3 5 2 6 4 3" xfId="17865" xr:uid="{00000000-0005-0000-0000-000018B40000}"/>
    <cellStyle name="Remarque 3 5 2 6 4 4" xfId="41825" xr:uid="{00000000-0005-0000-0000-000019B40000}"/>
    <cellStyle name="Remarque 3 5 2 6 5" xfId="7992" xr:uid="{00000000-0005-0000-0000-00001AB40000}"/>
    <cellStyle name="Remarque 3 5 2 6 5 2" xfId="32006" xr:uid="{00000000-0005-0000-0000-00001BB40000}"/>
    <cellStyle name="Remarque 3 5 2 6 5 2 2" xfId="55966" xr:uid="{00000000-0005-0000-0000-00001CB40000}"/>
    <cellStyle name="Remarque 3 5 2 6 5 3" xfId="19253" xr:uid="{00000000-0005-0000-0000-00001DB40000}"/>
    <cellStyle name="Remarque 3 5 2 6 5 4" xfId="43213" xr:uid="{00000000-0005-0000-0000-00001EB40000}"/>
    <cellStyle name="Remarque 3 5 2 6 6" xfId="9377" xr:uid="{00000000-0005-0000-0000-00001FB40000}"/>
    <cellStyle name="Remarque 3 5 2 6 6 2" xfId="33391" xr:uid="{00000000-0005-0000-0000-000020B40000}"/>
    <cellStyle name="Remarque 3 5 2 6 6 2 2" xfId="57351" xr:uid="{00000000-0005-0000-0000-000021B40000}"/>
    <cellStyle name="Remarque 3 5 2 6 6 3" xfId="20638" xr:uid="{00000000-0005-0000-0000-000022B40000}"/>
    <cellStyle name="Remarque 3 5 2 6 6 4" xfId="44598" xr:uid="{00000000-0005-0000-0000-000023B40000}"/>
    <cellStyle name="Remarque 3 5 2 6 7" xfId="10834" xr:uid="{00000000-0005-0000-0000-000024B40000}"/>
    <cellStyle name="Remarque 3 5 2 6 7 2" xfId="34844" xr:uid="{00000000-0005-0000-0000-000025B40000}"/>
    <cellStyle name="Remarque 3 5 2 6 7 2 2" xfId="58804" xr:uid="{00000000-0005-0000-0000-000026B40000}"/>
    <cellStyle name="Remarque 3 5 2 6 7 3" xfId="22101" xr:uid="{00000000-0005-0000-0000-000027B40000}"/>
    <cellStyle name="Remarque 3 5 2 6 7 4" xfId="46061" xr:uid="{00000000-0005-0000-0000-000028B40000}"/>
    <cellStyle name="Remarque 3 5 2 6 8" xfId="12569" xr:uid="{00000000-0005-0000-0000-000029B40000}"/>
    <cellStyle name="Remarque 3 5 2 6 8 2" xfId="23869" xr:uid="{00000000-0005-0000-0000-00002AB40000}"/>
    <cellStyle name="Remarque 3 5 2 6 8 3" xfId="47829" xr:uid="{00000000-0005-0000-0000-00002BB40000}"/>
    <cellStyle name="Remarque 3 5 2 6 9" xfId="2306" xr:uid="{00000000-0005-0000-0000-00002CB40000}"/>
    <cellStyle name="Remarque 3 5 2 6 9 2" xfId="26320" xr:uid="{00000000-0005-0000-0000-00002DB40000}"/>
    <cellStyle name="Remarque 3 5 2 6 9 3" xfId="50280" xr:uid="{00000000-0005-0000-0000-00002EB40000}"/>
    <cellStyle name="Remarque 3 5 2 7" xfId="1063" xr:uid="{00000000-0005-0000-0000-00002FB40000}"/>
    <cellStyle name="Remarque 3 5 2 7 10" xfId="25095" xr:uid="{00000000-0005-0000-0000-000030B40000}"/>
    <cellStyle name="Remarque 3 5 2 7 10 2" xfId="49055" xr:uid="{00000000-0005-0000-0000-000031B40000}"/>
    <cellStyle name="Remarque 3 5 2 7 11" xfId="36712" xr:uid="{00000000-0005-0000-0000-000032B40000}"/>
    <cellStyle name="Remarque 3 5 2 7 11 2" xfId="60672" xr:uid="{00000000-0005-0000-0000-000033B40000}"/>
    <cellStyle name="Remarque 3 5 2 7 12" xfId="13760" xr:uid="{00000000-0005-0000-0000-000034B40000}"/>
    <cellStyle name="Remarque 3 5 2 7 13" xfId="37720" xr:uid="{00000000-0005-0000-0000-000035B40000}"/>
    <cellStyle name="Remarque 3 5 2 7 2" xfId="3969" xr:uid="{00000000-0005-0000-0000-000036B40000}"/>
    <cellStyle name="Remarque 3 5 2 7 2 2" xfId="27983" xr:uid="{00000000-0005-0000-0000-000037B40000}"/>
    <cellStyle name="Remarque 3 5 2 7 2 2 2" xfId="51943" xr:uid="{00000000-0005-0000-0000-000038B40000}"/>
    <cellStyle name="Remarque 3 5 2 7 2 3" xfId="15230" xr:uid="{00000000-0005-0000-0000-000039B40000}"/>
    <cellStyle name="Remarque 3 5 2 7 2 4" xfId="39190" xr:uid="{00000000-0005-0000-0000-00003AB40000}"/>
    <cellStyle name="Remarque 3 5 2 7 3" xfId="5403" xr:uid="{00000000-0005-0000-0000-00003BB40000}"/>
    <cellStyle name="Remarque 3 5 2 7 3 2" xfId="29417" xr:uid="{00000000-0005-0000-0000-00003CB40000}"/>
    <cellStyle name="Remarque 3 5 2 7 3 2 2" xfId="53377" xr:uid="{00000000-0005-0000-0000-00003DB40000}"/>
    <cellStyle name="Remarque 3 5 2 7 3 3" xfId="16664" xr:uid="{00000000-0005-0000-0000-00003EB40000}"/>
    <cellStyle name="Remarque 3 5 2 7 3 4" xfId="40624" xr:uid="{00000000-0005-0000-0000-00003FB40000}"/>
    <cellStyle name="Remarque 3 5 2 7 4" xfId="6797" xr:uid="{00000000-0005-0000-0000-000040B40000}"/>
    <cellStyle name="Remarque 3 5 2 7 4 2" xfId="30811" xr:uid="{00000000-0005-0000-0000-000041B40000}"/>
    <cellStyle name="Remarque 3 5 2 7 4 2 2" xfId="54771" xr:uid="{00000000-0005-0000-0000-000042B40000}"/>
    <cellStyle name="Remarque 3 5 2 7 4 3" xfId="18058" xr:uid="{00000000-0005-0000-0000-000043B40000}"/>
    <cellStyle name="Remarque 3 5 2 7 4 4" xfId="42018" xr:uid="{00000000-0005-0000-0000-000044B40000}"/>
    <cellStyle name="Remarque 3 5 2 7 5" xfId="8185" xr:uid="{00000000-0005-0000-0000-000045B40000}"/>
    <cellStyle name="Remarque 3 5 2 7 5 2" xfId="32199" xr:uid="{00000000-0005-0000-0000-000046B40000}"/>
    <cellStyle name="Remarque 3 5 2 7 5 2 2" xfId="56159" xr:uid="{00000000-0005-0000-0000-000047B40000}"/>
    <cellStyle name="Remarque 3 5 2 7 5 3" xfId="19446" xr:uid="{00000000-0005-0000-0000-000048B40000}"/>
    <cellStyle name="Remarque 3 5 2 7 5 4" xfId="43406" xr:uid="{00000000-0005-0000-0000-000049B40000}"/>
    <cellStyle name="Remarque 3 5 2 7 6" xfId="9570" xr:uid="{00000000-0005-0000-0000-00004AB40000}"/>
    <cellStyle name="Remarque 3 5 2 7 6 2" xfId="33584" xr:uid="{00000000-0005-0000-0000-00004BB40000}"/>
    <cellStyle name="Remarque 3 5 2 7 6 2 2" xfId="57544" xr:uid="{00000000-0005-0000-0000-00004CB40000}"/>
    <cellStyle name="Remarque 3 5 2 7 6 3" xfId="20831" xr:uid="{00000000-0005-0000-0000-00004DB40000}"/>
    <cellStyle name="Remarque 3 5 2 7 6 4" xfId="44791" xr:uid="{00000000-0005-0000-0000-00004EB40000}"/>
    <cellStyle name="Remarque 3 5 2 7 7" xfId="11027" xr:uid="{00000000-0005-0000-0000-00004FB40000}"/>
    <cellStyle name="Remarque 3 5 2 7 7 2" xfId="35037" xr:uid="{00000000-0005-0000-0000-000050B40000}"/>
    <cellStyle name="Remarque 3 5 2 7 7 2 2" xfId="58997" xr:uid="{00000000-0005-0000-0000-000051B40000}"/>
    <cellStyle name="Remarque 3 5 2 7 7 3" xfId="22294" xr:uid="{00000000-0005-0000-0000-000052B40000}"/>
    <cellStyle name="Remarque 3 5 2 7 7 4" xfId="46254" xr:uid="{00000000-0005-0000-0000-000053B40000}"/>
    <cellStyle name="Remarque 3 5 2 7 8" xfId="12384" xr:uid="{00000000-0005-0000-0000-000054B40000}"/>
    <cellStyle name="Remarque 3 5 2 7 8 2" xfId="23673" xr:uid="{00000000-0005-0000-0000-000055B40000}"/>
    <cellStyle name="Remarque 3 5 2 7 8 3" xfId="47633" xr:uid="{00000000-0005-0000-0000-000056B40000}"/>
    <cellStyle name="Remarque 3 5 2 7 9" xfId="2499" xr:uid="{00000000-0005-0000-0000-000057B40000}"/>
    <cellStyle name="Remarque 3 5 2 7 9 2" xfId="26513" xr:uid="{00000000-0005-0000-0000-000058B40000}"/>
    <cellStyle name="Remarque 3 5 2 7 9 3" xfId="50473" xr:uid="{00000000-0005-0000-0000-000059B40000}"/>
    <cellStyle name="Remarque 3 5 2 8" xfId="1230" xr:uid="{00000000-0005-0000-0000-00005AB40000}"/>
    <cellStyle name="Remarque 3 5 2 8 10" xfId="25262" xr:uid="{00000000-0005-0000-0000-00005BB40000}"/>
    <cellStyle name="Remarque 3 5 2 8 10 2" xfId="49222" xr:uid="{00000000-0005-0000-0000-00005CB40000}"/>
    <cellStyle name="Remarque 3 5 2 8 11" xfId="35666" xr:uid="{00000000-0005-0000-0000-00005DB40000}"/>
    <cellStyle name="Remarque 3 5 2 8 11 2" xfId="59626" xr:uid="{00000000-0005-0000-0000-00005EB40000}"/>
    <cellStyle name="Remarque 3 5 2 8 12" xfId="13927" xr:uid="{00000000-0005-0000-0000-00005FB40000}"/>
    <cellStyle name="Remarque 3 5 2 8 13" xfId="37887" xr:uid="{00000000-0005-0000-0000-000060B40000}"/>
    <cellStyle name="Remarque 3 5 2 8 2" xfId="4136" xr:uid="{00000000-0005-0000-0000-000061B40000}"/>
    <cellStyle name="Remarque 3 5 2 8 2 2" xfId="28150" xr:uid="{00000000-0005-0000-0000-000062B40000}"/>
    <cellStyle name="Remarque 3 5 2 8 2 2 2" xfId="52110" xr:uid="{00000000-0005-0000-0000-000063B40000}"/>
    <cellStyle name="Remarque 3 5 2 8 2 3" xfId="15397" xr:uid="{00000000-0005-0000-0000-000064B40000}"/>
    <cellStyle name="Remarque 3 5 2 8 2 4" xfId="39357" xr:uid="{00000000-0005-0000-0000-000065B40000}"/>
    <cellStyle name="Remarque 3 5 2 8 3" xfId="5570" xr:uid="{00000000-0005-0000-0000-000066B40000}"/>
    <cellStyle name="Remarque 3 5 2 8 3 2" xfId="29584" xr:uid="{00000000-0005-0000-0000-000067B40000}"/>
    <cellStyle name="Remarque 3 5 2 8 3 2 2" xfId="53544" xr:uid="{00000000-0005-0000-0000-000068B40000}"/>
    <cellStyle name="Remarque 3 5 2 8 3 3" xfId="16831" xr:uid="{00000000-0005-0000-0000-000069B40000}"/>
    <cellStyle name="Remarque 3 5 2 8 3 4" xfId="40791" xr:uid="{00000000-0005-0000-0000-00006AB40000}"/>
    <cellStyle name="Remarque 3 5 2 8 4" xfId="6964" xr:uid="{00000000-0005-0000-0000-00006BB40000}"/>
    <cellStyle name="Remarque 3 5 2 8 4 2" xfId="30978" xr:uid="{00000000-0005-0000-0000-00006CB40000}"/>
    <cellStyle name="Remarque 3 5 2 8 4 2 2" xfId="54938" xr:uid="{00000000-0005-0000-0000-00006DB40000}"/>
    <cellStyle name="Remarque 3 5 2 8 4 3" xfId="18225" xr:uid="{00000000-0005-0000-0000-00006EB40000}"/>
    <cellStyle name="Remarque 3 5 2 8 4 4" xfId="42185" xr:uid="{00000000-0005-0000-0000-00006FB40000}"/>
    <cellStyle name="Remarque 3 5 2 8 5" xfId="8352" xr:uid="{00000000-0005-0000-0000-000070B40000}"/>
    <cellStyle name="Remarque 3 5 2 8 5 2" xfId="32366" xr:uid="{00000000-0005-0000-0000-000071B40000}"/>
    <cellStyle name="Remarque 3 5 2 8 5 2 2" xfId="56326" xr:uid="{00000000-0005-0000-0000-000072B40000}"/>
    <cellStyle name="Remarque 3 5 2 8 5 3" xfId="19613" xr:uid="{00000000-0005-0000-0000-000073B40000}"/>
    <cellStyle name="Remarque 3 5 2 8 5 4" xfId="43573" xr:uid="{00000000-0005-0000-0000-000074B40000}"/>
    <cellStyle name="Remarque 3 5 2 8 6" xfId="9737" xr:uid="{00000000-0005-0000-0000-000075B40000}"/>
    <cellStyle name="Remarque 3 5 2 8 6 2" xfId="33751" xr:uid="{00000000-0005-0000-0000-000076B40000}"/>
    <cellStyle name="Remarque 3 5 2 8 6 2 2" xfId="57711" xr:uid="{00000000-0005-0000-0000-000077B40000}"/>
    <cellStyle name="Remarque 3 5 2 8 6 3" xfId="20998" xr:uid="{00000000-0005-0000-0000-000078B40000}"/>
    <cellStyle name="Remarque 3 5 2 8 6 4" xfId="44958" xr:uid="{00000000-0005-0000-0000-000079B40000}"/>
    <cellStyle name="Remarque 3 5 2 8 7" xfId="11194" xr:uid="{00000000-0005-0000-0000-00007AB40000}"/>
    <cellStyle name="Remarque 3 5 2 8 7 2" xfId="35204" xr:uid="{00000000-0005-0000-0000-00007BB40000}"/>
    <cellStyle name="Remarque 3 5 2 8 7 2 2" xfId="59164" xr:uid="{00000000-0005-0000-0000-00007CB40000}"/>
    <cellStyle name="Remarque 3 5 2 8 7 3" xfId="22461" xr:uid="{00000000-0005-0000-0000-00007DB40000}"/>
    <cellStyle name="Remarque 3 5 2 8 7 4" xfId="46421" xr:uid="{00000000-0005-0000-0000-00007EB40000}"/>
    <cellStyle name="Remarque 3 5 2 8 8" xfId="11893" xr:uid="{00000000-0005-0000-0000-00007FB40000}"/>
    <cellStyle name="Remarque 3 5 2 8 8 2" xfId="23170" xr:uid="{00000000-0005-0000-0000-000080B40000}"/>
    <cellStyle name="Remarque 3 5 2 8 8 3" xfId="47130" xr:uid="{00000000-0005-0000-0000-000081B40000}"/>
    <cellStyle name="Remarque 3 5 2 8 9" xfId="2666" xr:uid="{00000000-0005-0000-0000-000082B40000}"/>
    <cellStyle name="Remarque 3 5 2 8 9 2" xfId="26680" xr:uid="{00000000-0005-0000-0000-000083B40000}"/>
    <cellStyle name="Remarque 3 5 2 8 9 3" xfId="50640" xr:uid="{00000000-0005-0000-0000-000084B40000}"/>
    <cellStyle name="Remarque 3 5 2 9" xfId="1399" xr:uid="{00000000-0005-0000-0000-000085B40000}"/>
    <cellStyle name="Remarque 3 5 2 9 10" xfId="25431" xr:uid="{00000000-0005-0000-0000-000086B40000}"/>
    <cellStyle name="Remarque 3 5 2 9 10 2" xfId="49391" xr:uid="{00000000-0005-0000-0000-000087B40000}"/>
    <cellStyle name="Remarque 3 5 2 9 11" xfId="36045" xr:uid="{00000000-0005-0000-0000-000088B40000}"/>
    <cellStyle name="Remarque 3 5 2 9 11 2" xfId="60005" xr:uid="{00000000-0005-0000-0000-000089B40000}"/>
    <cellStyle name="Remarque 3 5 2 9 12" xfId="14096" xr:uid="{00000000-0005-0000-0000-00008AB40000}"/>
    <cellStyle name="Remarque 3 5 2 9 13" xfId="38056" xr:uid="{00000000-0005-0000-0000-00008BB40000}"/>
    <cellStyle name="Remarque 3 5 2 9 2" xfId="4305" xr:uid="{00000000-0005-0000-0000-00008CB40000}"/>
    <cellStyle name="Remarque 3 5 2 9 2 2" xfId="28319" xr:uid="{00000000-0005-0000-0000-00008DB40000}"/>
    <cellStyle name="Remarque 3 5 2 9 2 2 2" xfId="52279" xr:uid="{00000000-0005-0000-0000-00008EB40000}"/>
    <cellStyle name="Remarque 3 5 2 9 2 3" xfId="15566" xr:uid="{00000000-0005-0000-0000-00008FB40000}"/>
    <cellStyle name="Remarque 3 5 2 9 2 4" xfId="39526" xr:uid="{00000000-0005-0000-0000-000090B40000}"/>
    <cellStyle name="Remarque 3 5 2 9 3" xfId="5739" xr:uid="{00000000-0005-0000-0000-000091B40000}"/>
    <cellStyle name="Remarque 3 5 2 9 3 2" xfId="29753" xr:uid="{00000000-0005-0000-0000-000092B40000}"/>
    <cellStyle name="Remarque 3 5 2 9 3 2 2" xfId="53713" xr:uid="{00000000-0005-0000-0000-000093B40000}"/>
    <cellStyle name="Remarque 3 5 2 9 3 3" xfId="17000" xr:uid="{00000000-0005-0000-0000-000094B40000}"/>
    <cellStyle name="Remarque 3 5 2 9 3 4" xfId="40960" xr:uid="{00000000-0005-0000-0000-000095B40000}"/>
    <cellStyle name="Remarque 3 5 2 9 4" xfId="7133" xr:uid="{00000000-0005-0000-0000-000096B40000}"/>
    <cellStyle name="Remarque 3 5 2 9 4 2" xfId="31147" xr:uid="{00000000-0005-0000-0000-000097B40000}"/>
    <cellStyle name="Remarque 3 5 2 9 4 2 2" xfId="55107" xr:uid="{00000000-0005-0000-0000-000098B40000}"/>
    <cellStyle name="Remarque 3 5 2 9 4 3" xfId="18394" xr:uid="{00000000-0005-0000-0000-000099B40000}"/>
    <cellStyle name="Remarque 3 5 2 9 4 4" xfId="42354" xr:uid="{00000000-0005-0000-0000-00009AB40000}"/>
    <cellStyle name="Remarque 3 5 2 9 5" xfId="8521" xr:uid="{00000000-0005-0000-0000-00009BB40000}"/>
    <cellStyle name="Remarque 3 5 2 9 5 2" xfId="32535" xr:uid="{00000000-0005-0000-0000-00009CB40000}"/>
    <cellStyle name="Remarque 3 5 2 9 5 2 2" xfId="56495" xr:uid="{00000000-0005-0000-0000-00009DB40000}"/>
    <cellStyle name="Remarque 3 5 2 9 5 3" xfId="19782" xr:uid="{00000000-0005-0000-0000-00009EB40000}"/>
    <cellStyle name="Remarque 3 5 2 9 5 4" xfId="43742" xr:uid="{00000000-0005-0000-0000-00009FB40000}"/>
    <cellStyle name="Remarque 3 5 2 9 6" xfId="9906" xr:uid="{00000000-0005-0000-0000-0000A0B40000}"/>
    <cellStyle name="Remarque 3 5 2 9 6 2" xfId="33920" xr:uid="{00000000-0005-0000-0000-0000A1B40000}"/>
    <cellStyle name="Remarque 3 5 2 9 6 2 2" xfId="57880" xr:uid="{00000000-0005-0000-0000-0000A2B40000}"/>
    <cellStyle name="Remarque 3 5 2 9 6 3" xfId="21167" xr:uid="{00000000-0005-0000-0000-0000A3B40000}"/>
    <cellStyle name="Remarque 3 5 2 9 6 4" xfId="45127" xr:uid="{00000000-0005-0000-0000-0000A4B40000}"/>
    <cellStyle name="Remarque 3 5 2 9 7" xfId="11363" xr:uid="{00000000-0005-0000-0000-0000A5B40000}"/>
    <cellStyle name="Remarque 3 5 2 9 7 2" xfId="35373" xr:uid="{00000000-0005-0000-0000-0000A6B40000}"/>
    <cellStyle name="Remarque 3 5 2 9 7 2 2" xfId="59333" xr:uid="{00000000-0005-0000-0000-0000A7B40000}"/>
    <cellStyle name="Remarque 3 5 2 9 7 3" xfId="22630" xr:uid="{00000000-0005-0000-0000-0000A8B40000}"/>
    <cellStyle name="Remarque 3 5 2 9 7 4" xfId="46590" xr:uid="{00000000-0005-0000-0000-0000A9B40000}"/>
    <cellStyle name="Remarque 3 5 2 9 8" xfId="12332" xr:uid="{00000000-0005-0000-0000-0000AAB40000}"/>
    <cellStyle name="Remarque 3 5 2 9 8 2" xfId="23620" xr:uid="{00000000-0005-0000-0000-0000ABB40000}"/>
    <cellStyle name="Remarque 3 5 2 9 8 3" xfId="47580" xr:uid="{00000000-0005-0000-0000-0000ACB40000}"/>
    <cellStyle name="Remarque 3 5 2 9 9" xfId="2835" xr:uid="{00000000-0005-0000-0000-0000ADB40000}"/>
    <cellStyle name="Remarque 3 5 2 9 9 2" xfId="26849" xr:uid="{00000000-0005-0000-0000-0000AEB40000}"/>
    <cellStyle name="Remarque 3 5 2 9 9 3" xfId="50809" xr:uid="{00000000-0005-0000-0000-0000AFB40000}"/>
    <cellStyle name="Remarque 3 5 20" xfId="12433" xr:uid="{00000000-0005-0000-0000-0000B0B40000}"/>
    <cellStyle name="Remarque 3 5 20 2" xfId="23725" xr:uid="{00000000-0005-0000-0000-0000B1B40000}"/>
    <cellStyle name="Remarque 3 5 20 3" xfId="47685" xr:uid="{00000000-0005-0000-0000-0000B2B40000}"/>
    <cellStyle name="Remarque 3 5 21" xfId="1660" xr:uid="{00000000-0005-0000-0000-0000B3B40000}"/>
    <cellStyle name="Remarque 3 5 21 2" xfId="25674" xr:uid="{00000000-0005-0000-0000-0000B4B40000}"/>
    <cellStyle name="Remarque 3 5 21 3" xfId="49634" xr:uid="{00000000-0005-0000-0000-0000B5B40000}"/>
    <cellStyle name="Remarque 3 5 22" xfId="24228" xr:uid="{00000000-0005-0000-0000-0000B6B40000}"/>
    <cellStyle name="Remarque 3 5 22 2" xfId="48188" xr:uid="{00000000-0005-0000-0000-0000B7B40000}"/>
    <cellStyle name="Remarque 3 5 23" xfId="36183" xr:uid="{00000000-0005-0000-0000-0000B8B40000}"/>
    <cellStyle name="Remarque 3 5 23 2" xfId="60143" xr:uid="{00000000-0005-0000-0000-0000B9B40000}"/>
    <cellStyle name="Remarque 3 5 24" xfId="12940" xr:uid="{00000000-0005-0000-0000-0000BAB40000}"/>
    <cellStyle name="Remarque 3 5 25" xfId="36881" xr:uid="{00000000-0005-0000-0000-0000BBB40000}"/>
    <cellStyle name="Remarque 3 5 26" xfId="196" xr:uid="{00000000-0005-0000-0000-0000BCB40000}"/>
    <cellStyle name="Remarque 3 5 3" xfId="156" xr:uid="{00000000-0005-0000-0000-0000BDB40000}"/>
    <cellStyle name="Remarque 3 5 3 10" xfId="6152" xr:uid="{00000000-0005-0000-0000-0000BEB40000}"/>
    <cellStyle name="Remarque 3 5 3 10 2" xfId="30166" xr:uid="{00000000-0005-0000-0000-0000BFB40000}"/>
    <cellStyle name="Remarque 3 5 3 10 2 2" xfId="54126" xr:uid="{00000000-0005-0000-0000-0000C0B40000}"/>
    <cellStyle name="Remarque 3 5 3 10 3" xfId="17413" xr:uid="{00000000-0005-0000-0000-0000C1B40000}"/>
    <cellStyle name="Remarque 3 5 3 10 4" xfId="41373" xr:uid="{00000000-0005-0000-0000-0000C2B40000}"/>
    <cellStyle name="Remarque 3 5 3 11" xfId="7540" xr:uid="{00000000-0005-0000-0000-0000C3B40000}"/>
    <cellStyle name="Remarque 3 5 3 11 2" xfId="31554" xr:uid="{00000000-0005-0000-0000-0000C4B40000}"/>
    <cellStyle name="Remarque 3 5 3 11 2 2" xfId="55514" xr:uid="{00000000-0005-0000-0000-0000C5B40000}"/>
    <cellStyle name="Remarque 3 5 3 11 3" xfId="18801" xr:uid="{00000000-0005-0000-0000-0000C6B40000}"/>
    <cellStyle name="Remarque 3 5 3 11 4" xfId="42761" xr:uid="{00000000-0005-0000-0000-0000C7B40000}"/>
    <cellStyle name="Remarque 3 5 3 12" xfId="8925" xr:uid="{00000000-0005-0000-0000-0000C8B40000}"/>
    <cellStyle name="Remarque 3 5 3 12 2" xfId="32939" xr:uid="{00000000-0005-0000-0000-0000C9B40000}"/>
    <cellStyle name="Remarque 3 5 3 12 2 2" xfId="56899" xr:uid="{00000000-0005-0000-0000-0000CAB40000}"/>
    <cellStyle name="Remarque 3 5 3 12 3" xfId="20186" xr:uid="{00000000-0005-0000-0000-0000CBB40000}"/>
    <cellStyle name="Remarque 3 5 3 12 4" xfId="44146" xr:uid="{00000000-0005-0000-0000-0000CCB40000}"/>
    <cellStyle name="Remarque 3 5 3 13" xfId="10382" xr:uid="{00000000-0005-0000-0000-0000CDB40000}"/>
    <cellStyle name="Remarque 3 5 3 13 2" xfId="34392" xr:uid="{00000000-0005-0000-0000-0000CEB40000}"/>
    <cellStyle name="Remarque 3 5 3 13 2 2" xfId="58352" xr:uid="{00000000-0005-0000-0000-0000CFB40000}"/>
    <cellStyle name="Remarque 3 5 3 13 3" xfId="21649" xr:uid="{00000000-0005-0000-0000-0000D0B40000}"/>
    <cellStyle name="Remarque 3 5 3 13 4" xfId="45609" xr:uid="{00000000-0005-0000-0000-0000D1B40000}"/>
    <cellStyle name="Remarque 3 5 3 14" xfId="11722" xr:uid="{00000000-0005-0000-0000-0000D2B40000}"/>
    <cellStyle name="Remarque 3 5 3 14 2" xfId="22993" xr:uid="{00000000-0005-0000-0000-0000D3B40000}"/>
    <cellStyle name="Remarque 3 5 3 14 3" xfId="46953" xr:uid="{00000000-0005-0000-0000-0000D4B40000}"/>
    <cellStyle name="Remarque 3 5 3 15" xfId="1854" xr:uid="{00000000-0005-0000-0000-0000D5B40000}"/>
    <cellStyle name="Remarque 3 5 3 15 2" xfId="25868" xr:uid="{00000000-0005-0000-0000-0000D6B40000}"/>
    <cellStyle name="Remarque 3 5 3 15 3" xfId="49828" xr:uid="{00000000-0005-0000-0000-0000D7B40000}"/>
    <cellStyle name="Remarque 3 5 3 16" xfId="24450" xr:uid="{00000000-0005-0000-0000-0000D8B40000}"/>
    <cellStyle name="Remarque 3 5 3 16 2" xfId="48410" xr:uid="{00000000-0005-0000-0000-0000D9B40000}"/>
    <cellStyle name="Remarque 3 5 3 17" xfId="23573" xr:uid="{00000000-0005-0000-0000-0000DAB40000}"/>
    <cellStyle name="Remarque 3 5 3 17 2" xfId="47533" xr:uid="{00000000-0005-0000-0000-0000DBB40000}"/>
    <cellStyle name="Remarque 3 5 3 18" xfId="13115" xr:uid="{00000000-0005-0000-0000-0000DCB40000}"/>
    <cellStyle name="Remarque 3 5 3 19" xfId="37075" xr:uid="{00000000-0005-0000-0000-0000DDB40000}"/>
    <cellStyle name="Remarque 3 5 3 2" xfId="554" xr:uid="{00000000-0005-0000-0000-0000DEB40000}"/>
    <cellStyle name="Remarque 3 5 3 2 10" xfId="24586" xr:uid="{00000000-0005-0000-0000-0000DFB40000}"/>
    <cellStyle name="Remarque 3 5 3 2 10 2" xfId="48546" xr:uid="{00000000-0005-0000-0000-0000E0B40000}"/>
    <cellStyle name="Remarque 3 5 3 2 11" xfId="36003" xr:uid="{00000000-0005-0000-0000-0000E1B40000}"/>
    <cellStyle name="Remarque 3 5 3 2 11 2" xfId="59963" xr:uid="{00000000-0005-0000-0000-0000E2B40000}"/>
    <cellStyle name="Remarque 3 5 3 2 12" xfId="13251" xr:uid="{00000000-0005-0000-0000-0000E3B40000}"/>
    <cellStyle name="Remarque 3 5 3 2 13" xfId="37211" xr:uid="{00000000-0005-0000-0000-0000E4B40000}"/>
    <cellStyle name="Remarque 3 5 3 2 2" xfId="3460" xr:uid="{00000000-0005-0000-0000-0000E5B40000}"/>
    <cellStyle name="Remarque 3 5 3 2 2 2" xfId="27474" xr:uid="{00000000-0005-0000-0000-0000E6B40000}"/>
    <cellStyle name="Remarque 3 5 3 2 2 2 2" xfId="51434" xr:uid="{00000000-0005-0000-0000-0000E7B40000}"/>
    <cellStyle name="Remarque 3 5 3 2 2 3" xfId="14721" xr:uid="{00000000-0005-0000-0000-0000E8B40000}"/>
    <cellStyle name="Remarque 3 5 3 2 2 4" xfId="38681" xr:uid="{00000000-0005-0000-0000-0000E9B40000}"/>
    <cellStyle name="Remarque 3 5 3 2 3" xfId="4894" xr:uid="{00000000-0005-0000-0000-0000EAB40000}"/>
    <cellStyle name="Remarque 3 5 3 2 3 2" xfId="28908" xr:uid="{00000000-0005-0000-0000-0000EBB40000}"/>
    <cellStyle name="Remarque 3 5 3 2 3 2 2" xfId="52868" xr:uid="{00000000-0005-0000-0000-0000ECB40000}"/>
    <cellStyle name="Remarque 3 5 3 2 3 3" xfId="16155" xr:uid="{00000000-0005-0000-0000-0000EDB40000}"/>
    <cellStyle name="Remarque 3 5 3 2 3 4" xfId="40115" xr:uid="{00000000-0005-0000-0000-0000EEB40000}"/>
    <cellStyle name="Remarque 3 5 3 2 4" xfId="6288" xr:uid="{00000000-0005-0000-0000-0000EFB40000}"/>
    <cellStyle name="Remarque 3 5 3 2 4 2" xfId="30302" xr:uid="{00000000-0005-0000-0000-0000F0B40000}"/>
    <cellStyle name="Remarque 3 5 3 2 4 2 2" xfId="54262" xr:uid="{00000000-0005-0000-0000-0000F1B40000}"/>
    <cellStyle name="Remarque 3 5 3 2 4 3" xfId="17549" xr:uid="{00000000-0005-0000-0000-0000F2B40000}"/>
    <cellStyle name="Remarque 3 5 3 2 4 4" xfId="41509" xr:uid="{00000000-0005-0000-0000-0000F3B40000}"/>
    <cellStyle name="Remarque 3 5 3 2 5" xfId="7676" xr:uid="{00000000-0005-0000-0000-0000F4B40000}"/>
    <cellStyle name="Remarque 3 5 3 2 5 2" xfId="31690" xr:uid="{00000000-0005-0000-0000-0000F5B40000}"/>
    <cellStyle name="Remarque 3 5 3 2 5 2 2" xfId="55650" xr:uid="{00000000-0005-0000-0000-0000F6B40000}"/>
    <cellStyle name="Remarque 3 5 3 2 5 3" xfId="18937" xr:uid="{00000000-0005-0000-0000-0000F7B40000}"/>
    <cellStyle name="Remarque 3 5 3 2 5 4" xfId="42897" xr:uid="{00000000-0005-0000-0000-0000F8B40000}"/>
    <cellStyle name="Remarque 3 5 3 2 6" xfId="9061" xr:uid="{00000000-0005-0000-0000-0000F9B40000}"/>
    <cellStyle name="Remarque 3 5 3 2 6 2" xfId="33075" xr:uid="{00000000-0005-0000-0000-0000FAB40000}"/>
    <cellStyle name="Remarque 3 5 3 2 6 2 2" xfId="57035" xr:uid="{00000000-0005-0000-0000-0000FBB40000}"/>
    <cellStyle name="Remarque 3 5 3 2 6 3" xfId="20322" xr:uid="{00000000-0005-0000-0000-0000FCB40000}"/>
    <cellStyle name="Remarque 3 5 3 2 6 4" xfId="44282" xr:uid="{00000000-0005-0000-0000-0000FDB40000}"/>
    <cellStyle name="Remarque 3 5 3 2 7" xfId="10518" xr:uid="{00000000-0005-0000-0000-0000FEB40000}"/>
    <cellStyle name="Remarque 3 5 3 2 7 2" xfId="34528" xr:uid="{00000000-0005-0000-0000-0000FFB40000}"/>
    <cellStyle name="Remarque 3 5 3 2 7 2 2" xfId="58488" xr:uid="{00000000-0005-0000-0000-000000B50000}"/>
    <cellStyle name="Remarque 3 5 3 2 7 3" xfId="21785" xr:uid="{00000000-0005-0000-0000-000001B50000}"/>
    <cellStyle name="Remarque 3 5 3 2 7 4" xfId="45745" xr:uid="{00000000-0005-0000-0000-000002B50000}"/>
    <cellStyle name="Remarque 3 5 3 2 8" xfId="12222" xr:uid="{00000000-0005-0000-0000-000003B50000}"/>
    <cellStyle name="Remarque 3 5 3 2 8 2" xfId="23506" xr:uid="{00000000-0005-0000-0000-000004B50000}"/>
    <cellStyle name="Remarque 3 5 3 2 8 3" xfId="47466" xr:uid="{00000000-0005-0000-0000-000005B50000}"/>
    <cellStyle name="Remarque 3 5 3 2 9" xfId="1990" xr:uid="{00000000-0005-0000-0000-000006B50000}"/>
    <cellStyle name="Remarque 3 5 3 2 9 2" xfId="26004" xr:uid="{00000000-0005-0000-0000-000007B50000}"/>
    <cellStyle name="Remarque 3 5 3 2 9 3" xfId="49964" xr:uid="{00000000-0005-0000-0000-000008B50000}"/>
    <cellStyle name="Remarque 3 5 3 20" xfId="418" xr:uid="{00000000-0005-0000-0000-000009B50000}"/>
    <cellStyle name="Remarque 3 5 3 3" xfId="746" xr:uid="{00000000-0005-0000-0000-00000AB50000}"/>
    <cellStyle name="Remarque 3 5 3 3 10" xfId="24778" xr:uid="{00000000-0005-0000-0000-00000BB50000}"/>
    <cellStyle name="Remarque 3 5 3 3 10 2" xfId="48738" xr:uid="{00000000-0005-0000-0000-00000CB50000}"/>
    <cellStyle name="Remarque 3 5 3 3 11" xfId="36188" xr:uid="{00000000-0005-0000-0000-00000DB50000}"/>
    <cellStyle name="Remarque 3 5 3 3 11 2" xfId="60148" xr:uid="{00000000-0005-0000-0000-00000EB50000}"/>
    <cellStyle name="Remarque 3 5 3 3 12" xfId="13443" xr:uid="{00000000-0005-0000-0000-00000FB50000}"/>
    <cellStyle name="Remarque 3 5 3 3 13" xfId="37403" xr:uid="{00000000-0005-0000-0000-000010B50000}"/>
    <cellStyle name="Remarque 3 5 3 3 2" xfId="3652" xr:uid="{00000000-0005-0000-0000-000011B50000}"/>
    <cellStyle name="Remarque 3 5 3 3 2 2" xfId="27666" xr:uid="{00000000-0005-0000-0000-000012B50000}"/>
    <cellStyle name="Remarque 3 5 3 3 2 2 2" xfId="51626" xr:uid="{00000000-0005-0000-0000-000013B50000}"/>
    <cellStyle name="Remarque 3 5 3 3 2 3" xfId="14913" xr:uid="{00000000-0005-0000-0000-000014B50000}"/>
    <cellStyle name="Remarque 3 5 3 3 2 4" xfId="38873" xr:uid="{00000000-0005-0000-0000-000015B50000}"/>
    <cellStyle name="Remarque 3 5 3 3 3" xfId="5086" xr:uid="{00000000-0005-0000-0000-000016B50000}"/>
    <cellStyle name="Remarque 3 5 3 3 3 2" xfId="29100" xr:uid="{00000000-0005-0000-0000-000017B50000}"/>
    <cellStyle name="Remarque 3 5 3 3 3 2 2" xfId="53060" xr:uid="{00000000-0005-0000-0000-000018B50000}"/>
    <cellStyle name="Remarque 3 5 3 3 3 3" xfId="16347" xr:uid="{00000000-0005-0000-0000-000019B50000}"/>
    <cellStyle name="Remarque 3 5 3 3 3 4" xfId="40307" xr:uid="{00000000-0005-0000-0000-00001AB50000}"/>
    <cellStyle name="Remarque 3 5 3 3 4" xfId="6480" xr:uid="{00000000-0005-0000-0000-00001BB50000}"/>
    <cellStyle name="Remarque 3 5 3 3 4 2" xfId="30494" xr:uid="{00000000-0005-0000-0000-00001CB50000}"/>
    <cellStyle name="Remarque 3 5 3 3 4 2 2" xfId="54454" xr:uid="{00000000-0005-0000-0000-00001DB50000}"/>
    <cellStyle name="Remarque 3 5 3 3 4 3" xfId="17741" xr:uid="{00000000-0005-0000-0000-00001EB50000}"/>
    <cellStyle name="Remarque 3 5 3 3 4 4" xfId="41701" xr:uid="{00000000-0005-0000-0000-00001FB50000}"/>
    <cellStyle name="Remarque 3 5 3 3 5" xfId="7868" xr:uid="{00000000-0005-0000-0000-000020B50000}"/>
    <cellStyle name="Remarque 3 5 3 3 5 2" xfId="31882" xr:uid="{00000000-0005-0000-0000-000021B50000}"/>
    <cellStyle name="Remarque 3 5 3 3 5 2 2" xfId="55842" xr:uid="{00000000-0005-0000-0000-000022B50000}"/>
    <cellStyle name="Remarque 3 5 3 3 5 3" xfId="19129" xr:uid="{00000000-0005-0000-0000-000023B50000}"/>
    <cellStyle name="Remarque 3 5 3 3 5 4" xfId="43089" xr:uid="{00000000-0005-0000-0000-000024B50000}"/>
    <cellStyle name="Remarque 3 5 3 3 6" xfId="9253" xr:uid="{00000000-0005-0000-0000-000025B50000}"/>
    <cellStyle name="Remarque 3 5 3 3 6 2" xfId="33267" xr:uid="{00000000-0005-0000-0000-000026B50000}"/>
    <cellStyle name="Remarque 3 5 3 3 6 2 2" xfId="57227" xr:uid="{00000000-0005-0000-0000-000027B50000}"/>
    <cellStyle name="Remarque 3 5 3 3 6 3" xfId="20514" xr:uid="{00000000-0005-0000-0000-000028B50000}"/>
    <cellStyle name="Remarque 3 5 3 3 6 4" xfId="44474" xr:uid="{00000000-0005-0000-0000-000029B50000}"/>
    <cellStyle name="Remarque 3 5 3 3 7" xfId="10710" xr:uid="{00000000-0005-0000-0000-00002AB50000}"/>
    <cellStyle name="Remarque 3 5 3 3 7 2" xfId="34720" xr:uid="{00000000-0005-0000-0000-00002BB50000}"/>
    <cellStyle name="Remarque 3 5 3 3 7 2 2" xfId="58680" xr:uid="{00000000-0005-0000-0000-00002CB50000}"/>
    <cellStyle name="Remarque 3 5 3 3 7 3" xfId="21977" xr:uid="{00000000-0005-0000-0000-00002DB50000}"/>
    <cellStyle name="Remarque 3 5 3 3 7 4" xfId="45937" xr:uid="{00000000-0005-0000-0000-00002EB50000}"/>
    <cellStyle name="Remarque 3 5 3 3 8" xfId="12761" xr:uid="{00000000-0005-0000-0000-00002FB50000}"/>
    <cellStyle name="Remarque 3 5 3 3 8 2" xfId="24068" xr:uid="{00000000-0005-0000-0000-000030B50000}"/>
    <cellStyle name="Remarque 3 5 3 3 8 3" xfId="48028" xr:uid="{00000000-0005-0000-0000-000031B50000}"/>
    <cellStyle name="Remarque 3 5 3 3 9" xfId="2182" xr:uid="{00000000-0005-0000-0000-000032B50000}"/>
    <cellStyle name="Remarque 3 5 3 3 9 2" xfId="26196" xr:uid="{00000000-0005-0000-0000-000033B50000}"/>
    <cellStyle name="Remarque 3 5 3 3 9 3" xfId="50156" xr:uid="{00000000-0005-0000-0000-000034B50000}"/>
    <cellStyle name="Remarque 3 5 3 4" xfId="940" xr:uid="{00000000-0005-0000-0000-000035B50000}"/>
    <cellStyle name="Remarque 3 5 3 4 10" xfId="24972" xr:uid="{00000000-0005-0000-0000-000036B50000}"/>
    <cellStyle name="Remarque 3 5 3 4 10 2" xfId="48932" xr:uid="{00000000-0005-0000-0000-000037B50000}"/>
    <cellStyle name="Remarque 3 5 3 4 11" xfId="36081" xr:uid="{00000000-0005-0000-0000-000038B50000}"/>
    <cellStyle name="Remarque 3 5 3 4 11 2" xfId="60041" xr:uid="{00000000-0005-0000-0000-000039B50000}"/>
    <cellStyle name="Remarque 3 5 3 4 12" xfId="13637" xr:uid="{00000000-0005-0000-0000-00003AB50000}"/>
    <cellStyle name="Remarque 3 5 3 4 13" xfId="37597" xr:uid="{00000000-0005-0000-0000-00003BB50000}"/>
    <cellStyle name="Remarque 3 5 3 4 2" xfId="3846" xr:uid="{00000000-0005-0000-0000-00003CB50000}"/>
    <cellStyle name="Remarque 3 5 3 4 2 2" xfId="27860" xr:uid="{00000000-0005-0000-0000-00003DB50000}"/>
    <cellStyle name="Remarque 3 5 3 4 2 2 2" xfId="51820" xr:uid="{00000000-0005-0000-0000-00003EB50000}"/>
    <cellStyle name="Remarque 3 5 3 4 2 3" xfId="15107" xr:uid="{00000000-0005-0000-0000-00003FB50000}"/>
    <cellStyle name="Remarque 3 5 3 4 2 4" xfId="39067" xr:uid="{00000000-0005-0000-0000-000040B50000}"/>
    <cellStyle name="Remarque 3 5 3 4 3" xfId="5280" xr:uid="{00000000-0005-0000-0000-000041B50000}"/>
    <cellStyle name="Remarque 3 5 3 4 3 2" xfId="29294" xr:uid="{00000000-0005-0000-0000-000042B50000}"/>
    <cellStyle name="Remarque 3 5 3 4 3 2 2" xfId="53254" xr:uid="{00000000-0005-0000-0000-000043B50000}"/>
    <cellStyle name="Remarque 3 5 3 4 3 3" xfId="16541" xr:uid="{00000000-0005-0000-0000-000044B50000}"/>
    <cellStyle name="Remarque 3 5 3 4 3 4" xfId="40501" xr:uid="{00000000-0005-0000-0000-000045B50000}"/>
    <cellStyle name="Remarque 3 5 3 4 4" xfId="6674" xr:uid="{00000000-0005-0000-0000-000046B50000}"/>
    <cellStyle name="Remarque 3 5 3 4 4 2" xfId="30688" xr:uid="{00000000-0005-0000-0000-000047B50000}"/>
    <cellStyle name="Remarque 3 5 3 4 4 2 2" xfId="54648" xr:uid="{00000000-0005-0000-0000-000048B50000}"/>
    <cellStyle name="Remarque 3 5 3 4 4 3" xfId="17935" xr:uid="{00000000-0005-0000-0000-000049B50000}"/>
    <cellStyle name="Remarque 3 5 3 4 4 4" xfId="41895" xr:uid="{00000000-0005-0000-0000-00004AB50000}"/>
    <cellStyle name="Remarque 3 5 3 4 5" xfId="8062" xr:uid="{00000000-0005-0000-0000-00004BB50000}"/>
    <cellStyle name="Remarque 3 5 3 4 5 2" xfId="32076" xr:uid="{00000000-0005-0000-0000-00004CB50000}"/>
    <cellStyle name="Remarque 3 5 3 4 5 2 2" xfId="56036" xr:uid="{00000000-0005-0000-0000-00004DB50000}"/>
    <cellStyle name="Remarque 3 5 3 4 5 3" xfId="19323" xr:uid="{00000000-0005-0000-0000-00004EB50000}"/>
    <cellStyle name="Remarque 3 5 3 4 5 4" xfId="43283" xr:uid="{00000000-0005-0000-0000-00004FB50000}"/>
    <cellStyle name="Remarque 3 5 3 4 6" xfId="9447" xr:uid="{00000000-0005-0000-0000-000050B50000}"/>
    <cellStyle name="Remarque 3 5 3 4 6 2" xfId="33461" xr:uid="{00000000-0005-0000-0000-000051B50000}"/>
    <cellStyle name="Remarque 3 5 3 4 6 2 2" xfId="57421" xr:uid="{00000000-0005-0000-0000-000052B50000}"/>
    <cellStyle name="Remarque 3 5 3 4 6 3" xfId="20708" xr:uid="{00000000-0005-0000-0000-000053B50000}"/>
    <cellStyle name="Remarque 3 5 3 4 6 4" xfId="44668" xr:uid="{00000000-0005-0000-0000-000054B50000}"/>
    <cellStyle name="Remarque 3 5 3 4 7" xfId="10904" xr:uid="{00000000-0005-0000-0000-000055B50000}"/>
    <cellStyle name="Remarque 3 5 3 4 7 2" xfId="34914" xr:uid="{00000000-0005-0000-0000-000056B50000}"/>
    <cellStyle name="Remarque 3 5 3 4 7 2 2" xfId="58874" xr:uid="{00000000-0005-0000-0000-000057B50000}"/>
    <cellStyle name="Remarque 3 5 3 4 7 3" xfId="22171" xr:uid="{00000000-0005-0000-0000-000058B50000}"/>
    <cellStyle name="Remarque 3 5 3 4 7 4" xfId="46131" xr:uid="{00000000-0005-0000-0000-000059B50000}"/>
    <cellStyle name="Remarque 3 5 3 4 8" xfId="10193" xr:uid="{00000000-0005-0000-0000-00005AB50000}"/>
    <cellStyle name="Remarque 3 5 3 4 8 2" xfId="21458" xr:uid="{00000000-0005-0000-0000-00005BB50000}"/>
    <cellStyle name="Remarque 3 5 3 4 8 3" xfId="45418" xr:uid="{00000000-0005-0000-0000-00005CB50000}"/>
    <cellStyle name="Remarque 3 5 3 4 9" xfId="2376" xr:uid="{00000000-0005-0000-0000-00005DB50000}"/>
    <cellStyle name="Remarque 3 5 3 4 9 2" xfId="26390" xr:uid="{00000000-0005-0000-0000-00005EB50000}"/>
    <cellStyle name="Remarque 3 5 3 4 9 3" xfId="50350" xr:uid="{00000000-0005-0000-0000-00005FB50000}"/>
    <cellStyle name="Remarque 3 5 3 5" xfId="1133" xr:uid="{00000000-0005-0000-0000-000060B50000}"/>
    <cellStyle name="Remarque 3 5 3 5 10" xfId="25165" xr:uid="{00000000-0005-0000-0000-000061B50000}"/>
    <cellStyle name="Remarque 3 5 3 5 10 2" xfId="49125" xr:uid="{00000000-0005-0000-0000-000062B50000}"/>
    <cellStyle name="Remarque 3 5 3 5 11" xfId="36286" xr:uid="{00000000-0005-0000-0000-000063B50000}"/>
    <cellStyle name="Remarque 3 5 3 5 11 2" xfId="60246" xr:uid="{00000000-0005-0000-0000-000064B50000}"/>
    <cellStyle name="Remarque 3 5 3 5 12" xfId="13830" xr:uid="{00000000-0005-0000-0000-000065B50000}"/>
    <cellStyle name="Remarque 3 5 3 5 13" xfId="37790" xr:uid="{00000000-0005-0000-0000-000066B50000}"/>
    <cellStyle name="Remarque 3 5 3 5 2" xfId="4039" xr:uid="{00000000-0005-0000-0000-000067B50000}"/>
    <cellStyle name="Remarque 3 5 3 5 2 2" xfId="28053" xr:uid="{00000000-0005-0000-0000-000068B50000}"/>
    <cellStyle name="Remarque 3 5 3 5 2 2 2" xfId="52013" xr:uid="{00000000-0005-0000-0000-000069B50000}"/>
    <cellStyle name="Remarque 3 5 3 5 2 3" xfId="15300" xr:uid="{00000000-0005-0000-0000-00006AB50000}"/>
    <cellStyle name="Remarque 3 5 3 5 2 4" xfId="39260" xr:uid="{00000000-0005-0000-0000-00006BB50000}"/>
    <cellStyle name="Remarque 3 5 3 5 3" xfId="5473" xr:uid="{00000000-0005-0000-0000-00006CB50000}"/>
    <cellStyle name="Remarque 3 5 3 5 3 2" xfId="29487" xr:uid="{00000000-0005-0000-0000-00006DB50000}"/>
    <cellStyle name="Remarque 3 5 3 5 3 2 2" xfId="53447" xr:uid="{00000000-0005-0000-0000-00006EB50000}"/>
    <cellStyle name="Remarque 3 5 3 5 3 3" xfId="16734" xr:uid="{00000000-0005-0000-0000-00006FB50000}"/>
    <cellStyle name="Remarque 3 5 3 5 3 4" xfId="40694" xr:uid="{00000000-0005-0000-0000-000070B50000}"/>
    <cellStyle name="Remarque 3 5 3 5 4" xfId="6867" xr:uid="{00000000-0005-0000-0000-000071B50000}"/>
    <cellStyle name="Remarque 3 5 3 5 4 2" xfId="30881" xr:uid="{00000000-0005-0000-0000-000072B50000}"/>
    <cellStyle name="Remarque 3 5 3 5 4 2 2" xfId="54841" xr:uid="{00000000-0005-0000-0000-000073B50000}"/>
    <cellStyle name="Remarque 3 5 3 5 4 3" xfId="18128" xr:uid="{00000000-0005-0000-0000-000074B50000}"/>
    <cellStyle name="Remarque 3 5 3 5 4 4" xfId="42088" xr:uid="{00000000-0005-0000-0000-000075B50000}"/>
    <cellStyle name="Remarque 3 5 3 5 5" xfId="8255" xr:uid="{00000000-0005-0000-0000-000076B50000}"/>
    <cellStyle name="Remarque 3 5 3 5 5 2" xfId="32269" xr:uid="{00000000-0005-0000-0000-000077B50000}"/>
    <cellStyle name="Remarque 3 5 3 5 5 2 2" xfId="56229" xr:uid="{00000000-0005-0000-0000-000078B50000}"/>
    <cellStyle name="Remarque 3 5 3 5 5 3" xfId="19516" xr:uid="{00000000-0005-0000-0000-000079B50000}"/>
    <cellStyle name="Remarque 3 5 3 5 5 4" xfId="43476" xr:uid="{00000000-0005-0000-0000-00007AB50000}"/>
    <cellStyle name="Remarque 3 5 3 5 6" xfId="9640" xr:uid="{00000000-0005-0000-0000-00007BB50000}"/>
    <cellStyle name="Remarque 3 5 3 5 6 2" xfId="33654" xr:uid="{00000000-0005-0000-0000-00007CB50000}"/>
    <cellStyle name="Remarque 3 5 3 5 6 2 2" xfId="57614" xr:uid="{00000000-0005-0000-0000-00007DB50000}"/>
    <cellStyle name="Remarque 3 5 3 5 6 3" xfId="20901" xr:uid="{00000000-0005-0000-0000-00007EB50000}"/>
    <cellStyle name="Remarque 3 5 3 5 6 4" xfId="44861" xr:uid="{00000000-0005-0000-0000-00007FB50000}"/>
    <cellStyle name="Remarque 3 5 3 5 7" xfId="11097" xr:uid="{00000000-0005-0000-0000-000080B50000}"/>
    <cellStyle name="Remarque 3 5 3 5 7 2" xfId="35107" xr:uid="{00000000-0005-0000-0000-000081B50000}"/>
    <cellStyle name="Remarque 3 5 3 5 7 2 2" xfId="59067" xr:uid="{00000000-0005-0000-0000-000082B50000}"/>
    <cellStyle name="Remarque 3 5 3 5 7 3" xfId="22364" xr:uid="{00000000-0005-0000-0000-000083B50000}"/>
    <cellStyle name="Remarque 3 5 3 5 7 4" xfId="46324" xr:uid="{00000000-0005-0000-0000-000084B50000}"/>
    <cellStyle name="Remarque 3 5 3 5 8" xfId="12001" xr:uid="{00000000-0005-0000-0000-000085B50000}"/>
    <cellStyle name="Remarque 3 5 3 5 8 2" xfId="23280" xr:uid="{00000000-0005-0000-0000-000086B50000}"/>
    <cellStyle name="Remarque 3 5 3 5 8 3" xfId="47240" xr:uid="{00000000-0005-0000-0000-000087B50000}"/>
    <cellStyle name="Remarque 3 5 3 5 9" xfId="2569" xr:uid="{00000000-0005-0000-0000-000088B50000}"/>
    <cellStyle name="Remarque 3 5 3 5 9 2" xfId="26583" xr:uid="{00000000-0005-0000-0000-000089B50000}"/>
    <cellStyle name="Remarque 3 5 3 5 9 3" xfId="50543" xr:uid="{00000000-0005-0000-0000-00008AB50000}"/>
    <cellStyle name="Remarque 3 5 3 6" xfId="1300" xr:uid="{00000000-0005-0000-0000-00008BB50000}"/>
    <cellStyle name="Remarque 3 5 3 6 10" xfId="25332" xr:uid="{00000000-0005-0000-0000-00008CB50000}"/>
    <cellStyle name="Remarque 3 5 3 6 10 2" xfId="49292" xr:uid="{00000000-0005-0000-0000-00008DB50000}"/>
    <cellStyle name="Remarque 3 5 3 6 11" xfId="36627" xr:uid="{00000000-0005-0000-0000-00008EB50000}"/>
    <cellStyle name="Remarque 3 5 3 6 11 2" xfId="60587" xr:uid="{00000000-0005-0000-0000-00008FB50000}"/>
    <cellStyle name="Remarque 3 5 3 6 12" xfId="13997" xr:uid="{00000000-0005-0000-0000-000090B50000}"/>
    <cellStyle name="Remarque 3 5 3 6 13" xfId="37957" xr:uid="{00000000-0005-0000-0000-000091B50000}"/>
    <cellStyle name="Remarque 3 5 3 6 2" xfId="4206" xr:uid="{00000000-0005-0000-0000-000092B50000}"/>
    <cellStyle name="Remarque 3 5 3 6 2 2" xfId="28220" xr:uid="{00000000-0005-0000-0000-000093B50000}"/>
    <cellStyle name="Remarque 3 5 3 6 2 2 2" xfId="52180" xr:uid="{00000000-0005-0000-0000-000094B50000}"/>
    <cellStyle name="Remarque 3 5 3 6 2 3" xfId="15467" xr:uid="{00000000-0005-0000-0000-000095B50000}"/>
    <cellStyle name="Remarque 3 5 3 6 2 4" xfId="39427" xr:uid="{00000000-0005-0000-0000-000096B50000}"/>
    <cellStyle name="Remarque 3 5 3 6 3" xfId="5640" xr:uid="{00000000-0005-0000-0000-000097B50000}"/>
    <cellStyle name="Remarque 3 5 3 6 3 2" xfId="29654" xr:uid="{00000000-0005-0000-0000-000098B50000}"/>
    <cellStyle name="Remarque 3 5 3 6 3 2 2" xfId="53614" xr:uid="{00000000-0005-0000-0000-000099B50000}"/>
    <cellStyle name="Remarque 3 5 3 6 3 3" xfId="16901" xr:uid="{00000000-0005-0000-0000-00009AB50000}"/>
    <cellStyle name="Remarque 3 5 3 6 3 4" xfId="40861" xr:uid="{00000000-0005-0000-0000-00009BB50000}"/>
    <cellStyle name="Remarque 3 5 3 6 4" xfId="7034" xr:uid="{00000000-0005-0000-0000-00009CB50000}"/>
    <cellStyle name="Remarque 3 5 3 6 4 2" xfId="31048" xr:uid="{00000000-0005-0000-0000-00009DB50000}"/>
    <cellStyle name="Remarque 3 5 3 6 4 2 2" xfId="55008" xr:uid="{00000000-0005-0000-0000-00009EB50000}"/>
    <cellStyle name="Remarque 3 5 3 6 4 3" xfId="18295" xr:uid="{00000000-0005-0000-0000-00009FB50000}"/>
    <cellStyle name="Remarque 3 5 3 6 4 4" xfId="42255" xr:uid="{00000000-0005-0000-0000-0000A0B50000}"/>
    <cellStyle name="Remarque 3 5 3 6 5" xfId="8422" xr:uid="{00000000-0005-0000-0000-0000A1B50000}"/>
    <cellStyle name="Remarque 3 5 3 6 5 2" xfId="32436" xr:uid="{00000000-0005-0000-0000-0000A2B50000}"/>
    <cellStyle name="Remarque 3 5 3 6 5 2 2" xfId="56396" xr:uid="{00000000-0005-0000-0000-0000A3B50000}"/>
    <cellStyle name="Remarque 3 5 3 6 5 3" xfId="19683" xr:uid="{00000000-0005-0000-0000-0000A4B50000}"/>
    <cellStyle name="Remarque 3 5 3 6 5 4" xfId="43643" xr:uid="{00000000-0005-0000-0000-0000A5B50000}"/>
    <cellStyle name="Remarque 3 5 3 6 6" xfId="9807" xr:uid="{00000000-0005-0000-0000-0000A6B50000}"/>
    <cellStyle name="Remarque 3 5 3 6 6 2" xfId="33821" xr:uid="{00000000-0005-0000-0000-0000A7B50000}"/>
    <cellStyle name="Remarque 3 5 3 6 6 2 2" xfId="57781" xr:uid="{00000000-0005-0000-0000-0000A8B50000}"/>
    <cellStyle name="Remarque 3 5 3 6 6 3" xfId="21068" xr:uid="{00000000-0005-0000-0000-0000A9B50000}"/>
    <cellStyle name="Remarque 3 5 3 6 6 4" xfId="45028" xr:uid="{00000000-0005-0000-0000-0000AAB50000}"/>
    <cellStyle name="Remarque 3 5 3 6 7" xfId="11264" xr:uid="{00000000-0005-0000-0000-0000ABB50000}"/>
    <cellStyle name="Remarque 3 5 3 6 7 2" xfId="35274" xr:uid="{00000000-0005-0000-0000-0000ACB50000}"/>
    <cellStyle name="Remarque 3 5 3 6 7 2 2" xfId="59234" xr:uid="{00000000-0005-0000-0000-0000ADB50000}"/>
    <cellStyle name="Remarque 3 5 3 6 7 3" xfId="22531" xr:uid="{00000000-0005-0000-0000-0000AEB50000}"/>
    <cellStyle name="Remarque 3 5 3 6 7 4" xfId="46491" xr:uid="{00000000-0005-0000-0000-0000AFB50000}"/>
    <cellStyle name="Remarque 3 5 3 6 8" xfId="11805" xr:uid="{00000000-0005-0000-0000-0000B0B50000}"/>
    <cellStyle name="Remarque 3 5 3 6 8 2" xfId="23079" xr:uid="{00000000-0005-0000-0000-0000B1B50000}"/>
    <cellStyle name="Remarque 3 5 3 6 8 3" xfId="47039" xr:uid="{00000000-0005-0000-0000-0000B2B50000}"/>
    <cellStyle name="Remarque 3 5 3 6 9" xfId="2736" xr:uid="{00000000-0005-0000-0000-0000B3B50000}"/>
    <cellStyle name="Remarque 3 5 3 6 9 2" xfId="26750" xr:uid="{00000000-0005-0000-0000-0000B4B50000}"/>
    <cellStyle name="Remarque 3 5 3 6 9 3" xfId="50710" xr:uid="{00000000-0005-0000-0000-0000B5B50000}"/>
    <cellStyle name="Remarque 3 5 3 7" xfId="1469" xr:uid="{00000000-0005-0000-0000-0000B6B50000}"/>
    <cellStyle name="Remarque 3 5 3 7 10" xfId="25501" xr:uid="{00000000-0005-0000-0000-0000B7B50000}"/>
    <cellStyle name="Remarque 3 5 3 7 10 2" xfId="49461" xr:uid="{00000000-0005-0000-0000-0000B8B50000}"/>
    <cellStyle name="Remarque 3 5 3 7 11" xfId="35635" xr:uid="{00000000-0005-0000-0000-0000B9B50000}"/>
    <cellStyle name="Remarque 3 5 3 7 11 2" xfId="59595" xr:uid="{00000000-0005-0000-0000-0000BAB50000}"/>
    <cellStyle name="Remarque 3 5 3 7 12" xfId="14166" xr:uid="{00000000-0005-0000-0000-0000BBB50000}"/>
    <cellStyle name="Remarque 3 5 3 7 13" xfId="38126" xr:uid="{00000000-0005-0000-0000-0000BCB50000}"/>
    <cellStyle name="Remarque 3 5 3 7 2" xfId="4375" xr:uid="{00000000-0005-0000-0000-0000BDB50000}"/>
    <cellStyle name="Remarque 3 5 3 7 2 2" xfId="28389" xr:uid="{00000000-0005-0000-0000-0000BEB50000}"/>
    <cellStyle name="Remarque 3 5 3 7 2 2 2" xfId="52349" xr:uid="{00000000-0005-0000-0000-0000BFB50000}"/>
    <cellStyle name="Remarque 3 5 3 7 2 3" xfId="15636" xr:uid="{00000000-0005-0000-0000-0000C0B50000}"/>
    <cellStyle name="Remarque 3 5 3 7 2 4" xfId="39596" xr:uid="{00000000-0005-0000-0000-0000C1B50000}"/>
    <cellStyle name="Remarque 3 5 3 7 3" xfId="5809" xr:uid="{00000000-0005-0000-0000-0000C2B50000}"/>
    <cellStyle name="Remarque 3 5 3 7 3 2" xfId="29823" xr:uid="{00000000-0005-0000-0000-0000C3B50000}"/>
    <cellStyle name="Remarque 3 5 3 7 3 2 2" xfId="53783" xr:uid="{00000000-0005-0000-0000-0000C4B50000}"/>
    <cellStyle name="Remarque 3 5 3 7 3 3" xfId="17070" xr:uid="{00000000-0005-0000-0000-0000C5B50000}"/>
    <cellStyle name="Remarque 3 5 3 7 3 4" xfId="41030" xr:uid="{00000000-0005-0000-0000-0000C6B50000}"/>
    <cellStyle name="Remarque 3 5 3 7 4" xfId="7203" xr:uid="{00000000-0005-0000-0000-0000C7B50000}"/>
    <cellStyle name="Remarque 3 5 3 7 4 2" xfId="31217" xr:uid="{00000000-0005-0000-0000-0000C8B50000}"/>
    <cellStyle name="Remarque 3 5 3 7 4 2 2" xfId="55177" xr:uid="{00000000-0005-0000-0000-0000C9B50000}"/>
    <cellStyle name="Remarque 3 5 3 7 4 3" xfId="18464" xr:uid="{00000000-0005-0000-0000-0000CAB50000}"/>
    <cellStyle name="Remarque 3 5 3 7 4 4" xfId="42424" xr:uid="{00000000-0005-0000-0000-0000CBB50000}"/>
    <cellStyle name="Remarque 3 5 3 7 5" xfId="8591" xr:uid="{00000000-0005-0000-0000-0000CCB50000}"/>
    <cellStyle name="Remarque 3 5 3 7 5 2" xfId="32605" xr:uid="{00000000-0005-0000-0000-0000CDB50000}"/>
    <cellStyle name="Remarque 3 5 3 7 5 2 2" xfId="56565" xr:uid="{00000000-0005-0000-0000-0000CEB50000}"/>
    <cellStyle name="Remarque 3 5 3 7 5 3" xfId="19852" xr:uid="{00000000-0005-0000-0000-0000CFB50000}"/>
    <cellStyle name="Remarque 3 5 3 7 5 4" xfId="43812" xr:uid="{00000000-0005-0000-0000-0000D0B50000}"/>
    <cellStyle name="Remarque 3 5 3 7 6" xfId="9976" xr:uid="{00000000-0005-0000-0000-0000D1B50000}"/>
    <cellStyle name="Remarque 3 5 3 7 6 2" xfId="33990" xr:uid="{00000000-0005-0000-0000-0000D2B50000}"/>
    <cellStyle name="Remarque 3 5 3 7 6 2 2" xfId="57950" xr:uid="{00000000-0005-0000-0000-0000D3B50000}"/>
    <cellStyle name="Remarque 3 5 3 7 6 3" xfId="21237" xr:uid="{00000000-0005-0000-0000-0000D4B50000}"/>
    <cellStyle name="Remarque 3 5 3 7 6 4" xfId="45197" xr:uid="{00000000-0005-0000-0000-0000D5B50000}"/>
    <cellStyle name="Remarque 3 5 3 7 7" xfId="11433" xr:uid="{00000000-0005-0000-0000-0000D6B50000}"/>
    <cellStyle name="Remarque 3 5 3 7 7 2" xfId="35443" xr:uid="{00000000-0005-0000-0000-0000D7B50000}"/>
    <cellStyle name="Remarque 3 5 3 7 7 2 2" xfId="59403" xr:uid="{00000000-0005-0000-0000-0000D8B50000}"/>
    <cellStyle name="Remarque 3 5 3 7 7 3" xfId="22700" xr:uid="{00000000-0005-0000-0000-0000D9B50000}"/>
    <cellStyle name="Remarque 3 5 3 7 7 4" xfId="46660" xr:uid="{00000000-0005-0000-0000-0000DAB50000}"/>
    <cellStyle name="Remarque 3 5 3 7 8" xfId="12818" xr:uid="{00000000-0005-0000-0000-0000DBB50000}"/>
    <cellStyle name="Remarque 3 5 3 7 8 2" xfId="24129" xr:uid="{00000000-0005-0000-0000-0000DCB50000}"/>
    <cellStyle name="Remarque 3 5 3 7 8 3" xfId="48089" xr:uid="{00000000-0005-0000-0000-0000DDB50000}"/>
    <cellStyle name="Remarque 3 5 3 7 9" xfId="2905" xr:uid="{00000000-0005-0000-0000-0000DEB50000}"/>
    <cellStyle name="Remarque 3 5 3 7 9 2" xfId="26919" xr:uid="{00000000-0005-0000-0000-0000DFB50000}"/>
    <cellStyle name="Remarque 3 5 3 7 9 3" xfId="50879" xr:uid="{00000000-0005-0000-0000-0000E0B50000}"/>
    <cellStyle name="Remarque 3 5 3 8" xfId="3324" xr:uid="{00000000-0005-0000-0000-0000E1B50000}"/>
    <cellStyle name="Remarque 3 5 3 8 2" xfId="27338" xr:uid="{00000000-0005-0000-0000-0000E2B50000}"/>
    <cellStyle name="Remarque 3 5 3 8 2 2" xfId="51298" xr:uid="{00000000-0005-0000-0000-0000E3B50000}"/>
    <cellStyle name="Remarque 3 5 3 8 3" xfId="14585" xr:uid="{00000000-0005-0000-0000-0000E4B50000}"/>
    <cellStyle name="Remarque 3 5 3 8 4" xfId="38545" xr:uid="{00000000-0005-0000-0000-0000E5B50000}"/>
    <cellStyle name="Remarque 3 5 3 9" xfId="4758" xr:uid="{00000000-0005-0000-0000-0000E6B50000}"/>
    <cellStyle name="Remarque 3 5 3 9 2" xfId="28772" xr:uid="{00000000-0005-0000-0000-0000E7B50000}"/>
    <cellStyle name="Remarque 3 5 3 9 2 2" xfId="52732" xr:uid="{00000000-0005-0000-0000-0000E8B50000}"/>
    <cellStyle name="Remarque 3 5 3 9 3" xfId="16019" xr:uid="{00000000-0005-0000-0000-0000E9B50000}"/>
    <cellStyle name="Remarque 3 5 3 9 4" xfId="39979" xr:uid="{00000000-0005-0000-0000-0000EAB50000}"/>
    <cellStyle name="Remarque 3 5 4" xfId="458" xr:uid="{00000000-0005-0000-0000-0000EBB50000}"/>
    <cellStyle name="Remarque 3 5 4 10" xfId="6192" xr:uid="{00000000-0005-0000-0000-0000ECB50000}"/>
    <cellStyle name="Remarque 3 5 4 10 2" xfId="30206" xr:uid="{00000000-0005-0000-0000-0000EDB50000}"/>
    <cellStyle name="Remarque 3 5 4 10 2 2" xfId="54166" xr:uid="{00000000-0005-0000-0000-0000EEB50000}"/>
    <cellStyle name="Remarque 3 5 4 10 3" xfId="17453" xr:uid="{00000000-0005-0000-0000-0000EFB50000}"/>
    <cellStyle name="Remarque 3 5 4 10 4" xfId="41413" xr:uid="{00000000-0005-0000-0000-0000F0B50000}"/>
    <cellStyle name="Remarque 3 5 4 11" xfId="7580" xr:uid="{00000000-0005-0000-0000-0000F1B50000}"/>
    <cellStyle name="Remarque 3 5 4 11 2" xfId="31594" xr:uid="{00000000-0005-0000-0000-0000F2B50000}"/>
    <cellStyle name="Remarque 3 5 4 11 2 2" xfId="55554" xr:uid="{00000000-0005-0000-0000-0000F3B50000}"/>
    <cellStyle name="Remarque 3 5 4 11 3" xfId="18841" xr:uid="{00000000-0005-0000-0000-0000F4B50000}"/>
    <cellStyle name="Remarque 3 5 4 11 4" xfId="42801" xr:uid="{00000000-0005-0000-0000-0000F5B50000}"/>
    <cellStyle name="Remarque 3 5 4 12" xfId="8965" xr:uid="{00000000-0005-0000-0000-0000F6B50000}"/>
    <cellStyle name="Remarque 3 5 4 12 2" xfId="32979" xr:uid="{00000000-0005-0000-0000-0000F7B50000}"/>
    <cellStyle name="Remarque 3 5 4 12 2 2" xfId="56939" xr:uid="{00000000-0005-0000-0000-0000F8B50000}"/>
    <cellStyle name="Remarque 3 5 4 12 3" xfId="20226" xr:uid="{00000000-0005-0000-0000-0000F9B50000}"/>
    <cellStyle name="Remarque 3 5 4 12 4" xfId="44186" xr:uid="{00000000-0005-0000-0000-0000FAB50000}"/>
    <cellStyle name="Remarque 3 5 4 13" xfId="10422" xr:uid="{00000000-0005-0000-0000-0000FBB50000}"/>
    <cellStyle name="Remarque 3 5 4 13 2" xfId="34432" xr:uid="{00000000-0005-0000-0000-0000FCB50000}"/>
    <cellStyle name="Remarque 3 5 4 13 2 2" xfId="58392" xr:uid="{00000000-0005-0000-0000-0000FDB50000}"/>
    <cellStyle name="Remarque 3 5 4 13 3" xfId="21689" xr:uid="{00000000-0005-0000-0000-0000FEB50000}"/>
    <cellStyle name="Remarque 3 5 4 13 4" xfId="45649" xr:uid="{00000000-0005-0000-0000-0000FFB50000}"/>
    <cellStyle name="Remarque 3 5 4 14" xfId="12132" xr:uid="{00000000-0005-0000-0000-000000B60000}"/>
    <cellStyle name="Remarque 3 5 4 14 2" xfId="23415" xr:uid="{00000000-0005-0000-0000-000001B60000}"/>
    <cellStyle name="Remarque 3 5 4 14 3" xfId="47375" xr:uid="{00000000-0005-0000-0000-000002B60000}"/>
    <cellStyle name="Remarque 3 5 4 15" xfId="1894" xr:uid="{00000000-0005-0000-0000-000003B60000}"/>
    <cellStyle name="Remarque 3 5 4 15 2" xfId="25908" xr:uid="{00000000-0005-0000-0000-000004B60000}"/>
    <cellStyle name="Remarque 3 5 4 15 3" xfId="49868" xr:uid="{00000000-0005-0000-0000-000005B60000}"/>
    <cellStyle name="Remarque 3 5 4 16" xfId="24490" xr:uid="{00000000-0005-0000-0000-000006B60000}"/>
    <cellStyle name="Remarque 3 5 4 16 2" xfId="48450" xr:uid="{00000000-0005-0000-0000-000007B60000}"/>
    <cellStyle name="Remarque 3 5 4 17" xfId="36200" xr:uid="{00000000-0005-0000-0000-000008B60000}"/>
    <cellStyle name="Remarque 3 5 4 17 2" xfId="60160" xr:uid="{00000000-0005-0000-0000-000009B60000}"/>
    <cellStyle name="Remarque 3 5 4 18" xfId="13155" xr:uid="{00000000-0005-0000-0000-00000AB60000}"/>
    <cellStyle name="Remarque 3 5 4 19" xfId="37115" xr:uid="{00000000-0005-0000-0000-00000BB60000}"/>
    <cellStyle name="Remarque 3 5 4 2" xfId="594" xr:uid="{00000000-0005-0000-0000-00000CB60000}"/>
    <cellStyle name="Remarque 3 5 4 2 10" xfId="24626" xr:uid="{00000000-0005-0000-0000-00000DB60000}"/>
    <cellStyle name="Remarque 3 5 4 2 10 2" xfId="48586" xr:uid="{00000000-0005-0000-0000-00000EB60000}"/>
    <cellStyle name="Remarque 3 5 4 2 11" xfId="35702" xr:uid="{00000000-0005-0000-0000-00000FB60000}"/>
    <cellStyle name="Remarque 3 5 4 2 11 2" xfId="59662" xr:uid="{00000000-0005-0000-0000-000010B60000}"/>
    <cellStyle name="Remarque 3 5 4 2 12" xfId="13291" xr:uid="{00000000-0005-0000-0000-000011B60000}"/>
    <cellStyle name="Remarque 3 5 4 2 13" xfId="37251" xr:uid="{00000000-0005-0000-0000-000012B60000}"/>
    <cellStyle name="Remarque 3 5 4 2 2" xfId="3500" xr:uid="{00000000-0005-0000-0000-000013B60000}"/>
    <cellStyle name="Remarque 3 5 4 2 2 2" xfId="27514" xr:uid="{00000000-0005-0000-0000-000014B60000}"/>
    <cellStyle name="Remarque 3 5 4 2 2 2 2" xfId="51474" xr:uid="{00000000-0005-0000-0000-000015B60000}"/>
    <cellStyle name="Remarque 3 5 4 2 2 3" xfId="14761" xr:uid="{00000000-0005-0000-0000-000016B60000}"/>
    <cellStyle name="Remarque 3 5 4 2 2 4" xfId="38721" xr:uid="{00000000-0005-0000-0000-000017B60000}"/>
    <cellStyle name="Remarque 3 5 4 2 3" xfId="4934" xr:uid="{00000000-0005-0000-0000-000018B60000}"/>
    <cellStyle name="Remarque 3 5 4 2 3 2" xfId="28948" xr:uid="{00000000-0005-0000-0000-000019B60000}"/>
    <cellStyle name="Remarque 3 5 4 2 3 2 2" xfId="52908" xr:uid="{00000000-0005-0000-0000-00001AB60000}"/>
    <cellStyle name="Remarque 3 5 4 2 3 3" xfId="16195" xr:uid="{00000000-0005-0000-0000-00001BB60000}"/>
    <cellStyle name="Remarque 3 5 4 2 3 4" xfId="40155" xr:uid="{00000000-0005-0000-0000-00001CB60000}"/>
    <cellStyle name="Remarque 3 5 4 2 4" xfId="6328" xr:uid="{00000000-0005-0000-0000-00001DB60000}"/>
    <cellStyle name="Remarque 3 5 4 2 4 2" xfId="30342" xr:uid="{00000000-0005-0000-0000-00001EB60000}"/>
    <cellStyle name="Remarque 3 5 4 2 4 2 2" xfId="54302" xr:uid="{00000000-0005-0000-0000-00001FB60000}"/>
    <cellStyle name="Remarque 3 5 4 2 4 3" xfId="17589" xr:uid="{00000000-0005-0000-0000-000020B60000}"/>
    <cellStyle name="Remarque 3 5 4 2 4 4" xfId="41549" xr:uid="{00000000-0005-0000-0000-000021B60000}"/>
    <cellStyle name="Remarque 3 5 4 2 5" xfId="7716" xr:uid="{00000000-0005-0000-0000-000022B60000}"/>
    <cellStyle name="Remarque 3 5 4 2 5 2" xfId="31730" xr:uid="{00000000-0005-0000-0000-000023B60000}"/>
    <cellStyle name="Remarque 3 5 4 2 5 2 2" xfId="55690" xr:uid="{00000000-0005-0000-0000-000024B60000}"/>
    <cellStyle name="Remarque 3 5 4 2 5 3" xfId="18977" xr:uid="{00000000-0005-0000-0000-000025B60000}"/>
    <cellStyle name="Remarque 3 5 4 2 5 4" xfId="42937" xr:uid="{00000000-0005-0000-0000-000026B60000}"/>
    <cellStyle name="Remarque 3 5 4 2 6" xfId="9101" xr:uid="{00000000-0005-0000-0000-000027B60000}"/>
    <cellStyle name="Remarque 3 5 4 2 6 2" xfId="33115" xr:uid="{00000000-0005-0000-0000-000028B60000}"/>
    <cellStyle name="Remarque 3 5 4 2 6 2 2" xfId="57075" xr:uid="{00000000-0005-0000-0000-000029B60000}"/>
    <cellStyle name="Remarque 3 5 4 2 6 3" xfId="20362" xr:uid="{00000000-0005-0000-0000-00002AB60000}"/>
    <cellStyle name="Remarque 3 5 4 2 6 4" xfId="44322" xr:uid="{00000000-0005-0000-0000-00002BB60000}"/>
    <cellStyle name="Remarque 3 5 4 2 7" xfId="10558" xr:uid="{00000000-0005-0000-0000-00002CB60000}"/>
    <cellStyle name="Remarque 3 5 4 2 7 2" xfId="34568" xr:uid="{00000000-0005-0000-0000-00002DB60000}"/>
    <cellStyle name="Remarque 3 5 4 2 7 2 2" xfId="58528" xr:uid="{00000000-0005-0000-0000-00002EB60000}"/>
    <cellStyle name="Remarque 3 5 4 2 7 3" xfId="21825" xr:uid="{00000000-0005-0000-0000-00002FB60000}"/>
    <cellStyle name="Remarque 3 5 4 2 7 4" xfId="45785" xr:uid="{00000000-0005-0000-0000-000030B60000}"/>
    <cellStyle name="Remarque 3 5 4 2 8" xfId="12661" xr:uid="{00000000-0005-0000-0000-000031B60000}"/>
    <cellStyle name="Remarque 3 5 4 2 8 2" xfId="23966" xr:uid="{00000000-0005-0000-0000-000032B60000}"/>
    <cellStyle name="Remarque 3 5 4 2 8 3" xfId="47926" xr:uid="{00000000-0005-0000-0000-000033B60000}"/>
    <cellStyle name="Remarque 3 5 4 2 9" xfId="2030" xr:uid="{00000000-0005-0000-0000-000034B60000}"/>
    <cellStyle name="Remarque 3 5 4 2 9 2" xfId="26044" xr:uid="{00000000-0005-0000-0000-000035B60000}"/>
    <cellStyle name="Remarque 3 5 4 2 9 3" xfId="50004" xr:uid="{00000000-0005-0000-0000-000036B60000}"/>
    <cellStyle name="Remarque 3 5 4 3" xfId="786" xr:uid="{00000000-0005-0000-0000-000037B60000}"/>
    <cellStyle name="Remarque 3 5 4 3 10" xfId="24818" xr:uid="{00000000-0005-0000-0000-000038B60000}"/>
    <cellStyle name="Remarque 3 5 4 3 10 2" xfId="48778" xr:uid="{00000000-0005-0000-0000-000039B60000}"/>
    <cellStyle name="Remarque 3 5 4 3 11" xfId="35656" xr:uid="{00000000-0005-0000-0000-00003AB60000}"/>
    <cellStyle name="Remarque 3 5 4 3 11 2" xfId="59616" xr:uid="{00000000-0005-0000-0000-00003BB60000}"/>
    <cellStyle name="Remarque 3 5 4 3 12" xfId="13483" xr:uid="{00000000-0005-0000-0000-00003CB60000}"/>
    <cellStyle name="Remarque 3 5 4 3 13" xfId="37443" xr:uid="{00000000-0005-0000-0000-00003DB60000}"/>
    <cellStyle name="Remarque 3 5 4 3 2" xfId="3692" xr:uid="{00000000-0005-0000-0000-00003EB60000}"/>
    <cellStyle name="Remarque 3 5 4 3 2 2" xfId="27706" xr:uid="{00000000-0005-0000-0000-00003FB60000}"/>
    <cellStyle name="Remarque 3 5 4 3 2 2 2" xfId="51666" xr:uid="{00000000-0005-0000-0000-000040B60000}"/>
    <cellStyle name="Remarque 3 5 4 3 2 3" xfId="14953" xr:uid="{00000000-0005-0000-0000-000041B60000}"/>
    <cellStyle name="Remarque 3 5 4 3 2 4" xfId="38913" xr:uid="{00000000-0005-0000-0000-000042B60000}"/>
    <cellStyle name="Remarque 3 5 4 3 3" xfId="5126" xr:uid="{00000000-0005-0000-0000-000043B60000}"/>
    <cellStyle name="Remarque 3 5 4 3 3 2" xfId="29140" xr:uid="{00000000-0005-0000-0000-000044B60000}"/>
    <cellStyle name="Remarque 3 5 4 3 3 2 2" xfId="53100" xr:uid="{00000000-0005-0000-0000-000045B60000}"/>
    <cellStyle name="Remarque 3 5 4 3 3 3" xfId="16387" xr:uid="{00000000-0005-0000-0000-000046B60000}"/>
    <cellStyle name="Remarque 3 5 4 3 3 4" xfId="40347" xr:uid="{00000000-0005-0000-0000-000047B60000}"/>
    <cellStyle name="Remarque 3 5 4 3 4" xfId="6520" xr:uid="{00000000-0005-0000-0000-000048B60000}"/>
    <cellStyle name="Remarque 3 5 4 3 4 2" xfId="30534" xr:uid="{00000000-0005-0000-0000-000049B60000}"/>
    <cellStyle name="Remarque 3 5 4 3 4 2 2" xfId="54494" xr:uid="{00000000-0005-0000-0000-00004AB60000}"/>
    <cellStyle name="Remarque 3 5 4 3 4 3" xfId="17781" xr:uid="{00000000-0005-0000-0000-00004BB60000}"/>
    <cellStyle name="Remarque 3 5 4 3 4 4" xfId="41741" xr:uid="{00000000-0005-0000-0000-00004CB60000}"/>
    <cellStyle name="Remarque 3 5 4 3 5" xfId="7908" xr:uid="{00000000-0005-0000-0000-00004DB60000}"/>
    <cellStyle name="Remarque 3 5 4 3 5 2" xfId="31922" xr:uid="{00000000-0005-0000-0000-00004EB60000}"/>
    <cellStyle name="Remarque 3 5 4 3 5 2 2" xfId="55882" xr:uid="{00000000-0005-0000-0000-00004FB60000}"/>
    <cellStyle name="Remarque 3 5 4 3 5 3" xfId="19169" xr:uid="{00000000-0005-0000-0000-000050B60000}"/>
    <cellStyle name="Remarque 3 5 4 3 5 4" xfId="43129" xr:uid="{00000000-0005-0000-0000-000051B60000}"/>
    <cellStyle name="Remarque 3 5 4 3 6" xfId="9293" xr:uid="{00000000-0005-0000-0000-000052B60000}"/>
    <cellStyle name="Remarque 3 5 4 3 6 2" xfId="33307" xr:uid="{00000000-0005-0000-0000-000053B60000}"/>
    <cellStyle name="Remarque 3 5 4 3 6 2 2" xfId="57267" xr:uid="{00000000-0005-0000-0000-000054B60000}"/>
    <cellStyle name="Remarque 3 5 4 3 6 3" xfId="20554" xr:uid="{00000000-0005-0000-0000-000055B60000}"/>
    <cellStyle name="Remarque 3 5 4 3 6 4" xfId="44514" xr:uid="{00000000-0005-0000-0000-000056B60000}"/>
    <cellStyle name="Remarque 3 5 4 3 7" xfId="10750" xr:uid="{00000000-0005-0000-0000-000057B60000}"/>
    <cellStyle name="Remarque 3 5 4 3 7 2" xfId="34760" xr:uid="{00000000-0005-0000-0000-000058B60000}"/>
    <cellStyle name="Remarque 3 5 4 3 7 2 2" xfId="58720" xr:uid="{00000000-0005-0000-0000-000059B60000}"/>
    <cellStyle name="Remarque 3 5 4 3 7 3" xfId="22017" xr:uid="{00000000-0005-0000-0000-00005AB60000}"/>
    <cellStyle name="Remarque 3 5 4 3 7 4" xfId="45977" xr:uid="{00000000-0005-0000-0000-00005BB60000}"/>
    <cellStyle name="Remarque 3 5 4 3 8" xfId="12565" xr:uid="{00000000-0005-0000-0000-00005CB60000}"/>
    <cellStyle name="Remarque 3 5 4 3 8 2" xfId="23865" xr:uid="{00000000-0005-0000-0000-00005DB60000}"/>
    <cellStyle name="Remarque 3 5 4 3 8 3" xfId="47825" xr:uid="{00000000-0005-0000-0000-00005EB60000}"/>
    <cellStyle name="Remarque 3 5 4 3 9" xfId="2222" xr:uid="{00000000-0005-0000-0000-00005FB60000}"/>
    <cellStyle name="Remarque 3 5 4 3 9 2" xfId="26236" xr:uid="{00000000-0005-0000-0000-000060B60000}"/>
    <cellStyle name="Remarque 3 5 4 3 9 3" xfId="50196" xr:uid="{00000000-0005-0000-0000-000061B60000}"/>
    <cellStyle name="Remarque 3 5 4 4" xfId="980" xr:uid="{00000000-0005-0000-0000-000062B60000}"/>
    <cellStyle name="Remarque 3 5 4 4 10" xfId="25012" xr:uid="{00000000-0005-0000-0000-000063B60000}"/>
    <cellStyle name="Remarque 3 5 4 4 10 2" xfId="48972" xr:uid="{00000000-0005-0000-0000-000064B60000}"/>
    <cellStyle name="Remarque 3 5 4 4 11" xfId="36752" xr:uid="{00000000-0005-0000-0000-000065B60000}"/>
    <cellStyle name="Remarque 3 5 4 4 11 2" xfId="60712" xr:uid="{00000000-0005-0000-0000-000066B60000}"/>
    <cellStyle name="Remarque 3 5 4 4 12" xfId="13677" xr:uid="{00000000-0005-0000-0000-000067B60000}"/>
    <cellStyle name="Remarque 3 5 4 4 13" xfId="37637" xr:uid="{00000000-0005-0000-0000-000068B60000}"/>
    <cellStyle name="Remarque 3 5 4 4 2" xfId="3886" xr:uid="{00000000-0005-0000-0000-000069B60000}"/>
    <cellStyle name="Remarque 3 5 4 4 2 2" xfId="27900" xr:uid="{00000000-0005-0000-0000-00006AB60000}"/>
    <cellStyle name="Remarque 3 5 4 4 2 2 2" xfId="51860" xr:uid="{00000000-0005-0000-0000-00006BB60000}"/>
    <cellStyle name="Remarque 3 5 4 4 2 3" xfId="15147" xr:uid="{00000000-0005-0000-0000-00006CB60000}"/>
    <cellStyle name="Remarque 3 5 4 4 2 4" xfId="39107" xr:uid="{00000000-0005-0000-0000-00006DB60000}"/>
    <cellStyle name="Remarque 3 5 4 4 3" xfId="5320" xr:uid="{00000000-0005-0000-0000-00006EB60000}"/>
    <cellStyle name="Remarque 3 5 4 4 3 2" xfId="29334" xr:uid="{00000000-0005-0000-0000-00006FB60000}"/>
    <cellStyle name="Remarque 3 5 4 4 3 2 2" xfId="53294" xr:uid="{00000000-0005-0000-0000-000070B60000}"/>
    <cellStyle name="Remarque 3 5 4 4 3 3" xfId="16581" xr:uid="{00000000-0005-0000-0000-000071B60000}"/>
    <cellStyle name="Remarque 3 5 4 4 3 4" xfId="40541" xr:uid="{00000000-0005-0000-0000-000072B60000}"/>
    <cellStyle name="Remarque 3 5 4 4 4" xfId="6714" xr:uid="{00000000-0005-0000-0000-000073B60000}"/>
    <cellStyle name="Remarque 3 5 4 4 4 2" xfId="30728" xr:uid="{00000000-0005-0000-0000-000074B60000}"/>
    <cellStyle name="Remarque 3 5 4 4 4 2 2" xfId="54688" xr:uid="{00000000-0005-0000-0000-000075B60000}"/>
    <cellStyle name="Remarque 3 5 4 4 4 3" xfId="17975" xr:uid="{00000000-0005-0000-0000-000076B60000}"/>
    <cellStyle name="Remarque 3 5 4 4 4 4" xfId="41935" xr:uid="{00000000-0005-0000-0000-000077B60000}"/>
    <cellStyle name="Remarque 3 5 4 4 5" xfId="8102" xr:uid="{00000000-0005-0000-0000-000078B60000}"/>
    <cellStyle name="Remarque 3 5 4 4 5 2" xfId="32116" xr:uid="{00000000-0005-0000-0000-000079B60000}"/>
    <cellStyle name="Remarque 3 5 4 4 5 2 2" xfId="56076" xr:uid="{00000000-0005-0000-0000-00007AB60000}"/>
    <cellStyle name="Remarque 3 5 4 4 5 3" xfId="19363" xr:uid="{00000000-0005-0000-0000-00007BB60000}"/>
    <cellStyle name="Remarque 3 5 4 4 5 4" xfId="43323" xr:uid="{00000000-0005-0000-0000-00007CB60000}"/>
    <cellStyle name="Remarque 3 5 4 4 6" xfId="9487" xr:uid="{00000000-0005-0000-0000-00007DB60000}"/>
    <cellStyle name="Remarque 3 5 4 4 6 2" xfId="33501" xr:uid="{00000000-0005-0000-0000-00007EB60000}"/>
    <cellStyle name="Remarque 3 5 4 4 6 2 2" xfId="57461" xr:uid="{00000000-0005-0000-0000-00007FB60000}"/>
    <cellStyle name="Remarque 3 5 4 4 6 3" xfId="20748" xr:uid="{00000000-0005-0000-0000-000080B60000}"/>
    <cellStyle name="Remarque 3 5 4 4 6 4" xfId="44708" xr:uid="{00000000-0005-0000-0000-000081B60000}"/>
    <cellStyle name="Remarque 3 5 4 4 7" xfId="10944" xr:uid="{00000000-0005-0000-0000-000082B60000}"/>
    <cellStyle name="Remarque 3 5 4 4 7 2" xfId="34954" xr:uid="{00000000-0005-0000-0000-000083B60000}"/>
    <cellStyle name="Remarque 3 5 4 4 7 2 2" xfId="58914" xr:uid="{00000000-0005-0000-0000-000084B60000}"/>
    <cellStyle name="Remarque 3 5 4 4 7 3" xfId="22211" xr:uid="{00000000-0005-0000-0000-000085B60000}"/>
    <cellStyle name="Remarque 3 5 4 4 7 4" xfId="46171" xr:uid="{00000000-0005-0000-0000-000086B60000}"/>
    <cellStyle name="Remarque 3 5 4 4 8" xfId="12302" xr:uid="{00000000-0005-0000-0000-000087B60000}"/>
    <cellStyle name="Remarque 3 5 4 4 8 2" xfId="23590" xr:uid="{00000000-0005-0000-0000-000088B60000}"/>
    <cellStyle name="Remarque 3 5 4 4 8 3" xfId="47550" xr:uid="{00000000-0005-0000-0000-000089B60000}"/>
    <cellStyle name="Remarque 3 5 4 4 9" xfId="2416" xr:uid="{00000000-0005-0000-0000-00008AB60000}"/>
    <cellStyle name="Remarque 3 5 4 4 9 2" xfId="26430" xr:uid="{00000000-0005-0000-0000-00008BB60000}"/>
    <cellStyle name="Remarque 3 5 4 4 9 3" xfId="50390" xr:uid="{00000000-0005-0000-0000-00008CB60000}"/>
    <cellStyle name="Remarque 3 5 4 5" xfId="1173" xr:uid="{00000000-0005-0000-0000-00008DB60000}"/>
    <cellStyle name="Remarque 3 5 4 5 10" xfId="25205" xr:uid="{00000000-0005-0000-0000-00008EB60000}"/>
    <cellStyle name="Remarque 3 5 4 5 10 2" xfId="49165" xr:uid="{00000000-0005-0000-0000-00008FB60000}"/>
    <cellStyle name="Remarque 3 5 4 5 11" xfId="36059" xr:uid="{00000000-0005-0000-0000-000090B60000}"/>
    <cellStyle name="Remarque 3 5 4 5 11 2" xfId="60019" xr:uid="{00000000-0005-0000-0000-000091B60000}"/>
    <cellStyle name="Remarque 3 5 4 5 12" xfId="13870" xr:uid="{00000000-0005-0000-0000-000092B60000}"/>
    <cellStyle name="Remarque 3 5 4 5 13" xfId="37830" xr:uid="{00000000-0005-0000-0000-000093B60000}"/>
    <cellStyle name="Remarque 3 5 4 5 2" xfId="4079" xr:uid="{00000000-0005-0000-0000-000094B60000}"/>
    <cellStyle name="Remarque 3 5 4 5 2 2" xfId="28093" xr:uid="{00000000-0005-0000-0000-000095B60000}"/>
    <cellStyle name="Remarque 3 5 4 5 2 2 2" xfId="52053" xr:uid="{00000000-0005-0000-0000-000096B60000}"/>
    <cellStyle name="Remarque 3 5 4 5 2 3" xfId="15340" xr:uid="{00000000-0005-0000-0000-000097B60000}"/>
    <cellStyle name="Remarque 3 5 4 5 2 4" xfId="39300" xr:uid="{00000000-0005-0000-0000-000098B60000}"/>
    <cellStyle name="Remarque 3 5 4 5 3" xfId="5513" xr:uid="{00000000-0005-0000-0000-000099B60000}"/>
    <cellStyle name="Remarque 3 5 4 5 3 2" xfId="29527" xr:uid="{00000000-0005-0000-0000-00009AB60000}"/>
    <cellStyle name="Remarque 3 5 4 5 3 2 2" xfId="53487" xr:uid="{00000000-0005-0000-0000-00009BB60000}"/>
    <cellStyle name="Remarque 3 5 4 5 3 3" xfId="16774" xr:uid="{00000000-0005-0000-0000-00009CB60000}"/>
    <cellStyle name="Remarque 3 5 4 5 3 4" xfId="40734" xr:uid="{00000000-0005-0000-0000-00009DB60000}"/>
    <cellStyle name="Remarque 3 5 4 5 4" xfId="6907" xr:uid="{00000000-0005-0000-0000-00009EB60000}"/>
    <cellStyle name="Remarque 3 5 4 5 4 2" xfId="30921" xr:uid="{00000000-0005-0000-0000-00009FB60000}"/>
    <cellStyle name="Remarque 3 5 4 5 4 2 2" xfId="54881" xr:uid="{00000000-0005-0000-0000-0000A0B60000}"/>
    <cellStyle name="Remarque 3 5 4 5 4 3" xfId="18168" xr:uid="{00000000-0005-0000-0000-0000A1B60000}"/>
    <cellStyle name="Remarque 3 5 4 5 4 4" xfId="42128" xr:uid="{00000000-0005-0000-0000-0000A2B60000}"/>
    <cellStyle name="Remarque 3 5 4 5 5" xfId="8295" xr:uid="{00000000-0005-0000-0000-0000A3B60000}"/>
    <cellStyle name="Remarque 3 5 4 5 5 2" xfId="32309" xr:uid="{00000000-0005-0000-0000-0000A4B60000}"/>
    <cellStyle name="Remarque 3 5 4 5 5 2 2" xfId="56269" xr:uid="{00000000-0005-0000-0000-0000A5B60000}"/>
    <cellStyle name="Remarque 3 5 4 5 5 3" xfId="19556" xr:uid="{00000000-0005-0000-0000-0000A6B60000}"/>
    <cellStyle name="Remarque 3 5 4 5 5 4" xfId="43516" xr:uid="{00000000-0005-0000-0000-0000A7B60000}"/>
    <cellStyle name="Remarque 3 5 4 5 6" xfId="9680" xr:uid="{00000000-0005-0000-0000-0000A8B60000}"/>
    <cellStyle name="Remarque 3 5 4 5 6 2" xfId="33694" xr:uid="{00000000-0005-0000-0000-0000A9B60000}"/>
    <cellStyle name="Remarque 3 5 4 5 6 2 2" xfId="57654" xr:uid="{00000000-0005-0000-0000-0000AAB60000}"/>
    <cellStyle name="Remarque 3 5 4 5 6 3" xfId="20941" xr:uid="{00000000-0005-0000-0000-0000ABB60000}"/>
    <cellStyle name="Remarque 3 5 4 5 6 4" xfId="44901" xr:uid="{00000000-0005-0000-0000-0000ACB60000}"/>
    <cellStyle name="Remarque 3 5 4 5 7" xfId="11137" xr:uid="{00000000-0005-0000-0000-0000ADB60000}"/>
    <cellStyle name="Remarque 3 5 4 5 7 2" xfId="35147" xr:uid="{00000000-0005-0000-0000-0000AEB60000}"/>
    <cellStyle name="Remarque 3 5 4 5 7 2 2" xfId="59107" xr:uid="{00000000-0005-0000-0000-0000AFB60000}"/>
    <cellStyle name="Remarque 3 5 4 5 7 3" xfId="22404" xr:uid="{00000000-0005-0000-0000-0000B0B60000}"/>
    <cellStyle name="Remarque 3 5 4 5 7 4" xfId="46364" xr:uid="{00000000-0005-0000-0000-0000B1B60000}"/>
    <cellStyle name="Remarque 3 5 4 5 8" xfId="12092" xr:uid="{00000000-0005-0000-0000-0000B2B60000}"/>
    <cellStyle name="Remarque 3 5 4 5 8 2" xfId="23375" xr:uid="{00000000-0005-0000-0000-0000B3B60000}"/>
    <cellStyle name="Remarque 3 5 4 5 8 3" xfId="47335" xr:uid="{00000000-0005-0000-0000-0000B4B60000}"/>
    <cellStyle name="Remarque 3 5 4 5 9" xfId="2609" xr:uid="{00000000-0005-0000-0000-0000B5B60000}"/>
    <cellStyle name="Remarque 3 5 4 5 9 2" xfId="26623" xr:uid="{00000000-0005-0000-0000-0000B6B60000}"/>
    <cellStyle name="Remarque 3 5 4 5 9 3" xfId="50583" xr:uid="{00000000-0005-0000-0000-0000B7B60000}"/>
    <cellStyle name="Remarque 3 5 4 6" xfId="1340" xr:uid="{00000000-0005-0000-0000-0000B8B60000}"/>
    <cellStyle name="Remarque 3 5 4 6 10" xfId="25372" xr:uid="{00000000-0005-0000-0000-0000B9B60000}"/>
    <cellStyle name="Remarque 3 5 4 6 10 2" xfId="49332" xr:uid="{00000000-0005-0000-0000-0000BAB60000}"/>
    <cellStyle name="Remarque 3 5 4 6 11" xfId="35857" xr:uid="{00000000-0005-0000-0000-0000BBB60000}"/>
    <cellStyle name="Remarque 3 5 4 6 11 2" xfId="59817" xr:uid="{00000000-0005-0000-0000-0000BCB60000}"/>
    <cellStyle name="Remarque 3 5 4 6 12" xfId="14037" xr:uid="{00000000-0005-0000-0000-0000BDB60000}"/>
    <cellStyle name="Remarque 3 5 4 6 13" xfId="37997" xr:uid="{00000000-0005-0000-0000-0000BEB60000}"/>
    <cellStyle name="Remarque 3 5 4 6 2" xfId="4246" xr:uid="{00000000-0005-0000-0000-0000BFB60000}"/>
    <cellStyle name="Remarque 3 5 4 6 2 2" xfId="28260" xr:uid="{00000000-0005-0000-0000-0000C0B60000}"/>
    <cellStyle name="Remarque 3 5 4 6 2 2 2" xfId="52220" xr:uid="{00000000-0005-0000-0000-0000C1B60000}"/>
    <cellStyle name="Remarque 3 5 4 6 2 3" xfId="15507" xr:uid="{00000000-0005-0000-0000-0000C2B60000}"/>
    <cellStyle name="Remarque 3 5 4 6 2 4" xfId="39467" xr:uid="{00000000-0005-0000-0000-0000C3B60000}"/>
    <cellStyle name="Remarque 3 5 4 6 3" xfId="5680" xr:uid="{00000000-0005-0000-0000-0000C4B60000}"/>
    <cellStyle name="Remarque 3 5 4 6 3 2" xfId="29694" xr:uid="{00000000-0005-0000-0000-0000C5B60000}"/>
    <cellStyle name="Remarque 3 5 4 6 3 2 2" xfId="53654" xr:uid="{00000000-0005-0000-0000-0000C6B60000}"/>
    <cellStyle name="Remarque 3 5 4 6 3 3" xfId="16941" xr:uid="{00000000-0005-0000-0000-0000C7B60000}"/>
    <cellStyle name="Remarque 3 5 4 6 3 4" xfId="40901" xr:uid="{00000000-0005-0000-0000-0000C8B60000}"/>
    <cellStyle name="Remarque 3 5 4 6 4" xfId="7074" xr:uid="{00000000-0005-0000-0000-0000C9B60000}"/>
    <cellStyle name="Remarque 3 5 4 6 4 2" xfId="31088" xr:uid="{00000000-0005-0000-0000-0000CAB60000}"/>
    <cellStyle name="Remarque 3 5 4 6 4 2 2" xfId="55048" xr:uid="{00000000-0005-0000-0000-0000CBB60000}"/>
    <cellStyle name="Remarque 3 5 4 6 4 3" xfId="18335" xr:uid="{00000000-0005-0000-0000-0000CCB60000}"/>
    <cellStyle name="Remarque 3 5 4 6 4 4" xfId="42295" xr:uid="{00000000-0005-0000-0000-0000CDB60000}"/>
    <cellStyle name="Remarque 3 5 4 6 5" xfId="8462" xr:uid="{00000000-0005-0000-0000-0000CEB60000}"/>
    <cellStyle name="Remarque 3 5 4 6 5 2" xfId="32476" xr:uid="{00000000-0005-0000-0000-0000CFB60000}"/>
    <cellStyle name="Remarque 3 5 4 6 5 2 2" xfId="56436" xr:uid="{00000000-0005-0000-0000-0000D0B60000}"/>
    <cellStyle name="Remarque 3 5 4 6 5 3" xfId="19723" xr:uid="{00000000-0005-0000-0000-0000D1B60000}"/>
    <cellStyle name="Remarque 3 5 4 6 5 4" xfId="43683" xr:uid="{00000000-0005-0000-0000-0000D2B60000}"/>
    <cellStyle name="Remarque 3 5 4 6 6" xfId="9847" xr:uid="{00000000-0005-0000-0000-0000D3B60000}"/>
    <cellStyle name="Remarque 3 5 4 6 6 2" xfId="33861" xr:uid="{00000000-0005-0000-0000-0000D4B60000}"/>
    <cellStyle name="Remarque 3 5 4 6 6 2 2" xfId="57821" xr:uid="{00000000-0005-0000-0000-0000D5B60000}"/>
    <cellStyle name="Remarque 3 5 4 6 6 3" xfId="21108" xr:uid="{00000000-0005-0000-0000-0000D6B60000}"/>
    <cellStyle name="Remarque 3 5 4 6 6 4" xfId="45068" xr:uid="{00000000-0005-0000-0000-0000D7B60000}"/>
    <cellStyle name="Remarque 3 5 4 6 7" xfId="11304" xr:uid="{00000000-0005-0000-0000-0000D8B60000}"/>
    <cellStyle name="Remarque 3 5 4 6 7 2" xfId="35314" xr:uid="{00000000-0005-0000-0000-0000D9B60000}"/>
    <cellStyle name="Remarque 3 5 4 6 7 2 2" xfId="59274" xr:uid="{00000000-0005-0000-0000-0000DAB60000}"/>
    <cellStyle name="Remarque 3 5 4 6 7 3" xfId="22571" xr:uid="{00000000-0005-0000-0000-0000DBB60000}"/>
    <cellStyle name="Remarque 3 5 4 6 7 4" xfId="46531" xr:uid="{00000000-0005-0000-0000-0000DCB60000}"/>
    <cellStyle name="Remarque 3 5 4 6 8" xfId="12431" xr:uid="{00000000-0005-0000-0000-0000DDB60000}"/>
    <cellStyle name="Remarque 3 5 4 6 8 2" xfId="23723" xr:uid="{00000000-0005-0000-0000-0000DEB60000}"/>
    <cellStyle name="Remarque 3 5 4 6 8 3" xfId="47683" xr:uid="{00000000-0005-0000-0000-0000DFB60000}"/>
    <cellStyle name="Remarque 3 5 4 6 9" xfId="2776" xr:uid="{00000000-0005-0000-0000-0000E0B60000}"/>
    <cellStyle name="Remarque 3 5 4 6 9 2" xfId="26790" xr:uid="{00000000-0005-0000-0000-0000E1B60000}"/>
    <cellStyle name="Remarque 3 5 4 6 9 3" xfId="50750" xr:uid="{00000000-0005-0000-0000-0000E2B60000}"/>
    <cellStyle name="Remarque 3 5 4 7" xfId="1509" xr:uid="{00000000-0005-0000-0000-0000E3B60000}"/>
    <cellStyle name="Remarque 3 5 4 7 10" xfId="25541" xr:uid="{00000000-0005-0000-0000-0000E4B60000}"/>
    <cellStyle name="Remarque 3 5 4 7 10 2" xfId="49501" xr:uid="{00000000-0005-0000-0000-0000E5B60000}"/>
    <cellStyle name="Remarque 3 5 4 7 11" xfId="35712" xr:uid="{00000000-0005-0000-0000-0000E6B60000}"/>
    <cellStyle name="Remarque 3 5 4 7 11 2" xfId="59672" xr:uid="{00000000-0005-0000-0000-0000E7B60000}"/>
    <cellStyle name="Remarque 3 5 4 7 12" xfId="14206" xr:uid="{00000000-0005-0000-0000-0000E8B60000}"/>
    <cellStyle name="Remarque 3 5 4 7 13" xfId="38166" xr:uid="{00000000-0005-0000-0000-0000E9B60000}"/>
    <cellStyle name="Remarque 3 5 4 7 2" xfId="4415" xr:uid="{00000000-0005-0000-0000-0000EAB60000}"/>
    <cellStyle name="Remarque 3 5 4 7 2 2" xfId="28429" xr:uid="{00000000-0005-0000-0000-0000EBB60000}"/>
    <cellStyle name="Remarque 3 5 4 7 2 2 2" xfId="52389" xr:uid="{00000000-0005-0000-0000-0000ECB60000}"/>
    <cellStyle name="Remarque 3 5 4 7 2 3" xfId="15676" xr:uid="{00000000-0005-0000-0000-0000EDB60000}"/>
    <cellStyle name="Remarque 3 5 4 7 2 4" xfId="39636" xr:uid="{00000000-0005-0000-0000-0000EEB60000}"/>
    <cellStyle name="Remarque 3 5 4 7 3" xfId="5849" xr:uid="{00000000-0005-0000-0000-0000EFB60000}"/>
    <cellStyle name="Remarque 3 5 4 7 3 2" xfId="29863" xr:uid="{00000000-0005-0000-0000-0000F0B60000}"/>
    <cellStyle name="Remarque 3 5 4 7 3 2 2" xfId="53823" xr:uid="{00000000-0005-0000-0000-0000F1B60000}"/>
    <cellStyle name="Remarque 3 5 4 7 3 3" xfId="17110" xr:uid="{00000000-0005-0000-0000-0000F2B60000}"/>
    <cellStyle name="Remarque 3 5 4 7 3 4" xfId="41070" xr:uid="{00000000-0005-0000-0000-0000F3B60000}"/>
    <cellStyle name="Remarque 3 5 4 7 4" xfId="7243" xr:uid="{00000000-0005-0000-0000-0000F4B60000}"/>
    <cellStyle name="Remarque 3 5 4 7 4 2" xfId="31257" xr:uid="{00000000-0005-0000-0000-0000F5B60000}"/>
    <cellStyle name="Remarque 3 5 4 7 4 2 2" xfId="55217" xr:uid="{00000000-0005-0000-0000-0000F6B60000}"/>
    <cellStyle name="Remarque 3 5 4 7 4 3" xfId="18504" xr:uid="{00000000-0005-0000-0000-0000F7B60000}"/>
    <cellStyle name="Remarque 3 5 4 7 4 4" xfId="42464" xr:uid="{00000000-0005-0000-0000-0000F8B60000}"/>
    <cellStyle name="Remarque 3 5 4 7 5" xfId="8631" xr:uid="{00000000-0005-0000-0000-0000F9B60000}"/>
    <cellStyle name="Remarque 3 5 4 7 5 2" xfId="32645" xr:uid="{00000000-0005-0000-0000-0000FAB60000}"/>
    <cellStyle name="Remarque 3 5 4 7 5 2 2" xfId="56605" xr:uid="{00000000-0005-0000-0000-0000FBB60000}"/>
    <cellStyle name="Remarque 3 5 4 7 5 3" xfId="19892" xr:uid="{00000000-0005-0000-0000-0000FCB60000}"/>
    <cellStyle name="Remarque 3 5 4 7 5 4" xfId="43852" xr:uid="{00000000-0005-0000-0000-0000FDB60000}"/>
    <cellStyle name="Remarque 3 5 4 7 6" xfId="10016" xr:uid="{00000000-0005-0000-0000-0000FEB60000}"/>
    <cellStyle name="Remarque 3 5 4 7 6 2" xfId="34030" xr:uid="{00000000-0005-0000-0000-0000FFB60000}"/>
    <cellStyle name="Remarque 3 5 4 7 6 2 2" xfId="57990" xr:uid="{00000000-0005-0000-0000-000000B70000}"/>
    <cellStyle name="Remarque 3 5 4 7 6 3" xfId="21277" xr:uid="{00000000-0005-0000-0000-000001B70000}"/>
    <cellStyle name="Remarque 3 5 4 7 6 4" xfId="45237" xr:uid="{00000000-0005-0000-0000-000002B70000}"/>
    <cellStyle name="Remarque 3 5 4 7 7" xfId="11473" xr:uid="{00000000-0005-0000-0000-000003B70000}"/>
    <cellStyle name="Remarque 3 5 4 7 7 2" xfId="35483" xr:uid="{00000000-0005-0000-0000-000004B70000}"/>
    <cellStyle name="Remarque 3 5 4 7 7 2 2" xfId="59443" xr:uid="{00000000-0005-0000-0000-000005B70000}"/>
    <cellStyle name="Remarque 3 5 4 7 7 3" xfId="22740" xr:uid="{00000000-0005-0000-0000-000006B70000}"/>
    <cellStyle name="Remarque 3 5 4 7 7 4" xfId="46700" xr:uid="{00000000-0005-0000-0000-000007B70000}"/>
    <cellStyle name="Remarque 3 5 4 7 8" xfId="11761" xr:uid="{00000000-0005-0000-0000-000008B70000}"/>
    <cellStyle name="Remarque 3 5 4 7 8 2" xfId="23033" xr:uid="{00000000-0005-0000-0000-000009B70000}"/>
    <cellStyle name="Remarque 3 5 4 7 8 3" xfId="46993" xr:uid="{00000000-0005-0000-0000-00000AB70000}"/>
    <cellStyle name="Remarque 3 5 4 7 9" xfId="2945" xr:uid="{00000000-0005-0000-0000-00000BB70000}"/>
    <cellStyle name="Remarque 3 5 4 7 9 2" xfId="26959" xr:uid="{00000000-0005-0000-0000-00000CB70000}"/>
    <cellStyle name="Remarque 3 5 4 7 9 3" xfId="50919" xr:uid="{00000000-0005-0000-0000-00000DB70000}"/>
    <cellStyle name="Remarque 3 5 4 8" xfId="3364" xr:uid="{00000000-0005-0000-0000-00000EB70000}"/>
    <cellStyle name="Remarque 3 5 4 8 2" xfId="27378" xr:uid="{00000000-0005-0000-0000-00000FB70000}"/>
    <cellStyle name="Remarque 3 5 4 8 2 2" xfId="51338" xr:uid="{00000000-0005-0000-0000-000010B70000}"/>
    <cellStyle name="Remarque 3 5 4 8 3" xfId="14625" xr:uid="{00000000-0005-0000-0000-000011B70000}"/>
    <cellStyle name="Remarque 3 5 4 8 4" xfId="38585" xr:uid="{00000000-0005-0000-0000-000012B70000}"/>
    <cellStyle name="Remarque 3 5 4 9" xfId="4798" xr:uid="{00000000-0005-0000-0000-000013B70000}"/>
    <cellStyle name="Remarque 3 5 4 9 2" xfId="28812" xr:uid="{00000000-0005-0000-0000-000014B70000}"/>
    <cellStyle name="Remarque 3 5 4 9 2 2" xfId="52772" xr:uid="{00000000-0005-0000-0000-000015B70000}"/>
    <cellStyle name="Remarque 3 5 4 9 3" xfId="16059" xr:uid="{00000000-0005-0000-0000-000016B70000}"/>
    <cellStyle name="Remarque 3 5 4 9 4" xfId="40019" xr:uid="{00000000-0005-0000-0000-000017B70000}"/>
    <cellStyle name="Remarque 3 5 5" xfId="283" xr:uid="{00000000-0005-0000-0000-000018B70000}"/>
    <cellStyle name="Remarque 3 5 5 10" xfId="24315" xr:uid="{00000000-0005-0000-0000-000019B70000}"/>
    <cellStyle name="Remarque 3 5 5 10 2" xfId="48275" xr:uid="{00000000-0005-0000-0000-00001AB70000}"/>
    <cellStyle name="Remarque 3 5 5 11" xfId="34154" xr:uid="{00000000-0005-0000-0000-00001BB70000}"/>
    <cellStyle name="Remarque 3 5 5 11 2" xfId="58114" xr:uid="{00000000-0005-0000-0000-00001CB70000}"/>
    <cellStyle name="Remarque 3 5 5 12" xfId="12980" xr:uid="{00000000-0005-0000-0000-00001DB70000}"/>
    <cellStyle name="Remarque 3 5 5 13" xfId="36940" xr:uid="{00000000-0005-0000-0000-00001EB70000}"/>
    <cellStyle name="Remarque 3 5 5 2" xfId="3189" xr:uid="{00000000-0005-0000-0000-00001FB70000}"/>
    <cellStyle name="Remarque 3 5 5 2 2" xfId="27203" xr:uid="{00000000-0005-0000-0000-000020B70000}"/>
    <cellStyle name="Remarque 3 5 5 2 2 2" xfId="51163" xr:uid="{00000000-0005-0000-0000-000021B70000}"/>
    <cellStyle name="Remarque 3 5 5 2 3" xfId="14450" xr:uid="{00000000-0005-0000-0000-000022B70000}"/>
    <cellStyle name="Remarque 3 5 5 2 4" xfId="38410" xr:uid="{00000000-0005-0000-0000-000023B70000}"/>
    <cellStyle name="Remarque 3 5 5 3" xfId="4623" xr:uid="{00000000-0005-0000-0000-000024B70000}"/>
    <cellStyle name="Remarque 3 5 5 3 2" xfId="28637" xr:uid="{00000000-0005-0000-0000-000025B70000}"/>
    <cellStyle name="Remarque 3 5 5 3 2 2" xfId="52597" xr:uid="{00000000-0005-0000-0000-000026B70000}"/>
    <cellStyle name="Remarque 3 5 5 3 3" xfId="15884" xr:uid="{00000000-0005-0000-0000-000027B70000}"/>
    <cellStyle name="Remarque 3 5 5 3 4" xfId="39844" xr:uid="{00000000-0005-0000-0000-000028B70000}"/>
    <cellStyle name="Remarque 3 5 5 4" xfId="6017" xr:uid="{00000000-0005-0000-0000-000029B70000}"/>
    <cellStyle name="Remarque 3 5 5 4 2" xfId="30031" xr:uid="{00000000-0005-0000-0000-00002AB70000}"/>
    <cellStyle name="Remarque 3 5 5 4 2 2" xfId="53991" xr:uid="{00000000-0005-0000-0000-00002BB70000}"/>
    <cellStyle name="Remarque 3 5 5 4 3" xfId="17278" xr:uid="{00000000-0005-0000-0000-00002CB70000}"/>
    <cellStyle name="Remarque 3 5 5 4 4" xfId="41238" xr:uid="{00000000-0005-0000-0000-00002DB70000}"/>
    <cellStyle name="Remarque 3 5 5 5" xfId="7405" xr:uid="{00000000-0005-0000-0000-00002EB70000}"/>
    <cellStyle name="Remarque 3 5 5 5 2" xfId="31419" xr:uid="{00000000-0005-0000-0000-00002FB70000}"/>
    <cellStyle name="Remarque 3 5 5 5 2 2" xfId="55379" xr:uid="{00000000-0005-0000-0000-000030B70000}"/>
    <cellStyle name="Remarque 3 5 5 5 3" xfId="18666" xr:uid="{00000000-0005-0000-0000-000031B70000}"/>
    <cellStyle name="Remarque 3 5 5 5 4" xfId="42626" xr:uid="{00000000-0005-0000-0000-000032B70000}"/>
    <cellStyle name="Remarque 3 5 5 6" xfId="8790" xr:uid="{00000000-0005-0000-0000-000033B70000}"/>
    <cellStyle name="Remarque 3 5 5 6 2" xfId="32804" xr:uid="{00000000-0005-0000-0000-000034B70000}"/>
    <cellStyle name="Remarque 3 5 5 6 2 2" xfId="56764" xr:uid="{00000000-0005-0000-0000-000035B70000}"/>
    <cellStyle name="Remarque 3 5 5 6 3" xfId="20051" xr:uid="{00000000-0005-0000-0000-000036B70000}"/>
    <cellStyle name="Remarque 3 5 5 6 4" xfId="44011" xr:uid="{00000000-0005-0000-0000-000037B70000}"/>
    <cellStyle name="Remarque 3 5 5 7" xfId="10247" xr:uid="{00000000-0005-0000-0000-000038B70000}"/>
    <cellStyle name="Remarque 3 5 5 7 2" xfId="34257" xr:uid="{00000000-0005-0000-0000-000039B70000}"/>
    <cellStyle name="Remarque 3 5 5 7 2 2" xfId="58217" xr:uid="{00000000-0005-0000-0000-00003AB70000}"/>
    <cellStyle name="Remarque 3 5 5 7 3" xfId="21514" xr:uid="{00000000-0005-0000-0000-00003BB70000}"/>
    <cellStyle name="Remarque 3 5 5 7 4" xfId="45474" xr:uid="{00000000-0005-0000-0000-00003CB70000}"/>
    <cellStyle name="Remarque 3 5 5 8" xfId="12665" xr:uid="{00000000-0005-0000-0000-00003DB70000}"/>
    <cellStyle name="Remarque 3 5 5 8 2" xfId="23970" xr:uid="{00000000-0005-0000-0000-00003EB70000}"/>
    <cellStyle name="Remarque 3 5 5 8 3" xfId="47930" xr:uid="{00000000-0005-0000-0000-00003FB70000}"/>
    <cellStyle name="Remarque 3 5 5 9" xfId="1719" xr:uid="{00000000-0005-0000-0000-000040B70000}"/>
    <cellStyle name="Remarque 3 5 5 9 2" xfId="25733" xr:uid="{00000000-0005-0000-0000-000041B70000}"/>
    <cellStyle name="Remarque 3 5 5 9 3" xfId="49693" xr:uid="{00000000-0005-0000-0000-000042B70000}"/>
    <cellStyle name="Remarque 3 5 6" xfId="651" xr:uid="{00000000-0005-0000-0000-000043B70000}"/>
    <cellStyle name="Remarque 3 5 6 10" xfId="24683" xr:uid="{00000000-0005-0000-0000-000044B70000}"/>
    <cellStyle name="Remarque 3 5 6 10 2" xfId="48643" xr:uid="{00000000-0005-0000-0000-000045B70000}"/>
    <cellStyle name="Remarque 3 5 6 11" xfId="34125" xr:uid="{00000000-0005-0000-0000-000046B70000}"/>
    <cellStyle name="Remarque 3 5 6 11 2" xfId="58085" xr:uid="{00000000-0005-0000-0000-000047B70000}"/>
    <cellStyle name="Remarque 3 5 6 12" xfId="13348" xr:uid="{00000000-0005-0000-0000-000048B70000}"/>
    <cellStyle name="Remarque 3 5 6 13" xfId="37308" xr:uid="{00000000-0005-0000-0000-000049B70000}"/>
    <cellStyle name="Remarque 3 5 6 2" xfId="3557" xr:uid="{00000000-0005-0000-0000-00004AB70000}"/>
    <cellStyle name="Remarque 3 5 6 2 2" xfId="27571" xr:uid="{00000000-0005-0000-0000-00004BB70000}"/>
    <cellStyle name="Remarque 3 5 6 2 2 2" xfId="51531" xr:uid="{00000000-0005-0000-0000-00004CB70000}"/>
    <cellStyle name="Remarque 3 5 6 2 3" xfId="14818" xr:uid="{00000000-0005-0000-0000-00004DB70000}"/>
    <cellStyle name="Remarque 3 5 6 2 4" xfId="38778" xr:uid="{00000000-0005-0000-0000-00004EB70000}"/>
    <cellStyle name="Remarque 3 5 6 3" xfId="4991" xr:uid="{00000000-0005-0000-0000-00004FB70000}"/>
    <cellStyle name="Remarque 3 5 6 3 2" xfId="29005" xr:uid="{00000000-0005-0000-0000-000050B70000}"/>
    <cellStyle name="Remarque 3 5 6 3 2 2" xfId="52965" xr:uid="{00000000-0005-0000-0000-000051B70000}"/>
    <cellStyle name="Remarque 3 5 6 3 3" xfId="16252" xr:uid="{00000000-0005-0000-0000-000052B70000}"/>
    <cellStyle name="Remarque 3 5 6 3 4" xfId="40212" xr:uid="{00000000-0005-0000-0000-000053B70000}"/>
    <cellStyle name="Remarque 3 5 6 4" xfId="6385" xr:uid="{00000000-0005-0000-0000-000054B70000}"/>
    <cellStyle name="Remarque 3 5 6 4 2" xfId="30399" xr:uid="{00000000-0005-0000-0000-000055B70000}"/>
    <cellStyle name="Remarque 3 5 6 4 2 2" xfId="54359" xr:uid="{00000000-0005-0000-0000-000056B70000}"/>
    <cellStyle name="Remarque 3 5 6 4 3" xfId="17646" xr:uid="{00000000-0005-0000-0000-000057B70000}"/>
    <cellStyle name="Remarque 3 5 6 4 4" xfId="41606" xr:uid="{00000000-0005-0000-0000-000058B70000}"/>
    <cellStyle name="Remarque 3 5 6 5" xfId="7773" xr:uid="{00000000-0005-0000-0000-000059B70000}"/>
    <cellStyle name="Remarque 3 5 6 5 2" xfId="31787" xr:uid="{00000000-0005-0000-0000-00005AB70000}"/>
    <cellStyle name="Remarque 3 5 6 5 2 2" xfId="55747" xr:uid="{00000000-0005-0000-0000-00005BB70000}"/>
    <cellStyle name="Remarque 3 5 6 5 3" xfId="19034" xr:uid="{00000000-0005-0000-0000-00005CB70000}"/>
    <cellStyle name="Remarque 3 5 6 5 4" xfId="42994" xr:uid="{00000000-0005-0000-0000-00005DB70000}"/>
    <cellStyle name="Remarque 3 5 6 6" xfId="9158" xr:uid="{00000000-0005-0000-0000-00005EB70000}"/>
    <cellStyle name="Remarque 3 5 6 6 2" xfId="33172" xr:uid="{00000000-0005-0000-0000-00005FB70000}"/>
    <cellStyle name="Remarque 3 5 6 6 2 2" xfId="57132" xr:uid="{00000000-0005-0000-0000-000060B70000}"/>
    <cellStyle name="Remarque 3 5 6 6 3" xfId="20419" xr:uid="{00000000-0005-0000-0000-000061B70000}"/>
    <cellStyle name="Remarque 3 5 6 6 4" xfId="44379" xr:uid="{00000000-0005-0000-0000-000062B70000}"/>
    <cellStyle name="Remarque 3 5 6 7" xfId="10615" xr:uid="{00000000-0005-0000-0000-000063B70000}"/>
    <cellStyle name="Remarque 3 5 6 7 2" xfId="34625" xr:uid="{00000000-0005-0000-0000-000064B70000}"/>
    <cellStyle name="Remarque 3 5 6 7 2 2" xfId="58585" xr:uid="{00000000-0005-0000-0000-000065B70000}"/>
    <cellStyle name="Remarque 3 5 6 7 3" xfId="21882" xr:uid="{00000000-0005-0000-0000-000066B70000}"/>
    <cellStyle name="Remarque 3 5 6 7 4" xfId="45842" xr:uid="{00000000-0005-0000-0000-000067B70000}"/>
    <cellStyle name="Remarque 3 5 6 8" xfId="11640" xr:uid="{00000000-0005-0000-0000-000068B70000}"/>
    <cellStyle name="Remarque 3 5 6 8 2" xfId="22908" xr:uid="{00000000-0005-0000-0000-000069B70000}"/>
    <cellStyle name="Remarque 3 5 6 8 3" xfId="46868" xr:uid="{00000000-0005-0000-0000-00006AB70000}"/>
    <cellStyle name="Remarque 3 5 6 9" xfId="2087" xr:uid="{00000000-0005-0000-0000-00006BB70000}"/>
    <cellStyle name="Remarque 3 5 6 9 2" xfId="26101" xr:uid="{00000000-0005-0000-0000-00006CB70000}"/>
    <cellStyle name="Remarque 3 5 6 9 3" xfId="50061" xr:uid="{00000000-0005-0000-0000-00006DB70000}"/>
    <cellStyle name="Remarque 3 5 7" xfId="845" xr:uid="{00000000-0005-0000-0000-00006EB70000}"/>
    <cellStyle name="Remarque 3 5 7 10" xfId="24877" xr:uid="{00000000-0005-0000-0000-00006FB70000}"/>
    <cellStyle name="Remarque 3 5 7 10 2" xfId="48837" xr:uid="{00000000-0005-0000-0000-000070B70000}"/>
    <cellStyle name="Remarque 3 5 7 11" xfId="36133" xr:uid="{00000000-0005-0000-0000-000071B70000}"/>
    <cellStyle name="Remarque 3 5 7 11 2" xfId="60093" xr:uid="{00000000-0005-0000-0000-000072B70000}"/>
    <cellStyle name="Remarque 3 5 7 12" xfId="13542" xr:uid="{00000000-0005-0000-0000-000073B70000}"/>
    <cellStyle name="Remarque 3 5 7 13" xfId="37502" xr:uid="{00000000-0005-0000-0000-000074B70000}"/>
    <cellStyle name="Remarque 3 5 7 2" xfId="3751" xr:uid="{00000000-0005-0000-0000-000075B70000}"/>
    <cellStyle name="Remarque 3 5 7 2 2" xfId="27765" xr:uid="{00000000-0005-0000-0000-000076B70000}"/>
    <cellStyle name="Remarque 3 5 7 2 2 2" xfId="51725" xr:uid="{00000000-0005-0000-0000-000077B70000}"/>
    <cellStyle name="Remarque 3 5 7 2 3" xfId="15012" xr:uid="{00000000-0005-0000-0000-000078B70000}"/>
    <cellStyle name="Remarque 3 5 7 2 4" xfId="38972" xr:uid="{00000000-0005-0000-0000-000079B70000}"/>
    <cellStyle name="Remarque 3 5 7 3" xfId="5185" xr:uid="{00000000-0005-0000-0000-00007AB70000}"/>
    <cellStyle name="Remarque 3 5 7 3 2" xfId="29199" xr:uid="{00000000-0005-0000-0000-00007BB70000}"/>
    <cellStyle name="Remarque 3 5 7 3 2 2" xfId="53159" xr:uid="{00000000-0005-0000-0000-00007CB70000}"/>
    <cellStyle name="Remarque 3 5 7 3 3" xfId="16446" xr:uid="{00000000-0005-0000-0000-00007DB70000}"/>
    <cellStyle name="Remarque 3 5 7 3 4" xfId="40406" xr:uid="{00000000-0005-0000-0000-00007EB70000}"/>
    <cellStyle name="Remarque 3 5 7 4" xfId="6579" xr:uid="{00000000-0005-0000-0000-00007FB70000}"/>
    <cellStyle name="Remarque 3 5 7 4 2" xfId="30593" xr:uid="{00000000-0005-0000-0000-000080B70000}"/>
    <cellStyle name="Remarque 3 5 7 4 2 2" xfId="54553" xr:uid="{00000000-0005-0000-0000-000081B70000}"/>
    <cellStyle name="Remarque 3 5 7 4 3" xfId="17840" xr:uid="{00000000-0005-0000-0000-000082B70000}"/>
    <cellStyle name="Remarque 3 5 7 4 4" xfId="41800" xr:uid="{00000000-0005-0000-0000-000083B70000}"/>
    <cellStyle name="Remarque 3 5 7 5" xfId="7967" xr:uid="{00000000-0005-0000-0000-000084B70000}"/>
    <cellStyle name="Remarque 3 5 7 5 2" xfId="31981" xr:uid="{00000000-0005-0000-0000-000085B70000}"/>
    <cellStyle name="Remarque 3 5 7 5 2 2" xfId="55941" xr:uid="{00000000-0005-0000-0000-000086B70000}"/>
    <cellStyle name="Remarque 3 5 7 5 3" xfId="19228" xr:uid="{00000000-0005-0000-0000-000087B70000}"/>
    <cellStyle name="Remarque 3 5 7 5 4" xfId="43188" xr:uid="{00000000-0005-0000-0000-000088B70000}"/>
    <cellStyle name="Remarque 3 5 7 6" xfId="9352" xr:uid="{00000000-0005-0000-0000-000089B70000}"/>
    <cellStyle name="Remarque 3 5 7 6 2" xfId="33366" xr:uid="{00000000-0005-0000-0000-00008AB70000}"/>
    <cellStyle name="Remarque 3 5 7 6 2 2" xfId="57326" xr:uid="{00000000-0005-0000-0000-00008BB70000}"/>
    <cellStyle name="Remarque 3 5 7 6 3" xfId="20613" xr:uid="{00000000-0005-0000-0000-00008CB70000}"/>
    <cellStyle name="Remarque 3 5 7 6 4" xfId="44573" xr:uid="{00000000-0005-0000-0000-00008DB70000}"/>
    <cellStyle name="Remarque 3 5 7 7" xfId="10809" xr:uid="{00000000-0005-0000-0000-00008EB70000}"/>
    <cellStyle name="Remarque 3 5 7 7 2" xfId="34819" xr:uid="{00000000-0005-0000-0000-00008FB70000}"/>
    <cellStyle name="Remarque 3 5 7 7 2 2" xfId="58779" xr:uid="{00000000-0005-0000-0000-000090B70000}"/>
    <cellStyle name="Remarque 3 5 7 7 3" xfId="22076" xr:uid="{00000000-0005-0000-0000-000091B70000}"/>
    <cellStyle name="Remarque 3 5 7 7 4" xfId="46036" xr:uid="{00000000-0005-0000-0000-000092B70000}"/>
    <cellStyle name="Remarque 3 5 7 8" xfId="12709" xr:uid="{00000000-0005-0000-0000-000093B70000}"/>
    <cellStyle name="Remarque 3 5 7 8 2" xfId="24015" xr:uid="{00000000-0005-0000-0000-000094B70000}"/>
    <cellStyle name="Remarque 3 5 7 8 3" xfId="47975" xr:uid="{00000000-0005-0000-0000-000095B70000}"/>
    <cellStyle name="Remarque 3 5 7 9" xfId="2281" xr:uid="{00000000-0005-0000-0000-000096B70000}"/>
    <cellStyle name="Remarque 3 5 7 9 2" xfId="26295" xr:uid="{00000000-0005-0000-0000-000097B70000}"/>
    <cellStyle name="Remarque 3 5 7 9 3" xfId="50255" xr:uid="{00000000-0005-0000-0000-000098B70000}"/>
    <cellStyle name="Remarque 3 5 8" xfId="1038" xr:uid="{00000000-0005-0000-0000-000099B70000}"/>
    <cellStyle name="Remarque 3 5 8 10" xfId="25070" xr:uid="{00000000-0005-0000-0000-00009AB70000}"/>
    <cellStyle name="Remarque 3 5 8 10 2" xfId="49030" xr:uid="{00000000-0005-0000-0000-00009BB70000}"/>
    <cellStyle name="Remarque 3 5 8 11" xfId="36018" xr:uid="{00000000-0005-0000-0000-00009CB70000}"/>
    <cellStyle name="Remarque 3 5 8 11 2" xfId="59978" xr:uid="{00000000-0005-0000-0000-00009DB70000}"/>
    <cellStyle name="Remarque 3 5 8 12" xfId="13735" xr:uid="{00000000-0005-0000-0000-00009EB70000}"/>
    <cellStyle name="Remarque 3 5 8 13" xfId="37695" xr:uid="{00000000-0005-0000-0000-00009FB70000}"/>
    <cellStyle name="Remarque 3 5 8 2" xfId="3944" xr:uid="{00000000-0005-0000-0000-0000A0B70000}"/>
    <cellStyle name="Remarque 3 5 8 2 2" xfId="27958" xr:uid="{00000000-0005-0000-0000-0000A1B70000}"/>
    <cellStyle name="Remarque 3 5 8 2 2 2" xfId="51918" xr:uid="{00000000-0005-0000-0000-0000A2B70000}"/>
    <cellStyle name="Remarque 3 5 8 2 3" xfId="15205" xr:uid="{00000000-0005-0000-0000-0000A3B70000}"/>
    <cellStyle name="Remarque 3 5 8 2 4" xfId="39165" xr:uid="{00000000-0005-0000-0000-0000A4B70000}"/>
    <cellStyle name="Remarque 3 5 8 3" xfId="5378" xr:uid="{00000000-0005-0000-0000-0000A5B70000}"/>
    <cellStyle name="Remarque 3 5 8 3 2" xfId="29392" xr:uid="{00000000-0005-0000-0000-0000A6B70000}"/>
    <cellStyle name="Remarque 3 5 8 3 2 2" xfId="53352" xr:uid="{00000000-0005-0000-0000-0000A7B70000}"/>
    <cellStyle name="Remarque 3 5 8 3 3" xfId="16639" xr:uid="{00000000-0005-0000-0000-0000A8B70000}"/>
    <cellStyle name="Remarque 3 5 8 3 4" xfId="40599" xr:uid="{00000000-0005-0000-0000-0000A9B70000}"/>
    <cellStyle name="Remarque 3 5 8 4" xfId="6772" xr:uid="{00000000-0005-0000-0000-0000AAB70000}"/>
    <cellStyle name="Remarque 3 5 8 4 2" xfId="30786" xr:uid="{00000000-0005-0000-0000-0000ABB70000}"/>
    <cellStyle name="Remarque 3 5 8 4 2 2" xfId="54746" xr:uid="{00000000-0005-0000-0000-0000ACB70000}"/>
    <cellStyle name="Remarque 3 5 8 4 3" xfId="18033" xr:uid="{00000000-0005-0000-0000-0000ADB70000}"/>
    <cellStyle name="Remarque 3 5 8 4 4" xfId="41993" xr:uid="{00000000-0005-0000-0000-0000AEB70000}"/>
    <cellStyle name="Remarque 3 5 8 5" xfId="8160" xr:uid="{00000000-0005-0000-0000-0000AFB70000}"/>
    <cellStyle name="Remarque 3 5 8 5 2" xfId="32174" xr:uid="{00000000-0005-0000-0000-0000B0B70000}"/>
    <cellStyle name="Remarque 3 5 8 5 2 2" xfId="56134" xr:uid="{00000000-0005-0000-0000-0000B1B70000}"/>
    <cellStyle name="Remarque 3 5 8 5 3" xfId="19421" xr:uid="{00000000-0005-0000-0000-0000B2B70000}"/>
    <cellStyle name="Remarque 3 5 8 5 4" xfId="43381" xr:uid="{00000000-0005-0000-0000-0000B3B70000}"/>
    <cellStyle name="Remarque 3 5 8 6" xfId="9545" xr:uid="{00000000-0005-0000-0000-0000B4B70000}"/>
    <cellStyle name="Remarque 3 5 8 6 2" xfId="33559" xr:uid="{00000000-0005-0000-0000-0000B5B70000}"/>
    <cellStyle name="Remarque 3 5 8 6 2 2" xfId="57519" xr:uid="{00000000-0005-0000-0000-0000B6B70000}"/>
    <cellStyle name="Remarque 3 5 8 6 3" xfId="20806" xr:uid="{00000000-0005-0000-0000-0000B7B70000}"/>
    <cellStyle name="Remarque 3 5 8 6 4" xfId="44766" xr:uid="{00000000-0005-0000-0000-0000B8B70000}"/>
    <cellStyle name="Remarque 3 5 8 7" xfId="11002" xr:uid="{00000000-0005-0000-0000-0000B9B70000}"/>
    <cellStyle name="Remarque 3 5 8 7 2" xfId="35012" xr:uid="{00000000-0005-0000-0000-0000BAB70000}"/>
    <cellStyle name="Remarque 3 5 8 7 2 2" xfId="58972" xr:uid="{00000000-0005-0000-0000-0000BBB70000}"/>
    <cellStyle name="Remarque 3 5 8 7 3" xfId="22269" xr:uid="{00000000-0005-0000-0000-0000BCB70000}"/>
    <cellStyle name="Remarque 3 5 8 7 4" xfId="46229" xr:uid="{00000000-0005-0000-0000-0000BDB70000}"/>
    <cellStyle name="Remarque 3 5 8 8" xfId="12464" xr:uid="{00000000-0005-0000-0000-0000BEB70000}"/>
    <cellStyle name="Remarque 3 5 8 8 2" xfId="23759" xr:uid="{00000000-0005-0000-0000-0000BFB70000}"/>
    <cellStyle name="Remarque 3 5 8 8 3" xfId="47719" xr:uid="{00000000-0005-0000-0000-0000C0B70000}"/>
    <cellStyle name="Remarque 3 5 8 9" xfId="2474" xr:uid="{00000000-0005-0000-0000-0000C1B70000}"/>
    <cellStyle name="Remarque 3 5 8 9 2" xfId="26488" xr:uid="{00000000-0005-0000-0000-0000C2B70000}"/>
    <cellStyle name="Remarque 3 5 8 9 3" xfId="50448" xr:uid="{00000000-0005-0000-0000-0000C3B70000}"/>
    <cellStyle name="Remarque 3 5 9" xfId="1224" xr:uid="{00000000-0005-0000-0000-0000C4B70000}"/>
    <cellStyle name="Remarque 3 5 9 10" xfId="25256" xr:uid="{00000000-0005-0000-0000-0000C5B70000}"/>
    <cellStyle name="Remarque 3 5 9 10 2" xfId="49216" xr:uid="{00000000-0005-0000-0000-0000C6B70000}"/>
    <cellStyle name="Remarque 3 5 9 11" xfId="36831" xr:uid="{00000000-0005-0000-0000-0000C7B70000}"/>
    <cellStyle name="Remarque 3 5 9 11 2" xfId="60791" xr:uid="{00000000-0005-0000-0000-0000C8B70000}"/>
    <cellStyle name="Remarque 3 5 9 12" xfId="13921" xr:uid="{00000000-0005-0000-0000-0000C9B70000}"/>
    <cellStyle name="Remarque 3 5 9 13" xfId="37881" xr:uid="{00000000-0005-0000-0000-0000CAB70000}"/>
    <cellStyle name="Remarque 3 5 9 2" xfId="4130" xr:uid="{00000000-0005-0000-0000-0000CBB70000}"/>
    <cellStyle name="Remarque 3 5 9 2 2" xfId="28144" xr:uid="{00000000-0005-0000-0000-0000CCB70000}"/>
    <cellStyle name="Remarque 3 5 9 2 2 2" xfId="52104" xr:uid="{00000000-0005-0000-0000-0000CDB70000}"/>
    <cellStyle name="Remarque 3 5 9 2 3" xfId="15391" xr:uid="{00000000-0005-0000-0000-0000CEB70000}"/>
    <cellStyle name="Remarque 3 5 9 2 4" xfId="39351" xr:uid="{00000000-0005-0000-0000-0000CFB70000}"/>
    <cellStyle name="Remarque 3 5 9 3" xfId="5564" xr:uid="{00000000-0005-0000-0000-0000D0B70000}"/>
    <cellStyle name="Remarque 3 5 9 3 2" xfId="29578" xr:uid="{00000000-0005-0000-0000-0000D1B70000}"/>
    <cellStyle name="Remarque 3 5 9 3 2 2" xfId="53538" xr:uid="{00000000-0005-0000-0000-0000D2B70000}"/>
    <cellStyle name="Remarque 3 5 9 3 3" xfId="16825" xr:uid="{00000000-0005-0000-0000-0000D3B70000}"/>
    <cellStyle name="Remarque 3 5 9 3 4" xfId="40785" xr:uid="{00000000-0005-0000-0000-0000D4B70000}"/>
    <cellStyle name="Remarque 3 5 9 4" xfId="6958" xr:uid="{00000000-0005-0000-0000-0000D5B70000}"/>
    <cellStyle name="Remarque 3 5 9 4 2" xfId="30972" xr:uid="{00000000-0005-0000-0000-0000D6B70000}"/>
    <cellStyle name="Remarque 3 5 9 4 2 2" xfId="54932" xr:uid="{00000000-0005-0000-0000-0000D7B70000}"/>
    <cellStyle name="Remarque 3 5 9 4 3" xfId="18219" xr:uid="{00000000-0005-0000-0000-0000D8B70000}"/>
    <cellStyle name="Remarque 3 5 9 4 4" xfId="42179" xr:uid="{00000000-0005-0000-0000-0000D9B70000}"/>
    <cellStyle name="Remarque 3 5 9 5" xfId="8346" xr:uid="{00000000-0005-0000-0000-0000DAB70000}"/>
    <cellStyle name="Remarque 3 5 9 5 2" xfId="32360" xr:uid="{00000000-0005-0000-0000-0000DBB70000}"/>
    <cellStyle name="Remarque 3 5 9 5 2 2" xfId="56320" xr:uid="{00000000-0005-0000-0000-0000DCB70000}"/>
    <cellStyle name="Remarque 3 5 9 5 3" xfId="19607" xr:uid="{00000000-0005-0000-0000-0000DDB70000}"/>
    <cellStyle name="Remarque 3 5 9 5 4" xfId="43567" xr:uid="{00000000-0005-0000-0000-0000DEB70000}"/>
    <cellStyle name="Remarque 3 5 9 6" xfId="9731" xr:uid="{00000000-0005-0000-0000-0000DFB70000}"/>
    <cellStyle name="Remarque 3 5 9 6 2" xfId="33745" xr:uid="{00000000-0005-0000-0000-0000E0B70000}"/>
    <cellStyle name="Remarque 3 5 9 6 2 2" xfId="57705" xr:uid="{00000000-0005-0000-0000-0000E1B70000}"/>
    <cellStyle name="Remarque 3 5 9 6 3" xfId="20992" xr:uid="{00000000-0005-0000-0000-0000E2B70000}"/>
    <cellStyle name="Remarque 3 5 9 6 4" xfId="44952" xr:uid="{00000000-0005-0000-0000-0000E3B70000}"/>
    <cellStyle name="Remarque 3 5 9 7" xfId="11188" xr:uid="{00000000-0005-0000-0000-0000E4B70000}"/>
    <cellStyle name="Remarque 3 5 9 7 2" xfId="35198" xr:uid="{00000000-0005-0000-0000-0000E5B70000}"/>
    <cellStyle name="Remarque 3 5 9 7 2 2" xfId="59158" xr:uid="{00000000-0005-0000-0000-0000E6B70000}"/>
    <cellStyle name="Remarque 3 5 9 7 3" xfId="22455" xr:uid="{00000000-0005-0000-0000-0000E7B70000}"/>
    <cellStyle name="Remarque 3 5 9 7 4" xfId="46415" xr:uid="{00000000-0005-0000-0000-0000E8B70000}"/>
    <cellStyle name="Remarque 3 5 9 8" xfId="11802" xr:uid="{00000000-0005-0000-0000-0000E9B70000}"/>
    <cellStyle name="Remarque 3 5 9 8 2" xfId="23076" xr:uid="{00000000-0005-0000-0000-0000EAB70000}"/>
    <cellStyle name="Remarque 3 5 9 8 3" xfId="47036" xr:uid="{00000000-0005-0000-0000-0000EBB70000}"/>
    <cellStyle name="Remarque 3 5 9 9" xfId="2660" xr:uid="{00000000-0005-0000-0000-0000ECB70000}"/>
    <cellStyle name="Remarque 3 5 9 9 2" xfId="26674" xr:uid="{00000000-0005-0000-0000-0000EDB70000}"/>
    <cellStyle name="Remarque 3 5 9 9 3" xfId="50634" xr:uid="{00000000-0005-0000-0000-0000EEB70000}"/>
    <cellStyle name="Remarque 3 6" xfId="46" xr:uid="{00000000-0005-0000-0000-0000EFB70000}"/>
    <cellStyle name="Remarque 3 6 10" xfId="36885" xr:uid="{00000000-0005-0000-0000-0000F0B70000}"/>
    <cellStyle name="Remarque 3 6 11" xfId="228" xr:uid="{00000000-0005-0000-0000-0000F1B70000}"/>
    <cellStyle name="Remarque 3 6 2" xfId="462" xr:uid="{00000000-0005-0000-0000-0000F2B70000}"/>
    <cellStyle name="Remarque 3 6 2 10" xfId="6196" xr:uid="{00000000-0005-0000-0000-0000F3B70000}"/>
    <cellStyle name="Remarque 3 6 2 10 2" xfId="30210" xr:uid="{00000000-0005-0000-0000-0000F4B70000}"/>
    <cellStyle name="Remarque 3 6 2 10 2 2" xfId="54170" xr:uid="{00000000-0005-0000-0000-0000F5B70000}"/>
    <cellStyle name="Remarque 3 6 2 10 3" xfId="17457" xr:uid="{00000000-0005-0000-0000-0000F6B70000}"/>
    <cellStyle name="Remarque 3 6 2 10 4" xfId="41417" xr:uid="{00000000-0005-0000-0000-0000F7B70000}"/>
    <cellStyle name="Remarque 3 6 2 11" xfId="7584" xr:uid="{00000000-0005-0000-0000-0000F8B70000}"/>
    <cellStyle name="Remarque 3 6 2 11 2" xfId="31598" xr:uid="{00000000-0005-0000-0000-0000F9B70000}"/>
    <cellStyle name="Remarque 3 6 2 11 2 2" xfId="55558" xr:uid="{00000000-0005-0000-0000-0000FAB70000}"/>
    <cellStyle name="Remarque 3 6 2 11 3" xfId="18845" xr:uid="{00000000-0005-0000-0000-0000FBB70000}"/>
    <cellStyle name="Remarque 3 6 2 11 4" xfId="42805" xr:uid="{00000000-0005-0000-0000-0000FCB70000}"/>
    <cellStyle name="Remarque 3 6 2 12" xfId="8969" xr:uid="{00000000-0005-0000-0000-0000FDB70000}"/>
    <cellStyle name="Remarque 3 6 2 12 2" xfId="32983" xr:uid="{00000000-0005-0000-0000-0000FEB70000}"/>
    <cellStyle name="Remarque 3 6 2 12 2 2" xfId="56943" xr:uid="{00000000-0005-0000-0000-0000FFB70000}"/>
    <cellStyle name="Remarque 3 6 2 12 3" xfId="20230" xr:uid="{00000000-0005-0000-0000-000000B80000}"/>
    <cellStyle name="Remarque 3 6 2 12 4" xfId="44190" xr:uid="{00000000-0005-0000-0000-000001B80000}"/>
    <cellStyle name="Remarque 3 6 2 13" xfId="10426" xr:uid="{00000000-0005-0000-0000-000002B80000}"/>
    <cellStyle name="Remarque 3 6 2 13 2" xfId="34436" xr:uid="{00000000-0005-0000-0000-000003B80000}"/>
    <cellStyle name="Remarque 3 6 2 13 2 2" xfId="58396" xr:uid="{00000000-0005-0000-0000-000004B80000}"/>
    <cellStyle name="Remarque 3 6 2 13 3" xfId="21693" xr:uid="{00000000-0005-0000-0000-000005B80000}"/>
    <cellStyle name="Remarque 3 6 2 13 4" xfId="45653" xr:uid="{00000000-0005-0000-0000-000006B80000}"/>
    <cellStyle name="Remarque 3 6 2 14" xfId="12547" xr:uid="{00000000-0005-0000-0000-000007B80000}"/>
    <cellStyle name="Remarque 3 6 2 14 2" xfId="23845" xr:uid="{00000000-0005-0000-0000-000008B80000}"/>
    <cellStyle name="Remarque 3 6 2 14 3" xfId="47805" xr:uid="{00000000-0005-0000-0000-000009B80000}"/>
    <cellStyle name="Remarque 3 6 2 15" xfId="1898" xr:uid="{00000000-0005-0000-0000-00000AB80000}"/>
    <cellStyle name="Remarque 3 6 2 15 2" xfId="25912" xr:uid="{00000000-0005-0000-0000-00000BB80000}"/>
    <cellStyle name="Remarque 3 6 2 15 3" xfId="49872" xr:uid="{00000000-0005-0000-0000-00000CB80000}"/>
    <cellStyle name="Remarque 3 6 2 16" xfId="24494" xr:uid="{00000000-0005-0000-0000-00000DB80000}"/>
    <cellStyle name="Remarque 3 6 2 16 2" xfId="48454" xr:uid="{00000000-0005-0000-0000-00000EB80000}"/>
    <cellStyle name="Remarque 3 6 2 17" xfId="35891" xr:uid="{00000000-0005-0000-0000-00000FB80000}"/>
    <cellStyle name="Remarque 3 6 2 17 2" xfId="59851" xr:uid="{00000000-0005-0000-0000-000010B80000}"/>
    <cellStyle name="Remarque 3 6 2 18" xfId="13159" xr:uid="{00000000-0005-0000-0000-000011B80000}"/>
    <cellStyle name="Remarque 3 6 2 19" xfId="37119" xr:uid="{00000000-0005-0000-0000-000012B80000}"/>
    <cellStyle name="Remarque 3 6 2 2" xfId="598" xr:uid="{00000000-0005-0000-0000-000013B80000}"/>
    <cellStyle name="Remarque 3 6 2 2 10" xfId="24630" xr:uid="{00000000-0005-0000-0000-000014B80000}"/>
    <cellStyle name="Remarque 3 6 2 2 10 2" xfId="48590" xr:uid="{00000000-0005-0000-0000-000015B80000}"/>
    <cellStyle name="Remarque 3 6 2 2 11" xfId="36665" xr:uid="{00000000-0005-0000-0000-000016B80000}"/>
    <cellStyle name="Remarque 3 6 2 2 11 2" xfId="60625" xr:uid="{00000000-0005-0000-0000-000017B80000}"/>
    <cellStyle name="Remarque 3 6 2 2 12" xfId="13295" xr:uid="{00000000-0005-0000-0000-000018B80000}"/>
    <cellStyle name="Remarque 3 6 2 2 13" xfId="37255" xr:uid="{00000000-0005-0000-0000-000019B80000}"/>
    <cellStyle name="Remarque 3 6 2 2 2" xfId="3504" xr:uid="{00000000-0005-0000-0000-00001AB80000}"/>
    <cellStyle name="Remarque 3 6 2 2 2 2" xfId="27518" xr:uid="{00000000-0005-0000-0000-00001BB80000}"/>
    <cellStyle name="Remarque 3 6 2 2 2 2 2" xfId="51478" xr:uid="{00000000-0005-0000-0000-00001CB80000}"/>
    <cellStyle name="Remarque 3 6 2 2 2 3" xfId="14765" xr:uid="{00000000-0005-0000-0000-00001DB80000}"/>
    <cellStyle name="Remarque 3 6 2 2 2 4" xfId="38725" xr:uid="{00000000-0005-0000-0000-00001EB80000}"/>
    <cellStyle name="Remarque 3 6 2 2 3" xfId="4938" xr:uid="{00000000-0005-0000-0000-00001FB80000}"/>
    <cellStyle name="Remarque 3 6 2 2 3 2" xfId="28952" xr:uid="{00000000-0005-0000-0000-000020B80000}"/>
    <cellStyle name="Remarque 3 6 2 2 3 2 2" xfId="52912" xr:uid="{00000000-0005-0000-0000-000021B80000}"/>
    <cellStyle name="Remarque 3 6 2 2 3 3" xfId="16199" xr:uid="{00000000-0005-0000-0000-000022B80000}"/>
    <cellStyle name="Remarque 3 6 2 2 3 4" xfId="40159" xr:uid="{00000000-0005-0000-0000-000023B80000}"/>
    <cellStyle name="Remarque 3 6 2 2 4" xfId="6332" xr:uid="{00000000-0005-0000-0000-000024B80000}"/>
    <cellStyle name="Remarque 3 6 2 2 4 2" xfId="30346" xr:uid="{00000000-0005-0000-0000-000025B80000}"/>
    <cellStyle name="Remarque 3 6 2 2 4 2 2" xfId="54306" xr:uid="{00000000-0005-0000-0000-000026B80000}"/>
    <cellStyle name="Remarque 3 6 2 2 4 3" xfId="17593" xr:uid="{00000000-0005-0000-0000-000027B80000}"/>
    <cellStyle name="Remarque 3 6 2 2 4 4" xfId="41553" xr:uid="{00000000-0005-0000-0000-000028B80000}"/>
    <cellStyle name="Remarque 3 6 2 2 5" xfId="7720" xr:uid="{00000000-0005-0000-0000-000029B80000}"/>
    <cellStyle name="Remarque 3 6 2 2 5 2" xfId="31734" xr:uid="{00000000-0005-0000-0000-00002AB80000}"/>
    <cellStyle name="Remarque 3 6 2 2 5 2 2" xfId="55694" xr:uid="{00000000-0005-0000-0000-00002BB80000}"/>
    <cellStyle name="Remarque 3 6 2 2 5 3" xfId="18981" xr:uid="{00000000-0005-0000-0000-00002CB80000}"/>
    <cellStyle name="Remarque 3 6 2 2 5 4" xfId="42941" xr:uid="{00000000-0005-0000-0000-00002DB80000}"/>
    <cellStyle name="Remarque 3 6 2 2 6" xfId="9105" xr:uid="{00000000-0005-0000-0000-00002EB80000}"/>
    <cellStyle name="Remarque 3 6 2 2 6 2" xfId="33119" xr:uid="{00000000-0005-0000-0000-00002FB80000}"/>
    <cellStyle name="Remarque 3 6 2 2 6 2 2" xfId="57079" xr:uid="{00000000-0005-0000-0000-000030B80000}"/>
    <cellStyle name="Remarque 3 6 2 2 6 3" xfId="20366" xr:uid="{00000000-0005-0000-0000-000031B80000}"/>
    <cellStyle name="Remarque 3 6 2 2 6 4" xfId="44326" xr:uid="{00000000-0005-0000-0000-000032B80000}"/>
    <cellStyle name="Remarque 3 6 2 2 7" xfId="10562" xr:uid="{00000000-0005-0000-0000-000033B80000}"/>
    <cellStyle name="Remarque 3 6 2 2 7 2" xfId="34572" xr:uid="{00000000-0005-0000-0000-000034B80000}"/>
    <cellStyle name="Remarque 3 6 2 2 7 2 2" xfId="58532" xr:uid="{00000000-0005-0000-0000-000035B80000}"/>
    <cellStyle name="Remarque 3 6 2 2 7 3" xfId="21829" xr:uid="{00000000-0005-0000-0000-000036B80000}"/>
    <cellStyle name="Remarque 3 6 2 2 7 4" xfId="45789" xr:uid="{00000000-0005-0000-0000-000037B80000}"/>
    <cellStyle name="Remarque 3 6 2 2 8" xfId="11950" xr:uid="{00000000-0005-0000-0000-000038B80000}"/>
    <cellStyle name="Remarque 3 6 2 2 8 2" xfId="23228" xr:uid="{00000000-0005-0000-0000-000039B80000}"/>
    <cellStyle name="Remarque 3 6 2 2 8 3" xfId="47188" xr:uid="{00000000-0005-0000-0000-00003AB80000}"/>
    <cellStyle name="Remarque 3 6 2 2 9" xfId="2034" xr:uid="{00000000-0005-0000-0000-00003BB80000}"/>
    <cellStyle name="Remarque 3 6 2 2 9 2" xfId="26048" xr:uid="{00000000-0005-0000-0000-00003CB80000}"/>
    <cellStyle name="Remarque 3 6 2 2 9 3" xfId="50008" xr:uid="{00000000-0005-0000-0000-00003DB80000}"/>
    <cellStyle name="Remarque 3 6 2 3" xfId="790" xr:uid="{00000000-0005-0000-0000-00003EB80000}"/>
    <cellStyle name="Remarque 3 6 2 3 10" xfId="24822" xr:uid="{00000000-0005-0000-0000-00003FB80000}"/>
    <cellStyle name="Remarque 3 6 2 3 10 2" xfId="48782" xr:uid="{00000000-0005-0000-0000-000040B80000}"/>
    <cellStyle name="Remarque 3 6 2 3 11" xfId="36267" xr:uid="{00000000-0005-0000-0000-000041B80000}"/>
    <cellStyle name="Remarque 3 6 2 3 11 2" xfId="60227" xr:uid="{00000000-0005-0000-0000-000042B80000}"/>
    <cellStyle name="Remarque 3 6 2 3 12" xfId="13487" xr:uid="{00000000-0005-0000-0000-000043B80000}"/>
    <cellStyle name="Remarque 3 6 2 3 13" xfId="37447" xr:uid="{00000000-0005-0000-0000-000044B80000}"/>
    <cellStyle name="Remarque 3 6 2 3 2" xfId="3696" xr:uid="{00000000-0005-0000-0000-000045B80000}"/>
    <cellStyle name="Remarque 3 6 2 3 2 2" xfId="27710" xr:uid="{00000000-0005-0000-0000-000046B80000}"/>
    <cellStyle name="Remarque 3 6 2 3 2 2 2" xfId="51670" xr:uid="{00000000-0005-0000-0000-000047B80000}"/>
    <cellStyle name="Remarque 3 6 2 3 2 3" xfId="14957" xr:uid="{00000000-0005-0000-0000-000048B80000}"/>
    <cellStyle name="Remarque 3 6 2 3 2 4" xfId="38917" xr:uid="{00000000-0005-0000-0000-000049B80000}"/>
    <cellStyle name="Remarque 3 6 2 3 3" xfId="5130" xr:uid="{00000000-0005-0000-0000-00004AB80000}"/>
    <cellStyle name="Remarque 3 6 2 3 3 2" xfId="29144" xr:uid="{00000000-0005-0000-0000-00004BB80000}"/>
    <cellStyle name="Remarque 3 6 2 3 3 2 2" xfId="53104" xr:uid="{00000000-0005-0000-0000-00004CB80000}"/>
    <cellStyle name="Remarque 3 6 2 3 3 3" xfId="16391" xr:uid="{00000000-0005-0000-0000-00004DB80000}"/>
    <cellStyle name="Remarque 3 6 2 3 3 4" xfId="40351" xr:uid="{00000000-0005-0000-0000-00004EB80000}"/>
    <cellStyle name="Remarque 3 6 2 3 4" xfId="6524" xr:uid="{00000000-0005-0000-0000-00004FB80000}"/>
    <cellStyle name="Remarque 3 6 2 3 4 2" xfId="30538" xr:uid="{00000000-0005-0000-0000-000050B80000}"/>
    <cellStyle name="Remarque 3 6 2 3 4 2 2" xfId="54498" xr:uid="{00000000-0005-0000-0000-000051B80000}"/>
    <cellStyle name="Remarque 3 6 2 3 4 3" xfId="17785" xr:uid="{00000000-0005-0000-0000-000052B80000}"/>
    <cellStyle name="Remarque 3 6 2 3 4 4" xfId="41745" xr:uid="{00000000-0005-0000-0000-000053B80000}"/>
    <cellStyle name="Remarque 3 6 2 3 5" xfId="7912" xr:uid="{00000000-0005-0000-0000-000054B80000}"/>
    <cellStyle name="Remarque 3 6 2 3 5 2" xfId="31926" xr:uid="{00000000-0005-0000-0000-000055B80000}"/>
    <cellStyle name="Remarque 3 6 2 3 5 2 2" xfId="55886" xr:uid="{00000000-0005-0000-0000-000056B80000}"/>
    <cellStyle name="Remarque 3 6 2 3 5 3" xfId="19173" xr:uid="{00000000-0005-0000-0000-000057B80000}"/>
    <cellStyle name="Remarque 3 6 2 3 5 4" xfId="43133" xr:uid="{00000000-0005-0000-0000-000058B80000}"/>
    <cellStyle name="Remarque 3 6 2 3 6" xfId="9297" xr:uid="{00000000-0005-0000-0000-000059B80000}"/>
    <cellStyle name="Remarque 3 6 2 3 6 2" xfId="33311" xr:uid="{00000000-0005-0000-0000-00005AB80000}"/>
    <cellStyle name="Remarque 3 6 2 3 6 2 2" xfId="57271" xr:uid="{00000000-0005-0000-0000-00005BB80000}"/>
    <cellStyle name="Remarque 3 6 2 3 6 3" xfId="20558" xr:uid="{00000000-0005-0000-0000-00005CB80000}"/>
    <cellStyle name="Remarque 3 6 2 3 6 4" xfId="44518" xr:uid="{00000000-0005-0000-0000-00005DB80000}"/>
    <cellStyle name="Remarque 3 6 2 3 7" xfId="10754" xr:uid="{00000000-0005-0000-0000-00005EB80000}"/>
    <cellStyle name="Remarque 3 6 2 3 7 2" xfId="34764" xr:uid="{00000000-0005-0000-0000-00005FB80000}"/>
    <cellStyle name="Remarque 3 6 2 3 7 2 2" xfId="58724" xr:uid="{00000000-0005-0000-0000-000060B80000}"/>
    <cellStyle name="Remarque 3 6 2 3 7 3" xfId="22021" xr:uid="{00000000-0005-0000-0000-000061B80000}"/>
    <cellStyle name="Remarque 3 6 2 3 7 4" xfId="45981" xr:uid="{00000000-0005-0000-0000-000062B80000}"/>
    <cellStyle name="Remarque 3 6 2 3 8" xfId="11853" xr:uid="{00000000-0005-0000-0000-000063B80000}"/>
    <cellStyle name="Remarque 3 6 2 3 8 2" xfId="23129" xr:uid="{00000000-0005-0000-0000-000064B80000}"/>
    <cellStyle name="Remarque 3 6 2 3 8 3" xfId="47089" xr:uid="{00000000-0005-0000-0000-000065B80000}"/>
    <cellStyle name="Remarque 3 6 2 3 9" xfId="2226" xr:uid="{00000000-0005-0000-0000-000066B80000}"/>
    <cellStyle name="Remarque 3 6 2 3 9 2" xfId="26240" xr:uid="{00000000-0005-0000-0000-000067B80000}"/>
    <cellStyle name="Remarque 3 6 2 3 9 3" xfId="50200" xr:uid="{00000000-0005-0000-0000-000068B80000}"/>
    <cellStyle name="Remarque 3 6 2 4" xfId="984" xr:uid="{00000000-0005-0000-0000-000069B80000}"/>
    <cellStyle name="Remarque 3 6 2 4 10" xfId="25016" xr:uid="{00000000-0005-0000-0000-00006AB80000}"/>
    <cellStyle name="Remarque 3 6 2 4 10 2" xfId="48976" xr:uid="{00000000-0005-0000-0000-00006BB80000}"/>
    <cellStyle name="Remarque 3 6 2 4 11" xfId="35581" xr:uid="{00000000-0005-0000-0000-00006CB80000}"/>
    <cellStyle name="Remarque 3 6 2 4 11 2" xfId="59541" xr:uid="{00000000-0005-0000-0000-00006DB80000}"/>
    <cellStyle name="Remarque 3 6 2 4 12" xfId="13681" xr:uid="{00000000-0005-0000-0000-00006EB80000}"/>
    <cellStyle name="Remarque 3 6 2 4 13" xfId="37641" xr:uid="{00000000-0005-0000-0000-00006FB80000}"/>
    <cellStyle name="Remarque 3 6 2 4 2" xfId="3890" xr:uid="{00000000-0005-0000-0000-000070B80000}"/>
    <cellStyle name="Remarque 3 6 2 4 2 2" xfId="27904" xr:uid="{00000000-0005-0000-0000-000071B80000}"/>
    <cellStyle name="Remarque 3 6 2 4 2 2 2" xfId="51864" xr:uid="{00000000-0005-0000-0000-000072B80000}"/>
    <cellStyle name="Remarque 3 6 2 4 2 3" xfId="15151" xr:uid="{00000000-0005-0000-0000-000073B80000}"/>
    <cellStyle name="Remarque 3 6 2 4 2 4" xfId="39111" xr:uid="{00000000-0005-0000-0000-000074B80000}"/>
    <cellStyle name="Remarque 3 6 2 4 3" xfId="5324" xr:uid="{00000000-0005-0000-0000-000075B80000}"/>
    <cellStyle name="Remarque 3 6 2 4 3 2" xfId="29338" xr:uid="{00000000-0005-0000-0000-000076B80000}"/>
    <cellStyle name="Remarque 3 6 2 4 3 2 2" xfId="53298" xr:uid="{00000000-0005-0000-0000-000077B80000}"/>
    <cellStyle name="Remarque 3 6 2 4 3 3" xfId="16585" xr:uid="{00000000-0005-0000-0000-000078B80000}"/>
    <cellStyle name="Remarque 3 6 2 4 3 4" xfId="40545" xr:uid="{00000000-0005-0000-0000-000079B80000}"/>
    <cellStyle name="Remarque 3 6 2 4 4" xfId="6718" xr:uid="{00000000-0005-0000-0000-00007AB80000}"/>
    <cellStyle name="Remarque 3 6 2 4 4 2" xfId="30732" xr:uid="{00000000-0005-0000-0000-00007BB80000}"/>
    <cellStyle name="Remarque 3 6 2 4 4 2 2" xfId="54692" xr:uid="{00000000-0005-0000-0000-00007CB80000}"/>
    <cellStyle name="Remarque 3 6 2 4 4 3" xfId="17979" xr:uid="{00000000-0005-0000-0000-00007DB80000}"/>
    <cellStyle name="Remarque 3 6 2 4 4 4" xfId="41939" xr:uid="{00000000-0005-0000-0000-00007EB80000}"/>
    <cellStyle name="Remarque 3 6 2 4 5" xfId="8106" xr:uid="{00000000-0005-0000-0000-00007FB80000}"/>
    <cellStyle name="Remarque 3 6 2 4 5 2" xfId="32120" xr:uid="{00000000-0005-0000-0000-000080B80000}"/>
    <cellStyle name="Remarque 3 6 2 4 5 2 2" xfId="56080" xr:uid="{00000000-0005-0000-0000-000081B80000}"/>
    <cellStyle name="Remarque 3 6 2 4 5 3" xfId="19367" xr:uid="{00000000-0005-0000-0000-000082B80000}"/>
    <cellStyle name="Remarque 3 6 2 4 5 4" xfId="43327" xr:uid="{00000000-0005-0000-0000-000083B80000}"/>
    <cellStyle name="Remarque 3 6 2 4 6" xfId="9491" xr:uid="{00000000-0005-0000-0000-000084B80000}"/>
    <cellStyle name="Remarque 3 6 2 4 6 2" xfId="33505" xr:uid="{00000000-0005-0000-0000-000085B80000}"/>
    <cellStyle name="Remarque 3 6 2 4 6 2 2" xfId="57465" xr:uid="{00000000-0005-0000-0000-000086B80000}"/>
    <cellStyle name="Remarque 3 6 2 4 6 3" xfId="20752" xr:uid="{00000000-0005-0000-0000-000087B80000}"/>
    <cellStyle name="Remarque 3 6 2 4 6 4" xfId="44712" xr:uid="{00000000-0005-0000-0000-000088B80000}"/>
    <cellStyle name="Remarque 3 6 2 4 7" xfId="10948" xr:uid="{00000000-0005-0000-0000-000089B80000}"/>
    <cellStyle name="Remarque 3 6 2 4 7 2" xfId="34958" xr:uid="{00000000-0005-0000-0000-00008AB80000}"/>
    <cellStyle name="Remarque 3 6 2 4 7 2 2" xfId="58918" xr:uid="{00000000-0005-0000-0000-00008BB80000}"/>
    <cellStyle name="Remarque 3 6 2 4 7 3" xfId="22215" xr:uid="{00000000-0005-0000-0000-00008CB80000}"/>
    <cellStyle name="Remarque 3 6 2 4 7 4" xfId="46175" xr:uid="{00000000-0005-0000-0000-00008DB80000}"/>
    <cellStyle name="Remarque 3 6 2 4 8" xfId="12768" xr:uid="{00000000-0005-0000-0000-00008EB80000}"/>
    <cellStyle name="Remarque 3 6 2 4 8 2" xfId="24076" xr:uid="{00000000-0005-0000-0000-00008FB80000}"/>
    <cellStyle name="Remarque 3 6 2 4 8 3" xfId="48036" xr:uid="{00000000-0005-0000-0000-000090B80000}"/>
    <cellStyle name="Remarque 3 6 2 4 9" xfId="2420" xr:uid="{00000000-0005-0000-0000-000091B80000}"/>
    <cellStyle name="Remarque 3 6 2 4 9 2" xfId="26434" xr:uid="{00000000-0005-0000-0000-000092B80000}"/>
    <cellStyle name="Remarque 3 6 2 4 9 3" xfId="50394" xr:uid="{00000000-0005-0000-0000-000093B80000}"/>
    <cellStyle name="Remarque 3 6 2 5" xfId="1177" xr:uid="{00000000-0005-0000-0000-000094B80000}"/>
    <cellStyle name="Remarque 3 6 2 5 10" xfId="25209" xr:uid="{00000000-0005-0000-0000-000095B80000}"/>
    <cellStyle name="Remarque 3 6 2 5 10 2" xfId="49169" xr:uid="{00000000-0005-0000-0000-000096B80000}"/>
    <cellStyle name="Remarque 3 6 2 5 11" xfId="36294" xr:uid="{00000000-0005-0000-0000-000097B80000}"/>
    <cellStyle name="Remarque 3 6 2 5 11 2" xfId="60254" xr:uid="{00000000-0005-0000-0000-000098B80000}"/>
    <cellStyle name="Remarque 3 6 2 5 12" xfId="13874" xr:uid="{00000000-0005-0000-0000-000099B80000}"/>
    <cellStyle name="Remarque 3 6 2 5 13" xfId="37834" xr:uid="{00000000-0005-0000-0000-00009AB80000}"/>
    <cellStyle name="Remarque 3 6 2 5 2" xfId="4083" xr:uid="{00000000-0005-0000-0000-00009BB80000}"/>
    <cellStyle name="Remarque 3 6 2 5 2 2" xfId="28097" xr:uid="{00000000-0005-0000-0000-00009CB80000}"/>
    <cellStyle name="Remarque 3 6 2 5 2 2 2" xfId="52057" xr:uid="{00000000-0005-0000-0000-00009DB80000}"/>
    <cellStyle name="Remarque 3 6 2 5 2 3" xfId="15344" xr:uid="{00000000-0005-0000-0000-00009EB80000}"/>
    <cellStyle name="Remarque 3 6 2 5 2 4" xfId="39304" xr:uid="{00000000-0005-0000-0000-00009FB80000}"/>
    <cellStyle name="Remarque 3 6 2 5 3" xfId="5517" xr:uid="{00000000-0005-0000-0000-0000A0B80000}"/>
    <cellStyle name="Remarque 3 6 2 5 3 2" xfId="29531" xr:uid="{00000000-0005-0000-0000-0000A1B80000}"/>
    <cellStyle name="Remarque 3 6 2 5 3 2 2" xfId="53491" xr:uid="{00000000-0005-0000-0000-0000A2B80000}"/>
    <cellStyle name="Remarque 3 6 2 5 3 3" xfId="16778" xr:uid="{00000000-0005-0000-0000-0000A3B80000}"/>
    <cellStyle name="Remarque 3 6 2 5 3 4" xfId="40738" xr:uid="{00000000-0005-0000-0000-0000A4B80000}"/>
    <cellStyle name="Remarque 3 6 2 5 4" xfId="6911" xr:uid="{00000000-0005-0000-0000-0000A5B80000}"/>
    <cellStyle name="Remarque 3 6 2 5 4 2" xfId="30925" xr:uid="{00000000-0005-0000-0000-0000A6B80000}"/>
    <cellStyle name="Remarque 3 6 2 5 4 2 2" xfId="54885" xr:uid="{00000000-0005-0000-0000-0000A7B80000}"/>
    <cellStyle name="Remarque 3 6 2 5 4 3" xfId="18172" xr:uid="{00000000-0005-0000-0000-0000A8B80000}"/>
    <cellStyle name="Remarque 3 6 2 5 4 4" xfId="42132" xr:uid="{00000000-0005-0000-0000-0000A9B80000}"/>
    <cellStyle name="Remarque 3 6 2 5 5" xfId="8299" xr:uid="{00000000-0005-0000-0000-0000AAB80000}"/>
    <cellStyle name="Remarque 3 6 2 5 5 2" xfId="32313" xr:uid="{00000000-0005-0000-0000-0000ABB80000}"/>
    <cellStyle name="Remarque 3 6 2 5 5 2 2" xfId="56273" xr:uid="{00000000-0005-0000-0000-0000ACB80000}"/>
    <cellStyle name="Remarque 3 6 2 5 5 3" xfId="19560" xr:uid="{00000000-0005-0000-0000-0000ADB80000}"/>
    <cellStyle name="Remarque 3 6 2 5 5 4" xfId="43520" xr:uid="{00000000-0005-0000-0000-0000AEB80000}"/>
    <cellStyle name="Remarque 3 6 2 5 6" xfId="9684" xr:uid="{00000000-0005-0000-0000-0000AFB80000}"/>
    <cellStyle name="Remarque 3 6 2 5 6 2" xfId="33698" xr:uid="{00000000-0005-0000-0000-0000B0B80000}"/>
    <cellStyle name="Remarque 3 6 2 5 6 2 2" xfId="57658" xr:uid="{00000000-0005-0000-0000-0000B1B80000}"/>
    <cellStyle name="Remarque 3 6 2 5 6 3" xfId="20945" xr:uid="{00000000-0005-0000-0000-0000B2B80000}"/>
    <cellStyle name="Remarque 3 6 2 5 6 4" xfId="44905" xr:uid="{00000000-0005-0000-0000-0000B3B80000}"/>
    <cellStyle name="Remarque 3 6 2 5 7" xfId="11141" xr:uid="{00000000-0005-0000-0000-0000B4B80000}"/>
    <cellStyle name="Remarque 3 6 2 5 7 2" xfId="35151" xr:uid="{00000000-0005-0000-0000-0000B5B80000}"/>
    <cellStyle name="Remarque 3 6 2 5 7 2 2" xfId="59111" xr:uid="{00000000-0005-0000-0000-0000B6B80000}"/>
    <cellStyle name="Remarque 3 6 2 5 7 3" xfId="22408" xr:uid="{00000000-0005-0000-0000-0000B7B80000}"/>
    <cellStyle name="Remarque 3 6 2 5 7 4" xfId="46368" xr:uid="{00000000-0005-0000-0000-0000B8B80000}"/>
    <cellStyle name="Remarque 3 6 2 5 8" xfId="12906" xr:uid="{00000000-0005-0000-0000-0000B9B80000}"/>
    <cellStyle name="Remarque 3 6 2 5 8 2" xfId="24219" xr:uid="{00000000-0005-0000-0000-0000BAB80000}"/>
    <cellStyle name="Remarque 3 6 2 5 8 3" xfId="48179" xr:uid="{00000000-0005-0000-0000-0000BBB80000}"/>
    <cellStyle name="Remarque 3 6 2 5 9" xfId="2613" xr:uid="{00000000-0005-0000-0000-0000BCB80000}"/>
    <cellStyle name="Remarque 3 6 2 5 9 2" xfId="26627" xr:uid="{00000000-0005-0000-0000-0000BDB80000}"/>
    <cellStyle name="Remarque 3 6 2 5 9 3" xfId="50587" xr:uid="{00000000-0005-0000-0000-0000BEB80000}"/>
    <cellStyle name="Remarque 3 6 2 6" xfId="1344" xr:uid="{00000000-0005-0000-0000-0000BFB80000}"/>
    <cellStyle name="Remarque 3 6 2 6 10" xfId="25376" xr:uid="{00000000-0005-0000-0000-0000C0B80000}"/>
    <cellStyle name="Remarque 3 6 2 6 10 2" xfId="49336" xr:uid="{00000000-0005-0000-0000-0000C1B80000}"/>
    <cellStyle name="Remarque 3 6 2 6 11" xfId="36356" xr:uid="{00000000-0005-0000-0000-0000C2B80000}"/>
    <cellStyle name="Remarque 3 6 2 6 11 2" xfId="60316" xr:uid="{00000000-0005-0000-0000-0000C3B80000}"/>
    <cellStyle name="Remarque 3 6 2 6 12" xfId="14041" xr:uid="{00000000-0005-0000-0000-0000C4B80000}"/>
    <cellStyle name="Remarque 3 6 2 6 13" xfId="38001" xr:uid="{00000000-0005-0000-0000-0000C5B80000}"/>
    <cellStyle name="Remarque 3 6 2 6 2" xfId="4250" xr:uid="{00000000-0005-0000-0000-0000C6B80000}"/>
    <cellStyle name="Remarque 3 6 2 6 2 2" xfId="28264" xr:uid="{00000000-0005-0000-0000-0000C7B80000}"/>
    <cellStyle name="Remarque 3 6 2 6 2 2 2" xfId="52224" xr:uid="{00000000-0005-0000-0000-0000C8B80000}"/>
    <cellStyle name="Remarque 3 6 2 6 2 3" xfId="15511" xr:uid="{00000000-0005-0000-0000-0000C9B80000}"/>
    <cellStyle name="Remarque 3 6 2 6 2 4" xfId="39471" xr:uid="{00000000-0005-0000-0000-0000CAB80000}"/>
    <cellStyle name="Remarque 3 6 2 6 3" xfId="5684" xr:uid="{00000000-0005-0000-0000-0000CBB80000}"/>
    <cellStyle name="Remarque 3 6 2 6 3 2" xfId="29698" xr:uid="{00000000-0005-0000-0000-0000CCB80000}"/>
    <cellStyle name="Remarque 3 6 2 6 3 2 2" xfId="53658" xr:uid="{00000000-0005-0000-0000-0000CDB80000}"/>
    <cellStyle name="Remarque 3 6 2 6 3 3" xfId="16945" xr:uid="{00000000-0005-0000-0000-0000CEB80000}"/>
    <cellStyle name="Remarque 3 6 2 6 3 4" xfId="40905" xr:uid="{00000000-0005-0000-0000-0000CFB80000}"/>
    <cellStyle name="Remarque 3 6 2 6 4" xfId="7078" xr:uid="{00000000-0005-0000-0000-0000D0B80000}"/>
    <cellStyle name="Remarque 3 6 2 6 4 2" xfId="31092" xr:uid="{00000000-0005-0000-0000-0000D1B80000}"/>
    <cellStyle name="Remarque 3 6 2 6 4 2 2" xfId="55052" xr:uid="{00000000-0005-0000-0000-0000D2B80000}"/>
    <cellStyle name="Remarque 3 6 2 6 4 3" xfId="18339" xr:uid="{00000000-0005-0000-0000-0000D3B80000}"/>
    <cellStyle name="Remarque 3 6 2 6 4 4" xfId="42299" xr:uid="{00000000-0005-0000-0000-0000D4B80000}"/>
    <cellStyle name="Remarque 3 6 2 6 5" xfId="8466" xr:uid="{00000000-0005-0000-0000-0000D5B80000}"/>
    <cellStyle name="Remarque 3 6 2 6 5 2" xfId="32480" xr:uid="{00000000-0005-0000-0000-0000D6B80000}"/>
    <cellStyle name="Remarque 3 6 2 6 5 2 2" xfId="56440" xr:uid="{00000000-0005-0000-0000-0000D7B80000}"/>
    <cellStyle name="Remarque 3 6 2 6 5 3" xfId="19727" xr:uid="{00000000-0005-0000-0000-0000D8B80000}"/>
    <cellStyle name="Remarque 3 6 2 6 5 4" xfId="43687" xr:uid="{00000000-0005-0000-0000-0000D9B80000}"/>
    <cellStyle name="Remarque 3 6 2 6 6" xfId="9851" xr:uid="{00000000-0005-0000-0000-0000DAB80000}"/>
    <cellStyle name="Remarque 3 6 2 6 6 2" xfId="33865" xr:uid="{00000000-0005-0000-0000-0000DBB80000}"/>
    <cellStyle name="Remarque 3 6 2 6 6 2 2" xfId="57825" xr:uid="{00000000-0005-0000-0000-0000DCB80000}"/>
    <cellStyle name="Remarque 3 6 2 6 6 3" xfId="21112" xr:uid="{00000000-0005-0000-0000-0000DDB80000}"/>
    <cellStyle name="Remarque 3 6 2 6 6 4" xfId="45072" xr:uid="{00000000-0005-0000-0000-0000DEB80000}"/>
    <cellStyle name="Remarque 3 6 2 6 7" xfId="11308" xr:uid="{00000000-0005-0000-0000-0000DFB80000}"/>
    <cellStyle name="Remarque 3 6 2 6 7 2" xfId="35318" xr:uid="{00000000-0005-0000-0000-0000E0B80000}"/>
    <cellStyle name="Remarque 3 6 2 6 7 2 2" xfId="59278" xr:uid="{00000000-0005-0000-0000-0000E1B80000}"/>
    <cellStyle name="Remarque 3 6 2 6 7 3" xfId="22575" xr:uid="{00000000-0005-0000-0000-0000E2B80000}"/>
    <cellStyle name="Remarque 3 6 2 6 7 4" xfId="46535" xr:uid="{00000000-0005-0000-0000-0000E3B80000}"/>
    <cellStyle name="Remarque 3 6 2 6 8" xfId="11749" xr:uid="{00000000-0005-0000-0000-0000E4B80000}"/>
    <cellStyle name="Remarque 3 6 2 6 8 2" xfId="23021" xr:uid="{00000000-0005-0000-0000-0000E5B80000}"/>
    <cellStyle name="Remarque 3 6 2 6 8 3" xfId="46981" xr:uid="{00000000-0005-0000-0000-0000E6B80000}"/>
    <cellStyle name="Remarque 3 6 2 6 9" xfId="2780" xr:uid="{00000000-0005-0000-0000-0000E7B80000}"/>
    <cellStyle name="Remarque 3 6 2 6 9 2" xfId="26794" xr:uid="{00000000-0005-0000-0000-0000E8B80000}"/>
    <cellStyle name="Remarque 3 6 2 6 9 3" xfId="50754" xr:uid="{00000000-0005-0000-0000-0000E9B80000}"/>
    <cellStyle name="Remarque 3 6 2 7" xfId="1513" xr:uid="{00000000-0005-0000-0000-0000EAB80000}"/>
    <cellStyle name="Remarque 3 6 2 7 10" xfId="25545" xr:uid="{00000000-0005-0000-0000-0000EBB80000}"/>
    <cellStyle name="Remarque 3 6 2 7 10 2" xfId="49505" xr:uid="{00000000-0005-0000-0000-0000ECB80000}"/>
    <cellStyle name="Remarque 3 6 2 7 11" xfId="35654" xr:uid="{00000000-0005-0000-0000-0000EDB80000}"/>
    <cellStyle name="Remarque 3 6 2 7 11 2" xfId="59614" xr:uid="{00000000-0005-0000-0000-0000EEB80000}"/>
    <cellStyle name="Remarque 3 6 2 7 12" xfId="14210" xr:uid="{00000000-0005-0000-0000-0000EFB80000}"/>
    <cellStyle name="Remarque 3 6 2 7 13" xfId="38170" xr:uid="{00000000-0005-0000-0000-0000F0B80000}"/>
    <cellStyle name="Remarque 3 6 2 7 2" xfId="4419" xr:uid="{00000000-0005-0000-0000-0000F1B80000}"/>
    <cellStyle name="Remarque 3 6 2 7 2 2" xfId="28433" xr:uid="{00000000-0005-0000-0000-0000F2B80000}"/>
    <cellStyle name="Remarque 3 6 2 7 2 2 2" xfId="52393" xr:uid="{00000000-0005-0000-0000-0000F3B80000}"/>
    <cellStyle name="Remarque 3 6 2 7 2 3" xfId="15680" xr:uid="{00000000-0005-0000-0000-0000F4B80000}"/>
    <cellStyle name="Remarque 3 6 2 7 2 4" xfId="39640" xr:uid="{00000000-0005-0000-0000-0000F5B80000}"/>
    <cellStyle name="Remarque 3 6 2 7 3" xfId="5853" xr:uid="{00000000-0005-0000-0000-0000F6B80000}"/>
    <cellStyle name="Remarque 3 6 2 7 3 2" xfId="29867" xr:uid="{00000000-0005-0000-0000-0000F7B80000}"/>
    <cellStyle name="Remarque 3 6 2 7 3 2 2" xfId="53827" xr:uid="{00000000-0005-0000-0000-0000F8B80000}"/>
    <cellStyle name="Remarque 3 6 2 7 3 3" xfId="17114" xr:uid="{00000000-0005-0000-0000-0000F9B80000}"/>
    <cellStyle name="Remarque 3 6 2 7 3 4" xfId="41074" xr:uid="{00000000-0005-0000-0000-0000FAB80000}"/>
    <cellStyle name="Remarque 3 6 2 7 4" xfId="7247" xr:uid="{00000000-0005-0000-0000-0000FBB80000}"/>
    <cellStyle name="Remarque 3 6 2 7 4 2" xfId="31261" xr:uid="{00000000-0005-0000-0000-0000FCB80000}"/>
    <cellStyle name="Remarque 3 6 2 7 4 2 2" xfId="55221" xr:uid="{00000000-0005-0000-0000-0000FDB80000}"/>
    <cellStyle name="Remarque 3 6 2 7 4 3" xfId="18508" xr:uid="{00000000-0005-0000-0000-0000FEB80000}"/>
    <cellStyle name="Remarque 3 6 2 7 4 4" xfId="42468" xr:uid="{00000000-0005-0000-0000-0000FFB80000}"/>
    <cellStyle name="Remarque 3 6 2 7 5" xfId="8635" xr:uid="{00000000-0005-0000-0000-000000B90000}"/>
    <cellStyle name="Remarque 3 6 2 7 5 2" xfId="32649" xr:uid="{00000000-0005-0000-0000-000001B90000}"/>
    <cellStyle name="Remarque 3 6 2 7 5 2 2" xfId="56609" xr:uid="{00000000-0005-0000-0000-000002B90000}"/>
    <cellStyle name="Remarque 3 6 2 7 5 3" xfId="19896" xr:uid="{00000000-0005-0000-0000-000003B90000}"/>
    <cellStyle name="Remarque 3 6 2 7 5 4" xfId="43856" xr:uid="{00000000-0005-0000-0000-000004B90000}"/>
    <cellStyle name="Remarque 3 6 2 7 6" xfId="10020" xr:uid="{00000000-0005-0000-0000-000005B90000}"/>
    <cellStyle name="Remarque 3 6 2 7 6 2" xfId="34034" xr:uid="{00000000-0005-0000-0000-000006B90000}"/>
    <cellStyle name="Remarque 3 6 2 7 6 2 2" xfId="57994" xr:uid="{00000000-0005-0000-0000-000007B90000}"/>
    <cellStyle name="Remarque 3 6 2 7 6 3" xfId="21281" xr:uid="{00000000-0005-0000-0000-000008B90000}"/>
    <cellStyle name="Remarque 3 6 2 7 6 4" xfId="45241" xr:uid="{00000000-0005-0000-0000-000009B90000}"/>
    <cellStyle name="Remarque 3 6 2 7 7" xfId="11477" xr:uid="{00000000-0005-0000-0000-00000AB90000}"/>
    <cellStyle name="Remarque 3 6 2 7 7 2" xfId="35487" xr:uid="{00000000-0005-0000-0000-00000BB90000}"/>
    <cellStyle name="Remarque 3 6 2 7 7 2 2" xfId="59447" xr:uid="{00000000-0005-0000-0000-00000CB90000}"/>
    <cellStyle name="Remarque 3 6 2 7 7 3" xfId="22744" xr:uid="{00000000-0005-0000-0000-00000DB90000}"/>
    <cellStyle name="Remarque 3 6 2 7 7 4" xfId="46704" xr:uid="{00000000-0005-0000-0000-00000EB90000}"/>
    <cellStyle name="Remarque 3 6 2 7 8" xfId="12017" xr:uid="{00000000-0005-0000-0000-00000FB90000}"/>
    <cellStyle name="Remarque 3 6 2 7 8 2" xfId="23296" xr:uid="{00000000-0005-0000-0000-000010B90000}"/>
    <cellStyle name="Remarque 3 6 2 7 8 3" xfId="47256" xr:uid="{00000000-0005-0000-0000-000011B90000}"/>
    <cellStyle name="Remarque 3 6 2 7 9" xfId="2949" xr:uid="{00000000-0005-0000-0000-000012B90000}"/>
    <cellStyle name="Remarque 3 6 2 7 9 2" xfId="26963" xr:uid="{00000000-0005-0000-0000-000013B90000}"/>
    <cellStyle name="Remarque 3 6 2 7 9 3" xfId="50923" xr:uid="{00000000-0005-0000-0000-000014B90000}"/>
    <cellStyle name="Remarque 3 6 2 8" xfId="3368" xr:uid="{00000000-0005-0000-0000-000015B90000}"/>
    <cellStyle name="Remarque 3 6 2 8 2" xfId="27382" xr:uid="{00000000-0005-0000-0000-000016B90000}"/>
    <cellStyle name="Remarque 3 6 2 8 2 2" xfId="51342" xr:uid="{00000000-0005-0000-0000-000017B90000}"/>
    <cellStyle name="Remarque 3 6 2 8 3" xfId="14629" xr:uid="{00000000-0005-0000-0000-000018B90000}"/>
    <cellStyle name="Remarque 3 6 2 8 4" xfId="38589" xr:uid="{00000000-0005-0000-0000-000019B90000}"/>
    <cellStyle name="Remarque 3 6 2 9" xfId="4802" xr:uid="{00000000-0005-0000-0000-00001AB90000}"/>
    <cellStyle name="Remarque 3 6 2 9 2" xfId="28816" xr:uid="{00000000-0005-0000-0000-00001BB90000}"/>
    <cellStyle name="Remarque 3 6 2 9 2 2" xfId="52776" xr:uid="{00000000-0005-0000-0000-00001CB90000}"/>
    <cellStyle name="Remarque 3 6 2 9 3" xfId="16063" xr:uid="{00000000-0005-0000-0000-00001DB90000}"/>
    <cellStyle name="Remarque 3 6 2 9 4" xfId="40023" xr:uid="{00000000-0005-0000-0000-00001EB90000}"/>
    <cellStyle name="Remarque 3 6 3" xfId="282" xr:uid="{00000000-0005-0000-0000-00001FB90000}"/>
    <cellStyle name="Remarque 3 6 3 10" xfId="24314" xr:uid="{00000000-0005-0000-0000-000020B90000}"/>
    <cellStyle name="Remarque 3 6 3 10 2" xfId="48274" xr:uid="{00000000-0005-0000-0000-000021B90000}"/>
    <cellStyle name="Remarque 3 6 3 11" xfId="35612" xr:uid="{00000000-0005-0000-0000-000022B90000}"/>
    <cellStyle name="Remarque 3 6 3 11 2" xfId="59572" xr:uid="{00000000-0005-0000-0000-000023B90000}"/>
    <cellStyle name="Remarque 3 6 3 12" xfId="12979" xr:uid="{00000000-0005-0000-0000-000024B90000}"/>
    <cellStyle name="Remarque 3 6 3 13" xfId="36939" xr:uid="{00000000-0005-0000-0000-000025B90000}"/>
    <cellStyle name="Remarque 3 6 3 2" xfId="3188" xr:uid="{00000000-0005-0000-0000-000026B90000}"/>
    <cellStyle name="Remarque 3 6 3 2 2" xfId="27202" xr:uid="{00000000-0005-0000-0000-000027B90000}"/>
    <cellStyle name="Remarque 3 6 3 2 2 2" xfId="51162" xr:uid="{00000000-0005-0000-0000-000028B90000}"/>
    <cellStyle name="Remarque 3 6 3 2 3" xfId="14449" xr:uid="{00000000-0005-0000-0000-000029B90000}"/>
    <cellStyle name="Remarque 3 6 3 2 4" xfId="38409" xr:uid="{00000000-0005-0000-0000-00002AB90000}"/>
    <cellStyle name="Remarque 3 6 3 3" xfId="4622" xr:uid="{00000000-0005-0000-0000-00002BB90000}"/>
    <cellStyle name="Remarque 3 6 3 3 2" xfId="28636" xr:uid="{00000000-0005-0000-0000-00002CB90000}"/>
    <cellStyle name="Remarque 3 6 3 3 2 2" xfId="52596" xr:uid="{00000000-0005-0000-0000-00002DB90000}"/>
    <cellStyle name="Remarque 3 6 3 3 3" xfId="15883" xr:uid="{00000000-0005-0000-0000-00002EB90000}"/>
    <cellStyle name="Remarque 3 6 3 3 4" xfId="39843" xr:uid="{00000000-0005-0000-0000-00002FB90000}"/>
    <cellStyle name="Remarque 3 6 3 4" xfId="6016" xr:uid="{00000000-0005-0000-0000-000030B90000}"/>
    <cellStyle name="Remarque 3 6 3 4 2" xfId="30030" xr:uid="{00000000-0005-0000-0000-000031B90000}"/>
    <cellStyle name="Remarque 3 6 3 4 2 2" xfId="53990" xr:uid="{00000000-0005-0000-0000-000032B90000}"/>
    <cellStyle name="Remarque 3 6 3 4 3" xfId="17277" xr:uid="{00000000-0005-0000-0000-000033B90000}"/>
    <cellStyle name="Remarque 3 6 3 4 4" xfId="41237" xr:uid="{00000000-0005-0000-0000-000034B90000}"/>
    <cellStyle name="Remarque 3 6 3 5" xfId="7404" xr:uid="{00000000-0005-0000-0000-000035B90000}"/>
    <cellStyle name="Remarque 3 6 3 5 2" xfId="31418" xr:uid="{00000000-0005-0000-0000-000036B90000}"/>
    <cellStyle name="Remarque 3 6 3 5 2 2" xfId="55378" xr:uid="{00000000-0005-0000-0000-000037B90000}"/>
    <cellStyle name="Remarque 3 6 3 5 3" xfId="18665" xr:uid="{00000000-0005-0000-0000-000038B90000}"/>
    <cellStyle name="Remarque 3 6 3 5 4" xfId="42625" xr:uid="{00000000-0005-0000-0000-000039B90000}"/>
    <cellStyle name="Remarque 3 6 3 6" xfId="8789" xr:uid="{00000000-0005-0000-0000-00003AB90000}"/>
    <cellStyle name="Remarque 3 6 3 6 2" xfId="32803" xr:uid="{00000000-0005-0000-0000-00003BB90000}"/>
    <cellStyle name="Remarque 3 6 3 6 2 2" xfId="56763" xr:uid="{00000000-0005-0000-0000-00003CB90000}"/>
    <cellStyle name="Remarque 3 6 3 6 3" xfId="20050" xr:uid="{00000000-0005-0000-0000-00003DB90000}"/>
    <cellStyle name="Remarque 3 6 3 6 4" xfId="44010" xr:uid="{00000000-0005-0000-0000-00003EB90000}"/>
    <cellStyle name="Remarque 3 6 3 7" xfId="10246" xr:uid="{00000000-0005-0000-0000-00003FB90000}"/>
    <cellStyle name="Remarque 3 6 3 7 2" xfId="34256" xr:uid="{00000000-0005-0000-0000-000040B90000}"/>
    <cellStyle name="Remarque 3 6 3 7 2 2" xfId="58216" xr:uid="{00000000-0005-0000-0000-000041B90000}"/>
    <cellStyle name="Remarque 3 6 3 7 3" xfId="21513" xr:uid="{00000000-0005-0000-0000-000042B90000}"/>
    <cellStyle name="Remarque 3 6 3 7 4" xfId="45473" xr:uid="{00000000-0005-0000-0000-000043B90000}"/>
    <cellStyle name="Remarque 3 6 3 8" xfId="12826" xr:uid="{00000000-0005-0000-0000-000044B90000}"/>
    <cellStyle name="Remarque 3 6 3 8 2" xfId="24137" xr:uid="{00000000-0005-0000-0000-000045B90000}"/>
    <cellStyle name="Remarque 3 6 3 8 3" xfId="48097" xr:uid="{00000000-0005-0000-0000-000046B90000}"/>
    <cellStyle name="Remarque 3 6 3 9" xfId="1718" xr:uid="{00000000-0005-0000-0000-000047B90000}"/>
    <cellStyle name="Remarque 3 6 3 9 2" xfId="25732" xr:uid="{00000000-0005-0000-0000-000048B90000}"/>
    <cellStyle name="Remarque 3 6 3 9 3" xfId="49692" xr:uid="{00000000-0005-0000-0000-000049B90000}"/>
    <cellStyle name="Remarque 3 6 4" xfId="655" xr:uid="{00000000-0005-0000-0000-00004AB90000}"/>
    <cellStyle name="Remarque 3 6 4 10" xfId="24687" xr:uid="{00000000-0005-0000-0000-00004BB90000}"/>
    <cellStyle name="Remarque 3 6 4 10 2" xfId="48647" xr:uid="{00000000-0005-0000-0000-00004CB90000}"/>
    <cellStyle name="Remarque 3 6 4 11" xfId="36716" xr:uid="{00000000-0005-0000-0000-00004DB90000}"/>
    <cellStyle name="Remarque 3 6 4 11 2" xfId="60676" xr:uid="{00000000-0005-0000-0000-00004EB90000}"/>
    <cellStyle name="Remarque 3 6 4 12" xfId="13352" xr:uid="{00000000-0005-0000-0000-00004FB90000}"/>
    <cellStyle name="Remarque 3 6 4 13" xfId="37312" xr:uid="{00000000-0005-0000-0000-000050B90000}"/>
    <cellStyle name="Remarque 3 6 4 2" xfId="3561" xr:uid="{00000000-0005-0000-0000-000051B90000}"/>
    <cellStyle name="Remarque 3 6 4 2 2" xfId="27575" xr:uid="{00000000-0005-0000-0000-000052B90000}"/>
    <cellStyle name="Remarque 3 6 4 2 2 2" xfId="51535" xr:uid="{00000000-0005-0000-0000-000053B90000}"/>
    <cellStyle name="Remarque 3 6 4 2 3" xfId="14822" xr:uid="{00000000-0005-0000-0000-000054B90000}"/>
    <cellStyle name="Remarque 3 6 4 2 4" xfId="38782" xr:uid="{00000000-0005-0000-0000-000055B90000}"/>
    <cellStyle name="Remarque 3 6 4 3" xfId="4995" xr:uid="{00000000-0005-0000-0000-000056B90000}"/>
    <cellStyle name="Remarque 3 6 4 3 2" xfId="29009" xr:uid="{00000000-0005-0000-0000-000057B90000}"/>
    <cellStyle name="Remarque 3 6 4 3 2 2" xfId="52969" xr:uid="{00000000-0005-0000-0000-000058B90000}"/>
    <cellStyle name="Remarque 3 6 4 3 3" xfId="16256" xr:uid="{00000000-0005-0000-0000-000059B90000}"/>
    <cellStyle name="Remarque 3 6 4 3 4" xfId="40216" xr:uid="{00000000-0005-0000-0000-00005AB90000}"/>
    <cellStyle name="Remarque 3 6 4 4" xfId="6389" xr:uid="{00000000-0005-0000-0000-00005BB90000}"/>
    <cellStyle name="Remarque 3 6 4 4 2" xfId="30403" xr:uid="{00000000-0005-0000-0000-00005CB90000}"/>
    <cellStyle name="Remarque 3 6 4 4 2 2" xfId="54363" xr:uid="{00000000-0005-0000-0000-00005DB90000}"/>
    <cellStyle name="Remarque 3 6 4 4 3" xfId="17650" xr:uid="{00000000-0005-0000-0000-00005EB90000}"/>
    <cellStyle name="Remarque 3 6 4 4 4" xfId="41610" xr:uid="{00000000-0005-0000-0000-00005FB90000}"/>
    <cellStyle name="Remarque 3 6 4 5" xfId="7777" xr:uid="{00000000-0005-0000-0000-000060B90000}"/>
    <cellStyle name="Remarque 3 6 4 5 2" xfId="31791" xr:uid="{00000000-0005-0000-0000-000061B90000}"/>
    <cellStyle name="Remarque 3 6 4 5 2 2" xfId="55751" xr:uid="{00000000-0005-0000-0000-000062B90000}"/>
    <cellStyle name="Remarque 3 6 4 5 3" xfId="19038" xr:uid="{00000000-0005-0000-0000-000063B90000}"/>
    <cellStyle name="Remarque 3 6 4 5 4" xfId="42998" xr:uid="{00000000-0005-0000-0000-000064B90000}"/>
    <cellStyle name="Remarque 3 6 4 6" xfId="9162" xr:uid="{00000000-0005-0000-0000-000065B90000}"/>
    <cellStyle name="Remarque 3 6 4 6 2" xfId="33176" xr:uid="{00000000-0005-0000-0000-000066B90000}"/>
    <cellStyle name="Remarque 3 6 4 6 2 2" xfId="57136" xr:uid="{00000000-0005-0000-0000-000067B90000}"/>
    <cellStyle name="Remarque 3 6 4 6 3" xfId="20423" xr:uid="{00000000-0005-0000-0000-000068B90000}"/>
    <cellStyle name="Remarque 3 6 4 6 4" xfId="44383" xr:uid="{00000000-0005-0000-0000-000069B90000}"/>
    <cellStyle name="Remarque 3 6 4 7" xfId="10619" xr:uid="{00000000-0005-0000-0000-00006AB90000}"/>
    <cellStyle name="Remarque 3 6 4 7 2" xfId="34629" xr:uid="{00000000-0005-0000-0000-00006BB90000}"/>
    <cellStyle name="Remarque 3 6 4 7 2 2" xfId="58589" xr:uid="{00000000-0005-0000-0000-00006CB90000}"/>
    <cellStyle name="Remarque 3 6 4 7 3" xfId="21886" xr:uid="{00000000-0005-0000-0000-00006DB90000}"/>
    <cellStyle name="Remarque 3 6 4 7 4" xfId="45846" xr:uid="{00000000-0005-0000-0000-00006EB90000}"/>
    <cellStyle name="Remarque 3 6 4 8" xfId="12309" xr:uid="{00000000-0005-0000-0000-00006FB90000}"/>
    <cellStyle name="Remarque 3 6 4 8 2" xfId="23597" xr:uid="{00000000-0005-0000-0000-000070B90000}"/>
    <cellStyle name="Remarque 3 6 4 8 3" xfId="47557" xr:uid="{00000000-0005-0000-0000-000071B90000}"/>
    <cellStyle name="Remarque 3 6 4 9" xfId="2091" xr:uid="{00000000-0005-0000-0000-000072B90000}"/>
    <cellStyle name="Remarque 3 6 4 9 2" xfId="26105" xr:uid="{00000000-0005-0000-0000-000073B90000}"/>
    <cellStyle name="Remarque 3 6 4 9 3" xfId="50065" xr:uid="{00000000-0005-0000-0000-000074B90000}"/>
    <cellStyle name="Remarque 3 6 5" xfId="849" xr:uid="{00000000-0005-0000-0000-000075B90000}"/>
    <cellStyle name="Remarque 3 6 5 10" xfId="24881" xr:uid="{00000000-0005-0000-0000-000076B90000}"/>
    <cellStyle name="Remarque 3 6 5 10 2" xfId="48841" xr:uid="{00000000-0005-0000-0000-000077B90000}"/>
    <cellStyle name="Remarque 3 6 5 11" xfId="36826" xr:uid="{00000000-0005-0000-0000-000078B90000}"/>
    <cellStyle name="Remarque 3 6 5 11 2" xfId="60786" xr:uid="{00000000-0005-0000-0000-000079B90000}"/>
    <cellStyle name="Remarque 3 6 5 12" xfId="13546" xr:uid="{00000000-0005-0000-0000-00007AB90000}"/>
    <cellStyle name="Remarque 3 6 5 13" xfId="37506" xr:uid="{00000000-0005-0000-0000-00007BB90000}"/>
    <cellStyle name="Remarque 3 6 5 2" xfId="3755" xr:uid="{00000000-0005-0000-0000-00007CB90000}"/>
    <cellStyle name="Remarque 3 6 5 2 2" xfId="27769" xr:uid="{00000000-0005-0000-0000-00007DB90000}"/>
    <cellStyle name="Remarque 3 6 5 2 2 2" xfId="51729" xr:uid="{00000000-0005-0000-0000-00007EB90000}"/>
    <cellStyle name="Remarque 3 6 5 2 3" xfId="15016" xr:uid="{00000000-0005-0000-0000-00007FB90000}"/>
    <cellStyle name="Remarque 3 6 5 2 4" xfId="38976" xr:uid="{00000000-0005-0000-0000-000080B90000}"/>
    <cellStyle name="Remarque 3 6 5 3" xfId="5189" xr:uid="{00000000-0005-0000-0000-000081B90000}"/>
    <cellStyle name="Remarque 3 6 5 3 2" xfId="29203" xr:uid="{00000000-0005-0000-0000-000082B90000}"/>
    <cellStyle name="Remarque 3 6 5 3 2 2" xfId="53163" xr:uid="{00000000-0005-0000-0000-000083B90000}"/>
    <cellStyle name="Remarque 3 6 5 3 3" xfId="16450" xr:uid="{00000000-0005-0000-0000-000084B90000}"/>
    <cellStyle name="Remarque 3 6 5 3 4" xfId="40410" xr:uid="{00000000-0005-0000-0000-000085B90000}"/>
    <cellStyle name="Remarque 3 6 5 4" xfId="6583" xr:uid="{00000000-0005-0000-0000-000086B90000}"/>
    <cellStyle name="Remarque 3 6 5 4 2" xfId="30597" xr:uid="{00000000-0005-0000-0000-000087B90000}"/>
    <cellStyle name="Remarque 3 6 5 4 2 2" xfId="54557" xr:uid="{00000000-0005-0000-0000-000088B90000}"/>
    <cellStyle name="Remarque 3 6 5 4 3" xfId="17844" xr:uid="{00000000-0005-0000-0000-000089B90000}"/>
    <cellStyle name="Remarque 3 6 5 4 4" xfId="41804" xr:uid="{00000000-0005-0000-0000-00008AB90000}"/>
    <cellStyle name="Remarque 3 6 5 5" xfId="7971" xr:uid="{00000000-0005-0000-0000-00008BB90000}"/>
    <cellStyle name="Remarque 3 6 5 5 2" xfId="31985" xr:uid="{00000000-0005-0000-0000-00008CB90000}"/>
    <cellStyle name="Remarque 3 6 5 5 2 2" xfId="55945" xr:uid="{00000000-0005-0000-0000-00008DB90000}"/>
    <cellStyle name="Remarque 3 6 5 5 3" xfId="19232" xr:uid="{00000000-0005-0000-0000-00008EB90000}"/>
    <cellStyle name="Remarque 3 6 5 5 4" xfId="43192" xr:uid="{00000000-0005-0000-0000-00008FB90000}"/>
    <cellStyle name="Remarque 3 6 5 6" xfId="9356" xr:uid="{00000000-0005-0000-0000-000090B90000}"/>
    <cellStyle name="Remarque 3 6 5 6 2" xfId="33370" xr:uid="{00000000-0005-0000-0000-000091B90000}"/>
    <cellStyle name="Remarque 3 6 5 6 2 2" xfId="57330" xr:uid="{00000000-0005-0000-0000-000092B90000}"/>
    <cellStyle name="Remarque 3 6 5 6 3" xfId="20617" xr:uid="{00000000-0005-0000-0000-000093B90000}"/>
    <cellStyle name="Remarque 3 6 5 6 4" xfId="44577" xr:uid="{00000000-0005-0000-0000-000094B90000}"/>
    <cellStyle name="Remarque 3 6 5 7" xfId="10813" xr:uid="{00000000-0005-0000-0000-000095B90000}"/>
    <cellStyle name="Remarque 3 6 5 7 2" xfId="34823" xr:uid="{00000000-0005-0000-0000-000096B90000}"/>
    <cellStyle name="Remarque 3 6 5 7 2 2" xfId="58783" xr:uid="{00000000-0005-0000-0000-000097B90000}"/>
    <cellStyle name="Remarque 3 6 5 7 3" xfId="22080" xr:uid="{00000000-0005-0000-0000-000098B90000}"/>
    <cellStyle name="Remarque 3 6 5 7 4" xfId="46040" xr:uid="{00000000-0005-0000-0000-000099B90000}"/>
    <cellStyle name="Remarque 3 6 5 8" xfId="12020" xr:uid="{00000000-0005-0000-0000-00009AB90000}"/>
    <cellStyle name="Remarque 3 6 5 8 2" xfId="23299" xr:uid="{00000000-0005-0000-0000-00009BB90000}"/>
    <cellStyle name="Remarque 3 6 5 8 3" xfId="47259" xr:uid="{00000000-0005-0000-0000-00009CB90000}"/>
    <cellStyle name="Remarque 3 6 5 9" xfId="2285" xr:uid="{00000000-0005-0000-0000-00009DB90000}"/>
    <cellStyle name="Remarque 3 6 5 9 2" xfId="26299" xr:uid="{00000000-0005-0000-0000-00009EB90000}"/>
    <cellStyle name="Remarque 3 6 5 9 3" xfId="50259" xr:uid="{00000000-0005-0000-0000-00009FB90000}"/>
    <cellStyle name="Remarque 3 6 6" xfId="1042" xr:uid="{00000000-0005-0000-0000-0000A0B90000}"/>
    <cellStyle name="Remarque 3 6 6 10" xfId="25074" xr:uid="{00000000-0005-0000-0000-0000A1B90000}"/>
    <cellStyle name="Remarque 3 6 6 10 2" xfId="49034" xr:uid="{00000000-0005-0000-0000-0000A2B90000}"/>
    <cellStyle name="Remarque 3 6 6 11" xfId="36040" xr:uid="{00000000-0005-0000-0000-0000A3B90000}"/>
    <cellStyle name="Remarque 3 6 6 11 2" xfId="60000" xr:uid="{00000000-0005-0000-0000-0000A4B90000}"/>
    <cellStyle name="Remarque 3 6 6 12" xfId="13739" xr:uid="{00000000-0005-0000-0000-0000A5B90000}"/>
    <cellStyle name="Remarque 3 6 6 13" xfId="37699" xr:uid="{00000000-0005-0000-0000-0000A6B90000}"/>
    <cellStyle name="Remarque 3 6 6 2" xfId="3948" xr:uid="{00000000-0005-0000-0000-0000A7B90000}"/>
    <cellStyle name="Remarque 3 6 6 2 2" xfId="27962" xr:uid="{00000000-0005-0000-0000-0000A8B90000}"/>
    <cellStyle name="Remarque 3 6 6 2 2 2" xfId="51922" xr:uid="{00000000-0005-0000-0000-0000A9B90000}"/>
    <cellStyle name="Remarque 3 6 6 2 3" xfId="15209" xr:uid="{00000000-0005-0000-0000-0000AAB90000}"/>
    <cellStyle name="Remarque 3 6 6 2 4" xfId="39169" xr:uid="{00000000-0005-0000-0000-0000ABB90000}"/>
    <cellStyle name="Remarque 3 6 6 3" xfId="5382" xr:uid="{00000000-0005-0000-0000-0000ACB90000}"/>
    <cellStyle name="Remarque 3 6 6 3 2" xfId="29396" xr:uid="{00000000-0005-0000-0000-0000ADB90000}"/>
    <cellStyle name="Remarque 3 6 6 3 2 2" xfId="53356" xr:uid="{00000000-0005-0000-0000-0000AEB90000}"/>
    <cellStyle name="Remarque 3 6 6 3 3" xfId="16643" xr:uid="{00000000-0005-0000-0000-0000AFB90000}"/>
    <cellStyle name="Remarque 3 6 6 3 4" xfId="40603" xr:uid="{00000000-0005-0000-0000-0000B0B90000}"/>
    <cellStyle name="Remarque 3 6 6 4" xfId="6776" xr:uid="{00000000-0005-0000-0000-0000B1B90000}"/>
    <cellStyle name="Remarque 3 6 6 4 2" xfId="30790" xr:uid="{00000000-0005-0000-0000-0000B2B90000}"/>
    <cellStyle name="Remarque 3 6 6 4 2 2" xfId="54750" xr:uid="{00000000-0005-0000-0000-0000B3B90000}"/>
    <cellStyle name="Remarque 3 6 6 4 3" xfId="18037" xr:uid="{00000000-0005-0000-0000-0000B4B90000}"/>
    <cellStyle name="Remarque 3 6 6 4 4" xfId="41997" xr:uid="{00000000-0005-0000-0000-0000B5B90000}"/>
    <cellStyle name="Remarque 3 6 6 5" xfId="8164" xr:uid="{00000000-0005-0000-0000-0000B6B90000}"/>
    <cellStyle name="Remarque 3 6 6 5 2" xfId="32178" xr:uid="{00000000-0005-0000-0000-0000B7B90000}"/>
    <cellStyle name="Remarque 3 6 6 5 2 2" xfId="56138" xr:uid="{00000000-0005-0000-0000-0000B8B90000}"/>
    <cellStyle name="Remarque 3 6 6 5 3" xfId="19425" xr:uid="{00000000-0005-0000-0000-0000B9B90000}"/>
    <cellStyle name="Remarque 3 6 6 5 4" xfId="43385" xr:uid="{00000000-0005-0000-0000-0000BAB90000}"/>
    <cellStyle name="Remarque 3 6 6 6" xfId="9549" xr:uid="{00000000-0005-0000-0000-0000BBB90000}"/>
    <cellStyle name="Remarque 3 6 6 6 2" xfId="33563" xr:uid="{00000000-0005-0000-0000-0000BCB90000}"/>
    <cellStyle name="Remarque 3 6 6 6 2 2" xfId="57523" xr:uid="{00000000-0005-0000-0000-0000BDB90000}"/>
    <cellStyle name="Remarque 3 6 6 6 3" xfId="20810" xr:uid="{00000000-0005-0000-0000-0000BEB90000}"/>
    <cellStyle name="Remarque 3 6 6 6 4" xfId="44770" xr:uid="{00000000-0005-0000-0000-0000BFB90000}"/>
    <cellStyle name="Remarque 3 6 6 7" xfId="11006" xr:uid="{00000000-0005-0000-0000-0000C0B90000}"/>
    <cellStyle name="Remarque 3 6 6 7 2" xfId="35016" xr:uid="{00000000-0005-0000-0000-0000C1B90000}"/>
    <cellStyle name="Remarque 3 6 6 7 2 2" xfId="58976" xr:uid="{00000000-0005-0000-0000-0000C2B90000}"/>
    <cellStyle name="Remarque 3 6 6 7 3" xfId="22273" xr:uid="{00000000-0005-0000-0000-0000C3B90000}"/>
    <cellStyle name="Remarque 3 6 6 7 4" xfId="46233" xr:uid="{00000000-0005-0000-0000-0000C4B90000}"/>
    <cellStyle name="Remarque 3 6 6 8" xfId="11782" xr:uid="{00000000-0005-0000-0000-0000C5B90000}"/>
    <cellStyle name="Remarque 3 6 6 8 2" xfId="23056" xr:uid="{00000000-0005-0000-0000-0000C6B90000}"/>
    <cellStyle name="Remarque 3 6 6 8 3" xfId="47016" xr:uid="{00000000-0005-0000-0000-0000C7B90000}"/>
    <cellStyle name="Remarque 3 6 6 9" xfId="2478" xr:uid="{00000000-0005-0000-0000-0000C8B90000}"/>
    <cellStyle name="Remarque 3 6 6 9 2" xfId="26492" xr:uid="{00000000-0005-0000-0000-0000C9B90000}"/>
    <cellStyle name="Remarque 3 6 6 9 3" xfId="50452" xr:uid="{00000000-0005-0000-0000-0000CAB90000}"/>
    <cellStyle name="Remarque 3 6 7" xfId="1378" xr:uid="{00000000-0005-0000-0000-0000CBB90000}"/>
    <cellStyle name="Remarque 3 6 7 10" xfId="25410" xr:uid="{00000000-0005-0000-0000-0000CCB90000}"/>
    <cellStyle name="Remarque 3 6 7 10 2" xfId="49370" xr:uid="{00000000-0005-0000-0000-0000CDB90000}"/>
    <cellStyle name="Remarque 3 6 7 11" xfId="36580" xr:uid="{00000000-0005-0000-0000-0000CEB90000}"/>
    <cellStyle name="Remarque 3 6 7 11 2" xfId="60540" xr:uid="{00000000-0005-0000-0000-0000CFB90000}"/>
    <cellStyle name="Remarque 3 6 7 12" xfId="14075" xr:uid="{00000000-0005-0000-0000-0000D0B90000}"/>
    <cellStyle name="Remarque 3 6 7 13" xfId="38035" xr:uid="{00000000-0005-0000-0000-0000D1B90000}"/>
    <cellStyle name="Remarque 3 6 7 2" xfId="4284" xr:uid="{00000000-0005-0000-0000-0000D2B90000}"/>
    <cellStyle name="Remarque 3 6 7 2 2" xfId="28298" xr:uid="{00000000-0005-0000-0000-0000D3B90000}"/>
    <cellStyle name="Remarque 3 6 7 2 2 2" xfId="52258" xr:uid="{00000000-0005-0000-0000-0000D4B90000}"/>
    <cellStyle name="Remarque 3 6 7 2 3" xfId="15545" xr:uid="{00000000-0005-0000-0000-0000D5B90000}"/>
    <cellStyle name="Remarque 3 6 7 2 4" xfId="39505" xr:uid="{00000000-0005-0000-0000-0000D6B90000}"/>
    <cellStyle name="Remarque 3 6 7 3" xfId="5718" xr:uid="{00000000-0005-0000-0000-0000D7B90000}"/>
    <cellStyle name="Remarque 3 6 7 3 2" xfId="29732" xr:uid="{00000000-0005-0000-0000-0000D8B90000}"/>
    <cellStyle name="Remarque 3 6 7 3 2 2" xfId="53692" xr:uid="{00000000-0005-0000-0000-0000D9B90000}"/>
    <cellStyle name="Remarque 3 6 7 3 3" xfId="16979" xr:uid="{00000000-0005-0000-0000-0000DAB90000}"/>
    <cellStyle name="Remarque 3 6 7 3 4" xfId="40939" xr:uid="{00000000-0005-0000-0000-0000DBB90000}"/>
    <cellStyle name="Remarque 3 6 7 4" xfId="7112" xr:uid="{00000000-0005-0000-0000-0000DCB90000}"/>
    <cellStyle name="Remarque 3 6 7 4 2" xfId="31126" xr:uid="{00000000-0005-0000-0000-0000DDB90000}"/>
    <cellStyle name="Remarque 3 6 7 4 2 2" xfId="55086" xr:uid="{00000000-0005-0000-0000-0000DEB90000}"/>
    <cellStyle name="Remarque 3 6 7 4 3" xfId="18373" xr:uid="{00000000-0005-0000-0000-0000DFB90000}"/>
    <cellStyle name="Remarque 3 6 7 4 4" xfId="42333" xr:uid="{00000000-0005-0000-0000-0000E0B90000}"/>
    <cellStyle name="Remarque 3 6 7 5" xfId="8500" xr:uid="{00000000-0005-0000-0000-0000E1B90000}"/>
    <cellStyle name="Remarque 3 6 7 5 2" xfId="32514" xr:uid="{00000000-0005-0000-0000-0000E2B90000}"/>
    <cellStyle name="Remarque 3 6 7 5 2 2" xfId="56474" xr:uid="{00000000-0005-0000-0000-0000E3B90000}"/>
    <cellStyle name="Remarque 3 6 7 5 3" xfId="19761" xr:uid="{00000000-0005-0000-0000-0000E4B90000}"/>
    <cellStyle name="Remarque 3 6 7 5 4" xfId="43721" xr:uid="{00000000-0005-0000-0000-0000E5B90000}"/>
    <cellStyle name="Remarque 3 6 7 6" xfId="9885" xr:uid="{00000000-0005-0000-0000-0000E6B90000}"/>
    <cellStyle name="Remarque 3 6 7 6 2" xfId="33899" xr:uid="{00000000-0005-0000-0000-0000E7B90000}"/>
    <cellStyle name="Remarque 3 6 7 6 2 2" xfId="57859" xr:uid="{00000000-0005-0000-0000-0000E8B90000}"/>
    <cellStyle name="Remarque 3 6 7 6 3" xfId="21146" xr:uid="{00000000-0005-0000-0000-0000E9B90000}"/>
    <cellStyle name="Remarque 3 6 7 6 4" xfId="45106" xr:uid="{00000000-0005-0000-0000-0000EAB90000}"/>
    <cellStyle name="Remarque 3 6 7 7" xfId="11342" xr:uid="{00000000-0005-0000-0000-0000EBB90000}"/>
    <cellStyle name="Remarque 3 6 7 7 2" xfId="35352" xr:uid="{00000000-0005-0000-0000-0000ECB90000}"/>
    <cellStyle name="Remarque 3 6 7 7 2 2" xfId="59312" xr:uid="{00000000-0005-0000-0000-0000EDB90000}"/>
    <cellStyle name="Remarque 3 6 7 7 3" xfId="22609" xr:uid="{00000000-0005-0000-0000-0000EEB90000}"/>
    <cellStyle name="Remarque 3 6 7 7 4" xfId="46569" xr:uid="{00000000-0005-0000-0000-0000EFB90000}"/>
    <cellStyle name="Remarque 3 6 7 8" xfId="12580" xr:uid="{00000000-0005-0000-0000-0000F0B90000}"/>
    <cellStyle name="Remarque 3 6 7 8 2" xfId="23880" xr:uid="{00000000-0005-0000-0000-0000F1B90000}"/>
    <cellStyle name="Remarque 3 6 7 8 3" xfId="47840" xr:uid="{00000000-0005-0000-0000-0000F2B90000}"/>
    <cellStyle name="Remarque 3 6 7 9" xfId="2814" xr:uid="{00000000-0005-0000-0000-0000F3B90000}"/>
    <cellStyle name="Remarque 3 6 7 9 2" xfId="26828" xr:uid="{00000000-0005-0000-0000-0000F4B90000}"/>
    <cellStyle name="Remarque 3 6 7 9 3" xfId="50788" xr:uid="{00000000-0005-0000-0000-0000F5B90000}"/>
    <cellStyle name="Remarque 3 6 8" xfId="3134" xr:uid="{00000000-0005-0000-0000-0000F6B90000}"/>
    <cellStyle name="Remarque 3 6 8 2" xfId="27148" xr:uid="{00000000-0005-0000-0000-0000F7B90000}"/>
    <cellStyle name="Remarque 3 6 8 2 2" xfId="51108" xr:uid="{00000000-0005-0000-0000-0000F8B90000}"/>
    <cellStyle name="Remarque 3 6 8 3" xfId="14395" xr:uid="{00000000-0005-0000-0000-0000F9B90000}"/>
    <cellStyle name="Remarque 3 6 8 4" xfId="38355" xr:uid="{00000000-0005-0000-0000-0000FAB90000}"/>
    <cellStyle name="Remarque 3 6 9" xfId="1664" xr:uid="{00000000-0005-0000-0000-0000FBB90000}"/>
    <cellStyle name="Remarque 3 6 9 2" xfId="25678" xr:uid="{00000000-0005-0000-0000-0000FCB90000}"/>
    <cellStyle name="Remarque 3 6 9 3" xfId="49638" xr:uid="{00000000-0005-0000-0000-0000FDB90000}"/>
    <cellStyle name="Remarque 3 7" xfId="122" xr:uid="{00000000-0005-0000-0000-0000FEB90000}"/>
    <cellStyle name="Remarque 3 7 10" xfId="6119" xr:uid="{00000000-0005-0000-0000-0000FFB90000}"/>
    <cellStyle name="Remarque 3 7 10 2" xfId="30133" xr:uid="{00000000-0005-0000-0000-000000BA0000}"/>
    <cellStyle name="Remarque 3 7 10 2 2" xfId="54093" xr:uid="{00000000-0005-0000-0000-000001BA0000}"/>
    <cellStyle name="Remarque 3 7 10 3" xfId="17380" xr:uid="{00000000-0005-0000-0000-000002BA0000}"/>
    <cellStyle name="Remarque 3 7 10 4" xfId="41340" xr:uid="{00000000-0005-0000-0000-000003BA0000}"/>
    <cellStyle name="Remarque 3 7 11" xfId="7507" xr:uid="{00000000-0005-0000-0000-000004BA0000}"/>
    <cellStyle name="Remarque 3 7 11 2" xfId="31521" xr:uid="{00000000-0005-0000-0000-000005BA0000}"/>
    <cellStyle name="Remarque 3 7 11 2 2" xfId="55481" xr:uid="{00000000-0005-0000-0000-000006BA0000}"/>
    <cellStyle name="Remarque 3 7 11 3" xfId="18768" xr:uid="{00000000-0005-0000-0000-000007BA0000}"/>
    <cellStyle name="Remarque 3 7 11 4" xfId="42728" xr:uid="{00000000-0005-0000-0000-000008BA0000}"/>
    <cellStyle name="Remarque 3 7 12" xfId="8892" xr:uid="{00000000-0005-0000-0000-000009BA0000}"/>
    <cellStyle name="Remarque 3 7 12 2" xfId="32906" xr:uid="{00000000-0005-0000-0000-00000ABA0000}"/>
    <cellStyle name="Remarque 3 7 12 2 2" xfId="56866" xr:uid="{00000000-0005-0000-0000-00000BBA0000}"/>
    <cellStyle name="Remarque 3 7 12 3" xfId="20153" xr:uid="{00000000-0005-0000-0000-00000CBA0000}"/>
    <cellStyle name="Remarque 3 7 12 4" xfId="44113" xr:uid="{00000000-0005-0000-0000-00000DBA0000}"/>
    <cellStyle name="Remarque 3 7 13" xfId="10349" xr:uid="{00000000-0005-0000-0000-00000EBA0000}"/>
    <cellStyle name="Remarque 3 7 13 2" xfId="34359" xr:uid="{00000000-0005-0000-0000-00000FBA0000}"/>
    <cellStyle name="Remarque 3 7 13 2 2" xfId="58319" xr:uid="{00000000-0005-0000-0000-000010BA0000}"/>
    <cellStyle name="Remarque 3 7 13 3" xfId="21616" xr:uid="{00000000-0005-0000-0000-000011BA0000}"/>
    <cellStyle name="Remarque 3 7 13 4" xfId="45576" xr:uid="{00000000-0005-0000-0000-000012BA0000}"/>
    <cellStyle name="Remarque 3 7 14" xfId="12829" xr:uid="{00000000-0005-0000-0000-000013BA0000}"/>
    <cellStyle name="Remarque 3 7 14 2" xfId="24140" xr:uid="{00000000-0005-0000-0000-000014BA0000}"/>
    <cellStyle name="Remarque 3 7 14 3" xfId="48100" xr:uid="{00000000-0005-0000-0000-000015BA0000}"/>
    <cellStyle name="Remarque 3 7 15" xfId="1821" xr:uid="{00000000-0005-0000-0000-000016BA0000}"/>
    <cellStyle name="Remarque 3 7 15 2" xfId="25835" xr:uid="{00000000-0005-0000-0000-000017BA0000}"/>
    <cellStyle name="Remarque 3 7 15 3" xfId="49795" xr:uid="{00000000-0005-0000-0000-000018BA0000}"/>
    <cellStyle name="Remarque 3 7 16" xfId="24417" xr:uid="{00000000-0005-0000-0000-000019BA0000}"/>
    <cellStyle name="Remarque 3 7 16 2" xfId="48377" xr:uid="{00000000-0005-0000-0000-00001ABA0000}"/>
    <cellStyle name="Remarque 3 7 17" xfId="36156" xr:uid="{00000000-0005-0000-0000-00001BBA0000}"/>
    <cellStyle name="Remarque 3 7 17 2" xfId="60116" xr:uid="{00000000-0005-0000-0000-00001CBA0000}"/>
    <cellStyle name="Remarque 3 7 18" xfId="13082" xr:uid="{00000000-0005-0000-0000-00001DBA0000}"/>
    <cellStyle name="Remarque 3 7 19" xfId="37042" xr:uid="{00000000-0005-0000-0000-00001EBA0000}"/>
    <cellStyle name="Remarque 3 7 2" xfId="521" xr:uid="{00000000-0005-0000-0000-00001FBA0000}"/>
    <cellStyle name="Remarque 3 7 2 10" xfId="24553" xr:uid="{00000000-0005-0000-0000-000020BA0000}"/>
    <cellStyle name="Remarque 3 7 2 10 2" xfId="48513" xr:uid="{00000000-0005-0000-0000-000021BA0000}"/>
    <cellStyle name="Remarque 3 7 2 11" xfId="35751" xr:uid="{00000000-0005-0000-0000-000022BA0000}"/>
    <cellStyle name="Remarque 3 7 2 11 2" xfId="59711" xr:uid="{00000000-0005-0000-0000-000023BA0000}"/>
    <cellStyle name="Remarque 3 7 2 12" xfId="13218" xr:uid="{00000000-0005-0000-0000-000024BA0000}"/>
    <cellStyle name="Remarque 3 7 2 13" xfId="37178" xr:uid="{00000000-0005-0000-0000-000025BA0000}"/>
    <cellStyle name="Remarque 3 7 2 2" xfId="3427" xr:uid="{00000000-0005-0000-0000-000026BA0000}"/>
    <cellStyle name="Remarque 3 7 2 2 2" xfId="27441" xr:uid="{00000000-0005-0000-0000-000027BA0000}"/>
    <cellStyle name="Remarque 3 7 2 2 2 2" xfId="51401" xr:uid="{00000000-0005-0000-0000-000028BA0000}"/>
    <cellStyle name="Remarque 3 7 2 2 3" xfId="14688" xr:uid="{00000000-0005-0000-0000-000029BA0000}"/>
    <cellStyle name="Remarque 3 7 2 2 4" xfId="38648" xr:uid="{00000000-0005-0000-0000-00002ABA0000}"/>
    <cellStyle name="Remarque 3 7 2 3" xfId="4861" xr:uid="{00000000-0005-0000-0000-00002BBA0000}"/>
    <cellStyle name="Remarque 3 7 2 3 2" xfId="28875" xr:uid="{00000000-0005-0000-0000-00002CBA0000}"/>
    <cellStyle name="Remarque 3 7 2 3 2 2" xfId="52835" xr:uid="{00000000-0005-0000-0000-00002DBA0000}"/>
    <cellStyle name="Remarque 3 7 2 3 3" xfId="16122" xr:uid="{00000000-0005-0000-0000-00002EBA0000}"/>
    <cellStyle name="Remarque 3 7 2 3 4" xfId="40082" xr:uid="{00000000-0005-0000-0000-00002FBA0000}"/>
    <cellStyle name="Remarque 3 7 2 4" xfId="6255" xr:uid="{00000000-0005-0000-0000-000030BA0000}"/>
    <cellStyle name="Remarque 3 7 2 4 2" xfId="30269" xr:uid="{00000000-0005-0000-0000-000031BA0000}"/>
    <cellStyle name="Remarque 3 7 2 4 2 2" xfId="54229" xr:uid="{00000000-0005-0000-0000-000032BA0000}"/>
    <cellStyle name="Remarque 3 7 2 4 3" xfId="17516" xr:uid="{00000000-0005-0000-0000-000033BA0000}"/>
    <cellStyle name="Remarque 3 7 2 4 4" xfId="41476" xr:uid="{00000000-0005-0000-0000-000034BA0000}"/>
    <cellStyle name="Remarque 3 7 2 5" xfId="7643" xr:uid="{00000000-0005-0000-0000-000035BA0000}"/>
    <cellStyle name="Remarque 3 7 2 5 2" xfId="31657" xr:uid="{00000000-0005-0000-0000-000036BA0000}"/>
    <cellStyle name="Remarque 3 7 2 5 2 2" xfId="55617" xr:uid="{00000000-0005-0000-0000-000037BA0000}"/>
    <cellStyle name="Remarque 3 7 2 5 3" xfId="18904" xr:uid="{00000000-0005-0000-0000-000038BA0000}"/>
    <cellStyle name="Remarque 3 7 2 5 4" xfId="42864" xr:uid="{00000000-0005-0000-0000-000039BA0000}"/>
    <cellStyle name="Remarque 3 7 2 6" xfId="9028" xr:uid="{00000000-0005-0000-0000-00003ABA0000}"/>
    <cellStyle name="Remarque 3 7 2 6 2" xfId="33042" xr:uid="{00000000-0005-0000-0000-00003BBA0000}"/>
    <cellStyle name="Remarque 3 7 2 6 2 2" xfId="57002" xr:uid="{00000000-0005-0000-0000-00003CBA0000}"/>
    <cellStyle name="Remarque 3 7 2 6 3" xfId="20289" xr:uid="{00000000-0005-0000-0000-00003DBA0000}"/>
    <cellStyle name="Remarque 3 7 2 6 4" xfId="44249" xr:uid="{00000000-0005-0000-0000-00003EBA0000}"/>
    <cellStyle name="Remarque 3 7 2 7" xfId="10485" xr:uid="{00000000-0005-0000-0000-00003FBA0000}"/>
    <cellStyle name="Remarque 3 7 2 7 2" xfId="34495" xr:uid="{00000000-0005-0000-0000-000040BA0000}"/>
    <cellStyle name="Remarque 3 7 2 7 2 2" xfId="58455" xr:uid="{00000000-0005-0000-0000-000041BA0000}"/>
    <cellStyle name="Remarque 3 7 2 7 3" xfId="21752" xr:uid="{00000000-0005-0000-0000-000042BA0000}"/>
    <cellStyle name="Remarque 3 7 2 7 4" xfId="45712" xr:uid="{00000000-0005-0000-0000-000043BA0000}"/>
    <cellStyle name="Remarque 3 7 2 8" xfId="12201" xr:uid="{00000000-0005-0000-0000-000044BA0000}"/>
    <cellStyle name="Remarque 3 7 2 8 2" xfId="23484" xr:uid="{00000000-0005-0000-0000-000045BA0000}"/>
    <cellStyle name="Remarque 3 7 2 8 3" xfId="47444" xr:uid="{00000000-0005-0000-0000-000046BA0000}"/>
    <cellStyle name="Remarque 3 7 2 9" xfId="1957" xr:uid="{00000000-0005-0000-0000-000047BA0000}"/>
    <cellStyle name="Remarque 3 7 2 9 2" xfId="25971" xr:uid="{00000000-0005-0000-0000-000048BA0000}"/>
    <cellStyle name="Remarque 3 7 2 9 3" xfId="49931" xr:uid="{00000000-0005-0000-0000-000049BA0000}"/>
    <cellStyle name="Remarque 3 7 20" xfId="385" xr:uid="{00000000-0005-0000-0000-00004ABA0000}"/>
    <cellStyle name="Remarque 3 7 3" xfId="713" xr:uid="{00000000-0005-0000-0000-00004BBA0000}"/>
    <cellStyle name="Remarque 3 7 3 10" xfId="24745" xr:uid="{00000000-0005-0000-0000-00004CBA0000}"/>
    <cellStyle name="Remarque 3 7 3 10 2" xfId="48705" xr:uid="{00000000-0005-0000-0000-00004DBA0000}"/>
    <cellStyle name="Remarque 3 7 3 11" xfId="36775" xr:uid="{00000000-0005-0000-0000-00004EBA0000}"/>
    <cellStyle name="Remarque 3 7 3 11 2" xfId="60735" xr:uid="{00000000-0005-0000-0000-00004FBA0000}"/>
    <cellStyle name="Remarque 3 7 3 12" xfId="13410" xr:uid="{00000000-0005-0000-0000-000050BA0000}"/>
    <cellStyle name="Remarque 3 7 3 13" xfId="37370" xr:uid="{00000000-0005-0000-0000-000051BA0000}"/>
    <cellStyle name="Remarque 3 7 3 2" xfId="3619" xr:uid="{00000000-0005-0000-0000-000052BA0000}"/>
    <cellStyle name="Remarque 3 7 3 2 2" xfId="27633" xr:uid="{00000000-0005-0000-0000-000053BA0000}"/>
    <cellStyle name="Remarque 3 7 3 2 2 2" xfId="51593" xr:uid="{00000000-0005-0000-0000-000054BA0000}"/>
    <cellStyle name="Remarque 3 7 3 2 3" xfId="14880" xr:uid="{00000000-0005-0000-0000-000055BA0000}"/>
    <cellStyle name="Remarque 3 7 3 2 4" xfId="38840" xr:uid="{00000000-0005-0000-0000-000056BA0000}"/>
    <cellStyle name="Remarque 3 7 3 3" xfId="5053" xr:uid="{00000000-0005-0000-0000-000057BA0000}"/>
    <cellStyle name="Remarque 3 7 3 3 2" xfId="29067" xr:uid="{00000000-0005-0000-0000-000058BA0000}"/>
    <cellStyle name="Remarque 3 7 3 3 2 2" xfId="53027" xr:uid="{00000000-0005-0000-0000-000059BA0000}"/>
    <cellStyle name="Remarque 3 7 3 3 3" xfId="16314" xr:uid="{00000000-0005-0000-0000-00005ABA0000}"/>
    <cellStyle name="Remarque 3 7 3 3 4" xfId="40274" xr:uid="{00000000-0005-0000-0000-00005BBA0000}"/>
    <cellStyle name="Remarque 3 7 3 4" xfId="6447" xr:uid="{00000000-0005-0000-0000-00005CBA0000}"/>
    <cellStyle name="Remarque 3 7 3 4 2" xfId="30461" xr:uid="{00000000-0005-0000-0000-00005DBA0000}"/>
    <cellStyle name="Remarque 3 7 3 4 2 2" xfId="54421" xr:uid="{00000000-0005-0000-0000-00005EBA0000}"/>
    <cellStyle name="Remarque 3 7 3 4 3" xfId="17708" xr:uid="{00000000-0005-0000-0000-00005FBA0000}"/>
    <cellStyle name="Remarque 3 7 3 4 4" xfId="41668" xr:uid="{00000000-0005-0000-0000-000060BA0000}"/>
    <cellStyle name="Remarque 3 7 3 5" xfId="7835" xr:uid="{00000000-0005-0000-0000-000061BA0000}"/>
    <cellStyle name="Remarque 3 7 3 5 2" xfId="31849" xr:uid="{00000000-0005-0000-0000-000062BA0000}"/>
    <cellStyle name="Remarque 3 7 3 5 2 2" xfId="55809" xr:uid="{00000000-0005-0000-0000-000063BA0000}"/>
    <cellStyle name="Remarque 3 7 3 5 3" xfId="19096" xr:uid="{00000000-0005-0000-0000-000064BA0000}"/>
    <cellStyle name="Remarque 3 7 3 5 4" xfId="43056" xr:uid="{00000000-0005-0000-0000-000065BA0000}"/>
    <cellStyle name="Remarque 3 7 3 6" xfId="9220" xr:uid="{00000000-0005-0000-0000-000066BA0000}"/>
    <cellStyle name="Remarque 3 7 3 6 2" xfId="33234" xr:uid="{00000000-0005-0000-0000-000067BA0000}"/>
    <cellStyle name="Remarque 3 7 3 6 2 2" xfId="57194" xr:uid="{00000000-0005-0000-0000-000068BA0000}"/>
    <cellStyle name="Remarque 3 7 3 6 3" xfId="20481" xr:uid="{00000000-0005-0000-0000-000069BA0000}"/>
    <cellStyle name="Remarque 3 7 3 6 4" xfId="44441" xr:uid="{00000000-0005-0000-0000-00006ABA0000}"/>
    <cellStyle name="Remarque 3 7 3 7" xfId="10677" xr:uid="{00000000-0005-0000-0000-00006BBA0000}"/>
    <cellStyle name="Remarque 3 7 3 7 2" xfId="34687" xr:uid="{00000000-0005-0000-0000-00006CBA0000}"/>
    <cellStyle name="Remarque 3 7 3 7 2 2" xfId="58647" xr:uid="{00000000-0005-0000-0000-00006DBA0000}"/>
    <cellStyle name="Remarque 3 7 3 7 3" xfId="21944" xr:uid="{00000000-0005-0000-0000-00006EBA0000}"/>
    <cellStyle name="Remarque 3 7 3 7 4" xfId="45904" xr:uid="{00000000-0005-0000-0000-00006FBA0000}"/>
    <cellStyle name="Remarque 3 7 3 8" xfId="12660" xr:uid="{00000000-0005-0000-0000-000070BA0000}"/>
    <cellStyle name="Remarque 3 7 3 8 2" xfId="23965" xr:uid="{00000000-0005-0000-0000-000071BA0000}"/>
    <cellStyle name="Remarque 3 7 3 8 3" xfId="47925" xr:uid="{00000000-0005-0000-0000-000072BA0000}"/>
    <cellStyle name="Remarque 3 7 3 9" xfId="2149" xr:uid="{00000000-0005-0000-0000-000073BA0000}"/>
    <cellStyle name="Remarque 3 7 3 9 2" xfId="26163" xr:uid="{00000000-0005-0000-0000-000074BA0000}"/>
    <cellStyle name="Remarque 3 7 3 9 3" xfId="50123" xr:uid="{00000000-0005-0000-0000-000075BA0000}"/>
    <cellStyle name="Remarque 3 7 4" xfId="907" xr:uid="{00000000-0005-0000-0000-000076BA0000}"/>
    <cellStyle name="Remarque 3 7 4 10" xfId="24939" xr:uid="{00000000-0005-0000-0000-000077BA0000}"/>
    <cellStyle name="Remarque 3 7 4 10 2" xfId="48899" xr:uid="{00000000-0005-0000-0000-000078BA0000}"/>
    <cellStyle name="Remarque 3 7 4 11" xfId="35596" xr:uid="{00000000-0005-0000-0000-000079BA0000}"/>
    <cellStyle name="Remarque 3 7 4 11 2" xfId="59556" xr:uid="{00000000-0005-0000-0000-00007ABA0000}"/>
    <cellStyle name="Remarque 3 7 4 12" xfId="13604" xr:uid="{00000000-0005-0000-0000-00007BBA0000}"/>
    <cellStyle name="Remarque 3 7 4 13" xfId="37564" xr:uid="{00000000-0005-0000-0000-00007CBA0000}"/>
    <cellStyle name="Remarque 3 7 4 2" xfId="3813" xr:uid="{00000000-0005-0000-0000-00007DBA0000}"/>
    <cellStyle name="Remarque 3 7 4 2 2" xfId="27827" xr:uid="{00000000-0005-0000-0000-00007EBA0000}"/>
    <cellStyle name="Remarque 3 7 4 2 2 2" xfId="51787" xr:uid="{00000000-0005-0000-0000-00007FBA0000}"/>
    <cellStyle name="Remarque 3 7 4 2 3" xfId="15074" xr:uid="{00000000-0005-0000-0000-000080BA0000}"/>
    <cellStyle name="Remarque 3 7 4 2 4" xfId="39034" xr:uid="{00000000-0005-0000-0000-000081BA0000}"/>
    <cellStyle name="Remarque 3 7 4 3" xfId="5247" xr:uid="{00000000-0005-0000-0000-000082BA0000}"/>
    <cellStyle name="Remarque 3 7 4 3 2" xfId="29261" xr:uid="{00000000-0005-0000-0000-000083BA0000}"/>
    <cellStyle name="Remarque 3 7 4 3 2 2" xfId="53221" xr:uid="{00000000-0005-0000-0000-000084BA0000}"/>
    <cellStyle name="Remarque 3 7 4 3 3" xfId="16508" xr:uid="{00000000-0005-0000-0000-000085BA0000}"/>
    <cellStyle name="Remarque 3 7 4 3 4" xfId="40468" xr:uid="{00000000-0005-0000-0000-000086BA0000}"/>
    <cellStyle name="Remarque 3 7 4 4" xfId="6641" xr:uid="{00000000-0005-0000-0000-000087BA0000}"/>
    <cellStyle name="Remarque 3 7 4 4 2" xfId="30655" xr:uid="{00000000-0005-0000-0000-000088BA0000}"/>
    <cellStyle name="Remarque 3 7 4 4 2 2" xfId="54615" xr:uid="{00000000-0005-0000-0000-000089BA0000}"/>
    <cellStyle name="Remarque 3 7 4 4 3" xfId="17902" xr:uid="{00000000-0005-0000-0000-00008ABA0000}"/>
    <cellStyle name="Remarque 3 7 4 4 4" xfId="41862" xr:uid="{00000000-0005-0000-0000-00008BBA0000}"/>
    <cellStyle name="Remarque 3 7 4 5" xfId="8029" xr:uid="{00000000-0005-0000-0000-00008CBA0000}"/>
    <cellStyle name="Remarque 3 7 4 5 2" xfId="32043" xr:uid="{00000000-0005-0000-0000-00008DBA0000}"/>
    <cellStyle name="Remarque 3 7 4 5 2 2" xfId="56003" xr:uid="{00000000-0005-0000-0000-00008EBA0000}"/>
    <cellStyle name="Remarque 3 7 4 5 3" xfId="19290" xr:uid="{00000000-0005-0000-0000-00008FBA0000}"/>
    <cellStyle name="Remarque 3 7 4 5 4" xfId="43250" xr:uid="{00000000-0005-0000-0000-000090BA0000}"/>
    <cellStyle name="Remarque 3 7 4 6" xfId="9414" xr:uid="{00000000-0005-0000-0000-000091BA0000}"/>
    <cellStyle name="Remarque 3 7 4 6 2" xfId="33428" xr:uid="{00000000-0005-0000-0000-000092BA0000}"/>
    <cellStyle name="Remarque 3 7 4 6 2 2" xfId="57388" xr:uid="{00000000-0005-0000-0000-000093BA0000}"/>
    <cellStyle name="Remarque 3 7 4 6 3" xfId="20675" xr:uid="{00000000-0005-0000-0000-000094BA0000}"/>
    <cellStyle name="Remarque 3 7 4 6 4" xfId="44635" xr:uid="{00000000-0005-0000-0000-000095BA0000}"/>
    <cellStyle name="Remarque 3 7 4 7" xfId="10871" xr:uid="{00000000-0005-0000-0000-000096BA0000}"/>
    <cellStyle name="Remarque 3 7 4 7 2" xfId="34881" xr:uid="{00000000-0005-0000-0000-000097BA0000}"/>
    <cellStyle name="Remarque 3 7 4 7 2 2" xfId="58841" xr:uid="{00000000-0005-0000-0000-000098BA0000}"/>
    <cellStyle name="Remarque 3 7 4 7 3" xfId="22138" xr:uid="{00000000-0005-0000-0000-000099BA0000}"/>
    <cellStyle name="Remarque 3 7 4 7 4" xfId="46098" xr:uid="{00000000-0005-0000-0000-00009ABA0000}"/>
    <cellStyle name="Remarque 3 7 4 8" xfId="11801" xr:uid="{00000000-0005-0000-0000-00009BBA0000}"/>
    <cellStyle name="Remarque 3 7 4 8 2" xfId="23075" xr:uid="{00000000-0005-0000-0000-00009CBA0000}"/>
    <cellStyle name="Remarque 3 7 4 8 3" xfId="47035" xr:uid="{00000000-0005-0000-0000-00009DBA0000}"/>
    <cellStyle name="Remarque 3 7 4 9" xfId="2343" xr:uid="{00000000-0005-0000-0000-00009EBA0000}"/>
    <cellStyle name="Remarque 3 7 4 9 2" xfId="26357" xr:uid="{00000000-0005-0000-0000-00009FBA0000}"/>
    <cellStyle name="Remarque 3 7 4 9 3" xfId="50317" xr:uid="{00000000-0005-0000-0000-0000A0BA0000}"/>
    <cellStyle name="Remarque 3 7 5" xfId="1100" xr:uid="{00000000-0005-0000-0000-0000A1BA0000}"/>
    <cellStyle name="Remarque 3 7 5 10" xfId="25132" xr:uid="{00000000-0005-0000-0000-0000A2BA0000}"/>
    <cellStyle name="Remarque 3 7 5 10 2" xfId="49092" xr:uid="{00000000-0005-0000-0000-0000A3BA0000}"/>
    <cellStyle name="Remarque 3 7 5 11" xfId="24153" xr:uid="{00000000-0005-0000-0000-0000A4BA0000}"/>
    <cellStyle name="Remarque 3 7 5 11 2" xfId="48113" xr:uid="{00000000-0005-0000-0000-0000A5BA0000}"/>
    <cellStyle name="Remarque 3 7 5 12" xfId="13797" xr:uid="{00000000-0005-0000-0000-0000A6BA0000}"/>
    <cellStyle name="Remarque 3 7 5 13" xfId="37757" xr:uid="{00000000-0005-0000-0000-0000A7BA0000}"/>
    <cellStyle name="Remarque 3 7 5 2" xfId="4006" xr:uid="{00000000-0005-0000-0000-0000A8BA0000}"/>
    <cellStyle name="Remarque 3 7 5 2 2" xfId="28020" xr:uid="{00000000-0005-0000-0000-0000A9BA0000}"/>
    <cellStyle name="Remarque 3 7 5 2 2 2" xfId="51980" xr:uid="{00000000-0005-0000-0000-0000AABA0000}"/>
    <cellStyle name="Remarque 3 7 5 2 3" xfId="15267" xr:uid="{00000000-0005-0000-0000-0000ABBA0000}"/>
    <cellStyle name="Remarque 3 7 5 2 4" xfId="39227" xr:uid="{00000000-0005-0000-0000-0000ACBA0000}"/>
    <cellStyle name="Remarque 3 7 5 3" xfId="5440" xr:uid="{00000000-0005-0000-0000-0000ADBA0000}"/>
    <cellStyle name="Remarque 3 7 5 3 2" xfId="29454" xr:uid="{00000000-0005-0000-0000-0000AEBA0000}"/>
    <cellStyle name="Remarque 3 7 5 3 2 2" xfId="53414" xr:uid="{00000000-0005-0000-0000-0000AFBA0000}"/>
    <cellStyle name="Remarque 3 7 5 3 3" xfId="16701" xr:uid="{00000000-0005-0000-0000-0000B0BA0000}"/>
    <cellStyle name="Remarque 3 7 5 3 4" xfId="40661" xr:uid="{00000000-0005-0000-0000-0000B1BA0000}"/>
    <cellStyle name="Remarque 3 7 5 4" xfId="6834" xr:uid="{00000000-0005-0000-0000-0000B2BA0000}"/>
    <cellStyle name="Remarque 3 7 5 4 2" xfId="30848" xr:uid="{00000000-0005-0000-0000-0000B3BA0000}"/>
    <cellStyle name="Remarque 3 7 5 4 2 2" xfId="54808" xr:uid="{00000000-0005-0000-0000-0000B4BA0000}"/>
    <cellStyle name="Remarque 3 7 5 4 3" xfId="18095" xr:uid="{00000000-0005-0000-0000-0000B5BA0000}"/>
    <cellStyle name="Remarque 3 7 5 4 4" xfId="42055" xr:uid="{00000000-0005-0000-0000-0000B6BA0000}"/>
    <cellStyle name="Remarque 3 7 5 5" xfId="8222" xr:uid="{00000000-0005-0000-0000-0000B7BA0000}"/>
    <cellStyle name="Remarque 3 7 5 5 2" xfId="32236" xr:uid="{00000000-0005-0000-0000-0000B8BA0000}"/>
    <cellStyle name="Remarque 3 7 5 5 2 2" xfId="56196" xr:uid="{00000000-0005-0000-0000-0000B9BA0000}"/>
    <cellStyle name="Remarque 3 7 5 5 3" xfId="19483" xr:uid="{00000000-0005-0000-0000-0000BABA0000}"/>
    <cellStyle name="Remarque 3 7 5 5 4" xfId="43443" xr:uid="{00000000-0005-0000-0000-0000BBBA0000}"/>
    <cellStyle name="Remarque 3 7 5 6" xfId="9607" xr:uid="{00000000-0005-0000-0000-0000BCBA0000}"/>
    <cellStyle name="Remarque 3 7 5 6 2" xfId="33621" xr:uid="{00000000-0005-0000-0000-0000BDBA0000}"/>
    <cellStyle name="Remarque 3 7 5 6 2 2" xfId="57581" xr:uid="{00000000-0005-0000-0000-0000BEBA0000}"/>
    <cellStyle name="Remarque 3 7 5 6 3" xfId="20868" xr:uid="{00000000-0005-0000-0000-0000BFBA0000}"/>
    <cellStyle name="Remarque 3 7 5 6 4" xfId="44828" xr:uid="{00000000-0005-0000-0000-0000C0BA0000}"/>
    <cellStyle name="Remarque 3 7 5 7" xfId="11064" xr:uid="{00000000-0005-0000-0000-0000C1BA0000}"/>
    <cellStyle name="Remarque 3 7 5 7 2" xfId="35074" xr:uid="{00000000-0005-0000-0000-0000C2BA0000}"/>
    <cellStyle name="Remarque 3 7 5 7 2 2" xfId="59034" xr:uid="{00000000-0005-0000-0000-0000C3BA0000}"/>
    <cellStyle name="Remarque 3 7 5 7 3" xfId="22331" xr:uid="{00000000-0005-0000-0000-0000C4BA0000}"/>
    <cellStyle name="Remarque 3 7 5 7 4" xfId="46291" xr:uid="{00000000-0005-0000-0000-0000C5BA0000}"/>
    <cellStyle name="Remarque 3 7 5 8" xfId="11723" xr:uid="{00000000-0005-0000-0000-0000C6BA0000}"/>
    <cellStyle name="Remarque 3 7 5 8 2" xfId="22994" xr:uid="{00000000-0005-0000-0000-0000C7BA0000}"/>
    <cellStyle name="Remarque 3 7 5 8 3" xfId="46954" xr:uid="{00000000-0005-0000-0000-0000C8BA0000}"/>
    <cellStyle name="Remarque 3 7 5 9" xfId="2536" xr:uid="{00000000-0005-0000-0000-0000C9BA0000}"/>
    <cellStyle name="Remarque 3 7 5 9 2" xfId="26550" xr:uid="{00000000-0005-0000-0000-0000CABA0000}"/>
    <cellStyle name="Remarque 3 7 5 9 3" xfId="50510" xr:uid="{00000000-0005-0000-0000-0000CBBA0000}"/>
    <cellStyle name="Remarque 3 7 6" xfId="1267" xr:uid="{00000000-0005-0000-0000-0000CCBA0000}"/>
    <cellStyle name="Remarque 3 7 6 10" xfId="25299" xr:uid="{00000000-0005-0000-0000-0000CDBA0000}"/>
    <cellStyle name="Remarque 3 7 6 10 2" xfId="49259" xr:uid="{00000000-0005-0000-0000-0000CEBA0000}"/>
    <cellStyle name="Remarque 3 7 6 11" xfId="24268" xr:uid="{00000000-0005-0000-0000-0000CFBA0000}"/>
    <cellStyle name="Remarque 3 7 6 11 2" xfId="48228" xr:uid="{00000000-0005-0000-0000-0000D0BA0000}"/>
    <cellStyle name="Remarque 3 7 6 12" xfId="13964" xr:uid="{00000000-0005-0000-0000-0000D1BA0000}"/>
    <cellStyle name="Remarque 3 7 6 13" xfId="37924" xr:uid="{00000000-0005-0000-0000-0000D2BA0000}"/>
    <cellStyle name="Remarque 3 7 6 2" xfId="4173" xr:uid="{00000000-0005-0000-0000-0000D3BA0000}"/>
    <cellStyle name="Remarque 3 7 6 2 2" xfId="28187" xr:uid="{00000000-0005-0000-0000-0000D4BA0000}"/>
    <cellStyle name="Remarque 3 7 6 2 2 2" xfId="52147" xr:uid="{00000000-0005-0000-0000-0000D5BA0000}"/>
    <cellStyle name="Remarque 3 7 6 2 3" xfId="15434" xr:uid="{00000000-0005-0000-0000-0000D6BA0000}"/>
    <cellStyle name="Remarque 3 7 6 2 4" xfId="39394" xr:uid="{00000000-0005-0000-0000-0000D7BA0000}"/>
    <cellStyle name="Remarque 3 7 6 3" xfId="5607" xr:uid="{00000000-0005-0000-0000-0000D8BA0000}"/>
    <cellStyle name="Remarque 3 7 6 3 2" xfId="29621" xr:uid="{00000000-0005-0000-0000-0000D9BA0000}"/>
    <cellStyle name="Remarque 3 7 6 3 2 2" xfId="53581" xr:uid="{00000000-0005-0000-0000-0000DABA0000}"/>
    <cellStyle name="Remarque 3 7 6 3 3" xfId="16868" xr:uid="{00000000-0005-0000-0000-0000DBBA0000}"/>
    <cellStyle name="Remarque 3 7 6 3 4" xfId="40828" xr:uid="{00000000-0005-0000-0000-0000DCBA0000}"/>
    <cellStyle name="Remarque 3 7 6 4" xfId="7001" xr:uid="{00000000-0005-0000-0000-0000DDBA0000}"/>
    <cellStyle name="Remarque 3 7 6 4 2" xfId="31015" xr:uid="{00000000-0005-0000-0000-0000DEBA0000}"/>
    <cellStyle name="Remarque 3 7 6 4 2 2" xfId="54975" xr:uid="{00000000-0005-0000-0000-0000DFBA0000}"/>
    <cellStyle name="Remarque 3 7 6 4 3" xfId="18262" xr:uid="{00000000-0005-0000-0000-0000E0BA0000}"/>
    <cellStyle name="Remarque 3 7 6 4 4" xfId="42222" xr:uid="{00000000-0005-0000-0000-0000E1BA0000}"/>
    <cellStyle name="Remarque 3 7 6 5" xfId="8389" xr:uid="{00000000-0005-0000-0000-0000E2BA0000}"/>
    <cellStyle name="Remarque 3 7 6 5 2" xfId="32403" xr:uid="{00000000-0005-0000-0000-0000E3BA0000}"/>
    <cellStyle name="Remarque 3 7 6 5 2 2" xfId="56363" xr:uid="{00000000-0005-0000-0000-0000E4BA0000}"/>
    <cellStyle name="Remarque 3 7 6 5 3" xfId="19650" xr:uid="{00000000-0005-0000-0000-0000E5BA0000}"/>
    <cellStyle name="Remarque 3 7 6 5 4" xfId="43610" xr:uid="{00000000-0005-0000-0000-0000E6BA0000}"/>
    <cellStyle name="Remarque 3 7 6 6" xfId="9774" xr:uid="{00000000-0005-0000-0000-0000E7BA0000}"/>
    <cellStyle name="Remarque 3 7 6 6 2" xfId="33788" xr:uid="{00000000-0005-0000-0000-0000E8BA0000}"/>
    <cellStyle name="Remarque 3 7 6 6 2 2" xfId="57748" xr:uid="{00000000-0005-0000-0000-0000E9BA0000}"/>
    <cellStyle name="Remarque 3 7 6 6 3" xfId="21035" xr:uid="{00000000-0005-0000-0000-0000EABA0000}"/>
    <cellStyle name="Remarque 3 7 6 6 4" xfId="44995" xr:uid="{00000000-0005-0000-0000-0000EBBA0000}"/>
    <cellStyle name="Remarque 3 7 6 7" xfId="11231" xr:uid="{00000000-0005-0000-0000-0000ECBA0000}"/>
    <cellStyle name="Remarque 3 7 6 7 2" xfId="35241" xr:uid="{00000000-0005-0000-0000-0000EDBA0000}"/>
    <cellStyle name="Remarque 3 7 6 7 2 2" xfId="59201" xr:uid="{00000000-0005-0000-0000-0000EEBA0000}"/>
    <cellStyle name="Remarque 3 7 6 7 3" xfId="22498" xr:uid="{00000000-0005-0000-0000-0000EFBA0000}"/>
    <cellStyle name="Remarque 3 7 6 7 4" xfId="46458" xr:uid="{00000000-0005-0000-0000-0000F0BA0000}"/>
    <cellStyle name="Remarque 3 7 6 8" xfId="11861" xr:uid="{00000000-0005-0000-0000-0000F1BA0000}"/>
    <cellStyle name="Remarque 3 7 6 8 2" xfId="23137" xr:uid="{00000000-0005-0000-0000-0000F2BA0000}"/>
    <cellStyle name="Remarque 3 7 6 8 3" xfId="47097" xr:uid="{00000000-0005-0000-0000-0000F3BA0000}"/>
    <cellStyle name="Remarque 3 7 6 9" xfId="2703" xr:uid="{00000000-0005-0000-0000-0000F4BA0000}"/>
    <cellStyle name="Remarque 3 7 6 9 2" xfId="26717" xr:uid="{00000000-0005-0000-0000-0000F5BA0000}"/>
    <cellStyle name="Remarque 3 7 6 9 3" xfId="50677" xr:uid="{00000000-0005-0000-0000-0000F6BA0000}"/>
    <cellStyle name="Remarque 3 7 7" xfId="1436" xr:uid="{00000000-0005-0000-0000-0000F7BA0000}"/>
    <cellStyle name="Remarque 3 7 7 10" xfId="25468" xr:uid="{00000000-0005-0000-0000-0000F8BA0000}"/>
    <cellStyle name="Remarque 3 7 7 10 2" xfId="49428" xr:uid="{00000000-0005-0000-0000-0000F9BA0000}"/>
    <cellStyle name="Remarque 3 7 7 11" xfId="36247" xr:uid="{00000000-0005-0000-0000-0000FABA0000}"/>
    <cellStyle name="Remarque 3 7 7 11 2" xfId="60207" xr:uid="{00000000-0005-0000-0000-0000FBBA0000}"/>
    <cellStyle name="Remarque 3 7 7 12" xfId="14133" xr:uid="{00000000-0005-0000-0000-0000FCBA0000}"/>
    <cellStyle name="Remarque 3 7 7 13" xfId="38093" xr:uid="{00000000-0005-0000-0000-0000FDBA0000}"/>
    <cellStyle name="Remarque 3 7 7 2" xfId="4342" xr:uid="{00000000-0005-0000-0000-0000FEBA0000}"/>
    <cellStyle name="Remarque 3 7 7 2 2" xfId="28356" xr:uid="{00000000-0005-0000-0000-0000FFBA0000}"/>
    <cellStyle name="Remarque 3 7 7 2 2 2" xfId="52316" xr:uid="{00000000-0005-0000-0000-000000BB0000}"/>
    <cellStyle name="Remarque 3 7 7 2 3" xfId="15603" xr:uid="{00000000-0005-0000-0000-000001BB0000}"/>
    <cellStyle name="Remarque 3 7 7 2 4" xfId="39563" xr:uid="{00000000-0005-0000-0000-000002BB0000}"/>
    <cellStyle name="Remarque 3 7 7 3" xfId="5776" xr:uid="{00000000-0005-0000-0000-000003BB0000}"/>
    <cellStyle name="Remarque 3 7 7 3 2" xfId="29790" xr:uid="{00000000-0005-0000-0000-000004BB0000}"/>
    <cellStyle name="Remarque 3 7 7 3 2 2" xfId="53750" xr:uid="{00000000-0005-0000-0000-000005BB0000}"/>
    <cellStyle name="Remarque 3 7 7 3 3" xfId="17037" xr:uid="{00000000-0005-0000-0000-000006BB0000}"/>
    <cellStyle name="Remarque 3 7 7 3 4" xfId="40997" xr:uid="{00000000-0005-0000-0000-000007BB0000}"/>
    <cellStyle name="Remarque 3 7 7 4" xfId="7170" xr:uid="{00000000-0005-0000-0000-000008BB0000}"/>
    <cellStyle name="Remarque 3 7 7 4 2" xfId="31184" xr:uid="{00000000-0005-0000-0000-000009BB0000}"/>
    <cellStyle name="Remarque 3 7 7 4 2 2" xfId="55144" xr:uid="{00000000-0005-0000-0000-00000ABB0000}"/>
    <cellStyle name="Remarque 3 7 7 4 3" xfId="18431" xr:uid="{00000000-0005-0000-0000-00000BBB0000}"/>
    <cellStyle name="Remarque 3 7 7 4 4" xfId="42391" xr:uid="{00000000-0005-0000-0000-00000CBB0000}"/>
    <cellStyle name="Remarque 3 7 7 5" xfId="8558" xr:uid="{00000000-0005-0000-0000-00000DBB0000}"/>
    <cellStyle name="Remarque 3 7 7 5 2" xfId="32572" xr:uid="{00000000-0005-0000-0000-00000EBB0000}"/>
    <cellStyle name="Remarque 3 7 7 5 2 2" xfId="56532" xr:uid="{00000000-0005-0000-0000-00000FBB0000}"/>
    <cellStyle name="Remarque 3 7 7 5 3" xfId="19819" xr:uid="{00000000-0005-0000-0000-000010BB0000}"/>
    <cellStyle name="Remarque 3 7 7 5 4" xfId="43779" xr:uid="{00000000-0005-0000-0000-000011BB0000}"/>
    <cellStyle name="Remarque 3 7 7 6" xfId="9943" xr:uid="{00000000-0005-0000-0000-000012BB0000}"/>
    <cellStyle name="Remarque 3 7 7 6 2" xfId="33957" xr:uid="{00000000-0005-0000-0000-000013BB0000}"/>
    <cellStyle name="Remarque 3 7 7 6 2 2" xfId="57917" xr:uid="{00000000-0005-0000-0000-000014BB0000}"/>
    <cellStyle name="Remarque 3 7 7 6 3" xfId="21204" xr:uid="{00000000-0005-0000-0000-000015BB0000}"/>
    <cellStyle name="Remarque 3 7 7 6 4" xfId="45164" xr:uid="{00000000-0005-0000-0000-000016BB0000}"/>
    <cellStyle name="Remarque 3 7 7 7" xfId="11400" xr:uid="{00000000-0005-0000-0000-000017BB0000}"/>
    <cellStyle name="Remarque 3 7 7 7 2" xfId="35410" xr:uid="{00000000-0005-0000-0000-000018BB0000}"/>
    <cellStyle name="Remarque 3 7 7 7 2 2" xfId="59370" xr:uid="{00000000-0005-0000-0000-000019BB0000}"/>
    <cellStyle name="Remarque 3 7 7 7 3" xfId="22667" xr:uid="{00000000-0005-0000-0000-00001ABB0000}"/>
    <cellStyle name="Remarque 3 7 7 7 4" xfId="46627" xr:uid="{00000000-0005-0000-0000-00001BBB0000}"/>
    <cellStyle name="Remarque 3 7 7 8" xfId="11800" xr:uid="{00000000-0005-0000-0000-00001CBB0000}"/>
    <cellStyle name="Remarque 3 7 7 8 2" xfId="23074" xr:uid="{00000000-0005-0000-0000-00001DBB0000}"/>
    <cellStyle name="Remarque 3 7 7 8 3" xfId="47034" xr:uid="{00000000-0005-0000-0000-00001EBB0000}"/>
    <cellStyle name="Remarque 3 7 7 9" xfId="2872" xr:uid="{00000000-0005-0000-0000-00001FBB0000}"/>
    <cellStyle name="Remarque 3 7 7 9 2" xfId="26886" xr:uid="{00000000-0005-0000-0000-000020BB0000}"/>
    <cellStyle name="Remarque 3 7 7 9 3" xfId="50846" xr:uid="{00000000-0005-0000-0000-000021BB0000}"/>
    <cellStyle name="Remarque 3 7 8" xfId="3291" xr:uid="{00000000-0005-0000-0000-000022BB0000}"/>
    <cellStyle name="Remarque 3 7 8 2" xfId="27305" xr:uid="{00000000-0005-0000-0000-000023BB0000}"/>
    <cellStyle name="Remarque 3 7 8 2 2" xfId="51265" xr:uid="{00000000-0005-0000-0000-000024BB0000}"/>
    <cellStyle name="Remarque 3 7 8 3" xfId="14552" xr:uid="{00000000-0005-0000-0000-000025BB0000}"/>
    <cellStyle name="Remarque 3 7 8 4" xfId="38512" xr:uid="{00000000-0005-0000-0000-000026BB0000}"/>
    <cellStyle name="Remarque 3 7 9" xfId="4725" xr:uid="{00000000-0005-0000-0000-000027BB0000}"/>
    <cellStyle name="Remarque 3 7 9 2" xfId="28739" xr:uid="{00000000-0005-0000-0000-000028BB0000}"/>
    <cellStyle name="Remarque 3 7 9 2 2" xfId="52699" xr:uid="{00000000-0005-0000-0000-000029BB0000}"/>
    <cellStyle name="Remarque 3 7 9 3" xfId="15986" xr:uid="{00000000-0005-0000-0000-00002ABB0000}"/>
    <cellStyle name="Remarque 3 7 9 4" xfId="39946" xr:uid="{00000000-0005-0000-0000-00002BBB0000}"/>
    <cellStyle name="Remarque 3 8" xfId="616" xr:uid="{00000000-0005-0000-0000-00002CBB0000}"/>
    <cellStyle name="Remarque 3 8 10" xfId="24648" xr:uid="{00000000-0005-0000-0000-00002DBB0000}"/>
    <cellStyle name="Remarque 3 8 10 2" xfId="48608" xr:uid="{00000000-0005-0000-0000-00002EBB0000}"/>
    <cellStyle name="Remarque 3 8 11" xfId="36203" xr:uid="{00000000-0005-0000-0000-00002FBB0000}"/>
    <cellStyle name="Remarque 3 8 11 2" xfId="60163" xr:uid="{00000000-0005-0000-0000-000030BB0000}"/>
    <cellStyle name="Remarque 3 8 12" xfId="13313" xr:uid="{00000000-0005-0000-0000-000031BB0000}"/>
    <cellStyle name="Remarque 3 8 13" xfId="37273" xr:uid="{00000000-0005-0000-0000-000032BB0000}"/>
    <cellStyle name="Remarque 3 8 2" xfId="3522" xr:uid="{00000000-0005-0000-0000-000033BB0000}"/>
    <cellStyle name="Remarque 3 8 2 2" xfId="27536" xr:uid="{00000000-0005-0000-0000-000034BB0000}"/>
    <cellStyle name="Remarque 3 8 2 2 2" xfId="51496" xr:uid="{00000000-0005-0000-0000-000035BB0000}"/>
    <cellStyle name="Remarque 3 8 2 3" xfId="14783" xr:uid="{00000000-0005-0000-0000-000036BB0000}"/>
    <cellStyle name="Remarque 3 8 2 4" xfId="38743" xr:uid="{00000000-0005-0000-0000-000037BB0000}"/>
    <cellStyle name="Remarque 3 8 3" xfId="4956" xr:uid="{00000000-0005-0000-0000-000038BB0000}"/>
    <cellStyle name="Remarque 3 8 3 2" xfId="28970" xr:uid="{00000000-0005-0000-0000-000039BB0000}"/>
    <cellStyle name="Remarque 3 8 3 2 2" xfId="52930" xr:uid="{00000000-0005-0000-0000-00003ABB0000}"/>
    <cellStyle name="Remarque 3 8 3 3" xfId="16217" xr:uid="{00000000-0005-0000-0000-00003BBB0000}"/>
    <cellStyle name="Remarque 3 8 3 4" xfId="40177" xr:uid="{00000000-0005-0000-0000-00003CBB0000}"/>
    <cellStyle name="Remarque 3 8 4" xfId="6350" xr:uid="{00000000-0005-0000-0000-00003DBB0000}"/>
    <cellStyle name="Remarque 3 8 4 2" xfId="30364" xr:uid="{00000000-0005-0000-0000-00003EBB0000}"/>
    <cellStyle name="Remarque 3 8 4 2 2" xfId="54324" xr:uid="{00000000-0005-0000-0000-00003FBB0000}"/>
    <cellStyle name="Remarque 3 8 4 3" xfId="17611" xr:uid="{00000000-0005-0000-0000-000040BB0000}"/>
    <cellStyle name="Remarque 3 8 4 4" xfId="41571" xr:uid="{00000000-0005-0000-0000-000041BB0000}"/>
    <cellStyle name="Remarque 3 8 5" xfId="7738" xr:uid="{00000000-0005-0000-0000-000042BB0000}"/>
    <cellStyle name="Remarque 3 8 5 2" xfId="31752" xr:uid="{00000000-0005-0000-0000-000043BB0000}"/>
    <cellStyle name="Remarque 3 8 5 2 2" xfId="55712" xr:uid="{00000000-0005-0000-0000-000044BB0000}"/>
    <cellStyle name="Remarque 3 8 5 3" xfId="18999" xr:uid="{00000000-0005-0000-0000-000045BB0000}"/>
    <cellStyle name="Remarque 3 8 5 4" xfId="42959" xr:uid="{00000000-0005-0000-0000-000046BB0000}"/>
    <cellStyle name="Remarque 3 8 6" xfId="9123" xr:uid="{00000000-0005-0000-0000-000047BB0000}"/>
    <cellStyle name="Remarque 3 8 6 2" xfId="33137" xr:uid="{00000000-0005-0000-0000-000048BB0000}"/>
    <cellStyle name="Remarque 3 8 6 2 2" xfId="57097" xr:uid="{00000000-0005-0000-0000-000049BB0000}"/>
    <cellStyle name="Remarque 3 8 6 3" xfId="20384" xr:uid="{00000000-0005-0000-0000-00004ABB0000}"/>
    <cellStyle name="Remarque 3 8 6 4" xfId="44344" xr:uid="{00000000-0005-0000-0000-00004BBB0000}"/>
    <cellStyle name="Remarque 3 8 7" xfId="10580" xr:uid="{00000000-0005-0000-0000-00004CBB0000}"/>
    <cellStyle name="Remarque 3 8 7 2" xfId="34590" xr:uid="{00000000-0005-0000-0000-00004DBB0000}"/>
    <cellStyle name="Remarque 3 8 7 2 2" xfId="58550" xr:uid="{00000000-0005-0000-0000-00004EBB0000}"/>
    <cellStyle name="Remarque 3 8 7 3" xfId="21847" xr:uid="{00000000-0005-0000-0000-00004FBB0000}"/>
    <cellStyle name="Remarque 3 8 7 4" xfId="45807" xr:uid="{00000000-0005-0000-0000-000050BB0000}"/>
    <cellStyle name="Remarque 3 8 8" xfId="12353" xr:uid="{00000000-0005-0000-0000-000051BB0000}"/>
    <cellStyle name="Remarque 3 8 8 2" xfId="23641" xr:uid="{00000000-0005-0000-0000-000052BB0000}"/>
    <cellStyle name="Remarque 3 8 8 3" xfId="47601" xr:uid="{00000000-0005-0000-0000-000053BB0000}"/>
    <cellStyle name="Remarque 3 8 9" xfId="2052" xr:uid="{00000000-0005-0000-0000-000054BB0000}"/>
    <cellStyle name="Remarque 3 8 9 2" xfId="26066" xr:uid="{00000000-0005-0000-0000-000055BB0000}"/>
    <cellStyle name="Remarque 3 8 9 3" xfId="50026" xr:uid="{00000000-0005-0000-0000-000056BB0000}"/>
    <cellStyle name="Remarque 3 9" xfId="810" xr:uid="{00000000-0005-0000-0000-000057BB0000}"/>
    <cellStyle name="Remarque 3 9 10" xfId="24842" xr:uid="{00000000-0005-0000-0000-000058BB0000}"/>
    <cellStyle name="Remarque 3 9 10 2" xfId="48802" xr:uid="{00000000-0005-0000-0000-000059BB0000}"/>
    <cellStyle name="Remarque 3 9 11" xfId="36064" xr:uid="{00000000-0005-0000-0000-00005ABB0000}"/>
    <cellStyle name="Remarque 3 9 11 2" xfId="60024" xr:uid="{00000000-0005-0000-0000-00005BBB0000}"/>
    <cellStyle name="Remarque 3 9 12" xfId="13507" xr:uid="{00000000-0005-0000-0000-00005CBB0000}"/>
    <cellStyle name="Remarque 3 9 13" xfId="37467" xr:uid="{00000000-0005-0000-0000-00005DBB0000}"/>
    <cellStyle name="Remarque 3 9 2" xfId="3716" xr:uid="{00000000-0005-0000-0000-00005EBB0000}"/>
    <cellStyle name="Remarque 3 9 2 2" xfId="27730" xr:uid="{00000000-0005-0000-0000-00005FBB0000}"/>
    <cellStyle name="Remarque 3 9 2 2 2" xfId="51690" xr:uid="{00000000-0005-0000-0000-000060BB0000}"/>
    <cellStyle name="Remarque 3 9 2 3" xfId="14977" xr:uid="{00000000-0005-0000-0000-000061BB0000}"/>
    <cellStyle name="Remarque 3 9 2 4" xfId="38937" xr:uid="{00000000-0005-0000-0000-000062BB0000}"/>
    <cellStyle name="Remarque 3 9 3" xfId="5150" xr:uid="{00000000-0005-0000-0000-000063BB0000}"/>
    <cellStyle name="Remarque 3 9 3 2" xfId="29164" xr:uid="{00000000-0005-0000-0000-000064BB0000}"/>
    <cellStyle name="Remarque 3 9 3 2 2" xfId="53124" xr:uid="{00000000-0005-0000-0000-000065BB0000}"/>
    <cellStyle name="Remarque 3 9 3 3" xfId="16411" xr:uid="{00000000-0005-0000-0000-000066BB0000}"/>
    <cellStyle name="Remarque 3 9 3 4" xfId="40371" xr:uid="{00000000-0005-0000-0000-000067BB0000}"/>
    <cellStyle name="Remarque 3 9 4" xfId="6544" xr:uid="{00000000-0005-0000-0000-000068BB0000}"/>
    <cellStyle name="Remarque 3 9 4 2" xfId="30558" xr:uid="{00000000-0005-0000-0000-000069BB0000}"/>
    <cellStyle name="Remarque 3 9 4 2 2" xfId="54518" xr:uid="{00000000-0005-0000-0000-00006ABB0000}"/>
    <cellStyle name="Remarque 3 9 4 3" xfId="17805" xr:uid="{00000000-0005-0000-0000-00006BBB0000}"/>
    <cellStyle name="Remarque 3 9 4 4" xfId="41765" xr:uid="{00000000-0005-0000-0000-00006CBB0000}"/>
    <cellStyle name="Remarque 3 9 5" xfId="7932" xr:uid="{00000000-0005-0000-0000-00006DBB0000}"/>
    <cellStyle name="Remarque 3 9 5 2" xfId="31946" xr:uid="{00000000-0005-0000-0000-00006EBB0000}"/>
    <cellStyle name="Remarque 3 9 5 2 2" xfId="55906" xr:uid="{00000000-0005-0000-0000-00006FBB0000}"/>
    <cellStyle name="Remarque 3 9 5 3" xfId="19193" xr:uid="{00000000-0005-0000-0000-000070BB0000}"/>
    <cellStyle name="Remarque 3 9 5 4" xfId="43153" xr:uid="{00000000-0005-0000-0000-000071BB0000}"/>
    <cellStyle name="Remarque 3 9 6" xfId="9317" xr:uid="{00000000-0005-0000-0000-000072BB0000}"/>
    <cellStyle name="Remarque 3 9 6 2" xfId="33331" xr:uid="{00000000-0005-0000-0000-000073BB0000}"/>
    <cellStyle name="Remarque 3 9 6 2 2" xfId="57291" xr:uid="{00000000-0005-0000-0000-000074BB0000}"/>
    <cellStyle name="Remarque 3 9 6 3" xfId="20578" xr:uid="{00000000-0005-0000-0000-000075BB0000}"/>
    <cellStyle name="Remarque 3 9 6 4" xfId="44538" xr:uid="{00000000-0005-0000-0000-000076BB0000}"/>
    <cellStyle name="Remarque 3 9 7" xfId="10774" xr:uid="{00000000-0005-0000-0000-000077BB0000}"/>
    <cellStyle name="Remarque 3 9 7 2" xfId="34784" xr:uid="{00000000-0005-0000-0000-000078BB0000}"/>
    <cellStyle name="Remarque 3 9 7 2 2" xfId="58744" xr:uid="{00000000-0005-0000-0000-000079BB0000}"/>
    <cellStyle name="Remarque 3 9 7 3" xfId="22041" xr:uid="{00000000-0005-0000-0000-00007ABB0000}"/>
    <cellStyle name="Remarque 3 9 7 4" xfId="46001" xr:uid="{00000000-0005-0000-0000-00007BBB0000}"/>
    <cellStyle name="Remarque 3 9 8" xfId="10130" xr:uid="{00000000-0005-0000-0000-00007CBB0000}"/>
    <cellStyle name="Remarque 3 9 8 2" xfId="21391" xr:uid="{00000000-0005-0000-0000-00007DBB0000}"/>
    <cellStyle name="Remarque 3 9 8 3" xfId="45351" xr:uid="{00000000-0005-0000-0000-00007EBB0000}"/>
    <cellStyle name="Remarque 3 9 9" xfId="2246" xr:uid="{00000000-0005-0000-0000-00007FBB0000}"/>
    <cellStyle name="Remarque 3 9 9 2" xfId="26260" xr:uid="{00000000-0005-0000-0000-000080BB0000}"/>
    <cellStyle name="Remarque 3 9 9 3" xfId="50220" xr:uid="{00000000-0005-0000-0000-000081BB0000}"/>
    <cellStyle name="Remarque 4" xfId="34" xr:uid="{00000000-0005-0000-0000-000082BB0000}"/>
    <cellStyle name="Remarque 4 10" xfId="1549" xr:uid="{00000000-0005-0000-0000-000083BB0000}"/>
    <cellStyle name="Remarque 4 10 10" xfId="25581" xr:uid="{00000000-0005-0000-0000-000084BB0000}"/>
    <cellStyle name="Remarque 4 10 10 2" xfId="49541" xr:uid="{00000000-0005-0000-0000-000085BB0000}"/>
    <cellStyle name="Remarque 4 10 11" xfId="23931" xr:uid="{00000000-0005-0000-0000-000086BB0000}"/>
    <cellStyle name="Remarque 4 10 11 2" xfId="47891" xr:uid="{00000000-0005-0000-0000-000087BB0000}"/>
    <cellStyle name="Remarque 4 10 12" xfId="14246" xr:uid="{00000000-0005-0000-0000-000088BB0000}"/>
    <cellStyle name="Remarque 4 10 13" xfId="38206" xr:uid="{00000000-0005-0000-0000-000089BB0000}"/>
    <cellStyle name="Remarque 4 10 2" xfId="4455" xr:uid="{00000000-0005-0000-0000-00008ABB0000}"/>
    <cellStyle name="Remarque 4 10 2 2" xfId="28469" xr:uid="{00000000-0005-0000-0000-00008BBB0000}"/>
    <cellStyle name="Remarque 4 10 2 2 2" xfId="52429" xr:uid="{00000000-0005-0000-0000-00008CBB0000}"/>
    <cellStyle name="Remarque 4 10 2 3" xfId="15716" xr:uid="{00000000-0005-0000-0000-00008DBB0000}"/>
    <cellStyle name="Remarque 4 10 2 4" xfId="39676" xr:uid="{00000000-0005-0000-0000-00008EBB0000}"/>
    <cellStyle name="Remarque 4 10 3" xfId="5889" xr:uid="{00000000-0005-0000-0000-00008FBB0000}"/>
    <cellStyle name="Remarque 4 10 3 2" xfId="29903" xr:uid="{00000000-0005-0000-0000-000090BB0000}"/>
    <cellStyle name="Remarque 4 10 3 2 2" xfId="53863" xr:uid="{00000000-0005-0000-0000-000091BB0000}"/>
    <cellStyle name="Remarque 4 10 3 3" xfId="17150" xr:uid="{00000000-0005-0000-0000-000092BB0000}"/>
    <cellStyle name="Remarque 4 10 3 4" xfId="41110" xr:uid="{00000000-0005-0000-0000-000093BB0000}"/>
    <cellStyle name="Remarque 4 10 4" xfId="7283" xr:uid="{00000000-0005-0000-0000-000094BB0000}"/>
    <cellStyle name="Remarque 4 10 4 2" xfId="31297" xr:uid="{00000000-0005-0000-0000-000095BB0000}"/>
    <cellStyle name="Remarque 4 10 4 2 2" xfId="55257" xr:uid="{00000000-0005-0000-0000-000096BB0000}"/>
    <cellStyle name="Remarque 4 10 4 3" xfId="18544" xr:uid="{00000000-0005-0000-0000-000097BB0000}"/>
    <cellStyle name="Remarque 4 10 4 4" xfId="42504" xr:uid="{00000000-0005-0000-0000-000098BB0000}"/>
    <cellStyle name="Remarque 4 10 5" xfId="8671" xr:uid="{00000000-0005-0000-0000-000099BB0000}"/>
    <cellStyle name="Remarque 4 10 5 2" xfId="32685" xr:uid="{00000000-0005-0000-0000-00009ABB0000}"/>
    <cellStyle name="Remarque 4 10 5 2 2" xfId="56645" xr:uid="{00000000-0005-0000-0000-00009BBB0000}"/>
    <cellStyle name="Remarque 4 10 5 3" xfId="19932" xr:uid="{00000000-0005-0000-0000-00009CBB0000}"/>
    <cellStyle name="Remarque 4 10 5 4" xfId="43892" xr:uid="{00000000-0005-0000-0000-00009DBB0000}"/>
    <cellStyle name="Remarque 4 10 6" xfId="10056" xr:uid="{00000000-0005-0000-0000-00009EBB0000}"/>
    <cellStyle name="Remarque 4 10 6 2" xfId="34070" xr:uid="{00000000-0005-0000-0000-00009FBB0000}"/>
    <cellStyle name="Remarque 4 10 6 2 2" xfId="58030" xr:uid="{00000000-0005-0000-0000-0000A0BB0000}"/>
    <cellStyle name="Remarque 4 10 6 3" xfId="21317" xr:uid="{00000000-0005-0000-0000-0000A1BB0000}"/>
    <cellStyle name="Remarque 4 10 6 4" xfId="45277" xr:uid="{00000000-0005-0000-0000-0000A2BB0000}"/>
    <cellStyle name="Remarque 4 10 7" xfId="11513" xr:uid="{00000000-0005-0000-0000-0000A3BB0000}"/>
    <cellStyle name="Remarque 4 10 7 2" xfId="35523" xr:uid="{00000000-0005-0000-0000-0000A4BB0000}"/>
    <cellStyle name="Remarque 4 10 7 2 2" xfId="59483" xr:uid="{00000000-0005-0000-0000-0000A5BB0000}"/>
    <cellStyle name="Remarque 4 10 7 3" xfId="22780" xr:uid="{00000000-0005-0000-0000-0000A6BB0000}"/>
    <cellStyle name="Remarque 4 10 7 4" xfId="46740" xr:uid="{00000000-0005-0000-0000-0000A7BB0000}"/>
    <cellStyle name="Remarque 4 10 8" xfId="12798" xr:uid="{00000000-0005-0000-0000-0000A8BB0000}"/>
    <cellStyle name="Remarque 4 10 8 2" xfId="24108" xr:uid="{00000000-0005-0000-0000-0000A9BB0000}"/>
    <cellStyle name="Remarque 4 10 8 3" xfId="48068" xr:uid="{00000000-0005-0000-0000-0000AABB0000}"/>
    <cellStyle name="Remarque 4 10 9" xfId="2985" xr:uid="{00000000-0005-0000-0000-0000ABBB0000}"/>
    <cellStyle name="Remarque 4 10 9 2" xfId="26999" xr:uid="{00000000-0005-0000-0000-0000ACBB0000}"/>
    <cellStyle name="Remarque 4 10 9 3" xfId="50959" xr:uid="{00000000-0005-0000-0000-0000ADBB0000}"/>
    <cellStyle name="Remarque 4 11" xfId="3066" xr:uid="{00000000-0005-0000-0000-0000AEBB0000}"/>
    <cellStyle name="Remarque 4 11 2" xfId="27080" xr:uid="{00000000-0005-0000-0000-0000AFBB0000}"/>
    <cellStyle name="Remarque 4 11 2 2" xfId="51040" xr:uid="{00000000-0005-0000-0000-0000B0BB0000}"/>
    <cellStyle name="Remarque 4 11 3" xfId="14327" xr:uid="{00000000-0005-0000-0000-0000B1BB0000}"/>
    <cellStyle name="Remarque 4 11 4" xfId="38287" xr:uid="{00000000-0005-0000-0000-0000B2BB0000}"/>
    <cellStyle name="Remarque 4 12" xfId="1623" xr:uid="{00000000-0005-0000-0000-0000B3BB0000}"/>
    <cellStyle name="Remarque 4 12 2" xfId="25638" xr:uid="{00000000-0005-0000-0000-0000B4BB0000}"/>
    <cellStyle name="Remarque 4 12 3" xfId="49598" xr:uid="{00000000-0005-0000-0000-0000B5BB0000}"/>
    <cellStyle name="Remarque 4 13" xfId="1610" xr:uid="{00000000-0005-0000-0000-0000B6BB0000}"/>
    <cellStyle name="Remarque 4 14" xfId="160" xr:uid="{00000000-0005-0000-0000-0000B7BB0000}"/>
    <cellStyle name="Remarque 4 2" xfId="57" xr:uid="{00000000-0005-0000-0000-0000B8BB0000}"/>
    <cellStyle name="Remarque 4 2 10" xfId="1201" xr:uid="{00000000-0005-0000-0000-0000B9BB0000}"/>
    <cellStyle name="Remarque 4 2 10 10" xfId="25233" xr:uid="{00000000-0005-0000-0000-0000BABB0000}"/>
    <cellStyle name="Remarque 4 2 10 10 2" xfId="49193" xr:uid="{00000000-0005-0000-0000-0000BBBB0000}"/>
    <cellStyle name="Remarque 4 2 10 11" xfId="36442" xr:uid="{00000000-0005-0000-0000-0000BCBB0000}"/>
    <cellStyle name="Remarque 4 2 10 11 2" xfId="60402" xr:uid="{00000000-0005-0000-0000-0000BDBB0000}"/>
    <cellStyle name="Remarque 4 2 10 12" xfId="13898" xr:uid="{00000000-0005-0000-0000-0000BEBB0000}"/>
    <cellStyle name="Remarque 4 2 10 13" xfId="37858" xr:uid="{00000000-0005-0000-0000-0000BFBB0000}"/>
    <cellStyle name="Remarque 4 2 10 2" xfId="4107" xr:uid="{00000000-0005-0000-0000-0000C0BB0000}"/>
    <cellStyle name="Remarque 4 2 10 2 2" xfId="28121" xr:uid="{00000000-0005-0000-0000-0000C1BB0000}"/>
    <cellStyle name="Remarque 4 2 10 2 2 2" xfId="52081" xr:uid="{00000000-0005-0000-0000-0000C2BB0000}"/>
    <cellStyle name="Remarque 4 2 10 2 3" xfId="15368" xr:uid="{00000000-0005-0000-0000-0000C3BB0000}"/>
    <cellStyle name="Remarque 4 2 10 2 4" xfId="39328" xr:uid="{00000000-0005-0000-0000-0000C4BB0000}"/>
    <cellStyle name="Remarque 4 2 10 3" xfId="5541" xr:uid="{00000000-0005-0000-0000-0000C5BB0000}"/>
    <cellStyle name="Remarque 4 2 10 3 2" xfId="29555" xr:uid="{00000000-0005-0000-0000-0000C6BB0000}"/>
    <cellStyle name="Remarque 4 2 10 3 2 2" xfId="53515" xr:uid="{00000000-0005-0000-0000-0000C7BB0000}"/>
    <cellStyle name="Remarque 4 2 10 3 3" xfId="16802" xr:uid="{00000000-0005-0000-0000-0000C8BB0000}"/>
    <cellStyle name="Remarque 4 2 10 3 4" xfId="40762" xr:uid="{00000000-0005-0000-0000-0000C9BB0000}"/>
    <cellStyle name="Remarque 4 2 10 4" xfId="6935" xr:uid="{00000000-0005-0000-0000-0000CABB0000}"/>
    <cellStyle name="Remarque 4 2 10 4 2" xfId="30949" xr:uid="{00000000-0005-0000-0000-0000CBBB0000}"/>
    <cellStyle name="Remarque 4 2 10 4 2 2" xfId="54909" xr:uid="{00000000-0005-0000-0000-0000CCBB0000}"/>
    <cellStyle name="Remarque 4 2 10 4 3" xfId="18196" xr:uid="{00000000-0005-0000-0000-0000CDBB0000}"/>
    <cellStyle name="Remarque 4 2 10 4 4" xfId="42156" xr:uid="{00000000-0005-0000-0000-0000CEBB0000}"/>
    <cellStyle name="Remarque 4 2 10 5" xfId="8323" xr:uid="{00000000-0005-0000-0000-0000CFBB0000}"/>
    <cellStyle name="Remarque 4 2 10 5 2" xfId="32337" xr:uid="{00000000-0005-0000-0000-0000D0BB0000}"/>
    <cellStyle name="Remarque 4 2 10 5 2 2" xfId="56297" xr:uid="{00000000-0005-0000-0000-0000D1BB0000}"/>
    <cellStyle name="Remarque 4 2 10 5 3" xfId="19584" xr:uid="{00000000-0005-0000-0000-0000D2BB0000}"/>
    <cellStyle name="Remarque 4 2 10 5 4" xfId="43544" xr:uid="{00000000-0005-0000-0000-0000D3BB0000}"/>
    <cellStyle name="Remarque 4 2 10 6" xfId="9708" xr:uid="{00000000-0005-0000-0000-0000D4BB0000}"/>
    <cellStyle name="Remarque 4 2 10 6 2" xfId="33722" xr:uid="{00000000-0005-0000-0000-0000D5BB0000}"/>
    <cellStyle name="Remarque 4 2 10 6 2 2" xfId="57682" xr:uid="{00000000-0005-0000-0000-0000D6BB0000}"/>
    <cellStyle name="Remarque 4 2 10 6 3" xfId="20969" xr:uid="{00000000-0005-0000-0000-0000D7BB0000}"/>
    <cellStyle name="Remarque 4 2 10 6 4" xfId="44929" xr:uid="{00000000-0005-0000-0000-0000D8BB0000}"/>
    <cellStyle name="Remarque 4 2 10 7" xfId="11165" xr:uid="{00000000-0005-0000-0000-0000D9BB0000}"/>
    <cellStyle name="Remarque 4 2 10 7 2" xfId="35175" xr:uid="{00000000-0005-0000-0000-0000DABB0000}"/>
    <cellStyle name="Remarque 4 2 10 7 2 2" xfId="59135" xr:uid="{00000000-0005-0000-0000-0000DBBB0000}"/>
    <cellStyle name="Remarque 4 2 10 7 3" xfId="22432" xr:uid="{00000000-0005-0000-0000-0000DCBB0000}"/>
    <cellStyle name="Remarque 4 2 10 7 4" xfId="46392" xr:uid="{00000000-0005-0000-0000-0000DDBB0000}"/>
    <cellStyle name="Remarque 4 2 10 8" xfId="12379" xr:uid="{00000000-0005-0000-0000-0000DEBB0000}"/>
    <cellStyle name="Remarque 4 2 10 8 2" xfId="23668" xr:uid="{00000000-0005-0000-0000-0000DFBB0000}"/>
    <cellStyle name="Remarque 4 2 10 8 3" xfId="47628" xr:uid="{00000000-0005-0000-0000-0000E0BB0000}"/>
    <cellStyle name="Remarque 4 2 10 9" xfId="2637" xr:uid="{00000000-0005-0000-0000-0000E1BB0000}"/>
    <cellStyle name="Remarque 4 2 10 9 2" xfId="26651" xr:uid="{00000000-0005-0000-0000-0000E2BB0000}"/>
    <cellStyle name="Remarque 4 2 10 9 3" xfId="50611" xr:uid="{00000000-0005-0000-0000-0000E3BB0000}"/>
    <cellStyle name="Remarque 4 2 11" xfId="1000" xr:uid="{00000000-0005-0000-0000-0000E4BB0000}"/>
    <cellStyle name="Remarque 4 2 11 10" xfId="25032" xr:uid="{00000000-0005-0000-0000-0000E5BB0000}"/>
    <cellStyle name="Remarque 4 2 11 10 2" xfId="48992" xr:uid="{00000000-0005-0000-0000-0000E6BB0000}"/>
    <cellStyle name="Remarque 4 2 11 11" xfId="36779" xr:uid="{00000000-0005-0000-0000-0000E7BB0000}"/>
    <cellStyle name="Remarque 4 2 11 11 2" xfId="60739" xr:uid="{00000000-0005-0000-0000-0000E8BB0000}"/>
    <cellStyle name="Remarque 4 2 11 12" xfId="13697" xr:uid="{00000000-0005-0000-0000-0000E9BB0000}"/>
    <cellStyle name="Remarque 4 2 11 13" xfId="37657" xr:uid="{00000000-0005-0000-0000-0000EABB0000}"/>
    <cellStyle name="Remarque 4 2 11 2" xfId="3906" xr:uid="{00000000-0005-0000-0000-0000EBBB0000}"/>
    <cellStyle name="Remarque 4 2 11 2 2" xfId="27920" xr:uid="{00000000-0005-0000-0000-0000ECBB0000}"/>
    <cellStyle name="Remarque 4 2 11 2 2 2" xfId="51880" xr:uid="{00000000-0005-0000-0000-0000EDBB0000}"/>
    <cellStyle name="Remarque 4 2 11 2 3" xfId="15167" xr:uid="{00000000-0005-0000-0000-0000EEBB0000}"/>
    <cellStyle name="Remarque 4 2 11 2 4" xfId="39127" xr:uid="{00000000-0005-0000-0000-0000EFBB0000}"/>
    <cellStyle name="Remarque 4 2 11 3" xfId="5340" xr:uid="{00000000-0005-0000-0000-0000F0BB0000}"/>
    <cellStyle name="Remarque 4 2 11 3 2" xfId="29354" xr:uid="{00000000-0005-0000-0000-0000F1BB0000}"/>
    <cellStyle name="Remarque 4 2 11 3 2 2" xfId="53314" xr:uid="{00000000-0005-0000-0000-0000F2BB0000}"/>
    <cellStyle name="Remarque 4 2 11 3 3" xfId="16601" xr:uid="{00000000-0005-0000-0000-0000F3BB0000}"/>
    <cellStyle name="Remarque 4 2 11 3 4" xfId="40561" xr:uid="{00000000-0005-0000-0000-0000F4BB0000}"/>
    <cellStyle name="Remarque 4 2 11 4" xfId="6734" xr:uid="{00000000-0005-0000-0000-0000F5BB0000}"/>
    <cellStyle name="Remarque 4 2 11 4 2" xfId="30748" xr:uid="{00000000-0005-0000-0000-0000F6BB0000}"/>
    <cellStyle name="Remarque 4 2 11 4 2 2" xfId="54708" xr:uid="{00000000-0005-0000-0000-0000F7BB0000}"/>
    <cellStyle name="Remarque 4 2 11 4 3" xfId="17995" xr:uid="{00000000-0005-0000-0000-0000F8BB0000}"/>
    <cellStyle name="Remarque 4 2 11 4 4" xfId="41955" xr:uid="{00000000-0005-0000-0000-0000F9BB0000}"/>
    <cellStyle name="Remarque 4 2 11 5" xfId="8122" xr:uid="{00000000-0005-0000-0000-0000FABB0000}"/>
    <cellStyle name="Remarque 4 2 11 5 2" xfId="32136" xr:uid="{00000000-0005-0000-0000-0000FBBB0000}"/>
    <cellStyle name="Remarque 4 2 11 5 2 2" xfId="56096" xr:uid="{00000000-0005-0000-0000-0000FCBB0000}"/>
    <cellStyle name="Remarque 4 2 11 5 3" xfId="19383" xr:uid="{00000000-0005-0000-0000-0000FDBB0000}"/>
    <cellStyle name="Remarque 4 2 11 5 4" xfId="43343" xr:uid="{00000000-0005-0000-0000-0000FEBB0000}"/>
    <cellStyle name="Remarque 4 2 11 6" xfId="9507" xr:uid="{00000000-0005-0000-0000-0000FFBB0000}"/>
    <cellStyle name="Remarque 4 2 11 6 2" xfId="33521" xr:uid="{00000000-0005-0000-0000-000000BC0000}"/>
    <cellStyle name="Remarque 4 2 11 6 2 2" xfId="57481" xr:uid="{00000000-0005-0000-0000-000001BC0000}"/>
    <cellStyle name="Remarque 4 2 11 6 3" xfId="20768" xr:uid="{00000000-0005-0000-0000-000002BC0000}"/>
    <cellStyle name="Remarque 4 2 11 6 4" xfId="44728" xr:uid="{00000000-0005-0000-0000-000003BC0000}"/>
    <cellStyle name="Remarque 4 2 11 7" xfId="10964" xr:uid="{00000000-0005-0000-0000-000004BC0000}"/>
    <cellStyle name="Remarque 4 2 11 7 2" xfId="34974" xr:uid="{00000000-0005-0000-0000-000005BC0000}"/>
    <cellStyle name="Remarque 4 2 11 7 2 2" xfId="58934" xr:uid="{00000000-0005-0000-0000-000006BC0000}"/>
    <cellStyle name="Remarque 4 2 11 7 3" xfId="22231" xr:uid="{00000000-0005-0000-0000-000007BC0000}"/>
    <cellStyle name="Remarque 4 2 11 7 4" xfId="46191" xr:uid="{00000000-0005-0000-0000-000008BC0000}"/>
    <cellStyle name="Remarque 4 2 11 8" xfId="12473" xr:uid="{00000000-0005-0000-0000-000009BC0000}"/>
    <cellStyle name="Remarque 4 2 11 8 2" xfId="23769" xr:uid="{00000000-0005-0000-0000-00000ABC0000}"/>
    <cellStyle name="Remarque 4 2 11 8 3" xfId="47729" xr:uid="{00000000-0005-0000-0000-00000BBC0000}"/>
    <cellStyle name="Remarque 4 2 11 9" xfId="2436" xr:uid="{00000000-0005-0000-0000-00000CBC0000}"/>
    <cellStyle name="Remarque 4 2 11 9 2" xfId="26450" xr:uid="{00000000-0005-0000-0000-00000DBC0000}"/>
    <cellStyle name="Remarque 4 2 11 9 3" xfId="50410" xr:uid="{00000000-0005-0000-0000-00000EBC0000}"/>
    <cellStyle name="Remarque 4 2 12" xfId="1562" xr:uid="{00000000-0005-0000-0000-00000FBC0000}"/>
    <cellStyle name="Remarque 4 2 12 10" xfId="25594" xr:uid="{00000000-0005-0000-0000-000010BC0000}"/>
    <cellStyle name="Remarque 4 2 12 10 2" xfId="49554" xr:uid="{00000000-0005-0000-0000-000011BC0000}"/>
    <cellStyle name="Remarque 4 2 12 11" xfId="23308" xr:uid="{00000000-0005-0000-0000-000012BC0000}"/>
    <cellStyle name="Remarque 4 2 12 11 2" xfId="47268" xr:uid="{00000000-0005-0000-0000-000013BC0000}"/>
    <cellStyle name="Remarque 4 2 12 12" xfId="14259" xr:uid="{00000000-0005-0000-0000-000014BC0000}"/>
    <cellStyle name="Remarque 4 2 12 13" xfId="38219" xr:uid="{00000000-0005-0000-0000-000015BC0000}"/>
    <cellStyle name="Remarque 4 2 12 2" xfId="4468" xr:uid="{00000000-0005-0000-0000-000016BC0000}"/>
    <cellStyle name="Remarque 4 2 12 2 2" xfId="28482" xr:uid="{00000000-0005-0000-0000-000017BC0000}"/>
    <cellStyle name="Remarque 4 2 12 2 2 2" xfId="52442" xr:uid="{00000000-0005-0000-0000-000018BC0000}"/>
    <cellStyle name="Remarque 4 2 12 2 3" xfId="15729" xr:uid="{00000000-0005-0000-0000-000019BC0000}"/>
    <cellStyle name="Remarque 4 2 12 2 4" xfId="39689" xr:uid="{00000000-0005-0000-0000-00001ABC0000}"/>
    <cellStyle name="Remarque 4 2 12 3" xfId="5902" xr:uid="{00000000-0005-0000-0000-00001BBC0000}"/>
    <cellStyle name="Remarque 4 2 12 3 2" xfId="29916" xr:uid="{00000000-0005-0000-0000-00001CBC0000}"/>
    <cellStyle name="Remarque 4 2 12 3 2 2" xfId="53876" xr:uid="{00000000-0005-0000-0000-00001DBC0000}"/>
    <cellStyle name="Remarque 4 2 12 3 3" xfId="17163" xr:uid="{00000000-0005-0000-0000-00001EBC0000}"/>
    <cellStyle name="Remarque 4 2 12 3 4" xfId="41123" xr:uid="{00000000-0005-0000-0000-00001FBC0000}"/>
    <cellStyle name="Remarque 4 2 12 4" xfId="7296" xr:uid="{00000000-0005-0000-0000-000020BC0000}"/>
    <cellStyle name="Remarque 4 2 12 4 2" xfId="31310" xr:uid="{00000000-0005-0000-0000-000021BC0000}"/>
    <cellStyle name="Remarque 4 2 12 4 2 2" xfId="55270" xr:uid="{00000000-0005-0000-0000-000022BC0000}"/>
    <cellStyle name="Remarque 4 2 12 4 3" xfId="18557" xr:uid="{00000000-0005-0000-0000-000023BC0000}"/>
    <cellStyle name="Remarque 4 2 12 4 4" xfId="42517" xr:uid="{00000000-0005-0000-0000-000024BC0000}"/>
    <cellStyle name="Remarque 4 2 12 5" xfId="8684" xr:uid="{00000000-0005-0000-0000-000025BC0000}"/>
    <cellStyle name="Remarque 4 2 12 5 2" xfId="32698" xr:uid="{00000000-0005-0000-0000-000026BC0000}"/>
    <cellStyle name="Remarque 4 2 12 5 2 2" xfId="56658" xr:uid="{00000000-0005-0000-0000-000027BC0000}"/>
    <cellStyle name="Remarque 4 2 12 5 3" xfId="19945" xr:uid="{00000000-0005-0000-0000-000028BC0000}"/>
    <cellStyle name="Remarque 4 2 12 5 4" xfId="43905" xr:uid="{00000000-0005-0000-0000-000029BC0000}"/>
    <cellStyle name="Remarque 4 2 12 6" xfId="10069" xr:uid="{00000000-0005-0000-0000-00002ABC0000}"/>
    <cellStyle name="Remarque 4 2 12 6 2" xfId="34083" xr:uid="{00000000-0005-0000-0000-00002BBC0000}"/>
    <cellStyle name="Remarque 4 2 12 6 2 2" xfId="58043" xr:uid="{00000000-0005-0000-0000-00002CBC0000}"/>
    <cellStyle name="Remarque 4 2 12 6 3" xfId="21330" xr:uid="{00000000-0005-0000-0000-00002DBC0000}"/>
    <cellStyle name="Remarque 4 2 12 6 4" xfId="45290" xr:uid="{00000000-0005-0000-0000-00002EBC0000}"/>
    <cellStyle name="Remarque 4 2 12 7" xfId="11526" xr:uid="{00000000-0005-0000-0000-00002FBC0000}"/>
    <cellStyle name="Remarque 4 2 12 7 2" xfId="35536" xr:uid="{00000000-0005-0000-0000-000030BC0000}"/>
    <cellStyle name="Remarque 4 2 12 7 2 2" xfId="59496" xr:uid="{00000000-0005-0000-0000-000031BC0000}"/>
    <cellStyle name="Remarque 4 2 12 7 3" xfId="22793" xr:uid="{00000000-0005-0000-0000-000032BC0000}"/>
    <cellStyle name="Remarque 4 2 12 7 4" xfId="46753" xr:uid="{00000000-0005-0000-0000-000033BC0000}"/>
    <cellStyle name="Remarque 4 2 12 8" xfId="10114" xr:uid="{00000000-0005-0000-0000-000034BC0000}"/>
    <cellStyle name="Remarque 4 2 12 8 2" xfId="21375" xr:uid="{00000000-0005-0000-0000-000035BC0000}"/>
    <cellStyle name="Remarque 4 2 12 8 3" xfId="45335" xr:uid="{00000000-0005-0000-0000-000036BC0000}"/>
    <cellStyle name="Remarque 4 2 12 9" xfId="2998" xr:uid="{00000000-0005-0000-0000-000037BC0000}"/>
    <cellStyle name="Remarque 4 2 12 9 2" xfId="27012" xr:uid="{00000000-0005-0000-0000-000038BC0000}"/>
    <cellStyle name="Remarque 4 2 12 9 3" xfId="50972" xr:uid="{00000000-0005-0000-0000-000039BC0000}"/>
    <cellStyle name="Remarque 4 2 13" xfId="205" xr:uid="{00000000-0005-0000-0000-00003ABC0000}"/>
    <cellStyle name="Remarque 4 2 13 10" xfId="36137" xr:uid="{00000000-0005-0000-0000-00003BBC0000}"/>
    <cellStyle name="Remarque 4 2 13 10 2" xfId="60097" xr:uid="{00000000-0005-0000-0000-00003CBC0000}"/>
    <cellStyle name="Remarque 4 2 13 11" xfId="14372" xr:uid="{00000000-0005-0000-0000-00003DBC0000}"/>
    <cellStyle name="Remarque 4 2 13 12" xfId="38332" xr:uid="{00000000-0005-0000-0000-00003EBC0000}"/>
    <cellStyle name="Remarque 4 2 13 2" xfId="4550" xr:uid="{00000000-0005-0000-0000-00003FBC0000}"/>
    <cellStyle name="Remarque 4 2 13 2 2" xfId="28564" xr:uid="{00000000-0005-0000-0000-000040BC0000}"/>
    <cellStyle name="Remarque 4 2 13 2 2 2" xfId="52524" xr:uid="{00000000-0005-0000-0000-000041BC0000}"/>
    <cellStyle name="Remarque 4 2 13 2 3" xfId="15811" xr:uid="{00000000-0005-0000-0000-000042BC0000}"/>
    <cellStyle name="Remarque 4 2 13 2 4" xfId="39771" xr:uid="{00000000-0005-0000-0000-000043BC0000}"/>
    <cellStyle name="Remarque 4 2 13 3" xfId="5949" xr:uid="{00000000-0005-0000-0000-000044BC0000}"/>
    <cellStyle name="Remarque 4 2 13 3 2" xfId="29963" xr:uid="{00000000-0005-0000-0000-000045BC0000}"/>
    <cellStyle name="Remarque 4 2 13 3 2 2" xfId="53923" xr:uid="{00000000-0005-0000-0000-000046BC0000}"/>
    <cellStyle name="Remarque 4 2 13 3 3" xfId="17210" xr:uid="{00000000-0005-0000-0000-000047BC0000}"/>
    <cellStyle name="Remarque 4 2 13 3 4" xfId="41170" xr:uid="{00000000-0005-0000-0000-000048BC0000}"/>
    <cellStyle name="Remarque 4 2 13 4" xfId="7343" xr:uid="{00000000-0005-0000-0000-000049BC0000}"/>
    <cellStyle name="Remarque 4 2 13 4 2" xfId="31357" xr:uid="{00000000-0005-0000-0000-00004ABC0000}"/>
    <cellStyle name="Remarque 4 2 13 4 2 2" xfId="55317" xr:uid="{00000000-0005-0000-0000-00004BBC0000}"/>
    <cellStyle name="Remarque 4 2 13 4 3" xfId="18604" xr:uid="{00000000-0005-0000-0000-00004CBC0000}"/>
    <cellStyle name="Remarque 4 2 13 4 4" xfId="42564" xr:uid="{00000000-0005-0000-0000-00004DBC0000}"/>
    <cellStyle name="Remarque 4 2 13 5" xfId="8731" xr:uid="{00000000-0005-0000-0000-00004EBC0000}"/>
    <cellStyle name="Remarque 4 2 13 5 2" xfId="32745" xr:uid="{00000000-0005-0000-0000-00004FBC0000}"/>
    <cellStyle name="Remarque 4 2 13 5 2 2" xfId="56705" xr:uid="{00000000-0005-0000-0000-000050BC0000}"/>
    <cellStyle name="Remarque 4 2 13 5 3" xfId="19992" xr:uid="{00000000-0005-0000-0000-000051BC0000}"/>
    <cellStyle name="Remarque 4 2 13 5 4" xfId="43952" xr:uid="{00000000-0005-0000-0000-000052BC0000}"/>
    <cellStyle name="Remarque 4 2 13 6" xfId="10171" xr:uid="{00000000-0005-0000-0000-000053BC0000}"/>
    <cellStyle name="Remarque 4 2 13 6 2" xfId="34183" xr:uid="{00000000-0005-0000-0000-000054BC0000}"/>
    <cellStyle name="Remarque 4 2 13 6 2 2" xfId="58143" xr:uid="{00000000-0005-0000-0000-000055BC0000}"/>
    <cellStyle name="Remarque 4 2 13 6 3" xfId="21436" xr:uid="{00000000-0005-0000-0000-000056BC0000}"/>
    <cellStyle name="Remarque 4 2 13 6 4" xfId="45396" xr:uid="{00000000-0005-0000-0000-000057BC0000}"/>
    <cellStyle name="Remarque 4 2 13 7" xfId="11635" xr:uid="{00000000-0005-0000-0000-000058BC0000}"/>
    <cellStyle name="Remarque 4 2 13 7 2" xfId="22903" xr:uid="{00000000-0005-0000-0000-000059BC0000}"/>
    <cellStyle name="Remarque 4 2 13 7 3" xfId="46863" xr:uid="{00000000-0005-0000-0000-00005ABC0000}"/>
    <cellStyle name="Remarque 4 2 13 8" xfId="3111" xr:uid="{00000000-0005-0000-0000-00005BBC0000}"/>
    <cellStyle name="Remarque 4 2 13 8 2" xfId="27125" xr:uid="{00000000-0005-0000-0000-00005CBC0000}"/>
    <cellStyle name="Remarque 4 2 13 8 3" xfId="51085" xr:uid="{00000000-0005-0000-0000-00005DBC0000}"/>
    <cellStyle name="Remarque 4 2 13 9" xfId="24237" xr:uid="{00000000-0005-0000-0000-00005EBC0000}"/>
    <cellStyle name="Remarque 4 2 13 9 2" xfId="48197" xr:uid="{00000000-0005-0000-0000-00005FBC0000}"/>
    <cellStyle name="Remarque 4 2 14" xfId="3079" xr:uid="{00000000-0005-0000-0000-000060BC0000}"/>
    <cellStyle name="Remarque 4 2 14 2" xfId="27093" xr:uid="{00000000-0005-0000-0000-000061BC0000}"/>
    <cellStyle name="Remarque 4 2 14 2 2" xfId="51053" xr:uid="{00000000-0005-0000-0000-000062BC0000}"/>
    <cellStyle name="Remarque 4 2 14 3" xfId="14340" xr:uid="{00000000-0005-0000-0000-000063BC0000}"/>
    <cellStyle name="Remarque 4 2 14 4" xfId="38300" xr:uid="{00000000-0005-0000-0000-000064BC0000}"/>
    <cellStyle name="Remarque 4 2 15" xfId="1637" xr:uid="{00000000-0005-0000-0000-000065BC0000}"/>
    <cellStyle name="Remarque 4 2 15 2" xfId="25651" xr:uid="{00000000-0005-0000-0000-000066BC0000}"/>
    <cellStyle name="Remarque 4 2 15 3" xfId="49611" xr:uid="{00000000-0005-0000-0000-000067BC0000}"/>
    <cellStyle name="Remarque 4 2 16" xfId="12917" xr:uid="{00000000-0005-0000-0000-000068BC0000}"/>
    <cellStyle name="Remarque 4 2 17" xfId="1612" xr:uid="{00000000-0005-0000-0000-000069BC0000}"/>
    <cellStyle name="Remarque 4 2 18" xfId="173" xr:uid="{00000000-0005-0000-0000-00006ABC0000}"/>
    <cellStyle name="Remarque 4 2 2" xfId="71" xr:uid="{00000000-0005-0000-0000-00006BBC0000}"/>
    <cellStyle name="Remarque 4 2 2 10" xfId="1365" xr:uid="{00000000-0005-0000-0000-00006CBC0000}"/>
    <cellStyle name="Remarque 4 2 2 10 10" xfId="25397" xr:uid="{00000000-0005-0000-0000-00006DBC0000}"/>
    <cellStyle name="Remarque 4 2 2 10 10 2" xfId="49357" xr:uid="{00000000-0005-0000-0000-00006EBC0000}"/>
    <cellStyle name="Remarque 4 2 2 10 11" xfId="36803" xr:uid="{00000000-0005-0000-0000-00006FBC0000}"/>
    <cellStyle name="Remarque 4 2 2 10 11 2" xfId="60763" xr:uid="{00000000-0005-0000-0000-000070BC0000}"/>
    <cellStyle name="Remarque 4 2 2 10 12" xfId="14062" xr:uid="{00000000-0005-0000-0000-000071BC0000}"/>
    <cellStyle name="Remarque 4 2 2 10 13" xfId="38022" xr:uid="{00000000-0005-0000-0000-000072BC0000}"/>
    <cellStyle name="Remarque 4 2 2 10 2" xfId="4271" xr:uid="{00000000-0005-0000-0000-000073BC0000}"/>
    <cellStyle name="Remarque 4 2 2 10 2 2" xfId="28285" xr:uid="{00000000-0005-0000-0000-000074BC0000}"/>
    <cellStyle name="Remarque 4 2 2 10 2 2 2" xfId="52245" xr:uid="{00000000-0005-0000-0000-000075BC0000}"/>
    <cellStyle name="Remarque 4 2 2 10 2 3" xfId="15532" xr:uid="{00000000-0005-0000-0000-000076BC0000}"/>
    <cellStyle name="Remarque 4 2 2 10 2 4" xfId="39492" xr:uid="{00000000-0005-0000-0000-000077BC0000}"/>
    <cellStyle name="Remarque 4 2 2 10 3" xfId="5705" xr:uid="{00000000-0005-0000-0000-000078BC0000}"/>
    <cellStyle name="Remarque 4 2 2 10 3 2" xfId="29719" xr:uid="{00000000-0005-0000-0000-000079BC0000}"/>
    <cellStyle name="Remarque 4 2 2 10 3 2 2" xfId="53679" xr:uid="{00000000-0005-0000-0000-00007ABC0000}"/>
    <cellStyle name="Remarque 4 2 2 10 3 3" xfId="16966" xr:uid="{00000000-0005-0000-0000-00007BBC0000}"/>
    <cellStyle name="Remarque 4 2 2 10 3 4" xfId="40926" xr:uid="{00000000-0005-0000-0000-00007CBC0000}"/>
    <cellStyle name="Remarque 4 2 2 10 4" xfId="7099" xr:uid="{00000000-0005-0000-0000-00007DBC0000}"/>
    <cellStyle name="Remarque 4 2 2 10 4 2" xfId="31113" xr:uid="{00000000-0005-0000-0000-00007EBC0000}"/>
    <cellStyle name="Remarque 4 2 2 10 4 2 2" xfId="55073" xr:uid="{00000000-0005-0000-0000-00007FBC0000}"/>
    <cellStyle name="Remarque 4 2 2 10 4 3" xfId="18360" xr:uid="{00000000-0005-0000-0000-000080BC0000}"/>
    <cellStyle name="Remarque 4 2 2 10 4 4" xfId="42320" xr:uid="{00000000-0005-0000-0000-000081BC0000}"/>
    <cellStyle name="Remarque 4 2 2 10 5" xfId="8487" xr:uid="{00000000-0005-0000-0000-000082BC0000}"/>
    <cellStyle name="Remarque 4 2 2 10 5 2" xfId="32501" xr:uid="{00000000-0005-0000-0000-000083BC0000}"/>
    <cellStyle name="Remarque 4 2 2 10 5 2 2" xfId="56461" xr:uid="{00000000-0005-0000-0000-000084BC0000}"/>
    <cellStyle name="Remarque 4 2 2 10 5 3" xfId="19748" xr:uid="{00000000-0005-0000-0000-000085BC0000}"/>
    <cellStyle name="Remarque 4 2 2 10 5 4" xfId="43708" xr:uid="{00000000-0005-0000-0000-000086BC0000}"/>
    <cellStyle name="Remarque 4 2 2 10 6" xfId="9872" xr:uid="{00000000-0005-0000-0000-000087BC0000}"/>
    <cellStyle name="Remarque 4 2 2 10 6 2" xfId="33886" xr:uid="{00000000-0005-0000-0000-000088BC0000}"/>
    <cellStyle name="Remarque 4 2 2 10 6 2 2" xfId="57846" xr:uid="{00000000-0005-0000-0000-000089BC0000}"/>
    <cellStyle name="Remarque 4 2 2 10 6 3" xfId="21133" xr:uid="{00000000-0005-0000-0000-00008ABC0000}"/>
    <cellStyle name="Remarque 4 2 2 10 6 4" xfId="45093" xr:uid="{00000000-0005-0000-0000-00008BBC0000}"/>
    <cellStyle name="Remarque 4 2 2 10 7" xfId="11329" xr:uid="{00000000-0005-0000-0000-00008CBC0000}"/>
    <cellStyle name="Remarque 4 2 2 10 7 2" xfId="35339" xr:uid="{00000000-0005-0000-0000-00008DBC0000}"/>
    <cellStyle name="Remarque 4 2 2 10 7 2 2" xfId="59299" xr:uid="{00000000-0005-0000-0000-00008EBC0000}"/>
    <cellStyle name="Remarque 4 2 2 10 7 3" xfId="22596" xr:uid="{00000000-0005-0000-0000-00008FBC0000}"/>
    <cellStyle name="Remarque 4 2 2 10 7 4" xfId="46556" xr:uid="{00000000-0005-0000-0000-000090BC0000}"/>
    <cellStyle name="Remarque 4 2 2 10 8" xfId="12788" xr:uid="{00000000-0005-0000-0000-000091BC0000}"/>
    <cellStyle name="Remarque 4 2 2 10 8 2" xfId="24097" xr:uid="{00000000-0005-0000-0000-000092BC0000}"/>
    <cellStyle name="Remarque 4 2 2 10 8 3" xfId="48057" xr:uid="{00000000-0005-0000-0000-000093BC0000}"/>
    <cellStyle name="Remarque 4 2 2 10 9" xfId="2801" xr:uid="{00000000-0005-0000-0000-000094BC0000}"/>
    <cellStyle name="Remarque 4 2 2 10 9 2" xfId="26815" xr:uid="{00000000-0005-0000-0000-000095BC0000}"/>
    <cellStyle name="Remarque 4 2 2 10 9 3" xfId="50775" xr:uid="{00000000-0005-0000-0000-000096BC0000}"/>
    <cellStyle name="Remarque 4 2 2 11" xfId="1576" xr:uid="{00000000-0005-0000-0000-000097BC0000}"/>
    <cellStyle name="Remarque 4 2 2 11 10" xfId="25608" xr:uid="{00000000-0005-0000-0000-000098BC0000}"/>
    <cellStyle name="Remarque 4 2 2 11 10 2" xfId="49568" xr:uid="{00000000-0005-0000-0000-000099BC0000}"/>
    <cellStyle name="Remarque 4 2 2 11 11" xfId="23679" xr:uid="{00000000-0005-0000-0000-00009ABC0000}"/>
    <cellStyle name="Remarque 4 2 2 11 11 2" xfId="47639" xr:uid="{00000000-0005-0000-0000-00009BBC0000}"/>
    <cellStyle name="Remarque 4 2 2 11 12" xfId="14273" xr:uid="{00000000-0005-0000-0000-00009CBC0000}"/>
    <cellStyle name="Remarque 4 2 2 11 13" xfId="38233" xr:uid="{00000000-0005-0000-0000-00009DBC0000}"/>
    <cellStyle name="Remarque 4 2 2 11 2" xfId="4482" xr:uid="{00000000-0005-0000-0000-00009EBC0000}"/>
    <cellStyle name="Remarque 4 2 2 11 2 2" xfId="28496" xr:uid="{00000000-0005-0000-0000-00009FBC0000}"/>
    <cellStyle name="Remarque 4 2 2 11 2 2 2" xfId="52456" xr:uid="{00000000-0005-0000-0000-0000A0BC0000}"/>
    <cellStyle name="Remarque 4 2 2 11 2 3" xfId="15743" xr:uid="{00000000-0005-0000-0000-0000A1BC0000}"/>
    <cellStyle name="Remarque 4 2 2 11 2 4" xfId="39703" xr:uid="{00000000-0005-0000-0000-0000A2BC0000}"/>
    <cellStyle name="Remarque 4 2 2 11 3" xfId="5916" xr:uid="{00000000-0005-0000-0000-0000A3BC0000}"/>
    <cellStyle name="Remarque 4 2 2 11 3 2" xfId="29930" xr:uid="{00000000-0005-0000-0000-0000A4BC0000}"/>
    <cellStyle name="Remarque 4 2 2 11 3 2 2" xfId="53890" xr:uid="{00000000-0005-0000-0000-0000A5BC0000}"/>
    <cellStyle name="Remarque 4 2 2 11 3 3" xfId="17177" xr:uid="{00000000-0005-0000-0000-0000A6BC0000}"/>
    <cellStyle name="Remarque 4 2 2 11 3 4" xfId="41137" xr:uid="{00000000-0005-0000-0000-0000A7BC0000}"/>
    <cellStyle name="Remarque 4 2 2 11 4" xfId="7310" xr:uid="{00000000-0005-0000-0000-0000A8BC0000}"/>
    <cellStyle name="Remarque 4 2 2 11 4 2" xfId="31324" xr:uid="{00000000-0005-0000-0000-0000A9BC0000}"/>
    <cellStyle name="Remarque 4 2 2 11 4 2 2" xfId="55284" xr:uid="{00000000-0005-0000-0000-0000AABC0000}"/>
    <cellStyle name="Remarque 4 2 2 11 4 3" xfId="18571" xr:uid="{00000000-0005-0000-0000-0000ABBC0000}"/>
    <cellStyle name="Remarque 4 2 2 11 4 4" xfId="42531" xr:uid="{00000000-0005-0000-0000-0000ACBC0000}"/>
    <cellStyle name="Remarque 4 2 2 11 5" xfId="8698" xr:uid="{00000000-0005-0000-0000-0000ADBC0000}"/>
    <cellStyle name="Remarque 4 2 2 11 5 2" xfId="32712" xr:uid="{00000000-0005-0000-0000-0000AEBC0000}"/>
    <cellStyle name="Remarque 4 2 2 11 5 2 2" xfId="56672" xr:uid="{00000000-0005-0000-0000-0000AFBC0000}"/>
    <cellStyle name="Remarque 4 2 2 11 5 3" xfId="19959" xr:uid="{00000000-0005-0000-0000-0000B0BC0000}"/>
    <cellStyle name="Remarque 4 2 2 11 5 4" xfId="43919" xr:uid="{00000000-0005-0000-0000-0000B1BC0000}"/>
    <cellStyle name="Remarque 4 2 2 11 6" xfId="10083" xr:uid="{00000000-0005-0000-0000-0000B2BC0000}"/>
    <cellStyle name="Remarque 4 2 2 11 6 2" xfId="34097" xr:uid="{00000000-0005-0000-0000-0000B3BC0000}"/>
    <cellStyle name="Remarque 4 2 2 11 6 2 2" xfId="58057" xr:uid="{00000000-0005-0000-0000-0000B4BC0000}"/>
    <cellStyle name="Remarque 4 2 2 11 6 3" xfId="21344" xr:uid="{00000000-0005-0000-0000-0000B5BC0000}"/>
    <cellStyle name="Remarque 4 2 2 11 6 4" xfId="45304" xr:uid="{00000000-0005-0000-0000-0000B6BC0000}"/>
    <cellStyle name="Remarque 4 2 2 11 7" xfId="11540" xr:uid="{00000000-0005-0000-0000-0000B7BC0000}"/>
    <cellStyle name="Remarque 4 2 2 11 7 2" xfId="35550" xr:uid="{00000000-0005-0000-0000-0000B8BC0000}"/>
    <cellStyle name="Remarque 4 2 2 11 7 2 2" xfId="59510" xr:uid="{00000000-0005-0000-0000-0000B9BC0000}"/>
    <cellStyle name="Remarque 4 2 2 11 7 3" xfId="22807" xr:uid="{00000000-0005-0000-0000-0000BABC0000}"/>
    <cellStyle name="Remarque 4 2 2 11 7 4" xfId="46767" xr:uid="{00000000-0005-0000-0000-0000BBBC0000}"/>
    <cellStyle name="Remarque 4 2 2 11 8" xfId="11705" xr:uid="{00000000-0005-0000-0000-0000BCBC0000}"/>
    <cellStyle name="Remarque 4 2 2 11 8 2" xfId="22974" xr:uid="{00000000-0005-0000-0000-0000BDBC0000}"/>
    <cellStyle name="Remarque 4 2 2 11 8 3" xfId="46934" xr:uid="{00000000-0005-0000-0000-0000BEBC0000}"/>
    <cellStyle name="Remarque 4 2 2 11 9" xfId="3012" xr:uid="{00000000-0005-0000-0000-0000BFBC0000}"/>
    <cellStyle name="Remarque 4 2 2 11 9 2" xfId="27026" xr:uid="{00000000-0005-0000-0000-0000C0BC0000}"/>
    <cellStyle name="Remarque 4 2 2 11 9 3" xfId="50986" xr:uid="{00000000-0005-0000-0000-0000C1BC0000}"/>
    <cellStyle name="Remarque 4 2 2 12" xfId="1540" xr:uid="{00000000-0005-0000-0000-0000C2BC0000}"/>
    <cellStyle name="Remarque 4 2 2 12 10" xfId="25572" xr:uid="{00000000-0005-0000-0000-0000C3BC0000}"/>
    <cellStyle name="Remarque 4 2 2 12 10 2" xfId="49532" xr:uid="{00000000-0005-0000-0000-0000C4BC0000}"/>
    <cellStyle name="Remarque 4 2 2 12 11" xfId="35967" xr:uid="{00000000-0005-0000-0000-0000C5BC0000}"/>
    <cellStyle name="Remarque 4 2 2 12 11 2" xfId="59927" xr:uid="{00000000-0005-0000-0000-0000C6BC0000}"/>
    <cellStyle name="Remarque 4 2 2 12 12" xfId="14237" xr:uid="{00000000-0005-0000-0000-0000C7BC0000}"/>
    <cellStyle name="Remarque 4 2 2 12 13" xfId="38197" xr:uid="{00000000-0005-0000-0000-0000C8BC0000}"/>
    <cellStyle name="Remarque 4 2 2 12 2" xfId="4446" xr:uid="{00000000-0005-0000-0000-0000C9BC0000}"/>
    <cellStyle name="Remarque 4 2 2 12 2 2" xfId="28460" xr:uid="{00000000-0005-0000-0000-0000CABC0000}"/>
    <cellStyle name="Remarque 4 2 2 12 2 2 2" xfId="52420" xr:uid="{00000000-0005-0000-0000-0000CBBC0000}"/>
    <cellStyle name="Remarque 4 2 2 12 2 3" xfId="15707" xr:uid="{00000000-0005-0000-0000-0000CCBC0000}"/>
    <cellStyle name="Remarque 4 2 2 12 2 4" xfId="39667" xr:uid="{00000000-0005-0000-0000-0000CDBC0000}"/>
    <cellStyle name="Remarque 4 2 2 12 3" xfId="5880" xr:uid="{00000000-0005-0000-0000-0000CEBC0000}"/>
    <cellStyle name="Remarque 4 2 2 12 3 2" xfId="29894" xr:uid="{00000000-0005-0000-0000-0000CFBC0000}"/>
    <cellStyle name="Remarque 4 2 2 12 3 2 2" xfId="53854" xr:uid="{00000000-0005-0000-0000-0000D0BC0000}"/>
    <cellStyle name="Remarque 4 2 2 12 3 3" xfId="17141" xr:uid="{00000000-0005-0000-0000-0000D1BC0000}"/>
    <cellStyle name="Remarque 4 2 2 12 3 4" xfId="41101" xr:uid="{00000000-0005-0000-0000-0000D2BC0000}"/>
    <cellStyle name="Remarque 4 2 2 12 4" xfId="7274" xr:uid="{00000000-0005-0000-0000-0000D3BC0000}"/>
    <cellStyle name="Remarque 4 2 2 12 4 2" xfId="31288" xr:uid="{00000000-0005-0000-0000-0000D4BC0000}"/>
    <cellStyle name="Remarque 4 2 2 12 4 2 2" xfId="55248" xr:uid="{00000000-0005-0000-0000-0000D5BC0000}"/>
    <cellStyle name="Remarque 4 2 2 12 4 3" xfId="18535" xr:uid="{00000000-0005-0000-0000-0000D6BC0000}"/>
    <cellStyle name="Remarque 4 2 2 12 4 4" xfId="42495" xr:uid="{00000000-0005-0000-0000-0000D7BC0000}"/>
    <cellStyle name="Remarque 4 2 2 12 5" xfId="8662" xr:uid="{00000000-0005-0000-0000-0000D8BC0000}"/>
    <cellStyle name="Remarque 4 2 2 12 5 2" xfId="32676" xr:uid="{00000000-0005-0000-0000-0000D9BC0000}"/>
    <cellStyle name="Remarque 4 2 2 12 5 2 2" xfId="56636" xr:uid="{00000000-0005-0000-0000-0000DABC0000}"/>
    <cellStyle name="Remarque 4 2 2 12 5 3" xfId="19923" xr:uid="{00000000-0005-0000-0000-0000DBBC0000}"/>
    <cellStyle name="Remarque 4 2 2 12 5 4" xfId="43883" xr:uid="{00000000-0005-0000-0000-0000DCBC0000}"/>
    <cellStyle name="Remarque 4 2 2 12 6" xfId="10047" xr:uid="{00000000-0005-0000-0000-0000DDBC0000}"/>
    <cellStyle name="Remarque 4 2 2 12 6 2" xfId="34061" xr:uid="{00000000-0005-0000-0000-0000DEBC0000}"/>
    <cellStyle name="Remarque 4 2 2 12 6 2 2" xfId="58021" xr:uid="{00000000-0005-0000-0000-0000DFBC0000}"/>
    <cellStyle name="Remarque 4 2 2 12 6 3" xfId="21308" xr:uid="{00000000-0005-0000-0000-0000E0BC0000}"/>
    <cellStyle name="Remarque 4 2 2 12 6 4" xfId="45268" xr:uid="{00000000-0005-0000-0000-0000E1BC0000}"/>
    <cellStyle name="Remarque 4 2 2 12 7" xfId="11504" xr:uid="{00000000-0005-0000-0000-0000E2BC0000}"/>
    <cellStyle name="Remarque 4 2 2 12 7 2" xfId="35514" xr:uid="{00000000-0005-0000-0000-0000E3BC0000}"/>
    <cellStyle name="Remarque 4 2 2 12 7 2 2" xfId="59474" xr:uid="{00000000-0005-0000-0000-0000E4BC0000}"/>
    <cellStyle name="Remarque 4 2 2 12 7 3" xfId="22771" xr:uid="{00000000-0005-0000-0000-0000E5BC0000}"/>
    <cellStyle name="Remarque 4 2 2 12 7 4" xfId="46731" xr:uid="{00000000-0005-0000-0000-0000E6BC0000}"/>
    <cellStyle name="Remarque 4 2 2 12 8" xfId="11901" xr:uid="{00000000-0005-0000-0000-0000E7BC0000}"/>
    <cellStyle name="Remarque 4 2 2 12 8 2" xfId="23178" xr:uid="{00000000-0005-0000-0000-0000E8BC0000}"/>
    <cellStyle name="Remarque 4 2 2 12 8 3" xfId="47138" xr:uid="{00000000-0005-0000-0000-0000E9BC0000}"/>
    <cellStyle name="Remarque 4 2 2 12 9" xfId="2976" xr:uid="{00000000-0005-0000-0000-0000EABC0000}"/>
    <cellStyle name="Remarque 4 2 2 12 9 2" xfId="26990" xr:uid="{00000000-0005-0000-0000-0000EBBC0000}"/>
    <cellStyle name="Remarque 4 2 2 12 9 3" xfId="50950" xr:uid="{00000000-0005-0000-0000-0000ECBC0000}"/>
    <cellStyle name="Remarque 4 2 2 13" xfId="1593" xr:uid="{00000000-0005-0000-0000-0000EDBC0000}"/>
    <cellStyle name="Remarque 4 2 2 13 10" xfId="25625" xr:uid="{00000000-0005-0000-0000-0000EEBC0000}"/>
    <cellStyle name="Remarque 4 2 2 13 10 2" xfId="49585" xr:uid="{00000000-0005-0000-0000-0000EFBC0000}"/>
    <cellStyle name="Remarque 4 2 2 13 11" xfId="36852" xr:uid="{00000000-0005-0000-0000-0000F0BC0000}"/>
    <cellStyle name="Remarque 4 2 2 13 11 2" xfId="60812" xr:uid="{00000000-0005-0000-0000-0000F1BC0000}"/>
    <cellStyle name="Remarque 4 2 2 13 12" xfId="14290" xr:uid="{00000000-0005-0000-0000-0000F2BC0000}"/>
    <cellStyle name="Remarque 4 2 2 13 13" xfId="38250" xr:uid="{00000000-0005-0000-0000-0000F3BC0000}"/>
    <cellStyle name="Remarque 4 2 2 13 2" xfId="4499" xr:uid="{00000000-0005-0000-0000-0000F4BC0000}"/>
    <cellStyle name="Remarque 4 2 2 13 2 2" xfId="28513" xr:uid="{00000000-0005-0000-0000-0000F5BC0000}"/>
    <cellStyle name="Remarque 4 2 2 13 2 2 2" xfId="52473" xr:uid="{00000000-0005-0000-0000-0000F6BC0000}"/>
    <cellStyle name="Remarque 4 2 2 13 2 3" xfId="15760" xr:uid="{00000000-0005-0000-0000-0000F7BC0000}"/>
    <cellStyle name="Remarque 4 2 2 13 2 4" xfId="39720" xr:uid="{00000000-0005-0000-0000-0000F8BC0000}"/>
    <cellStyle name="Remarque 4 2 2 13 3" xfId="5933" xr:uid="{00000000-0005-0000-0000-0000F9BC0000}"/>
    <cellStyle name="Remarque 4 2 2 13 3 2" xfId="29947" xr:uid="{00000000-0005-0000-0000-0000FABC0000}"/>
    <cellStyle name="Remarque 4 2 2 13 3 2 2" xfId="53907" xr:uid="{00000000-0005-0000-0000-0000FBBC0000}"/>
    <cellStyle name="Remarque 4 2 2 13 3 3" xfId="17194" xr:uid="{00000000-0005-0000-0000-0000FCBC0000}"/>
    <cellStyle name="Remarque 4 2 2 13 3 4" xfId="41154" xr:uid="{00000000-0005-0000-0000-0000FDBC0000}"/>
    <cellStyle name="Remarque 4 2 2 13 4" xfId="7327" xr:uid="{00000000-0005-0000-0000-0000FEBC0000}"/>
    <cellStyle name="Remarque 4 2 2 13 4 2" xfId="31341" xr:uid="{00000000-0005-0000-0000-0000FFBC0000}"/>
    <cellStyle name="Remarque 4 2 2 13 4 2 2" xfId="55301" xr:uid="{00000000-0005-0000-0000-000000BD0000}"/>
    <cellStyle name="Remarque 4 2 2 13 4 3" xfId="18588" xr:uid="{00000000-0005-0000-0000-000001BD0000}"/>
    <cellStyle name="Remarque 4 2 2 13 4 4" xfId="42548" xr:uid="{00000000-0005-0000-0000-000002BD0000}"/>
    <cellStyle name="Remarque 4 2 2 13 5" xfId="8715" xr:uid="{00000000-0005-0000-0000-000003BD0000}"/>
    <cellStyle name="Remarque 4 2 2 13 5 2" xfId="32729" xr:uid="{00000000-0005-0000-0000-000004BD0000}"/>
    <cellStyle name="Remarque 4 2 2 13 5 2 2" xfId="56689" xr:uid="{00000000-0005-0000-0000-000005BD0000}"/>
    <cellStyle name="Remarque 4 2 2 13 5 3" xfId="19976" xr:uid="{00000000-0005-0000-0000-000006BD0000}"/>
    <cellStyle name="Remarque 4 2 2 13 5 4" xfId="43936" xr:uid="{00000000-0005-0000-0000-000007BD0000}"/>
    <cellStyle name="Remarque 4 2 2 13 6" xfId="10100" xr:uid="{00000000-0005-0000-0000-000008BD0000}"/>
    <cellStyle name="Remarque 4 2 2 13 6 2" xfId="34114" xr:uid="{00000000-0005-0000-0000-000009BD0000}"/>
    <cellStyle name="Remarque 4 2 2 13 6 2 2" xfId="58074" xr:uid="{00000000-0005-0000-0000-00000ABD0000}"/>
    <cellStyle name="Remarque 4 2 2 13 6 3" xfId="21361" xr:uid="{00000000-0005-0000-0000-00000BBD0000}"/>
    <cellStyle name="Remarque 4 2 2 13 6 4" xfId="45321" xr:uid="{00000000-0005-0000-0000-00000CBD0000}"/>
    <cellStyle name="Remarque 4 2 2 13 7" xfId="11557" xr:uid="{00000000-0005-0000-0000-00000DBD0000}"/>
    <cellStyle name="Remarque 4 2 2 13 7 2" xfId="35567" xr:uid="{00000000-0005-0000-0000-00000EBD0000}"/>
    <cellStyle name="Remarque 4 2 2 13 7 2 2" xfId="59527" xr:uid="{00000000-0005-0000-0000-00000FBD0000}"/>
    <cellStyle name="Remarque 4 2 2 13 7 3" xfId="22824" xr:uid="{00000000-0005-0000-0000-000010BD0000}"/>
    <cellStyle name="Remarque 4 2 2 13 7 4" xfId="46784" xr:uid="{00000000-0005-0000-0000-000011BD0000}"/>
    <cellStyle name="Remarque 4 2 2 13 8" xfId="10134" xr:uid="{00000000-0005-0000-0000-000012BD0000}"/>
    <cellStyle name="Remarque 4 2 2 13 8 2" xfId="21397" xr:uid="{00000000-0005-0000-0000-000013BD0000}"/>
    <cellStyle name="Remarque 4 2 2 13 8 3" xfId="45357" xr:uid="{00000000-0005-0000-0000-000014BD0000}"/>
    <cellStyle name="Remarque 4 2 2 13 9" xfId="3029" xr:uid="{00000000-0005-0000-0000-000015BD0000}"/>
    <cellStyle name="Remarque 4 2 2 13 9 2" xfId="27043" xr:uid="{00000000-0005-0000-0000-000016BD0000}"/>
    <cellStyle name="Remarque 4 2 2 13 9 3" xfId="51003" xr:uid="{00000000-0005-0000-0000-000017BD0000}"/>
    <cellStyle name="Remarque 4 2 2 14" xfId="218" xr:uid="{00000000-0005-0000-0000-000018BD0000}"/>
    <cellStyle name="Remarque 4 2 2 14 10" xfId="36572" xr:uid="{00000000-0005-0000-0000-000019BD0000}"/>
    <cellStyle name="Remarque 4 2 2 14 10 2" xfId="60532" xr:uid="{00000000-0005-0000-0000-00001ABD0000}"/>
    <cellStyle name="Remarque 4 2 2 14 11" xfId="14385" xr:uid="{00000000-0005-0000-0000-00001BBD0000}"/>
    <cellStyle name="Remarque 4 2 2 14 12" xfId="38345" xr:uid="{00000000-0005-0000-0000-00001CBD0000}"/>
    <cellStyle name="Remarque 4 2 2 14 2" xfId="4563" xr:uid="{00000000-0005-0000-0000-00001DBD0000}"/>
    <cellStyle name="Remarque 4 2 2 14 2 2" xfId="28577" xr:uid="{00000000-0005-0000-0000-00001EBD0000}"/>
    <cellStyle name="Remarque 4 2 2 14 2 2 2" xfId="52537" xr:uid="{00000000-0005-0000-0000-00001FBD0000}"/>
    <cellStyle name="Remarque 4 2 2 14 2 3" xfId="15824" xr:uid="{00000000-0005-0000-0000-000020BD0000}"/>
    <cellStyle name="Remarque 4 2 2 14 2 4" xfId="39784" xr:uid="{00000000-0005-0000-0000-000021BD0000}"/>
    <cellStyle name="Remarque 4 2 2 14 3" xfId="5962" xr:uid="{00000000-0005-0000-0000-000022BD0000}"/>
    <cellStyle name="Remarque 4 2 2 14 3 2" xfId="29976" xr:uid="{00000000-0005-0000-0000-000023BD0000}"/>
    <cellStyle name="Remarque 4 2 2 14 3 2 2" xfId="53936" xr:uid="{00000000-0005-0000-0000-000024BD0000}"/>
    <cellStyle name="Remarque 4 2 2 14 3 3" xfId="17223" xr:uid="{00000000-0005-0000-0000-000025BD0000}"/>
    <cellStyle name="Remarque 4 2 2 14 3 4" xfId="41183" xr:uid="{00000000-0005-0000-0000-000026BD0000}"/>
    <cellStyle name="Remarque 4 2 2 14 4" xfId="7356" xr:uid="{00000000-0005-0000-0000-000027BD0000}"/>
    <cellStyle name="Remarque 4 2 2 14 4 2" xfId="31370" xr:uid="{00000000-0005-0000-0000-000028BD0000}"/>
    <cellStyle name="Remarque 4 2 2 14 4 2 2" xfId="55330" xr:uid="{00000000-0005-0000-0000-000029BD0000}"/>
    <cellStyle name="Remarque 4 2 2 14 4 3" xfId="18617" xr:uid="{00000000-0005-0000-0000-00002ABD0000}"/>
    <cellStyle name="Remarque 4 2 2 14 4 4" xfId="42577" xr:uid="{00000000-0005-0000-0000-00002BBD0000}"/>
    <cellStyle name="Remarque 4 2 2 14 5" xfId="8744" xr:uid="{00000000-0005-0000-0000-00002CBD0000}"/>
    <cellStyle name="Remarque 4 2 2 14 5 2" xfId="32758" xr:uid="{00000000-0005-0000-0000-00002DBD0000}"/>
    <cellStyle name="Remarque 4 2 2 14 5 2 2" xfId="56718" xr:uid="{00000000-0005-0000-0000-00002EBD0000}"/>
    <cellStyle name="Remarque 4 2 2 14 5 3" xfId="20005" xr:uid="{00000000-0005-0000-0000-00002FBD0000}"/>
    <cellStyle name="Remarque 4 2 2 14 5 4" xfId="43965" xr:uid="{00000000-0005-0000-0000-000030BD0000}"/>
    <cellStyle name="Remarque 4 2 2 14 6" xfId="10184" xr:uid="{00000000-0005-0000-0000-000031BD0000}"/>
    <cellStyle name="Remarque 4 2 2 14 6 2" xfId="34196" xr:uid="{00000000-0005-0000-0000-000032BD0000}"/>
    <cellStyle name="Remarque 4 2 2 14 6 2 2" xfId="58156" xr:uid="{00000000-0005-0000-0000-000033BD0000}"/>
    <cellStyle name="Remarque 4 2 2 14 6 3" xfId="21449" xr:uid="{00000000-0005-0000-0000-000034BD0000}"/>
    <cellStyle name="Remarque 4 2 2 14 6 4" xfId="45409" xr:uid="{00000000-0005-0000-0000-000035BD0000}"/>
    <cellStyle name="Remarque 4 2 2 14 7" xfId="11691" xr:uid="{00000000-0005-0000-0000-000036BD0000}"/>
    <cellStyle name="Remarque 4 2 2 14 7 2" xfId="22960" xr:uid="{00000000-0005-0000-0000-000037BD0000}"/>
    <cellStyle name="Remarque 4 2 2 14 7 3" xfId="46920" xr:uid="{00000000-0005-0000-0000-000038BD0000}"/>
    <cellStyle name="Remarque 4 2 2 14 8" xfId="3124" xr:uid="{00000000-0005-0000-0000-000039BD0000}"/>
    <cellStyle name="Remarque 4 2 2 14 8 2" xfId="27138" xr:uid="{00000000-0005-0000-0000-00003ABD0000}"/>
    <cellStyle name="Remarque 4 2 2 14 8 3" xfId="51098" xr:uid="{00000000-0005-0000-0000-00003BBD0000}"/>
    <cellStyle name="Remarque 4 2 2 14 9" xfId="24250" xr:uid="{00000000-0005-0000-0000-00003CBD0000}"/>
    <cellStyle name="Remarque 4 2 2 14 9 2" xfId="48210" xr:uid="{00000000-0005-0000-0000-00003DBD0000}"/>
    <cellStyle name="Remarque 4 2 2 15" xfId="3093" xr:uid="{00000000-0005-0000-0000-00003EBD0000}"/>
    <cellStyle name="Remarque 4 2 2 15 2" xfId="27107" xr:uid="{00000000-0005-0000-0000-00003FBD0000}"/>
    <cellStyle name="Remarque 4 2 2 15 2 2" xfId="51067" xr:uid="{00000000-0005-0000-0000-000040BD0000}"/>
    <cellStyle name="Remarque 4 2 2 15 3" xfId="14354" xr:uid="{00000000-0005-0000-0000-000041BD0000}"/>
    <cellStyle name="Remarque 4 2 2 15 4" xfId="38314" xr:uid="{00000000-0005-0000-0000-000042BD0000}"/>
    <cellStyle name="Remarque 4 2 2 16" xfId="4532" xr:uid="{00000000-0005-0000-0000-000043BD0000}"/>
    <cellStyle name="Remarque 4 2 2 16 2" xfId="28546" xr:uid="{00000000-0005-0000-0000-000044BD0000}"/>
    <cellStyle name="Remarque 4 2 2 16 2 2" xfId="52506" xr:uid="{00000000-0005-0000-0000-000045BD0000}"/>
    <cellStyle name="Remarque 4 2 2 16 3" xfId="15793" xr:uid="{00000000-0005-0000-0000-000046BD0000}"/>
    <cellStyle name="Remarque 4 2 2 16 4" xfId="39753" xr:uid="{00000000-0005-0000-0000-000047BD0000}"/>
    <cellStyle name="Remarque 4 2 2 17" xfId="3046" xr:uid="{00000000-0005-0000-0000-000048BD0000}"/>
    <cellStyle name="Remarque 4 2 2 17 2" xfId="27060" xr:uid="{00000000-0005-0000-0000-000049BD0000}"/>
    <cellStyle name="Remarque 4 2 2 17 2 2" xfId="51020" xr:uid="{00000000-0005-0000-0000-00004ABD0000}"/>
    <cellStyle name="Remarque 4 2 2 17 3" xfId="14307" xr:uid="{00000000-0005-0000-0000-00004BBD0000}"/>
    <cellStyle name="Remarque 4 2 2 17 4" xfId="38267" xr:uid="{00000000-0005-0000-0000-00004CBD0000}"/>
    <cellStyle name="Remarque 4 2 2 18" xfId="4576" xr:uid="{00000000-0005-0000-0000-00004DBD0000}"/>
    <cellStyle name="Remarque 4 2 2 18 2" xfId="28590" xr:uid="{00000000-0005-0000-0000-00004EBD0000}"/>
    <cellStyle name="Remarque 4 2 2 18 2 2" xfId="52550" xr:uid="{00000000-0005-0000-0000-00004FBD0000}"/>
    <cellStyle name="Remarque 4 2 2 18 3" xfId="15837" xr:uid="{00000000-0005-0000-0000-000050BD0000}"/>
    <cellStyle name="Remarque 4 2 2 18 4" xfId="39797" xr:uid="{00000000-0005-0000-0000-000051BD0000}"/>
    <cellStyle name="Remarque 4 2 2 19" xfId="5972" xr:uid="{00000000-0005-0000-0000-000052BD0000}"/>
    <cellStyle name="Remarque 4 2 2 19 2" xfId="29986" xr:uid="{00000000-0005-0000-0000-000053BD0000}"/>
    <cellStyle name="Remarque 4 2 2 19 2 2" xfId="53946" xr:uid="{00000000-0005-0000-0000-000054BD0000}"/>
    <cellStyle name="Remarque 4 2 2 19 3" xfId="17233" xr:uid="{00000000-0005-0000-0000-000055BD0000}"/>
    <cellStyle name="Remarque 4 2 2 19 4" xfId="41193" xr:uid="{00000000-0005-0000-0000-000056BD0000}"/>
    <cellStyle name="Remarque 4 2 2 2" xfId="107" xr:uid="{00000000-0005-0000-0000-000057BD0000}"/>
    <cellStyle name="Remarque 4 2 2 2 10" xfId="3166" xr:uid="{00000000-0005-0000-0000-000058BD0000}"/>
    <cellStyle name="Remarque 4 2 2 2 10 2" xfId="27180" xr:uid="{00000000-0005-0000-0000-000059BD0000}"/>
    <cellStyle name="Remarque 4 2 2 2 10 2 2" xfId="51140" xr:uid="{00000000-0005-0000-0000-00005ABD0000}"/>
    <cellStyle name="Remarque 4 2 2 2 10 3" xfId="14427" xr:uid="{00000000-0005-0000-0000-00005BBD0000}"/>
    <cellStyle name="Remarque 4 2 2 2 10 4" xfId="38387" xr:uid="{00000000-0005-0000-0000-00005CBD0000}"/>
    <cellStyle name="Remarque 4 2 2 2 11" xfId="4600" xr:uid="{00000000-0005-0000-0000-00005DBD0000}"/>
    <cellStyle name="Remarque 4 2 2 2 11 2" xfId="28614" xr:uid="{00000000-0005-0000-0000-00005EBD0000}"/>
    <cellStyle name="Remarque 4 2 2 2 11 2 2" xfId="52574" xr:uid="{00000000-0005-0000-0000-00005FBD0000}"/>
    <cellStyle name="Remarque 4 2 2 2 11 3" xfId="15861" xr:uid="{00000000-0005-0000-0000-000060BD0000}"/>
    <cellStyle name="Remarque 4 2 2 2 11 4" xfId="39821" xr:uid="{00000000-0005-0000-0000-000061BD0000}"/>
    <cellStyle name="Remarque 4 2 2 2 12" xfId="5994" xr:uid="{00000000-0005-0000-0000-000062BD0000}"/>
    <cellStyle name="Remarque 4 2 2 2 12 2" xfId="30008" xr:uid="{00000000-0005-0000-0000-000063BD0000}"/>
    <cellStyle name="Remarque 4 2 2 2 12 2 2" xfId="53968" xr:uid="{00000000-0005-0000-0000-000064BD0000}"/>
    <cellStyle name="Remarque 4 2 2 2 12 3" xfId="17255" xr:uid="{00000000-0005-0000-0000-000065BD0000}"/>
    <cellStyle name="Remarque 4 2 2 2 12 4" xfId="41215" xr:uid="{00000000-0005-0000-0000-000066BD0000}"/>
    <cellStyle name="Remarque 4 2 2 2 13" xfId="7382" xr:uid="{00000000-0005-0000-0000-000067BD0000}"/>
    <cellStyle name="Remarque 4 2 2 2 13 2" xfId="31396" xr:uid="{00000000-0005-0000-0000-000068BD0000}"/>
    <cellStyle name="Remarque 4 2 2 2 13 2 2" xfId="55356" xr:uid="{00000000-0005-0000-0000-000069BD0000}"/>
    <cellStyle name="Remarque 4 2 2 2 13 3" xfId="18643" xr:uid="{00000000-0005-0000-0000-00006ABD0000}"/>
    <cellStyle name="Remarque 4 2 2 2 13 4" xfId="42603" xr:uid="{00000000-0005-0000-0000-00006BBD0000}"/>
    <cellStyle name="Remarque 4 2 2 2 14" xfId="8767" xr:uid="{00000000-0005-0000-0000-00006CBD0000}"/>
    <cellStyle name="Remarque 4 2 2 2 14 2" xfId="32781" xr:uid="{00000000-0005-0000-0000-00006DBD0000}"/>
    <cellStyle name="Remarque 4 2 2 2 14 2 2" xfId="56741" xr:uid="{00000000-0005-0000-0000-00006EBD0000}"/>
    <cellStyle name="Remarque 4 2 2 2 14 3" xfId="20028" xr:uid="{00000000-0005-0000-0000-00006FBD0000}"/>
    <cellStyle name="Remarque 4 2 2 2 14 4" xfId="43988" xr:uid="{00000000-0005-0000-0000-000070BD0000}"/>
    <cellStyle name="Remarque 4 2 2 2 15" xfId="10224" xr:uid="{00000000-0005-0000-0000-000071BD0000}"/>
    <cellStyle name="Remarque 4 2 2 2 15 2" xfId="34234" xr:uid="{00000000-0005-0000-0000-000072BD0000}"/>
    <cellStyle name="Remarque 4 2 2 2 15 2 2" xfId="58194" xr:uid="{00000000-0005-0000-0000-000073BD0000}"/>
    <cellStyle name="Remarque 4 2 2 2 15 3" xfId="21491" xr:uid="{00000000-0005-0000-0000-000074BD0000}"/>
    <cellStyle name="Remarque 4 2 2 2 15 4" xfId="45451" xr:uid="{00000000-0005-0000-0000-000075BD0000}"/>
    <cellStyle name="Remarque 4 2 2 2 16" xfId="12161" xr:uid="{00000000-0005-0000-0000-000076BD0000}"/>
    <cellStyle name="Remarque 4 2 2 2 16 2" xfId="23444" xr:uid="{00000000-0005-0000-0000-000077BD0000}"/>
    <cellStyle name="Remarque 4 2 2 2 16 3" xfId="47404" xr:uid="{00000000-0005-0000-0000-000078BD0000}"/>
    <cellStyle name="Remarque 4 2 2 2 17" xfId="1696" xr:uid="{00000000-0005-0000-0000-000079BD0000}"/>
    <cellStyle name="Remarque 4 2 2 2 17 2" xfId="25710" xr:uid="{00000000-0005-0000-0000-00007ABD0000}"/>
    <cellStyle name="Remarque 4 2 2 2 17 3" xfId="49670" xr:uid="{00000000-0005-0000-0000-00007BBD0000}"/>
    <cellStyle name="Remarque 4 2 2 2 18" xfId="24292" xr:uid="{00000000-0005-0000-0000-00007CBD0000}"/>
    <cellStyle name="Remarque 4 2 2 2 18 2" xfId="48252" xr:uid="{00000000-0005-0000-0000-00007DBD0000}"/>
    <cellStyle name="Remarque 4 2 2 2 19" xfId="35757" xr:uid="{00000000-0005-0000-0000-00007EBD0000}"/>
    <cellStyle name="Remarque 4 2 2 2 19 2" xfId="59717" xr:uid="{00000000-0005-0000-0000-00007FBD0000}"/>
    <cellStyle name="Remarque 4 2 2 2 2" xfId="435" xr:uid="{00000000-0005-0000-0000-000080BD0000}"/>
    <cellStyle name="Remarque 4 2 2 2 2 10" xfId="6169" xr:uid="{00000000-0005-0000-0000-000081BD0000}"/>
    <cellStyle name="Remarque 4 2 2 2 2 10 2" xfId="30183" xr:uid="{00000000-0005-0000-0000-000082BD0000}"/>
    <cellStyle name="Remarque 4 2 2 2 2 10 2 2" xfId="54143" xr:uid="{00000000-0005-0000-0000-000083BD0000}"/>
    <cellStyle name="Remarque 4 2 2 2 2 10 3" xfId="17430" xr:uid="{00000000-0005-0000-0000-000084BD0000}"/>
    <cellStyle name="Remarque 4 2 2 2 2 10 4" xfId="41390" xr:uid="{00000000-0005-0000-0000-000085BD0000}"/>
    <cellStyle name="Remarque 4 2 2 2 2 11" xfId="7557" xr:uid="{00000000-0005-0000-0000-000086BD0000}"/>
    <cellStyle name="Remarque 4 2 2 2 2 11 2" xfId="31571" xr:uid="{00000000-0005-0000-0000-000087BD0000}"/>
    <cellStyle name="Remarque 4 2 2 2 2 11 2 2" xfId="55531" xr:uid="{00000000-0005-0000-0000-000088BD0000}"/>
    <cellStyle name="Remarque 4 2 2 2 2 11 3" xfId="18818" xr:uid="{00000000-0005-0000-0000-000089BD0000}"/>
    <cellStyle name="Remarque 4 2 2 2 2 11 4" xfId="42778" xr:uid="{00000000-0005-0000-0000-00008ABD0000}"/>
    <cellStyle name="Remarque 4 2 2 2 2 12" xfId="8942" xr:uid="{00000000-0005-0000-0000-00008BBD0000}"/>
    <cellStyle name="Remarque 4 2 2 2 2 12 2" xfId="32956" xr:uid="{00000000-0005-0000-0000-00008CBD0000}"/>
    <cellStyle name="Remarque 4 2 2 2 2 12 2 2" xfId="56916" xr:uid="{00000000-0005-0000-0000-00008DBD0000}"/>
    <cellStyle name="Remarque 4 2 2 2 2 12 3" xfId="20203" xr:uid="{00000000-0005-0000-0000-00008EBD0000}"/>
    <cellStyle name="Remarque 4 2 2 2 2 12 4" xfId="44163" xr:uid="{00000000-0005-0000-0000-00008FBD0000}"/>
    <cellStyle name="Remarque 4 2 2 2 2 13" xfId="10399" xr:uid="{00000000-0005-0000-0000-000090BD0000}"/>
    <cellStyle name="Remarque 4 2 2 2 2 13 2" xfId="34409" xr:uid="{00000000-0005-0000-0000-000091BD0000}"/>
    <cellStyle name="Remarque 4 2 2 2 2 13 2 2" xfId="58369" xr:uid="{00000000-0005-0000-0000-000092BD0000}"/>
    <cellStyle name="Remarque 4 2 2 2 2 13 3" xfId="21666" xr:uid="{00000000-0005-0000-0000-000093BD0000}"/>
    <cellStyle name="Remarque 4 2 2 2 2 13 4" xfId="45626" xr:uid="{00000000-0005-0000-0000-000094BD0000}"/>
    <cellStyle name="Remarque 4 2 2 2 2 14" xfId="12333" xr:uid="{00000000-0005-0000-0000-000095BD0000}"/>
    <cellStyle name="Remarque 4 2 2 2 2 14 2" xfId="23621" xr:uid="{00000000-0005-0000-0000-000096BD0000}"/>
    <cellStyle name="Remarque 4 2 2 2 2 14 3" xfId="47581" xr:uid="{00000000-0005-0000-0000-000097BD0000}"/>
    <cellStyle name="Remarque 4 2 2 2 2 15" xfId="1871" xr:uid="{00000000-0005-0000-0000-000098BD0000}"/>
    <cellStyle name="Remarque 4 2 2 2 2 15 2" xfId="25885" xr:uid="{00000000-0005-0000-0000-000099BD0000}"/>
    <cellStyle name="Remarque 4 2 2 2 2 15 3" xfId="49845" xr:uid="{00000000-0005-0000-0000-00009ABD0000}"/>
    <cellStyle name="Remarque 4 2 2 2 2 16" xfId="24467" xr:uid="{00000000-0005-0000-0000-00009BBD0000}"/>
    <cellStyle name="Remarque 4 2 2 2 2 16 2" xfId="48427" xr:uid="{00000000-0005-0000-0000-00009CBD0000}"/>
    <cellStyle name="Remarque 4 2 2 2 2 17" xfId="36837" xr:uid="{00000000-0005-0000-0000-00009DBD0000}"/>
    <cellStyle name="Remarque 4 2 2 2 2 17 2" xfId="60797" xr:uid="{00000000-0005-0000-0000-00009EBD0000}"/>
    <cellStyle name="Remarque 4 2 2 2 2 18" xfId="13132" xr:uid="{00000000-0005-0000-0000-00009FBD0000}"/>
    <cellStyle name="Remarque 4 2 2 2 2 19" xfId="37092" xr:uid="{00000000-0005-0000-0000-0000A0BD0000}"/>
    <cellStyle name="Remarque 4 2 2 2 2 2" xfId="571" xr:uid="{00000000-0005-0000-0000-0000A1BD0000}"/>
    <cellStyle name="Remarque 4 2 2 2 2 2 10" xfId="24603" xr:uid="{00000000-0005-0000-0000-0000A2BD0000}"/>
    <cellStyle name="Remarque 4 2 2 2 2 2 10 2" xfId="48563" xr:uid="{00000000-0005-0000-0000-0000A3BD0000}"/>
    <cellStyle name="Remarque 4 2 2 2 2 2 11" xfId="36392" xr:uid="{00000000-0005-0000-0000-0000A4BD0000}"/>
    <cellStyle name="Remarque 4 2 2 2 2 2 11 2" xfId="60352" xr:uid="{00000000-0005-0000-0000-0000A5BD0000}"/>
    <cellStyle name="Remarque 4 2 2 2 2 2 12" xfId="13268" xr:uid="{00000000-0005-0000-0000-0000A6BD0000}"/>
    <cellStyle name="Remarque 4 2 2 2 2 2 13" xfId="37228" xr:uid="{00000000-0005-0000-0000-0000A7BD0000}"/>
    <cellStyle name="Remarque 4 2 2 2 2 2 2" xfId="3477" xr:uid="{00000000-0005-0000-0000-0000A8BD0000}"/>
    <cellStyle name="Remarque 4 2 2 2 2 2 2 2" xfId="27491" xr:uid="{00000000-0005-0000-0000-0000A9BD0000}"/>
    <cellStyle name="Remarque 4 2 2 2 2 2 2 2 2" xfId="51451" xr:uid="{00000000-0005-0000-0000-0000AABD0000}"/>
    <cellStyle name="Remarque 4 2 2 2 2 2 2 3" xfId="14738" xr:uid="{00000000-0005-0000-0000-0000ABBD0000}"/>
    <cellStyle name="Remarque 4 2 2 2 2 2 2 4" xfId="38698" xr:uid="{00000000-0005-0000-0000-0000ACBD0000}"/>
    <cellStyle name="Remarque 4 2 2 2 2 2 3" xfId="4911" xr:uid="{00000000-0005-0000-0000-0000ADBD0000}"/>
    <cellStyle name="Remarque 4 2 2 2 2 2 3 2" xfId="28925" xr:uid="{00000000-0005-0000-0000-0000AEBD0000}"/>
    <cellStyle name="Remarque 4 2 2 2 2 2 3 2 2" xfId="52885" xr:uid="{00000000-0005-0000-0000-0000AFBD0000}"/>
    <cellStyle name="Remarque 4 2 2 2 2 2 3 3" xfId="16172" xr:uid="{00000000-0005-0000-0000-0000B0BD0000}"/>
    <cellStyle name="Remarque 4 2 2 2 2 2 3 4" xfId="40132" xr:uid="{00000000-0005-0000-0000-0000B1BD0000}"/>
    <cellStyle name="Remarque 4 2 2 2 2 2 4" xfId="6305" xr:uid="{00000000-0005-0000-0000-0000B2BD0000}"/>
    <cellStyle name="Remarque 4 2 2 2 2 2 4 2" xfId="30319" xr:uid="{00000000-0005-0000-0000-0000B3BD0000}"/>
    <cellStyle name="Remarque 4 2 2 2 2 2 4 2 2" xfId="54279" xr:uid="{00000000-0005-0000-0000-0000B4BD0000}"/>
    <cellStyle name="Remarque 4 2 2 2 2 2 4 3" xfId="17566" xr:uid="{00000000-0005-0000-0000-0000B5BD0000}"/>
    <cellStyle name="Remarque 4 2 2 2 2 2 4 4" xfId="41526" xr:uid="{00000000-0005-0000-0000-0000B6BD0000}"/>
    <cellStyle name="Remarque 4 2 2 2 2 2 5" xfId="7693" xr:uid="{00000000-0005-0000-0000-0000B7BD0000}"/>
    <cellStyle name="Remarque 4 2 2 2 2 2 5 2" xfId="31707" xr:uid="{00000000-0005-0000-0000-0000B8BD0000}"/>
    <cellStyle name="Remarque 4 2 2 2 2 2 5 2 2" xfId="55667" xr:uid="{00000000-0005-0000-0000-0000B9BD0000}"/>
    <cellStyle name="Remarque 4 2 2 2 2 2 5 3" xfId="18954" xr:uid="{00000000-0005-0000-0000-0000BABD0000}"/>
    <cellStyle name="Remarque 4 2 2 2 2 2 5 4" xfId="42914" xr:uid="{00000000-0005-0000-0000-0000BBBD0000}"/>
    <cellStyle name="Remarque 4 2 2 2 2 2 6" xfId="9078" xr:uid="{00000000-0005-0000-0000-0000BCBD0000}"/>
    <cellStyle name="Remarque 4 2 2 2 2 2 6 2" xfId="33092" xr:uid="{00000000-0005-0000-0000-0000BDBD0000}"/>
    <cellStyle name="Remarque 4 2 2 2 2 2 6 2 2" xfId="57052" xr:uid="{00000000-0005-0000-0000-0000BEBD0000}"/>
    <cellStyle name="Remarque 4 2 2 2 2 2 6 3" xfId="20339" xr:uid="{00000000-0005-0000-0000-0000BFBD0000}"/>
    <cellStyle name="Remarque 4 2 2 2 2 2 6 4" xfId="44299" xr:uid="{00000000-0005-0000-0000-0000C0BD0000}"/>
    <cellStyle name="Remarque 4 2 2 2 2 2 7" xfId="10535" xr:uid="{00000000-0005-0000-0000-0000C1BD0000}"/>
    <cellStyle name="Remarque 4 2 2 2 2 2 7 2" xfId="34545" xr:uid="{00000000-0005-0000-0000-0000C2BD0000}"/>
    <cellStyle name="Remarque 4 2 2 2 2 2 7 2 2" xfId="58505" xr:uid="{00000000-0005-0000-0000-0000C3BD0000}"/>
    <cellStyle name="Remarque 4 2 2 2 2 2 7 3" xfId="21802" xr:uid="{00000000-0005-0000-0000-0000C4BD0000}"/>
    <cellStyle name="Remarque 4 2 2 2 2 2 7 4" xfId="45762" xr:uid="{00000000-0005-0000-0000-0000C5BD0000}"/>
    <cellStyle name="Remarque 4 2 2 2 2 2 8" xfId="5974" xr:uid="{00000000-0005-0000-0000-0000C6BD0000}"/>
    <cellStyle name="Remarque 4 2 2 2 2 2 8 2" xfId="17235" xr:uid="{00000000-0005-0000-0000-0000C7BD0000}"/>
    <cellStyle name="Remarque 4 2 2 2 2 2 8 3" xfId="41195" xr:uid="{00000000-0005-0000-0000-0000C8BD0000}"/>
    <cellStyle name="Remarque 4 2 2 2 2 2 9" xfId="2007" xr:uid="{00000000-0005-0000-0000-0000C9BD0000}"/>
    <cellStyle name="Remarque 4 2 2 2 2 2 9 2" xfId="26021" xr:uid="{00000000-0005-0000-0000-0000CABD0000}"/>
    <cellStyle name="Remarque 4 2 2 2 2 2 9 3" xfId="49981" xr:uid="{00000000-0005-0000-0000-0000CBBD0000}"/>
    <cellStyle name="Remarque 4 2 2 2 2 3" xfId="763" xr:uid="{00000000-0005-0000-0000-0000CCBD0000}"/>
    <cellStyle name="Remarque 4 2 2 2 2 3 10" xfId="24795" xr:uid="{00000000-0005-0000-0000-0000CDBD0000}"/>
    <cellStyle name="Remarque 4 2 2 2 2 3 10 2" xfId="48755" xr:uid="{00000000-0005-0000-0000-0000CEBD0000}"/>
    <cellStyle name="Remarque 4 2 2 2 2 3 11" xfId="36668" xr:uid="{00000000-0005-0000-0000-0000CFBD0000}"/>
    <cellStyle name="Remarque 4 2 2 2 2 3 11 2" xfId="60628" xr:uid="{00000000-0005-0000-0000-0000D0BD0000}"/>
    <cellStyle name="Remarque 4 2 2 2 2 3 12" xfId="13460" xr:uid="{00000000-0005-0000-0000-0000D1BD0000}"/>
    <cellStyle name="Remarque 4 2 2 2 2 3 13" xfId="37420" xr:uid="{00000000-0005-0000-0000-0000D2BD0000}"/>
    <cellStyle name="Remarque 4 2 2 2 2 3 2" xfId="3669" xr:uid="{00000000-0005-0000-0000-0000D3BD0000}"/>
    <cellStyle name="Remarque 4 2 2 2 2 3 2 2" xfId="27683" xr:uid="{00000000-0005-0000-0000-0000D4BD0000}"/>
    <cellStyle name="Remarque 4 2 2 2 2 3 2 2 2" xfId="51643" xr:uid="{00000000-0005-0000-0000-0000D5BD0000}"/>
    <cellStyle name="Remarque 4 2 2 2 2 3 2 3" xfId="14930" xr:uid="{00000000-0005-0000-0000-0000D6BD0000}"/>
    <cellStyle name="Remarque 4 2 2 2 2 3 2 4" xfId="38890" xr:uid="{00000000-0005-0000-0000-0000D7BD0000}"/>
    <cellStyle name="Remarque 4 2 2 2 2 3 3" xfId="5103" xr:uid="{00000000-0005-0000-0000-0000D8BD0000}"/>
    <cellStyle name="Remarque 4 2 2 2 2 3 3 2" xfId="29117" xr:uid="{00000000-0005-0000-0000-0000D9BD0000}"/>
    <cellStyle name="Remarque 4 2 2 2 2 3 3 2 2" xfId="53077" xr:uid="{00000000-0005-0000-0000-0000DABD0000}"/>
    <cellStyle name="Remarque 4 2 2 2 2 3 3 3" xfId="16364" xr:uid="{00000000-0005-0000-0000-0000DBBD0000}"/>
    <cellStyle name="Remarque 4 2 2 2 2 3 3 4" xfId="40324" xr:uid="{00000000-0005-0000-0000-0000DCBD0000}"/>
    <cellStyle name="Remarque 4 2 2 2 2 3 4" xfId="6497" xr:uid="{00000000-0005-0000-0000-0000DDBD0000}"/>
    <cellStyle name="Remarque 4 2 2 2 2 3 4 2" xfId="30511" xr:uid="{00000000-0005-0000-0000-0000DEBD0000}"/>
    <cellStyle name="Remarque 4 2 2 2 2 3 4 2 2" xfId="54471" xr:uid="{00000000-0005-0000-0000-0000DFBD0000}"/>
    <cellStyle name="Remarque 4 2 2 2 2 3 4 3" xfId="17758" xr:uid="{00000000-0005-0000-0000-0000E0BD0000}"/>
    <cellStyle name="Remarque 4 2 2 2 2 3 4 4" xfId="41718" xr:uid="{00000000-0005-0000-0000-0000E1BD0000}"/>
    <cellStyle name="Remarque 4 2 2 2 2 3 5" xfId="7885" xr:uid="{00000000-0005-0000-0000-0000E2BD0000}"/>
    <cellStyle name="Remarque 4 2 2 2 2 3 5 2" xfId="31899" xr:uid="{00000000-0005-0000-0000-0000E3BD0000}"/>
    <cellStyle name="Remarque 4 2 2 2 2 3 5 2 2" xfId="55859" xr:uid="{00000000-0005-0000-0000-0000E4BD0000}"/>
    <cellStyle name="Remarque 4 2 2 2 2 3 5 3" xfId="19146" xr:uid="{00000000-0005-0000-0000-0000E5BD0000}"/>
    <cellStyle name="Remarque 4 2 2 2 2 3 5 4" xfId="43106" xr:uid="{00000000-0005-0000-0000-0000E6BD0000}"/>
    <cellStyle name="Remarque 4 2 2 2 2 3 6" xfId="9270" xr:uid="{00000000-0005-0000-0000-0000E7BD0000}"/>
    <cellStyle name="Remarque 4 2 2 2 2 3 6 2" xfId="33284" xr:uid="{00000000-0005-0000-0000-0000E8BD0000}"/>
    <cellStyle name="Remarque 4 2 2 2 2 3 6 2 2" xfId="57244" xr:uid="{00000000-0005-0000-0000-0000E9BD0000}"/>
    <cellStyle name="Remarque 4 2 2 2 2 3 6 3" xfId="20531" xr:uid="{00000000-0005-0000-0000-0000EABD0000}"/>
    <cellStyle name="Remarque 4 2 2 2 2 3 6 4" xfId="44491" xr:uid="{00000000-0005-0000-0000-0000EBBD0000}"/>
    <cellStyle name="Remarque 4 2 2 2 2 3 7" xfId="10727" xr:uid="{00000000-0005-0000-0000-0000ECBD0000}"/>
    <cellStyle name="Remarque 4 2 2 2 2 3 7 2" xfId="34737" xr:uid="{00000000-0005-0000-0000-0000EDBD0000}"/>
    <cellStyle name="Remarque 4 2 2 2 2 3 7 2 2" xfId="58697" xr:uid="{00000000-0005-0000-0000-0000EEBD0000}"/>
    <cellStyle name="Remarque 4 2 2 2 2 3 7 3" xfId="21994" xr:uid="{00000000-0005-0000-0000-0000EFBD0000}"/>
    <cellStyle name="Remarque 4 2 2 2 2 3 7 4" xfId="45954" xr:uid="{00000000-0005-0000-0000-0000F0BD0000}"/>
    <cellStyle name="Remarque 4 2 2 2 2 3 8" xfId="11960" xr:uid="{00000000-0005-0000-0000-0000F1BD0000}"/>
    <cellStyle name="Remarque 4 2 2 2 2 3 8 2" xfId="23238" xr:uid="{00000000-0005-0000-0000-0000F2BD0000}"/>
    <cellStyle name="Remarque 4 2 2 2 2 3 8 3" xfId="47198" xr:uid="{00000000-0005-0000-0000-0000F3BD0000}"/>
    <cellStyle name="Remarque 4 2 2 2 2 3 9" xfId="2199" xr:uid="{00000000-0005-0000-0000-0000F4BD0000}"/>
    <cellStyle name="Remarque 4 2 2 2 2 3 9 2" xfId="26213" xr:uid="{00000000-0005-0000-0000-0000F5BD0000}"/>
    <cellStyle name="Remarque 4 2 2 2 2 3 9 3" xfId="50173" xr:uid="{00000000-0005-0000-0000-0000F6BD0000}"/>
    <cellStyle name="Remarque 4 2 2 2 2 4" xfId="957" xr:uid="{00000000-0005-0000-0000-0000F7BD0000}"/>
    <cellStyle name="Remarque 4 2 2 2 2 4 10" xfId="24989" xr:uid="{00000000-0005-0000-0000-0000F8BD0000}"/>
    <cellStyle name="Remarque 4 2 2 2 2 4 10 2" xfId="48949" xr:uid="{00000000-0005-0000-0000-0000F9BD0000}"/>
    <cellStyle name="Remarque 4 2 2 2 2 4 11" xfId="35580" xr:uid="{00000000-0005-0000-0000-0000FABD0000}"/>
    <cellStyle name="Remarque 4 2 2 2 2 4 11 2" xfId="59540" xr:uid="{00000000-0005-0000-0000-0000FBBD0000}"/>
    <cellStyle name="Remarque 4 2 2 2 2 4 12" xfId="13654" xr:uid="{00000000-0005-0000-0000-0000FCBD0000}"/>
    <cellStyle name="Remarque 4 2 2 2 2 4 13" xfId="37614" xr:uid="{00000000-0005-0000-0000-0000FDBD0000}"/>
    <cellStyle name="Remarque 4 2 2 2 2 4 2" xfId="3863" xr:uid="{00000000-0005-0000-0000-0000FEBD0000}"/>
    <cellStyle name="Remarque 4 2 2 2 2 4 2 2" xfId="27877" xr:uid="{00000000-0005-0000-0000-0000FFBD0000}"/>
    <cellStyle name="Remarque 4 2 2 2 2 4 2 2 2" xfId="51837" xr:uid="{00000000-0005-0000-0000-000000BE0000}"/>
    <cellStyle name="Remarque 4 2 2 2 2 4 2 3" xfId="15124" xr:uid="{00000000-0005-0000-0000-000001BE0000}"/>
    <cellStyle name="Remarque 4 2 2 2 2 4 2 4" xfId="39084" xr:uid="{00000000-0005-0000-0000-000002BE0000}"/>
    <cellStyle name="Remarque 4 2 2 2 2 4 3" xfId="5297" xr:uid="{00000000-0005-0000-0000-000003BE0000}"/>
    <cellStyle name="Remarque 4 2 2 2 2 4 3 2" xfId="29311" xr:uid="{00000000-0005-0000-0000-000004BE0000}"/>
    <cellStyle name="Remarque 4 2 2 2 2 4 3 2 2" xfId="53271" xr:uid="{00000000-0005-0000-0000-000005BE0000}"/>
    <cellStyle name="Remarque 4 2 2 2 2 4 3 3" xfId="16558" xr:uid="{00000000-0005-0000-0000-000006BE0000}"/>
    <cellStyle name="Remarque 4 2 2 2 2 4 3 4" xfId="40518" xr:uid="{00000000-0005-0000-0000-000007BE0000}"/>
    <cellStyle name="Remarque 4 2 2 2 2 4 4" xfId="6691" xr:uid="{00000000-0005-0000-0000-000008BE0000}"/>
    <cellStyle name="Remarque 4 2 2 2 2 4 4 2" xfId="30705" xr:uid="{00000000-0005-0000-0000-000009BE0000}"/>
    <cellStyle name="Remarque 4 2 2 2 2 4 4 2 2" xfId="54665" xr:uid="{00000000-0005-0000-0000-00000ABE0000}"/>
    <cellStyle name="Remarque 4 2 2 2 2 4 4 3" xfId="17952" xr:uid="{00000000-0005-0000-0000-00000BBE0000}"/>
    <cellStyle name="Remarque 4 2 2 2 2 4 4 4" xfId="41912" xr:uid="{00000000-0005-0000-0000-00000CBE0000}"/>
    <cellStyle name="Remarque 4 2 2 2 2 4 5" xfId="8079" xr:uid="{00000000-0005-0000-0000-00000DBE0000}"/>
    <cellStyle name="Remarque 4 2 2 2 2 4 5 2" xfId="32093" xr:uid="{00000000-0005-0000-0000-00000EBE0000}"/>
    <cellStyle name="Remarque 4 2 2 2 2 4 5 2 2" xfId="56053" xr:uid="{00000000-0005-0000-0000-00000FBE0000}"/>
    <cellStyle name="Remarque 4 2 2 2 2 4 5 3" xfId="19340" xr:uid="{00000000-0005-0000-0000-000010BE0000}"/>
    <cellStyle name="Remarque 4 2 2 2 2 4 5 4" xfId="43300" xr:uid="{00000000-0005-0000-0000-000011BE0000}"/>
    <cellStyle name="Remarque 4 2 2 2 2 4 6" xfId="9464" xr:uid="{00000000-0005-0000-0000-000012BE0000}"/>
    <cellStyle name="Remarque 4 2 2 2 2 4 6 2" xfId="33478" xr:uid="{00000000-0005-0000-0000-000013BE0000}"/>
    <cellStyle name="Remarque 4 2 2 2 2 4 6 2 2" xfId="57438" xr:uid="{00000000-0005-0000-0000-000014BE0000}"/>
    <cellStyle name="Remarque 4 2 2 2 2 4 6 3" xfId="20725" xr:uid="{00000000-0005-0000-0000-000015BE0000}"/>
    <cellStyle name="Remarque 4 2 2 2 2 4 6 4" xfId="44685" xr:uid="{00000000-0005-0000-0000-000016BE0000}"/>
    <cellStyle name="Remarque 4 2 2 2 2 4 7" xfId="10921" xr:uid="{00000000-0005-0000-0000-000017BE0000}"/>
    <cellStyle name="Remarque 4 2 2 2 2 4 7 2" xfId="34931" xr:uid="{00000000-0005-0000-0000-000018BE0000}"/>
    <cellStyle name="Remarque 4 2 2 2 2 4 7 2 2" xfId="58891" xr:uid="{00000000-0005-0000-0000-000019BE0000}"/>
    <cellStyle name="Remarque 4 2 2 2 2 4 7 3" xfId="22188" xr:uid="{00000000-0005-0000-0000-00001ABE0000}"/>
    <cellStyle name="Remarque 4 2 2 2 2 4 7 4" xfId="46148" xr:uid="{00000000-0005-0000-0000-00001BBE0000}"/>
    <cellStyle name="Remarque 4 2 2 2 2 4 8" xfId="11883" xr:uid="{00000000-0005-0000-0000-00001CBE0000}"/>
    <cellStyle name="Remarque 4 2 2 2 2 4 8 2" xfId="23160" xr:uid="{00000000-0005-0000-0000-00001DBE0000}"/>
    <cellStyle name="Remarque 4 2 2 2 2 4 8 3" xfId="47120" xr:uid="{00000000-0005-0000-0000-00001EBE0000}"/>
    <cellStyle name="Remarque 4 2 2 2 2 4 9" xfId="2393" xr:uid="{00000000-0005-0000-0000-00001FBE0000}"/>
    <cellStyle name="Remarque 4 2 2 2 2 4 9 2" xfId="26407" xr:uid="{00000000-0005-0000-0000-000020BE0000}"/>
    <cellStyle name="Remarque 4 2 2 2 2 4 9 3" xfId="50367" xr:uid="{00000000-0005-0000-0000-000021BE0000}"/>
    <cellStyle name="Remarque 4 2 2 2 2 5" xfId="1150" xr:uid="{00000000-0005-0000-0000-000022BE0000}"/>
    <cellStyle name="Remarque 4 2 2 2 2 5 10" xfId="25182" xr:uid="{00000000-0005-0000-0000-000023BE0000}"/>
    <cellStyle name="Remarque 4 2 2 2 2 5 10 2" xfId="49142" xr:uid="{00000000-0005-0000-0000-000024BE0000}"/>
    <cellStyle name="Remarque 4 2 2 2 2 5 11" xfId="36404" xr:uid="{00000000-0005-0000-0000-000025BE0000}"/>
    <cellStyle name="Remarque 4 2 2 2 2 5 11 2" xfId="60364" xr:uid="{00000000-0005-0000-0000-000026BE0000}"/>
    <cellStyle name="Remarque 4 2 2 2 2 5 12" xfId="13847" xr:uid="{00000000-0005-0000-0000-000027BE0000}"/>
    <cellStyle name="Remarque 4 2 2 2 2 5 13" xfId="37807" xr:uid="{00000000-0005-0000-0000-000028BE0000}"/>
    <cellStyle name="Remarque 4 2 2 2 2 5 2" xfId="4056" xr:uid="{00000000-0005-0000-0000-000029BE0000}"/>
    <cellStyle name="Remarque 4 2 2 2 2 5 2 2" xfId="28070" xr:uid="{00000000-0005-0000-0000-00002ABE0000}"/>
    <cellStyle name="Remarque 4 2 2 2 2 5 2 2 2" xfId="52030" xr:uid="{00000000-0005-0000-0000-00002BBE0000}"/>
    <cellStyle name="Remarque 4 2 2 2 2 5 2 3" xfId="15317" xr:uid="{00000000-0005-0000-0000-00002CBE0000}"/>
    <cellStyle name="Remarque 4 2 2 2 2 5 2 4" xfId="39277" xr:uid="{00000000-0005-0000-0000-00002DBE0000}"/>
    <cellStyle name="Remarque 4 2 2 2 2 5 3" xfId="5490" xr:uid="{00000000-0005-0000-0000-00002EBE0000}"/>
    <cellStyle name="Remarque 4 2 2 2 2 5 3 2" xfId="29504" xr:uid="{00000000-0005-0000-0000-00002FBE0000}"/>
    <cellStyle name="Remarque 4 2 2 2 2 5 3 2 2" xfId="53464" xr:uid="{00000000-0005-0000-0000-000030BE0000}"/>
    <cellStyle name="Remarque 4 2 2 2 2 5 3 3" xfId="16751" xr:uid="{00000000-0005-0000-0000-000031BE0000}"/>
    <cellStyle name="Remarque 4 2 2 2 2 5 3 4" xfId="40711" xr:uid="{00000000-0005-0000-0000-000032BE0000}"/>
    <cellStyle name="Remarque 4 2 2 2 2 5 4" xfId="6884" xr:uid="{00000000-0005-0000-0000-000033BE0000}"/>
    <cellStyle name="Remarque 4 2 2 2 2 5 4 2" xfId="30898" xr:uid="{00000000-0005-0000-0000-000034BE0000}"/>
    <cellStyle name="Remarque 4 2 2 2 2 5 4 2 2" xfId="54858" xr:uid="{00000000-0005-0000-0000-000035BE0000}"/>
    <cellStyle name="Remarque 4 2 2 2 2 5 4 3" xfId="18145" xr:uid="{00000000-0005-0000-0000-000036BE0000}"/>
    <cellStyle name="Remarque 4 2 2 2 2 5 4 4" xfId="42105" xr:uid="{00000000-0005-0000-0000-000037BE0000}"/>
    <cellStyle name="Remarque 4 2 2 2 2 5 5" xfId="8272" xr:uid="{00000000-0005-0000-0000-000038BE0000}"/>
    <cellStyle name="Remarque 4 2 2 2 2 5 5 2" xfId="32286" xr:uid="{00000000-0005-0000-0000-000039BE0000}"/>
    <cellStyle name="Remarque 4 2 2 2 2 5 5 2 2" xfId="56246" xr:uid="{00000000-0005-0000-0000-00003ABE0000}"/>
    <cellStyle name="Remarque 4 2 2 2 2 5 5 3" xfId="19533" xr:uid="{00000000-0005-0000-0000-00003BBE0000}"/>
    <cellStyle name="Remarque 4 2 2 2 2 5 5 4" xfId="43493" xr:uid="{00000000-0005-0000-0000-00003CBE0000}"/>
    <cellStyle name="Remarque 4 2 2 2 2 5 6" xfId="9657" xr:uid="{00000000-0005-0000-0000-00003DBE0000}"/>
    <cellStyle name="Remarque 4 2 2 2 2 5 6 2" xfId="33671" xr:uid="{00000000-0005-0000-0000-00003EBE0000}"/>
    <cellStyle name="Remarque 4 2 2 2 2 5 6 2 2" xfId="57631" xr:uid="{00000000-0005-0000-0000-00003FBE0000}"/>
    <cellStyle name="Remarque 4 2 2 2 2 5 6 3" xfId="20918" xr:uid="{00000000-0005-0000-0000-000040BE0000}"/>
    <cellStyle name="Remarque 4 2 2 2 2 5 6 4" xfId="44878" xr:uid="{00000000-0005-0000-0000-000041BE0000}"/>
    <cellStyle name="Remarque 4 2 2 2 2 5 7" xfId="11114" xr:uid="{00000000-0005-0000-0000-000042BE0000}"/>
    <cellStyle name="Remarque 4 2 2 2 2 5 7 2" xfId="35124" xr:uid="{00000000-0005-0000-0000-000043BE0000}"/>
    <cellStyle name="Remarque 4 2 2 2 2 5 7 2 2" xfId="59084" xr:uid="{00000000-0005-0000-0000-000044BE0000}"/>
    <cellStyle name="Remarque 4 2 2 2 2 5 7 3" xfId="22381" xr:uid="{00000000-0005-0000-0000-000045BE0000}"/>
    <cellStyle name="Remarque 4 2 2 2 2 5 7 4" xfId="46341" xr:uid="{00000000-0005-0000-0000-000046BE0000}"/>
    <cellStyle name="Remarque 4 2 2 2 2 5 8" xfId="12496" xr:uid="{00000000-0005-0000-0000-000047BE0000}"/>
    <cellStyle name="Remarque 4 2 2 2 2 5 8 2" xfId="23793" xr:uid="{00000000-0005-0000-0000-000048BE0000}"/>
    <cellStyle name="Remarque 4 2 2 2 2 5 8 3" xfId="47753" xr:uid="{00000000-0005-0000-0000-000049BE0000}"/>
    <cellStyle name="Remarque 4 2 2 2 2 5 9" xfId="2586" xr:uid="{00000000-0005-0000-0000-00004ABE0000}"/>
    <cellStyle name="Remarque 4 2 2 2 2 5 9 2" xfId="26600" xr:uid="{00000000-0005-0000-0000-00004BBE0000}"/>
    <cellStyle name="Remarque 4 2 2 2 2 5 9 3" xfId="50560" xr:uid="{00000000-0005-0000-0000-00004CBE0000}"/>
    <cellStyle name="Remarque 4 2 2 2 2 6" xfId="1317" xr:uid="{00000000-0005-0000-0000-00004DBE0000}"/>
    <cellStyle name="Remarque 4 2 2 2 2 6 10" xfId="25349" xr:uid="{00000000-0005-0000-0000-00004EBE0000}"/>
    <cellStyle name="Remarque 4 2 2 2 2 6 10 2" xfId="49309" xr:uid="{00000000-0005-0000-0000-00004FBE0000}"/>
    <cellStyle name="Remarque 4 2 2 2 2 6 11" xfId="35600" xr:uid="{00000000-0005-0000-0000-000050BE0000}"/>
    <cellStyle name="Remarque 4 2 2 2 2 6 11 2" xfId="59560" xr:uid="{00000000-0005-0000-0000-000051BE0000}"/>
    <cellStyle name="Remarque 4 2 2 2 2 6 12" xfId="14014" xr:uid="{00000000-0005-0000-0000-000052BE0000}"/>
    <cellStyle name="Remarque 4 2 2 2 2 6 13" xfId="37974" xr:uid="{00000000-0005-0000-0000-000053BE0000}"/>
    <cellStyle name="Remarque 4 2 2 2 2 6 2" xfId="4223" xr:uid="{00000000-0005-0000-0000-000054BE0000}"/>
    <cellStyle name="Remarque 4 2 2 2 2 6 2 2" xfId="28237" xr:uid="{00000000-0005-0000-0000-000055BE0000}"/>
    <cellStyle name="Remarque 4 2 2 2 2 6 2 2 2" xfId="52197" xr:uid="{00000000-0005-0000-0000-000056BE0000}"/>
    <cellStyle name="Remarque 4 2 2 2 2 6 2 3" xfId="15484" xr:uid="{00000000-0005-0000-0000-000057BE0000}"/>
    <cellStyle name="Remarque 4 2 2 2 2 6 2 4" xfId="39444" xr:uid="{00000000-0005-0000-0000-000058BE0000}"/>
    <cellStyle name="Remarque 4 2 2 2 2 6 3" xfId="5657" xr:uid="{00000000-0005-0000-0000-000059BE0000}"/>
    <cellStyle name="Remarque 4 2 2 2 2 6 3 2" xfId="29671" xr:uid="{00000000-0005-0000-0000-00005ABE0000}"/>
    <cellStyle name="Remarque 4 2 2 2 2 6 3 2 2" xfId="53631" xr:uid="{00000000-0005-0000-0000-00005BBE0000}"/>
    <cellStyle name="Remarque 4 2 2 2 2 6 3 3" xfId="16918" xr:uid="{00000000-0005-0000-0000-00005CBE0000}"/>
    <cellStyle name="Remarque 4 2 2 2 2 6 3 4" xfId="40878" xr:uid="{00000000-0005-0000-0000-00005DBE0000}"/>
    <cellStyle name="Remarque 4 2 2 2 2 6 4" xfId="7051" xr:uid="{00000000-0005-0000-0000-00005EBE0000}"/>
    <cellStyle name="Remarque 4 2 2 2 2 6 4 2" xfId="31065" xr:uid="{00000000-0005-0000-0000-00005FBE0000}"/>
    <cellStyle name="Remarque 4 2 2 2 2 6 4 2 2" xfId="55025" xr:uid="{00000000-0005-0000-0000-000060BE0000}"/>
    <cellStyle name="Remarque 4 2 2 2 2 6 4 3" xfId="18312" xr:uid="{00000000-0005-0000-0000-000061BE0000}"/>
    <cellStyle name="Remarque 4 2 2 2 2 6 4 4" xfId="42272" xr:uid="{00000000-0005-0000-0000-000062BE0000}"/>
    <cellStyle name="Remarque 4 2 2 2 2 6 5" xfId="8439" xr:uid="{00000000-0005-0000-0000-000063BE0000}"/>
    <cellStyle name="Remarque 4 2 2 2 2 6 5 2" xfId="32453" xr:uid="{00000000-0005-0000-0000-000064BE0000}"/>
    <cellStyle name="Remarque 4 2 2 2 2 6 5 2 2" xfId="56413" xr:uid="{00000000-0005-0000-0000-000065BE0000}"/>
    <cellStyle name="Remarque 4 2 2 2 2 6 5 3" xfId="19700" xr:uid="{00000000-0005-0000-0000-000066BE0000}"/>
    <cellStyle name="Remarque 4 2 2 2 2 6 5 4" xfId="43660" xr:uid="{00000000-0005-0000-0000-000067BE0000}"/>
    <cellStyle name="Remarque 4 2 2 2 2 6 6" xfId="9824" xr:uid="{00000000-0005-0000-0000-000068BE0000}"/>
    <cellStyle name="Remarque 4 2 2 2 2 6 6 2" xfId="33838" xr:uid="{00000000-0005-0000-0000-000069BE0000}"/>
    <cellStyle name="Remarque 4 2 2 2 2 6 6 2 2" xfId="57798" xr:uid="{00000000-0005-0000-0000-00006ABE0000}"/>
    <cellStyle name="Remarque 4 2 2 2 2 6 6 3" xfId="21085" xr:uid="{00000000-0005-0000-0000-00006BBE0000}"/>
    <cellStyle name="Remarque 4 2 2 2 2 6 6 4" xfId="45045" xr:uid="{00000000-0005-0000-0000-00006CBE0000}"/>
    <cellStyle name="Remarque 4 2 2 2 2 6 7" xfId="11281" xr:uid="{00000000-0005-0000-0000-00006DBE0000}"/>
    <cellStyle name="Remarque 4 2 2 2 2 6 7 2" xfId="35291" xr:uid="{00000000-0005-0000-0000-00006EBE0000}"/>
    <cellStyle name="Remarque 4 2 2 2 2 6 7 2 2" xfId="59251" xr:uid="{00000000-0005-0000-0000-00006FBE0000}"/>
    <cellStyle name="Remarque 4 2 2 2 2 6 7 3" xfId="22548" xr:uid="{00000000-0005-0000-0000-000070BE0000}"/>
    <cellStyle name="Remarque 4 2 2 2 2 6 7 4" xfId="46508" xr:uid="{00000000-0005-0000-0000-000071BE0000}"/>
    <cellStyle name="Remarque 4 2 2 2 2 6 8" xfId="12474" xr:uid="{00000000-0005-0000-0000-000072BE0000}"/>
    <cellStyle name="Remarque 4 2 2 2 2 6 8 2" xfId="23770" xr:uid="{00000000-0005-0000-0000-000073BE0000}"/>
    <cellStyle name="Remarque 4 2 2 2 2 6 8 3" xfId="47730" xr:uid="{00000000-0005-0000-0000-000074BE0000}"/>
    <cellStyle name="Remarque 4 2 2 2 2 6 9" xfId="2753" xr:uid="{00000000-0005-0000-0000-000075BE0000}"/>
    <cellStyle name="Remarque 4 2 2 2 2 6 9 2" xfId="26767" xr:uid="{00000000-0005-0000-0000-000076BE0000}"/>
    <cellStyle name="Remarque 4 2 2 2 2 6 9 3" xfId="50727" xr:uid="{00000000-0005-0000-0000-000077BE0000}"/>
    <cellStyle name="Remarque 4 2 2 2 2 7" xfId="1486" xr:uid="{00000000-0005-0000-0000-000078BE0000}"/>
    <cellStyle name="Remarque 4 2 2 2 2 7 10" xfId="25518" xr:uid="{00000000-0005-0000-0000-000079BE0000}"/>
    <cellStyle name="Remarque 4 2 2 2 2 7 10 2" xfId="49478" xr:uid="{00000000-0005-0000-0000-00007ABE0000}"/>
    <cellStyle name="Remarque 4 2 2 2 2 7 11" xfId="36723" xr:uid="{00000000-0005-0000-0000-00007BBE0000}"/>
    <cellStyle name="Remarque 4 2 2 2 2 7 11 2" xfId="60683" xr:uid="{00000000-0005-0000-0000-00007CBE0000}"/>
    <cellStyle name="Remarque 4 2 2 2 2 7 12" xfId="14183" xr:uid="{00000000-0005-0000-0000-00007DBE0000}"/>
    <cellStyle name="Remarque 4 2 2 2 2 7 13" xfId="38143" xr:uid="{00000000-0005-0000-0000-00007EBE0000}"/>
    <cellStyle name="Remarque 4 2 2 2 2 7 2" xfId="4392" xr:uid="{00000000-0005-0000-0000-00007FBE0000}"/>
    <cellStyle name="Remarque 4 2 2 2 2 7 2 2" xfId="28406" xr:uid="{00000000-0005-0000-0000-000080BE0000}"/>
    <cellStyle name="Remarque 4 2 2 2 2 7 2 2 2" xfId="52366" xr:uid="{00000000-0005-0000-0000-000081BE0000}"/>
    <cellStyle name="Remarque 4 2 2 2 2 7 2 3" xfId="15653" xr:uid="{00000000-0005-0000-0000-000082BE0000}"/>
    <cellStyle name="Remarque 4 2 2 2 2 7 2 4" xfId="39613" xr:uid="{00000000-0005-0000-0000-000083BE0000}"/>
    <cellStyle name="Remarque 4 2 2 2 2 7 3" xfId="5826" xr:uid="{00000000-0005-0000-0000-000084BE0000}"/>
    <cellStyle name="Remarque 4 2 2 2 2 7 3 2" xfId="29840" xr:uid="{00000000-0005-0000-0000-000085BE0000}"/>
    <cellStyle name="Remarque 4 2 2 2 2 7 3 2 2" xfId="53800" xr:uid="{00000000-0005-0000-0000-000086BE0000}"/>
    <cellStyle name="Remarque 4 2 2 2 2 7 3 3" xfId="17087" xr:uid="{00000000-0005-0000-0000-000087BE0000}"/>
    <cellStyle name="Remarque 4 2 2 2 2 7 3 4" xfId="41047" xr:uid="{00000000-0005-0000-0000-000088BE0000}"/>
    <cellStyle name="Remarque 4 2 2 2 2 7 4" xfId="7220" xr:uid="{00000000-0005-0000-0000-000089BE0000}"/>
    <cellStyle name="Remarque 4 2 2 2 2 7 4 2" xfId="31234" xr:uid="{00000000-0005-0000-0000-00008ABE0000}"/>
    <cellStyle name="Remarque 4 2 2 2 2 7 4 2 2" xfId="55194" xr:uid="{00000000-0005-0000-0000-00008BBE0000}"/>
    <cellStyle name="Remarque 4 2 2 2 2 7 4 3" xfId="18481" xr:uid="{00000000-0005-0000-0000-00008CBE0000}"/>
    <cellStyle name="Remarque 4 2 2 2 2 7 4 4" xfId="42441" xr:uid="{00000000-0005-0000-0000-00008DBE0000}"/>
    <cellStyle name="Remarque 4 2 2 2 2 7 5" xfId="8608" xr:uid="{00000000-0005-0000-0000-00008EBE0000}"/>
    <cellStyle name="Remarque 4 2 2 2 2 7 5 2" xfId="32622" xr:uid="{00000000-0005-0000-0000-00008FBE0000}"/>
    <cellStyle name="Remarque 4 2 2 2 2 7 5 2 2" xfId="56582" xr:uid="{00000000-0005-0000-0000-000090BE0000}"/>
    <cellStyle name="Remarque 4 2 2 2 2 7 5 3" xfId="19869" xr:uid="{00000000-0005-0000-0000-000091BE0000}"/>
    <cellStyle name="Remarque 4 2 2 2 2 7 5 4" xfId="43829" xr:uid="{00000000-0005-0000-0000-000092BE0000}"/>
    <cellStyle name="Remarque 4 2 2 2 2 7 6" xfId="9993" xr:uid="{00000000-0005-0000-0000-000093BE0000}"/>
    <cellStyle name="Remarque 4 2 2 2 2 7 6 2" xfId="34007" xr:uid="{00000000-0005-0000-0000-000094BE0000}"/>
    <cellStyle name="Remarque 4 2 2 2 2 7 6 2 2" xfId="57967" xr:uid="{00000000-0005-0000-0000-000095BE0000}"/>
    <cellStyle name="Remarque 4 2 2 2 2 7 6 3" xfId="21254" xr:uid="{00000000-0005-0000-0000-000096BE0000}"/>
    <cellStyle name="Remarque 4 2 2 2 2 7 6 4" xfId="45214" xr:uid="{00000000-0005-0000-0000-000097BE0000}"/>
    <cellStyle name="Remarque 4 2 2 2 2 7 7" xfId="11450" xr:uid="{00000000-0005-0000-0000-000098BE0000}"/>
    <cellStyle name="Remarque 4 2 2 2 2 7 7 2" xfId="35460" xr:uid="{00000000-0005-0000-0000-000099BE0000}"/>
    <cellStyle name="Remarque 4 2 2 2 2 7 7 2 2" xfId="59420" xr:uid="{00000000-0005-0000-0000-00009ABE0000}"/>
    <cellStyle name="Remarque 4 2 2 2 2 7 7 3" xfId="22717" xr:uid="{00000000-0005-0000-0000-00009BBE0000}"/>
    <cellStyle name="Remarque 4 2 2 2 2 7 7 4" xfId="46677" xr:uid="{00000000-0005-0000-0000-00009CBE0000}"/>
    <cellStyle name="Remarque 4 2 2 2 2 7 8" xfId="12467" xr:uid="{00000000-0005-0000-0000-00009DBE0000}"/>
    <cellStyle name="Remarque 4 2 2 2 2 7 8 2" xfId="23762" xr:uid="{00000000-0005-0000-0000-00009EBE0000}"/>
    <cellStyle name="Remarque 4 2 2 2 2 7 8 3" xfId="47722" xr:uid="{00000000-0005-0000-0000-00009FBE0000}"/>
    <cellStyle name="Remarque 4 2 2 2 2 7 9" xfId="2922" xr:uid="{00000000-0005-0000-0000-0000A0BE0000}"/>
    <cellStyle name="Remarque 4 2 2 2 2 7 9 2" xfId="26936" xr:uid="{00000000-0005-0000-0000-0000A1BE0000}"/>
    <cellStyle name="Remarque 4 2 2 2 2 7 9 3" xfId="50896" xr:uid="{00000000-0005-0000-0000-0000A2BE0000}"/>
    <cellStyle name="Remarque 4 2 2 2 2 8" xfId="3341" xr:uid="{00000000-0005-0000-0000-0000A3BE0000}"/>
    <cellStyle name="Remarque 4 2 2 2 2 8 2" xfId="27355" xr:uid="{00000000-0005-0000-0000-0000A4BE0000}"/>
    <cellStyle name="Remarque 4 2 2 2 2 8 2 2" xfId="51315" xr:uid="{00000000-0005-0000-0000-0000A5BE0000}"/>
    <cellStyle name="Remarque 4 2 2 2 2 8 3" xfId="14602" xr:uid="{00000000-0005-0000-0000-0000A6BE0000}"/>
    <cellStyle name="Remarque 4 2 2 2 2 8 4" xfId="38562" xr:uid="{00000000-0005-0000-0000-0000A7BE0000}"/>
    <cellStyle name="Remarque 4 2 2 2 2 9" xfId="4775" xr:uid="{00000000-0005-0000-0000-0000A8BE0000}"/>
    <cellStyle name="Remarque 4 2 2 2 2 9 2" xfId="28789" xr:uid="{00000000-0005-0000-0000-0000A9BE0000}"/>
    <cellStyle name="Remarque 4 2 2 2 2 9 2 2" xfId="52749" xr:uid="{00000000-0005-0000-0000-0000AABE0000}"/>
    <cellStyle name="Remarque 4 2 2 2 2 9 3" xfId="16036" xr:uid="{00000000-0005-0000-0000-0000ABBE0000}"/>
    <cellStyle name="Remarque 4 2 2 2 2 9 4" xfId="39996" xr:uid="{00000000-0005-0000-0000-0000ACBE0000}"/>
    <cellStyle name="Remarque 4 2 2 2 20" xfId="12957" xr:uid="{00000000-0005-0000-0000-0000ADBE0000}"/>
    <cellStyle name="Remarque 4 2 2 2 21" xfId="36917" xr:uid="{00000000-0005-0000-0000-0000AEBE0000}"/>
    <cellStyle name="Remarque 4 2 2 2 22" xfId="260" xr:uid="{00000000-0005-0000-0000-0000AFBE0000}"/>
    <cellStyle name="Remarque 4 2 2 2 3" xfId="359" xr:uid="{00000000-0005-0000-0000-0000B0BE0000}"/>
    <cellStyle name="Remarque 4 2 2 2 3 10" xfId="24391" xr:uid="{00000000-0005-0000-0000-0000B1BE0000}"/>
    <cellStyle name="Remarque 4 2 2 2 3 10 2" xfId="48351" xr:uid="{00000000-0005-0000-0000-0000B2BE0000}"/>
    <cellStyle name="Remarque 4 2 2 2 3 11" xfId="36236" xr:uid="{00000000-0005-0000-0000-0000B3BE0000}"/>
    <cellStyle name="Remarque 4 2 2 2 3 11 2" xfId="60196" xr:uid="{00000000-0005-0000-0000-0000B4BE0000}"/>
    <cellStyle name="Remarque 4 2 2 2 3 12" xfId="13056" xr:uid="{00000000-0005-0000-0000-0000B5BE0000}"/>
    <cellStyle name="Remarque 4 2 2 2 3 13" xfId="37016" xr:uid="{00000000-0005-0000-0000-0000B6BE0000}"/>
    <cellStyle name="Remarque 4 2 2 2 3 2" xfId="3265" xr:uid="{00000000-0005-0000-0000-0000B7BE0000}"/>
    <cellStyle name="Remarque 4 2 2 2 3 2 2" xfId="27279" xr:uid="{00000000-0005-0000-0000-0000B8BE0000}"/>
    <cellStyle name="Remarque 4 2 2 2 3 2 2 2" xfId="51239" xr:uid="{00000000-0005-0000-0000-0000B9BE0000}"/>
    <cellStyle name="Remarque 4 2 2 2 3 2 3" xfId="14526" xr:uid="{00000000-0005-0000-0000-0000BABE0000}"/>
    <cellStyle name="Remarque 4 2 2 2 3 2 4" xfId="38486" xr:uid="{00000000-0005-0000-0000-0000BBBE0000}"/>
    <cellStyle name="Remarque 4 2 2 2 3 3" xfId="4699" xr:uid="{00000000-0005-0000-0000-0000BCBE0000}"/>
    <cellStyle name="Remarque 4 2 2 2 3 3 2" xfId="28713" xr:uid="{00000000-0005-0000-0000-0000BDBE0000}"/>
    <cellStyle name="Remarque 4 2 2 2 3 3 2 2" xfId="52673" xr:uid="{00000000-0005-0000-0000-0000BEBE0000}"/>
    <cellStyle name="Remarque 4 2 2 2 3 3 3" xfId="15960" xr:uid="{00000000-0005-0000-0000-0000BFBE0000}"/>
    <cellStyle name="Remarque 4 2 2 2 3 3 4" xfId="39920" xr:uid="{00000000-0005-0000-0000-0000C0BE0000}"/>
    <cellStyle name="Remarque 4 2 2 2 3 4" xfId="6093" xr:uid="{00000000-0005-0000-0000-0000C1BE0000}"/>
    <cellStyle name="Remarque 4 2 2 2 3 4 2" xfId="30107" xr:uid="{00000000-0005-0000-0000-0000C2BE0000}"/>
    <cellStyle name="Remarque 4 2 2 2 3 4 2 2" xfId="54067" xr:uid="{00000000-0005-0000-0000-0000C3BE0000}"/>
    <cellStyle name="Remarque 4 2 2 2 3 4 3" xfId="17354" xr:uid="{00000000-0005-0000-0000-0000C4BE0000}"/>
    <cellStyle name="Remarque 4 2 2 2 3 4 4" xfId="41314" xr:uid="{00000000-0005-0000-0000-0000C5BE0000}"/>
    <cellStyle name="Remarque 4 2 2 2 3 5" xfId="7481" xr:uid="{00000000-0005-0000-0000-0000C6BE0000}"/>
    <cellStyle name="Remarque 4 2 2 2 3 5 2" xfId="31495" xr:uid="{00000000-0005-0000-0000-0000C7BE0000}"/>
    <cellStyle name="Remarque 4 2 2 2 3 5 2 2" xfId="55455" xr:uid="{00000000-0005-0000-0000-0000C8BE0000}"/>
    <cellStyle name="Remarque 4 2 2 2 3 5 3" xfId="18742" xr:uid="{00000000-0005-0000-0000-0000C9BE0000}"/>
    <cellStyle name="Remarque 4 2 2 2 3 5 4" xfId="42702" xr:uid="{00000000-0005-0000-0000-0000CABE0000}"/>
    <cellStyle name="Remarque 4 2 2 2 3 6" xfId="8866" xr:uid="{00000000-0005-0000-0000-0000CBBE0000}"/>
    <cellStyle name="Remarque 4 2 2 2 3 6 2" xfId="32880" xr:uid="{00000000-0005-0000-0000-0000CCBE0000}"/>
    <cellStyle name="Remarque 4 2 2 2 3 6 2 2" xfId="56840" xr:uid="{00000000-0005-0000-0000-0000CDBE0000}"/>
    <cellStyle name="Remarque 4 2 2 2 3 6 3" xfId="20127" xr:uid="{00000000-0005-0000-0000-0000CEBE0000}"/>
    <cellStyle name="Remarque 4 2 2 2 3 6 4" xfId="44087" xr:uid="{00000000-0005-0000-0000-0000CFBE0000}"/>
    <cellStyle name="Remarque 4 2 2 2 3 7" xfId="10323" xr:uid="{00000000-0005-0000-0000-0000D0BE0000}"/>
    <cellStyle name="Remarque 4 2 2 2 3 7 2" xfId="34333" xr:uid="{00000000-0005-0000-0000-0000D1BE0000}"/>
    <cellStyle name="Remarque 4 2 2 2 3 7 2 2" xfId="58293" xr:uid="{00000000-0005-0000-0000-0000D2BE0000}"/>
    <cellStyle name="Remarque 4 2 2 2 3 7 3" xfId="21590" xr:uid="{00000000-0005-0000-0000-0000D3BE0000}"/>
    <cellStyle name="Remarque 4 2 2 2 3 7 4" xfId="45550" xr:uid="{00000000-0005-0000-0000-0000D4BE0000}"/>
    <cellStyle name="Remarque 4 2 2 2 3 8" xfId="11909" xr:uid="{00000000-0005-0000-0000-0000D5BE0000}"/>
    <cellStyle name="Remarque 4 2 2 2 3 8 2" xfId="23187" xr:uid="{00000000-0005-0000-0000-0000D6BE0000}"/>
    <cellStyle name="Remarque 4 2 2 2 3 8 3" xfId="47147" xr:uid="{00000000-0005-0000-0000-0000D7BE0000}"/>
    <cellStyle name="Remarque 4 2 2 2 3 9" xfId="1795" xr:uid="{00000000-0005-0000-0000-0000D8BE0000}"/>
    <cellStyle name="Remarque 4 2 2 2 3 9 2" xfId="25809" xr:uid="{00000000-0005-0000-0000-0000D9BE0000}"/>
    <cellStyle name="Remarque 4 2 2 2 3 9 3" xfId="49769" xr:uid="{00000000-0005-0000-0000-0000DABE0000}"/>
    <cellStyle name="Remarque 4 2 2 2 4" xfId="495" xr:uid="{00000000-0005-0000-0000-0000DBBE0000}"/>
    <cellStyle name="Remarque 4 2 2 2 4 10" xfId="24527" xr:uid="{00000000-0005-0000-0000-0000DCBE0000}"/>
    <cellStyle name="Remarque 4 2 2 2 4 10 2" xfId="48487" xr:uid="{00000000-0005-0000-0000-0000DDBE0000}"/>
    <cellStyle name="Remarque 4 2 2 2 4 11" xfId="35842" xr:uid="{00000000-0005-0000-0000-0000DEBE0000}"/>
    <cellStyle name="Remarque 4 2 2 2 4 11 2" xfId="59802" xr:uid="{00000000-0005-0000-0000-0000DFBE0000}"/>
    <cellStyle name="Remarque 4 2 2 2 4 12" xfId="13192" xr:uid="{00000000-0005-0000-0000-0000E0BE0000}"/>
    <cellStyle name="Remarque 4 2 2 2 4 13" xfId="37152" xr:uid="{00000000-0005-0000-0000-0000E1BE0000}"/>
    <cellStyle name="Remarque 4 2 2 2 4 2" xfId="3401" xr:uid="{00000000-0005-0000-0000-0000E2BE0000}"/>
    <cellStyle name="Remarque 4 2 2 2 4 2 2" xfId="27415" xr:uid="{00000000-0005-0000-0000-0000E3BE0000}"/>
    <cellStyle name="Remarque 4 2 2 2 4 2 2 2" xfId="51375" xr:uid="{00000000-0005-0000-0000-0000E4BE0000}"/>
    <cellStyle name="Remarque 4 2 2 2 4 2 3" xfId="14662" xr:uid="{00000000-0005-0000-0000-0000E5BE0000}"/>
    <cellStyle name="Remarque 4 2 2 2 4 2 4" xfId="38622" xr:uid="{00000000-0005-0000-0000-0000E6BE0000}"/>
    <cellStyle name="Remarque 4 2 2 2 4 3" xfId="4835" xr:uid="{00000000-0005-0000-0000-0000E7BE0000}"/>
    <cellStyle name="Remarque 4 2 2 2 4 3 2" xfId="28849" xr:uid="{00000000-0005-0000-0000-0000E8BE0000}"/>
    <cellStyle name="Remarque 4 2 2 2 4 3 2 2" xfId="52809" xr:uid="{00000000-0005-0000-0000-0000E9BE0000}"/>
    <cellStyle name="Remarque 4 2 2 2 4 3 3" xfId="16096" xr:uid="{00000000-0005-0000-0000-0000EABE0000}"/>
    <cellStyle name="Remarque 4 2 2 2 4 3 4" xfId="40056" xr:uid="{00000000-0005-0000-0000-0000EBBE0000}"/>
    <cellStyle name="Remarque 4 2 2 2 4 4" xfId="6229" xr:uid="{00000000-0005-0000-0000-0000ECBE0000}"/>
    <cellStyle name="Remarque 4 2 2 2 4 4 2" xfId="30243" xr:uid="{00000000-0005-0000-0000-0000EDBE0000}"/>
    <cellStyle name="Remarque 4 2 2 2 4 4 2 2" xfId="54203" xr:uid="{00000000-0005-0000-0000-0000EEBE0000}"/>
    <cellStyle name="Remarque 4 2 2 2 4 4 3" xfId="17490" xr:uid="{00000000-0005-0000-0000-0000EFBE0000}"/>
    <cellStyle name="Remarque 4 2 2 2 4 4 4" xfId="41450" xr:uid="{00000000-0005-0000-0000-0000F0BE0000}"/>
    <cellStyle name="Remarque 4 2 2 2 4 5" xfId="7617" xr:uid="{00000000-0005-0000-0000-0000F1BE0000}"/>
    <cellStyle name="Remarque 4 2 2 2 4 5 2" xfId="31631" xr:uid="{00000000-0005-0000-0000-0000F2BE0000}"/>
    <cellStyle name="Remarque 4 2 2 2 4 5 2 2" xfId="55591" xr:uid="{00000000-0005-0000-0000-0000F3BE0000}"/>
    <cellStyle name="Remarque 4 2 2 2 4 5 3" xfId="18878" xr:uid="{00000000-0005-0000-0000-0000F4BE0000}"/>
    <cellStyle name="Remarque 4 2 2 2 4 5 4" xfId="42838" xr:uid="{00000000-0005-0000-0000-0000F5BE0000}"/>
    <cellStyle name="Remarque 4 2 2 2 4 6" xfId="9002" xr:uid="{00000000-0005-0000-0000-0000F6BE0000}"/>
    <cellStyle name="Remarque 4 2 2 2 4 6 2" xfId="33016" xr:uid="{00000000-0005-0000-0000-0000F7BE0000}"/>
    <cellStyle name="Remarque 4 2 2 2 4 6 2 2" xfId="56976" xr:uid="{00000000-0005-0000-0000-0000F8BE0000}"/>
    <cellStyle name="Remarque 4 2 2 2 4 6 3" xfId="20263" xr:uid="{00000000-0005-0000-0000-0000F9BE0000}"/>
    <cellStyle name="Remarque 4 2 2 2 4 6 4" xfId="44223" xr:uid="{00000000-0005-0000-0000-0000FABE0000}"/>
    <cellStyle name="Remarque 4 2 2 2 4 7" xfId="10459" xr:uid="{00000000-0005-0000-0000-0000FBBE0000}"/>
    <cellStyle name="Remarque 4 2 2 2 4 7 2" xfId="34469" xr:uid="{00000000-0005-0000-0000-0000FCBE0000}"/>
    <cellStyle name="Remarque 4 2 2 2 4 7 2 2" xfId="58429" xr:uid="{00000000-0005-0000-0000-0000FDBE0000}"/>
    <cellStyle name="Remarque 4 2 2 2 4 7 3" xfId="21726" xr:uid="{00000000-0005-0000-0000-0000FEBE0000}"/>
    <cellStyle name="Remarque 4 2 2 2 4 7 4" xfId="45686" xr:uid="{00000000-0005-0000-0000-0000FFBE0000}"/>
    <cellStyle name="Remarque 4 2 2 2 4 8" xfId="11616" xr:uid="{00000000-0005-0000-0000-000000BF0000}"/>
    <cellStyle name="Remarque 4 2 2 2 4 8 2" xfId="22884" xr:uid="{00000000-0005-0000-0000-000001BF0000}"/>
    <cellStyle name="Remarque 4 2 2 2 4 8 3" xfId="46844" xr:uid="{00000000-0005-0000-0000-000002BF0000}"/>
    <cellStyle name="Remarque 4 2 2 2 4 9" xfId="1931" xr:uid="{00000000-0005-0000-0000-000003BF0000}"/>
    <cellStyle name="Remarque 4 2 2 2 4 9 2" xfId="25945" xr:uid="{00000000-0005-0000-0000-000004BF0000}"/>
    <cellStyle name="Remarque 4 2 2 2 4 9 3" xfId="49905" xr:uid="{00000000-0005-0000-0000-000005BF0000}"/>
    <cellStyle name="Remarque 4 2 2 2 5" xfId="687" xr:uid="{00000000-0005-0000-0000-000006BF0000}"/>
    <cellStyle name="Remarque 4 2 2 2 5 10" xfId="24719" xr:uid="{00000000-0005-0000-0000-000007BF0000}"/>
    <cellStyle name="Remarque 4 2 2 2 5 10 2" xfId="48679" xr:uid="{00000000-0005-0000-0000-000008BF0000}"/>
    <cellStyle name="Remarque 4 2 2 2 5 11" xfId="35623" xr:uid="{00000000-0005-0000-0000-000009BF0000}"/>
    <cellStyle name="Remarque 4 2 2 2 5 11 2" xfId="59583" xr:uid="{00000000-0005-0000-0000-00000ABF0000}"/>
    <cellStyle name="Remarque 4 2 2 2 5 12" xfId="13384" xr:uid="{00000000-0005-0000-0000-00000BBF0000}"/>
    <cellStyle name="Remarque 4 2 2 2 5 13" xfId="37344" xr:uid="{00000000-0005-0000-0000-00000CBF0000}"/>
    <cellStyle name="Remarque 4 2 2 2 5 2" xfId="3593" xr:uid="{00000000-0005-0000-0000-00000DBF0000}"/>
    <cellStyle name="Remarque 4 2 2 2 5 2 2" xfId="27607" xr:uid="{00000000-0005-0000-0000-00000EBF0000}"/>
    <cellStyle name="Remarque 4 2 2 2 5 2 2 2" xfId="51567" xr:uid="{00000000-0005-0000-0000-00000FBF0000}"/>
    <cellStyle name="Remarque 4 2 2 2 5 2 3" xfId="14854" xr:uid="{00000000-0005-0000-0000-000010BF0000}"/>
    <cellStyle name="Remarque 4 2 2 2 5 2 4" xfId="38814" xr:uid="{00000000-0005-0000-0000-000011BF0000}"/>
    <cellStyle name="Remarque 4 2 2 2 5 3" xfId="5027" xr:uid="{00000000-0005-0000-0000-000012BF0000}"/>
    <cellStyle name="Remarque 4 2 2 2 5 3 2" xfId="29041" xr:uid="{00000000-0005-0000-0000-000013BF0000}"/>
    <cellStyle name="Remarque 4 2 2 2 5 3 2 2" xfId="53001" xr:uid="{00000000-0005-0000-0000-000014BF0000}"/>
    <cellStyle name="Remarque 4 2 2 2 5 3 3" xfId="16288" xr:uid="{00000000-0005-0000-0000-000015BF0000}"/>
    <cellStyle name="Remarque 4 2 2 2 5 3 4" xfId="40248" xr:uid="{00000000-0005-0000-0000-000016BF0000}"/>
    <cellStyle name="Remarque 4 2 2 2 5 4" xfId="6421" xr:uid="{00000000-0005-0000-0000-000017BF0000}"/>
    <cellStyle name="Remarque 4 2 2 2 5 4 2" xfId="30435" xr:uid="{00000000-0005-0000-0000-000018BF0000}"/>
    <cellStyle name="Remarque 4 2 2 2 5 4 2 2" xfId="54395" xr:uid="{00000000-0005-0000-0000-000019BF0000}"/>
    <cellStyle name="Remarque 4 2 2 2 5 4 3" xfId="17682" xr:uid="{00000000-0005-0000-0000-00001ABF0000}"/>
    <cellStyle name="Remarque 4 2 2 2 5 4 4" xfId="41642" xr:uid="{00000000-0005-0000-0000-00001BBF0000}"/>
    <cellStyle name="Remarque 4 2 2 2 5 5" xfId="7809" xr:uid="{00000000-0005-0000-0000-00001CBF0000}"/>
    <cellStyle name="Remarque 4 2 2 2 5 5 2" xfId="31823" xr:uid="{00000000-0005-0000-0000-00001DBF0000}"/>
    <cellStyle name="Remarque 4 2 2 2 5 5 2 2" xfId="55783" xr:uid="{00000000-0005-0000-0000-00001EBF0000}"/>
    <cellStyle name="Remarque 4 2 2 2 5 5 3" xfId="19070" xr:uid="{00000000-0005-0000-0000-00001FBF0000}"/>
    <cellStyle name="Remarque 4 2 2 2 5 5 4" xfId="43030" xr:uid="{00000000-0005-0000-0000-000020BF0000}"/>
    <cellStyle name="Remarque 4 2 2 2 5 6" xfId="9194" xr:uid="{00000000-0005-0000-0000-000021BF0000}"/>
    <cellStyle name="Remarque 4 2 2 2 5 6 2" xfId="33208" xr:uid="{00000000-0005-0000-0000-000022BF0000}"/>
    <cellStyle name="Remarque 4 2 2 2 5 6 2 2" xfId="57168" xr:uid="{00000000-0005-0000-0000-000023BF0000}"/>
    <cellStyle name="Remarque 4 2 2 2 5 6 3" xfId="20455" xr:uid="{00000000-0005-0000-0000-000024BF0000}"/>
    <cellStyle name="Remarque 4 2 2 2 5 6 4" xfId="44415" xr:uid="{00000000-0005-0000-0000-000025BF0000}"/>
    <cellStyle name="Remarque 4 2 2 2 5 7" xfId="10651" xr:uid="{00000000-0005-0000-0000-000026BF0000}"/>
    <cellStyle name="Remarque 4 2 2 2 5 7 2" xfId="34661" xr:uid="{00000000-0005-0000-0000-000027BF0000}"/>
    <cellStyle name="Remarque 4 2 2 2 5 7 2 2" xfId="58621" xr:uid="{00000000-0005-0000-0000-000028BF0000}"/>
    <cellStyle name="Remarque 4 2 2 2 5 7 3" xfId="21918" xr:uid="{00000000-0005-0000-0000-000029BF0000}"/>
    <cellStyle name="Remarque 4 2 2 2 5 7 4" xfId="45878" xr:uid="{00000000-0005-0000-0000-00002ABF0000}"/>
    <cellStyle name="Remarque 4 2 2 2 5 8" xfId="11578" xr:uid="{00000000-0005-0000-0000-00002BBF0000}"/>
    <cellStyle name="Remarque 4 2 2 2 5 8 2" xfId="22845" xr:uid="{00000000-0005-0000-0000-00002CBF0000}"/>
    <cellStyle name="Remarque 4 2 2 2 5 8 3" xfId="46805" xr:uid="{00000000-0005-0000-0000-00002DBF0000}"/>
    <cellStyle name="Remarque 4 2 2 2 5 9" xfId="2123" xr:uid="{00000000-0005-0000-0000-00002EBF0000}"/>
    <cellStyle name="Remarque 4 2 2 2 5 9 2" xfId="26137" xr:uid="{00000000-0005-0000-0000-00002FBF0000}"/>
    <cellStyle name="Remarque 4 2 2 2 5 9 3" xfId="50097" xr:uid="{00000000-0005-0000-0000-000030BF0000}"/>
    <cellStyle name="Remarque 4 2 2 2 6" xfId="881" xr:uid="{00000000-0005-0000-0000-000031BF0000}"/>
    <cellStyle name="Remarque 4 2 2 2 6 10" xfId="24913" xr:uid="{00000000-0005-0000-0000-000032BF0000}"/>
    <cellStyle name="Remarque 4 2 2 2 6 10 2" xfId="48873" xr:uid="{00000000-0005-0000-0000-000033BF0000}"/>
    <cellStyle name="Remarque 4 2 2 2 6 11" xfId="36813" xr:uid="{00000000-0005-0000-0000-000034BF0000}"/>
    <cellStyle name="Remarque 4 2 2 2 6 11 2" xfId="60773" xr:uid="{00000000-0005-0000-0000-000035BF0000}"/>
    <cellStyle name="Remarque 4 2 2 2 6 12" xfId="13578" xr:uid="{00000000-0005-0000-0000-000036BF0000}"/>
    <cellStyle name="Remarque 4 2 2 2 6 13" xfId="37538" xr:uid="{00000000-0005-0000-0000-000037BF0000}"/>
    <cellStyle name="Remarque 4 2 2 2 6 2" xfId="3787" xr:uid="{00000000-0005-0000-0000-000038BF0000}"/>
    <cellStyle name="Remarque 4 2 2 2 6 2 2" xfId="27801" xr:uid="{00000000-0005-0000-0000-000039BF0000}"/>
    <cellStyle name="Remarque 4 2 2 2 6 2 2 2" xfId="51761" xr:uid="{00000000-0005-0000-0000-00003ABF0000}"/>
    <cellStyle name="Remarque 4 2 2 2 6 2 3" xfId="15048" xr:uid="{00000000-0005-0000-0000-00003BBF0000}"/>
    <cellStyle name="Remarque 4 2 2 2 6 2 4" xfId="39008" xr:uid="{00000000-0005-0000-0000-00003CBF0000}"/>
    <cellStyle name="Remarque 4 2 2 2 6 3" xfId="5221" xr:uid="{00000000-0005-0000-0000-00003DBF0000}"/>
    <cellStyle name="Remarque 4 2 2 2 6 3 2" xfId="29235" xr:uid="{00000000-0005-0000-0000-00003EBF0000}"/>
    <cellStyle name="Remarque 4 2 2 2 6 3 2 2" xfId="53195" xr:uid="{00000000-0005-0000-0000-00003FBF0000}"/>
    <cellStyle name="Remarque 4 2 2 2 6 3 3" xfId="16482" xr:uid="{00000000-0005-0000-0000-000040BF0000}"/>
    <cellStyle name="Remarque 4 2 2 2 6 3 4" xfId="40442" xr:uid="{00000000-0005-0000-0000-000041BF0000}"/>
    <cellStyle name="Remarque 4 2 2 2 6 4" xfId="6615" xr:uid="{00000000-0005-0000-0000-000042BF0000}"/>
    <cellStyle name="Remarque 4 2 2 2 6 4 2" xfId="30629" xr:uid="{00000000-0005-0000-0000-000043BF0000}"/>
    <cellStyle name="Remarque 4 2 2 2 6 4 2 2" xfId="54589" xr:uid="{00000000-0005-0000-0000-000044BF0000}"/>
    <cellStyle name="Remarque 4 2 2 2 6 4 3" xfId="17876" xr:uid="{00000000-0005-0000-0000-000045BF0000}"/>
    <cellStyle name="Remarque 4 2 2 2 6 4 4" xfId="41836" xr:uid="{00000000-0005-0000-0000-000046BF0000}"/>
    <cellStyle name="Remarque 4 2 2 2 6 5" xfId="8003" xr:uid="{00000000-0005-0000-0000-000047BF0000}"/>
    <cellStyle name="Remarque 4 2 2 2 6 5 2" xfId="32017" xr:uid="{00000000-0005-0000-0000-000048BF0000}"/>
    <cellStyle name="Remarque 4 2 2 2 6 5 2 2" xfId="55977" xr:uid="{00000000-0005-0000-0000-000049BF0000}"/>
    <cellStyle name="Remarque 4 2 2 2 6 5 3" xfId="19264" xr:uid="{00000000-0005-0000-0000-00004ABF0000}"/>
    <cellStyle name="Remarque 4 2 2 2 6 5 4" xfId="43224" xr:uid="{00000000-0005-0000-0000-00004BBF0000}"/>
    <cellStyle name="Remarque 4 2 2 2 6 6" xfId="9388" xr:uid="{00000000-0005-0000-0000-00004CBF0000}"/>
    <cellStyle name="Remarque 4 2 2 2 6 6 2" xfId="33402" xr:uid="{00000000-0005-0000-0000-00004DBF0000}"/>
    <cellStyle name="Remarque 4 2 2 2 6 6 2 2" xfId="57362" xr:uid="{00000000-0005-0000-0000-00004EBF0000}"/>
    <cellStyle name="Remarque 4 2 2 2 6 6 3" xfId="20649" xr:uid="{00000000-0005-0000-0000-00004FBF0000}"/>
    <cellStyle name="Remarque 4 2 2 2 6 6 4" xfId="44609" xr:uid="{00000000-0005-0000-0000-000050BF0000}"/>
    <cellStyle name="Remarque 4 2 2 2 6 7" xfId="10845" xr:uid="{00000000-0005-0000-0000-000051BF0000}"/>
    <cellStyle name="Remarque 4 2 2 2 6 7 2" xfId="34855" xr:uid="{00000000-0005-0000-0000-000052BF0000}"/>
    <cellStyle name="Remarque 4 2 2 2 6 7 2 2" xfId="58815" xr:uid="{00000000-0005-0000-0000-000053BF0000}"/>
    <cellStyle name="Remarque 4 2 2 2 6 7 3" xfId="22112" xr:uid="{00000000-0005-0000-0000-000054BF0000}"/>
    <cellStyle name="Remarque 4 2 2 2 6 7 4" xfId="46072" xr:uid="{00000000-0005-0000-0000-000055BF0000}"/>
    <cellStyle name="Remarque 4 2 2 2 6 8" xfId="11880" xr:uid="{00000000-0005-0000-0000-000056BF0000}"/>
    <cellStyle name="Remarque 4 2 2 2 6 8 2" xfId="23157" xr:uid="{00000000-0005-0000-0000-000057BF0000}"/>
    <cellStyle name="Remarque 4 2 2 2 6 8 3" xfId="47117" xr:uid="{00000000-0005-0000-0000-000058BF0000}"/>
    <cellStyle name="Remarque 4 2 2 2 6 9" xfId="2317" xr:uid="{00000000-0005-0000-0000-000059BF0000}"/>
    <cellStyle name="Remarque 4 2 2 2 6 9 2" xfId="26331" xr:uid="{00000000-0005-0000-0000-00005ABF0000}"/>
    <cellStyle name="Remarque 4 2 2 2 6 9 3" xfId="50291" xr:uid="{00000000-0005-0000-0000-00005BBF0000}"/>
    <cellStyle name="Remarque 4 2 2 2 7" xfId="1074" xr:uid="{00000000-0005-0000-0000-00005CBF0000}"/>
    <cellStyle name="Remarque 4 2 2 2 7 10" xfId="25106" xr:uid="{00000000-0005-0000-0000-00005DBF0000}"/>
    <cellStyle name="Remarque 4 2 2 2 7 10 2" xfId="49066" xr:uid="{00000000-0005-0000-0000-00005EBF0000}"/>
    <cellStyle name="Remarque 4 2 2 2 7 11" xfId="36445" xr:uid="{00000000-0005-0000-0000-00005FBF0000}"/>
    <cellStyle name="Remarque 4 2 2 2 7 11 2" xfId="60405" xr:uid="{00000000-0005-0000-0000-000060BF0000}"/>
    <cellStyle name="Remarque 4 2 2 2 7 12" xfId="13771" xr:uid="{00000000-0005-0000-0000-000061BF0000}"/>
    <cellStyle name="Remarque 4 2 2 2 7 13" xfId="37731" xr:uid="{00000000-0005-0000-0000-000062BF0000}"/>
    <cellStyle name="Remarque 4 2 2 2 7 2" xfId="3980" xr:uid="{00000000-0005-0000-0000-000063BF0000}"/>
    <cellStyle name="Remarque 4 2 2 2 7 2 2" xfId="27994" xr:uid="{00000000-0005-0000-0000-000064BF0000}"/>
    <cellStyle name="Remarque 4 2 2 2 7 2 2 2" xfId="51954" xr:uid="{00000000-0005-0000-0000-000065BF0000}"/>
    <cellStyle name="Remarque 4 2 2 2 7 2 3" xfId="15241" xr:uid="{00000000-0005-0000-0000-000066BF0000}"/>
    <cellStyle name="Remarque 4 2 2 2 7 2 4" xfId="39201" xr:uid="{00000000-0005-0000-0000-000067BF0000}"/>
    <cellStyle name="Remarque 4 2 2 2 7 3" xfId="5414" xr:uid="{00000000-0005-0000-0000-000068BF0000}"/>
    <cellStyle name="Remarque 4 2 2 2 7 3 2" xfId="29428" xr:uid="{00000000-0005-0000-0000-000069BF0000}"/>
    <cellStyle name="Remarque 4 2 2 2 7 3 2 2" xfId="53388" xr:uid="{00000000-0005-0000-0000-00006ABF0000}"/>
    <cellStyle name="Remarque 4 2 2 2 7 3 3" xfId="16675" xr:uid="{00000000-0005-0000-0000-00006BBF0000}"/>
    <cellStyle name="Remarque 4 2 2 2 7 3 4" xfId="40635" xr:uid="{00000000-0005-0000-0000-00006CBF0000}"/>
    <cellStyle name="Remarque 4 2 2 2 7 4" xfId="6808" xr:uid="{00000000-0005-0000-0000-00006DBF0000}"/>
    <cellStyle name="Remarque 4 2 2 2 7 4 2" xfId="30822" xr:uid="{00000000-0005-0000-0000-00006EBF0000}"/>
    <cellStyle name="Remarque 4 2 2 2 7 4 2 2" xfId="54782" xr:uid="{00000000-0005-0000-0000-00006FBF0000}"/>
    <cellStyle name="Remarque 4 2 2 2 7 4 3" xfId="18069" xr:uid="{00000000-0005-0000-0000-000070BF0000}"/>
    <cellStyle name="Remarque 4 2 2 2 7 4 4" xfId="42029" xr:uid="{00000000-0005-0000-0000-000071BF0000}"/>
    <cellStyle name="Remarque 4 2 2 2 7 5" xfId="8196" xr:uid="{00000000-0005-0000-0000-000072BF0000}"/>
    <cellStyle name="Remarque 4 2 2 2 7 5 2" xfId="32210" xr:uid="{00000000-0005-0000-0000-000073BF0000}"/>
    <cellStyle name="Remarque 4 2 2 2 7 5 2 2" xfId="56170" xr:uid="{00000000-0005-0000-0000-000074BF0000}"/>
    <cellStyle name="Remarque 4 2 2 2 7 5 3" xfId="19457" xr:uid="{00000000-0005-0000-0000-000075BF0000}"/>
    <cellStyle name="Remarque 4 2 2 2 7 5 4" xfId="43417" xr:uid="{00000000-0005-0000-0000-000076BF0000}"/>
    <cellStyle name="Remarque 4 2 2 2 7 6" xfId="9581" xr:uid="{00000000-0005-0000-0000-000077BF0000}"/>
    <cellStyle name="Remarque 4 2 2 2 7 6 2" xfId="33595" xr:uid="{00000000-0005-0000-0000-000078BF0000}"/>
    <cellStyle name="Remarque 4 2 2 2 7 6 2 2" xfId="57555" xr:uid="{00000000-0005-0000-0000-000079BF0000}"/>
    <cellStyle name="Remarque 4 2 2 2 7 6 3" xfId="20842" xr:uid="{00000000-0005-0000-0000-00007ABF0000}"/>
    <cellStyle name="Remarque 4 2 2 2 7 6 4" xfId="44802" xr:uid="{00000000-0005-0000-0000-00007BBF0000}"/>
    <cellStyle name="Remarque 4 2 2 2 7 7" xfId="11038" xr:uid="{00000000-0005-0000-0000-00007CBF0000}"/>
    <cellStyle name="Remarque 4 2 2 2 7 7 2" xfId="35048" xr:uid="{00000000-0005-0000-0000-00007DBF0000}"/>
    <cellStyle name="Remarque 4 2 2 2 7 7 2 2" xfId="59008" xr:uid="{00000000-0005-0000-0000-00007EBF0000}"/>
    <cellStyle name="Remarque 4 2 2 2 7 7 3" xfId="22305" xr:uid="{00000000-0005-0000-0000-00007FBF0000}"/>
    <cellStyle name="Remarque 4 2 2 2 7 7 4" xfId="46265" xr:uid="{00000000-0005-0000-0000-000080BF0000}"/>
    <cellStyle name="Remarque 4 2 2 2 7 8" xfId="11606" xr:uid="{00000000-0005-0000-0000-000081BF0000}"/>
    <cellStyle name="Remarque 4 2 2 2 7 8 2" xfId="22873" xr:uid="{00000000-0005-0000-0000-000082BF0000}"/>
    <cellStyle name="Remarque 4 2 2 2 7 8 3" xfId="46833" xr:uid="{00000000-0005-0000-0000-000083BF0000}"/>
    <cellStyle name="Remarque 4 2 2 2 7 9" xfId="2510" xr:uid="{00000000-0005-0000-0000-000084BF0000}"/>
    <cellStyle name="Remarque 4 2 2 2 7 9 2" xfId="26524" xr:uid="{00000000-0005-0000-0000-000085BF0000}"/>
    <cellStyle name="Remarque 4 2 2 2 7 9 3" xfId="50484" xr:uid="{00000000-0005-0000-0000-000086BF0000}"/>
    <cellStyle name="Remarque 4 2 2 2 8" xfId="1241" xr:uid="{00000000-0005-0000-0000-000087BF0000}"/>
    <cellStyle name="Remarque 4 2 2 2 8 10" xfId="25273" xr:uid="{00000000-0005-0000-0000-000088BF0000}"/>
    <cellStyle name="Remarque 4 2 2 2 8 10 2" xfId="49233" xr:uid="{00000000-0005-0000-0000-000089BF0000}"/>
    <cellStyle name="Remarque 4 2 2 2 8 11" xfId="35901" xr:uid="{00000000-0005-0000-0000-00008ABF0000}"/>
    <cellStyle name="Remarque 4 2 2 2 8 11 2" xfId="59861" xr:uid="{00000000-0005-0000-0000-00008BBF0000}"/>
    <cellStyle name="Remarque 4 2 2 2 8 12" xfId="13938" xr:uid="{00000000-0005-0000-0000-00008CBF0000}"/>
    <cellStyle name="Remarque 4 2 2 2 8 13" xfId="37898" xr:uid="{00000000-0005-0000-0000-00008DBF0000}"/>
    <cellStyle name="Remarque 4 2 2 2 8 2" xfId="4147" xr:uid="{00000000-0005-0000-0000-00008EBF0000}"/>
    <cellStyle name="Remarque 4 2 2 2 8 2 2" xfId="28161" xr:uid="{00000000-0005-0000-0000-00008FBF0000}"/>
    <cellStyle name="Remarque 4 2 2 2 8 2 2 2" xfId="52121" xr:uid="{00000000-0005-0000-0000-000090BF0000}"/>
    <cellStyle name="Remarque 4 2 2 2 8 2 3" xfId="15408" xr:uid="{00000000-0005-0000-0000-000091BF0000}"/>
    <cellStyle name="Remarque 4 2 2 2 8 2 4" xfId="39368" xr:uid="{00000000-0005-0000-0000-000092BF0000}"/>
    <cellStyle name="Remarque 4 2 2 2 8 3" xfId="5581" xr:uid="{00000000-0005-0000-0000-000093BF0000}"/>
    <cellStyle name="Remarque 4 2 2 2 8 3 2" xfId="29595" xr:uid="{00000000-0005-0000-0000-000094BF0000}"/>
    <cellStyle name="Remarque 4 2 2 2 8 3 2 2" xfId="53555" xr:uid="{00000000-0005-0000-0000-000095BF0000}"/>
    <cellStyle name="Remarque 4 2 2 2 8 3 3" xfId="16842" xr:uid="{00000000-0005-0000-0000-000096BF0000}"/>
    <cellStyle name="Remarque 4 2 2 2 8 3 4" xfId="40802" xr:uid="{00000000-0005-0000-0000-000097BF0000}"/>
    <cellStyle name="Remarque 4 2 2 2 8 4" xfId="6975" xr:uid="{00000000-0005-0000-0000-000098BF0000}"/>
    <cellStyle name="Remarque 4 2 2 2 8 4 2" xfId="30989" xr:uid="{00000000-0005-0000-0000-000099BF0000}"/>
    <cellStyle name="Remarque 4 2 2 2 8 4 2 2" xfId="54949" xr:uid="{00000000-0005-0000-0000-00009ABF0000}"/>
    <cellStyle name="Remarque 4 2 2 2 8 4 3" xfId="18236" xr:uid="{00000000-0005-0000-0000-00009BBF0000}"/>
    <cellStyle name="Remarque 4 2 2 2 8 4 4" xfId="42196" xr:uid="{00000000-0005-0000-0000-00009CBF0000}"/>
    <cellStyle name="Remarque 4 2 2 2 8 5" xfId="8363" xr:uid="{00000000-0005-0000-0000-00009DBF0000}"/>
    <cellStyle name="Remarque 4 2 2 2 8 5 2" xfId="32377" xr:uid="{00000000-0005-0000-0000-00009EBF0000}"/>
    <cellStyle name="Remarque 4 2 2 2 8 5 2 2" xfId="56337" xr:uid="{00000000-0005-0000-0000-00009FBF0000}"/>
    <cellStyle name="Remarque 4 2 2 2 8 5 3" xfId="19624" xr:uid="{00000000-0005-0000-0000-0000A0BF0000}"/>
    <cellStyle name="Remarque 4 2 2 2 8 5 4" xfId="43584" xr:uid="{00000000-0005-0000-0000-0000A1BF0000}"/>
    <cellStyle name="Remarque 4 2 2 2 8 6" xfId="9748" xr:uid="{00000000-0005-0000-0000-0000A2BF0000}"/>
    <cellStyle name="Remarque 4 2 2 2 8 6 2" xfId="33762" xr:uid="{00000000-0005-0000-0000-0000A3BF0000}"/>
    <cellStyle name="Remarque 4 2 2 2 8 6 2 2" xfId="57722" xr:uid="{00000000-0005-0000-0000-0000A4BF0000}"/>
    <cellStyle name="Remarque 4 2 2 2 8 6 3" xfId="21009" xr:uid="{00000000-0005-0000-0000-0000A5BF0000}"/>
    <cellStyle name="Remarque 4 2 2 2 8 6 4" xfId="44969" xr:uid="{00000000-0005-0000-0000-0000A6BF0000}"/>
    <cellStyle name="Remarque 4 2 2 2 8 7" xfId="11205" xr:uid="{00000000-0005-0000-0000-0000A7BF0000}"/>
    <cellStyle name="Remarque 4 2 2 2 8 7 2" xfId="35215" xr:uid="{00000000-0005-0000-0000-0000A8BF0000}"/>
    <cellStyle name="Remarque 4 2 2 2 8 7 2 2" xfId="59175" xr:uid="{00000000-0005-0000-0000-0000A9BF0000}"/>
    <cellStyle name="Remarque 4 2 2 2 8 7 3" xfId="22472" xr:uid="{00000000-0005-0000-0000-0000AABF0000}"/>
    <cellStyle name="Remarque 4 2 2 2 8 7 4" xfId="46432" xr:uid="{00000000-0005-0000-0000-0000ABBF0000}"/>
    <cellStyle name="Remarque 4 2 2 2 8 8" xfId="12471" xr:uid="{00000000-0005-0000-0000-0000ACBF0000}"/>
    <cellStyle name="Remarque 4 2 2 2 8 8 2" xfId="23767" xr:uid="{00000000-0005-0000-0000-0000ADBF0000}"/>
    <cellStyle name="Remarque 4 2 2 2 8 8 3" xfId="47727" xr:uid="{00000000-0005-0000-0000-0000AEBF0000}"/>
    <cellStyle name="Remarque 4 2 2 2 8 9" xfId="2677" xr:uid="{00000000-0005-0000-0000-0000AFBF0000}"/>
    <cellStyle name="Remarque 4 2 2 2 8 9 2" xfId="26691" xr:uid="{00000000-0005-0000-0000-0000B0BF0000}"/>
    <cellStyle name="Remarque 4 2 2 2 8 9 3" xfId="50651" xr:uid="{00000000-0005-0000-0000-0000B1BF0000}"/>
    <cellStyle name="Remarque 4 2 2 2 9" xfId="1410" xr:uid="{00000000-0005-0000-0000-0000B2BF0000}"/>
    <cellStyle name="Remarque 4 2 2 2 9 10" xfId="25442" xr:uid="{00000000-0005-0000-0000-0000B3BF0000}"/>
    <cellStyle name="Remarque 4 2 2 2 9 10 2" xfId="49402" xr:uid="{00000000-0005-0000-0000-0000B4BF0000}"/>
    <cellStyle name="Remarque 4 2 2 2 9 11" xfId="36313" xr:uid="{00000000-0005-0000-0000-0000B5BF0000}"/>
    <cellStyle name="Remarque 4 2 2 2 9 11 2" xfId="60273" xr:uid="{00000000-0005-0000-0000-0000B6BF0000}"/>
    <cellStyle name="Remarque 4 2 2 2 9 12" xfId="14107" xr:uid="{00000000-0005-0000-0000-0000B7BF0000}"/>
    <cellStyle name="Remarque 4 2 2 2 9 13" xfId="38067" xr:uid="{00000000-0005-0000-0000-0000B8BF0000}"/>
    <cellStyle name="Remarque 4 2 2 2 9 2" xfId="4316" xr:uid="{00000000-0005-0000-0000-0000B9BF0000}"/>
    <cellStyle name="Remarque 4 2 2 2 9 2 2" xfId="28330" xr:uid="{00000000-0005-0000-0000-0000BABF0000}"/>
    <cellStyle name="Remarque 4 2 2 2 9 2 2 2" xfId="52290" xr:uid="{00000000-0005-0000-0000-0000BBBF0000}"/>
    <cellStyle name="Remarque 4 2 2 2 9 2 3" xfId="15577" xr:uid="{00000000-0005-0000-0000-0000BCBF0000}"/>
    <cellStyle name="Remarque 4 2 2 2 9 2 4" xfId="39537" xr:uid="{00000000-0005-0000-0000-0000BDBF0000}"/>
    <cellStyle name="Remarque 4 2 2 2 9 3" xfId="5750" xr:uid="{00000000-0005-0000-0000-0000BEBF0000}"/>
    <cellStyle name="Remarque 4 2 2 2 9 3 2" xfId="29764" xr:uid="{00000000-0005-0000-0000-0000BFBF0000}"/>
    <cellStyle name="Remarque 4 2 2 2 9 3 2 2" xfId="53724" xr:uid="{00000000-0005-0000-0000-0000C0BF0000}"/>
    <cellStyle name="Remarque 4 2 2 2 9 3 3" xfId="17011" xr:uid="{00000000-0005-0000-0000-0000C1BF0000}"/>
    <cellStyle name="Remarque 4 2 2 2 9 3 4" xfId="40971" xr:uid="{00000000-0005-0000-0000-0000C2BF0000}"/>
    <cellStyle name="Remarque 4 2 2 2 9 4" xfId="7144" xr:uid="{00000000-0005-0000-0000-0000C3BF0000}"/>
    <cellStyle name="Remarque 4 2 2 2 9 4 2" xfId="31158" xr:uid="{00000000-0005-0000-0000-0000C4BF0000}"/>
    <cellStyle name="Remarque 4 2 2 2 9 4 2 2" xfId="55118" xr:uid="{00000000-0005-0000-0000-0000C5BF0000}"/>
    <cellStyle name="Remarque 4 2 2 2 9 4 3" xfId="18405" xr:uid="{00000000-0005-0000-0000-0000C6BF0000}"/>
    <cellStyle name="Remarque 4 2 2 2 9 4 4" xfId="42365" xr:uid="{00000000-0005-0000-0000-0000C7BF0000}"/>
    <cellStyle name="Remarque 4 2 2 2 9 5" xfId="8532" xr:uid="{00000000-0005-0000-0000-0000C8BF0000}"/>
    <cellStyle name="Remarque 4 2 2 2 9 5 2" xfId="32546" xr:uid="{00000000-0005-0000-0000-0000C9BF0000}"/>
    <cellStyle name="Remarque 4 2 2 2 9 5 2 2" xfId="56506" xr:uid="{00000000-0005-0000-0000-0000CABF0000}"/>
    <cellStyle name="Remarque 4 2 2 2 9 5 3" xfId="19793" xr:uid="{00000000-0005-0000-0000-0000CBBF0000}"/>
    <cellStyle name="Remarque 4 2 2 2 9 5 4" xfId="43753" xr:uid="{00000000-0005-0000-0000-0000CCBF0000}"/>
    <cellStyle name="Remarque 4 2 2 2 9 6" xfId="9917" xr:uid="{00000000-0005-0000-0000-0000CDBF0000}"/>
    <cellStyle name="Remarque 4 2 2 2 9 6 2" xfId="33931" xr:uid="{00000000-0005-0000-0000-0000CEBF0000}"/>
    <cellStyle name="Remarque 4 2 2 2 9 6 2 2" xfId="57891" xr:uid="{00000000-0005-0000-0000-0000CFBF0000}"/>
    <cellStyle name="Remarque 4 2 2 2 9 6 3" xfId="21178" xr:uid="{00000000-0005-0000-0000-0000D0BF0000}"/>
    <cellStyle name="Remarque 4 2 2 2 9 6 4" xfId="45138" xr:uid="{00000000-0005-0000-0000-0000D1BF0000}"/>
    <cellStyle name="Remarque 4 2 2 2 9 7" xfId="11374" xr:uid="{00000000-0005-0000-0000-0000D2BF0000}"/>
    <cellStyle name="Remarque 4 2 2 2 9 7 2" xfId="35384" xr:uid="{00000000-0005-0000-0000-0000D3BF0000}"/>
    <cellStyle name="Remarque 4 2 2 2 9 7 2 2" xfId="59344" xr:uid="{00000000-0005-0000-0000-0000D4BF0000}"/>
    <cellStyle name="Remarque 4 2 2 2 9 7 3" xfId="22641" xr:uid="{00000000-0005-0000-0000-0000D5BF0000}"/>
    <cellStyle name="Remarque 4 2 2 2 9 7 4" xfId="46601" xr:uid="{00000000-0005-0000-0000-0000D6BF0000}"/>
    <cellStyle name="Remarque 4 2 2 2 9 8" xfId="12652" xr:uid="{00000000-0005-0000-0000-0000D7BF0000}"/>
    <cellStyle name="Remarque 4 2 2 2 9 8 2" xfId="23957" xr:uid="{00000000-0005-0000-0000-0000D8BF0000}"/>
    <cellStyle name="Remarque 4 2 2 2 9 8 3" xfId="47917" xr:uid="{00000000-0005-0000-0000-0000D9BF0000}"/>
    <cellStyle name="Remarque 4 2 2 2 9 9" xfId="2846" xr:uid="{00000000-0005-0000-0000-0000DABF0000}"/>
    <cellStyle name="Remarque 4 2 2 2 9 9 2" xfId="26860" xr:uid="{00000000-0005-0000-0000-0000DBBF0000}"/>
    <cellStyle name="Remarque 4 2 2 2 9 9 3" xfId="50820" xr:uid="{00000000-0005-0000-0000-0000DCBF0000}"/>
    <cellStyle name="Remarque 4 2 2 20" xfId="10153" xr:uid="{00000000-0005-0000-0000-0000DDBF0000}"/>
    <cellStyle name="Remarque 4 2 2 20 2" xfId="34165" xr:uid="{00000000-0005-0000-0000-0000DEBF0000}"/>
    <cellStyle name="Remarque 4 2 2 20 2 2" xfId="58125" xr:uid="{00000000-0005-0000-0000-0000DFBF0000}"/>
    <cellStyle name="Remarque 4 2 2 20 3" xfId="21418" xr:uid="{00000000-0005-0000-0000-0000E0BF0000}"/>
    <cellStyle name="Remarque 4 2 2 20 4" xfId="45378" xr:uid="{00000000-0005-0000-0000-0000E1BF0000}"/>
    <cellStyle name="Remarque 4 2 2 21" xfId="12733" xr:uid="{00000000-0005-0000-0000-0000E2BF0000}"/>
    <cellStyle name="Remarque 4 2 2 21 2" xfId="24039" xr:uid="{00000000-0005-0000-0000-0000E3BF0000}"/>
    <cellStyle name="Remarque 4 2 2 21 3" xfId="47999" xr:uid="{00000000-0005-0000-0000-0000E4BF0000}"/>
    <cellStyle name="Remarque 4 2 2 22" xfId="1651" xr:uid="{00000000-0005-0000-0000-0000E5BF0000}"/>
    <cellStyle name="Remarque 4 2 2 22 2" xfId="25665" xr:uid="{00000000-0005-0000-0000-0000E6BF0000}"/>
    <cellStyle name="Remarque 4 2 2 22 3" xfId="49625" xr:uid="{00000000-0005-0000-0000-0000E7BF0000}"/>
    <cellStyle name="Remarque 4 2 2 23" xfId="23527" xr:uid="{00000000-0005-0000-0000-0000E8BF0000}"/>
    <cellStyle name="Remarque 4 2 2 23 2" xfId="47487" xr:uid="{00000000-0005-0000-0000-0000E9BF0000}"/>
    <cellStyle name="Remarque 4 2 2 24" xfId="36633" xr:uid="{00000000-0005-0000-0000-0000EABF0000}"/>
    <cellStyle name="Remarque 4 2 2 24 2" xfId="60593" xr:uid="{00000000-0005-0000-0000-0000EBBF0000}"/>
    <cellStyle name="Remarque 4 2 2 25" xfId="12931" xr:uid="{00000000-0005-0000-0000-0000ECBF0000}"/>
    <cellStyle name="Remarque 4 2 2 26" xfId="36872" xr:uid="{00000000-0005-0000-0000-0000EDBF0000}"/>
    <cellStyle name="Remarque 4 2 2 27" xfId="187" xr:uid="{00000000-0005-0000-0000-0000EEBF0000}"/>
    <cellStyle name="Remarque 4 2 2 3" xfId="147" xr:uid="{00000000-0005-0000-0000-0000EFBF0000}"/>
    <cellStyle name="Remarque 4 2 2 3 10" xfId="6143" xr:uid="{00000000-0005-0000-0000-0000F0BF0000}"/>
    <cellStyle name="Remarque 4 2 2 3 10 2" xfId="30157" xr:uid="{00000000-0005-0000-0000-0000F1BF0000}"/>
    <cellStyle name="Remarque 4 2 2 3 10 2 2" xfId="54117" xr:uid="{00000000-0005-0000-0000-0000F2BF0000}"/>
    <cellStyle name="Remarque 4 2 2 3 10 3" xfId="17404" xr:uid="{00000000-0005-0000-0000-0000F3BF0000}"/>
    <cellStyle name="Remarque 4 2 2 3 10 4" xfId="41364" xr:uid="{00000000-0005-0000-0000-0000F4BF0000}"/>
    <cellStyle name="Remarque 4 2 2 3 11" xfId="7531" xr:uid="{00000000-0005-0000-0000-0000F5BF0000}"/>
    <cellStyle name="Remarque 4 2 2 3 11 2" xfId="31545" xr:uid="{00000000-0005-0000-0000-0000F6BF0000}"/>
    <cellStyle name="Remarque 4 2 2 3 11 2 2" xfId="55505" xr:uid="{00000000-0005-0000-0000-0000F7BF0000}"/>
    <cellStyle name="Remarque 4 2 2 3 11 3" xfId="18792" xr:uid="{00000000-0005-0000-0000-0000F8BF0000}"/>
    <cellStyle name="Remarque 4 2 2 3 11 4" xfId="42752" xr:uid="{00000000-0005-0000-0000-0000F9BF0000}"/>
    <cellStyle name="Remarque 4 2 2 3 12" xfId="8916" xr:uid="{00000000-0005-0000-0000-0000FABF0000}"/>
    <cellStyle name="Remarque 4 2 2 3 12 2" xfId="32930" xr:uid="{00000000-0005-0000-0000-0000FBBF0000}"/>
    <cellStyle name="Remarque 4 2 2 3 12 2 2" xfId="56890" xr:uid="{00000000-0005-0000-0000-0000FCBF0000}"/>
    <cellStyle name="Remarque 4 2 2 3 12 3" xfId="20177" xr:uid="{00000000-0005-0000-0000-0000FDBF0000}"/>
    <cellStyle name="Remarque 4 2 2 3 12 4" xfId="44137" xr:uid="{00000000-0005-0000-0000-0000FEBF0000}"/>
    <cellStyle name="Remarque 4 2 2 3 13" xfId="10373" xr:uid="{00000000-0005-0000-0000-0000FFBF0000}"/>
    <cellStyle name="Remarque 4 2 2 3 13 2" xfId="34383" xr:uid="{00000000-0005-0000-0000-000000C00000}"/>
    <cellStyle name="Remarque 4 2 2 3 13 2 2" xfId="58343" xr:uid="{00000000-0005-0000-0000-000001C00000}"/>
    <cellStyle name="Remarque 4 2 2 3 13 3" xfId="21640" xr:uid="{00000000-0005-0000-0000-000002C00000}"/>
    <cellStyle name="Remarque 4 2 2 3 13 4" xfId="45600" xr:uid="{00000000-0005-0000-0000-000003C00000}"/>
    <cellStyle name="Remarque 4 2 2 3 14" xfId="12081" xr:uid="{00000000-0005-0000-0000-000004C00000}"/>
    <cellStyle name="Remarque 4 2 2 3 14 2" xfId="23364" xr:uid="{00000000-0005-0000-0000-000005C00000}"/>
    <cellStyle name="Remarque 4 2 2 3 14 3" xfId="47324" xr:uid="{00000000-0005-0000-0000-000006C00000}"/>
    <cellStyle name="Remarque 4 2 2 3 15" xfId="1845" xr:uid="{00000000-0005-0000-0000-000007C00000}"/>
    <cellStyle name="Remarque 4 2 2 3 15 2" xfId="25859" xr:uid="{00000000-0005-0000-0000-000008C00000}"/>
    <cellStyle name="Remarque 4 2 2 3 15 3" xfId="49819" xr:uid="{00000000-0005-0000-0000-000009C00000}"/>
    <cellStyle name="Remarque 4 2 2 3 16" xfId="24441" xr:uid="{00000000-0005-0000-0000-00000AC00000}"/>
    <cellStyle name="Remarque 4 2 2 3 16 2" xfId="48401" xr:uid="{00000000-0005-0000-0000-00000BC00000}"/>
    <cellStyle name="Remarque 4 2 2 3 17" xfId="35899" xr:uid="{00000000-0005-0000-0000-00000CC00000}"/>
    <cellStyle name="Remarque 4 2 2 3 17 2" xfId="59859" xr:uid="{00000000-0005-0000-0000-00000DC00000}"/>
    <cellStyle name="Remarque 4 2 2 3 18" xfId="13106" xr:uid="{00000000-0005-0000-0000-00000EC00000}"/>
    <cellStyle name="Remarque 4 2 2 3 19" xfId="37066" xr:uid="{00000000-0005-0000-0000-00000FC00000}"/>
    <cellStyle name="Remarque 4 2 2 3 2" xfId="545" xr:uid="{00000000-0005-0000-0000-000010C00000}"/>
    <cellStyle name="Remarque 4 2 2 3 2 10" xfId="24577" xr:uid="{00000000-0005-0000-0000-000011C00000}"/>
    <cellStyle name="Remarque 4 2 2 3 2 10 2" xfId="48537" xr:uid="{00000000-0005-0000-0000-000012C00000}"/>
    <cellStyle name="Remarque 4 2 2 3 2 11" xfId="35669" xr:uid="{00000000-0005-0000-0000-000013C00000}"/>
    <cellStyle name="Remarque 4 2 2 3 2 11 2" xfId="59629" xr:uid="{00000000-0005-0000-0000-000014C00000}"/>
    <cellStyle name="Remarque 4 2 2 3 2 12" xfId="13242" xr:uid="{00000000-0005-0000-0000-000015C00000}"/>
    <cellStyle name="Remarque 4 2 2 3 2 13" xfId="37202" xr:uid="{00000000-0005-0000-0000-000016C00000}"/>
    <cellStyle name="Remarque 4 2 2 3 2 2" xfId="3451" xr:uid="{00000000-0005-0000-0000-000017C00000}"/>
    <cellStyle name="Remarque 4 2 2 3 2 2 2" xfId="27465" xr:uid="{00000000-0005-0000-0000-000018C00000}"/>
    <cellStyle name="Remarque 4 2 2 3 2 2 2 2" xfId="51425" xr:uid="{00000000-0005-0000-0000-000019C00000}"/>
    <cellStyle name="Remarque 4 2 2 3 2 2 3" xfId="14712" xr:uid="{00000000-0005-0000-0000-00001AC00000}"/>
    <cellStyle name="Remarque 4 2 2 3 2 2 4" xfId="38672" xr:uid="{00000000-0005-0000-0000-00001BC00000}"/>
    <cellStyle name="Remarque 4 2 2 3 2 3" xfId="4885" xr:uid="{00000000-0005-0000-0000-00001CC00000}"/>
    <cellStyle name="Remarque 4 2 2 3 2 3 2" xfId="28899" xr:uid="{00000000-0005-0000-0000-00001DC00000}"/>
    <cellStyle name="Remarque 4 2 2 3 2 3 2 2" xfId="52859" xr:uid="{00000000-0005-0000-0000-00001EC00000}"/>
    <cellStyle name="Remarque 4 2 2 3 2 3 3" xfId="16146" xr:uid="{00000000-0005-0000-0000-00001FC00000}"/>
    <cellStyle name="Remarque 4 2 2 3 2 3 4" xfId="40106" xr:uid="{00000000-0005-0000-0000-000020C00000}"/>
    <cellStyle name="Remarque 4 2 2 3 2 4" xfId="6279" xr:uid="{00000000-0005-0000-0000-000021C00000}"/>
    <cellStyle name="Remarque 4 2 2 3 2 4 2" xfId="30293" xr:uid="{00000000-0005-0000-0000-000022C00000}"/>
    <cellStyle name="Remarque 4 2 2 3 2 4 2 2" xfId="54253" xr:uid="{00000000-0005-0000-0000-000023C00000}"/>
    <cellStyle name="Remarque 4 2 2 3 2 4 3" xfId="17540" xr:uid="{00000000-0005-0000-0000-000024C00000}"/>
    <cellStyle name="Remarque 4 2 2 3 2 4 4" xfId="41500" xr:uid="{00000000-0005-0000-0000-000025C00000}"/>
    <cellStyle name="Remarque 4 2 2 3 2 5" xfId="7667" xr:uid="{00000000-0005-0000-0000-000026C00000}"/>
    <cellStyle name="Remarque 4 2 2 3 2 5 2" xfId="31681" xr:uid="{00000000-0005-0000-0000-000027C00000}"/>
    <cellStyle name="Remarque 4 2 2 3 2 5 2 2" xfId="55641" xr:uid="{00000000-0005-0000-0000-000028C00000}"/>
    <cellStyle name="Remarque 4 2 2 3 2 5 3" xfId="18928" xr:uid="{00000000-0005-0000-0000-000029C00000}"/>
    <cellStyle name="Remarque 4 2 2 3 2 5 4" xfId="42888" xr:uid="{00000000-0005-0000-0000-00002AC00000}"/>
    <cellStyle name="Remarque 4 2 2 3 2 6" xfId="9052" xr:uid="{00000000-0005-0000-0000-00002BC00000}"/>
    <cellStyle name="Remarque 4 2 2 3 2 6 2" xfId="33066" xr:uid="{00000000-0005-0000-0000-00002CC00000}"/>
    <cellStyle name="Remarque 4 2 2 3 2 6 2 2" xfId="57026" xr:uid="{00000000-0005-0000-0000-00002DC00000}"/>
    <cellStyle name="Remarque 4 2 2 3 2 6 3" xfId="20313" xr:uid="{00000000-0005-0000-0000-00002EC00000}"/>
    <cellStyle name="Remarque 4 2 2 3 2 6 4" xfId="44273" xr:uid="{00000000-0005-0000-0000-00002FC00000}"/>
    <cellStyle name="Remarque 4 2 2 3 2 7" xfId="10509" xr:uid="{00000000-0005-0000-0000-000030C00000}"/>
    <cellStyle name="Remarque 4 2 2 3 2 7 2" xfId="34519" xr:uid="{00000000-0005-0000-0000-000031C00000}"/>
    <cellStyle name="Remarque 4 2 2 3 2 7 2 2" xfId="58479" xr:uid="{00000000-0005-0000-0000-000032C00000}"/>
    <cellStyle name="Remarque 4 2 2 3 2 7 3" xfId="21776" xr:uid="{00000000-0005-0000-0000-000033C00000}"/>
    <cellStyle name="Remarque 4 2 2 3 2 7 4" xfId="45736" xr:uid="{00000000-0005-0000-0000-000034C00000}"/>
    <cellStyle name="Remarque 4 2 2 3 2 8" xfId="12611" xr:uid="{00000000-0005-0000-0000-000035C00000}"/>
    <cellStyle name="Remarque 4 2 2 3 2 8 2" xfId="23913" xr:uid="{00000000-0005-0000-0000-000036C00000}"/>
    <cellStyle name="Remarque 4 2 2 3 2 8 3" xfId="47873" xr:uid="{00000000-0005-0000-0000-000037C00000}"/>
    <cellStyle name="Remarque 4 2 2 3 2 9" xfId="1981" xr:uid="{00000000-0005-0000-0000-000038C00000}"/>
    <cellStyle name="Remarque 4 2 2 3 2 9 2" xfId="25995" xr:uid="{00000000-0005-0000-0000-000039C00000}"/>
    <cellStyle name="Remarque 4 2 2 3 2 9 3" xfId="49955" xr:uid="{00000000-0005-0000-0000-00003AC00000}"/>
    <cellStyle name="Remarque 4 2 2 3 20" xfId="409" xr:uid="{00000000-0005-0000-0000-00003BC00000}"/>
    <cellStyle name="Remarque 4 2 2 3 3" xfId="737" xr:uid="{00000000-0005-0000-0000-00003CC00000}"/>
    <cellStyle name="Remarque 4 2 2 3 3 10" xfId="24769" xr:uid="{00000000-0005-0000-0000-00003DC00000}"/>
    <cellStyle name="Remarque 4 2 2 3 3 10 2" xfId="48729" xr:uid="{00000000-0005-0000-0000-00003EC00000}"/>
    <cellStyle name="Remarque 4 2 2 3 3 11" xfId="36161" xr:uid="{00000000-0005-0000-0000-00003FC00000}"/>
    <cellStyle name="Remarque 4 2 2 3 3 11 2" xfId="60121" xr:uid="{00000000-0005-0000-0000-000040C00000}"/>
    <cellStyle name="Remarque 4 2 2 3 3 12" xfId="13434" xr:uid="{00000000-0005-0000-0000-000041C00000}"/>
    <cellStyle name="Remarque 4 2 2 3 3 13" xfId="37394" xr:uid="{00000000-0005-0000-0000-000042C00000}"/>
    <cellStyle name="Remarque 4 2 2 3 3 2" xfId="3643" xr:uid="{00000000-0005-0000-0000-000043C00000}"/>
    <cellStyle name="Remarque 4 2 2 3 3 2 2" xfId="27657" xr:uid="{00000000-0005-0000-0000-000044C00000}"/>
    <cellStyle name="Remarque 4 2 2 3 3 2 2 2" xfId="51617" xr:uid="{00000000-0005-0000-0000-000045C00000}"/>
    <cellStyle name="Remarque 4 2 2 3 3 2 3" xfId="14904" xr:uid="{00000000-0005-0000-0000-000046C00000}"/>
    <cellStyle name="Remarque 4 2 2 3 3 2 4" xfId="38864" xr:uid="{00000000-0005-0000-0000-000047C00000}"/>
    <cellStyle name="Remarque 4 2 2 3 3 3" xfId="5077" xr:uid="{00000000-0005-0000-0000-000048C00000}"/>
    <cellStyle name="Remarque 4 2 2 3 3 3 2" xfId="29091" xr:uid="{00000000-0005-0000-0000-000049C00000}"/>
    <cellStyle name="Remarque 4 2 2 3 3 3 2 2" xfId="53051" xr:uid="{00000000-0005-0000-0000-00004AC00000}"/>
    <cellStyle name="Remarque 4 2 2 3 3 3 3" xfId="16338" xr:uid="{00000000-0005-0000-0000-00004BC00000}"/>
    <cellStyle name="Remarque 4 2 2 3 3 3 4" xfId="40298" xr:uid="{00000000-0005-0000-0000-00004CC00000}"/>
    <cellStyle name="Remarque 4 2 2 3 3 4" xfId="6471" xr:uid="{00000000-0005-0000-0000-00004DC00000}"/>
    <cellStyle name="Remarque 4 2 2 3 3 4 2" xfId="30485" xr:uid="{00000000-0005-0000-0000-00004EC00000}"/>
    <cellStyle name="Remarque 4 2 2 3 3 4 2 2" xfId="54445" xr:uid="{00000000-0005-0000-0000-00004FC00000}"/>
    <cellStyle name="Remarque 4 2 2 3 3 4 3" xfId="17732" xr:uid="{00000000-0005-0000-0000-000050C00000}"/>
    <cellStyle name="Remarque 4 2 2 3 3 4 4" xfId="41692" xr:uid="{00000000-0005-0000-0000-000051C00000}"/>
    <cellStyle name="Remarque 4 2 2 3 3 5" xfId="7859" xr:uid="{00000000-0005-0000-0000-000052C00000}"/>
    <cellStyle name="Remarque 4 2 2 3 3 5 2" xfId="31873" xr:uid="{00000000-0005-0000-0000-000053C00000}"/>
    <cellStyle name="Remarque 4 2 2 3 3 5 2 2" xfId="55833" xr:uid="{00000000-0005-0000-0000-000054C00000}"/>
    <cellStyle name="Remarque 4 2 2 3 3 5 3" xfId="19120" xr:uid="{00000000-0005-0000-0000-000055C00000}"/>
    <cellStyle name="Remarque 4 2 2 3 3 5 4" xfId="43080" xr:uid="{00000000-0005-0000-0000-000056C00000}"/>
    <cellStyle name="Remarque 4 2 2 3 3 6" xfId="9244" xr:uid="{00000000-0005-0000-0000-000057C00000}"/>
    <cellStyle name="Remarque 4 2 2 3 3 6 2" xfId="33258" xr:uid="{00000000-0005-0000-0000-000058C00000}"/>
    <cellStyle name="Remarque 4 2 2 3 3 6 2 2" xfId="57218" xr:uid="{00000000-0005-0000-0000-000059C00000}"/>
    <cellStyle name="Remarque 4 2 2 3 3 6 3" xfId="20505" xr:uid="{00000000-0005-0000-0000-00005AC00000}"/>
    <cellStyle name="Remarque 4 2 2 3 3 6 4" xfId="44465" xr:uid="{00000000-0005-0000-0000-00005BC00000}"/>
    <cellStyle name="Remarque 4 2 2 3 3 7" xfId="10701" xr:uid="{00000000-0005-0000-0000-00005CC00000}"/>
    <cellStyle name="Remarque 4 2 2 3 3 7 2" xfId="34711" xr:uid="{00000000-0005-0000-0000-00005DC00000}"/>
    <cellStyle name="Remarque 4 2 2 3 3 7 2 2" xfId="58671" xr:uid="{00000000-0005-0000-0000-00005EC00000}"/>
    <cellStyle name="Remarque 4 2 2 3 3 7 3" xfId="21968" xr:uid="{00000000-0005-0000-0000-00005FC00000}"/>
    <cellStyle name="Remarque 4 2 2 3 3 7 4" xfId="45928" xr:uid="{00000000-0005-0000-0000-000060C00000}"/>
    <cellStyle name="Remarque 4 2 2 3 3 8" xfId="11981" xr:uid="{00000000-0005-0000-0000-000061C00000}"/>
    <cellStyle name="Remarque 4 2 2 3 3 8 2" xfId="23259" xr:uid="{00000000-0005-0000-0000-000062C00000}"/>
    <cellStyle name="Remarque 4 2 2 3 3 8 3" xfId="47219" xr:uid="{00000000-0005-0000-0000-000063C00000}"/>
    <cellStyle name="Remarque 4 2 2 3 3 9" xfId="2173" xr:uid="{00000000-0005-0000-0000-000064C00000}"/>
    <cellStyle name="Remarque 4 2 2 3 3 9 2" xfId="26187" xr:uid="{00000000-0005-0000-0000-000065C00000}"/>
    <cellStyle name="Remarque 4 2 2 3 3 9 3" xfId="50147" xr:uid="{00000000-0005-0000-0000-000066C00000}"/>
    <cellStyle name="Remarque 4 2 2 3 4" xfId="931" xr:uid="{00000000-0005-0000-0000-000067C00000}"/>
    <cellStyle name="Remarque 4 2 2 3 4 10" xfId="24963" xr:uid="{00000000-0005-0000-0000-000068C00000}"/>
    <cellStyle name="Remarque 4 2 2 3 4 10 2" xfId="48923" xr:uid="{00000000-0005-0000-0000-000069C00000}"/>
    <cellStyle name="Remarque 4 2 2 3 4 11" xfId="35587" xr:uid="{00000000-0005-0000-0000-00006AC00000}"/>
    <cellStyle name="Remarque 4 2 2 3 4 11 2" xfId="59547" xr:uid="{00000000-0005-0000-0000-00006BC00000}"/>
    <cellStyle name="Remarque 4 2 2 3 4 12" xfId="13628" xr:uid="{00000000-0005-0000-0000-00006CC00000}"/>
    <cellStyle name="Remarque 4 2 2 3 4 13" xfId="37588" xr:uid="{00000000-0005-0000-0000-00006DC00000}"/>
    <cellStyle name="Remarque 4 2 2 3 4 2" xfId="3837" xr:uid="{00000000-0005-0000-0000-00006EC00000}"/>
    <cellStyle name="Remarque 4 2 2 3 4 2 2" xfId="27851" xr:uid="{00000000-0005-0000-0000-00006FC00000}"/>
    <cellStyle name="Remarque 4 2 2 3 4 2 2 2" xfId="51811" xr:uid="{00000000-0005-0000-0000-000070C00000}"/>
    <cellStyle name="Remarque 4 2 2 3 4 2 3" xfId="15098" xr:uid="{00000000-0005-0000-0000-000071C00000}"/>
    <cellStyle name="Remarque 4 2 2 3 4 2 4" xfId="39058" xr:uid="{00000000-0005-0000-0000-000072C00000}"/>
    <cellStyle name="Remarque 4 2 2 3 4 3" xfId="5271" xr:uid="{00000000-0005-0000-0000-000073C00000}"/>
    <cellStyle name="Remarque 4 2 2 3 4 3 2" xfId="29285" xr:uid="{00000000-0005-0000-0000-000074C00000}"/>
    <cellStyle name="Remarque 4 2 2 3 4 3 2 2" xfId="53245" xr:uid="{00000000-0005-0000-0000-000075C00000}"/>
    <cellStyle name="Remarque 4 2 2 3 4 3 3" xfId="16532" xr:uid="{00000000-0005-0000-0000-000076C00000}"/>
    <cellStyle name="Remarque 4 2 2 3 4 3 4" xfId="40492" xr:uid="{00000000-0005-0000-0000-000077C00000}"/>
    <cellStyle name="Remarque 4 2 2 3 4 4" xfId="6665" xr:uid="{00000000-0005-0000-0000-000078C00000}"/>
    <cellStyle name="Remarque 4 2 2 3 4 4 2" xfId="30679" xr:uid="{00000000-0005-0000-0000-000079C00000}"/>
    <cellStyle name="Remarque 4 2 2 3 4 4 2 2" xfId="54639" xr:uid="{00000000-0005-0000-0000-00007AC00000}"/>
    <cellStyle name="Remarque 4 2 2 3 4 4 3" xfId="17926" xr:uid="{00000000-0005-0000-0000-00007BC00000}"/>
    <cellStyle name="Remarque 4 2 2 3 4 4 4" xfId="41886" xr:uid="{00000000-0005-0000-0000-00007CC00000}"/>
    <cellStyle name="Remarque 4 2 2 3 4 5" xfId="8053" xr:uid="{00000000-0005-0000-0000-00007DC00000}"/>
    <cellStyle name="Remarque 4 2 2 3 4 5 2" xfId="32067" xr:uid="{00000000-0005-0000-0000-00007EC00000}"/>
    <cellStyle name="Remarque 4 2 2 3 4 5 2 2" xfId="56027" xr:uid="{00000000-0005-0000-0000-00007FC00000}"/>
    <cellStyle name="Remarque 4 2 2 3 4 5 3" xfId="19314" xr:uid="{00000000-0005-0000-0000-000080C00000}"/>
    <cellStyle name="Remarque 4 2 2 3 4 5 4" xfId="43274" xr:uid="{00000000-0005-0000-0000-000081C00000}"/>
    <cellStyle name="Remarque 4 2 2 3 4 6" xfId="9438" xr:uid="{00000000-0005-0000-0000-000082C00000}"/>
    <cellStyle name="Remarque 4 2 2 3 4 6 2" xfId="33452" xr:uid="{00000000-0005-0000-0000-000083C00000}"/>
    <cellStyle name="Remarque 4 2 2 3 4 6 2 2" xfId="57412" xr:uid="{00000000-0005-0000-0000-000084C00000}"/>
    <cellStyle name="Remarque 4 2 2 3 4 6 3" xfId="20699" xr:uid="{00000000-0005-0000-0000-000085C00000}"/>
    <cellStyle name="Remarque 4 2 2 3 4 6 4" xfId="44659" xr:uid="{00000000-0005-0000-0000-000086C00000}"/>
    <cellStyle name="Remarque 4 2 2 3 4 7" xfId="10895" xr:uid="{00000000-0005-0000-0000-000087C00000}"/>
    <cellStyle name="Remarque 4 2 2 3 4 7 2" xfId="34905" xr:uid="{00000000-0005-0000-0000-000088C00000}"/>
    <cellStyle name="Remarque 4 2 2 3 4 7 2 2" xfId="58865" xr:uid="{00000000-0005-0000-0000-000089C00000}"/>
    <cellStyle name="Remarque 4 2 2 3 4 7 3" xfId="22162" xr:uid="{00000000-0005-0000-0000-00008AC00000}"/>
    <cellStyle name="Remarque 4 2 2 3 4 7 4" xfId="46122" xr:uid="{00000000-0005-0000-0000-00008BC00000}"/>
    <cellStyle name="Remarque 4 2 2 3 4 8" xfId="12893" xr:uid="{00000000-0005-0000-0000-00008CC00000}"/>
    <cellStyle name="Remarque 4 2 2 3 4 8 2" xfId="24206" xr:uid="{00000000-0005-0000-0000-00008DC00000}"/>
    <cellStyle name="Remarque 4 2 2 3 4 8 3" xfId="48166" xr:uid="{00000000-0005-0000-0000-00008EC00000}"/>
    <cellStyle name="Remarque 4 2 2 3 4 9" xfId="2367" xr:uid="{00000000-0005-0000-0000-00008FC00000}"/>
    <cellStyle name="Remarque 4 2 2 3 4 9 2" xfId="26381" xr:uid="{00000000-0005-0000-0000-000090C00000}"/>
    <cellStyle name="Remarque 4 2 2 3 4 9 3" xfId="50341" xr:uid="{00000000-0005-0000-0000-000091C00000}"/>
    <cellStyle name="Remarque 4 2 2 3 5" xfId="1124" xr:uid="{00000000-0005-0000-0000-000092C00000}"/>
    <cellStyle name="Remarque 4 2 2 3 5 10" xfId="25156" xr:uid="{00000000-0005-0000-0000-000093C00000}"/>
    <cellStyle name="Remarque 4 2 2 3 5 10 2" xfId="49116" xr:uid="{00000000-0005-0000-0000-000094C00000}"/>
    <cellStyle name="Remarque 4 2 2 3 5 11" xfId="35778" xr:uid="{00000000-0005-0000-0000-000095C00000}"/>
    <cellStyle name="Remarque 4 2 2 3 5 11 2" xfId="59738" xr:uid="{00000000-0005-0000-0000-000096C00000}"/>
    <cellStyle name="Remarque 4 2 2 3 5 12" xfId="13821" xr:uid="{00000000-0005-0000-0000-000097C00000}"/>
    <cellStyle name="Remarque 4 2 2 3 5 13" xfId="37781" xr:uid="{00000000-0005-0000-0000-000098C00000}"/>
    <cellStyle name="Remarque 4 2 2 3 5 2" xfId="4030" xr:uid="{00000000-0005-0000-0000-000099C00000}"/>
    <cellStyle name="Remarque 4 2 2 3 5 2 2" xfId="28044" xr:uid="{00000000-0005-0000-0000-00009AC00000}"/>
    <cellStyle name="Remarque 4 2 2 3 5 2 2 2" xfId="52004" xr:uid="{00000000-0005-0000-0000-00009BC00000}"/>
    <cellStyle name="Remarque 4 2 2 3 5 2 3" xfId="15291" xr:uid="{00000000-0005-0000-0000-00009CC00000}"/>
    <cellStyle name="Remarque 4 2 2 3 5 2 4" xfId="39251" xr:uid="{00000000-0005-0000-0000-00009DC00000}"/>
    <cellStyle name="Remarque 4 2 2 3 5 3" xfId="5464" xr:uid="{00000000-0005-0000-0000-00009EC00000}"/>
    <cellStyle name="Remarque 4 2 2 3 5 3 2" xfId="29478" xr:uid="{00000000-0005-0000-0000-00009FC00000}"/>
    <cellStyle name="Remarque 4 2 2 3 5 3 2 2" xfId="53438" xr:uid="{00000000-0005-0000-0000-0000A0C00000}"/>
    <cellStyle name="Remarque 4 2 2 3 5 3 3" xfId="16725" xr:uid="{00000000-0005-0000-0000-0000A1C00000}"/>
    <cellStyle name="Remarque 4 2 2 3 5 3 4" xfId="40685" xr:uid="{00000000-0005-0000-0000-0000A2C00000}"/>
    <cellStyle name="Remarque 4 2 2 3 5 4" xfId="6858" xr:uid="{00000000-0005-0000-0000-0000A3C00000}"/>
    <cellStyle name="Remarque 4 2 2 3 5 4 2" xfId="30872" xr:uid="{00000000-0005-0000-0000-0000A4C00000}"/>
    <cellStyle name="Remarque 4 2 2 3 5 4 2 2" xfId="54832" xr:uid="{00000000-0005-0000-0000-0000A5C00000}"/>
    <cellStyle name="Remarque 4 2 2 3 5 4 3" xfId="18119" xr:uid="{00000000-0005-0000-0000-0000A6C00000}"/>
    <cellStyle name="Remarque 4 2 2 3 5 4 4" xfId="42079" xr:uid="{00000000-0005-0000-0000-0000A7C00000}"/>
    <cellStyle name="Remarque 4 2 2 3 5 5" xfId="8246" xr:uid="{00000000-0005-0000-0000-0000A8C00000}"/>
    <cellStyle name="Remarque 4 2 2 3 5 5 2" xfId="32260" xr:uid="{00000000-0005-0000-0000-0000A9C00000}"/>
    <cellStyle name="Remarque 4 2 2 3 5 5 2 2" xfId="56220" xr:uid="{00000000-0005-0000-0000-0000AAC00000}"/>
    <cellStyle name="Remarque 4 2 2 3 5 5 3" xfId="19507" xr:uid="{00000000-0005-0000-0000-0000ABC00000}"/>
    <cellStyle name="Remarque 4 2 2 3 5 5 4" xfId="43467" xr:uid="{00000000-0005-0000-0000-0000ACC00000}"/>
    <cellStyle name="Remarque 4 2 2 3 5 6" xfId="9631" xr:uid="{00000000-0005-0000-0000-0000ADC00000}"/>
    <cellStyle name="Remarque 4 2 2 3 5 6 2" xfId="33645" xr:uid="{00000000-0005-0000-0000-0000AEC00000}"/>
    <cellStyle name="Remarque 4 2 2 3 5 6 2 2" xfId="57605" xr:uid="{00000000-0005-0000-0000-0000AFC00000}"/>
    <cellStyle name="Remarque 4 2 2 3 5 6 3" xfId="20892" xr:uid="{00000000-0005-0000-0000-0000B0C00000}"/>
    <cellStyle name="Remarque 4 2 2 3 5 6 4" xfId="44852" xr:uid="{00000000-0005-0000-0000-0000B1C00000}"/>
    <cellStyle name="Remarque 4 2 2 3 5 7" xfId="11088" xr:uid="{00000000-0005-0000-0000-0000B2C00000}"/>
    <cellStyle name="Remarque 4 2 2 3 5 7 2" xfId="35098" xr:uid="{00000000-0005-0000-0000-0000B3C00000}"/>
    <cellStyle name="Remarque 4 2 2 3 5 7 2 2" xfId="59058" xr:uid="{00000000-0005-0000-0000-0000B4C00000}"/>
    <cellStyle name="Remarque 4 2 2 3 5 7 3" xfId="22355" xr:uid="{00000000-0005-0000-0000-0000B5C00000}"/>
    <cellStyle name="Remarque 4 2 2 3 5 7 4" xfId="46315" xr:uid="{00000000-0005-0000-0000-0000B6C00000}"/>
    <cellStyle name="Remarque 4 2 2 3 5 8" xfId="12586" xr:uid="{00000000-0005-0000-0000-0000B7C00000}"/>
    <cellStyle name="Remarque 4 2 2 3 5 8 2" xfId="23887" xr:uid="{00000000-0005-0000-0000-0000B8C00000}"/>
    <cellStyle name="Remarque 4 2 2 3 5 8 3" xfId="47847" xr:uid="{00000000-0005-0000-0000-0000B9C00000}"/>
    <cellStyle name="Remarque 4 2 2 3 5 9" xfId="2560" xr:uid="{00000000-0005-0000-0000-0000BAC00000}"/>
    <cellStyle name="Remarque 4 2 2 3 5 9 2" xfId="26574" xr:uid="{00000000-0005-0000-0000-0000BBC00000}"/>
    <cellStyle name="Remarque 4 2 2 3 5 9 3" xfId="50534" xr:uid="{00000000-0005-0000-0000-0000BCC00000}"/>
    <cellStyle name="Remarque 4 2 2 3 6" xfId="1291" xr:uid="{00000000-0005-0000-0000-0000BDC00000}"/>
    <cellStyle name="Remarque 4 2 2 3 6 10" xfId="25323" xr:uid="{00000000-0005-0000-0000-0000BEC00000}"/>
    <cellStyle name="Remarque 4 2 2 3 6 10 2" xfId="49283" xr:uid="{00000000-0005-0000-0000-0000BFC00000}"/>
    <cellStyle name="Remarque 4 2 2 3 6 11" xfId="36055" xr:uid="{00000000-0005-0000-0000-0000C0C00000}"/>
    <cellStyle name="Remarque 4 2 2 3 6 11 2" xfId="60015" xr:uid="{00000000-0005-0000-0000-0000C1C00000}"/>
    <cellStyle name="Remarque 4 2 2 3 6 12" xfId="13988" xr:uid="{00000000-0005-0000-0000-0000C2C00000}"/>
    <cellStyle name="Remarque 4 2 2 3 6 13" xfId="37948" xr:uid="{00000000-0005-0000-0000-0000C3C00000}"/>
    <cellStyle name="Remarque 4 2 2 3 6 2" xfId="4197" xr:uid="{00000000-0005-0000-0000-0000C4C00000}"/>
    <cellStyle name="Remarque 4 2 2 3 6 2 2" xfId="28211" xr:uid="{00000000-0005-0000-0000-0000C5C00000}"/>
    <cellStyle name="Remarque 4 2 2 3 6 2 2 2" xfId="52171" xr:uid="{00000000-0005-0000-0000-0000C6C00000}"/>
    <cellStyle name="Remarque 4 2 2 3 6 2 3" xfId="15458" xr:uid="{00000000-0005-0000-0000-0000C7C00000}"/>
    <cellStyle name="Remarque 4 2 2 3 6 2 4" xfId="39418" xr:uid="{00000000-0005-0000-0000-0000C8C00000}"/>
    <cellStyle name="Remarque 4 2 2 3 6 3" xfId="5631" xr:uid="{00000000-0005-0000-0000-0000C9C00000}"/>
    <cellStyle name="Remarque 4 2 2 3 6 3 2" xfId="29645" xr:uid="{00000000-0005-0000-0000-0000CAC00000}"/>
    <cellStyle name="Remarque 4 2 2 3 6 3 2 2" xfId="53605" xr:uid="{00000000-0005-0000-0000-0000CBC00000}"/>
    <cellStyle name="Remarque 4 2 2 3 6 3 3" xfId="16892" xr:uid="{00000000-0005-0000-0000-0000CCC00000}"/>
    <cellStyle name="Remarque 4 2 2 3 6 3 4" xfId="40852" xr:uid="{00000000-0005-0000-0000-0000CDC00000}"/>
    <cellStyle name="Remarque 4 2 2 3 6 4" xfId="7025" xr:uid="{00000000-0005-0000-0000-0000CEC00000}"/>
    <cellStyle name="Remarque 4 2 2 3 6 4 2" xfId="31039" xr:uid="{00000000-0005-0000-0000-0000CFC00000}"/>
    <cellStyle name="Remarque 4 2 2 3 6 4 2 2" xfId="54999" xr:uid="{00000000-0005-0000-0000-0000D0C00000}"/>
    <cellStyle name="Remarque 4 2 2 3 6 4 3" xfId="18286" xr:uid="{00000000-0005-0000-0000-0000D1C00000}"/>
    <cellStyle name="Remarque 4 2 2 3 6 4 4" xfId="42246" xr:uid="{00000000-0005-0000-0000-0000D2C00000}"/>
    <cellStyle name="Remarque 4 2 2 3 6 5" xfId="8413" xr:uid="{00000000-0005-0000-0000-0000D3C00000}"/>
    <cellStyle name="Remarque 4 2 2 3 6 5 2" xfId="32427" xr:uid="{00000000-0005-0000-0000-0000D4C00000}"/>
    <cellStyle name="Remarque 4 2 2 3 6 5 2 2" xfId="56387" xr:uid="{00000000-0005-0000-0000-0000D5C00000}"/>
    <cellStyle name="Remarque 4 2 2 3 6 5 3" xfId="19674" xr:uid="{00000000-0005-0000-0000-0000D6C00000}"/>
    <cellStyle name="Remarque 4 2 2 3 6 5 4" xfId="43634" xr:uid="{00000000-0005-0000-0000-0000D7C00000}"/>
    <cellStyle name="Remarque 4 2 2 3 6 6" xfId="9798" xr:uid="{00000000-0005-0000-0000-0000D8C00000}"/>
    <cellStyle name="Remarque 4 2 2 3 6 6 2" xfId="33812" xr:uid="{00000000-0005-0000-0000-0000D9C00000}"/>
    <cellStyle name="Remarque 4 2 2 3 6 6 2 2" xfId="57772" xr:uid="{00000000-0005-0000-0000-0000DAC00000}"/>
    <cellStyle name="Remarque 4 2 2 3 6 6 3" xfId="21059" xr:uid="{00000000-0005-0000-0000-0000DBC00000}"/>
    <cellStyle name="Remarque 4 2 2 3 6 6 4" xfId="45019" xr:uid="{00000000-0005-0000-0000-0000DCC00000}"/>
    <cellStyle name="Remarque 4 2 2 3 6 7" xfId="11255" xr:uid="{00000000-0005-0000-0000-0000DDC00000}"/>
    <cellStyle name="Remarque 4 2 2 3 6 7 2" xfId="35265" xr:uid="{00000000-0005-0000-0000-0000DEC00000}"/>
    <cellStyle name="Remarque 4 2 2 3 6 7 2 2" xfId="59225" xr:uid="{00000000-0005-0000-0000-0000DFC00000}"/>
    <cellStyle name="Remarque 4 2 2 3 6 7 3" xfId="22522" xr:uid="{00000000-0005-0000-0000-0000E0C00000}"/>
    <cellStyle name="Remarque 4 2 2 3 6 7 4" xfId="46482" xr:uid="{00000000-0005-0000-0000-0000E1C00000}"/>
    <cellStyle name="Remarque 4 2 2 3 6 8" xfId="12176" xr:uid="{00000000-0005-0000-0000-0000E2C00000}"/>
    <cellStyle name="Remarque 4 2 2 3 6 8 2" xfId="23459" xr:uid="{00000000-0005-0000-0000-0000E3C00000}"/>
    <cellStyle name="Remarque 4 2 2 3 6 8 3" xfId="47419" xr:uid="{00000000-0005-0000-0000-0000E4C00000}"/>
    <cellStyle name="Remarque 4 2 2 3 6 9" xfId="2727" xr:uid="{00000000-0005-0000-0000-0000E5C00000}"/>
    <cellStyle name="Remarque 4 2 2 3 6 9 2" xfId="26741" xr:uid="{00000000-0005-0000-0000-0000E6C00000}"/>
    <cellStyle name="Remarque 4 2 2 3 6 9 3" xfId="50701" xr:uid="{00000000-0005-0000-0000-0000E7C00000}"/>
    <cellStyle name="Remarque 4 2 2 3 7" xfId="1460" xr:uid="{00000000-0005-0000-0000-0000E8C00000}"/>
    <cellStyle name="Remarque 4 2 2 3 7 10" xfId="25492" xr:uid="{00000000-0005-0000-0000-0000E9C00000}"/>
    <cellStyle name="Remarque 4 2 2 3 7 10 2" xfId="49452" xr:uid="{00000000-0005-0000-0000-0000EAC00000}"/>
    <cellStyle name="Remarque 4 2 2 3 7 11" xfId="35924" xr:uid="{00000000-0005-0000-0000-0000EBC00000}"/>
    <cellStyle name="Remarque 4 2 2 3 7 11 2" xfId="59884" xr:uid="{00000000-0005-0000-0000-0000ECC00000}"/>
    <cellStyle name="Remarque 4 2 2 3 7 12" xfId="14157" xr:uid="{00000000-0005-0000-0000-0000EDC00000}"/>
    <cellStyle name="Remarque 4 2 2 3 7 13" xfId="38117" xr:uid="{00000000-0005-0000-0000-0000EEC00000}"/>
    <cellStyle name="Remarque 4 2 2 3 7 2" xfId="4366" xr:uid="{00000000-0005-0000-0000-0000EFC00000}"/>
    <cellStyle name="Remarque 4 2 2 3 7 2 2" xfId="28380" xr:uid="{00000000-0005-0000-0000-0000F0C00000}"/>
    <cellStyle name="Remarque 4 2 2 3 7 2 2 2" xfId="52340" xr:uid="{00000000-0005-0000-0000-0000F1C00000}"/>
    <cellStyle name="Remarque 4 2 2 3 7 2 3" xfId="15627" xr:uid="{00000000-0005-0000-0000-0000F2C00000}"/>
    <cellStyle name="Remarque 4 2 2 3 7 2 4" xfId="39587" xr:uid="{00000000-0005-0000-0000-0000F3C00000}"/>
    <cellStyle name="Remarque 4 2 2 3 7 3" xfId="5800" xr:uid="{00000000-0005-0000-0000-0000F4C00000}"/>
    <cellStyle name="Remarque 4 2 2 3 7 3 2" xfId="29814" xr:uid="{00000000-0005-0000-0000-0000F5C00000}"/>
    <cellStyle name="Remarque 4 2 2 3 7 3 2 2" xfId="53774" xr:uid="{00000000-0005-0000-0000-0000F6C00000}"/>
    <cellStyle name="Remarque 4 2 2 3 7 3 3" xfId="17061" xr:uid="{00000000-0005-0000-0000-0000F7C00000}"/>
    <cellStyle name="Remarque 4 2 2 3 7 3 4" xfId="41021" xr:uid="{00000000-0005-0000-0000-0000F8C00000}"/>
    <cellStyle name="Remarque 4 2 2 3 7 4" xfId="7194" xr:uid="{00000000-0005-0000-0000-0000F9C00000}"/>
    <cellStyle name="Remarque 4 2 2 3 7 4 2" xfId="31208" xr:uid="{00000000-0005-0000-0000-0000FAC00000}"/>
    <cellStyle name="Remarque 4 2 2 3 7 4 2 2" xfId="55168" xr:uid="{00000000-0005-0000-0000-0000FBC00000}"/>
    <cellStyle name="Remarque 4 2 2 3 7 4 3" xfId="18455" xr:uid="{00000000-0005-0000-0000-0000FCC00000}"/>
    <cellStyle name="Remarque 4 2 2 3 7 4 4" xfId="42415" xr:uid="{00000000-0005-0000-0000-0000FDC00000}"/>
    <cellStyle name="Remarque 4 2 2 3 7 5" xfId="8582" xr:uid="{00000000-0005-0000-0000-0000FEC00000}"/>
    <cellStyle name="Remarque 4 2 2 3 7 5 2" xfId="32596" xr:uid="{00000000-0005-0000-0000-0000FFC00000}"/>
    <cellStyle name="Remarque 4 2 2 3 7 5 2 2" xfId="56556" xr:uid="{00000000-0005-0000-0000-000000C10000}"/>
    <cellStyle name="Remarque 4 2 2 3 7 5 3" xfId="19843" xr:uid="{00000000-0005-0000-0000-000001C10000}"/>
    <cellStyle name="Remarque 4 2 2 3 7 5 4" xfId="43803" xr:uid="{00000000-0005-0000-0000-000002C10000}"/>
    <cellStyle name="Remarque 4 2 2 3 7 6" xfId="9967" xr:uid="{00000000-0005-0000-0000-000003C10000}"/>
    <cellStyle name="Remarque 4 2 2 3 7 6 2" xfId="33981" xr:uid="{00000000-0005-0000-0000-000004C10000}"/>
    <cellStyle name="Remarque 4 2 2 3 7 6 2 2" xfId="57941" xr:uid="{00000000-0005-0000-0000-000005C10000}"/>
    <cellStyle name="Remarque 4 2 2 3 7 6 3" xfId="21228" xr:uid="{00000000-0005-0000-0000-000006C10000}"/>
    <cellStyle name="Remarque 4 2 2 3 7 6 4" xfId="45188" xr:uid="{00000000-0005-0000-0000-000007C10000}"/>
    <cellStyle name="Remarque 4 2 2 3 7 7" xfId="11424" xr:uid="{00000000-0005-0000-0000-000008C10000}"/>
    <cellStyle name="Remarque 4 2 2 3 7 7 2" xfId="35434" xr:uid="{00000000-0005-0000-0000-000009C10000}"/>
    <cellStyle name="Remarque 4 2 2 3 7 7 2 2" xfId="59394" xr:uid="{00000000-0005-0000-0000-00000AC10000}"/>
    <cellStyle name="Remarque 4 2 2 3 7 7 3" xfId="22691" xr:uid="{00000000-0005-0000-0000-00000BC10000}"/>
    <cellStyle name="Remarque 4 2 2 3 7 7 4" xfId="46651" xr:uid="{00000000-0005-0000-0000-00000CC10000}"/>
    <cellStyle name="Remarque 4 2 2 3 7 8" xfId="12229" xr:uid="{00000000-0005-0000-0000-00000DC10000}"/>
    <cellStyle name="Remarque 4 2 2 3 7 8 2" xfId="23513" xr:uid="{00000000-0005-0000-0000-00000EC10000}"/>
    <cellStyle name="Remarque 4 2 2 3 7 8 3" xfId="47473" xr:uid="{00000000-0005-0000-0000-00000FC10000}"/>
    <cellStyle name="Remarque 4 2 2 3 7 9" xfId="2896" xr:uid="{00000000-0005-0000-0000-000010C10000}"/>
    <cellStyle name="Remarque 4 2 2 3 7 9 2" xfId="26910" xr:uid="{00000000-0005-0000-0000-000011C10000}"/>
    <cellStyle name="Remarque 4 2 2 3 7 9 3" xfId="50870" xr:uid="{00000000-0005-0000-0000-000012C10000}"/>
    <cellStyle name="Remarque 4 2 2 3 8" xfId="3315" xr:uid="{00000000-0005-0000-0000-000013C10000}"/>
    <cellStyle name="Remarque 4 2 2 3 8 2" xfId="27329" xr:uid="{00000000-0005-0000-0000-000014C10000}"/>
    <cellStyle name="Remarque 4 2 2 3 8 2 2" xfId="51289" xr:uid="{00000000-0005-0000-0000-000015C10000}"/>
    <cellStyle name="Remarque 4 2 2 3 8 3" xfId="14576" xr:uid="{00000000-0005-0000-0000-000016C10000}"/>
    <cellStyle name="Remarque 4 2 2 3 8 4" xfId="38536" xr:uid="{00000000-0005-0000-0000-000017C10000}"/>
    <cellStyle name="Remarque 4 2 2 3 9" xfId="4749" xr:uid="{00000000-0005-0000-0000-000018C10000}"/>
    <cellStyle name="Remarque 4 2 2 3 9 2" xfId="28763" xr:uid="{00000000-0005-0000-0000-000019C10000}"/>
    <cellStyle name="Remarque 4 2 2 3 9 2 2" xfId="52723" xr:uid="{00000000-0005-0000-0000-00001AC10000}"/>
    <cellStyle name="Remarque 4 2 2 3 9 3" xfId="16010" xr:uid="{00000000-0005-0000-0000-00001BC10000}"/>
    <cellStyle name="Remarque 4 2 2 3 9 4" xfId="39970" xr:uid="{00000000-0005-0000-0000-00001CC10000}"/>
    <cellStyle name="Remarque 4 2 2 4" xfId="449" xr:uid="{00000000-0005-0000-0000-00001DC10000}"/>
    <cellStyle name="Remarque 4 2 2 4 10" xfId="6183" xr:uid="{00000000-0005-0000-0000-00001EC10000}"/>
    <cellStyle name="Remarque 4 2 2 4 10 2" xfId="30197" xr:uid="{00000000-0005-0000-0000-00001FC10000}"/>
    <cellStyle name="Remarque 4 2 2 4 10 2 2" xfId="54157" xr:uid="{00000000-0005-0000-0000-000020C10000}"/>
    <cellStyle name="Remarque 4 2 2 4 10 3" xfId="17444" xr:uid="{00000000-0005-0000-0000-000021C10000}"/>
    <cellStyle name="Remarque 4 2 2 4 10 4" xfId="41404" xr:uid="{00000000-0005-0000-0000-000022C10000}"/>
    <cellStyle name="Remarque 4 2 2 4 11" xfId="7571" xr:uid="{00000000-0005-0000-0000-000023C10000}"/>
    <cellStyle name="Remarque 4 2 2 4 11 2" xfId="31585" xr:uid="{00000000-0005-0000-0000-000024C10000}"/>
    <cellStyle name="Remarque 4 2 2 4 11 2 2" xfId="55545" xr:uid="{00000000-0005-0000-0000-000025C10000}"/>
    <cellStyle name="Remarque 4 2 2 4 11 3" xfId="18832" xr:uid="{00000000-0005-0000-0000-000026C10000}"/>
    <cellStyle name="Remarque 4 2 2 4 11 4" xfId="42792" xr:uid="{00000000-0005-0000-0000-000027C10000}"/>
    <cellStyle name="Remarque 4 2 2 4 12" xfId="8956" xr:uid="{00000000-0005-0000-0000-000028C10000}"/>
    <cellStyle name="Remarque 4 2 2 4 12 2" xfId="32970" xr:uid="{00000000-0005-0000-0000-000029C10000}"/>
    <cellStyle name="Remarque 4 2 2 4 12 2 2" xfId="56930" xr:uid="{00000000-0005-0000-0000-00002AC10000}"/>
    <cellStyle name="Remarque 4 2 2 4 12 3" xfId="20217" xr:uid="{00000000-0005-0000-0000-00002BC10000}"/>
    <cellStyle name="Remarque 4 2 2 4 12 4" xfId="44177" xr:uid="{00000000-0005-0000-0000-00002CC10000}"/>
    <cellStyle name="Remarque 4 2 2 4 13" xfId="10413" xr:uid="{00000000-0005-0000-0000-00002DC10000}"/>
    <cellStyle name="Remarque 4 2 2 4 13 2" xfId="34423" xr:uid="{00000000-0005-0000-0000-00002EC10000}"/>
    <cellStyle name="Remarque 4 2 2 4 13 2 2" xfId="58383" xr:uid="{00000000-0005-0000-0000-00002FC10000}"/>
    <cellStyle name="Remarque 4 2 2 4 13 3" xfId="21680" xr:uid="{00000000-0005-0000-0000-000030C10000}"/>
    <cellStyle name="Remarque 4 2 2 4 13 4" xfId="45640" xr:uid="{00000000-0005-0000-0000-000031C10000}"/>
    <cellStyle name="Remarque 4 2 2 4 14" xfId="12693" xr:uid="{00000000-0005-0000-0000-000032C10000}"/>
    <cellStyle name="Remarque 4 2 2 4 14 2" xfId="23998" xr:uid="{00000000-0005-0000-0000-000033C10000}"/>
    <cellStyle name="Remarque 4 2 2 4 14 3" xfId="47958" xr:uid="{00000000-0005-0000-0000-000034C10000}"/>
    <cellStyle name="Remarque 4 2 2 4 15" xfId="1885" xr:uid="{00000000-0005-0000-0000-000035C10000}"/>
    <cellStyle name="Remarque 4 2 2 4 15 2" xfId="25899" xr:uid="{00000000-0005-0000-0000-000036C10000}"/>
    <cellStyle name="Remarque 4 2 2 4 15 3" xfId="49859" xr:uid="{00000000-0005-0000-0000-000037C10000}"/>
    <cellStyle name="Remarque 4 2 2 4 16" xfId="24481" xr:uid="{00000000-0005-0000-0000-000038C10000}"/>
    <cellStyle name="Remarque 4 2 2 4 16 2" xfId="48441" xr:uid="{00000000-0005-0000-0000-000039C10000}"/>
    <cellStyle name="Remarque 4 2 2 4 17" xfId="36271" xr:uid="{00000000-0005-0000-0000-00003AC10000}"/>
    <cellStyle name="Remarque 4 2 2 4 17 2" xfId="60231" xr:uid="{00000000-0005-0000-0000-00003BC10000}"/>
    <cellStyle name="Remarque 4 2 2 4 18" xfId="13146" xr:uid="{00000000-0005-0000-0000-00003CC10000}"/>
    <cellStyle name="Remarque 4 2 2 4 19" xfId="37106" xr:uid="{00000000-0005-0000-0000-00003DC10000}"/>
    <cellStyle name="Remarque 4 2 2 4 2" xfId="585" xr:uid="{00000000-0005-0000-0000-00003EC10000}"/>
    <cellStyle name="Remarque 4 2 2 4 2 10" xfId="24617" xr:uid="{00000000-0005-0000-0000-00003FC10000}"/>
    <cellStyle name="Remarque 4 2 2 4 2 10 2" xfId="48577" xr:uid="{00000000-0005-0000-0000-000040C10000}"/>
    <cellStyle name="Remarque 4 2 2 4 2 11" xfId="35715" xr:uid="{00000000-0005-0000-0000-000041C10000}"/>
    <cellStyle name="Remarque 4 2 2 4 2 11 2" xfId="59675" xr:uid="{00000000-0005-0000-0000-000042C10000}"/>
    <cellStyle name="Remarque 4 2 2 4 2 12" xfId="13282" xr:uid="{00000000-0005-0000-0000-000043C10000}"/>
    <cellStyle name="Remarque 4 2 2 4 2 13" xfId="37242" xr:uid="{00000000-0005-0000-0000-000044C10000}"/>
    <cellStyle name="Remarque 4 2 2 4 2 2" xfId="3491" xr:uid="{00000000-0005-0000-0000-000045C10000}"/>
    <cellStyle name="Remarque 4 2 2 4 2 2 2" xfId="27505" xr:uid="{00000000-0005-0000-0000-000046C10000}"/>
    <cellStyle name="Remarque 4 2 2 4 2 2 2 2" xfId="51465" xr:uid="{00000000-0005-0000-0000-000047C10000}"/>
    <cellStyle name="Remarque 4 2 2 4 2 2 3" xfId="14752" xr:uid="{00000000-0005-0000-0000-000048C10000}"/>
    <cellStyle name="Remarque 4 2 2 4 2 2 4" xfId="38712" xr:uid="{00000000-0005-0000-0000-000049C10000}"/>
    <cellStyle name="Remarque 4 2 2 4 2 3" xfId="4925" xr:uid="{00000000-0005-0000-0000-00004AC10000}"/>
    <cellStyle name="Remarque 4 2 2 4 2 3 2" xfId="28939" xr:uid="{00000000-0005-0000-0000-00004BC10000}"/>
    <cellStyle name="Remarque 4 2 2 4 2 3 2 2" xfId="52899" xr:uid="{00000000-0005-0000-0000-00004CC10000}"/>
    <cellStyle name="Remarque 4 2 2 4 2 3 3" xfId="16186" xr:uid="{00000000-0005-0000-0000-00004DC10000}"/>
    <cellStyle name="Remarque 4 2 2 4 2 3 4" xfId="40146" xr:uid="{00000000-0005-0000-0000-00004EC10000}"/>
    <cellStyle name="Remarque 4 2 2 4 2 4" xfId="6319" xr:uid="{00000000-0005-0000-0000-00004FC10000}"/>
    <cellStyle name="Remarque 4 2 2 4 2 4 2" xfId="30333" xr:uid="{00000000-0005-0000-0000-000050C10000}"/>
    <cellStyle name="Remarque 4 2 2 4 2 4 2 2" xfId="54293" xr:uid="{00000000-0005-0000-0000-000051C10000}"/>
    <cellStyle name="Remarque 4 2 2 4 2 4 3" xfId="17580" xr:uid="{00000000-0005-0000-0000-000052C10000}"/>
    <cellStyle name="Remarque 4 2 2 4 2 4 4" xfId="41540" xr:uid="{00000000-0005-0000-0000-000053C10000}"/>
    <cellStyle name="Remarque 4 2 2 4 2 5" xfId="7707" xr:uid="{00000000-0005-0000-0000-000054C10000}"/>
    <cellStyle name="Remarque 4 2 2 4 2 5 2" xfId="31721" xr:uid="{00000000-0005-0000-0000-000055C10000}"/>
    <cellStyle name="Remarque 4 2 2 4 2 5 2 2" xfId="55681" xr:uid="{00000000-0005-0000-0000-000056C10000}"/>
    <cellStyle name="Remarque 4 2 2 4 2 5 3" xfId="18968" xr:uid="{00000000-0005-0000-0000-000057C10000}"/>
    <cellStyle name="Remarque 4 2 2 4 2 5 4" xfId="42928" xr:uid="{00000000-0005-0000-0000-000058C10000}"/>
    <cellStyle name="Remarque 4 2 2 4 2 6" xfId="9092" xr:uid="{00000000-0005-0000-0000-000059C10000}"/>
    <cellStyle name="Remarque 4 2 2 4 2 6 2" xfId="33106" xr:uid="{00000000-0005-0000-0000-00005AC10000}"/>
    <cellStyle name="Remarque 4 2 2 4 2 6 2 2" xfId="57066" xr:uid="{00000000-0005-0000-0000-00005BC10000}"/>
    <cellStyle name="Remarque 4 2 2 4 2 6 3" xfId="20353" xr:uid="{00000000-0005-0000-0000-00005CC10000}"/>
    <cellStyle name="Remarque 4 2 2 4 2 6 4" xfId="44313" xr:uid="{00000000-0005-0000-0000-00005DC10000}"/>
    <cellStyle name="Remarque 4 2 2 4 2 7" xfId="10549" xr:uid="{00000000-0005-0000-0000-00005EC10000}"/>
    <cellStyle name="Remarque 4 2 2 4 2 7 2" xfId="34559" xr:uid="{00000000-0005-0000-0000-00005FC10000}"/>
    <cellStyle name="Remarque 4 2 2 4 2 7 2 2" xfId="58519" xr:uid="{00000000-0005-0000-0000-000060C10000}"/>
    <cellStyle name="Remarque 4 2 2 4 2 7 3" xfId="21816" xr:uid="{00000000-0005-0000-0000-000061C10000}"/>
    <cellStyle name="Remarque 4 2 2 4 2 7 4" xfId="45776" xr:uid="{00000000-0005-0000-0000-000062C10000}"/>
    <cellStyle name="Remarque 4 2 2 4 2 8" xfId="12060" xr:uid="{00000000-0005-0000-0000-000063C10000}"/>
    <cellStyle name="Remarque 4 2 2 4 2 8 2" xfId="23341" xr:uid="{00000000-0005-0000-0000-000064C10000}"/>
    <cellStyle name="Remarque 4 2 2 4 2 8 3" xfId="47301" xr:uid="{00000000-0005-0000-0000-000065C10000}"/>
    <cellStyle name="Remarque 4 2 2 4 2 9" xfId="2021" xr:uid="{00000000-0005-0000-0000-000066C10000}"/>
    <cellStyle name="Remarque 4 2 2 4 2 9 2" xfId="26035" xr:uid="{00000000-0005-0000-0000-000067C10000}"/>
    <cellStyle name="Remarque 4 2 2 4 2 9 3" xfId="49995" xr:uid="{00000000-0005-0000-0000-000068C10000}"/>
    <cellStyle name="Remarque 4 2 2 4 3" xfId="777" xr:uid="{00000000-0005-0000-0000-000069C10000}"/>
    <cellStyle name="Remarque 4 2 2 4 3 10" xfId="24809" xr:uid="{00000000-0005-0000-0000-00006AC10000}"/>
    <cellStyle name="Remarque 4 2 2 4 3 10 2" xfId="48769" xr:uid="{00000000-0005-0000-0000-00006BC10000}"/>
    <cellStyle name="Remarque 4 2 2 4 3 11" xfId="36469" xr:uid="{00000000-0005-0000-0000-00006CC10000}"/>
    <cellStyle name="Remarque 4 2 2 4 3 11 2" xfId="60429" xr:uid="{00000000-0005-0000-0000-00006DC10000}"/>
    <cellStyle name="Remarque 4 2 2 4 3 12" xfId="13474" xr:uid="{00000000-0005-0000-0000-00006EC10000}"/>
    <cellStyle name="Remarque 4 2 2 4 3 13" xfId="37434" xr:uid="{00000000-0005-0000-0000-00006FC10000}"/>
    <cellStyle name="Remarque 4 2 2 4 3 2" xfId="3683" xr:uid="{00000000-0005-0000-0000-000070C10000}"/>
    <cellStyle name="Remarque 4 2 2 4 3 2 2" xfId="27697" xr:uid="{00000000-0005-0000-0000-000071C10000}"/>
    <cellStyle name="Remarque 4 2 2 4 3 2 2 2" xfId="51657" xr:uid="{00000000-0005-0000-0000-000072C10000}"/>
    <cellStyle name="Remarque 4 2 2 4 3 2 3" xfId="14944" xr:uid="{00000000-0005-0000-0000-000073C10000}"/>
    <cellStyle name="Remarque 4 2 2 4 3 2 4" xfId="38904" xr:uid="{00000000-0005-0000-0000-000074C10000}"/>
    <cellStyle name="Remarque 4 2 2 4 3 3" xfId="5117" xr:uid="{00000000-0005-0000-0000-000075C10000}"/>
    <cellStyle name="Remarque 4 2 2 4 3 3 2" xfId="29131" xr:uid="{00000000-0005-0000-0000-000076C10000}"/>
    <cellStyle name="Remarque 4 2 2 4 3 3 2 2" xfId="53091" xr:uid="{00000000-0005-0000-0000-000077C10000}"/>
    <cellStyle name="Remarque 4 2 2 4 3 3 3" xfId="16378" xr:uid="{00000000-0005-0000-0000-000078C10000}"/>
    <cellStyle name="Remarque 4 2 2 4 3 3 4" xfId="40338" xr:uid="{00000000-0005-0000-0000-000079C10000}"/>
    <cellStyle name="Remarque 4 2 2 4 3 4" xfId="6511" xr:uid="{00000000-0005-0000-0000-00007AC10000}"/>
    <cellStyle name="Remarque 4 2 2 4 3 4 2" xfId="30525" xr:uid="{00000000-0005-0000-0000-00007BC10000}"/>
    <cellStyle name="Remarque 4 2 2 4 3 4 2 2" xfId="54485" xr:uid="{00000000-0005-0000-0000-00007CC10000}"/>
    <cellStyle name="Remarque 4 2 2 4 3 4 3" xfId="17772" xr:uid="{00000000-0005-0000-0000-00007DC10000}"/>
    <cellStyle name="Remarque 4 2 2 4 3 4 4" xfId="41732" xr:uid="{00000000-0005-0000-0000-00007EC10000}"/>
    <cellStyle name="Remarque 4 2 2 4 3 5" xfId="7899" xr:uid="{00000000-0005-0000-0000-00007FC10000}"/>
    <cellStyle name="Remarque 4 2 2 4 3 5 2" xfId="31913" xr:uid="{00000000-0005-0000-0000-000080C10000}"/>
    <cellStyle name="Remarque 4 2 2 4 3 5 2 2" xfId="55873" xr:uid="{00000000-0005-0000-0000-000081C10000}"/>
    <cellStyle name="Remarque 4 2 2 4 3 5 3" xfId="19160" xr:uid="{00000000-0005-0000-0000-000082C10000}"/>
    <cellStyle name="Remarque 4 2 2 4 3 5 4" xfId="43120" xr:uid="{00000000-0005-0000-0000-000083C10000}"/>
    <cellStyle name="Remarque 4 2 2 4 3 6" xfId="9284" xr:uid="{00000000-0005-0000-0000-000084C10000}"/>
    <cellStyle name="Remarque 4 2 2 4 3 6 2" xfId="33298" xr:uid="{00000000-0005-0000-0000-000085C10000}"/>
    <cellStyle name="Remarque 4 2 2 4 3 6 2 2" xfId="57258" xr:uid="{00000000-0005-0000-0000-000086C10000}"/>
    <cellStyle name="Remarque 4 2 2 4 3 6 3" xfId="20545" xr:uid="{00000000-0005-0000-0000-000087C10000}"/>
    <cellStyle name="Remarque 4 2 2 4 3 6 4" xfId="44505" xr:uid="{00000000-0005-0000-0000-000088C10000}"/>
    <cellStyle name="Remarque 4 2 2 4 3 7" xfId="10741" xr:uid="{00000000-0005-0000-0000-000089C10000}"/>
    <cellStyle name="Remarque 4 2 2 4 3 7 2" xfId="34751" xr:uid="{00000000-0005-0000-0000-00008AC10000}"/>
    <cellStyle name="Remarque 4 2 2 4 3 7 2 2" xfId="58711" xr:uid="{00000000-0005-0000-0000-00008BC10000}"/>
    <cellStyle name="Remarque 4 2 2 4 3 7 3" xfId="22008" xr:uid="{00000000-0005-0000-0000-00008CC10000}"/>
    <cellStyle name="Remarque 4 2 2 4 3 7 4" xfId="45968" xr:uid="{00000000-0005-0000-0000-00008DC10000}"/>
    <cellStyle name="Remarque 4 2 2 4 3 8" xfId="11809" xr:uid="{00000000-0005-0000-0000-00008EC10000}"/>
    <cellStyle name="Remarque 4 2 2 4 3 8 2" xfId="23083" xr:uid="{00000000-0005-0000-0000-00008FC10000}"/>
    <cellStyle name="Remarque 4 2 2 4 3 8 3" xfId="47043" xr:uid="{00000000-0005-0000-0000-000090C10000}"/>
    <cellStyle name="Remarque 4 2 2 4 3 9" xfId="2213" xr:uid="{00000000-0005-0000-0000-000091C10000}"/>
    <cellStyle name="Remarque 4 2 2 4 3 9 2" xfId="26227" xr:uid="{00000000-0005-0000-0000-000092C10000}"/>
    <cellStyle name="Remarque 4 2 2 4 3 9 3" xfId="50187" xr:uid="{00000000-0005-0000-0000-000093C10000}"/>
    <cellStyle name="Remarque 4 2 2 4 4" xfId="971" xr:uid="{00000000-0005-0000-0000-000094C10000}"/>
    <cellStyle name="Remarque 4 2 2 4 4 10" xfId="25003" xr:uid="{00000000-0005-0000-0000-000095C10000}"/>
    <cellStyle name="Remarque 4 2 2 4 4 10 2" xfId="48963" xr:uid="{00000000-0005-0000-0000-000096C10000}"/>
    <cellStyle name="Remarque 4 2 2 4 4 11" xfId="35642" xr:uid="{00000000-0005-0000-0000-000097C10000}"/>
    <cellStyle name="Remarque 4 2 2 4 4 11 2" xfId="59602" xr:uid="{00000000-0005-0000-0000-000098C10000}"/>
    <cellStyle name="Remarque 4 2 2 4 4 12" xfId="13668" xr:uid="{00000000-0005-0000-0000-000099C10000}"/>
    <cellStyle name="Remarque 4 2 2 4 4 13" xfId="37628" xr:uid="{00000000-0005-0000-0000-00009AC10000}"/>
    <cellStyle name="Remarque 4 2 2 4 4 2" xfId="3877" xr:uid="{00000000-0005-0000-0000-00009BC10000}"/>
    <cellStyle name="Remarque 4 2 2 4 4 2 2" xfId="27891" xr:uid="{00000000-0005-0000-0000-00009CC10000}"/>
    <cellStyle name="Remarque 4 2 2 4 4 2 2 2" xfId="51851" xr:uid="{00000000-0005-0000-0000-00009DC10000}"/>
    <cellStyle name="Remarque 4 2 2 4 4 2 3" xfId="15138" xr:uid="{00000000-0005-0000-0000-00009EC10000}"/>
    <cellStyle name="Remarque 4 2 2 4 4 2 4" xfId="39098" xr:uid="{00000000-0005-0000-0000-00009FC10000}"/>
    <cellStyle name="Remarque 4 2 2 4 4 3" xfId="5311" xr:uid="{00000000-0005-0000-0000-0000A0C10000}"/>
    <cellStyle name="Remarque 4 2 2 4 4 3 2" xfId="29325" xr:uid="{00000000-0005-0000-0000-0000A1C10000}"/>
    <cellStyle name="Remarque 4 2 2 4 4 3 2 2" xfId="53285" xr:uid="{00000000-0005-0000-0000-0000A2C10000}"/>
    <cellStyle name="Remarque 4 2 2 4 4 3 3" xfId="16572" xr:uid="{00000000-0005-0000-0000-0000A3C10000}"/>
    <cellStyle name="Remarque 4 2 2 4 4 3 4" xfId="40532" xr:uid="{00000000-0005-0000-0000-0000A4C10000}"/>
    <cellStyle name="Remarque 4 2 2 4 4 4" xfId="6705" xr:uid="{00000000-0005-0000-0000-0000A5C10000}"/>
    <cellStyle name="Remarque 4 2 2 4 4 4 2" xfId="30719" xr:uid="{00000000-0005-0000-0000-0000A6C10000}"/>
    <cellStyle name="Remarque 4 2 2 4 4 4 2 2" xfId="54679" xr:uid="{00000000-0005-0000-0000-0000A7C10000}"/>
    <cellStyle name="Remarque 4 2 2 4 4 4 3" xfId="17966" xr:uid="{00000000-0005-0000-0000-0000A8C10000}"/>
    <cellStyle name="Remarque 4 2 2 4 4 4 4" xfId="41926" xr:uid="{00000000-0005-0000-0000-0000A9C10000}"/>
    <cellStyle name="Remarque 4 2 2 4 4 5" xfId="8093" xr:uid="{00000000-0005-0000-0000-0000AAC10000}"/>
    <cellStyle name="Remarque 4 2 2 4 4 5 2" xfId="32107" xr:uid="{00000000-0005-0000-0000-0000ABC10000}"/>
    <cellStyle name="Remarque 4 2 2 4 4 5 2 2" xfId="56067" xr:uid="{00000000-0005-0000-0000-0000ACC10000}"/>
    <cellStyle name="Remarque 4 2 2 4 4 5 3" xfId="19354" xr:uid="{00000000-0005-0000-0000-0000ADC10000}"/>
    <cellStyle name="Remarque 4 2 2 4 4 5 4" xfId="43314" xr:uid="{00000000-0005-0000-0000-0000AEC10000}"/>
    <cellStyle name="Remarque 4 2 2 4 4 6" xfId="9478" xr:uid="{00000000-0005-0000-0000-0000AFC10000}"/>
    <cellStyle name="Remarque 4 2 2 4 4 6 2" xfId="33492" xr:uid="{00000000-0005-0000-0000-0000B0C10000}"/>
    <cellStyle name="Remarque 4 2 2 4 4 6 2 2" xfId="57452" xr:uid="{00000000-0005-0000-0000-0000B1C10000}"/>
    <cellStyle name="Remarque 4 2 2 4 4 6 3" xfId="20739" xr:uid="{00000000-0005-0000-0000-0000B2C10000}"/>
    <cellStyle name="Remarque 4 2 2 4 4 6 4" xfId="44699" xr:uid="{00000000-0005-0000-0000-0000B3C10000}"/>
    <cellStyle name="Remarque 4 2 2 4 4 7" xfId="10935" xr:uid="{00000000-0005-0000-0000-0000B4C10000}"/>
    <cellStyle name="Remarque 4 2 2 4 4 7 2" xfId="34945" xr:uid="{00000000-0005-0000-0000-0000B5C10000}"/>
    <cellStyle name="Remarque 4 2 2 4 4 7 2 2" xfId="58905" xr:uid="{00000000-0005-0000-0000-0000B6C10000}"/>
    <cellStyle name="Remarque 4 2 2 4 4 7 3" xfId="22202" xr:uid="{00000000-0005-0000-0000-0000B7C10000}"/>
    <cellStyle name="Remarque 4 2 2 4 4 7 4" xfId="46162" xr:uid="{00000000-0005-0000-0000-0000B8C10000}"/>
    <cellStyle name="Remarque 4 2 2 4 4 8" xfId="11603" xr:uid="{00000000-0005-0000-0000-0000B9C10000}"/>
    <cellStyle name="Remarque 4 2 2 4 4 8 2" xfId="22870" xr:uid="{00000000-0005-0000-0000-0000BAC10000}"/>
    <cellStyle name="Remarque 4 2 2 4 4 8 3" xfId="46830" xr:uid="{00000000-0005-0000-0000-0000BBC10000}"/>
    <cellStyle name="Remarque 4 2 2 4 4 9" xfId="2407" xr:uid="{00000000-0005-0000-0000-0000BCC10000}"/>
    <cellStyle name="Remarque 4 2 2 4 4 9 2" xfId="26421" xr:uid="{00000000-0005-0000-0000-0000BDC10000}"/>
    <cellStyle name="Remarque 4 2 2 4 4 9 3" xfId="50381" xr:uid="{00000000-0005-0000-0000-0000BEC10000}"/>
    <cellStyle name="Remarque 4 2 2 4 5" xfId="1164" xr:uid="{00000000-0005-0000-0000-0000BFC10000}"/>
    <cellStyle name="Remarque 4 2 2 4 5 10" xfId="25196" xr:uid="{00000000-0005-0000-0000-0000C0C10000}"/>
    <cellStyle name="Remarque 4 2 2 4 5 10 2" xfId="49156" xr:uid="{00000000-0005-0000-0000-0000C1C10000}"/>
    <cellStyle name="Remarque 4 2 2 4 5 11" xfId="36509" xr:uid="{00000000-0005-0000-0000-0000C2C10000}"/>
    <cellStyle name="Remarque 4 2 2 4 5 11 2" xfId="60469" xr:uid="{00000000-0005-0000-0000-0000C3C10000}"/>
    <cellStyle name="Remarque 4 2 2 4 5 12" xfId="13861" xr:uid="{00000000-0005-0000-0000-0000C4C10000}"/>
    <cellStyle name="Remarque 4 2 2 4 5 13" xfId="37821" xr:uid="{00000000-0005-0000-0000-0000C5C10000}"/>
    <cellStyle name="Remarque 4 2 2 4 5 2" xfId="4070" xr:uid="{00000000-0005-0000-0000-0000C6C10000}"/>
    <cellStyle name="Remarque 4 2 2 4 5 2 2" xfId="28084" xr:uid="{00000000-0005-0000-0000-0000C7C10000}"/>
    <cellStyle name="Remarque 4 2 2 4 5 2 2 2" xfId="52044" xr:uid="{00000000-0005-0000-0000-0000C8C10000}"/>
    <cellStyle name="Remarque 4 2 2 4 5 2 3" xfId="15331" xr:uid="{00000000-0005-0000-0000-0000C9C10000}"/>
    <cellStyle name="Remarque 4 2 2 4 5 2 4" xfId="39291" xr:uid="{00000000-0005-0000-0000-0000CAC10000}"/>
    <cellStyle name="Remarque 4 2 2 4 5 3" xfId="5504" xr:uid="{00000000-0005-0000-0000-0000CBC10000}"/>
    <cellStyle name="Remarque 4 2 2 4 5 3 2" xfId="29518" xr:uid="{00000000-0005-0000-0000-0000CCC10000}"/>
    <cellStyle name="Remarque 4 2 2 4 5 3 2 2" xfId="53478" xr:uid="{00000000-0005-0000-0000-0000CDC10000}"/>
    <cellStyle name="Remarque 4 2 2 4 5 3 3" xfId="16765" xr:uid="{00000000-0005-0000-0000-0000CEC10000}"/>
    <cellStyle name="Remarque 4 2 2 4 5 3 4" xfId="40725" xr:uid="{00000000-0005-0000-0000-0000CFC10000}"/>
    <cellStyle name="Remarque 4 2 2 4 5 4" xfId="6898" xr:uid="{00000000-0005-0000-0000-0000D0C10000}"/>
    <cellStyle name="Remarque 4 2 2 4 5 4 2" xfId="30912" xr:uid="{00000000-0005-0000-0000-0000D1C10000}"/>
    <cellStyle name="Remarque 4 2 2 4 5 4 2 2" xfId="54872" xr:uid="{00000000-0005-0000-0000-0000D2C10000}"/>
    <cellStyle name="Remarque 4 2 2 4 5 4 3" xfId="18159" xr:uid="{00000000-0005-0000-0000-0000D3C10000}"/>
    <cellStyle name="Remarque 4 2 2 4 5 4 4" xfId="42119" xr:uid="{00000000-0005-0000-0000-0000D4C10000}"/>
    <cellStyle name="Remarque 4 2 2 4 5 5" xfId="8286" xr:uid="{00000000-0005-0000-0000-0000D5C10000}"/>
    <cellStyle name="Remarque 4 2 2 4 5 5 2" xfId="32300" xr:uid="{00000000-0005-0000-0000-0000D6C10000}"/>
    <cellStyle name="Remarque 4 2 2 4 5 5 2 2" xfId="56260" xr:uid="{00000000-0005-0000-0000-0000D7C10000}"/>
    <cellStyle name="Remarque 4 2 2 4 5 5 3" xfId="19547" xr:uid="{00000000-0005-0000-0000-0000D8C10000}"/>
    <cellStyle name="Remarque 4 2 2 4 5 5 4" xfId="43507" xr:uid="{00000000-0005-0000-0000-0000D9C10000}"/>
    <cellStyle name="Remarque 4 2 2 4 5 6" xfId="9671" xr:uid="{00000000-0005-0000-0000-0000DAC10000}"/>
    <cellStyle name="Remarque 4 2 2 4 5 6 2" xfId="33685" xr:uid="{00000000-0005-0000-0000-0000DBC10000}"/>
    <cellStyle name="Remarque 4 2 2 4 5 6 2 2" xfId="57645" xr:uid="{00000000-0005-0000-0000-0000DCC10000}"/>
    <cellStyle name="Remarque 4 2 2 4 5 6 3" xfId="20932" xr:uid="{00000000-0005-0000-0000-0000DDC10000}"/>
    <cellStyle name="Remarque 4 2 2 4 5 6 4" xfId="44892" xr:uid="{00000000-0005-0000-0000-0000DEC10000}"/>
    <cellStyle name="Remarque 4 2 2 4 5 7" xfId="11128" xr:uid="{00000000-0005-0000-0000-0000DFC10000}"/>
    <cellStyle name="Remarque 4 2 2 4 5 7 2" xfId="35138" xr:uid="{00000000-0005-0000-0000-0000E0C10000}"/>
    <cellStyle name="Remarque 4 2 2 4 5 7 2 2" xfId="59098" xr:uid="{00000000-0005-0000-0000-0000E1C10000}"/>
    <cellStyle name="Remarque 4 2 2 4 5 7 3" xfId="22395" xr:uid="{00000000-0005-0000-0000-0000E2C10000}"/>
    <cellStyle name="Remarque 4 2 2 4 5 7 4" xfId="46355" xr:uid="{00000000-0005-0000-0000-0000E3C10000}"/>
    <cellStyle name="Remarque 4 2 2 4 5 8" xfId="12391" xr:uid="{00000000-0005-0000-0000-0000E4C10000}"/>
    <cellStyle name="Remarque 4 2 2 4 5 8 2" xfId="23681" xr:uid="{00000000-0005-0000-0000-0000E5C10000}"/>
    <cellStyle name="Remarque 4 2 2 4 5 8 3" xfId="47641" xr:uid="{00000000-0005-0000-0000-0000E6C10000}"/>
    <cellStyle name="Remarque 4 2 2 4 5 9" xfId="2600" xr:uid="{00000000-0005-0000-0000-0000E7C10000}"/>
    <cellStyle name="Remarque 4 2 2 4 5 9 2" xfId="26614" xr:uid="{00000000-0005-0000-0000-0000E8C10000}"/>
    <cellStyle name="Remarque 4 2 2 4 5 9 3" xfId="50574" xr:uid="{00000000-0005-0000-0000-0000E9C10000}"/>
    <cellStyle name="Remarque 4 2 2 4 6" xfId="1331" xr:uid="{00000000-0005-0000-0000-0000EAC10000}"/>
    <cellStyle name="Remarque 4 2 2 4 6 10" xfId="25363" xr:uid="{00000000-0005-0000-0000-0000EBC10000}"/>
    <cellStyle name="Remarque 4 2 2 4 6 10 2" xfId="49323" xr:uid="{00000000-0005-0000-0000-0000ECC10000}"/>
    <cellStyle name="Remarque 4 2 2 4 6 11" xfId="35621" xr:uid="{00000000-0005-0000-0000-0000EDC10000}"/>
    <cellStyle name="Remarque 4 2 2 4 6 11 2" xfId="59581" xr:uid="{00000000-0005-0000-0000-0000EEC10000}"/>
    <cellStyle name="Remarque 4 2 2 4 6 12" xfId="14028" xr:uid="{00000000-0005-0000-0000-0000EFC10000}"/>
    <cellStyle name="Remarque 4 2 2 4 6 13" xfId="37988" xr:uid="{00000000-0005-0000-0000-0000F0C10000}"/>
    <cellStyle name="Remarque 4 2 2 4 6 2" xfId="4237" xr:uid="{00000000-0005-0000-0000-0000F1C10000}"/>
    <cellStyle name="Remarque 4 2 2 4 6 2 2" xfId="28251" xr:uid="{00000000-0005-0000-0000-0000F2C10000}"/>
    <cellStyle name="Remarque 4 2 2 4 6 2 2 2" xfId="52211" xr:uid="{00000000-0005-0000-0000-0000F3C10000}"/>
    <cellStyle name="Remarque 4 2 2 4 6 2 3" xfId="15498" xr:uid="{00000000-0005-0000-0000-0000F4C10000}"/>
    <cellStyle name="Remarque 4 2 2 4 6 2 4" xfId="39458" xr:uid="{00000000-0005-0000-0000-0000F5C10000}"/>
    <cellStyle name="Remarque 4 2 2 4 6 3" xfId="5671" xr:uid="{00000000-0005-0000-0000-0000F6C10000}"/>
    <cellStyle name="Remarque 4 2 2 4 6 3 2" xfId="29685" xr:uid="{00000000-0005-0000-0000-0000F7C10000}"/>
    <cellStyle name="Remarque 4 2 2 4 6 3 2 2" xfId="53645" xr:uid="{00000000-0005-0000-0000-0000F8C10000}"/>
    <cellStyle name="Remarque 4 2 2 4 6 3 3" xfId="16932" xr:uid="{00000000-0005-0000-0000-0000F9C10000}"/>
    <cellStyle name="Remarque 4 2 2 4 6 3 4" xfId="40892" xr:uid="{00000000-0005-0000-0000-0000FAC10000}"/>
    <cellStyle name="Remarque 4 2 2 4 6 4" xfId="7065" xr:uid="{00000000-0005-0000-0000-0000FBC10000}"/>
    <cellStyle name="Remarque 4 2 2 4 6 4 2" xfId="31079" xr:uid="{00000000-0005-0000-0000-0000FCC10000}"/>
    <cellStyle name="Remarque 4 2 2 4 6 4 2 2" xfId="55039" xr:uid="{00000000-0005-0000-0000-0000FDC10000}"/>
    <cellStyle name="Remarque 4 2 2 4 6 4 3" xfId="18326" xr:uid="{00000000-0005-0000-0000-0000FEC10000}"/>
    <cellStyle name="Remarque 4 2 2 4 6 4 4" xfId="42286" xr:uid="{00000000-0005-0000-0000-0000FFC10000}"/>
    <cellStyle name="Remarque 4 2 2 4 6 5" xfId="8453" xr:uid="{00000000-0005-0000-0000-000000C20000}"/>
    <cellStyle name="Remarque 4 2 2 4 6 5 2" xfId="32467" xr:uid="{00000000-0005-0000-0000-000001C20000}"/>
    <cellStyle name="Remarque 4 2 2 4 6 5 2 2" xfId="56427" xr:uid="{00000000-0005-0000-0000-000002C20000}"/>
    <cellStyle name="Remarque 4 2 2 4 6 5 3" xfId="19714" xr:uid="{00000000-0005-0000-0000-000003C20000}"/>
    <cellStyle name="Remarque 4 2 2 4 6 5 4" xfId="43674" xr:uid="{00000000-0005-0000-0000-000004C20000}"/>
    <cellStyle name="Remarque 4 2 2 4 6 6" xfId="9838" xr:uid="{00000000-0005-0000-0000-000005C20000}"/>
    <cellStyle name="Remarque 4 2 2 4 6 6 2" xfId="33852" xr:uid="{00000000-0005-0000-0000-000006C20000}"/>
    <cellStyle name="Remarque 4 2 2 4 6 6 2 2" xfId="57812" xr:uid="{00000000-0005-0000-0000-000007C20000}"/>
    <cellStyle name="Remarque 4 2 2 4 6 6 3" xfId="21099" xr:uid="{00000000-0005-0000-0000-000008C20000}"/>
    <cellStyle name="Remarque 4 2 2 4 6 6 4" xfId="45059" xr:uid="{00000000-0005-0000-0000-000009C20000}"/>
    <cellStyle name="Remarque 4 2 2 4 6 7" xfId="11295" xr:uid="{00000000-0005-0000-0000-00000AC20000}"/>
    <cellStyle name="Remarque 4 2 2 4 6 7 2" xfId="35305" xr:uid="{00000000-0005-0000-0000-00000BC20000}"/>
    <cellStyle name="Remarque 4 2 2 4 6 7 2 2" xfId="59265" xr:uid="{00000000-0005-0000-0000-00000CC20000}"/>
    <cellStyle name="Remarque 4 2 2 4 6 7 3" xfId="22562" xr:uid="{00000000-0005-0000-0000-00000DC20000}"/>
    <cellStyle name="Remarque 4 2 2 4 6 7 4" xfId="46522" xr:uid="{00000000-0005-0000-0000-00000EC20000}"/>
    <cellStyle name="Remarque 4 2 2 4 6 8" xfId="11673" xr:uid="{00000000-0005-0000-0000-00000FC20000}"/>
    <cellStyle name="Remarque 4 2 2 4 6 8 2" xfId="22942" xr:uid="{00000000-0005-0000-0000-000010C20000}"/>
    <cellStyle name="Remarque 4 2 2 4 6 8 3" xfId="46902" xr:uid="{00000000-0005-0000-0000-000011C20000}"/>
    <cellStyle name="Remarque 4 2 2 4 6 9" xfId="2767" xr:uid="{00000000-0005-0000-0000-000012C20000}"/>
    <cellStyle name="Remarque 4 2 2 4 6 9 2" xfId="26781" xr:uid="{00000000-0005-0000-0000-000013C20000}"/>
    <cellStyle name="Remarque 4 2 2 4 6 9 3" xfId="50741" xr:uid="{00000000-0005-0000-0000-000014C20000}"/>
    <cellStyle name="Remarque 4 2 2 4 7" xfId="1500" xr:uid="{00000000-0005-0000-0000-000015C20000}"/>
    <cellStyle name="Remarque 4 2 2 4 7 10" xfId="25532" xr:uid="{00000000-0005-0000-0000-000016C20000}"/>
    <cellStyle name="Remarque 4 2 2 4 7 10 2" xfId="49492" xr:uid="{00000000-0005-0000-0000-000017C20000}"/>
    <cellStyle name="Remarque 4 2 2 4 7 11" xfId="36567" xr:uid="{00000000-0005-0000-0000-000018C20000}"/>
    <cellStyle name="Remarque 4 2 2 4 7 11 2" xfId="60527" xr:uid="{00000000-0005-0000-0000-000019C20000}"/>
    <cellStyle name="Remarque 4 2 2 4 7 12" xfId="14197" xr:uid="{00000000-0005-0000-0000-00001AC20000}"/>
    <cellStyle name="Remarque 4 2 2 4 7 13" xfId="38157" xr:uid="{00000000-0005-0000-0000-00001BC20000}"/>
    <cellStyle name="Remarque 4 2 2 4 7 2" xfId="4406" xr:uid="{00000000-0005-0000-0000-00001CC20000}"/>
    <cellStyle name="Remarque 4 2 2 4 7 2 2" xfId="28420" xr:uid="{00000000-0005-0000-0000-00001DC20000}"/>
    <cellStyle name="Remarque 4 2 2 4 7 2 2 2" xfId="52380" xr:uid="{00000000-0005-0000-0000-00001EC20000}"/>
    <cellStyle name="Remarque 4 2 2 4 7 2 3" xfId="15667" xr:uid="{00000000-0005-0000-0000-00001FC20000}"/>
    <cellStyle name="Remarque 4 2 2 4 7 2 4" xfId="39627" xr:uid="{00000000-0005-0000-0000-000020C20000}"/>
    <cellStyle name="Remarque 4 2 2 4 7 3" xfId="5840" xr:uid="{00000000-0005-0000-0000-000021C20000}"/>
    <cellStyle name="Remarque 4 2 2 4 7 3 2" xfId="29854" xr:uid="{00000000-0005-0000-0000-000022C20000}"/>
    <cellStyle name="Remarque 4 2 2 4 7 3 2 2" xfId="53814" xr:uid="{00000000-0005-0000-0000-000023C20000}"/>
    <cellStyle name="Remarque 4 2 2 4 7 3 3" xfId="17101" xr:uid="{00000000-0005-0000-0000-000024C20000}"/>
    <cellStyle name="Remarque 4 2 2 4 7 3 4" xfId="41061" xr:uid="{00000000-0005-0000-0000-000025C20000}"/>
    <cellStyle name="Remarque 4 2 2 4 7 4" xfId="7234" xr:uid="{00000000-0005-0000-0000-000026C20000}"/>
    <cellStyle name="Remarque 4 2 2 4 7 4 2" xfId="31248" xr:uid="{00000000-0005-0000-0000-000027C20000}"/>
    <cellStyle name="Remarque 4 2 2 4 7 4 2 2" xfId="55208" xr:uid="{00000000-0005-0000-0000-000028C20000}"/>
    <cellStyle name="Remarque 4 2 2 4 7 4 3" xfId="18495" xr:uid="{00000000-0005-0000-0000-000029C20000}"/>
    <cellStyle name="Remarque 4 2 2 4 7 4 4" xfId="42455" xr:uid="{00000000-0005-0000-0000-00002AC20000}"/>
    <cellStyle name="Remarque 4 2 2 4 7 5" xfId="8622" xr:uid="{00000000-0005-0000-0000-00002BC20000}"/>
    <cellStyle name="Remarque 4 2 2 4 7 5 2" xfId="32636" xr:uid="{00000000-0005-0000-0000-00002CC20000}"/>
    <cellStyle name="Remarque 4 2 2 4 7 5 2 2" xfId="56596" xr:uid="{00000000-0005-0000-0000-00002DC20000}"/>
    <cellStyle name="Remarque 4 2 2 4 7 5 3" xfId="19883" xr:uid="{00000000-0005-0000-0000-00002EC20000}"/>
    <cellStyle name="Remarque 4 2 2 4 7 5 4" xfId="43843" xr:uid="{00000000-0005-0000-0000-00002FC20000}"/>
    <cellStyle name="Remarque 4 2 2 4 7 6" xfId="10007" xr:uid="{00000000-0005-0000-0000-000030C20000}"/>
    <cellStyle name="Remarque 4 2 2 4 7 6 2" xfId="34021" xr:uid="{00000000-0005-0000-0000-000031C20000}"/>
    <cellStyle name="Remarque 4 2 2 4 7 6 2 2" xfId="57981" xr:uid="{00000000-0005-0000-0000-000032C20000}"/>
    <cellStyle name="Remarque 4 2 2 4 7 6 3" xfId="21268" xr:uid="{00000000-0005-0000-0000-000033C20000}"/>
    <cellStyle name="Remarque 4 2 2 4 7 6 4" xfId="45228" xr:uid="{00000000-0005-0000-0000-000034C20000}"/>
    <cellStyle name="Remarque 4 2 2 4 7 7" xfId="11464" xr:uid="{00000000-0005-0000-0000-000035C20000}"/>
    <cellStyle name="Remarque 4 2 2 4 7 7 2" xfId="35474" xr:uid="{00000000-0005-0000-0000-000036C20000}"/>
    <cellStyle name="Remarque 4 2 2 4 7 7 2 2" xfId="59434" xr:uid="{00000000-0005-0000-0000-000037C20000}"/>
    <cellStyle name="Remarque 4 2 2 4 7 7 3" xfId="22731" xr:uid="{00000000-0005-0000-0000-000038C20000}"/>
    <cellStyle name="Remarque 4 2 2 4 7 7 4" xfId="46691" xr:uid="{00000000-0005-0000-0000-000039C20000}"/>
    <cellStyle name="Remarque 4 2 2 4 7 8" xfId="12048" xr:uid="{00000000-0005-0000-0000-00003AC20000}"/>
    <cellStyle name="Remarque 4 2 2 4 7 8 2" xfId="23328" xr:uid="{00000000-0005-0000-0000-00003BC20000}"/>
    <cellStyle name="Remarque 4 2 2 4 7 8 3" xfId="47288" xr:uid="{00000000-0005-0000-0000-00003CC20000}"/>
    <cellStyle name="Remarque 4 2 2 4 7 9" xfId="2936" xr:uid="{00000000-0005-0000-0000-00003DC20000}"/>
    <cellStyle name="Remarque 4 2 2 4 7 9 2" xfId="26950" xr:uid="{00000000-0005-0000-0000-00003EC20000}"/>
    <cellStyle name="Remarque 4 2 2 4 7 9 3" xfId="50910" xr:uid="{00000000-0005-0000-0000-00003FC20000}"/>
    <cellStyle name="Remarque 4 2 2 4 8" xfId="3355" xr:uid="{00000000-0005-0000-0000-000040C20000}"/>
    <cellStyle name="Remarque 4 2 2 4 8 2" xfId="27369" xr:uid="{00000000-0005-0000-0000-000041C20000}"/>
    <cellStyle name="Remarque 4 2 2 4 8 2 2" xfId="51329" xr:uid="{00000000-0005-0000-0000-000042C20000}"/>
    <cellStyle name="Remarque 4 2 2 4 8 3" xfId="14616" xr:uid="{00000000-0005-0000-0000-000043C20000}"/>
    <cellStyle name="Remarque 4 2 2 4 8 4" xfId="38576" xr:uid="{00000000-0005-0000-0000-000044C20000}"/>
    <cellStyle name="Remarque 4 2 2 4 9" xfId="4789" xr:uid="{00000000-0005-0000-0000-000045C20000}"/>
    <cellStyle name="Remarque 4 2 2 4 9 2" xfId="28803" xr:uid="{00000000-0005-0000-0000-000046C20000}"/>
    <cellStyle name="Remarque 4 2 2 4 9 2 2" xfId="52763" xr:uid="{00000000-0005-0000-0000-000047C20000}"/>
    <cellStyle name="Remarque 4 2 2 4 9 3" xfId="16050" xr:uid="{00000000-0005-0000-0000-000048C20000}"/>
    <cellStyle name="Remarque 4 2 2 4 9 4" xfId="40010" xr:uid="{00000000-0005-0000-0000-000049C20000}"/>
    <cellStyle name="Remarque 4 2 2 5" xfId="312" xr:uid="{00000000-0005-0000-0000-00004AC20000}"/>
    <cellStyle name="Remarque 4 2 2 5 10" xfId="24344" xr:uid="{00000000-0005-0000-0000-00004BC20000}"/>
    <cellStyle name="Remarque 4 2 2 5 10 2" xfId="48304" xr:uid="{00000000-0005-0000-0000-00004CC20000}"/>
    <cellStyle name="Remarque 4 2 2 5 11" xfId="35879" xr:uid="{00000000-0005-0000-0000-00004DC20000}"/>
    <cellStyle name="Remarque 4 2 2 5 11 2" xfId="59839" xr:uid="{00000000-0005-0000-0000-00004EC20000}"/>
    <cellStyle name="Remarque 4 2 2 5 12" xfId="13009" xr:uid="{00000000-0005-0000-0000-00004FC20000}"/>
    <cellStyle name="Remarque 4 2 2 5 13" xfId="36969" xr:uid="{00000000-0005-0000-0000-000050C20000}"/>
    <cellStyle name="Remarque 4 2 2 5 2" xfId="3218" xr:uid="{00000000-0005-0000-0000-000051C20000}"/>
    <cellStyle name="Remarque 4 2 2 5 2 2" xfId="27232" xr:uid="{00000000-0005-0000-0000-000052C20000}"/>
    <cellStyle name="Remarque 4 2 2 5 2 2 2" xfId="51192" xr:uid="{00000000-0005-0000-0000-000053C20000}"/>
    <cellStyle name="Remarque 4 2 2 5 2 3" xfId="14479" xr:uid="{00000000-0005-0000-0000-000054C20000}"/>
    <cellStyle name="Remarque 4 2 2 5 2 4" xfId="38439" xr:uid="{00000000-0005-0000-0000-000055C20000}"/>
    <cellStyle name="Remarque 4 2 2 5 3" xfId="4652" xr:uid="{00000000-0005-0000-0000-000056C20000}"/>
    <cellStyle name="Remarque 4 2 2 5 3 2" xfId="28666" xr:uid="{00000000-0005-0000-0000-000057C20000}"/>
    <cellStyle name="Remarque 4 2 2 5 3 2 2" xfId="52626" xr:uid="{00000000-0005-0000-0000-000058C20000}"/>
    <cellStyle name="Remarque 4 2 2 5 3 3" xfId="15913" xr:uid="{00000000-0005-0000-0000-000059C20000}"/>
    <cellStyle name="Remarque 4 2 2 5 3 4" xfId="39873" xr:uid="{00000000-0005-0000-0000-00005AC20000}"/>
    <cellStyle name="Remarque 4 2 2 5 4" xfId="6046" xr:uid="{00000000-0005-0000-0000-00005BC20000}"/>
    <cellStyle name="Remarque 4 2 2 5 4 2" xfId="30060" xr:uid="{00000000-0005-0000-0000-00005CC20000}"/>
    <cellStyle name="Remarque 4 2 2 5 4 2 2" xfId="54020" xr:uid="{00000000-0005-0000-0000-00005DC20000}"/>
    <cellStyle name="Remarque 4 2 2 5 4 3" xfId="17307" xr:uid="{00000000-0005-0000-0000-00005EC20000}"/>
    <cellStyle name="Remarque 4 2 2 5 4 4" xfId="41267" xr:uid="{00000000-0005-0000-0000-00005FC20000}"/>
    <cellStyle name="Remarque 4 2 2 5 5" xfId="7434" xr:uid="{00000000-0005-0000-0000-000060C20000}"/>
    <cellStyle name="Remarque 4 2 2 5 5 2" xfId="31448" xr:uid="{00000000-0005-0000-0000-000061C20000}"/>
    <cellStyle name="Remarque 4 2 2 5 5 2 2" xfId="55408" xr:uid="{00000000-0005-0000-0000-000062C20000}"/>
    <cellStyle name="Remarque 4 2 2 5 5 3" xfId="18695" xr:uid="{00000000-0005-0000-0000-000063C20000}"/>
    <cellStyle name="Remarque 4 2 2 5 5 4" xfId="42655" xr:uid="{00000000-0005-0000-0000-000064C20000}"/>
    <cellStyle name="Remarque 4 2 2 5 6" xfId="8819" xr:uid="{00000000-0005-0000-0000-000065C20000}"/>
    <cellStyle name="Remarque 4 2 2 5 6 2" xfId="32833" xr:uid="{00000000-0005-0000-0000-000066C20000}"/>
    <cellStyle name="Remarque 4 2 2 5 6 2 2" xfId="56793" xr:uid="{00000000-0005-0000-0000-000067C20000}"/>
    <cellStyle name="Remarque 4 2 2 5 6 3" xfId="20080" xr:uid="{00000000-0005-0000-0000-000068C20000}"/>
    <cellStyle name="Remarque 4 2 2 5 6 4" xfId="44040" xr:uid="{00000000-0005-0000-0000-000069C20000}"/>
    <cellStyle name="Remarque 4 2 2 5 7" xfId="10276" xr:uid="{00000000-0005-0000-0000-00006AC20000}"/>
    <cellStyle name="Remarque 4 2 2 5 7 2" xfId="34286" xr:uid="{00000000-0005-0000-0000-00006BC20000}"/>
    <cellStyle name="Remarque 4 2 2 5 7 2 2" xfId="58246" xr:uid="{00000000-0005-0000-0000-00006CC20000}"/>
    <cellStyle name="Remarque 4 2 2 5 7 3" xfId="21543" xr:uid="{00000000-0005-0000-0000-00006DC20000}"/>
    <cellStyle name="Remarque 4 2 2 5 7 4" xfId="45503" xr:uid="{00000000-0005-0000-0000-00006EC20000}"/>
    <cellStyle name="Remarque 4 2 2 5 8" xfId="12217" xr:uid="{00000000-0005-0000-0000-00006FC20000}"/>
    <cellStyle name="Remarque 4 2 2 5 8 2" xfId="23501" xr:uid="{00000000-0005-0000-0000-000070C20000}"/>
    <cellStyle name="Remarque 4 2 2 5 8 3" xfId="47461" xr:uid="{00000000-0005-0000-0000-000071C20000}"/>
    <cellStyle name="Remarque 4 2 2 5 9" xfId="1748" xr:uid="{00000000-0005-0000-0000-000072C20000}"/>
    <cellStyle name="Remarque 4 2 2 5 9 2" xfId="25762" xr:uid="{00000000-0005-0000-0000-000073C20000}"/>
    <cellStyle name="Remarque 4 2 2 5 9 3" xfId="49722" xr:uid="{00000000-0005-0000-0000-000074C20000}"/>
    <cellStyle name="Remarque 4 2 2 6" xfId="642" xr:uid="{00000000-0005-0000-0000-000075C20000}"/>
    <cellStyle name="Remarque 4 2 2 6 10" xfId="24674" xr:uid="{00000000-0005-0000-0000-000076C20000}"/>
    <cellStyle name="Remarque 4 2 2 6 10 2" xfId="48634" xr:uid="{00000000-0005-0000-0000-000077C20000}"/>
    <cellStyle name="Remarque 4 2 2 6 11" xfId="36218" xr:uid="{00000000-0005-0000-0000-000078C20000}"/>
    <cellStyle name="Remarque 4 2 2 6 11 2" xfId="60178" xr:uid="{00000000-0005-0000-0000-000079C20000}"/>
    <cellStyle name="Remarque 4 2 2 6 12" xfId="13339" xr:uid="{00000000-0005-0000-0000-00007AC20000}"/>
    <cellStyle name="Remarque 4 2 2 6 13" xfId="37299" xr:uid="{00000000-0005-0000-0000-00007BC20000}"/>
    <cellStyle name="Remarque 4 2 2 6 2" xfId="3548" xr:uid="{00000000-0005-0000-0000-00007CC20000}"/>
    <cellStyle name="Remarque 4 2 2 6 2 2" xfId="27562" xr:uid="{00000000-0005-0000-0000-00007DC20000}"/>
    <cellStyle name="Remarque 4 2 2 6 2 2 2" xfId="51522" xr:uid="{00000000-0005-0000-0000-00007EC20000}"/>
    <cellStyle name="Remarque 4 2 2 6 2 3" xfId="14809" xr:uid="{00000000-0005-0000-0000-00007FC20000}"/>
    <cellStyle name="Remarque 4 2 2 6 2 4" xfId="38769" xr:uid="{00000000-0005-0000-0000-000080C20000}"/>
    <cellStyle name="Remarque 4 2 2 6 3" xfId="4982" xr:uid="{00000000-0005-0000-0000-000081C20000}"/>
    <cellStyle name="Remarque 4 2 2 6 3 2" xfId="28996" xr:uid="{00000000-0005-0000-0000-000082C20000}"/>
    <cellStyle name="Remarque 4 2 2 6 3 2 2" xfId="52956" xr:uid="{00000000-0005-0000-0000-000083C20000}"/>
    <cellStyle name="Remarque 4 2 2 6 3 3" xfId="16243" xr:uid="{00000000-0005-0000-0000-000084C20000}"/>
    <cellStyle name="Remarque 4 2 2 6 3 4" xfId="40203" xr:uid="{00000000-0005-0000-0000-000085C20000}"/>
    <cellStyle name="Remarque 4 2 2 6 4" xfId="6376" xr:uid="{00000000-0005-0000-0000-000086C20000}"/>
    <cellStyle name="Remarque 4 2 2 6 4 2" xfId="30390" xr:uid="{00000000-0005-0000-0000-000087C20000}"/>
    <cellStyle name="Remarque 4 2 2 6 4 2 2" xfId="54350" xr:uid="{00000000-0005-0000-0000-000088C20000}"/>
    <cellStyle name="Remarque 4 2 2 6 4 3" xfId="17637" xr:uid="{00000000-0005-0000-0000-000089C20000}"/>
    <cellStyle name="Remarque 4 2 2 6 4 4" xfId="41597" xr:uid="{00000000-0005-0000-0000-00008AC20000}"/>
    <cellStyle name="Remarque 4 2 2 6 5" xfId="7764" xr:uid="{00000000-0005-0000-0000-00008BC20000}"/>
    <cellStyle name="Remarque 4 2 2 6 5 2" xfId="31778" xr:uid="{00000000-0005-0000-0000-00008CC20000}"/>
    <cellStyle name="Remarque 4 2 2 6 5 2 2" xfId="55738" xr:uid="{00000000-0005-0000-0000-00008DC20000}"/>
    <cellStyle name="Remarque 4 2 2 6 5 3" xfId="19025" xr:uid="{00000000-0005-0000-0000-00008EC20000}"/>
    <cellStyle name="Remarque 4 2 2 6 5 4" xfId="42985" xr:uid="{00000000-0005-0000-0000-00008FC20000}"/>
    <cellStyle name="Remarque 4 2 2 6 6" xfId="9149" xr:uid="{00000000-0005-0000-0000-000090C20000}"/>
    <cellStyle name="Remarque 4 2 2 6 6 2" xfId="33163" xr:uid="{00000000-0005-0000-0000-000091C20000}"/>
    <cellStyle name="Remarque 4 2 2 6 6 2 2" xfId="57123" xr:uid="{00000000-0005-0000-0000-000092C20000}"/>
    <cellStyle name="Remarque 4 2 2 6 6 3" xfId="20410" xr:uid="{00000000-0005-0000-0000-000093C20000}"/>
    <cellStyle name="Remarque 4 2 2 6 6 4" xfId="44370" xr:uid="{00000000-0005-0000-0000-000094C20000}"/>
    <cellStyle name="Remarque 4 2 2 6 7" xfId="10606" xr:uid="{00000000-0005-0000-0000-000095C20000}"/>
    <cellStyle name="Remarque 4 2 2 6 7 2" xfId="34616" xr:uid="{00000000-0005-0000-0000-000096C20000}"/>
    <cellStyle name="Remarque 4 2 2 6 7 2 2" xfId="58576" xr:uid="{00000000-0005-0000-0000-000097C20000}"/>
    <cellStyle name="Remarque 4 2 2 6 7 3" xfId="21873" xr:uid="{00000000-0005-0000-0000-000098C20000}"/>
    <cellStyle name="Remarque 4 2 2 6 7 4" xfId="45833" xr:uid="{00000000-0005-0000-0000-000099C20000}"/>
    <cellStyle name="Remarque 4 2 2 6 8" xfId="12331" xr:uid="{00000000-0005-0000-0000-00009AC20000}"/>
    <cellStyle name="Remarque 4 2 2 6 8 2" xfId="23619" xr:uid="{00000000-0005-0000-0000-00009BC20000}"/>
    <cellStyle name="Remarque 4 2 2 6 8 3" xfId="47579" xr:uid="{00000000-0005-0000-0000-00009CC20000}"/>
    <cellStyle name="Remarque 4 2 2 6 9" xfId="2078" xr:uid="{00000000-0005-0000-0000-00009DC20000}"/>
    <cellStyle name="Remarque 4 2 2 6 9 2" xfId="26092" xr:uid="{00000000-0005-0000-0000-00009EC20000}"/>
    <cellStyle name="Remarque 4 2 2 6 9 3" xfId="50052" xr:uid="{00000000-0005-0000-0000-00009FC20000}"/>
    <cellStyle name="Remarque 4 2 2 7" xfId="836" xr:uid="{00000000-0005-0000-0000-0000A0C20000}"/>
    <cellStyle name="Remarque 4 2 2 7 10" xfId="24868" xr:uid="{00000000-0005-0000-0000-0000A1C20000}"/>
    <cellStyle name="Remarque 4 2 2 7 10 2" xfId="48828" xr:uid="{00000000-0005-0000-0000-0000A2C20000}"/>
    <cellStyle name="Remarque 4 2 2 7 11" xfId="36397" xr:uid="{00000000-0005-0000-0000-0000A3C20000}"/>
    <cellStyle name="Remarque 4 2 2 7 11 2" xfId="60357" xr:uid="{00000000-0005-0000-0000-0000A4C20000}"/>
    <cellStyle name="Remarque 4 2 2 7 12" xfId="13533" xr:uid="{00000000-0005-0000-0000-0000A5C20000}"/>
    <cellStyle name="Remarque 4 2 2 7 13" xfId="37493" xr:uid="{00000000-0005-0000-0000-0000A6C20000}"/>
    <cellStyle name="Remarque 4 2 2 7 2" xfId="3742" xr:uid="{00000000-0005-0000-0000-0000A7C20000}"/>
    <cellStyle name="Remarque 4 2 2 7 2 2" xfId="27756" xr:uid="{00000000-0005-0000-0000-0000A8C20000}"/>
    <cellStyle name="Remarque 4 2 2 7 2 2 2" xfId="51716" xr:uid="{00000000-0005-0000-0000-0000A9C20000}"/>
    <cellStyle name="Remarque 4 2 2 7 2 3" xfId="15003" xr:uid="{00000000-0005-0000-0000-0000AAC20000}"/>
    <cellStyle name="Remarque 4 2 2 7 2 4" xfId="38963" xr:uid="{00000000-0005-0000-0000-0000ABC20000}"/>
    <cellStyle name="Remarque 4 2 2 7 3" xfId="5176" xr:uid="{00000000-0005-0000-0000-0000ACC20000}"/>
    <cellStyle name="Remarque 4 2 2 7 3 2" xfId="29190" xr:uid="{00000000-0005-0000-0000-0000ADC20000}"/>
    <cellStyle name="Remarque 4 2 2 7 3 2 2" xfId="53150" xr:uid="{00000000-0005-0000-0000-0000AEC20000}"/>
    <cellStyle name="Remarque 4 2 2 7 3 3" xfId="16437" xr:uid="{00000000-0005-0000-0000-0000AFC20000}"/>
    <cellStyle name="Remarque 4 2 2 7 3 4" xfId="40397" xr:uid="{00000000-0005-0000-0000-0000B0C20000}"/>
    <cellStyle name="Remarque 4 2 2 7 4" xfId="6570" xr:uid="{00000000-0005-0000-0000-0000B1C20000}"/>
    <cellStyle name="Remarque 4 2 2 7 4 2" xfId="30584" xr:uid="{00000000-0005-0000-0000-0000B2C20000}"/>
    <cellStyle name="Remarque 4 2 2 7 4 2 2" xfId="54544" xr:uid="{00000000-0005-0000-0000-0000B3C20000}"/>
    <cellStyle name="Remarque 4 2 2 7 4 3" xfId="17831" xr:uid="{00000000-0005-0000-0000-0000B4C20000}"/>
    <cellStyle name="Remarque 4 2 2 7 4 4" xfId="41791" xr:uid="{00000000-0005-0000-0000-0000B5C20000}"/>
    <cellStyle name="Remarque 4 2 2 7 5" xfId="7958" xr:uid="{00000000-0005-0000-0000-0000B6C20000}"/>
    <cellStyle name="Remarque 4 2 2 7 5 2" xfId="31972" xr:uid="{00000000-0005-0000-0000-0000B7C20000}"/>
    <cellStyle name="Remarque 4 2 2 7 5 2 2" xfId="55932" xr:uid="{00000000-0005-0000-0000-0000B8C20000}"/>
    <cellStyle name="Remarque 4 2 2 7 5 3" xfId="19219" xr:uid="{00000000-0005-0000-0000-0000B9C20000}"/>
    <cellStyle name="Remarque 4 2 2 7 5 4" xfId="43179" xr:uid="{00000000-0005-0000-0000-0000BAC20000}"/>
    <cellStyle name="Remarque 4 2 2 7 6" xfId="9343" xr:uid="{00000000-0005-0000-0000-0000BBC20000}"/>
    <cellStyle name="Remarque 4 2 2 7 6 2" xfId="33357" xr:uid="{00000000-0005-0000-0000-0000BCC20000}"/>
    <cellStyle name="Remarque 4 2 2 7 6 2 2" xfId="57317" xr:uid="{00000000-0005-0000-0000-0000BDC20000}"/>
    <cellStyle name="Remarque 4 2 2 7 6 3" xfId="20604" xr:uid="{00000000-0005-0000-0000-0000BEC20000}"/>
    <cellStyle name="Remarque 4 2 2 7 6 4" xfId="44564" xr:uid="{00000000-0005-0000-0000-0000BFC20000}"/>
    <cellStyle name="Remarque 4 2 2 7 7" xfId="10800" xr:uid="{00000000-0005-0000-0000-0000C0C20000}"/>
    <cellStyle name="Remarque 4 2 2 7 7 2" xfId="34810" xr:uid="{00000000-0005-0000-0000-0000C1C20000}"/>
    <cellStyle name="Remarque 4 2 2 7 7 2 2" xfId="58770" xr:uid="{00000000-0005-0000-0000-0000C2C20000}"/>
    <cellStyle name="Remarque 4 2 2 7 7 3" xfId="22067" xr:uid="{00000000-0005-0000-0000-0000C3C20000}"/>
    <cellStyle name="Remarque 4 2 2 7 7 4" xfId="46027" xr:uid="{00000000-0005-0000-0000-0000C4C20000}"/>
    <cellStyle name="Remarque 4 2 2 7 8" xfId="11942" xr:uid="{00000000-0005-0000-0000-0000C5C20000}"/>
    <cellStyle name="Remarque 4 2 2 7 8 2" xfId="23220" xr:uid="{00000000-0005-0000-0000-0000C6C20000}"/>
    <cellStyle name="Remarque 4 2 2 7 8 3" xfId="47180" xr:uid="{00000000-0005-0000-0000-0000C7C20000}"/>
    <cellStyle name="Remarque 4 2 2 7 9" xfId="2272" xr:uid="{00000000-0005-0000-0000-0000C8C20000}"/>
    <cellStyle name="Remarque 4 2 2 7 9 2" xfId="26286" xr:uid="{00000000-0005-0000-0000-0000C9C20000}"/>
    <cellStyle name="Remarque 4 2 2 7 9 3" xfId="50246" xr:uid="{00000000-0005-0000-0000-0000CAC20000}"/>
    <cellStyle name="Remarque 4 2 2 8" xfId="1029" xr:uid="{00000000-0005-0000-0000-0000CBC20000}"/>
    <cellStyle name="Remarque 4 2 2 8 10" xfId="25061" xr:uid="{00000000-0005-0000-0000-0000CCC20000}"/>
    <cellStyle name="Remarque 4 2 2 8 10 2" xfId="49021" xr:uid="{00000000-0005-0000-0000-0000CDC20000}"/>
    <cellStyle name="Remarque 4 2 2 8 11" xfId="36406" xr:uid="{00000000-0005-0000-0000-0000CEC20000}"/>
    <cellStyle name="Remarque 4 2 2 8 11 2" xfId="60366" xr:uid="{00000000-0005-0000-0000-0000CFC20000}"/>
    <cellStyle name="Remarque 4 2 2 8 12" xfId="13726" xr:uid="{00000000-0005-0000-0000-0000D0C20000}"/>
    <cellStyle name="Remarque 4 2 2 8 13" xfId="37686" xr:uid="{00000000-0005-0000-0000-0000D1C20000}"/>
    <cellStyle name="Remarque 4 2 2 8 2" xfId="3935" xr:uid="{00000000-0005-0000-0000-0000D2C20000}"/>
    <cellStyle name="Remarque 4 2 2 8 2 2" xfId="27949" xr:uid="{00000000-0005-0000-0000-0000D3C20000}"/>
    <cellStyle name="Remarque 4 2 2 8 2 2 2" xfId="51909" xr:uid="{00000000-0005-0000-0000-0000D4C20000}"/>
    <cellStyle name="Remarque 4 2 2 8 2 3" xfId="15196" xr:uid="{00000000-0005-0000-0000-0000D5C20000}"/>
    <cellStyle name="Remarque 4 2 2 8 2 4" xfId="39156" xr:uid="{00000000-0005-0000-0000-0000D6C20000}"/>
    <cellStyle name="Remarque 4 2 2 8 3" xfId="5369" xr:uid="{00000000-0005-0000-0000-0000D7C20000}"/>
    <cellStyle name="Remarque 4 2 2 8 3 2" xfId="29383" xr:uid="{00000000-0005-0000-0000-0000D8C20000}"/>
    <cellStyle name="Remarque 4 2 2 8 3 2 2" xfId="53343" xr:uid="{00000000-0005-0000-0000-0000D9C20000}"/>
    <cellStyle name="Remarque 4 2 2 8 3 3" xfId="16630" xr:uid="{00000000-0005-0000-0000-0000DAC20000}"/>
    <cellStyle name="Remarque 4 2 2 8 3 4" xfId="40590" xr:uid="{00000000-0005-0000-0000-0000DBC20000}"/>
    <cellStyle name="Remarque 4 2 2 8 4" xfId="6763" xr:uid="{00000000-0005-0000-0000-0000DCC20000}"/>
    <cellStyle name="Remarque 4 2 2 8 4 2" xfId="30777" xr:uid="{00000000-0005-0000-0000-0000DDC20000}"/>
    <cellStyle name="Remarque 4 2 2 8 4 2 2" xfId="54737" xr:uid="{00000000-0005-0000-0000-0000DEC20000}"/>
    <cellStyle name="Remarque 4 2 2 8 4 3" xfId="18024" xr:uid="{00000000-0005-0000-0000-0000DFC20000}"/>
    <cellStyle name="Remarque 4 2 2 8 4 4" xfId="41984" xr:uid="{00000000-0005-0000-0000-0000E0C20000}"/>
    <cellStyle name="Remarque 4 2 2 8 5" xfId="8151" xr:uid="{00000000-0005-0000-0000-0000E1C20000}"/>
    <cellStyle name="Remarque 4 2 2 8 5 2" xfId="32165" xr:uid="{00000000-0005-0000-0000-0000E2C20000}"/>
    <cellStyle name="Remarque 4 2 2 8 5 2 2" xfId="56125" xr:uid="{00000000-0005-0000-0000-0000E3C20000}"/>
    <cellStyle name="Remarque 4 2 2 8 5 3" xfId="19412" xr:uid="{00000000-0005-0000-0000-0000E4C20000}"/>
    <cellStyle name="Remarque 4 2 2 8 5 4" xfId="43372" xr:uid="{00000000-0005-0000-0000-0000E5C20000}"/>
    <cellStyle name="Remarque 4 2 2 8 6" xfId="9536" xr:uid="{00000000-0005-0000-0000-0000E6C20000}"/>
    <cellStyle name="Remarque 4 2 2 8 6 2" xfId="33550" xr:uid="{00000000-0005-0000-0000-0000E7C20000}"/>
    <cellStyle name="Remarque 4 2 2 8 6 2 2" xfId="57510" xr:uid="{00000000-0005-0000-0000-0000E8C20000}"/>
    <cellStyle name="Remarque 4 2 2 8 6 3" xfId="20797" xr:uid="{00000000-0005-0000-0000-0000E9C20000}"/>
    <cellStyle name="Remarque 4 2 2 8 6 4" xfId="44757" xr:uid="{00000000-0005-0000-0000-0000EAC20000}"/>
    <cellStyle name="Remarque 4 2 2 8 7" xfId="10993" xr:uid="{00000000-0005-0000-0000-0000EBC20000}"/>
    <cellStyle name="Remarque 4 2 2 8 7 2" xfId="35003" xr:uid="{00000000-0005-0000-0000-0000ECC20000}"/>
    <cellStyle name="Remarque 4 2 2 8 7 2 2" xfId="58963" xr:uid="{00000000-0005-0000-0000-0000EDC20000}"/>
    <cellStyle name="Remarque 4 2 2 8 7 3" xfId="22260" xr:uid="{00000000-0005-0000-0000-0000EEC20000}"/>
    <cellStyle name="Remarque 4 2 2 8 7 4" xfId="46220" xr:uid="{00000000-0005-0000-0000-0000EFC20000}"/>
    <cellStyle name="Remarque 4 2 2 8 8" xfId="12712" xr:uid="{00000000-0005-0000-0000-0000F0C20000}"/>
    <cellStyle name="Remarque 4 2 2 8 8 2" xfId="24018" xr:uid="{00000000-0005-0000-0000-0000F1C20000}"/>
    <cellStyle name="Remarque 4 2 2 8 8 3" xfId="47978" xr:uid="{00000000-0005-0000-0000-0000F2C20000}"/>
    <cellStyle name="Remarque 4 2 2 8 9" xfId="2465" xr:uid="{00000000-0005-0000-0000-0000F3C20000}"/>
    <cellStyle name="Remarque 4 2 2 8 9 2" xfId="26479" xr:uid="{00000000-0005-0000-0000-0000F4C20000}"/>
    <cellStyle name="Remarque 4 2 2 8 9 3" xfId="50439" xr:uid="{00000000-0005-0000-0000-0000F5C20000}"/>
    <cellStyle name="Remarque 4 2 2 9" xfId="1215" xr:uid="{00000000-0005-0000-0000-0000F6C20000}"/>
    <cellStyle name="Remarque 4 2 2 9 10" xfId="25247" xr:uid="{00000000-0005-0000-0000-0000F7C20000}"/>
    <cellStyle name="Remarque 4 2 2 9 10 2" xfId="49207" xr:uid="{00000000-0005-0000-0000-0000F8C20000}"/>
    <cellStyle name="Remarque 4 2 2 9 11" xfId="36542" xr:uid="{00000000-0005-0000-0000-0000F9C20000}"/>
    <cellStyle name="Remarque 4 2 2 9 11 2" xfId="60502" xr:uid="{00000000-0005-0000-0000-0000FAC20000}"/>
    <cellStyle name="Remarque 4 2 2 9 12" xfId="13912" xr:uid="{00000000-0005-0000-0000-0000FBC20000}"/>
    <cellStyle name="Remarque 4 2 2 9 13" xfId="37872" xr:uid="{00000000-0005-0000-0000-0000FCC20000}"/>
    <cellStyle name="Remarque 4 2 2 9 2" xfId="4121" xr:uid="{00000000-0005-0000-0000-0000FDC20000}"/>
    <cellStyle name="Remarque 4 2 2 9 2 2" xfId="28135" xr:uid="{00000000-0005-0000-0000-0000FEC20000}"/>
    <cellStyle name="Remarque 4 2 2 9 2 2 2" xfId="52095" xr:uid="{00000000-0005-0000-0000-0000FFC20000}"/>
    <cellStyle name="Remarque 4 2 2 9 2 3" xfId="15382" xr:uid="{00000000-0005-0000-0000-000000C30000}"/>
    <cellStyle name="Remarque 4 2 2 9 2 4" xfId="39342" xr:uid="{00000000-0005-0000-0000-000001C30000}"/>
    <cellStyle name="Remarque 4 2 2 9 3" xfId="5555" xr:uid="{00000000-0005-0000-0000-000002C30000}"/>
    <cellStyle name="Remarque 4 2 2 9 3 2" xfId="29569" xr:uid="{00000000-0005-0000-0000-000003C30000}"/>
    <cellStyle name="Remarque 4 2 2 9 3 2 2" xfId="53529" xr:uid="{00000000-0005-0000-0000-000004C30000}"/>
    <cellStyle name="Remarque 4 2 2 9 3 3" xfId="16816" xr:uid="{00000000-0005-0000-0000-000005C30000}"/>
    <cellStyle name="Remarque 4 2 2 9 3 4" xfId="40776" xr:uid="{00000000-0005-0000-0000-000006C30000}"/>
    <cellStyle name="Remarque 4 2 2 9 4" xfId="6949" xr:uid="{00000000-0005-0000-0000-000007C30000}"/>
    <cellStyle name="Remarque 4 2 2 9 4 2" xfId="30963" xr:uid="{00000000-0005-0000-0000-000008C30000}"/>
    <cellStyle name="Remarque 4 2 2 9 4 2 2" xfId="54923" xr:uid="{00000000-0005-0000-0000-000009C30000}"/>
    <cellStyle name="Remarque 4 2 2 9 4 3" xfId="18210" xr:uid="{00000000-0005-0000-0000-00000AC30000}"/>
    <cellStyle name="Remarque 4 2 2 9 4 4" xfId="42170" xr:uid="{00000000-0005-0000-0000-00000BC30000}"/>
    <cellStyle name="Remarque 4 2 2 9 5" xfId="8337" xr:uid="{00000000-0005-0000-0000-00000CC30000}"/>
    <cellStyle name="Remarque 4 2 2 9 5 2" xfId="32351" xr:uid="{00000000-0005-0000-0000-00000DC30000}"/>
    <cellStyle name="Remarque 4 2 2 9 5 2 2" xfId="56311" xr:uid="{00000000-0005-0000-0000-00000EC30000}"/>
    <cellStyle name="Remarque 4 2 2 9 5 3" xfId="19598" xr:uid="{00000000-0005-0000-0000-00000FC30000}"/>
    <cellStyle name="Remarque 4 2 2 9 5 4" xfId="43558" xr:uid="{00000000-0005-0000-0000-000010C30000}"/>
    <cellStyle name="Remarque 4 2 2 9 6" xfId="9722" xr:uid="{00000000-0005-0000-0000-000011C30000}"/>
    <cellStyle name="Remarque 4 2 2 9 6 2" xfId="33736" xr:uid="{00000000-0005-0000-0000-000012C30000}"/>
    <cellStyle name="Remarque 4 2 2 9 6 2 2" xfId="57696" xr:uid="{00000000-0005-0000-0000-000013C30000}"/>
    <cellStyle name="Remarque 4 2 2 9 6 3" xfId="20983" xr:uid="{00000000-0005-0000-0000-000014C30000}"/>
    <cellStyle name="Remarque 4 2 2 9 6 4" xfId="44943" xr:uid="{00000000-0005-0000-0000-000015C30000}"/>
    <cellStyle name="Remarque 4 2 2 9 7" xfId="11179" xr:uid="{00000000-0005-0000-0000-000016C30000}"/>
    <cellStyle name="Remarque 4 2 2 9 7 2" xfId="35189" xr:uid="{00000000-0005-0000-0000-000017C30000}"/>
    <cellStyle name="Remarque 4 2 2 9 7 2 2" xfId="59149" xr:uid="{00000000-0005-0000-0000-000018C30000}"/>
    <cellStyle name="Remarque 4 2 2 9 7 3" xfId="22446" xr:uid="{00000000-0005-0000-0000-000019C30000}"/>
    <cellStyle name="Remarque 4 2 2 9 7 4" xfId="46406" xr:uid="{00000000-0005-0000-0000-00001AC30000}"/>
    <cellStyle name="Remarque 4 2 2 9 8" xfId="12173" xr:uid="{00000000-0005-0000-0000-00001BC30000}"/>
    <cellStyle name="Remarque 4 2 2 9 8 2" xfId="23456" xr:uid="{00000000-0005-0000-0000-00001CC30000}"/>
    <cellStyle name="Remarque 4 2 2 9 8 3" xfId="47416" xr:uid="{00000000-0005-0000-0000-00001DC30000}"/>
    <cellStyle name="Remarque 4 2 2 9 9" xfId="2651" xr:uid="{00000000-0005-0000-0000-00001EC30000}"/>
    <cellStyle name="Remarque 4 2 2 9 9 2" xfId="26665" xr:uid="{00000000-0005-0000-0000-00001FC30000}"/>
    <cellStyle name="Remarque 4 2 2 9 9 3" xfId="50625" xr:uid="{00000000-0005-0000-0000-000020C30000}"/>
    <cellStyle name="Remarque 4 2 3" xfId="93" xr:uid="{00000000-0005-0000-0000-000021C30000}"/>
    <cellStyle name="Remarque 4 2 3 10" xfId="36894" xr:uid="{00000000-0005-0000-0000-000022C30000}"/>
    <cellStyle name="Remarque 4 2 3 11" xfId="237" xr:uid="{00000000-0005-0000-0000-000023C30000}"/>
    <cellStyle name="Remarque 4 2 3 2" xfId="471" xr:uid="{00000000-0005-0000-0000-000024C30000}"/>
    <cellStyle name="Remarque 4 2 3 2 10" xfId="6205" xr:uid="{00000000-0005-0000-0000-000025C30000}"/>
    <cellStyle name="Remarque 4 2 3 2 10 2" xfId="30219" xr:uid="{00000000-0005-0000-0000-000026C30000}"/>
    <cellStyle name="Remarque 4 2 3 2 10 2 2" xfId="54179" xr:uid="{00000000-0005-0000-0000-000027C30000}"/>
    <cellStyle name="Remarque 4 2 3 2 10 3" xfId="17466" xr:uid="{00000000-0005-0000-0000-000028C30000}"/>
    <cellStyle name="Remarque 4 2 3 2 10 4" xfId="41426" xr:uid="{00000000-0005-0000-0000-000029C30000}"/>
    <cellStyle name="Remarque 4 2 3 2 11" xfId="7593" xr:uid="{00000000-0005-0000-0000-00002AC30000}"/>
    <cellStyle name="Remarque 4 2 3 2 11 2" xfId="31607" xr:uid="{00000000-0005-0000-0000-00002BC30000}"/>
    <cellStyle name="Remarque 4 2 3 2 11 2 2" xfId="55567" xr:uid="{00000000-0005-0000-0000-00002CC30000}"/>
    <cellStyle name="Remarque 4 2 3 2 11 3" xfId="18854" xr:uid="{00000000-0005-0000-0000-00002DC30000}"/>
    <cellStyle name="Remarque 4 2 3 2 11 4" xfId="42814" xr:uid="{00000000-0005-0000-0000-00002EC30000}"/>
    <cellStyle name="Remarque 4 2 3 2 12" xfId="8978" xr:uid="{00000000-0005-0000-0000-00002FC30000}"/>
    <cellStyle name="Remarque 4 2 3 2 12 2" xfId="32992" xr:uid="{00000000-0005-0000-0000-000030C30000}"/>
    <cellStyle name="Remarque 4 2 3 2 12 2 2" xfId="56952" xr:uid="{00000000-0005-0000-0000-000031C30000}"/>
    <cellStyle name="Remarque 4 2 3 2 12 3" xfId="20239" xr:uid="{00000000-0005-0000-0000-000032C30000}"/>
    <cellStyle name="Remarque 4 2 3 2 12 4" xfId="44199" xr:uid="{00000000-0005-0000-0000-000033C30000}"/>
    <cellStyle name="Remarque 4 2 3 2 13" xfId="10435" xr:uid="{00000000-0005-0000-0000-000034C30000}"/>
    <cellStyle name="Remarque 4 2 3 2 13 2" xfId="34445" xr:uid="{00000000-0005-0000-0000-000035C30000}"/>
    <cellStyle name="Remarque 4 2 3 2 13 2 2" xfId="58405" xr:uid="{00000000-0005-0000-0000-000036C30000}"/>
    <cellStyle name="Remarque 4 2 3 2 13 3" xfId="21702" xr:uid="{00000000-0005-0000-0000-000037C30000}"/>
    <cellStyle name="Remarque 4 2 3 2 13 4" xfId="45662" xr:uid="{00000000-0005-0000-0000-000038C30000}"/>
    <cellStyle name="Remarque 4 2 3 2 14" xfId="12128" xr:uid="{00000000-0005-0000-0000-000039C30000}"/>
    <cellStyle name="Remarque 4 2 3 2 14 2" xfId="23411" xr:uid="{00000000-0005-0000-0000-00003AC30000}"/>
    <cellStyle name="Remarque 4 2 3 2 14 3" xfId="47371" xr:uid="{00000000-0005-0000-0000-00003BC30000}"/>
    <cellStyle name="Remarque 4 2 3 2 15" xfId="1907" xr:uid="{00000000-0005-0000-0000-00003CC30000}"/>
    <cellStyle name="Remarque 4 2 3 2 15 2" xfId="25921" xr:uid="{00000000-0005-0000-0000-00003DC30000}"/>
    <cellStyle name="Remarque 4 2 3 2 15 3" xfId="49881" xr:uid="{00000000-0005-0000-0000-00003EC30000}"/>
    <cellStyle name="Remarque 4 2 3 2 16" xfId="24503" xr:uid="{00000000-0005-0000-0000-00003FC30000}"/>
    <cellStyle name="Remarque 4 2 3 2 16 2" xfId="48463" xr:uid="{00000000-0005-0000-0000-000040C30000}"/>
    <cellStyle name="Remarque 4 2 3 2 17" xfId="36525" xr:uid="{00000000-0005-0000-0000-000041C30000}"/>
    <cellStyle name="Remarque 4 2 3 2 17 2" xfId="60485" xr:uid="{00000000-0005-0000-0000-000042C30000}"/>
    <cellStyle name="Remarque 4 2 3 2 18" xfId="13168" xr:uid="{00000000-0005-0000-0000-000043C30000}"/>
    <cellStyle name="Remarque 4 2 3 2 19" xfId="37128" xr:uid="{00000000-0005-0000-0000-000044C30000}"/>
    <cellStyle name="Remarque 4 2 3 2 2" xfId="607" xr:uid="{00000000-0005-0000-0000-000045C30000}"/>
    <cellStyle name="Remarque 4 2 3 2 2 10" xfId="24639" xr:uid="{00000000-0005-0000-0000-000046C30000}"/>
    <cellStyle name="Remarque 4 2 3 2 2 10 2" xfId="48599" xr:uid="{00000000-0005-0000-0000-000047C30000}"/>
    <cellStyle name="Remarque 4 2 3 2 2 11" xfId="36614" xr:uid="{00000000-0005-0000-0000-000048C30000}"/>
    <cellStyle name="Remarque 4 2 3 2 2 11 2" xfId="60574" xr:uid="{00000000-0005-0000-0000-000049C30000}"/>
    <cellStyle name="Remarque 4 2 3 2 2 12" xfId="13304" xr:uid="{00000000-0005-0000-0000-00004AC30000}"/>
    <cellStyle name="Remarque 4 2 3 2 2 13" xfId="37264" xr:uid="{00000000-0005-0000-0000-00004BC30000}"/>
    <cellStyle name="Remarque 4 2 3 2 2 2" xfId="3513" xr:uid="{00000000-0005-0000-0000-00004CC30000}"/>
    <cellStyle name="Remarque 4 2 3 2 2 2 2" xfId="27527" xr:uid="{00000000-0005-0000-0000-00004DC30000}"/>
    <cellStyle name="Remarque 4 2 3 2 2 2 2 2" xfId="51487" xr:uid="{00000000-0005-0000-0000-00004EC30000}"/>
    <cellStyle name="Remarque 4 2 3 2 2 2 3" xfId="14774" xr:uid="{00000000-0005-0000-0000-00004FC30000}"/>
    <cellStyle name="Remarque 4 2 3 2 2 2 4" xfId="38734" xr:uid="{00000000-0005-0000-0000-000050C30000}"/>
    <cellStyle name="Remarque 4 2 3 2 2 3" xfId="4947" xr:uid="{00000000-0005-0000-0000-000051C30000}"/>
    <cellStyle name="Remarque 4 2 3 2 2 3 2" xfId="28961" xr:uid="{00000000-0005-0000-0000-000052C30000}"/>
    <cellStyle name="Remarque 4 2 3 2 2 3 2 2" xfId="52921" xr:uid="{00000000-0005-0000-0000-000053C30000}"/>
    <cellStyle name="Remarque 4 2 3 2 2 3 3" xfId="16208" xr:uid="{00000000-0005-0000-0000-000054C30000}"/>
    <cellStyle name="Remarque 4 2 3 2 2 3 4" xfId="40168" xr:uid="{00000000-0005-0000-0000-000055C30000}"/>
    <cellStyle name="Remarque 4 2 3 2 2 4" xfId="6341" xr:uid="{00000000-0005-0000-0000-000056C30000}"/>
    <cellStyle name="Remarque 4 2 3 2 2 4 2" xfId="30355" xr:uid="{00000000-0005-0000-0000-000057C30000}"/>
    <cellStyle name="Remarque 4 2 3 2 2 4 2 2" xfId="54315" xr:uid="{00000000-0005-0000-0000-000058C30000}"/>
    <cellStyle name="Remarque 4 2 3 2 2 4 3" xfId="17602" xr:uid="{00000000-0005-0000-0000-000059C30000}"/>
    <cellStyle name="Remarque 4 2 3 2 2 4 4" xfId="41562" xr:uid="{00000000-0005-0000-0000-00005AC30000}"/>
    <cellStyle name="Remarque 4 2 3 2 2 5" xfId="7729" xr:uid="{00000000-0005-0000-0000-00005BC30000}"/>
    <cellStyle name="Remarque 4 2 3 2 2 5 2" xfId="31743" xr:uid="{00000000-0005-0000-0000-00005CC30000}"/>
    <cellStyle name="Remarque 4 2 3 2 2 5 2 2" xfId="55703" xr:uid="{00000000-0005-0000-0000-00005DC30000}"/>
    <cellStyle name="Remarque 4 2 3 2 2 5 3" xfId="18990" xr:uid="{00000000-0005-0000-0000-00005EC30000}"/>
    <cellStyle name="Remarque 4 2 3 2 2 5 4" xfId="42950" xr:uid="{00000000-0005-0000-0000-00005FC30000}"/>
    <cellStyle name="Remarque 4 2 3 2 2 6" xfId="9114" xr:uid="{00000000-0005-0000-0000-000060C30000}"/>
    <cellStyle name="Remarque 4 2 3 2 2 6 2" xfId="33128" xr:uid="{00000000-0005-0000-0000-000061C30000}"/>
    <cellStyle name="Remarque 4 2 3 2 2 6 2 2" xfId="57088" xr:uid="{00000000-0005-0000-0000-000062C30000}"/>
    <cellStyle name="Remarque 4 2 3 2 2 6 3" xfId="20375" xr:uid="{00000000-0005-0000-0000-000063C30000}"/>
    <cellStyle name="Remarque 4 2 3 2 2 6 4" xfId="44335" xr:uid="{00000000-0005-0000-0000-000064C30000}"/>
    <cellStyle name="Remarque 4 2 3 2 2 7" xfId="10571" xr:uid="{00000000-0005-0000-0000-000065C30000}"/>
    <cellStyle name="Remarque 4 2 3 2 2 7 2" xfId="34581" xr:uid="{00000000-0005-0000-0000-000066C30000}"/>
    <cellStyle name="Remarque 4 2 3 2 2 7 2 2" xfId="58541" xr:uid="{00000000-0005-0000-0000-000067C30000}"/>
    <cellStyle name="Remarque 4 2 3 2 2 7 3" xfId="21838" xr:uid="{00000000-0005-0000-0000-000068C30000}"/>
    <cellStyle name="Remarque 4 2 3 2 2 7 4" xfId="45798" xr:uid="{00000000-0005-0000-0000-000069C30000}"/>
    <cellStyle name="Remarque 4 2 3 2 2 8" xfId="11715" xr:uid="{00000000-0005-0000-0000-00006AC30000}"/>
    <cellStyle name="Remarque 4 2 3 2 2 8 2" xfId="22985" xr:uid="{00000000-0005-0000-0000-00006BC30000}"/>
    <cellStyle name="Remarque 4 2 3 2 2 8 3" xfId="46945" xr:uid="{00000000-0005-0000-0000-00006CC30000}"/>
    <cellStyle name="Remarque 4 2 3 2 2 9" xfId="2043" xr:uid="{00000000-0005-0000-0000-00006DC30000}"/>
    <cellStyle name="Remarque 4 2 3 2 2 9 2" xfId="26057" xr:uid="{00000000-0005-0000-0000-00006EC30000}"/>
    <cellStyle name="Remarque 4 2 3 2 2 9 3" xfId="50017" xr:uid="{00000000-0005-0000-0000-00006FC30000}"/>
    <cellStyle name="Remarque 4 2 3 2 3" xfId="799" xr:uid="{00000000-0005-0000-0000-000070C30000}"/>
    <cellStyle name="Remarque 4 2 3 2 3 10" xfId="24831" xr:uid="{00000000-0005-0000-0000-000071C30000}"/>
    <cellStyle name="Remarque 4 2 3 2 3 10 2" xfId="48791" xr:uid="{00000000-0005-0000-0000-000072C30000}"/>
    <cellStyle name="Remarque 4 2 3 2 3 11" xfId="36209" xr:uid="{00000000-0005-0000-0000-000073C30000}"/>
    <cellStyle name="Remarque 4 2 3 2 3 11 2" xfId="60169" xr:uid="{00000000-0005-0000-0000-000074C30000}"/>
    <cellStyle name="Remarque 4 2 3 2 3 12" xfId="13496" xr:uid="{00000000-0005-0000-0000-000075C30000}"/>
    <cellStyle name="Remarque 4 2 3 2 3 13" xfId="37456" xr:uid="{00000000-0005-0000-0000-000076C30000}"/>
    <cellStyle name="Remarque 4 2 3 2 3 2" xfId="3705" xr:uid="{00000000-0005-0000-0000-000077C30000}"/>
    <cellStyle name="Remarque 4 2 3 2 3 2 2" xfId="27719" xr:uid="{00000000-0005-0000-0000-000078C30000}"/>
    <cellStyle name="Remarque 4 2 3 2 3 2 2 2" xfId="51679" xr:uid="{00000000-0005-0000-0000-000079C30000}"/>
    <cellStyle name="Remarque 4 2 3 2 3 2 3" xfId="14966" xr:uid="{00000000-0005-0000-0000-00007AC30000}"/>
    <cellStyle name="Remarque 4 2 3 2 3 2 4" xfId="38926" xr:uid="{00000000-0005-0000-0000-00007BC30000}"/>
    <cellStyle name="Remarque 4 2 3 2 3 3" xfId="5139" xr:uid="{00000000-0005-0000-0000-00007CC30000}"/>
    <cellStyle name="Remarque 4 2 3 2 3 3 2" xfId="29153" xr:uid="{00000000-0005-0000-0000-00007DC30000}"/>
    <cellStyle name="Remarque 4 2 3 2 3 3 2 2" xfId="53113" xr:uid="{00000000-0005-0000-0000-00007EC30000}"/>
    <cellStyle name="Remarque 4 2 3 2 3 3 3" xfId="16400" xr:uid="{00000000-0005-0000-0000-00007FC30000}"/>
    <cellStyle name="Remarque 4 2 3 2 3 3 4" xfId="40360" xr:uid="{00000000-0005-0000-0000-000080C30000}"/>
    <cellStyle name="Remarque 4 2 3 2 3 4" xfId="6533" xr:uid="{00000000-0005-0000-0000-000081C30000}"/>
    <cellStyle name="Remarque 4 2 3 2 3 4 2" xfId="30547" xr:uid="{00000000-0005-0000-0000-000082C30000}"/>
    <cellStyle name="Remarque 4 2 3 2 3 4 2 2" xfId="54507" xr:uid="{00000000-0005-0000-0000-000083C30000}"/>
    <cellStyle name="Remarque 4 2 3 2 3 4 3" xfId="17794" xr:uid="{00000000-0005-0000-0000-000084C30000}"/>
    <cellStyle name="Remarque 4 2 3 2 3 4 4" xfId="41754" xr:uid="{00000000-0005-0000-0000-000085C30000}"/>
    <cellStyle name="Remarque 4 2 3 2 3 5" xfId="7921" xr:uid="{00000000-0005-0000-0000-000086C30000}"/>
    <cellStyle name="Remarque 4 2 3 2 3 5 2" xfId="31935" xr:uid="{00000000-0005-0000-0000-000087C30000}"/>
    <cellStyle name="Remarque 4 2 3 2 3 5 2 2" xfId="55895" xr:uid="{00000000-0005-0000-0000-000088C30000}"/>
    <cellStyle name="Remarque 4 2 3 2 3 5 3" xfId="19182" xr:uid="{00000000-0005-0000-0000-000089C30000}"/>
    <cellStyle name="Remarque 4 2 3 2 3 5 4" xfId="43142" xr:uid="{00000000-0005-0000-0000-00008AC30000}"/>
    <cellStyle name="Remarque 4 2 3 2 3 6" xfId="9306" xr:uid="{00000000-0005-0000-0000-00008BC30000}"/>
    <cellStyle name="Remarque 4 2 3 2 3 6 2" xfId="33320" xr:uid="{00000000-0005-0000-0000-00008CC30000}"/>
    <cellStyle name="Remarque 4 2 3 2 3 6 2 2" xfId="57280" xr:uid="{00000000-0005-0000-0000-00008DC30000}"/>
    <cellStyle name="Remarque 4 2 3 2 3 6 3" xfId="20567" xr:uid="{00000000-0005-0000-0000-00008EC30000}"/>
    <cellStyle name="Remarque 4 2 3 2 3 6 4" xfId="44527" xr:uid="{00000000-0005-0000-0000-00008FC30000}"/>
    <cellStyle name="Remarque 4 2 3 2 3 7" xfId="10763" xr:uid="{00000000-0005-0000-0000-000090C30000}"/>
    <cellStyle name="Remarque 4 2 3 2 3 7 2" xfId="34773" xr:uid="{00000000-0005-0000-0000-000091C30000}"/>
    <cellStyle name="Remarque 4 2 3 2 3 7 2 2" xfId="58733" xr:uid="{00000000-0005-0000-0000-000092C30000}"/>
    <cellStyle name="Remarque 4 2 3 2 3 7 3" xfId="22030" xr:uid="{00000000-0005-0000-0000-000093C30000}"/>
    <cellStyle name="Remarque 4 2 3 2 3 7 4" xfId="45990" xr:uid="{00000000-0005-0000-0000-000094C30000}"/>
    <cellStyle name="Remarque 4 2 3 2 3 8" xfId="11630" xr:uid="{00000000-0005-0000-0000-000095C30000}"/>
    <cellStyle name="Remarque 4 2 3 2 3 8 2" xfId="22898" xr:uid="{00000000-0005-0000-0000-000096C30000}"/>
    <cellStyle name="Remarque 4 2 3 2 3 8 3" xfId="46858" xr:uid="{00000000-0005-0000-0000-000097C30000}"/>
    <cellStyle name="Remarque 4 2 3 2 3 9" xfId="2235" xr:uid="{00000000-0005-0000-0000-000098C30000}"/>
    <cellStyle name="Remarque 4 2 3 2 3 9 2" xfId="26249" xr:uid="{00000000-0005-0000-0000-000099C30000}"/>
    <cellStyle name="Remarque 4 2 3 2 3 9 3" xfId="50209" xr:uid="{00000000-0005-0000-0000-00009AC30000}"/>
    <cellStyle name="Remarque 4 2 3 2 4" xfId="993" xr:uid="{00000000-0005-0000-0000-00009BC30000}"/>
    <cellStyle name="Remarque 4 2 3 2 4 10" xfId="25025" xr:uid="{00000000-0005-0000-0000-00009CC30000}"/>
    <cellStyle name="Remarque 4 2 3 2 4 10 2" xfId="48985" xr:uid="{00000000-0005-0000-0000-00009DC30000}"/>
    <cellStyle name="Remarque 4 2 3 2 4 11" xfId="36024" xr:uid="{00000000-0005-0000-0000-00009EC30000}"/>
    <cellStyle name="Remarque 4 2 3 2 4 11 2" xfId="59984" xr:uid="{00000000-0005-0000-0000-00009FC30000}"/>
    <cellStyle name="Remarque 4 2 3 2 4 12" xfId="13690" xr:uid="{00000000-0005-0000-0000-0000A0C30000}"/>
    <cellStyle name="Remarque 4 2 3 2 4 13" xfId="37650" xr:uid="{00000000-0005-0000-0000-0000A1C30000}"/>
    <cellStyle name="Remarque 4 2 3 2 4 2" xfId="3899" xr:uid="{00000000-0005-0000-0000-0000A2C30000}"/>
    <cellStyle name="Remarque 4 2 3 2 4 2 2" xfId="27913" xr:uid="{00000000-0005-0000-0000-0000A3C30000}"/>
    <cellStyle name="Remarque 4 2 3 2 4 2 2 2" xfId="51873" xr:uid="{00000000-0005-0000-0000-0000A4C30000}"/>
    <cellStyle name="Remarque 4 2 3 2 4 2 3" xfId="15160" xr:uid="{00000000-0005-0000-0000-0000A5C30000}"/>
    <cellStyle name="Remarque 4 2 3 2 4 2 4" xfId="39120" xr:uid="{00000000-0005-0000-0000-0000A6C30000}"/>
    <cellStyle name="Remarque 4 2 3 2 4 3" xfId="5333" xr:uid="{00000000-0005-0000-0000-0000A7C30000}"/>
    <cellStyle name="Remarque 4 2 3 2 4 3 2" xfId="29347" xr:uid="{00000000-0005-0000-0000-0000A8C30000}"/>
    <cellStyle name="Remarque 4 2 3 2 4 3 2 2" xfId="53307" xr:uid="{00000000-0005-0000-0000-0000A9C30000}"/>
    <cellStyle name="Remarque 4 2 3 2 4 3 3" xfId="16594" xr:uid="{00000000-0005-0000-0000-0000AAC30000}"/>
    <cellStyle name="Remarque 4 2 3 2 4 3 4" xfId="40554" xr:uid="{00000000-0005-0000-0000-0000ABC30000}"/>
    <cellStyle name="Remarque 4 2 3 2 4 4" xfId="6727" xr:uid="{00000000-0005-0000-0000-0000ACC30000}"/>
    <cellStyle name="Remarque 4 2 3 2 4 4 2" xfId="30741" xr:uid="{00000000-0005-0000-0000-0000ADC30000}"/>
    <cellStyle name="Remarque 4 2 3 2 4 4 2 2" xfId="54701" xr:uid="{00000000-0005-0000-0000-0000AEC30000}"/>
    <cellStyle name="Remarque 4 2 3 2 4 4 3" xfId="17988" xr:uid="{00000000-0005-0000-0000-0000AFC30000}"/>
    <cellStyle name="Remarque 4 2 3 2 4 4 4" xfId="41948" xr:uid="{00000000-0005-0000-0000-0000B0C30000}"/>
    <cellStyle name="Remarque 4 2 3 2 4 5" xfId="8115" xr:uid="{00000000-0005-0000-0000-0000B1C30000}"/>
    <cellStyle name="Remarque 4 2 3 2 4 5 2" xfId="32129" xr:uid="{00000000-0005-0000-0000-0000B2C30000}"/>
    <cellStyle name="Remarque 4 2 3 2 4 5 2 2" xfId="56089" xr:uid="{00000000-0005-0000-0000-0000B3C30000}"/>
    <cellStyle name="Remarque 4 2 3 2 4 5 3" xfId="19376" xr:uid="{00000000-0005-0000-0000-0000B4C30000}"/>
    <cellStyle name="Remarque 4 2 3 2 4 5 4" xfId="43336" xr:uid="{00000000-0005-0000-0000-0000B5C30000}"/>
    <cellStyle name="Remarque 4 2 3 2 4 6" xfId="9500" xr:uid="{00000000-0005-0000-0000-0000B6C30000}"/>
    <cellStyle name="Remarque 4 2 3 2 4 6 2" xfId="33514" xr:uid="{00000000-0005-0000-0000-0000B7C30000}"/>
    <cellStyle name="Remarque 4 2 3 2 4 6 2 2" xfId="57474" xr:uid="{00000000-0005-0000-0000-0000B8C30000}"/>
    <cellStyle name="Remarque 4 2 3 2 4 6 3" xfId="20761" xr:uid="{00000000-0005-0000-0000-0000B9C30000}"/>
    <cellStyle name="Remarque 4 2 3 2 4 6 4" xfId="44721" xr:uid="{00000000-0005-0000-0000-0000BAC30000}"/>
    <cellStyle name="Remarque 4 2 3 2 4 7" xfId="10957" xr:uid="{00000000-0005-0000-0000-0000BBC30000}"/>
    <cellStyle name="Remarque 4 2 3 2 4 7 2" xfId="34967" xr:uid="{00000000-0005-0000-0000-0000BCC30000}"/>
    <cellStyle name="Remarque 4 2 3 2 4 7 2 2" xfId="58927" xr:uid="{00000000-0005-0000-0000-0000BDC30000}"/>
    <cellStyle name="Remarque 4 2 3 2 4 7 3" xfId="22224" xr:uid="{00000000-0005-0000-0000-0000BEC30000}"/>
    <cellStyle name="Remarque 4 2 3 2 4 7 4" xfId="46184" xr:uid="{00000000-0005-0000-0000-0000BFC30000}"/>
    <cellStyle name="Remarque 4 2 3 2 4 8" xfId="12402" xr:uid="{00000000-0005-0000-0000-0000C0C30000}"/>
    <cellStyle name="Remarque 4 2 3 2 4 8 2" xfId="23693" xr:uid="{00000000-0005-0000-0000-0000C1C30000}"/>
    <cellStyle name="Remarque 4 2 3 2 4 8 3" xfId="47653" xr:uid="{00000000-0005-0000-0000-0000C2C30000}"/>
    <cellStyle name="Remarque 4 2 3 2 4 9" xfId="2429" xr:uid="{00000000-0005-0000-0000-0000C3C30000}"/>
    <cellStyle name="Remarque 4 2 3 2 4 9 2" xfId="26443" xr:uid="{00000000-0005-0000-0000-0000C4C30000}"/>
    <cellStyle name="Remarque 4 2 3 2 4 9 3" xfId="50403" xr:uid="{00000000-0005-0000-0000-0000C5C30000}"/>
    <cellStyle name="Remarque 4 2 3 2 5" xfId="1186" xr:uid="{00000000-0005-0000-0000-0000C6C30000}"/>
    <cellStyle name="Remarque 4 2 3 2 5 10" xfId="25218" xr:uid="{00000000-0005-0000-0000-0000C7C30000}"/>
    <cellStyle name="Remarque 4 2 3 2 5 10 2" xfId="49178" xr:uid="{00000000-0005-0000-0000-0000C8C30000}"/>
    <cellStyle name="Remarque 4 2 3 2 5 11" xfId="36307" xr:uid="{00000000-0005-0000-0000-0000C9C30000}"/>
    <cellStyle name="Remarque 4 2 3 2 5 11 2" xfId="60267" xr:uid="{00000000-0005-0000-0000-0000CAC30000}"/>
    <cellStyle name="Remarque 4 2 3 2 5 12" xfId="13883" xr:uid="{00000000-0005-0000-0000-0000CBC30000}"/>
    <cellStyle name="Remarque 4 2 3 2 5 13" xfId="37843" xr:uid="{00000000-0005-0000-0000-0000CCC30000}"/>
    <cellStyle name="Remarque 4 2 3 2 5 2" xfId="4092" xr:uid="{00000000-0005-0000-0000-0000CDC30000}"/>
    <cellStyle name="Remarque 4 2 3 2 5 2 2" xfId="28106" xr:uid="{00000000-0005-0000-0000-0000CEC30000}"/>
    <cellStyle name="Remarque 4 2 3 2 5 2 2 2" xfId="52066" xr:uid="{00000000-0005-0000-0000-0000CFC30000}"/>
    <cellStyle name="Remarque 4 2 3 2 5 2 3" xfId="15353" xr:uid="{00000000-0005-0000-0000-0000D0C30000}"/>
    <cellStyle name="Remarque 4 2 3 2 5 2 4" xfId="39313" xr:uid="{00000000-0005-0000-0000-0000D1C30000}"/>
    <cellStyle name="Remarque 4 2 3 2 5 3" xfId="5526" xr:uid="{00000000-0005-0000-0000-0000D2C30000}"/>
    <cellStyle name="Remarque 4 2 3 2 5 3 2" xfId="29540" xr:uid="{00000000-0005-0000-0000-0000D3C30000}"/>
    <cellStyle name="Remarque 4 2 3 2 5 3 2 2" xfId="53500" xr:uid="{00000000-0005-0000-0000-0000D4C30000}"/>
    <cellStyle name="Remarque 4 2 3 2 5 3 3" xfId="16787" xr:uid="{00000000-0005-0000-0000-0000D5C30000}"/>
    <cellStyle name="Remarque 4 2 3 2 5 3 4" xfId="40747" xr:uid="{00000000-0005-0000-0000-0000D6C30000}"/>
    <cellStyle name="Remarque 4 2 3 2 5 4" xfId="6920" xr:uid="{00000000-0005-0000-0000-0000D7C30000}"/>
    <cellStyle name="Remarque 4 2 3 2 5 4 2" xfId="30934" xr:uid="{00000000-0005-0000-0000-0000D8C30000}"/>
    <cellStyle name="Remarque 4 2 3 2 5 4 2 2" xfId="54894" xr:uid="{00000000-0005-0000-0000-0000D9C30000}"/>
    <cellStyle name="Remarque 4 2 3 2 5 4 3" xfId="18181" xr:uid="{00000000-0005-0000-0000-0000DAC30000}"/>
    <cellStyle name="Remarque 4 2 3 2 5 4 4" xfId="42141" xr:uid="{00000000-0005-0000-0000-0000DBC30000}"/>
    <cellStyle name="Remarque 4 2 3 2 5 5" xfId="8308" xr:uid="{00000000-0005-0000-0000-0000DCC30000}"/>
    <cellStyle name="Remarque 4 2 3 2 5 5 2" xfId="32322" xr:uid="{00000000-0005-0000-0000-0000DDC30000}"/>
    <cellStyle name="Remarque 4 2 3 2 5 5 2 2" xfId="56282" xr:uid="{00000000-0005-0000-0000-0000DEC30000}"/>
    <cellStyle name="Remarque 4 2 3 2 5 5 3" xfId="19569" xr:uid="{00000000-0005-0000-0000-0000DFC30000}"/>
    <cellStyle name="Remarque 4 2 3 2 5 5 4" xfId="43529" xr:uid="{00000000-0005-0000-0000-0000E0C30000}"/>
    <cellStyle name="Remarque 4 2 3 2 5 6" xfId="9693" xr:uid="{00000000-0005-0000-0000-0000E1C30000}"/>
    <cellStyle name="Remarque 4 2 3 2 5 6 2" xfId="33707" xr:uid="{00000000-0005-0000-0000-0000E2C30000}"/>
    <cellStyle name="Remarque 4 2 3 2 5 6 2 2" xfId="57667" xr:uid="{00000000-0005-0000-0000-0000E3C30000}"/>
    <cellStyle name="Remarque 4 2 3 2 5 6 3" xfId="20954" xr:uid="{00000000-0005-0000-0000-0000E4C30000}"/>
    <cellStyle name="Remarque 4 2 3 2 5 6 4" xfId="44914" xr:uid="{00000000-0005-0000-0000-0000E5C30000}"/>
    <cellStyle name="Remarque 4 2 3 2 5 7" xfId="11150" xr:uid="{00000000-0005-0000-0000-0000E6C30000}"/>
    <cellStyle name="Remarque 4 2 3 2 5 7 2" xfId="35160" xr:uid="{00000000-0005-0000-0000-0000E7C30000}"/>
    <cellStyle name="Remarque 4 2 3 2 5 7 2 2" xfId="59120" xr:uid="{00000000-0005-0000-0000-0000E8C30000}"/>
    <cellStyle name="Remarque 4 2 3 2 5 7 3" xfId="22417" xr:uid="{00000000-0005-0000-0000-0000E9C30000}"/>
    <cellStyle name="Remarque 4 2 3 2 5 7 4" xfId="46377" xr:uid="{00000000-0005-0000-0000-0000EAC30000}"/>
    <cellStyle name="Remarque 4 2 3 2 5 8" xfId="12744" xr:uid="{00000000-0005-0000-0000-0000EBC30000}"/>
    <cellStyle name="Remarque 4 2 3 2 5 8 2" xfId="24050" xr:uid="{00000000-0005-0000-0000-0000ECC30000}"/>
    <cellStyle name="Remarque 4 2 3 2 5 8 3" xfId="48010" xr:uid="{00000000-0005-0000-0000-0000EDC30000}"/>
    <cellStyle name="Remarque 4 2 3 2 5 9" xfId="2622" xr:uid="{00000000-0005-0000-0000-0000EEC30000}"/>
    <cellStyle name="Remarque 4 2 3 2 5 9 2" xfId="26636" xr:uid="{00000000-0005-0000-0000-0000EFC30000}"/>
    <cellStyle name="Remarque 4 2 3 2 5 9 3" xfId="50596" xr:uid="{00000000-0005-0000-0000-0000F0C30000}"/>
    <cellStyle name="Remarque 4 2 3 2 6" xfId="1353" xr:uid="{00000000-0005-0000-0000-0000F1C30000}"/>
    <cellStyle name="Remarque 4 2 3 2 6 10" xfId="25385" xr:uid="{00000000-0005-0000-0000-0000F2C30000}"/>
    <cellStyle name="Remarque 4 2 3 2 6 10 2" xfId="49345" xr:uid="{00000000-0005-0000-0000-0000F3C30000}"/>
    <cellStyle name="Remarque 4 2 3 2 6 11" xfId="36164" xr:uid="{00000000-0005-0000-0000-0000F4C30000}"/>
    <cellStyle name="Remarque 4 2 3 2 6 11 2" xfId="60124" xr:uid="{00000000-0005-0000-0000-0000F5C30000}"/>
    <cellStyle name="Remarque 4 2 3 2 6 12" xfId="14050" xr:uid="{00000000-0005-0000-0000-0000F6C30000}"/>
    <cellStyle name="Remarque 4 2 3 2 6 13" xfId="38010" xr:uid="{00000000-0005-0000-0000-0000F7C30000}"/>
    <cellStyle name="Remarque 4 2 3 2 6 2" xfId="4259" xr:uid="{00000000-0005-0000-0000-0000F8C30000}"/>
    <cellStyle name="Remarque 4 2 3 2 6 2 2" xfId="28273" xr:uid="{00000000-0005-0000-0000-0000F9C30000}"/>
    <cellStyle name="Remarque 4 2 3 2 6 2 2 2" xfId="52233" xr:uid="{00000000-0005-0000-0000-0000FAC30000}"/>
    <cellStyle name="Remarque 4 2 3 2 6 2 3" xfId="15520" xr:uid="{00000000-0005-0000-0000-0000FBC30000}"/>
    <cellStyle name="Remarque 4 2 3 2 6 2 4" xfId="39480" xr:uid="{00000000-0005-0000-0000-0000FCC30000}"/>
    <cellStyle name="Remarque 4 2 3 2 6 3" xfId="5693" xr:uid="{00000000-0005-0000-0000-0000FDC30000}"/>
    <cellStyle name="Remarque 4 2 3 2 6 3 2" xfId="29707" xr:uid="{00000000-0005-0000-0000-0000FEC30000}"/>
    <cellStyle name="Remarque 4 2 3 2 6 3 2 2" xfId="53667" xr:uid="{00000000-0005-0000-0000-0000FFC30000}"/>
    <cellStyle name="Remarque 4 2 3 2 6 3 3" xfId="16954" xr:uid="{00000000-0005-0000-0000-000000C40000}"/>
    <cellStyle name="Remarque 4 2 3 2 6 3 4" xfId="40914" xr:uid="{00000000-0005-0000-0000-000001C40000}"/>
    <cellStyle name="Remarque 4 2 3 2 6 4" xfId="7087" xr:uid="{00000000-0005-0000-0000-000002C40000}"/>
    <cellStyle name="Remarque 4 2 3 2 6 4 2" xfId="31101" xr:uid="{00000000-0005-0000-0000-000003C40000}"/>
    <cellStyle name="Remarque 4 2 3 2 6 4 2 2" xfId="55061" xr:uid="{00000000-0005-0000-0000-000004C40000}"/>
    <cellStyle name="Remarque 4 2 3 2 6 4 3" xfId="18348" xr:uid="{00000000-0005-0000-0000-000005C40000}"/>
    <cellStyle name="Remarque 4 2 3 2 6 4 4" xfId="42308" xr:uid="{00000000-0005-0000-0000-000006C40000}"/>
    <cellStyle name="Remarque 4 2 3 2 6 5" xfId="8475" xr:uid="{00000000-0005-0000-0000-000007C40000}"/>
    <cellStyle name="Remarque 4 2 3 2 6 5 2" xfId="32489" xr:uid="{00000000-0005-0000-0000-000008C40000}"/>
    <cellStyle name="Remarque 4 2 3 2 6 5 2 2" xfId="56449" xr:uid="{00000000-0005-0000-0000-000009C40000}"/>
    <cellStyle name="Remarque 4 2 3 2 6 5 3" xfId="19736" xr:uid="{00000000-0005-0000-0000-00000AC40000}"/>
    <cellStyle name="Remarque 4 2 3 2 6 5 4" xfId="43696" xr:uid="{00000000-0005-0000-0000-00000BC40000}"/>
    <cellStyle name="Remarque 4 2 3 2 6 6" xfId="9860" xr:uid="{00000000-0005-0000-0000-00000CC40000}"/>
    <cellStyle name="Remarque 4 2 3 2 6 6 2" xfId="33874" xr:uid="{00000000-0005-0000-0000-00000DC40000}"/>
    <cellStyle name="Remarque 4 2 3 2 6 6 2 2" xfId="57834" xr:uid="{00000000-0005-0000-0000-00000EC40000}"/>
    <cellStyle name="Remarque 4 2 3 2 6 6 3" xfId="21121" xr:uid="{00000000-0005-0000-0000-00000FC40000}"/>
    <cellStyle name="Remarque 4 2 3 2 6 6 4" xfId="45081" xr:uid="{00000000-0005-0000-0000-000010C40000}"/>
    <cellStyle name="Remarque 4 2 3 2 6 7" xfId="11317" xr:uid="{00000000-0005-0000-0000-000011C40000}"/>
    <cellStyle name="Remarque 4 2 3 2 6 7 2" xfId="35327" xr:uid="{00000000-0005-0000-0000-000012C40000}"/>
    <cellStyle name="Remarque 4 2 3 2 6 7 2 2" xfId="59287" xr:uid="{00000000-0005-0000-0000-000013C40000}"/>
    <cellStyle name="Remarque 4 2 3 2 6 7 3" xfId="22584" xr:uid="{00000000-0005-0000-0000-000014C40000}"/>
    <cellStyle name="Remarque 4 2 3 2 6 7 4" xfId="46544" xr:uid="{00000000-0005-0000-0000-000015C40000}"/>
    <cellStyle name="Remarque 4 2 3 2 6 8" xfId="12316" xr:uid="{00000000-0005-0000-0000-000016C40000}"/>
    <cellStyle name="Remarque 4 2 3 2 6 8 2" xfId="23604" xr:uid="{00000000-0005-0000-0000-000017C40000}"/>
    <cellStyle name="Remarque 4 2 3 2 6 8 3" xfId="47564" xr:uid="{00000000-0005-0000-0000-000018C40000}"/>
    <cellStyle name="Remarque 4 2 3 2 6 9" xfId="2789" xr:uid="{00000000-0005-0000-0000-000019C40000}"/>
    <cellStyle name="Remarque 4 2 3 2 6 9 2" xfId="26803" xr:uid="{00000000-0005-0000-0000-00001AC40000}"/>
    <cellStyle name="Remarque 4 2 3 2 6 9 3" xfId="50763" xr:uid="{00000000-0005-0000-0000-00001BC40000}"/>
    <cellStyle name="Remarque 4 2 3 2 7" xfId="1522" xr:uid="{00000000-0005-0000-0000-00001CC40000}"/>
    <cellStyle name="Remarque 4 2 3 2 7 10" xfId="25554" xr:uid="{00000000-0005-0000-0000-00001DC40000}"/>
    <cellStyle name="Remarque 4 2 3 2 7 10 2" xfId="49514" xr:uid="{00000000-0005-0000-0000-00001EC40000}"/>
    <cellStyle name="Remarque 4 2 3 2 7 11" xfId="35938" xr:uid="{00000000-0005-0000-0000-00001FC40000}"/>
    <cellStyle name="Remarque 4 2 3 2 7 11 2" xfId="59898" xr:uid="{00000000-0005-0000-0000-000020C40000}"/>
    <cellStyle name="Remarque 4 2 3 2 7 12" xfId="14219" xr:uid="{00000000-0005-0000-0000-000021C40000}"/>
    <cellStyle name="Remarque 4 2 3 2 7 13" xfId="38179" xr:uid="{00000000-0005-0000-0000-000022C40000}"/>
    <cellStyle name="Remarque 4 2 3 2 7 2" xfId="4428" xr:uid="{00000000-0005-0000-0000-000023C40000}"/>
    <cellStyle name="Remarque 4 2 3 2 7 2 2" xfId="28442" xr:uid="{00000000-0005-0000-0000-000024C40000}"/>
    <cellStyle name="Remarque 4 2 3 2 7 2 2 2" xfId="52402" xr:uid="{00000000-0005-0000-0000-000025C40000}"/>
    <cellStyle name="Remarque 4 2 3 2 7 2 3" xfId="15689" xr:uid="{00000000-0005-0000-0000-000026C40000}"/>
    <cellStyle name="Remarque 4 2 3 2 7 2 4" xfId="39649" xr:uid="{00000000-0005-0000-0000-000027C40000}"/>
    <cellStyle name="Remarque 4 2 3 2 7 3" xfId="5862" xr:uid="{00000000-0005-0000-0000-000028C40000}"/>
    <cellStyle name="Remarque 4 2 3 2 7 3 2" xfId="29876" xr:uid="{00000000-0005-0000-0000-000029C40000}"/>
    <cellStyle name="Remarque 4 2 3 2 7 3 2 2" xfId="53836" xr:uid="{00000000-0005-0000-0000-00002AC40000}"/>
    <cellStyle name="Remarque 4 2 3 2 7 3 3" xfId="17123" xr:uid="{00000000-0005-0000-0000-00002BC40000}"/>
    <cellStyle name="Remarque 4 2 3 2 7 3 4" xfId="41083" xr:uid="{00000000-0005-0000-0000-00002CC40000}"/>
    <cellStyle name="Remarque 4 2 3 2 7 4" xfId="7256" xr:uid="{00000000-0005-0000-0000-00002DC40000}"/>
    <cellStyle name="Remarque 4 2 3 2 7 4 2" xfId="31270" xr:uid="{00000000-0005-0000-0000-00002EC40000}"/>
    <cellStyle name="Remarque 4 2 3 2 7 4 2 2" xfId="55230" xr:uid="{00000000-0005-0000-0000-00002FC40000}"/>
    <cellStyle name="Remarque 4 2 3 2 7 4 3" xfId="18517" xr:uid="{00000000-0005-0000-0000-000030C40000}"/>
    <cellStyle name="Remarque 4 2 3 2 7 4 4" xfId="42477" xr:uid="{00000000-0005-0000-0000-000031C40000}"/>
    <cellStyle name="Remarque 4 2 3 2 7 5" xfId="8644" xr:uid="{00000000-0005-0000-0000-000032C40000}"/>
    <cellStyle name="Remarque 4 2 3 2 7 5 2" xfId="32658" xr:uid="{00000000-0005-0000-0000-000033C40000}"/>
    <cellStyle name="Remarque 4 2 3 2 7 5 2 2" xfId="56618" xr:uid="{00000000-0005-0000-0000-000034C40000}"/>
    <cellStyle name="Remarque 4 2 3 2 7 5 3" xfId="19905" xr:uid="{00000000-0005-0000-0000-000035C40000}"/>
    <cellStyle name="Remarque 4 2 3 2 7 5 4" xfId="43865" xr:uid="{00000000-0005-0000-0000-000036C40000}"/>
    <cellStyle name="Remarque 4 2 3 2 7 6" xfId="10029" xr:uid="{00000000-0005-0000-0000-000037C40000}"/>
    <cellStyle name="Remarque 4 2 3 2 7 6 2" xfId="34043" xr:uid="{00000000-0005-0000-0000-000038C40000}"/>
    <cellStyle name="Remarque 4 2 3 2 7 6 2 2" xfId="58003" xr:uid="{00000000-0005-0000-0000-000039C40000}"/>
    <cellStyle name="Remarque 4 2 3 2 7 6 3" xfId="21290" xr:uid="{00000000-0005-0000-0000-00003AC40000}"/>
    <cellStyle name="Remarque 4 2 3 2 7 6 4" xfId="45250" xr:uid="{00000000-0005-0000-0000-00003BC40000}"/>
    <cellStyle name="Remarque 4 2 3 2 7 7" xfId="11486" xr:uid="{00000000-0005-0000-0000-00003CC40000}"/>
    <cellStyle name="Remarque 4 2 3 2 7 7 2" xfId="35496" xr:uid="{00000000-0005-0000-0000-00003DC40000}"/>
    <cellStyle name="Remarque 4 2 3 2 7 7 2 2" xfId="59456" xr:uid="{00000000-0005-0000-0000-00003EC40000}"/>
    <cellStyle name="Remarque 4 2 3 2 7 7 3" xfId="22753" xr:uid="{00000000-0005-0000-0000-00003FC40000}"/>
    <cellStyle name="Remarque 4 2 3 2 7 7 4" xfId="46713" xr:uid="{00000000-0005-0000-0000-000040C40000}"/>
    <cellStyle name="Remarque 4 2 3 2 7 8" xfId="11609" xr:uid="{00000000-0005-0000-0000-000041C40000}"/>
    <cellStyle name="Remarque 4 2 3 2 7 8 2" xfId="22876" xr:uid="{00000000-0005-0000-0000-000042C40000}"/>
    <cellStyle name="Remarque 4 2 3 2 7 8 3" xfId="46836" xr:uid="{00000000-0005-0000-0000-000043C40000}"/>
    <cellStyle name="Remarque 4 2 3 2 7 9" xfId="2958" xr:uid="{00000000-0005-0000-0000-000044C40000}"/>
    <cellStyle name="Remarque 4 2 3 2 7 9 2" xfId="26972" xr:uid="{00000000-0005-0000-0000-000045C40000}"/>
    <cellStyle name="Remarque 4 2 3 2 7 9 3" xfId="50932" xr:uid="{00000000-0005-0000-0000-000046C40000}"/>
    <cellStyle name="Remarque 4 2 3 2 8" xfId="3377" xr:uid="{00000000-0005-0000-0000-000047C40000}"/>
    <cellStyle name="Remarque 4 2 3 2 8 2" xfId="27391" xr:uid="{00000000-0005-0000-0000-000048C40000}"/>
    <cellStyle name="Remarque 4 2 3 2 8 2 2" xfId="51351" xr:uid="{00000000-0005-0000-0000-000049C40000}"/>
    <cellStyle name="Remarque 4 2 3 2 8 3" xfId="14638" xr:uid="{00000000-0005-0000-0000-00004AC40000}"/>
    <cellStyle name="Remarque 4 2 3 2 8 4" xfId="38598" xr:uid="{00000000-0005-0000-0000-00004BC40000}"/>
    <cellStyle name="Remarque 4 2 3 2 9" xfId="4811" xr:uid="{00000000-0005-0000-0000-00004CC40000}"/>
    <cellStyle name="Remarque 4 2 3 2 9 2" xfId="28825" xr:uid="{00000000-0005-0000-0000-00004DC40000}"/>
    <cellStyle name="Remarque 4 2 3 2 9 2 2" xfId="52785" xr:uid="{00000000-0005-0000-0000-00004EC40000}"/>
    <cellStyle name="Remarque 4 2 3 2 9 3" xfId="16072" xr:uid="{00000000-0005-0000-0000-00004FC40000}"/>
    <cellStyle name="Remarque 4 2 3 2 9 4" xfId="40032" xr:uid="{00000000-0005-0000-0000-000050C40000}"/>
    <cellStyle name="Remarque 4 2 3 3" xfId="279" xr:uid="{00000000-0005-0000-0000-000051C40000}"/>
    <cellStyle name="Remarque 4 2 3 3 10" xfId="24311" xr:uid="{00000000-0005-0000-0000-000052C40000}"/>
    <cellStyle name="Remarque 4 2 3 3 10 2" xfId="48271" xr:uid="{00000000-0005-0000-0000-000053C40000}"/>
    <cellStyle name="Remarque 4 2 3 3 11" xfId="36538" xr:uid="{00000000-0005-0000-0000-000054C40000}"/>
    <cellStyle name="Remarque 4 2 3 3 11 2" xfId="60498" xr:uid="{00000000-0005-0000-0000-000055C40000}"/>
    <cellStyle name="Remarque 4 2 3 3 12" xfId="12976" xr:uid="{00000000-0005-0000-0000-000056C40000}"/>
    <cellStyle name="Remarque 4 2 3 3 13" xfId="36936" xr:uid="{00000000-0005-0000-0000-000057C40000}"/>
    <cellStyle name="Remarque 4 2 3 3 2" xfId="3185" xr:uid="{00000000-0005-0000-0000-000058C40000}"/>
    <cellStyle name="Remarque 4 2 3 3 2 2" xfId="27199" xr:uid="{00000000-0005-0000-0000-000059C40000}"/>
    <cellStyle name="Remarque 4 2 3 3 2 2 2" xfId="51159" xr:uid="{00000000-0005-0000-0000-00005AC40000}"/>
    <cellStyle name="Remarque 4 2 3 3 2 3" xfId="14446" xr:uid="{00000000-0005-0000-0000-00005BC40000}"/>
    <cellStyle name="Remarque 4 2 3 3 2 4" xfId="38406" xr:uid="{00000000-0005-0000-0000-00005CC40000}"/>
    <cellStyle name="Remarque 4 2 3 3 3" xfId="4619" xr:uid="{00000000-0005-0000-0000-00005DC40000}"/>
    <cellStyle name="Remarque 4 2 3 3 3 2" xfId="28633" xr:uid="{00000000-0005-0000-0000-00005EC40000}"/>
    <cellStyle name="Remarque 4 2 3 3 3 2 2" xfId="52593" xr:uid="{00000000-0005-0000-0000-00005FC40000}"/>
    <cellStyle name="Remarque 4 2 3 3 3 3" xfId="15880" xr:uid="{00000000-0005-0000-0000-000060C40000}"/>
    <cellStyle name="Remarque 4 2 3 3 3 4" xfId="39840" xr:uid="{00000000-0005-0000-0000-000061C40000}"/>
    <cellStyle name="Remarque 4 2 3 3 4" xfId="6013" xr:uid="{00000000-0005-0000-0000-000062C40000}"/>
    <cellStyle name="Remarque 4 2 3 3 4 2" xfId="30027" xr:uid="{00000000-0005-0000-0000-000063C40000}"/>
    <cellStyle name="Remarque 4 2 3 3 4 2 2" xfId="53987" xr:uid="{00000000-0005-0000-0000-000064C40000}"/>
    <cellStyle name="Remarque 4 2 3 3 4 3" xfId="17274" xr:uid="{00000000-0005-0000-0000-000065C40000}"/>
    <cellStyle name="Remarque 4 2 3 3 4 4" xfId="41234" xr:uid="{00000000-0005-0000-0000-000066C40000}"/>
    <cellStyle name="Remarque 4 2 3 3 5" xfId="7401" xr:uid="{00000000-0005-0000-0000-000067C40000}"/>
    <cellStyle name="Remarque 4 2 3 3 5 2" xfId="31415" xr:uid="{00000000-0005-0000-0000-000068C40000}"/>
    <cellStyle name="Remarque 4 2 3 3 5 2 2" xfId="55375" xr:uid="{00000000-0005-0000-0000-000069C40000}"/>
    <cellStyle name="Remarque 4 2 3 3 5 3" xfId="18662" xr:uid="{00000000-0005-0000-0000-00006AC40000}"/>
    <cellStyle name="Remarque 4 2 3 3 5 4" xfId="42622" xr:uid="{00000000-0005-0000-0000-00006BC40000}"/>
    <cellStyle name="Remarque 4 2 3 3 6" xfId="8786" xr:uid="{00000000-0005-0000-0000-00006CC40000}"/>
    <cellStyle name="Remarque 4 2 3 3 6 2" xfId="32800" xr:uid="{00000000-0005-0000-0000-00006DC40000}"/>
    <cellStyle name="Remarque 4 2 3 3 6 2 2" xfId="56760" xr:uid="{00000000-0005-0000-0000-00006EC40000}"/>
    <cellStyle name="Remarque 4 2 3 3 6 3" xfId="20047" xr:uid="{00000000-0005-0000-0000-00006FC40000}"/>
    <cellStyle name="Remarque 4 2 3 3 6 4" xfId="44007" xr:uid="{00000000-0005-0000-0000-000070C40000}"/>
    <cellStyle name="Remarque 4 2 3 3 7" xfId="10243" xr:uid="{00000000-0005-0000-0000-000071C40000}"/>
    <cellStyle name="Remarque 4 2 3 3 7 2" xfId="34253" xr:uid="{00000000-0005-0000-0000-000072C40000}"/>
    <cellStyle name="Remarque 4 2 3 3 7 2 2" xfId="58213" xr:uid="{00000000-0005-0000-0000-000073C40000}"/>
    <cellStyle name="Remarque 4 2 3 3 7 3" xfId="21510" xr:uid="{00000000-0005-0000-0000-000074C40000}"/>
    <cellStyle name="Remarque 4 2 3 3 7 4" xfId="45470" xr:uid="{00000000-0005-0000-0000-000075C40000}"/>
    <cellStyle name="Remarque 4 2 3 3 8" xfId="12196" xr:uid="{00000000-0005-0000-0000-000076C40000}"/>
    <cellStyle name="Remarque 4 2 3 3 8 2" xfId="23479" xr:uid="{00000000-0005-0000-0000-000077C40000}"/>
    <cellStyle name="Remarque 4 2 3 3 8 3" xfId="47439" xr:uid="{00000000-0005-0000-0000-000078C40000}"/>
    <cellStyle name="Remarque 4 2 3 3 9" xfId="1715" xr:uid="{00000000-0005-0000-0000-000079C40000}"/>
    <cellStyle name="Remarque 4 2 3 3 9 2" xfId="25729" xr:uid="{00000000-0005-0000-0000-00007AC40000}"/>
    <cellStyle name="Remarque 4 2 3 3 9 3" xfId="49689" xr:uid="{00000000-0005-0000-0000-00007BC40000}"/>
    <cellStyle name="Remarque 4 2 3 4" xfId="664" xr:uid="{00000000-0005-0000-0000-00007CC40000}"/>
    <cellStyle name="Remarque 4 2 3 4 10" xfId="24696" xr:uid="{00000000-0005-0000-0000-00007DC40000}"/>
    <cellStyle name="Remarque 4 2 3 4 10 2" xfId="48656" xr:uid="{00000000-0005-0000-0000-00007EC40000}"/>
    <cellStyle name="Remarque 4 2 3 4 11" xfId="34207" xr:uid="{00000000-0005-0000-0000-00007FC40000}"/>
    <cellStyle name="Remarque 4 2 3 4 11 2" xfId="58167" xr:uid="{00000000-0005-0000-0000-000080C40000}"/>
    <cellStyle name="Remarque 4 2 3 4 12" xfId="13361" xr:uid="{00000000-0005-0000-0000-000081C40000}"/>
    <cellStyle name="Remarque 4 2 3 4 13" xfId="37321" xr:uid="{00000000-0005-0000-0000-000082C40000}"/>
    <cellStyle name="Remarque 4 2 3 4 2" xfId="3570" xr:uid="{00000000-0005-0000-0000-000083C40000}"/>
    <cellStyle name="Remarque 4 2 3 4 2 2" xfId="27584" xr:uid="{00000000-0005-0000-0000-000084C40000}"/>
    <cellStyle name="Remarque 4 2 3 4 2 2 2" xfId="51544" xr:uid="{00000000-0005-0000-0000-000085C40000}"/>
    <cellStyle name="Remarque 4 2 3 4 2 3" xfId="14831" xr:uid="{00000000-0005-0000-0000-000086C40000}"/>
    <cellStyle name="Remarque 4 2 3 4 2 4" xfId="38791" xr:uid="{00000000-0005-0000-0000-000087C40000}"/>
    <cellStyle name="Remarque 4 2 3 4 3" xfId="5004" xr:uid="{00000000-0005-0000-0000-000088C40000}"/>
    <cellStyle name="Remarque 4 2 3 4 3 2" xfId="29018" xr:uid="{00000000-0005-0000-0000-000089C40000}"/>
    <cellStyle name="Remarque 4 2 3 4 3 2 2" xfId="52978" xr:uid="{00000000-0005-0000-0000-00008AC40000}"/>
    <cellStyle name="Remarque 4 2 3 4 3 3" xfId="16265" xr:uid="{00000000-0005-0000-0000-00008BC40000}"/>
    <cellStyle name="Remarque 4 2 3 4 3 4" xfId="40225" xr:uid="{00000000-0005-0000-0000-00008CC40000}"/>
    <cellStyle name="Remarque 4 2 3 4 4" xfId="6398" xr:uid="{00000000-0005-0000-0000-00008DC40000}"/>
    <cellStyle name="Remarque 4 2 3 4 4 2" xfId="30412" xr:uid="{00000000-0005-0000-0000-00008EC40000}"/>
    <cellStyle name="Remarque 4 2 3 4 4 2 2" xfId="54372" xr:uid="{00000000-0005-0000-0000-00008FC40000}"/>
    <cellStyle name="Remarque 4 2 3 4 4 3" xfId="17659" xr:uid="{00000000-0005-0000-0000-000090C40000}"/>
    <cellStyle name="Remarque 4 2 3 4 4 4" xfId="41619" xr:uid="{00000000-0005-0000-0000-000091C40000}"/>
    <cellStyle name="Remarque 4 2 3 4 5" xfId="7786" xr:uid="{00000000-0005-0000-0000-000092C40000}"/>
    <cellStyle name="Remarque 4 2 3 4 5 2" xfId="31800" xr:uid="{00000000-0005-0000-0000-000093C40000}"/>
    <cellStyle name="Remarque 4 2 3 4 5 2 2" xfId="55760" xr:uid="{00000000-0005-0000-0000-000094C40000}"/>
    <cellStyle name="Remarque 4 2 3 4 5 3" xfId="19047" xr:uid="{00000000-0005-0000-0000-000095C40000}"/>
    <cellStyle name="Remarque 4 2 3 4 5 4" xfId="43007" xr:uid="{00000000-0005-0000-0000-000096C40000}"/>
    <cellStyle name="Remarque 4 2 3 4 6" xfId="9171" xr:uid="{00000000-0005-0000-0000-000097C40000}"/>
    <cellStyle name="Remarque 4 2 3 4 6 2" xfId="33185" xr:uid="{00000000-0005-0000-0000-000098C40000}"/>
    <cellStyle name="Remarque 4 2 3 4 6 2 2" xfId="57145" xr:uid="{00000000-0005-0000-0000-000099C40000}"/>
    <cellStyle name="Remarque 4 2 3 4 6 3" xfId="20432" xr:uid="{00000000-0005-0000-0000-00009AC40000}"/>
    <cellStyle name="Remarque 4 2 3 4 6 4" xfId="44392" xr:uid="{00000000-0005-0000-0000-00009BC40000}"/>
    <cellStyle name="Remarque 4 2 3 4 7" xfId="10628" xr:uid="{00000000-0005-0000-0000-00009CC40000}"/>
    <cellStyle name="Remarque 4 2 3 4 7 2" xfId="34638" xr:uid="{00000000-0005-0000-0000-00009DC40000}"/>
    <cellStyle name="Remarque 4 2 3 4 7 2 2" xfId="58598" xr:uid="{00000000-0005-0000-0000-00009EC40000}"/>
    <cellStyle name="Remarque 4 2 3 4 7 3" xfId="21895" xr:uid="{00000000-0005-0000-0000-00009FC40000}"/>
    <cellStyle name="Remarque 4 2 3 4 7 4" xfId="45855" xr:uid="{00000000-0005-0000-0000-0000A0C40000}"/>
    <cellStyle name="Remarque 4 2 3 4 8" xfId="11902" xr:uid="{00000000-0005-0000-0000-0000A1C40000}"/>
    <cellStyle name="Remarque 4 2 3 4 8 2" xfId="23179" xr:uid="{00000000-0005-0000-0000-0000A2C40000}"/>
    <cellStyle name="Remarque 4 2 3 4 8 3" xfId="47139" xr:uid="{00000000-0005-0000-0000-0000A3C40000}"/>
    <cellStyle name="Remarque 4 2 3 4 9" xfId="2100" xr:uid="{00000000-0005-0000-0000-0000A4C40000}"/>
    <cellStyle name="Remarque 4 2 3 4 9 2" xfId="26114" xr:uid="{00000000-0005-0000-0000-0000A5C40000}"/>
    <cellStyle name="Remarque 4 2 3 4 9 3" xfId="50074" xr:uid="{00000000-0005-0000-0000-0000A6C40000}"/>
    <cellStyle name="Remarque 4 2 3 5" xfId="858" xr:uid="{00000000-0005-0000-0000-0000A7C40000}"/>
    <cellStyle name="Remarque 4 2 3 5 10" xfId="24890" xr:uid="{00000000-0005-0000-0000-0000A8C40000}"/>
    <cellStyle name="Remarque 4 2 3 5 10 2" xfId="48850" xr:uid="{00000000-0005-0000-0000-0000A9C40000}"/>
    <cellStyle name="Remarque 4 2 3 5 11" xfId="36067" xr:uid="{00000000-0005-0000-0000-0000AAC40000}"/>
    <cellStyle name="Remarque 4 2 3 5 11 2" xfId="60027" xr:uid="{00000000-0005-0000-0000-0000ABC40000}"/>
    <cellStyle name="Remarque 4 2 3 5 12" xfId="13555" xr:uid="{00000000-0005-0000-0000-0000ACC40000}"/>
    <cellStyle name="Remarque 4 2 3 5 13" xfId="37515" xr:uid="{00000000-0005-0000-0000-0000ADC40000}"/>
    <cellStyle name="Remarque 4 2 3 5 2" xfId="3764" xr:uid="{00000000-0005-0000-0000-0000AEC40000}"/>
    <cellStyle name="Remarque 4 2 3 5 2 2" xfId="27778" xr:uid="{00000000-0005-0000-0000-0000AFC40000}"/>
    <cellStyle name="Remarque 4 2 3 5 2 2 2" xfId="51738" xr:uid="{00000000-0005-0000-0000-0000B0C40000}"/>
    <cellStyle name="Remarque 4 2 3 5 2 3" xfId="15025" xr:uid="{00000000-0005-0000-0000-0000B1C40000}"/>
    <cellStyle name="Remarque 4 2 3 5 2 4" xfId="38985" xr:uid="{00000000-0005-0000-0000-0000B2C40000}"/>
    <cellStyle name="Remarque 4 2 3 5 3" xfId="5198" xr:uid="{00000000-0005-0000-0000-0000B3C40000}"/>
    <cellStyle name="Remarque 4 2 3 5 3 2" xfId="29212" xr:uid="{00000000-0005-0000-0000-0000B4C40000}"/>
    <cellStyle name="Remarque 4 2 3 5 3 2 2" xfId="53172" xr:uid="{00000000-0005-0000-0000-0000B5C40000}"/>
    <cellStyle name="Remarque 4 2 3 5 3 3" xfId="16459" xr:uid="{00000000-0005-0000-0000-0000B6C40000}"/>
    <cellStyle name="Remarque 4 2 3 5 3 4" xfId="40419" xr:uid="{00000000-0005-0000-0000-0000B7C40000}"/>
    <cellStyle name="Remarque 4 2 3 5 4" xfId="6592" xr:uid="{00000000-0005-0000-0000-0000B8C40000}"/>
    <cellStyle name="Remarque 4 2 3 5 4 2" xfId="30606" xr:uid="{00000000-0005-0000-0000-0000B9C40000}"/>
    <cellStyle name="Remarque 4 2 3 5 4 2 2" xfId="54566" xr:uid="{00000000-0005-0000-0000-0000BAC40000}"/>
    <cellStyle name="Remarque 4 2 3 5 4 3" xfId="17853" xr:uid="{00000000-0005-0000-0000-0000BBC40000}"/>
    <cellStyle name="Remarque 4 2 3 5 4 4" xfId="41813" xr:uid="{00000000-0005-0000-0000-0000BCC40000}"/>
    <cellStyle name="Remarque 4 2 3 5 5" xfId="7980" xr:uid="{00000000-0005-0000-0000-0000BDC40000}"/>
    <cellStyle name="Remarque 4 2 3 5 5 2" xfId="31994" xr:uid="{00000000-0005-0000-0000-0000BEC40000}"/>
    <cellStyle name="Remarque 4 2 3 5 5 2 2" xfId="55954" xr:uid="{00000000-0005-0000-0000-0000BFC40000}"/>
    <cellStyle name="Remarque 4 2 3 5 5 3" xfId="19241" xr:uid="{00000000-0005-0000-0000-0000C0C40000}"/>
    <cellStyle name="Remarque 4 2 3 5 5 4" xfId="43201" xr:uid="{00000000-0005-0000-0000-0000C1C40000}"/>
    <cellStyle name="Remarque 4 2 3 5 6" xfId="9365" xr:uid="{00000000-0005-0000-0000-0000C2C40000}"/>
    <cellStyle name="Remarque 4 2 3 5 6 2" xfId="33379" xr:uid="{00000000-0005-0000-0000-0000C3C40000}"/>
    <cellStyle name="Remarque 4 2 3 5 6 2 2" xfId="57339" xr:uid="{00000000-0005-0000-0000-0000C4C40000}"/>
    <cellStyle name="Remarque 4 2 3 5 6 3" xfId="20626" xr:uid="{00000000-0005-0000-0000-0000C5C40000}"/>
    <cellStyle name="Remarque 4 2 3 5 6 4" xfId="44586" xr:uid="{00000000-0005-0000-0000-0000C6C40000}"/>
    <cellStyle name="Remarque 4 2 3 5 7" xfId="10822" xr:uid="{00000000-0005-0000-0000-0000C7C40000}"/>
    <cellStyle name="Remarque 4 2 3 5 7 2" xfId="34832" xr:uid="{00000000-0005-0000-0000-0000C8C40000}"/>
    <cellStyle name="Remarque 4 2 3 5 7 2 2" xfId="58792" xr:uid="{00000000-0005-0000-0000-0000C9C40000}"/>
    <cellStyle name="Remarque 4 2 3 5 7 3" xfId="22089" xr:uid="{00000000-0005-0000-0000-0000CAC40000}"/>
    <cellStyle name="Remarque 4 2 3 5 7 4" xfId="46049" xr:uid="{00000000-0005-0000-0000-0000CBC40000}"/>
    <cellStyle name="Remarque 4 2 3 5 8" xfId="11779" xr:uid="{00000000-0005-0000-0000-0000CCC40000}"/>
    <cellStyle name="Remarque 4 2 3 5 8 2" xfId="23053" xr:uid="{00000000-0005-0000-0000-0000CDC40000}"/>
    <cellStyle name="Remarque 4 2 3 5 8 3" xfId="47013" xr:uid="{00000000-0005-0000-0000-0000CEC40000}"/>
    <cellStyle name="Remarque 4 2 3 5 9" xfId="2294" xr:uid="{00000000-0005-0000-0000-0000CFC40000}"/>
    <cellStyle name="Remarque 4 2 3 5 9 2" xfId="26308" xr:uid="{00000000-0005-0000-0000-0000D0C40000}"/>
    <cellStyle name="Remarque 4 2 3 5 9 3" xfId="50268" xr:uid="{00000000-0005-0000-0000-0000D1C40000}"/>
    <cellStyle name="Remarque 4 2 3 6" xfId="1051" xr:uid="{00000000-0005-0000-0000-0000D2C40000}"/>
    <cellStyle name="Remarque 4 2 3 6 10" xfId="25083" xr:uid="{00000000-0005-0000-0000-0000D3C40000}"/>
    <cellStyle name="Remarque 4 2 3 6 10 2" xfId="49043" xr:uid="{00000000-0005-0000-0000-0000D4C40000}"/>
    <cellStyle name="Remarque 4 2 3 6 11" xfId="36725" xr:uid="{00000000-0005-0000-0000-0000D5C40000}"/>
    <cellStyle name="Remarque 4 2 3 6 11 2" xfId="60685" xr:uid="{00000000-0005-0000-0000-0000D6C40000}"/>
    <cellStyle name="Remarque 4 2 3 6 12" xfId="13748" xr:uid="{00000000-0005-0000-0000-0000D7C40000}"/>
    <cellStyle name="Remarque 4 2 3 6 13" xfId="37708" xr:uid="{00000000-0005-0000-0000-0000D8C40000}"/>
    <cellStyle name="Remarque 4 2 3 6 2" xfId="3957" xr:uid="{00000000-0005-0000-0000-0000D9C40000}"/>
    <cellStyle name="Remarque 4 2 3 6 2 2" xfId="27971" xr:uid="{00000000-0005-0000-0000-0000DAC40000}"/>
    <cellStyle name="Remarque 4 2 3 6 2 2 2" xfId="51931" xr:uid="{00000000-0005-0000-0000-0000DBC40000}"/>
    <cellStyle name="Remarque 4 2 3 6 2 3" xfId="15218" xr:uid="{00000000-0005-0000-0000-0000DCC40000}"/>
    <cellStyle name="Remarque 4 2 3 6 2 4" xfId="39178" xr:uid="{00000000-0005-0000-0000-0000DDC40000}"/>
    <cellStyle name="Remarque 4 2 3 6 3" xfId="5391" xr:uid="{00000000-0005-0000-0000-0000DEC40000}"/>
    <cellStyle name="Remarque 4 2 3 6 3 2" xfId="29405" xr:uid="{00000000-0005-0000-0000-0000DFC40000}"/>
    <cellStyle name="Remarque 4 2 3 6 3 2 2" xfId="53365" xr:uid="{00000000-0005-0000-0000-0000E0C40000}"/>
    <cellStyle name="Remarque 4 2 3 6 3 3" xfId="16652" xr:uid="{00000000-0005-0000-0000-0000E1C40000}"/>
    <cellStyle name="Remarque 4 2 3 6 3 4" xfId="40612" xr:uid="{00000000-0005-0000-0000-0000E2C40000}"/>
    <cellStyle name="Remarque 4 2 3 6 4" xfId="6785" xr:uid="{00000000-0005-0000-0000-0000E3C40000}"/>
    <cellStyle name="Remarque 4 2 3 6 4 2" xfId="30799" xr:uid="{00000000-0005-0000-0000-0000E4C40000}"/>
    <cellStyle name="Remarque 4 2 3 6 4 2 2" xfId="54759" xr:uid="{00000000-0005-0000-0000-0000E5C40000}"/>
    <cellStyle name="Remarque 4 2 3 6 4 3" xfId="18046" xr:uid="{00000000-0005-0000-0000-0000E6C40000}"/>
    <cellStyle name="Remarque 4 2 3 6 4 4" xfId="42006" xr:uid="{00000000-0005-0000-0000-0000E7C40000}"/>
    <cellStyle name="Remarque 4 2 3 6 5" xfId="8173" xr:uid="{00000000-0005-0000-0000-0000E8C40000}"/>
    <cellStyle name="Remarque 4 2 3 6 5 2" xfId="32187" xr:uid="{00000000-0005-0000-0000-0000E9C40000}"/>
    <cellStyle name="Remarque 4 2 3 6 5 2 2" xfId="56147" xr:uid="{00000000-0005-0000-0000-0000EAC40000}"/>
    <cellStyle name="Remarque 4 2 3 6 5 3" xfId="19434" xr:uid="{00000000-0005-0000-0000-0000EBC40000}"/>
    <cellStyle name="Remarque 4 2 3 6 5 4" xfId="43394" xr:uid="{00000000-0005-0000-0000-0000ECC40000}"/>
    <cellStyle name="Remarque 4 2 3 6 6" xfId="9558" xr:uid="{00000000-0005-0000-0000-0000EDC40000}"/>
    <cellStyle name="Remarque 4 2 3 6 6 2" xfId="33572" xr:uid="{00000000-0005-0000-0000-0000EEC40000}"/>
    <cellStyle name="Remarque 4 2 3 6 6 2 2" xfId="57532" xr:uid="{00000000-0005-0000-0000-0000EFC40000}"/>
    <cellStyle name="Remarque 4 2 3 6 6 3" xfId="20819" xr:uid="{00000000-0005-0000-0000-0000F0C40000}"/>
    <cellStyle name="Remarque 4 2 3 6 6 4" xfId="44779" xr:uid="{00000000-0005-0000-0000-0000F1C40000}"/>
    <cellStyle name="Remarque 4 2 3 6 7" xfId="11015" xr:uid="{00000000-0005-0000-0000-0000F2C40000}"/>
    <cellStyle name="Remarque 4 2 3 6 7 2" xfId="35025" xr:uid="{00000000-0005-0000-0000-0000F3C40000}"/>
    <cellStyle name="Remarque 4 2 3 6 7 2 2" xfId="58985" xr:uid="{00000000-0005-0000-0000-0000F4C40000}"/>
    <cellStyle name="Remarque 4 2 3 6 7 3" xfId="22282" xr:uid="{00000000-0005-0000-0000-0000F5C40000}"/>
    <cellStyle name="Remarque 4 2 3 6 7 4" xfId="46242" xr:uid="{00000000-0005-0000-0000-0000F6C40000}"/>
    <cellStyle name="Remarque 4 2 3 6 8" xfId="12235" xr:uid="{00000000-0005-0000-0000-0000F7C40000}"/>
    <cellStyle name="Remarque 4 2 3 6 8 2" xfId="23519" xr:uid="{00000000-0005-0000-0000-0000F8C40000}"/>
    <cellStyle name="Remarque 4 2 3 6 8 3" xfId="47479" xr:uid="{00000000-0005-0000-0000-0000F9C40000}"/>
    <cellStyle name="Remarque 4 2 3 6 9" xfId="2487" xr:uid="{00000000-0005-0000-0000-0000FAC40000}"/>
    <cellStyle name="Remarque 4 2 3 6 9 2" xfId="26501" xr:uid="{00000000-0005-0000-0000-0000FBC40000}"/>
    <cellStyle name="Remarque 4 2 3 6 9 3" xfId="50461" xr:uid="{00000000-0005-0000-0000-0000FCC40000}"/>
    <cellStyle name="Remarque 4 2 3 7" xfId="1387" xr:uid="{00000000-0005-0000-0000-0000FDC40000}"/>
    <cellStyle name="Remarque 4 2 3 7 10" xfId="25419" xr:uid="{00000000-0005-0000-0000-0000FEC40000}"/>
    <cellStyle name="Remarque 4 2 3 7 10 2" xfId="49379" xr:uid="{00000000-0005-0000-0000-0000FFC40000}"/>
    <cellStyle name="Remarque 4 2 3 7 11" xfId="35742" xr:uid="{00000000-0005-0000-0000-000000C50000}"/>
    <cellStyle name="Remarque 4 2 3 7 11 2" xfId="59702" xr:uid="{00000000-0005-0000-0000-000001C50000}"/>
    <cellStyle name="Remarque 4 2 3 7 12" xfId="14084" xr:uid="{00000000-0005-0000-0000-000002C50000}"/>
    <cellStyle name="Remarque 4 2 3 7 13" xfId="38044" xr:uid="{00000000-0005-0000-0000-000003C50000}"/>
    <cellStyle name="Remarque 4 2 3 7 2" xfId="4293" xr:uid="{00000000-0005-0000-0000-000004C50000}"/>
    <cellStyle name="Remarque 4 2 3 7 2 2" xfId="28307" xr:uid="{00000000-0005-0000-0000-000005C50000}"/>
    <cellStyle name="Remarque 4 2 3 7 2 2 2" xfId="52267" xr:uid="{00000000-0005-0000-0000-000006C50000}"/>
    <cellStyle name="Remarque 4 2 3 7 2 3" xfId="15554" xr:uid="{00000000-0005-0000-0000-000007C50000}"/>
    <cellStyle name="Remarque 4 2 3 7 2 4" xfId="39514" xr:uid="{00000000-0005-0000-0000-000008C50000}"/>
    <cellStyle name="Remarque 4 2 3 7 3" xfId="5727" xr:uid="{00000000-0005-0000-0000-000009C50000}"/>
    <cellStyle name="Remarque 4 2 3 7 3 2" xfId="29741" xr:uid="{00000000-0005-0000-0000-00000AC50000}"/>
    <cellStyle name="Remarque 4 2 3 7 3 2 2" xfId="53701" xr:uid="{00000000-0005-0000-0000-00000BC50000}"/>
    <cellStyle name="Remarque 4 2 3 7 3 3" xfId="16988" xr:uid="{00000000-0005-0000-0000-00000CC50000}"/>
    <cellStyle name="Remarque 4 2 3 7 3 4" xfId="40948" xr:uid="{00000000-0005-0000-0000-00000DC50000}"/>
    <cellStyle name="Remarque 4 2 3 7 4" xfId="7121" xr:uid="{00000000-0005-0000-0000-00000EC50000}"/>
    <cellStyle name="Remarque 4 2 3 7 4 2" xfId="31135" xr:uid="{00000000-0005-0000-0000-00000FC50000}"/>
    <cellStyle name="Remarque 4 2 3 7 4 2 2" xfId="55095" xr:uid="{00000000-0005-0000-0000-000010C50000}"/>
    <cellStyle name="Remarque 4 2 3 7 4 3" xfId="18382" xr:uid="{00000000-0005-0000-0000-000011C50000}"/>
    <cellStyle name="Remarque 4 2 3 7 4 4" xfId="42342" xr:uid="{00000000-0005-0000-0000-000012C50000}"/>
    <cellStyle name="Remarque 4 2 3 7 5" xfId="8509" xr:uid="{00000000-0005-0000-0000-000013C50000}"/>
    <cellStyle name="Remarque 4 2 3 7 5 2" xfId="32523" xr:uid="{00000000-0005-0000-0000-000014C50000}"/>
    <cellStyle name="Remarque 4 2 3 7 5 2 2" xfId="56483" xr:uid="{00000000-0005-0000-0000-000015C50000}"/>
    <cellStyle name="Remarque 4 2 3 7 5 3" xfId="19770" xr:uid="{00000000-0005-0000-0000-000016C50000}"/>
    <cellStyle name="Remarque 4 2 3 7 5 4" xfId="43730" xr:uid="{00000000-0005-0000-0000-000017C50000}"/>
    <cellStyle name="Remarque 4 2 3 7 6" xfId="9894" xr:uid="{00000000-0005-0000-0000-000018C50000}"/>
    <cellStyle name="Remarque 4 2 3 7 6 2" xfId="33908" xr:uid="{00000000-0005-0000-0000-000019C50000}"/>
    <cellStyle name="Remarque 4 2 3 7 6 2 2" xfId="57868" xr:uid="{00000000-0005-0000-0000-00001AC50000}"/>
    <cellStyle name="Remarque 4 2 3 7 6 3" xfId="21155" xr:uid="{00000000-0005-0000-0000-00001BC50000}"/>
    <cellStyle name="Remarque 4 2 3 7 6 4" xfId="45115" xr:uid="{00000000-0005-0000-0000-00001CC50000}"/>
    <cellStyle name="Remarque 4 2 3 7 7" xfId="11351" xr:uid="{00000000-0005-0000-0000-00001DC50000}"/>
    <cellStyle name="Remarque 4 2 3 7 7 2" xfId="35361" xr:uid="{00000000-0005-0000-0000-00001EC50000}"/>
    <cellStyle name="Remarque 4 2 3 7 7 2 2" xfId="59321" xr:uid="{00000000-0005-0000-0000-00001FC50000}"/>
    <cellStyle name="Remarque 4 2 3 7 7 3" xfId="22618" xr:uid="{00000000-0005-0000-0000-000020C50000}"/>
    <cellStyle name="Remarque 4 2 3 7 7 4" xfId="46578" xr:uid="{00000000-0005-0000-0000-000021C50000}"/>
    <cellStyle name="Remarque 4 2 3 7 8" xfId="12261" xr:uid="{00000000-0005-0000-0000-000022C50000}"/>
    <cellStyle name="Remarque 4 2 3 7 8 2" xfId="23546" xr:uid="{00000000-0005-0000-0000-000023C50000}"/>
    <cellStyle name="Remarque 4 2 3 7 8 3" xfId="47506" xr:uid="{00000000-0005-0000-0000-000024C50000}"/>
    <cellStyle name="Remarque 4 2 3 7 9" xfId="2823" xr:uid="{00000000-0005-0000-0000-000025C50000}"/>
    <cellStyle name="Remarque 4 2 3 7 9 2" xfId="26837" xr:uid="{00000000-0005-0000-0000-000026C50000}"/>
    <cellStyle name="Remarque 4 2 3 7 9 3" xfId="50797" xr:uid="{00000000-0005-0000-0000-000027C50000}"/>
    <cellStyle name="Remarque 4 2 3 8" xfId="3143" xr:uid="{00000000-0005-0000-0000-000028C50000}"/>
    <cellStyle name="Remarque 4 2 3 8 2" xfId="27157" xr:uid="{00000000-0005-0000-0000-000029C50000}"/>
    <cellStyle name="Remarque 4 2 3 8 2 2" xfId="51117" xr:uid="{00000000-0005-0000-0000-00002AC50000}"/>
    <cellStyle name="Remarque 4 2 3 8 3" xfId="14404" xr:uid="{00000000-0005-0000-0000-00002BC50000}"/>
    <cellStyle name="Remarque 4 2 3 8 4" xfId="38364" xr:uid="{00000000-0005-0000-0000-00002CC50000}"/>
    <cellStyle name="Remarque 4 2 3 9" xfId="1673" xr:uid="{00000000-0005-0000-0000-00002DC50000}"/>
    <cellStyle name="Remarque 4 2 3 9 2" xfId="25687" xr:uid="{00000000-0005-0000-0000-00002EC50000}"/>
    <cellStyle name="Remarque 4 2 3 9 3" xfId="49647" xr:uid="{00000000-0005-0000-0000-00002FC50000}"/>
    <cellStyle name="Remarque 4 2 4" xfId="133" xr:uid="{00000000-0005-0000-0000-000030C50000}"/>
    <cellStyle name="Remarque 4 2 4 10" xfId="6129" xr:uid="{00000000-0005-0000-0000-000031C50000}"/>
    <cellStyle name="Remarque 4 2 4 10 2" xfId="30143" xr:uid="{00000000-0005-0000-0000-000032C50000}"/>
    <cellStyle name="Remarque 4 2 4 10 2 2" xfId="54103" xr:uid="{00000000-0005-0000-0000-000033C50000}"/>
    <cellStyle name="Remarque 4 2 4 10 3" xfId="17390" xr:uid="{00000000-0005-0000-0000-000034C50000}"/>
    <cellStyle name="Remarque 4 2 4 10 4" xfId="41350" xr:uid="{00000000-0005-0000-0000-000035C50000}"/>
    <cellStyle name="Remarque 4 2 4 11" xfId="7517" xr:uid="{00000000-0005-0000-0000-000036C50000}"/>
    <cellStyle name="Remarque 4 2 4 11 2" xfId="31531" xr:uid="{00000000-0005-0000-0000-000037C50000}"/>
    <cellStyle name="Remarque 4 2 4 11 2 2" xfId="55491" xr:uid="{00000000-0005-0000-0000-000038C50000}"/>
    <cellStyle name="Remarque 4 2 4 11 3" xfId="18778" xr:uid="{00000000-0005-0000-0000-000039C50000}"/>
    <cellStyle name="Remarque 4 2 4 11 4" xfId="42738" xr:uid="{00000000-0005-0000-0000-00003AC50000}"/>
    <cellStyle name="Remarque 4 2 4 12" xfId="8902" xr:uid="{00000000-0005-0000-0000-00003BC50000}"/>
    <cellStyle name="Remarque 4 2 4 12 2" xfId="32916" xr:uid="{00000000-0005-0000-0000-00003CC50000}"/>
    <cellStyle name="Remarque 4 2 4 12 2 2" xfId="56876" xr:uid="{00000000-0005-0000-0000-00003DC50000}"/>
    <cellStyle name="Remarque 4 2 4 12 3" xfId="20163" xr:uid="{00000000-0005-0000-0000-00003EC50000}"/>
    <cellStyle name="Remarque 4 2 4 12 4" xfId="44123" xr:uid="{00000000-0005-0000-0000-00003FC50000}"/>
    <cellStyle name="Remarque 4 2 4 13" xfId="10359" xr:uid="{00000000-0005-0000-0000-000040C50000}"/>
    <cellStyle name="Remarque 4 2 4 13 2" xfId="34369" xr:uid="{00000000-0005-0000-0000-000041C50000}"/>
    <cellStyle name="Remarque 4 2 4 13 2 2" xfId="58329" xr:uid="{00000000-0005-0000-0000-000042C50000}"/>
    <cellStyle name="Remarque 4 2 4 13 3" xfId="21626" xr:uid="{00000000-0005-0000-0000-000043C50000}"/>
    <cellStyle name="Remarque 4 2 4 13 4" xfId="45586" xr:uid="{00000000-0005-0000-0000-000044C50000}"/>
    <cellStyle name="Remarque 4 2 4 14" xfId="12177" xr:uid="{00000000-0005-0000-0000-000045C50000}"/>
    <cellStyle name="Remarque 4 2 4 14 2" xfId="23460" xr:uid="{00000000-0005-0000-0000-000046C50000}"/>
    <cellStyle name="Remarque 4 2 4 14 3" xfId="47420" xr:uid="{00000000-0005-0000-0000-000047C50000}"/>
    <cellStyle name="Remarque 4 2 4 15" xfId="1831" xr:uid="{00000000-0005-0000-0000-000048C50000}"/>
    <cellStyle name="Remarque 4 2 4 15 2" xfId="25845" xr:uid="{00000000-0005-0000-0000-000049C50000}"/>
    <cellStyle name="Remarque 4 2 4 15 3" xfId="49805" xr:uid="{00000000-0005-0000-0000-00004AC50000}"/>
    <cellStyle name="Remarque 4 2 4 16" xfId="24427" xr:uid="{00000000-0005-0000-0000-00004BC50000}"/>
    <cellStyle name="Remarque 4 2 4 16 2" xfId="48387" xr:uid="{00000000-0005-0000-0000-00004CC50000}"/>
    <cellStyle name="Remarque 4 2 4 17" xfId="35878" xr:uid="{00000000-0005-0000-0000-00004DC50000}"/>
    <cellStyle name="Remarque 4 2 4 17 2" xfId="59838" xr:uid="{00000000-0005-0000-0000-00004EC50000}"/>
    <cellStyle name="Remarque 4 2 4 18" xfId="13092" xr:uid="{00000000-0005-0000-0000-00004FC50000}"/>
    <cellStyle name="Remarque 4 2 4 19" xfId="37052" xr:uid="{00000000-0005-0000-0000-000050C50000}"/>
    <cellStyle name="Remarque 4 2 4 2" xfId="531" xr:uid="{00000000-0005-0000-0000-000051C50000}"/>
    <cellStyle name="Remarque 4 2 4 2 10" xfId="24563" xr:uid="{00000000-0005-0000-0000-000052C50000}"/>
    <cellStyle name="Remarque 4 2 4 2 10 2" xfId="48523" xr:uid="{00000000-0005-0000-0000-000053C50000}"/>
    <cellStyle name="Remarque 4 2 4 2 11" xfId="36279" xr:uid="{00000000-0005-0000-0000-000054C50000}"/>
    <cellStyle name="Remarque 4 2 4 2 11 2" xfId="60239" xr:uid="{00000000-0005-0000-0000-000055C50000}"/>
    <cellStyle name="Remarque 4 2 4 2 12" xfId="13228" xr:uid="{00000000-0005-0000-0000-000056C50000}"/>
    <cellStyle name="Remarque 4 2 4 2 13" xfId="37188" xr:uid="{00000000-0005-0000-0000-000057C50000}"/>
    <cellStyle name="Remarque 4 2 4 2 2" xfId="3437" xr:uid="{00000000-0005-0000-0000-000058C50000}"/>
    <cellStyle name="Remarque 4 2 4 2 2 2" xfId="27451" xr:uid="{00000000-0005-0000-0000-000059C50000}"/>
    <cellStyle name="Remarque 4 2 4 2 2 2 2" xfId="51411" xr:uid="{00000000-0005-0000-0000-00005AC50000}"/>
    <cellStyle name="Remarque 4 2 4 2 2 3" xfId="14698" xr:uid="{00000000-0005-0000-0000-00005BC50000}"/>
    <cellStyle name="Remarque 4 2 4 2 2 4" xfId="38658" xr:uid="{00000000-0005-0000-0000-00005CC50000}"/>
    <cellStyle name="Remarque 4 2 4 2 3" xfId="4871" xr:uid="{00000000-0005-0000-0000-00005DC50000}"/>
    <cellStyle name="Remarque 4 2 4 2 3 2" xfId="28885" xr:uid="{00000000-0005-0000-0000-00005EC50000}"/>
    <cellStyle name="Remarque 4 2 4 2 3 2 2" xfId="52845" xr:uid="{00000000-0005-0000-0000-00005FC50000}"/>
    <cellStyle name="Remarque 4 2 4 2 3 3" xfId="16132" xr:uid="{00000000-0005-0000-0000-000060C50000}"/>
    <cellStyle name="Remarque 4 2 4 2 3 4" xfId="40092" xr:uid="{00000000-0005-0000-0000-000061C50000}"/>
    <cellStyle name="Remarque 4 2 4 2 4" xfId="6265" xr:uid="{00000000-0005-0000-0000-000062C50000}"/>
    <cellStyle name="Remarque 4 2 4 2 4 2" xfId="30279" xr:uid="{00000000-0005-0000-0000-000063C50000}"/>
    <cellStyle name="Remarque 4 2 4 2 4 2 2" xfId="54239" xr:uid="{00000000-0005-0000-0000-000064C50000}"/>
    <cellStyle name="Remarque 4 2 4 2 4 3" xfId="17526" xr:uid="{00000000-0005-0000-0000-000065C50000}"/>
    <cellStyle name="Remarque 4 2 4 2 4 4" xfId="41486" xr:uid="{00000000-0005-0000-0000-000066C50000}"/>
    <cellStyle name="Remarque 4 2 4 2 5" xfId="7653" xr:uid="{00000000-0005-0000-0000-000067C50000}"/>
    <cellStyle name="Remarque 4 2 4 2 5 2" xfId="31667" xr:uid="{00000000-0005-0000-0000-000068C50000}"/>
    <cellStyle name="Remarque 4 2 4 2 5 2 2" xfId="55627" xr:uid="{00000000-0005-0000-0000-000069C50000}"/>
    <cellStyle name="Remarque 4 2 4 2 5 3" xfId="18914" xr:uid="{00000000-0005-0000-0000-00006AC50000}"/>
    <cellStyle name="Remarque 4 2 4 2 5 4" xfId="42874" xr:uid="{00000000-0005-0000-0000-00006BC50000}"/>
    <cellStyle name="Remarque 4 2 4 2 6" xfId="9038" xr:uid="{00000000-0005-0000-0000-00006CC50000}"/>
    <cellStyle name="Remarque 4 2 4 2 6 2" xfId="33052" xr:uid="{00000000-0005-0000-0000-00006DC50000}"/>
    <cellStyle name="Remarque 4 2 4 2 6 2 2" xfId="57012" xr:uid="{00000000-0005-0000-0000-00006EC50000}"/>
    <cellStyle name="Remarque 4 2 4 2 6 3" xfId="20299" xr:uid="{00000000-0005-0000-0000-00006FC50000}"/>
    <cellStyle name="Remarque 4 2 4 2 6 4" xfId="44259" xr:uid="{00000000-0005-0000-0000-000070C50000}"/>
    <cellStyle name="Remarque 4 2 4 2 7" xfId="10495" xr:uid="{00000000-0005-0000-0000-000071C50000}"/>
    <cellStyle name="Remarque 4 2 4 2 7 2" xfId="34505" xr:uid="{00000000-0005-0000-0000-000072C50000}"/>
    <cellStyle name="Remarque 4 2 4 2 7 2 2" xfId="58465" xr:uid="{00000000-0005-0000-0000-000073C50000}"/>
    <cellStyle name="Remarque 4 2 4 2 7 3" xfId="21762" xr:uid="{00000000-0005-0000-0000-000074C50000}"/>
    <cellStyle name="Remarque 4 2 4 2 7 4" xfId="45722" xr:uid="{00000000-0005-0000-0000-000075C50000}"/>
    <cellStyle name="Remarque 4 2 4 2 8" xfId="11607" xr:uid="{00000000-0005-0000-0000-000076C50000}"/>
    <cellStyle name="Remarque 4 2 4 2 8 2" xfId="22874" xr:uid="{00000000-0005-0000-0000-000077C50000}"/>
    <cellStyle name="Remarque 4 2 4 2 8 3" xfId="46834" xr:uid="{00000000-0005-0000-0000-000078C50000}"/>
    <cellStyle name="Remarque 4 2 4 2 9" xfId="1967" xr:uid="{00000000-0005-0000-0000-000079C50000}"/>
    <cellStyle name="Remarque 4 2 4 2 9 2" xfId="25981" xr:uid="{00000000-0005-0000-0000-00007AC50000}"/>
    <cellStyle name="Remarque 4 2 4 2 9 3" xfId="49941" xr:uid="{00000000-0005-0000-0000-00007BC50000}"/>
    <cellStyle name="Remarque 4 2 4 20" xfId="395" xr:uid="{00000000-0005-0000-0000-00007CC50000}"/>
    <cellStyle name="Remarque 4 2 4 3" xfId="723" xr:uid="{00000000-0005-0000-0000-00007DC50000}"/>
    <cellStyle name="Remarque 4 2 4 3 10" xfId="24755" xr:uid="{00000000-0005-0000-0000-00007EC50000}"/>
    <cellStyle name="Remarque 4 2 4 3 10 2" xfId="48715" xr:uid="{00000000-0005-0000-0000-00007FC50000}"/>
    <cellStyle name="Remarque 4 2 4 3 11" xfId="36232" xr:uid="{00000000-0005-0000-0000-000080C50000}"/>
    <cellStyle name="Remarque 4 2 4 3 11 2" xfId="60192" xr:uid="{00000000-0005-0000-0000-000081C50000}"/>
    <cellStyle name="Remarque 4 2 4 3 12" xfId="13420" xr:uid="{00000000-0005-0000-0000-000082C50000}"/>
    <cellStyle name="Remarque 4 2 4 3 13" xfId="37380" xr:uid="{00000000-0005-0000-0000-000083C50000}"/>
    <cellStyle name="Remarque 4 2 4 3 2" xfId="3629" xr:uid="{00000000-0005-0000-0000-000084C50000}"/>
    <cellStyle name="Remarque 4 2 4 3 2 2" xfId="27643" xr:uid="{00000000-0005-0000-0000-000085C50000}"/>
    <cellStyle name="Remarque 4 2 4 3 2 2 2" xfId="51603" xr:uid="{00000000-0005-0000-0000-000086C50000}"/>
    <cellStyle name="Remarque 4 2 4 3 2 3" xfId="14890" xr:uid="{00000000-0005-0000-0000-000087C50000}"/>
    <cellStyle name="Remarque 4 2 4 3 2 4" xfId="38850" xr:uid="{00000000-0005-0000-0000-000088C50000}"/>
    <cellStyle name="Remarque 4 2 4 3 3" xfId="5063" xr:uid="{00000000-0005-0000-0000-000089C50000}"/>
    <cellStyle name="Remarque 4 2 4 3 3 2" xfId="29077" xr:uid="{00000000-0005-0000-0000-00008AC50000}"/>
    <cellStyle name="Remarque 4 2 4 3 3 2 2" xfId="53037" xr:uid="{00000000-0005-0000-0000-00008BC50000}"/>
    <cellStyle name="Remarque 4 2 4 3 3 3" xfId="16324" xr:uid="{00000000-0005-0000-0000-00008CC50000}"/>
    <cellStyle name="Remarque 4 2 4 3 3 4" xfId="40284" xr:uid="{00000000-0005-0000-0000-00008DC50000}"/>
    <cellStyle name="Remarque 4 2 4 3 4" xfId="6457" xr:uid="{00000000-0005-0000-0000-00008EC50000}"/>
    <cellStyle name="Remarque 4 2 4 3 4 2" xfId="30471" xr:uid="{00000000-0005-0000-0000-00008FC50000}"/>
    <cellStyle name="Remarque 4 2 4 3 4 2 2" xfId="54431" xr:uid="{00000000-0005-0000-0000-000090C50000}"/>
    <cellStyle name="Remarque 4 2 4 3 4 3" xfId="17718" xr:uid="{00000000-0005-0000-0000-000091C50000}"/>
    <cellStyle name="Remarque 4 2 4 3 4 4" xfId="41678" xr:uid="{00000000-0005-0000-0000-000092C50000}"/>
    <cellStyle name="Remarque 4 2 4 3 5" xfId="7845" xr:uid="{00000000-0005-0000-0000-000093C50000}"/>
    <cellStyle name="Remarque 4 2 4 3 5 2" xfId="31859" xr:uid="{00000000-0005-0000-0000-000094C50000}"/>
    <cellStyle name="Remarque 4 2 4 3 5 2 2" xfId="55819" xr:uid="{00000000-0005-0000-0000-000095C50000}"/>
    <cellStyle name="Remarque 4 2 4 3 5 3" xfId="19106" xr:uid="{00000000-0005-0000-0000-000096C50000}"/>
    <cellStyle name="Remarque 4 2 4 3 5 4" xfId="43066" xr:uid="{00000000-0005-0000-0000-000097C50000}"/>
    <cellStyle name="Remarque 4 2 4 3 6" xfId="9230" xr:uid="{00000000-0005-0000-0000-000098C50000}"/>
    <cellStyle name="Remarque 4 2 4 3 6 2" xfId="33244" xr:uid="{00000000-0005-0000-0000-000099C50000}"/>
    <cellStyle name="Remarque 4 2 4 3 6 2 2" xfId="57204" xr:uid="{00000000-0005-0000-0000-00009AC50000}"/>
    <cellStyle name="Remarque 4 2 4 3 6 3" xfId="20491" xr:uid="{00000000-0005-0000-0000-00009BC50000}"/>
    <cellStyle name="Remarque 4 2 4 3 6 4" xfId="44451" xr:uid="{00000000-0005-0000-0000-00009CC50000}"/>
    <cellStyle name="Remarque 4 2 4 3 7" xfId="10687" xr:uid="{00000000-0005-0000-0000-00009DC50000}"/>
    <cellStyle name="Remarque 4 2 4 3 7 2" xfId="34697" xr:uid="{00000000-0005-0000-0000-00009EC50000}"/>
    <cellStyle name="Remarque 4 2 4 3 7 2 2" xfId="58657" xr:uid="{00000000-0005-0000-0000-00009FC50000}"/>
    <cellStyle name="Remarque 4 2 4 3 7 3" xfId="21954" xr:uid="{00000000-0005-0000-0000-0000A0C50000}"/>
    <cellStyle name="Remarque 4 2 4 3 7 4" xfId="45914" xr:uid="{00000000-0005-0000-0000-0000A1C50000}"/>
    <cellStyle name="Remarque 4 2 4 3 8" xfId="12211" xr:uid="{00000000-0005-0000-0000-0000A2C50000}"/>
    <cellStyle name="Remarque 4 2 4 3 8 2" xfId="23495" xr:uid="{00000000-0005-0000-0000-0000A3C50000}"/>
    <cellStyle name="Remarque 4 2 4 3 8 3" xfId="47455" xr:uid="{00000000-0005-0000-0000-0000A4C50000}"/>
    <cellStyle name="Remarque 4 2 4 3 9" xfId="2159" xr:uid="{00000000-0005-0000-0000-0000A5C50000}"/>
    <cellStyle name="Remarque 4 2 4 3 9 2" xfId="26173" xr:uid="{00000000-0005-0000-0000-0000A6C50000}"/>
    <cellStyle name="Remarque 4 2 4 3 9 3" xfId="50133" xr:uid="{00000000-0005-0000-0000-0000A7C50000}"/>
    <cellStyle name="Remarque 4 2 4 4" xfId="917" xr:uid="{00000000-0005-0000-0000-0000A8C50000}"/>
    <cellStyle name="Remarque 4 2 4 4 10" xfId="24949" xr:uid="{00000000-0005-0000-0000-0000A9C50000}"/>
    <cellStyle name="Remarque 4 2 4 4 10 2" xfId="48909" xr:uid="{00000000-0005-0000-0000-0000AAC50000}"/>
    <cellStyle name="Remarque 4 2 4 4 11" xfId="36468" xr:uid="{00000000-0005-0000-0000-0000ABC50000}"/>
    <cellStyle name="Remarque 4 2 4 4 11 2" xfId="60428" xr:uid="{00000000-0005-0000-0000-0000ACC50000}"/>
    <cellStyle name="Remarque 4 2 4 4 12" xfId="13614" xr:uid="{00000000-0005-0000-0000-0000ADC50000}"/>
    <cellStyle name="Remarque 4 2 4 4 13" xfId="37574" xr:uid="{00000000-0005-0000-0000-0000AEC50000}"/>
    <cellStyle name="Remarque 4 2 4 4 2" xfId="3823" xr:uid="{00000000-0005-0000-0000-0000AFC50000}"/>
    <cellStyle name="Remarque 4 2 4 4 2 2" xfId="27837" xr:uid="{00000000-0005-0000-0000-0000B0C50000}"/>
    <cellStyle name="Remarque 4 2 4 4 2 2 2" xfId="51797" xr:uid="{00000000-0005-0000-0000-0000B1C50000}"/>
    <cellStyle name="Remarque 4 2 4 4 2 3" xfId="15084" xr:uid="{00000000-0005-0000-0000-0000B2C50000}"/>
    <cellStyle name="Remarque 4 2 4 4 2 4" xfId="39044" xr:uid="{00000000-0005-0000-0000-0000B3C50000}"/>
    <cellStyle name="Remarque 4 2 4 4 3" xfId="5257" xr:uid="{00000000-0005-0000-0000-0000B4C50000}"/>
    <cellStyle name="Remarque 4 2 4 4 3 2" xfId="29271" xr:uid="{00000000-0005-0000-0000-0000B5C50000}"/>
    <cellStyle name="Remarque 4 2 4 4 3 2 2" xfId="53231" xr:uid="{00000000-0005-0000-0000-0000B6C50000}"/>
    <cellStyle name="Remarque 4 2 4 4 3 3" xfId="16518" xr:uid="{00000000-0005-0000-0000-0000B7C50000}"/>
    <cellStyle name="Remarque 4 2 4 4 3 4" xfId="40478" xr:uid="{00000000-0005-0000-0000-0000B8C50000}"/>
    <cellStyle name="Remarque 4 2 4 4 4" xfId="6651" xr:uid="{00000000-0005-0000-0000-0000B9C50000}"/>
    <cellStyle name="Remarque 4 2 4 4 4 2" xfId="30665" xr:uid="{00000000-0005-0000-0000-0000BAC50000}"/>
    <cellStyle name="Remarque 4 2 4 4 4 2 2" xfId="54625" xr:uid="{00000000-0005-0000-0000-0000BBC50000}"/>
    <cellStyle name="Remarque 4 2 4 4 4 3" xfId="17912" xr:uid="{00000000-0005-0000-0000-0000BCC50000}"/>
    <cellStyle name="Remarque 4 2 4 4 4 4" xfId="41872" xr:uid="{00000000-0005-0000-0000-0000BDC50000}"/>
    <cellStyle name="Remarque 4 2 4 4 5" xfId="8039" xr:uid="{00000000-0005-0000-0000-0000BEC50000}"/>
    <cellStyle name="Remarque 4 2 4 4 5 2" xfId="32053" xr:uid="{00000000-0005-0000-0000-0000BFC50000}"/>
    <cellStyle name="Remarque 4 2 4 4 5 2 2" xfId="56013" xr:uid="{00000000-0005-0000-0000-0000C0C50000}"/>
    <cellStyle name="Remarque 4 2 4 4 5 3" xfId="19300" xr:uid="{00000000-0005-0000-0000-0000C1C50000}"/>
    <cellStyle name="Remarque 4 2 4 4 5 4" xfId="43260" xr:uid="{00000000-0005-0000-0000-0000C2C50000}"/>
    <cellStyle name="Remarque 4 2 4 4 6" xfId="9424" xr:uid="{00000000-0005-0000-0000-0000C3C50000}"/>
    <cellStyle name="Remarque 4 2 4 4 6 2" xfId="33438" xr:uid="{00000000-0005-0000-0000-0000C4C50000}"/>
    <cellStyle name="Remarque 4 2 4 4 6 2 2" xfId="57398" xr:uid="{00000000-0005-0000-0000-0000C5C50000}"/>
    <cellStyle name="Remarque 4 2 4 4 6 3" xfId="20685" xr:uid="{00000000-0005-0000-0000-0000C6C50000}"/>
    <cellStyle name="Remarque 4 2 4 4 6 4" xfId="44645" xr:uid="{00000000-0005-0000-0000-0000C7C50000}"/>
    <cellStyle name="Remarque 4 2 4 4 7" xfId="10881" xr:uid="{00000000-0005-0000-0000-0000C8C50000}"/>
    <cellStyle name="Remarque 4 2 4 4 7 2" xfId="34891" xr:uid="{00000000-0005-0000-0000-0000C9C50000}"/>
    <cellStyle name="Remarque 4 2 4 4 7 2 2" xfId="58851" xr:uid="{00000000-0005-0000-0000-0000CAC50000}"/>
    <cellStyle name="Remarque 4 2 4 4 7 3" xfId="22148" xr:uid="{00000000-0005-0000-0000-0000CBC50000}"/>
    <cellStyle name="Remarque 4 2 4 4 7 4" xfId="46108" xr:uid="{00000000-0005-0000-0000-0000CCC50000}"/>
    <cellStyle name="Remarque 4 2 4 4 8" xfId="12399" xr:uid="{00000000-0005-0000-0000-0000CDC50000}"/>
    <cellStyle name="Remarque 4 2 4 4 8 2" xfId="23690" xr:uid="{00000000-0005-0000-0000-0000CEC50000}"/>
    <cellStyle name="Remarque 4 2 4 4 8 3" xfId="47650" xr:uid="{00000000-0005-0000-0000-0000CFC50000}"/>
    <cellStyle name="Remarque 4 2 4 4 9" xfId="2353" xr:uid="{00000000-0005-0000-0000-0000D0C50000}"/>
    <cellStyle name="Remarque 4 2 4 4 9 2" xfId="26367" xr:uid="{00000000-0005-0000-0000-0000D1C50000}"/>
    <cellStyle name="Remarque 4 2 4 4 9 3" xfId="50327" xr:uid="{00000000-0005-0000-0000-0000D2C50000}"/>
    <cellStyle name="Remarque 4 2 4 5" xfId="1110" xr:uid="{00000000-0005-0000-0000-0000D3C50000}"/>
    <cellStyle name="Remarque 4 2 4 5 10" xfId="25142" xr:uid="{00000000-0005-0000-0000-0000D4C50000}"/>
    <cellStyle name="Remarque 4 2 4 5 10 2" xfId="49102" xr:uid="{00000000-0005-0000-0000-0000D5C50000}"/>
    <cellStyle name="Remarque 4 2 4 5 11" xfId="36254" xr:uid="{00000000-0005-0000-0000-0000D6C50000}"/>
    <cellStyle name="Remarque 4 2 4 5 11 2" xfId="60214" xr:uid="{00000000-0005-0000-0000-0000D7C50000}"/>
    <cellStyle name="Remarque 4 2 4 5 12" xfId="13807" xr:uid="{00000000-0005-0000-0000-0000D8C50000}"/>
    <cellStyle name="Remarque 4 2 4 5 13" xfId="37767" xr:uid="{00000000-0005-0000-0000-0000D9C50000}"/>
    <cellStyle name="Remarque 4 2 4 5 2" xfId="4016" xr:uid="{00000000-0005-0000-0000-0000DAC50000}"/>
    <cellStyle name="Remarque 4 2 4 5 2 2" xfId="28030" xr:uid="{00000000-0005-0000-0000-0000DBC50000}"/>
    <cellStyle name="Remarque 4 2 4 5 2 2 2" xfId="51990" xr:uid="{00000000-0005-0000-0000-0000DCC50000}"/>
    <cellStyle name="Remarque 4 2 4 5 2 3" xfId="15277" xr:uid="{00000000-0005-0000-0000-0000DDC50000}"/>
    <cellStyle name="Remarque 4 2 4 5 2 4" xfId="39237" xr:uid="{00000000-0005-0000-0000-0000DEC50000}"/>
    <cellStyle name="Remarque 4 2 4 5 3" xfId="5450" xr:uid="{00000000-0005-0000-0000-0000DFC50000}"/>
    <cellStyle name="Remarque 4 2 4 5 3 2" xfId="29464" xr:uid="{00000000-0005-0000-0000-0000E0C50000}"/>
    <cellStyle name="Remarque 4 2 4 5 3 2 2" xfId="53424" xr:uid="{00000000-0005-0000-0000-0000E1C50000}"/>
    <cellStyle name="Remarque 4 2 4 5 3 3" xfId="16711" xr:uid="{00000000-0005-0000-0000-0000E2C50000}"/>
    <cellStyle name="Remarque 4 2 4 5 3 4" xfId="40671" xr:uid="{00000000-0005-0000-0000-0000E3C50000}"/>
    <cellStyle name="Remarque 4 2 4 5 4" xfId="6844" xr:uid="{00000000-0005-0000-0000-0000E4C50000}"/>
    <cellStyle name="Remarque 4 2 4 5 4 2" xfId="30858" xr:uid="{00000000-0005-0000-0000-0000E5C50000}"/>
    <cellStyle name="Remarque 4 2 4 5 4 2 2" xfId="54818" xr:uid="{00000000-0005-0000-0000-0000E6C50000}"/>
    <cellStyle name="Remarque 4 2 4 5 4 3" xfId="18105" xr:uid="{00000000-0005-0000-0000-0000E7C50000}"/>
    <cellStyle name="Remarque 4 2 4 5 4 4" xfId="42065" xr:uid="{00000000-0005-0000-0000-0000E8C50000}"/>
    <cellStyle name="Remarque 4 2 4 5 5" xfId="8232" xr:uid="{00000000-0005-0000-0000-0000E9C50000}"/>
    <cellStyle name="Remarque 4 2 4 5 5 2" xfId="32246" xr:uid="{00000000-0005-0000-0000-0000EAC50000}"/>
    <cellStyle name="Remarque 4 2 4 5 5 2 2" xfId="56206" xr:uid="{00000000-0005-0000-0000-0000EBC50000}"/>
    <cellStyle name="Remarque 4 2 4 5 5 3" xfId="19493" xr:uid="{00000000-0005-0000-0000-0000ECC50000}"/>
    <cellStyle name="Remarque 4 2 4 5 5 4" xfId="43453" xr:uid="{00000000-0005-0000-0000-0000EDC50000}"/>
    <cellStyle name="Remarque 4 2 4 5 6" xfId="9617" xr:uid="{00000000-0005-0000-0000-0000EEC50000}"/>
    <cellStyle name="Remarque 4 2 4 5 6 2" xfId="33631" xr:uid="{00000000-0005-0000-0000-0000EFC50000}"/>
    <cellStyle name="Remarque 4 2 4 5 6 2 2" xfId="57591" xr:uid="{00000000-0005-0000-0000-0000F0C50000}"/>
    <cellStyle name="Remarque 4 2 4 5 6 3" xfId="20878" xr:uid="{00000000-0005-0000-0000-0000F1C50000}"/>
    <cellStyle name="Remarque 4 2 4 5 6 4" xfId="44838" xr:uid="{00000000-0005-0000-0000-0000F2C50000}"/>
    <cellStyle name="Remarque 4 2 4 5 7" xfId="11074" xr:uid="{00000000-0005-0000-0000-0000F3C50000}"/>
    <cellStyle name="Remarque 4 2 4 5 7 2" xfId="35084" xr:uid="{00000000-0005-0000-0000-0000F4C50000}"/>
    <cellStyle name="Remarque 4 2 4 5 7 2 2" xfId="59044" xr:uid="{00000000-0005-0000-0000-0000F5C50000}"/>
    <cellStyle name="Remarque 4 2 4 5 7 3" xfId="22341" xr:uid="{00000000-0005-0000-0000-0000F6C50000}"/>
    <cellStyle name="Remarque 4 2 4 5 7 4" xfId="46301" xr:uid="{00000000-0005-0000-0000-0000F7C50000}"/>
    <cellStyle name="Remarque 4 2 4 5 8" xfId="12899" xr:uid="{00000000-0005-0000-0000-0000F8C50000}"/>
    <cellStyle name="Remarque 4 2 4 5 8 2" xfId="24212" xr:uid="{00000000-0005-0000-0000-0000F9C50000}"/>
    <cellStyle name="Remarque 4 2 4 5 8 3" xfId="48172" xr:uid="{00000000-0005-0000-0000-0000FAC50000}"/>
    <cellStyle name="Remarque 4 2 4 5 9" xfId="2546" xr:uid="{00000000-0005-0000-0000-0000FBC50000}"/>
    <cellStyle name="Remarque 4 2 4 5 9 2" xfId="26560" xr:uid="{00000000-0005-0000-0000-0000FCC50000}"/>
    <cellStyle name="Remarque 4 2 4 5 9 3" xfId="50520" xr:uid="{00000000-0005-0000-0000-0000FDC50000}"/>
    <cellStyle name="Remarque 4 2 4 6" xfId="1277" xr:uid="{00000000-0005-0000-0000-0000FEC50000}"/>
    <cellStyle name="Remarque 4 2 4 6 10" xfId="25309" xr:uid="{00000000-0005-0000-0000-0000FFC50000}"/>
    <cellStyle name="Remarque 4 2 4 6 10 2" xfId="49269" xr:uid="{00000000-0005-0000-0000-000000C60000}"/>
    <cellStyle name="Remarque 4 2 4 6 11" xfId="35935" xr:uid="{00000000-0005-0000-0000-000001C60000}"/>
    <cellStyle name="Remarque 4 2 4 6 11 2" xfId="59895" xr:uid="{00000000-0005-0000-0000-000002C60000}"/>
    <cellStyle name="Remarque 4 2 4 6 12" xfId="13974" xr:uid="{00000000-0005-0000-0000-000003C60000}"/>
    <cellStyle name="Remarque 4 2 4 6 13" xfId="37934" xr:uid="{00000000-0005-0000-0000-000004C60000}"/>
    <cellStyle name="Remarque 4 2 4 6 2" xfId="4183" xr:uid="{00000000-0005-0000-0000-000005C60000}"/>
    <cellStyle name="Remarque 4 2 4 6 2 2" xfId="28197" xr:uid="{00000000-0005-0000-0000-000006C60000}"/>
    <cellStyle name="Remarque 4 2 4 6 2 2 2" xfId="52157" xr:uid="{00000000-0005-0000-0000-000007C60000}"/>
    <cellStyle name="Remarque 4 2 4 6 2 3" xfId="15444" xr:uid="{00000000-0005-0000-0000-000008C60000}"/>
    <cellStyle name="Remarque 4 2 4 6 2 4" xfId="39404" xr:uid="{00000000-0005-0000-0000-000009C60000}"/>
    <cellStyle name="Remarque 4 2 4 6 3" xfId="5617" xr:uid="{00000000-0005-0000-0000-00000AC60000}"/>
    <cellStyle name="Remarque 4 2 4 6 3 2" xfId="29631" xr:uid="{00000000-0005-0000-0000-00000BC60000}"/>
    <cellStyle name="Remarque 4 2 4 6 3 2 2" xfId="53591" xr:uid="{00000000-0005-0000-0000-00000CC60000}"/>
    <cellStyle name="Remarque 4 2 4 6 3 3" xfId="16878" xr:uid="{00000000-0005-0000-0000-00000DC60000}"/>
    <cellStyle name="Remarque 4 2 4 6 3 4" xfId="40838" xr:uid="{00000000-0005-0000-0000-00000EC60000}"/>
    <cellStyle name="Remarque 4 2 4 6 4" xfId="7011" xr:uid="{00000000-0005-0000-0000-00000FC60000}"/>
    <cellStyle name="Remarque 4 2 4 6 4 2" xfId="31025" xr:uid="{00000000-0005-0000-0000-000010C60000}"/>
    <cellStyle name="Remarque 4 2 4 6 4 2 2" xfId="54985" xr:uid="{00000000-0005-0000-0000-000011C60000}"/>
    <cellStyle name="Remarque 4 2 4 6 4 3" xfId="18272" xr:uid="{00000000-0005-0000-0000-000012C60000}"/>
    <cellStyle name="Remarque 4 2 4 6 4 4" xfId="42232" xr:uid="{00000000-0005-0000-0000-000013C60000}"/>
    <cellStyle name="Remarque 4 2 4 6 5" xfId="8399" xr:uid="{00000000-0005-0000-0000-000014C60000}"/>
    <cellStyle name="Remarque 4 2 4 6 5 2" xfId="32413" xr:uid="{00000000-0005-0000-0000-000015C60000}"/>
    <cellStyle name="Remarque 4 2 4 6 5 2 2" xfId="56373" xr:uid="{00000000-0005-0000-0000-000016C60000}"/>
    <cellStyle name="Remarque 4 2 4 6 5 3" xfId="19660" xr:uid="{00000000-0005-0000-0000-000017C60000}"/>
    <cellStyle name="Remarque 4 2 4 6 5 4" xfId="43620" xr:uid="{00000000-0005-0000-0000-000018C60000}"/>
    <cellStyle name="Remarque 4 2 4 6 6" xfId="9784" xr:uid="{00000000-0005-0000-0000-000019C60000}"/>
    <cellStyle name="Remarque 4 2 4 6 6 2" xfId="33798" xr:uid="{00000000-0005-0000-0000-00001AC60000}"/>
    <cellStyle name="Remarque 4 2 4 6 6 2 2" xfId="57758" xr:uid="{00000000-0005-0000-0000-00001BC60000}"/>
    <cellStyle name="Remarque 4 2 4 6 6 3" xfId="21045" xr:uid="{00000000-0005-0000-0000-00001CC60000}"/>
    <cellStyle name="Remarque 4 2 4 6 6 4" xfId="45005" xr:uid="{00000000-0005-0000-0000-00001DC60000}"/>
    <cellStyle name="Remarque 4 2 4 6 7" xfId="11241" xr:uid="{00000000-0005-0000-0000-00001EC60000}"/>
    <cellStyle name="Remarque 4 2 4 6 7 2" xfId="35251" xr:uid="{00000000-0005-0000-0000-00001FC60000}"/>
    <cellStyle name="Remarque 4 2 4 6 7 2 2" xfId="59211" xr:uid="{00000000-0005-0000-0000-000020C60000}"/>
    <cellStyle name="Remarque 4 2 4 6 7 3" xfId="22508" xr:uid="{00000000-0005-0000-0000-000021C60000}"/>
    <cellStyle name="Remarque 4 2 4 6 7 4" xfId="46468" xr:uid="{00000000-0005-0000-0000-000022C60000}"/>
    <cellStyle name="Remarque 4 2 4 6 8" xfId="12382" xr:uid="{00000000-0005-0000-0000-000023C60000}"/>
    <cellStyle name="Remarque 4 2 4 6 8 2" xfId="23671" xr:uid="{00000000-0005-0000-0000-000024C60000}"/>
    <cellStyle name="Remarque 4 2 4 6 8 3" xfId="47631" xr:uid="{00000000-0005-0000-0000-000025C60000}"/>
    <cellStyle name="Remarque 4 2 4 6 9" xfId="2713" xr:uid="{00000000-0005-0000-0000-000026C60000}"/>
    <cellStyle name="Remarque 4 2 4 6 9 2" xfId="26727" xr:uid="{00000000-0005-0000-0000-000027C60000}"/>
    <cellStyle name="Remarque 4 2 4 6 9 3" xfId="50687" xr:uid="{00000000-0005-0000-0000-000028C60000}"/>
    <cellStyle name="Remarque 4 2 4 7" xfId="1446" xr:uid="{00000000-0005-0000-0000-000029C60000}"/>
    <cellStyle name="Remarque 4 2 4 7 10" xfId="25478" xr:uid="{00000000-0005-0000-0000-00002AC60000}"/>
    <cellStyle name="Remarque 4 2 4 7 10 2" xfId="49438" xr:uid="{00000000-0005-0000-0000-00002BC60000}"/>
    <cellStyle name="Remarque 4 2 4 7 11" xfId="36599" xr:uid="{00000000-0005-0000-0000-00002CC60000}"/>
    <cellStyle name="Remarque 4 2 4 7 11 2" xfId="60559" xr:uid="{00000000-0005-0000-0000-00002DC60000}"/>
    <cellStyle name="Remarque 4 2 4 7 12" xfId="14143" xr:uid="{00000000-0005-0000-0000-00002EC60000}"/>
    <cellStyle name="Remarque 4 2 4 7 13" xfId="38103" xr:uid="{00000000-0005-0000-0000-00002FC60000}"/>
    <cellStyle name="Remarque 4 2 4 7 2" xfId="4352" xr:uid="{00000000-0005-0000-0000-000030C60000}"/>
    <cellStyle name="Remarque 4 2 4 7 2 2" xfId="28366" xr:uid="{00000000-0005-0000-0000-000031C60000}"/>
    <cellStyle name="Remarque 4 2 4 7 2 2 2" xfId="52326" xr:uid="{00000000-0005-0000-0000-000032C60000}"/>
    <cellStyle name="Remarque 4 2 4 7 2 3" xfId="15613" xr:uid="{00000000-0005-0000-0000-000033C60000}"/>
    <cellStyle name="Remarque 4 2 4 7 2 4" xfId="39573" xr:uid="{00000000-0005-0000-0000-000034C60000}"/>
    <cellStyle name="Remarque 4 2 4 7 3" xfId="5786" xr:uid="{00000000-0005-0000-0000-000035C60000}"/>
    <cellStyle name="Remarque 4 2 4 7 3 2" xfId="29800" xr:uid="{00000000-0005-0000-0000-000036C60000}"/>
    <cellStyle name="Remarque 4 2 4 7 3 2 2" xfId="53760" xr:uid="{00000000-0005-0000-0000-000037C60000}"/>
    <cellStyle name="Remarque 4 2 4 7 3 3" xfId="17047" xr:uid="{00000000-0005-0000-0000-000038C60000}"/>
    <cellStyle name="Remarque 4 2 4 7 3 4" xfId="41007" xr:uid="{00000000-0005-0000-0000-000039C60000}"/>
    <cellStyle name="Remarque 4 2 4 7 4" xfId="7180" xr:uid="{00000000-0005-0000-0000-00003AC60000}"/>
    <cellStyle name="Remarque 4 2 4 7 4 2" xfId="31194" xr:uid="{00000000-0005-0000-0000-00003BC60000}"/>
    <cellStyle name="Remarque 4 2 4 7 4 2 2" xfId="55154" xr:uid="{00000000-0005-0000-0000-00003CC60000}"/>
    <cellStyle name="Remarque 4 2 4 7 4 3" xfId="18441" xr:uid="{00000000-0005-0000-0000-00003DC60000}"/>
    <cellStyle name="Remarque 4 2 4 7 4 4" xfId="42401" xr:uid="{00000000-0005-0000-0000-00003EC60000}"/>
    <cellStyle name="Remarque 4 2 4 7 5" xfId="8568" xr:uid="{00000000-0005-0000-0000-00003FC60000}"/>
    <cellStyle name="Remarque 4 2 4 7 5 2" xfId="32582" xr:uid="{00000000-0005-0000-0000-000040C60000}"/>
    <cellStyle name="Remarque 4 2 4 7 5 2 2" xfId="56542" xr:uid="{00000000-0005-0000-0000-000041C60000}"/>
    <cellStyle name="Remarque 4 2 4 7 5 3" xfId="19829" xr:uid="{00000000-0005-0000-0000-000042C60000}"/>
    <cellStyle name="Remarque 4 2 4 7 5 4" xfId="43789" xr:uid="{00000000-0005-0000-0000-000043C60000}"/>
    <cellStyle name="Remarque 4 2 4 7 6" xfId="9953" xr:uid="{00000000-0005-0000-0000-000044C60000}"/>
    <cellStyle name="Remarque 4 2 4 7 6 2" xfId="33967" xr:uid="{00000000-0005-0000-0000-000045C60000}"/>
    <cellStyle name="Remarque 4 2 4 7 6 2 2" xfId="57927" xr:uid="{00000000-0005-0000-0000-000046C60000}"/>
    <cellStyle name="Remarque 4 2 4 7 6 3" xfId="21214" xr:uid="{00000000-0005-0000-0000-000047C60000}"/>
    <cellStyle name="Remarque 4 2 4 7 6 4" xfId="45174" xr:uid="{00000000-0005-0000-0000-000048C60000}"/>
    <cellStyle name="Remarque 4 2 4 7 7" xfId="11410" xr:uid="{00000000-0005-0000-0000-000049C60000}"/>
    <cellStyle name="Remarque 4 2 4 7 7 2" xfId="35420" xr:uid="{00000000-0005-0000-0000-00004AC60000}"/>
    <cellStyle name="Remarque 4 2 4 7 7 2 2" xfId="59380" xr:uid="{00000000-0005-0000-0000-00004BC60000}"/>
    <cellStyle name="Remarque 4 2 4 7 7 3" xfId="22677" xr:uid="{00000000-0005-0000-0000-00004CC60000}"/>
    <cellStyle name="Remarque 4 2 4 7 7 4" xfId="46637" xr:uid="{00000000-0005-0000-0000-00004DC60000}"/>
    <cellStyle name="Remarque 4 2 4 7 8" xfId="11702" xr:uid="{00000000-0005-0000-0000-00004EC60000}"/>
    <cellStyle name="Remarque 4 2 4 7 8 2" xfId="22971" xr:uid="{00000000-0005-0000-0000-00004FC60000}"/>
    <cellStyle name="Remarque 4 2 4 7 8 3" xfId="46931" xr:uid="{00000000-0005-0000-0000-000050C60000}"/>
    <cellStyle name="Remarque 4 2 4 7 9" xfId="2882" xr:uid="{00000000-0005-0000-0000-000051C60000}"/>
    <cellStyle name="Remarque 4 2 4 7 9 2" xfId="26896" xr:uid="{00000000-0005-0000-0000-000052C60000}"/>
    <cellStyle name="Remarque 4 2 4 7 9 3" xfId="50856" xr:uid="{00000000-0005-0000-0000-000053C60000}"/>
    <cellStyle name="Remarque 4 2 4 8" xfId="3301" xr:uid="{00000000-0005-0000-0000-000054C60000}"/>
    <cellStyle name="Remarque 4 2 4 8 2" xfId="27315" xr:uid="{00000000-0005-0000-0000-000055C60000}"/>
    <cellStyle name="Remarque 4 2 4 8 2 2" xfId="51275" xr:uid="{00000000-0005-0000-0000-000056C60000}"/>
    <cellStyle name="Remarque 4 2 4 8 3" xfId="14562" xr:uid="{00000000-0005-0000-0000-000057C60000}"/>
    <cellStyle name="Remarque 4 2 4 8 4" xfId="38522" xr:uid="{00000000-0005-0000-0000-000058C60000}"/>
    <cellStyle name="Remarque 4 2 4 9" xfId="4735" xr:uid="{00000000-0005-0000-0000-000059C60000}"/>
    <cellStyle name="Remarque 4 2 4 9 2" xfId="28749" xr:uid="{00000000-0005-0000-0000-00005AC60000}"/>
    <cellStyle name="Remarque 4 2 4 9 2 2" xfId="52709" xr:uid="{00000000-0005-0000-0000-00005BC60000}"/>
    <cellStyle name="Remarque 4 2 4 9 3" xfId="15996" xr:uid="{00000000-0005-0000-0000-00005CC60000}"/>
    <cellStyle name="Remarque 4 2 4 9 4" xfId="39956" xr:uid="{00000000-0005-0000-0000-00005DC60000}"/>
    <cellStyle name="Remarque 4 2 5" xfId="388" xr:uid="{00000000-0005-0000-0000-00005EC60000}"/>
    <cellStyle name="Remarque 4 2 5 10" xfId="6122" xr:uid="{00000000-0005-0000-0000-00005FC60000}"/>
    <cellStyle name="Remarque 4 2 5 10 2" xfId="30136" xr:uid="{00000000-0005-0000-0000-000060C60000}"/>
    <cellStyle name="Remarque 4 2 5 10 2 2" xfId="54096" xr:uid="{00000000-0005-0000-0000-000061C60000}"/>
    <cellStyle name="Remarque 4 2 5 10 3" xfId="17383" xr:uid="{00000000-0005-0000-0000-000062C60000}"/>
    <cellStyle name="Remarque 4 2 5 10 4" xfId="41343" xr:uid="{00000000-0005-0000-0000-000063C60000}"/>
    <cellStyle name="Remarque 4 2 5 11" xfId="7510" xr:uid="{00000000-0005-0000-0000-000064C60000}"/>
    <cellStyle name="Remarque 4 2 5 11 2" xfId="31524" xr:uid="{00000000-0005-0000-0000-000065C60000}"/>
    <cellStyle name="Remarque 4 2 5 11 2 2" xfId="55484" xr:uid="{00000000-0005-0000-0000-000066C60000}"/>
    <cellStyle name="Remarque 4 2 5 11 3" xfId="18771" xr:uid="{00000000-0005-0000-0000-000067C60000}"/>
    <cellStyle name="Remarque 4 2 5 11 4" xfId="42731" xr:uid="{00000000-0005-0000-0000-000068C60000}"/>
    <cellStyle name="Remarque 4 2 5 12" xfId="8895" xr:uid="{00000000-0005-0000-0000-000069C60000}"/>
    <cellStyle name="Remarque 4 2 5 12 2" xfId="32909" xr:uid="{00000000-0005-0000-0000-00006AC60000}"/>
    <cellStyle name="Remarque 4 2 5 12 2 2" xfId="56869" xr:uid="{00000000-0005-0000-0000-00006BC60000}"/>
    <cellStyle name="Remarque 4 2 5 12 3" xfId="20156" xr:uid="{00000000-0005-0000-0000-00006CC60000}"/>
    <cellStyle name="Remarque 4 2 5 12 4" xfId="44116" xr:uid="{00000000-0005-0000-0000-00006DC60000}"/>
    <cellStyle name="Remarque 4 2 5 13" xfId="10352" xr:uid="{00000000-0005-0000-0000-00006EC60000}"/>
    <cellStyle name="Remarque 4 2 5 13 2" xfId="34362" xr:uid="{00000000-0005-0000-0000-00006FC60000}"/>
    <cellStyle name="Remarque 4 2 5 13 2 2" xfId="58322" xr:uid="{00000000-0005-0000-0000-000070C60000}"/>
    <cellStyle name="Remarque 4 2 5 13 3" xfId="21619" xr:uid="{00000000-0005-0000-0000-000071C60000}"/>
    <cellStyle name="Remarque 4 2 5 13 4" xfId="45579" xr:uid="{00000000-0005-0000-0000-000072C60000}"/>
    <cellStyle name="Remarque 4 2 5 14" xfId="12326" xr:uid="{00000000-0005-0000-0000-000073C60000}"/>
    <cellStyle name="Remarque 4 2 5 14 2" xfId="23614" xr:uid="{00000000-0005-0000-0000-000074C60000}"/>
    <cellStyle name="Remarque 4 2 5 14 3" xfId="47574" xr:uid="{00000000-0005-0000-0000-000075C60000}"/>
    <cellStyle name="Remarque 4 2 5 15" xfId="1824" xr:uid="{00000000-0005-0000-0000-000076C60000}"/>
    <cellStyle name="Remarque 4 2 5 15 2" xfId="25838" xr:uid="{00000000-0005-0000-0000-000077C60000}"/>
    <cellStyle name="Remarque 4 2 5 15 3" xfId="49798" xr:uid="{00000000-0005-0000-0000-000078C60000}"/>
    <cellStyle name="Remarque 4 2 5 16" xfId="24420" xr:uid="{00000000-0005-0000-0000-000079C60000}"/>
    <cellStyle name="Remarque 4 2 5 16 2" xfId="48380" xr:uid="{00000000-0005-0000-0000-00007AC60000}"/>
    <cellStyle name="Remarque 4 2 5 17" xfId="35977" xr:uid="{00000000-0005-0000-0000-00007BC60000}"/>
    <cellStyle name="Remarque 4 2 5 17 2" xfId="59937" xr:uid="{00000000-0005-0000-0000-00007CC60000}"/>
    <cellStyle name="Remarque 4 2 5 18" xfId="13085" xr:uid="{00000000-0005-0000-0000-00007DC60000}"/>
    <cellStyle name="Remarque 4 2 5 19" xfId="37045" xr:uid="{00000000-0005-0000-0000-00007EC60000}"/>
    <cellStyle name="Remarque 4 2 5 2" xfId="524" xr:uid="{00000000-0005-0000-0000-00007FC60000}"/>
    <cellStyle name="Remarque 4 2 5 2 10" xfId="24556" xr:uid="{00000000-0005-0000-0000-000080C60000}"/>
    <cellStyle name="Remarque 4 2 5 2 10 2" xfId="48516" xr:uid="{00000000-0005-0000-0000-000081C60000}"/>
    <cellStyle name="Remarque 4 2 5 2 11" xfId="35692" xr:uid="{00000000-0005-0000-0000-000082C60000}"/>
    <cellStyle name="Remarque 4 2 5 2 11 2" xfId="59652" xr:uid="{00000000-0005-0000-0000-000083C60000}"/>
    <cellStyle name="Remarque 4 2 5 2 12" xfId="13221" xr:uid="{00000000-0005-0000-0000-000084C60000}"/>
    <cellStyle name="Remarque 4 2 5 2 13" xfId="37181" xr:uid="{00000000-0005-0000-0000-000085C60000}"/>
    <cellStyle name="Remarque 4 2 5 2 2" xfId="3430" xr:uid="{00000000-0005-0000-0000-000086C60000}"/>
    <cellStyle name="Remarque 4 2 5 2 2 2" xfId="27444" xr:uid="{00000000-0005-0000-0000-000087C60000}"/>
    <cellStyle name="Remarque 4 2 5 2 2 2 2" xfId="51404" xr:uid="{00000000-0005-0000-0000-000088C60000}"/>
    <cellStyle name="Remarque 4 2 5 2 2 3" xfId="14691" xr:uid="{00000000-0005-0000-0000-000089C60000}"/>
    <cellStyle name="Remarque 4 2 5 2 2 4" xfId="38651" xr:uid="{00000000-0005-0000-0000-00008AC60000}"/>
    <cellStyle name="Remarque 4 2 5 2 3" xfId="4864" xr:uid="{00000000-0005-0000-0000-00008BC60000}"/>
    <cellStyle name="Remarque 4 2 5 2 3 2" xfId="28878" xr:uid="{00000000-0005-0000-0000-00008CC60000}"/>
    <cellStyle name="Remarque 4 2 5 2 3 2 2" xfId="52838" xr:uid="{00000000-0005-0000-0000-00008DC60000}"/>
    <cellStyle name="Remarque 4 2 5 2 3 3" xfId="16125" xr:uid="{00000000-0005-0000-0000-00008EC60000}"/>
    <cellStyle name="Remarque 4 2 5 2 3 4" xfId="40085" xr:uid="{00000000-0005-0000-0000-00008FC60000}"/>
    <cellStyle name="Remarque 4 2 5 2 4" xfId="6258" xr:uid="{00000000-0005-0000-0000-000090C60000}"/>
    <cellStyle name="Remarque 4 2 5 2 4 2" xfId="30272" xr:uid="{00000000-0005-0000-0000-000091C60000}"/>
    <cellStyle name="Remarque 4 2 5 2 4 2 2" xfId="54232" xr:uid="{00000000-0005-0000-0000-000092C60000}"/>
    <cellStyle name="Remarque 4 2 5 2 4 3" xfId="17519" xr:uid="{00000000-0005-0000-0000-000093C60000}"/>
    <cellStyle name="Remarque 4 2 5 2 4 4" xfId="41479" xr:uid="{00000000-0005-0000-0000-000094C60000}"/>
    <cellStyle name="Remarque 4 2 5 2 5" xfId="7646" xr:uid="{00000000-0005-0000-0000-000095C60000}"/>
    <cellStyle name="Remarque 4 2 5 2 5 2" xfId="31660" xr:uid="{00000000-0005-0000-0000-000096C60000}"/>
    <cellStyle name="Remarque 4 2 5 2 5 2 2" xfId="55620" xr:uid="{00000000-0005-0000-0000-000097C60000}"/>
    <cellStyle name="Remarque 4 2 5 2 5 3" xfId="18907" xr:uid="{00000000-0005-0000-0000-000098C60000}"/>
    <cellStyle name="Remarque 4 2 5 2 5 4" xfId="42867" xr:uid="{00000000-0005-0000-0000-000099C60000}"/>
    <cellStyle name="Remarque 4 2 5 2 6" xfId="9031" xr:uid="{00000000-0005-0000-0000-00009AC60000}"/>
    <cellStyle name="Remarque 4 2 5 2 6 2" xfId="33045" xr:uid="{00000000-0005-0000-0000-00009BC60000}"/>
    <cellStyle name="Remarque 4 2 5 2 6 2 2" xfId="57005" xr:uid="{00000000-0005-0000-0000-00009CC60000}"/>
    <cellStyle name="Remarque 4 2 5 2 6 3" xfId="20292" xr:uid="{00000000-0005-0000-0000-00009DC60000}"/>
    <cellStyle name="Remarque 4 2 5 2 6 4" xfId="44252" xr:uid="{00000000-0005-0000-0000-00009EC60000}"/>
    <cellStyle name="Remarque 4 2 5 2 7" xfId="10488" xr:uid="{00000000-0005-0000-0000-00009FC60000}"/>
    <cellStyle name="Remarque 4 2 5 2 7 2" xfId="34498" xr:uid="{00000000-0005-0000-0000-0000A0C60000}"/>
    <cellStyle name="Remarque 4 2 5 2 7 2 2" xfId="58458" xr:uid="{00000000-0005-0000-0000-0000A1C60000}"/>
    <cellStyle name="Remarque 4 2 5 2 7 3" xfId="21755" xr:uid="{00000000-0005-0000-0000-0000A2C60000}"/>
    <cellStyle name="Remarque 4 2 5 2 7 4" xfId="45715" xr:uid="{00000000-0005-0000-0000-0000A3C60000}"/>
    <cellStyle name="Remarque 4 2 5 2 8" xfId="12831" xr:uid="{00000000-0005-0000-0000-0000A4C60000}"/>
    <cellStyle name="Remarque 4 2 5 2 8 2" xfId="24142" xr:uid="{00000000-0005-0000-0000-0000A5C60000}"/>
    <cellStyle name="Remarque 4 2 5 2 8 3" xfId="48102" xr:uid="{00000000-0005-0000-0000-0000A6C60000}"/>
    <cellStyle name="Remarque 4 2 5 2 9" xfId="1960" xr:uid="{00000000-0005-0000-0000-0000A7C60000}"/>
    <cellStyle name="Remarque 4 2 5 2 9 2" xfId="25974" xr:uid="{00000000-0005-0000-0000-0000A8C60000}"/>
    <cellStyle name="Remarque 4 2 5 2 9 3" xfId="49934" xr:uid="{00000000-0005-0000-0000-0000A9C60000}"/>
    <cellStyle name="Remarque 4 2 5 3" xfId="716" xr:uid="{00000000-0005-0000-0000-0000AAC60000}"/>
    <cellStyle name="Remarque 4 2 5 3 10" xfId="24748" xr:uid="{00000000-0005-0000-0000-0000ABC60000}"/>
    <cellStyle name="Remarque 4 2 5 3 10 2" xfId="48708" xr:uid="{00000000-0005-0000-0000-0000ACC60000}"/>
    <cellStyle name="Remarque 4 2 5 3 11" xfId="36065" xr:uid="{00000000-0005-0000-0000-0000ADC60000}"/>
    <cellStyle name="Remarque 4 2 5 3 11 2" xfId="60025" xr:uid="{00000000-0005-0000-0000-0000AEC60000}"/>
    <cellStyle name="Remarque 4 2 5 3 12" xfId="13413" xr:uid="{00000000-0005-0000-0000-0000AFC60000}"/>
    <cellStyle name="Remarque 4 2 5 3 13" xfId="37373" xr:uid="{00000000-0005-0000-0000-0000B0C60000}"/>
    <cellStyle name="Remarque 4 2 5 3 2" xfId="3622" xr:uid="{00000000-0005-0000-0000-0000B1C60000}"/>
    <cellStyle name="Remarque 4 2 5 3 2 2" xfId="27636" xr:uid="{00000000-0005-0000-0000-0000B2C60000}"/>
    <cellStyle name="Remarque 4 2 5 3 2 2 2" xfId="51596" xr:uid="{00000000-0005-0000-0000-0000B3C60000}"/>
    <cellStyle name="Remarque 4 2 5 3 2 3" xfId="14883" xr:uid="{00000000-0005-0000-0000-0000B4C60000}"/>
    <cellStyle name="Remarque 4 2 5 3 2 4" xfId="38843" xr:uid="{00000000-0005-0000-0000-0000B5C60000}"/>
    <cellStyle name="Remarque 4 2 5 3 3" xfId="5056" xr:uid="{00000000-0005-0000-0000-0000B6C60000}"/>
    <cellStyle name="Remarque 4 2 5 3 3 2" xfId="29070" xr:uid="{00000000-0005-0000-0000-0000B7C60000}"/>
    <cellStyle name="Remarque 4 2 5 3 3 2 2" xfId="53030" xr:uid="{00000000-0005-0000-0000-0000B8C60000}"/>
    <cellStyle name="Remarque 4 2 5 3 3 3" xfId="16317" xr:uid="{00000000-0005-0000-0000-0000B9C60000}"/>
    <cellStyle name="Remarque 4 2 5 3 3 4" xfId="40277" xr:uid="{00000000-0005-0000-0000-0000BAC60000}"/>
    <cellStyle name="Remarque 4 2 5 3 4" xfId="6450" xr:uid="{00000000-0005-0000-0000-0000BBC60000}"/>
    <cellStyle name="Remarque 4 2 5 3 4 2" xfId="30464" xr:uid="{00000000-0005-0000-0000-0000BCC60000}"/>
    <cellStyle name="Remarque 4 2 5 3 4 2 2" xfId="54424" xr:uid="{00000000-0005-0000-0000-0000BDC60000}"/>
    <cellStyle name="Remarque 4 2 5 3 4 3" xfId="17711" xr:uid="{00000000-0005-0000-0000-0000BEC60000}"/>
    <cellStyle name="Remarque 4 2 5 3 4 4" xfId="41671" xr:uid="{00000000-0005-0000-0000-0000BFC60000}"/>
    <cellStyle name="Remarque 4 2 5 3 5" xfId="7838" xr:uid="{00000000-0005-0000-0000-0000C0C60000}"/>
    <cellStyle name="Remarque 4 2 5 3 5 2" xfId="31852" xr:uid="{00000000-0005-0000-0000-0000C1C60000}"/>
    <cellStyle name="Remarque 4 2 5 3 5 2 2" xfId="55812" xr:uid="{00000000-0005-0000-0000-0000C2C60000}"/>
    <cellStyle name="Remarque 4 2 5 3 5 3" xfId="19099" xr:uid="{00000000-0005-0000-0000-0000C3C60000}"/>
    <cellStyle name="Remarque 4 2 5 3 5 4" xfId="43059" xr:uid="{00000000-0005-0000-0000-0000C4C60000}"/>
    <cellStyle name="Remarque 4 2 5 3 6" xfId="9223" xr:uid="{00000000-0005-0000-0000-0000C5C60000}"/>
    <cellStyle name="Remarque 4 2 5 3 6 2" xfId="33237" xr:uid="{00000000-0005-0000-0000-0000C6C60000}"/>
    <cellStyle name="Remarque 4 2 5 3 6 2 2" xfId="57197" xr:uid="{00000000-0005-0000-0000-0000C7C60000}"/>
    <cellStyle name="Remarque 4 2 5 3 6 3" xfId="20484" xr:uid="{00000000-0005-0000-0000-0000C8C60000}"/>
    <cellStyle name="Remarque 4 2 5 3 6 4" xfId="44444" xr:uid="{00000000-0005-0000-0000-0000C9C60000}"/>
    <cellStyle name="Remarque 4 2 5 3 7" xfId="10680" xr:uid="{00000000-0005-0000-0000-0000CAC60000}"/>
    <cellStyle name="Remarque 4 2 5 3 7 2" xfId="34690" xr:uid="{00000000-0005-0000-0000-0000CBC60000}"/>
    <cellStyle name="Remarque 4 2 5 3 7 2 2" xfId="58650" xr:uid="{00000000-0005-0000-0000-0000CCC60000}"/>
    <cellStyle name="Remarque 4 2 5 3 7 3" xfId="21947" xr:uid="{00000000-0005-0000-0000-0000CDC60000}"/>
    <cellStyle name="Remarque 4 2 5 3 7 4" xfId="45907" xr:uid="{00000000-0005-0000-0000-0000CEC60000}"/>
    <cellStyle name="Remarque 4 2 5 3 8" xfId="12133" xr:uid="{00000000-0005-0000-0000-0000CFC60000}"/>
    <cellStyle name="Remarque 4 2 5 3 8 2" xfId="23416" xr:uid="{00000000-0005-0000-0000-0000D0C60000}"/>
    <cellStyle name="Remarque 4 2 5 3 8 3" xfId="47376" xr:uid="{00000000-0005-0000-0000-0000D1C60000}"/>
    <cellStyle name="Remarque 4 2 5 3 9" xfId="2152" xr:uid="{00000000-0005-0000-0000-0000D2C60000}"/>
    <cellStyle name="Remarque 4 2 5 3 9 2" xfId="26166" xr:uid="{00000000-0005-0000-0000-0000D3C60000}"/>
    <cellStyle name="Remarque 4 2 5 3 9 3" xfId="50126" xr:uid="{00000000-0005-0000-0000-0000D4C60000}"/>
    <cellStyle name="Remarque 4 2 5 4" xfId="910" xr:uid="{00000000-0005-0000-0000-0000D5C60000}"/>
    <cellStyle name="Remarque 4 2 5 4 10" xfId="24942" xr:uid="{00000000-0005-0000-0000-0000D6C60000}"/>
    <cellStyle name="Remarque 4 2 5 4 10 2" xfId="48902" xr:uid="{00000000-0005-0000-0000-0000D7C60000}"/>
    <cellStyle name="Remarque 4 2 5 4 11" xfId="35607" xr:uid="{00000000-0005-0000-0000-0000D8C60000}"/>
    <cellStyle name="Remarque 4 2 5 4 11 2" xfId="59567" xr:uid="{00000000-0005-0000-0000-0000D9C60000}"/>
    <cellStyle name="Remarque 4 2 5 4 12" xfId="13607" xr:uid="{00000000-0005-0000-0000-0000DAC60000}"/>
    <cellStyle name="Remarque 4 2 5 4 13" xfId="37567" xr:uid="{00000000-0005-0000-0000-0000DBC60000}"/>
    <cellStyle name="Remarque 4 2 5 4 2" xfId="3816" xr:uid="{00000000-0005-0000-0000-0000DCC60000}"/>
    <cellStyle name="Remarque 4 2 5 4 2 2" xfId="27830" xr:uid="{00000000-0005-0000-0000-0000DDC60000}"/>
    <cellStyle name="Remarque 4 2 5 4 2 2 2" xfId="51790" xr:uid="{00000000-0005-0000-0000-0000DEC60000}"/>
    <cellStyle name="Remarque 4 2 5 4 2 3" xfId="15077" xr:uid="{00000000-0005-0000-0000-0000DFC60000}"/>
    <cellStyle name="Remarque 4 2 5 4 2 4" xfId="39037" xr:uid="{00000000-0005-0000-0000-0000E0C60000}"/>
    <cellStyle name="Remarque 4 2 5 4 3" xfId="5250" xr:uid="{00000000-0005-0000-0000-0000E1C60000}"/>
    <cellStyle name="Remarque 4 2 5 4 3 2" xfId="29264" xr:uid="{00000000-0005-0000-0000-0000E2C60000}"/>
    <cellStyle name="Remarque 4 2 5 4 3 2 2" xfId="53224" xr:uid="{00000000-0005-0000-0000-0000E3C60000}"/>
    <cellStyle name="Remarque 4 2 5 4 3 3" xfId="16511" xr:uid="{00000000-0005-0000-0000-0000E4C60000}"/>
    <cellStyle name="Remarque 4 2 5 4 3 4" xfId="40471" xr:uid="{00000000-0005-0000-0000-0000E5C60000}"/>
    <cellStyle name="Remarque 4 2 5 4 4" xfId="6644" xr:uid="{00000000-0005-0000-0000-0000E6C60000}"/>
    <cellStyle name="Remarque 4 2 5 4 4 2" xfId="30658" xr:uid="{00000000-0005-0000-0000-0000E7C60000}"/>
    <cellStyle name="Remarque 4 2 5 4 4 2 2" xfId="54618" xr:uid="{00000000-0005-0000-0000-0000E8C60000}"/>
    <cellStyle name="Remarque 4 2 5 4 4 3" xfId="17905" xr:uid="{00000000-0005-0000-0000-0000E9C60000}"/>
    <cellStyle name="Remarque 4 2 5 4 4 4" xfId="41865" xr:uid="{00000000-0005-0000-0000-0000EAC60000}"/>
    <cellStyle name="Remarque 4 2 5 4 5" xfId="8032" xr:uid="{00000000-0005-0000-0000-0000EBC60000}"/>
    <cellStyle name="Remarque 4 2 5 4 5 2" xfId="32046" xr:uid="{00000000-0005-0000-0000-0000ECC60000}"/>
    <cellStyle name="Remarque 4 2 5 4 5 2 2" xfId="56006" xr:uid="{00000000-0005-0000-0000-0000EDC60000}"/>
    <cellStyle name="Remarque 4 2 5 4 5 3" xfId="19293" xr:uid="{00000000-0005-0000-0000-0000EEC60000}"/>
    <cellStyle name="Remarque 4 2 5 4 5 4" xfId="43253" xr:uid="{00000000-0005-0000-0000-0000EFC60000}"/>
    <cellStyle name="Remarque 4 2 5 4 6" xfId="9417" xr:uid="{00000000-0005-0000-0000-0000F0C60000}"/>
    <cellStyle name="Remarque 4 2 5 4 6 2" xfId="33431" xr:uid="{00000000-0005-0000-0000-0000F1C60000}"/>
    <cellStyle name="Remarque 4 2 5 4 6 2 2" xfId="57391" xr:uid="{00000000-0005-0000-0000-0000F2C60000}"/>
    <cellStyle name="Remarque 4 2 5 4 6 3" xfId="20678" xr:uid="{00000000-0005-0000-0000-0000F3C60000}"/>
    <cellStyle name="Remarque 4 2 5 4 6 4" xfId="44638" xr:uid="{00000000-0005-0000-0000-0000F4C60000}"/>
    <cellStyle name="Remarque 4 2 5 4 7" xfId="10874" xr:uid="{00000000-0005-0000-0000-0000F5C60000}"/>
    <cellStyle name="Remarque 4 2 5 4 7 2" xfId="34884" xr:uid="{00000000-0005-0000-0000-0000F6C60000}"/>
    <cellStyle name="Remarque 4 2 5 4 7 2 2" xfId="58844" xr:uid="{00000000-0005-0000-0000-0000F7C60000}"/>
    <cellStyle name="Remarque 4 2 5 4 7 3" xfId="22141" xr:uid="{00000000-0005-0000-0000-0000F8C60000}"/>
    <cellStyle name="Remarque 4 2 5 4 7 4" xfId="46101" xr:uid="{00000000-0005-0000-0000-0000F9C60000}"/>
    <cellStyle name="Remarque 4 2 5 4 8" xfId="12446" xr:uid="{00000000-0005-0000-0000-0000FAC60000}"/>
    <cellStyle name="Remarque 4 2 5 4 8 2" xfId="23740" xr:uid="{00000000-0005-0000-0000-0000FBC60000}"/>
    <cellStyle name="Remarque 4 2 5 4 8 3" xfId="47700" xr:uid="{00000000-0005-0000-0000-0000FCC60000}"/>
    <cellStyle name="Remarque 4 2 5 4 9" xfId="2346" xr:uid="{00000000-0005-0000-0000-0000FDC60000}"/>
    <cellStyle name="Remarque 4 2 5 4 9 2" xfId="26360" xr:uid="{00000000-0005-0000-0000-0000FEC60000}"/>
    <cellStyle name="Remarque 4 2 5 4 9 3" xfId="50320" xr:uid="{00000000-0005-0000-0000-0000FFC60000}"/>
    <cellStyle name="Remarque 4 2 5 5" xfId="1103" xr:uid="{00000000-0005-0000-0000-000000C70000}"/>
    <cellStyle name="Remarque 4 2 5 5 10" xfId="25135" xr:uid="{00000000-0005-0000-0000-000001C70000}"/>
    <cellStyle name="Remarque 4 2 5 5 10 2" xfId="49095" xr:uid="{00000000-0005-0000-0000-000002C70000}"/>
    <cellStyle name="Remarque 4 2 5 5 11" xfId="36036" xr:uid="{00000000-0005-0000-0000-000003C70000}"/>
    <cellStyle name="Remarque 4 2 5 5 11 2" xfId="59996" xr:uid="{00000000-0005-0000-0000-000004C70000}"/>
    <cellStyle name="Remarque 4 2 5 5 12" xfId="13800" xr:uid="{00000000-0005-0000-0000-000005C70000}"/>
    <cellStyle name="Remarque 4 2 5 5 13" xfId="37760" xr:uid="{00000000-0005-0000-0000-000006C70000}"/>
    <cellStyle name="Remarque 4 2 5 5 2" xfId="4009" xr:uid="{00000000-0005-0000-0000-000007C70000}"/>
    <cellStyle name="Remarque 4 2 5 5 2 2" xfId="28023" xr:uid="{00000000-0005-0000-0000-000008C70000}"/>
    <cellStyle name="Remarque 4 2 5 5 2 2 2" xfId="51983" xr:uid="{00000000-0005-0000-0000-000009C70000}"/>
    <cellStyle name="Remarque 4 2 5 5 2 3" xfId="15270" xr:uid="{00000000-0005-0000-0000-00000AC70000}"/>
    <cellStyle name="Remarque 4 2 5 5 2 4" xfId="39230" xr:uid="{00000000-0005-0000-0000-00000BC70000}"/>
    <cellStyle name="Remarque 4 2 5 5 3" xfId="5443" xr:uid="{00000000-0005-0000-0000-00000CC70000}"/>
    <cellStyle name="Remarque 4 2 5 5 3 2" xfId="29457" xr:uid="{00000000-0005-0000-0000-00000DC70000}"/>
    <cellStyle name="Remarque 4 2 5 5 3 2 2" xfId="53417" xr:uid="{00000000-0005-0000-0000-00000EC70000}"/>
    <cellStyle name="Remarque 4 2 5 5 3 3" xfId="16704" xr:uid="{00000000-0005-0000-0000-00000FC70000}"/>
    <cellStyle name="Remarque 4 2 5 5 3 4" xfId="40664" xr:uid="{00000000-0005-0000-0000-000010C70000}"/>
    <cellStyle name="Remarque 4 2 5 5 4" xfId="6837" xr:uid="{00000000-0005-0000-0000-000011C70000}"/>
    <cellStyle name="Remarque 4 2 5 5 4 2" xfId="30851" xr:uid="{00000000-0005-0000-0000-000012C70000}"/>
    <cellStyle name="Remarque 4 2 5 5 4 2 2" xfId="54811" xr:uid="{00000000-0005-0000-0000-000013C70000}"/>
    <cellStyle name="Remarque 4 2 5 5 4 3" xfId="18098" xr:uid="{00000000-0005-0000-0000-000014C70000}"/>
    <cellStyle name="Remarque 4 2 5 5 4 4" xfId="42058" xr:uid="{00000000-0005-0000-0000-000015C70000}"/>
    <cellStyle name="Remarque 4 2 5 5 5" xfId="8225" xr:uid="{00000000-0005-0000-0000-000016C70000}"/>
    <cellStyle name="Remarque 4 2 5 5 5 2" xfId="32239" xr:uid="{00000000-0005-0000-0000-000017C70000}"/>
    <cellStyle name="Remarque 4 2 5 5 5 2 2" xfId="56199" xr:uid="{00000000-0005-0000-0000-000018C70000}"/>
    <cellStyle name="Remarque 4 2 5 5 5 3" xfId="19486" xr:uid="{00000000-0005-0000-0000-000019C70000}"/>
    <cellStyle name="Remarque 4 2 5 5 5 4" xfId="43446" xr:uid="{00000000-0005-0000-0000-00001AC70000}"/>
    <cellStyle name="Remarque 4 2 5 5 6" xfId="9610" xr:uid="{00000000-0005-0000-0000-00001BC70000}"/>
    <cellStyle name="Remarque 4 2 5 5 6 2" xfId="33624" xr:uid="{00000000-0005-0000-0000-00001CC70000}"/>
    <cellStyle name="Remarque 4 2 5 5 6 2 2" xfId="57584" xr:uid="{00000000-0005-0000-0000-00001DC70000}"/>
    <cellStyle name="Remarque 4 2 5 5 6 3" xfId="20871" xr:uid="{00000000-0005-0000-0000-00001EC70000}"/>
    <cellStyle name="Remarque 4 2 5 5 6 4" xfId="44831" xr:uid="{00000000-0005-0000-0000-00001FC70000}"/>
    <cellStyle name="Remarque 4 2 5 5 7" xfId="11067" xr:uid="{00000000-0005-0000-0000-000020C70000}"/>
    <cellStyle name="Remarque 4 2 5 5 7 2" xfId="35077" xr:uid="{00000000-0005-0000-0000-000021C70000}"/>
    <cellStyle name="Remarque 4 2 5 5 7 2 2" xfId="59037" xr:uid="{00000000-0005-0000-0000-000022C70000}"/>
    <cellStyle name="Remarque 4 2 5 5 7 3" xfId="22334" xr:uid="{00000000-0005-0000-0000-000023C70000}"/>
    <cellStyle name="Remarque 4 2 5 5 7 4" xfId="46294" xr:uid="{00000000-0005-0000-0000-000024C70000}"/>
    <cellStyle name="Remarque 4 2 5 5 8" xfId="12476" xr:uid="{00000000-0005-0000-0000-000025C70000}"/>
    <cellStyle name="Remarque 4 2 5 5 8 2" xfId="23772" xr:uid="{00000000-0005-0000-0000-000026C70000}"/>
    <cellStyle name="Remarque 4 2 5 5 8 3" xfId="47732" xr:uid="{00000000-0005-0000-0000-000027C70000}"/>
    <cellStyle name="Remarque 4 2 5 5 9" xfId="2539" xr:uid="{00000000-0005-0000-0000-000028C70000}"/>
    <cellStyle name="Remarque 4 2 5 5 9 2" xfId="26553" xr:uid="{00000000-0005-0000-0000-000029C70000}"/>
    <cellStyle name="Remarque 4 2 5 5 9 3" xfId="50513" xr:uid="{00000000-0005-0000-0000-00002AC70000}"/>
    <cellStyle name="Remarque 4 2 5 6" xfId="1270" xr:uid="{00000000-0005-0000-0000-00002BC70000}"/>
    <cellStyle name="Remarque 4 2 5 6 10" xfId="25302" xr:uid="{00000000-0005-0000-0000-00002CC70000}"/>
    <cellStyle name="Remarque 4 2 5 6 10 2" xfId="49262" xr:uid="{00000000-0005-0000-0000-00002DC70000}"/>
    <cellStyle name="Remarque 4 2 5 6 11" xfId="36112" xr:uid="{00000000-0005-0000-0000-00002EC70000}"/>
    <cellStyle name="Remarque 4 2 5 6 11 2" xfId="60072" xr:uid="{00000000-0005-0000-0000-00002FC70000}"/>
    <cellStyle name="Remarque 4 2 5 6 12" xfId="13967" xr:uid="{00000000-0005-0000-0000-000030C70000}"/>
    <cellStyle name="Remarque 4 2 5 6 13" xfId="37927" xr:uid="{00000000-0005-0000-0000-000031C70000}"/>
    <cellStyle name="Remarque 4 2 5 6 2" xfId="4176" xr:uid="{00000000-0005-0000-0000-000032C70000}"/>
    <cellStyle name="Remarque 4 2 5 6 2 2" xfId="28190" xr:uid="{00000000-0005-0000-0000-000033C70000}"/>
    <cellStyle name="Remarque 4 2 5 6 2 2 2" xfId="52150" xr:uid="{00000000-0005-0000-0000-000034C70000}"/>
    <cellStyle name="Remarque 4 2 5 6 2 3" xfId="15437" xr:uid="{00000000-0005-0000-0000-000035C70000}"/>
    <cellStyle name="Remarque 4 2 5 6 2 4" xfId="39397" xr:uid="{00000000-0005-0000-0000-000036C70000}"/>
    <cellStyle name="Remarque 4 2 5 6 3" xfId="5610" xr:uid="{00000000-0005-0000-0000-000037C70000}"/>
    <cellStyle name="Remarque 4 2 5 6 3 2" xfId="29624" xr:uid="{00000000-0005-0000-0000-000038C70000}"/>
    <cellStyle name="Remarque 4 2 5 6 3 2 2" xfId="53584" xr:uid="{00000000-0005-0000-0000-000039C70000}"/>
    <cellStyle name="Remarque 4 2 5 6 3 3" xfId="16871" xr:uid="{00000000-0005-0000-0000-00003AC70000}"/>
    <cellStyle name="Remarque 4 2 5 6 3 4" xfId="40831" xr:uid="{00000000-0005-0000-0000-00003BC70000}"/>
    <cellStyle name="Remarque 4 2 5 6 4" xfId="7004" xr:uid="{00000000-0005-0000-0000-00003CC70000}"/>
    <cellStyle name="Remarque 4 2 5 6 4 2" xfId="31018" xr:uid="{00000000-0005-0000-0000-00003DC70000}"/>
    <cellStyle name="Remarque 4 2 5 6 4 2 2" xfId="54978" xr:uid="{00000000-0005-0000-0000-00003EC70000}"/>
    <cellStyle name="Remarque 4 2 5 6 4 3" xfId="18265" xr:uid="{00000000-0005-0000-0000-00003FC70000}"/>
    <cellStyle name="Remarque 4 2 5 6 4 4" xfId="42225" xr:uid="{00000000-0005-0000-0000-000040C70000}"/>
    <cellStyle name="Remarque 4 2 5 6 5" xfId="8392" xr:uid="{00000000-0005-0000-0000-000041C70000}"/>
    <cellStyle name="Remarque 4 2 5 6 5 2" xfId="32406" xr:uid="{00000000-0005-0000-0000-000042C70000}"/>
    <cellStyle name="Remarque 4 2 5 6 5 2 2" xfId="56366" xr:uid="{00000000-0005-0000-0000-000043C70000}"/>
    <cellStyle name="Remarque 4 2 5 6 5 3" xfId="19653" xr:uid="{00000000-0005-0000-0000-000044C70000}"/>
    <cellStyle name="Remarque 4 2 5 6 5 4" xfId="43613" xr:uid="{00000000-0005-0000-0000-000045C70000}"/>
    <cellStyle name="Remarque 4 2 5 6 6" xfId="9777" xr:uid="{00000000-0005-0000-0000-000046C70000}"/>
    <cellStyle name="Remarque 4 2 5 6 6 2" xfId="33791" xr:uid="{00000000-0005-0000-0000-000047C70000}"/>
    <cellStyle name="Remarque 4 2 5 6 6 2 2" xfId="57751" xr:uid="{00000000-0005-0000-0000-000048C70000}"/>
    <cellStyle name="Remarque 4 2 5 6 6 3" xfId="21038" xr:uid="{00000000-0005-0000-0000-000049C70000}"/>
    <cellStyle name="Remarque 4 2 5 6 6 4" xfId="44998" xr:uid="{00000000-0005-0000-0000-00004AC70000}"/>
    <cellStyle name="Remarque 4 2 5 6 7" xfId="11234" xr:uid="{00000000-0005-0000-0000-00004BC70000}"/>
    <cellStyle name="Remarque 4 2 5 6 7 2" xfId="35244" xr:uid="{00000000-0005-0000-0000-00004CC70000}"/>
    <cellStyle name="Remarque 4 2 5 6 7 2 2" xfId="59204" xr:uid="{00000000-0005-0000-0000-00004DC70000}"/>
    <cellStyle name="Remarque 4 2 5 6 7 3" xfId="22501" xr:uid="{00000000-0005-0000-0000-00004EC70000}"/>
    <cellStyle name="Remarque 4 2 5 6 7 4" xfId="46461" xr:uid="{00000000-0005-0000-0000-00004FC70000}"/>
    <cellStyle name="Remarque 4 2 5 6 8" xfId="12596" xr:uid="{00000000-0005-0000-0000-000050C70000}"/>
    <cellStyle name="Remarque 4 2 5 6 8 2" xfId="23897" xr:uid="{00000000-0005-0000-0000-000051C70000}"/>
    <cellStyle name="Remarque 4 2 5 6 8 3" xfId="47857" xr:uid="{00000000-0005-0000-0000-000052C70000}"/>
    <cellStyle name="Remarque 4 2 5 6 9" xfId="2706" xr:uid="{00000000-0005-0000-0000-000053C70000}"/>
    <cellStyle name="Remarque 4 2 5 6 9 2" xfId="26720" xr:uid="{00000000-0005-0000-0000-000054C70000}"/>
    <cellStyle name="Remarque 4 2 5 6 9 3" xfId="50680" xr:uid="{00000000-0005-0000-0000-000055C70000}"/>
    <cellStyle name="Remarque 4 2 5 7" xfId="1439" xr:uid="{00000000-0005-0000-0000-000056C70000}"/>
    <cellStyle name="Remarque 4 2 5 7 10" xfId="25471" xr:uid="{00000000-0005-0000-0000-000057C70000}"/>
    <cellStyle name="Remarque 4 2 5 7 10 2" xfId="49431" xr:uid="{00000000-0005-0000-0000-000058C70000}"/>
    <cellStyle name="Remarque 4 2 5 7 11" xfId="36456" xr:uid="{00000000-0005-0000-0000-000059C70000}"/>
    <cellStyle name="Remarque 4 2 5 7 11 2" xfId="60416" xr:uid="{00000000-0005-0000-0000-00005AC70000}"/>
    <cellStyle name="Remarque 4 2 5 7 12" xfId="14136" xr:uid="{00000000-0005-0000-0000-00005BC70000}"/>
    <cellStyle name="Remarque 4 2 5 7 13" xfId="38096" xr:uid="{00000000-0005-0000-0000-00005CC70000}"/>
    <cellStyle name="Remarque 4 2 5 7 2" xfId="4345" xr:uid="{00000000-0005-0000-0000-00005DC70000}"/>
    <cellStyle name="Remarque 4 2 5 7 2 2" xfId="28359" xr:uid="{00000000-0005-0000-0000-00005EC70000}"/>
    <cellStyle name="Remarque 4 2 5 7 2 2 2" xfId="52319" xr:uid="{00000000-0005-0000-0000-00005FC70000}"/>
    <cellStyle name="Remarque 4 2 5 7 2 3" xfId="15606" xr:uid="{00000000-0005-0000-0000-000060C70000}"/>
    <cellStyle name="Remarque 4 2 5 7 2 4" xfId="39566" xr:uid="{00000000-0005-0000-0000-000061C70000}"/>
    <cellStyle name="Remarque 4 2 5 7 3" xfId="5779" xr:uid="{00000000-0005-0000-0000-000062C70000}"/>
    <cellStyle name="Remarque 4 2 5 7 3 2" xfId="29793" xr:uid="{00000000-0005-0000-0000-000063C70000}"/>
    <cellStyle name="Remarque 4 2 5 7 3 2 2" xfId="53753" xr:uid="{00000000-0005-0000-0000-000064C70000}"/>
    <cellStyle name="Remarque 4 2 5 7 3 3" xfId="17040" xr:uid="{00000000-0005-0000-0000-000065C70000}"/>
    <cellStyle name="Remarque 4 2 5 7 3 4" xfId="41000" xr:uid="{00000000-0005-0000-0000-000066C70000}"/>
    <cellStyle name="Remarque 4 2 5 7 4" xfId="7173" xr:uid="{00000000-0005-0000-0000-000067C70000}"/>
    <cellStyle name="Remarque 4 2 5 7 4 2" xfId="31187" xr:uid="{00000000-0005-0000-0000-000068C70000}"/>
    <cellStyle name="Remarque 4 2 5 7 4 2 2" xfId="55147" xr:uid="{00000000-0005-0000-0000-000069C70000}"/>
    <cellStyle name="Remarque 4 2 5 7 4 3" xfId="18434" xr:uid="{00000000-0005-0000-0000-00006AC70000}"/>
    <cellStyle name="Remarque 4 2 5 7 4 4" xfId="42394" xr:uid="{00000000-0005-0000-0000-00006BC70000}"/>
    <cellStyle name="Remarque 4 2 5 7 5" xfId="8561" xr:uid="{00000000-0005-0000-0000-00006CC70000}"/>
    <cellStyle name="Remarque 4 2 5 7 5 2" xfId="32575" xr:uid="{00000000-0005-0000-0000-00006DC70000}"/>
    <cellStyle name="Remarque 4 2 5 7 5 2 2" xfId="56535" xr:uid="{00000000-0005-0000-0000-00006EC70000}"/>
    <cellStyle name="Remarque 4 2 5 7 5 3" xfId="19822" xr:uid="{00000000-0005-0000-0000-00006FC70000}"/>
    <cellStyle name="Remarque 4 2 5 7 5 4" xfId="43782" xr:uid="{00000000-0005-0000-0000-000070C70000}"/>
    <cellStyle name="Remarque 4 2 5 7 6" xfId="9946" xr:uid="{00000000-0005-0000-0000-000071C70000}"/>
    <cellStyle name="Remarque 4 2 5 7 6 2" xfId="33960" xr:uid="{00000000-0005-0000-0000-000072C70000}"/>
    <cellStyle name="Remarque 4 2 5 7 6 2 2" xfId="57920" xr:uid="{00000000-0005-0000-0000-000073C70000}"/>
    <cellStyle name="Remarque 4 2 5 7 6 3" xfId="21207" xr:uid="{00000000-0005-0000-0000-000074C70000}"/>
    <cellStyle name="Remarque 4 2 5 7 6 4" xfId="45167" xr:uid="{00000000-0005-0000-0000-000075C70000}"/>
    <cellStyle name="Remarque 4 2 5 7 7" xfId="11403" xr:uid="{00000000-0005-0000-0000-000076C70000}"/>
    <cellStyle name="Remarque 4 2 5 7 7 2" xfId="35413" xr:uid="{00000000-0005-0000-0000-000077C70000}"/>
    <cellStyle name="Remarque 4 2 5 7 7 2 2" xfId="59373" xr:uid="{00000000-0005-0000-0000-000078C70000}"/>
    <cellStyle name="Remarque 4 2 5 7 7 3" xfId="22670" xr:uid="{00000000-0005-0000-0000-000079C70000}"/>
    <cellStyle name="Remarque 4 2 5 7 7 4" xfId="46630" xr:uid="{00000000-0005-0000-0000-00007AC70000}"/>
    <cellStyle name="Remarque 4 2 5 7 8" xfId="12904" xr:uid="{00000000-0005-0000-0000-00007BC70000}"/>
    <cellStyle name="Remarque 4 2 5 7 8 2" xfId="24217" xr:uid="{00000000-0005-0000-0000-00007CC70000}"/>
    <cellStyle name="Remarque 4 2 5 7 8 3" xfId="48177" xr:uid="{00000000-0005-0000-0000-00007DC70000}"/>
    <cellStyle name="Remarque 4 2 5 7 9" xfId="2875" xr:uid="{00000000-0005-0000-0000-00007EC70000}"/>
    <cellStyle name="Remarque 4 2 5 7 9 2" xfId="26889" xr:uid="{00000000-0005-0000-0000-00007FC70000}"/>
    <cellStyle name="Remarque 4 2 5 7 9 3" xfId="50849" xr:uid="{00000000-0005-0000-0000-000080C70000}"/>
    <cellStyle name="Remarque 4 2 5 8" xfId="3294" xr:uid="{00000000-0005-0000-0000-000081C70000}"/>
    <cellStyle name="Remarque 4 2 5 8 2" xfId="27308" xr:uid="{00000000-0005-0000-0000-000082C70000}"/>
    <cellStyle name="Remarque 4 2 5 8 2 2" xfId="51268" xr:uid="{00000000-0005-0000-0000-000083C70000}"/>
    <cellStyle name="Remarque 4 2 5 8 3" xfId="14555" xr:uid="{00000000-0005-0000-0000-000084C70000}"/>
    <cellStyle name="Remarque 4 2 5 8 4" xfId="38515" xr:uid="{00000000-0005-0000-0000-000085C70000}"/>
    <cellStyle name="Remarque 4 2 5 9" xfId="4728" xr:uid="{00000000-0005-0000-0000-000086C70000}"/>
    <cellStyle name="Remarque 4 2 5 9 2" xfId="28742" xr:uid="{00000000-0005-0000-0000-000087C70000}"/>
    <cellStyle name="Remarque 4 2 5 9 2 2" xfId="52702" xr:uid="{00000000-0005-0000-0000-000088C70000}"/>
    <cellStyle name="Remarque 4 2 5 9 3" xfId="15989" xr:uid="{00000000-0005-0000-0000-000089C70000}"/>
    <cellStyle name="Remarque 4 2 5 9 4" xfId="39949" xr:uid="{00000000-0005-0000-0000-00008AC70000}"/>
    <cellStyle name="Remarque 4 2 6" xfId="332" xr:uid="{00000000-0005-0000-0000-00008BC70000}"/>
    <cellStyle name="Remarque 4 2 6 10" xfId="24364" xr:uid="{00000000-0005-0000-0000-00008CC70000}"/>
    <cellStyle name="Remarque 4 2 6 10 2" xfId="48324" xr:uid="{00000000-0005-0000-0000-00008DC70000}"/>
    <cellStyle name="Remarque 4 2 6 11" xfId="35747" xr:uid="{00000000-0005-0000-0000-00008EC70000}"/>
    <cellStyle name="Remarque 4 2 6 11 2" xfId="59707" xr:uid="{00000000-0005-0000-0000-00008FC70000}"/>
    <cellStyle name="Remarque 4 2 6 12" xfId="13029" xr:uid="{00000000-0005-0000-0000-000090C70000}"/>
    <cellStyle name="Remarque 4 2 6 13" xfId="36989" xr:uid="{00000000-0005-0000-0000-000091C70000}"/>
    <cellStyle name="Remarque 4 2 6 2" xfId="3238" xr:uid="{00000000-0005-0000-0000-000092C70000}"/>
    <cellStyle name="Remarque 4 2 6 2 2" xfId="27252" xr:uid="{00000000-0005-0000-0000-000093C70000}"/>
    <cellStyle name="Remarque 4 2 6 2 2 2" xfId="51212" xr:uid="{00000000-0005-0000-0000-000094C70000}"/>
    <cellStyle name="Remarque 4 2 6 2 3" xfId="14499" xr:uid="{00000000-0005-0000-0000-000095C70000}"/>
    <cellStyle name="Remarque 4 2 6 2 4" xfId="38459" xr:uid="{00000000-0005-0000-0000-000096C70000}"/>
    <cellStyle name="Remarque 4 2 6 3" xfId="4672" xr:uid="{00000000-0005-0000-0000-000097C70000}"/>
    <cellStyle name="Remarque 4 2 6 3 2" xfId="28686" xr:uid="{00000000-0005-0000-0000-000098C70000}"/>
    <cellStyle name="Remarque 4 2 6 3 2 2" xfId="52646" xr:uid="{00000000-0005-0000-0000-000099C70000}"/>
    <cellStyle name="Remarque 4 2 6 3 3" xfId="15933" xr:uid="{00000000-0005-0000-0000-00009AC70000}"/>
    <cellStyle name="Remarque 4 2 6 3 4" xfId="39893" xr:uid="{00000000-0005-0000-0000-00009BC70000}"/>
    <cellStyle name="Remarque 4 2 6 4" xfId="6066" xr:uid="{00000000-0005-0000-0000-00009CC70000}"/>
    <cellStyle name="Remarque 4 2 6 4 2" xfId="30080" xr:uid="{00000000-0005-0000-0000-00009DC70000}"/>
    <cellStyle name="Remarque 4 2 6 4 2 2" xfId="54040" xr:uid="{00000000-0005-0000-0000-00009EC70000}"/>
    <cellStyle name="Remarque 4 2 6 4 3" xfId="17327" xr:uid="{00000000-0005-0000-0000-00009FC70000}"/>
    <cellStyle name="Remarque 4 2 6 4 4" xfId="41287" xr:uid="{00000000-0005-0000-0000-0000A0C70000}"/>
    <cellStyle name="Remarque 4 2 6 5" xfId="7454" xr:uid="{00000000-0005-0000-0000-0000A1C70000}"/>
    <cellStyle name="Remarque 4 2 6 5 2" xfId="31468" xr:uid="{00000000-0005-0000-0000-0000A2C70000}"/>
    <cellStyle name="Remarque 4 2 6 5 2 2" xfId="55428" xr:uid="{00000000-0005-0000-0000-0000A3C70000}"/>
    <cellStyle name="Remarque 4 2 6 5 3" xfId="18715" xr:uid="{00000000-0005-0000-0000-0000A4C70000}"/>
    <cellStyle name="Remarque 4 2 6 5 4" xfId="42675" xr:uid="{00000000-0005-0000-0000-0000A5C70000}"/>
    <cellStyle name="Remarque 4 2 6 6" xfId="8839" xr:uid="{00000000-0005-0000-0000-0000A6C70000}"/>
    <cellStyle name="Remarque 4 2 6 6 2" xfId="32853" xr:uid="{00000000-0005-0000-0000-0000A7C70000}"/>
    <cellStyle name="Remarque 4 2 6 6 2 2" xfId="56813" xr:uid="{00000000-0005-0000-0000-0000A8C70000}"/>
    <cellStyle name="Remarque 4 2 6 6 3" xfId="20100" xr:uid="{00000000-0005-0000-0000-0000A9C70000}"/>
    <cellStyle name="Remarque 4 2 6 6 4" xfId="44060" xr:uid="{00000000-0005-0000-0000-0000AAC70000}"/>
    <cellStyle name="Remarque 4 2 6 7" xfId="10296" xr:uid="{00000000-0005-0000-0000-0000ABC70000}"/>
    <cellStyle name="Remarque 4 2 6 7 2" xfId="34306" xr:uid="{00000000-0005-0000-0000-0000ACC70000}"/>
    <cellStyle name="Remarque 4 2 6 7 2 2" xfId="58266" xr:uid="{00000000-0005-0000-0000-0000ADC70000}"/>
    <cellStyle name="Remarque 4 2 6 7 3" xfId="21563" xr:uid="{00000000-0005-0000-0000-0000AEC70000}"/>
    <cellStyle name="Remarque 4 2 6 7 4" xfId="45523" xr:uid="{00000000-0005-0000-0000-0000AFC70000}"/>
    <cellStyle name="Remarque 4 2 6 8" xfId="11674" xr:uid="{00000000-0005-0000-0000-0000B0C70000}"/>
    <cellStyle name="Remarque 4 2 6 8 2" xfId="22943" xr:uid="{00000000-0005-0000-0000-0000B1C70000}"/>
    <cellStyle name="Remarque 4 2 6 8 3" xfId="46903" xr:uid="{00000000-0005-0000-0000-0000B2C70000}"/>
    <cellStyle name="Remarque 4 2 6 9" xfId="1768" xr:uid="{00000000-0005-0000-0000-0000B3C70000}"/>
    <cellStyle name="Remarque 4 2 6 9 2" xfId="25782" xr:uid="{00000000-0005-0000-0000-0000B4C70000}"/>
    <cellStyle name="Remarque 4 2 6 9 3" xfId="49742" xr:uid="{00000000-0005-0000-0000-0000B5C70000}"/>
    <cellStyle name="Remarque 4 2 7" xfId="628" xr:uid="{00000000-0005-0000-0000-0000B6C70000}"/>
    <cellStyle name="Remarque 4 2 7 10" xfId="24660" xr:uid="{00000000-0005-0000-0000-0000B7C70000}"/>
    <cellStyle name="Remarque 4 2 7 10 2" xfId="48620" xr:uid="{00000000-0005-0000-0000-0000B8C70000}"/>
    <cellStyle name="Remarque 4 2 7 11" xfId="36248" xr:uid="{00000000-0005-0000-0000-0000B9C70000}"/>
    <cellStyle name="Remarque 4 2 7 11 2" xfId="60208" xr:uid="{00000000-0005-0000-0000-0000BAC70000}"/>
    <cellStyle name="Remarque 4 2 7 12" xfId="13325" xr:uid="{00000000-0005-0000-0000-0000BBC70000}"/>
    <cellStyle name="Remarque 4 2 7 13" xfId="37285" xr:uid="{00000000-0005-0000-0000-0000BCC70000}"/>
    <cellStyle name="Remarque 4 2 7 2" xfId="3534" xr:uid="{00000000-0005-0000-0000-0000BDC70000}"/>
    <cellStyle name="Remarque 4 2 7 2 2" xfId="27548" xr:uid="{00000000-0005-0000-0000-0000BEC70000}"/>
    <cellStyle name="Remarque 4 2 7 2 2 2" xfId="51508" xr:uid="{00000000-0005-0000-0000-0000BFC70000}"/>
    <cellStyle name="Remarque 4 2 7 2 3" xfId="14795" xr:uid="{00000000-0005-0000-0000-0000C0C70000}"/>
    <cellStyle name="Remarque 4 2 7 2 4" xfId="38755" xr:uid="{00000000-0005-0000-0000-0000C1C70000}"/>
    <cellStyle name="Remarque 4 2 7 3" xfId="4968" xr:uid="{00000000-0005-0000-0000-0000C2C70000}"/>
    <cellStyle name="Remarque 4 2 7 3 2" xfId="28982" xr:uid="{00000000-0005-0000-0000-0000C3C70000}"/>
    <cellStyle name="Remarque 4 2 7 3 2 2" xfId="52942" xr:uid="{00000000-0005-0000-0000-0000C4C70000}"/>
    <cellStyle name="Remarque 4 2 7 3 3" xfId="16229" xr:uid="{00000000-0005-0000-0000-0000C5C70000}"/>
    <cellStyle name="Remarque 4 2 7 3 4" xfId="40189" xr:uid="{00000000-0005-0000-0000-0000C6C70000}"/>
    <cellStyle name="Remarque 4 2 7 4" xfId="6362" xr:uid="{00000000-0005-0000-0000-0000C7C70000}"/>
    <cellStyle name="Remarque 4 2 7 4 2" xfId="30376" xr:uid="{00000000-0005-0000-0000-0000C8C70000}"/>
    <cellStyle name="Remarque 4 2 7 4 2 2" xfId="54336" xr:uid="{00000000-0005-0000-0000-0000C9C70000}"/>
    <cellStyle name="Remarque 4 2 7 4 3" xfId="17623" xr:uid="{00000000-0005-0000-0000-0000CAC70000}"/>
    <cellStyle name="Remarque 4 2 7 4 4" xfId="41583" xr:uid="{00000000-0005-0000-0000-0000CBC70000}"/>
    <cellStyle name="Remarque 4 2 7 5" xfId="7750" xr:uid="{00000000-0005-0000-0000-0000CCC70000}"/>
    <cellStyle name="Remarque 4 2 7 5 2" xfId="31764" xr:uid="{00000000-0005-0000-0000-0000CDC70000}"/>
    <cellStyle name="Remarque 4 2 7 5 2 2" xfId="55724" xr:uid="{00000000-0005-0000-0000-0000CEC70000}"/>
    <cellStyle name="Remarque 4 2 7 5 3" xfId="19011" xr:uid="{00000000-0005-0000-0000-0000CFC70000}"/>
    <cellStyle name="Remarque 4 2 7 5 4" xfId="42971" xr:uid="{00000000-0005-0000-0000-0000D0C70000}"/>
    <cellStyle name="Remarque 4 2 7 6" xfId="9135" xr:uid="{00000000-0005-0000-0000-0000D1C70000}"/>
    <cellStyle name="Remarque 4 2 7 6 2" xfId="33149" xr:uid="{00000000-0005-0000-0000-0000D2C70000}"/>
    <cellStyle name="Remarque 4 2 7 6 2 2" xfId="57109" xr:uid="{00000000-0005-0000-0000-0000D3C70000}"/>
    <cellStyle name="Remarque 4 2 7 6 3" xfId="20396" xr:uid="{00000000-0005-0000-0000-0000D4C70000}"/>
    <cellStyle name="Remarque 4 2 7 6 4" xfId="44356" xr:uid="{00000000-0005-0000-0000-0000D5C70000}"/>
    <cellStyle name="Remarque 4 2 7 7" xfId="10592" xr:uid="{00000000-0005-0000-0000-0000D6C70000}"/>
    <cellStyle name="Remarque 4 2 7 7 2" xfId="34602" xr:uid="{00000000-0005-0000-0000-0000D7C70000}"/>
    <cellStyle name="Remarque 4 2 7 7 2 2" xfId="58562" xr:uid="{00000000-0005-0000-0000-0000D8C70000}"/>
    <cellStyle name="Remarque 4 2 7 7 3" xfId="21859" xr:uid="{00000000-0005-0000-0000-0000D9C70000}"/>
    <cellStyle name="Remarque 4 2 7 7 4" xfId="45819" xr:uid="{00000000-0005-0000-0000-0000DAC70000}"/>
    <cellStyle name="Remarque 4 2 7 8" xfId="12602" xr:uid="{00000000-0005-0000-0000-0000DBC70000}"/>
    <cellStyle name="Remarque 4 2 7 8 2" xfId="23903" xr:uid="{00000000-0005-0000-0000-0000DCC70000}"/>
    <cellStyle name="Remarque 4 2 7 8 3" xfId="47863" xr:uid="{00000000-0005-0000-0000-0000DDC70000}"/>
    <cellStyle name="Remarque 4 2 7 9" xfId="2064" xr:uid="{00000000-0005-0000-0000-0000DEC70000}"/>
    <cellStyle name="Remarque 4 2 7 9 2" xfId="26078" xr:uid="{00000000-0005-0000-0000-0000DFC70000}"/>
    <cellStyle name="Remarque 4 2 7 9 3" xfId="50038" xr:uid="{00000000-0005-0000-0000-0000E0C70000}"/>
    <cellStyle name="Remarque 4 2 8" xfId="822" xr:uid="{00000000-0005-0000-0000-0000E1C70000}"/>
    <cellStyle name="Remarque 4 2 8 10" xfId="24854" xr:uid="{00000000-0005-0000-0000-0000E2C70000}"/>
    <cellStyle name="Remarque 4 2 8 10 2" xfId="48814" xr:uid="{00000000-0005-0000-0000-0000E3C70000}"/>
    <cellStyle name="Remarque 4 2 8 11" xfId="36514" xr:uid="{00000000-0005-0000-0000-0000E4C70000}"/>
    <cellStyle name="Remarque 4 2 8 11 2" xfId="60474" xr:uid="{00000000-0005-0000-0000-0000E5C70000}"/>
    <cellStyle name="Remarque 4 2 8 12" xfId="13519" xr:uid="{00000000-0005-0000-0000-0000E6C70000}"/>
    <cellStyle name="Remarque 4 2 8 13" xfId="37479" xr:uid="{00000000-0005-0000-0000-0000E7C70000}"/>
    <cellStyle name="Remarque 4 2 8 2" xfId="3728" xr:uid="{00000000-0005-0000-0000-0000E8C70000}"/>
    <cellStyle name="Remarque 4 2 8 2 2" xfId="27742" xr:uid="{00000000-0005-0000-0000-0000E9C70000}"/>
    <cellStyle name="Remarque 4 2 8 2 2 2" xfId="51702" xr:uid="{00000000-0005-0000-0000-0000EAC70000}"/>
    <cellStyle name="Remarque 4 2 8 2 3" xfId="14989" xr:uid="{00000000-0005-0000-0000-0000EBC70000}"/>
    <cellStyle name="Remarque 4 2 8 2 4" xfId="38949" xr:uid="{00000000-0005-0000-0000-0000ECC70000}"/>
    <cellStyle name="Remarque 4 2 8 3" xfId="5162" xr:uid="{00000000-0005-0000-0000-0000EDC70000}"/>
    <cellStyle name="Remarque 4 2 8 3 2" xfId="29176" xr:uid="{00000000-0005-0000-0000-0000EEC70000}"/>
    <cellStyle name="Remarque 4 2 8 3 2 2" xfId="53136" xr:uid="{00000000-0005-0000-0000-0000EFC70000}"/>
    <cellStyle name="Remarque 4 2 8 3 3" xfId="16423" xr:uid="{00000000-0005-0000-0000-0000F0C70000}"/>
    <cellStyle name="Remarque 4 2 8 3 4" xfId="40383" xr:uid="{00000000-0005-0000-0000-0000F1C70000}"/>
    <cellStyle name="Remarque 4 2 8 4" xfId="6556" xr:uid="{00000000-0005-0000-0000-0000F2C70000}"/>
    <cellStyle name="Remarque 4 2 8 4 2" xfId="30570" xr:uid="{00000000-0005-0000-0000-0000F3C70000}"/>
    <cellStyle name="Remarque 4 2 8 4 2 2" xfId="54530" xr:uid="{00000000-0005-0000-0000-0000F4C70000}"/>
    <cellStyle name="Remarque 4 2 8 4 3" xfId="17817" xr:uid="{00000000-0005-0000-0000-0000F5C70000}"/>
    <cellStyle name="Remarque 4 2 8 4 4" xfId="41777" xr:uid="{00000000-0005-0000-0000-0000F6C70000}"/>
    <cellStyle name="Remarque 4 2 8 5" xfId="7944" xr:uid="{00000000-0005-0000-0000-0000F7C70000}"/>
    <cellStyle name="Remarque 4 2 8 5 2" xfId="31958" xr:uid="{00000000-0005-0000-0000-0000F8C70000}"/>
    <cellStyle name="Remarque 4 2 8 5 2 2" xfId="55918" xr:uid="{00000000-0005-0000-0000-0000F9C70000}"/>
    <cellStyle name="Remarque 4 2 8 5 3" xfId="19205" xr:uid="{00000000-0005-0000-0000-0000FAC70000}"/>
    <cellStyle name="Remarque 4 2 8 5 4" xfId="43165" xr:uid="{00000000-0005-0000-0000-0000FBC70000}"/>
    <cellStyle name="Remarque 4 2 8 6" xfId="9329" xr:uid="{00000000-0005-0000-0000-0000FCC70000}"/>
    <cellStyle name="Remarque 4 2 8 6 2" xfId="33343" xr:uid="{00000000-0005-0000-0000-0000FDC70000}"/>
    <cellStyle name="Remarque 4 2 8 6 2 2" xfId="57303" xr:uid="{00000000-0005-0000-0000-0000FEC70000}"/>
    <cellStyle name="Remarque 4 2 8 6 3" xfId="20590" xr:uid="{00000000-0005-0000-0000-0000FFC70000}"/>
    <cellStyle name="Remarque 4 2 8 6 4" xfId="44550" xr:uid="{00000000-0005-0000-0000-000000C80000}"/>
    <cellStyle name="Remarque 4 2 8 7" xfId="10786" xr:uid="{00000000-0005-0000-0000-000001C80000}"/>
    <cellStyle name="Remarque 4 2 8 7 2" xfId="34796" xr:uid="{00000000-0005-0000-0000-000002C80000}"/>
    <cellStyle name="Remarque 4 2 8 7 2 2" xfId="58756" xr:uid="{00000000-0005-0000-0000-000003C80000}"/>
    <cellStyle name="Remarque 4 2 8 7 3" xfId="22053" xr:uid="{00000000-0005-0000-0000-000004C80000}"/>
    <cellStyle name="Remarque 4 2 8 7 4" xfId="46013" xr:uid="{00000000-0005-0000-0000-000005C80000}"/>
    <cellStyle name="Remarque 4 2 8 8" xfId="12243" xr:uid="{00000000-0005-0000-0000-000006C80000}"/>
    <cellStyle name="Remarque 4 2 8 8 2" xfId="23528" xr:uid="{00000000-0005-0000-0000-000007C80000}"/>
    <cellStyle name="Remarque 4 2 8 8 3" xfId="47488" xr:uid="{00000000-0005-0000-0000-000008C80000}"/>
    <cellStyle name="Remarque 4 2 8 9" xfId="2258" xr:uid="{00000000-0005-0000-0000-000009C80000}"/>
    <cellStyle name="Remarque 4 2 8 9 2" xfId="26272" xr:uid="{00000000-0005-0000-0000-00000AC80000}"/>
    <cellStyle name="Remarque 4 2 8 9 3" xfId="50232" xr:uid="{00000000-0005-0000-0000-00000BC80000}"/>
    <cellStyle name="Remarque 4 2 9" xfId="1015" xr:uid="{00000000-0005-0000-0000-00000CC80000}"/>
    <cellStyle name="Remarque 4 2 9 10" xfId="25047" xr:uid="{00000000-0005-0000-0000-00000DC80000}"/>
    <cellStyle name="Remarque 4 2 9 10 2" xfId="49007" xr:uid="{00000000-0005-0000-0000-00000EC80000}"/>
    <cellStyle name="Remarque 4 2 9 11" xfId="35943" xr:uid="{00000000-0005-0000-0000-00000FC80000}"/>
    <cellStyle name="Remarque 4 2 9 11 2" xfId="59903" xr:uid="{00000000-0005-0000-0000-000010C80000}"/>
    <cellStyle name="Remarque 4 2 9 12" xfId="13712" xr:uid="{00000000-0005-0000-0000-000011C80000}"/>
    <cellStyle name="Remarque 4 2 9 13" xfId="37672" xr:uid="{00000000-0005-0000-0000-000012C80000}"/>
    <cellStyle name="Remarque 4 2 9 2" xfId="3921" xr:uid="{00000000-0005-0000-0000-000013C80000}"/>
    <cellStyle name="Remarque 4 2 9 2 2" xfId="27935" xr:uid="{00000000-0005-0000-0000-000014C80000}"/>
    <cellStyle name="Remarque 4 2 9 2 2 2" xfId="51895" xr:uid="{00000000-0005-0000-0000-000015C80000}"/>
    <cellStyle name="Remarque 4 2 9 2 3" xfId="15182" xr:uid="{00000000-0005-0000-0000-000016C80000}"/>
    <cellStyle name="Remarque 4 2 9 2 4" xfId="39142" xr:uid="{00000000-0005-0000-0000-000017C80000}"/>
    <cellStyle name="Remarque 4 2 9 3" xfId="5355" xr:uid="{00000000-0005-0000-0000-000018C80000}"/>
    <cellStyle name="Remarque 4 2 9 3 2" xfId="29369" xr:uid="{00000000-0005-0000-0000-000019C80000}"/>
    <cellStyle name="Remarque 4 2 9 3 2 2" xfId="53329" xr:uid="{00000000-0005-0000-0000-00001AC80000}"/>
    <cellStyle name="Remarque 4 2 9 3 3" xfId="16616" xr:uid="{00000000-0005-0000-0000-00001BC80000}"/>
    <cellStyle name="Remarque 4 2 9 3 4" xfId="40576" xr:uid="{00000000-0005-0000-0000-00001CC80000}"/>
    <cellStyle name="Remarque 4 2 9 4" xfId="6749" xr:uid="{00000000-0005-0000-0000-00001DC80000}"/>
    <cellStyle name="Remarque 4 2 9 4 2" xfId="30763" xr:uid="{00000000-0005-0000-0000-00001EC80000}"/>
    <cellStyle name="Remarque 4 2 9 4 2 2" xfId="54723" xr:uid="{00000000-0005-0000-0000-00001FC80000}"/>
    <cellStyle name="Remarque 4 2 9 4 3" xfId="18010" xr:uid="{00000000-0005-0000-0000-000020C80000}"/>
    <cellStyle name="Remarque 4 2 9 4 4" xfId="41970" xr:uid="{00000000-0005-0000-0000-000021C80000}"/>
    <cellStyle name="Remarque 4 2 9 5" xfId="8137" xr:uid="{00000000-0005-0000-0000-000022C80000}"/>
    <cellStyle name="Remarque 4 2 9 5 2" xfId="32151" xr:uid="{00000000-0005-0000-0000-000023C80000}"/>
    <cellStyle name="Remarque 4 2 9 5 2 2" xfId="56111" xr:uid="{00000000-0005-0000-0000-000024C80000}"/>
    <cellStyle name="Remarque 4 2 9 5 3" xfId="19398" xr:uid="{00000000-0005-0000-0000-000025C80000}"/>
    <cellStyle name="Remarque 4 2 9 5 4" xfId="43358" xr:uid="{00000000-0005-0000-0000-000026C80000}"/>
    <cellStyle name="Remarque 4 2 9 6" xfId="9522" xr:uid="{00000000-0005-0000-0000-000027C80000}"/>
    <cellStyle name="Remarque 4 2 9 6 2" xfId="33536" xr:uid="{00000000-0005-0000-0000-000028C80000}"/>
    <cellStyle name="Remarque 4 2 9 6 2 2" xfId="57496" xr:uid="{00000000-0005-0000-0000-000029C80000}"/>
    <cellStyle name="Remarque 4 2 9 6 3" xfId="20783" xr:uid="{00000000-0005-0000-0000-00002AC80000}"/>
    <cellStyle name="Remarque 4 2 9 6 4" xfId="44743" xr:uid="{00000000-0005-0000-0000-00002BC80000}"/>
    <cellStyle name="Remarque 4 2 9 7" xfId="10979" xr:uid="{00000000-0005-0000-0000-00002CC80000}"/>
    <cellStyle name="Remarque 4 2 9 7 2" xfId="34989" xr:uid="{00000000-0005-0000-0000-00002DC80000}"/>
    <cellStyle name="Remarque 4 2 9 7 2 2" xfId="58949" xr:uid="{00000000-0005-0000-0000-00002EC80000}"/>
    <cellStyle name="Remarque 4 2 9 7 3" xfId="22246" xr:uid="{00000000-0005-0000-0000-00002FC80000}"/>
    <cellStyle name="Remarque 4 2 9 7 4" xfId="46206" xr:uid="{00000000-0005-0000-0000-000030C80000}"/>
    <cellStyle name="Remarque 4 2 9 8" xfId="12523" xr:uid="{00000000-0005-0000-0000-000031C80000}"/>
    <cellStyle name="Remarque 4 2 9 8 2" xfId="23820" xr:uid="{00000000-0005-0000-0000-000032C80000}"/>
    <cellStyle name="Remarque 4 2 9 8 3" xfId="47780" xr:uid="{00000000-0005-0000-0000-000033C80000}"/>
    <cellStyle name="Remarque 4 2 9 9" xfId="2451" xr:uid="{00000000-0005-0000-0000-000034C80000}"/>
    <cellStyle name="Remarque 4 2 9 9 2" xfId="26465" xr:uid="{00000000-0005-0000-0000-000035C80000}"/>
    <cellStyle name="Remarque 4 2 9 9 3" xfId="50425" xr:uid="{00000000-0005-0000-0000-000036C80000}"/>
    <cellStyle name="Remarque 4 3" xfId="44" xr:uid="{00000000-0005-0000-0000-000037C80000}"/>
    <cellStyle name="Remarque 4 3 10" xfId="3153" xr:uid="{00000000-0005-0000-0000-000038C80000}"/>
    <cellStyle name="Remarque 4 3 10 2" xfId="27167" xr:uid="{00000000-0005-0000-0000-000039C80000}"/>
    <cellStyle name="Remarque 4 3 10 2 2" xfId="51127" xr:uid="{00000000-0005-0000-0000-00003AC80000}"/>
    <cellStyle name="Remarque 4 3 10 3" xfId="14414" xr:uid="{00000000-0005-0000-0000-00003BC80000}"/>
    <cellStyle name="Remarque 4 3 10 4" xfId="38374" xr:uid="{00000000-0005-0000-0000-00003CC80000}"/>
    <cellStyle name="Remarque 4 3 11" xfId="4587" xr:uid="{00000000-0005-0000-0000-00003DC80000}"/>
    <cellStyle name="Remarque 4 3 11 2" xfId="28601" xr:uid="{00000000-0005-0000-0000-00003EC80000}"/>
    <cellStyle name="Remarque 4 3 11 2 2" xfId="52561" xr:uid="{00000000-0005-0000-0000-00003FC80000}"/>
    <cellStyle name="Remarque 4 3 11 3" xfId="15848" xr:uid="{00000000-0005-0000-0000-000040C80000}"/>
    <cellStyle name="Remarque 4 3 11 4" xfId="39808" xr:uid="{00000000-0005-0000-0000-000041C80000}"/>
    <cellStyle name="Remarque 4 3 12" xfId="5981" xr:uid="{00000000-0005-0000-0000-000042C80000}"/>
    <cellStyle name="Remarque 4 3 12 2" xfId="29995" xr:uid="{00000000-0005-0000-0000-000043C80000}"/>
    <cellStyle name="Remarque 4 3 12 2 2" xfId="53955" xr:uid="{00000000-0005-0000-0000-000044C80000}"/>
    <cellStyle name="Remarque 4 3 12 3" xfId="17242" xr:uid="{00000000-0005-0000-0000-000045C80000}"/>
    <cellStyle name="Remarque 4 3 12 4" xfId="41202" xr:uid="{00000000-0005-0000-0000-000046C80000}"/>
    <cellStyle name="Remarque 4 3 13" xfId="7369" xr:uid="{00000000-0005-0000-0000-000047C80000}"/>
    <cellStyle name="Remarque 4 3 13 2" xfId="31383" xr:uid="{00000000-0005-0000-0000-000048C80000}"/>
    <cellStyle name="Remarque 4 3 13 2 2" xfId="55343" xr:uid="{00000000-0005-0000-0000-000049C80000}"/>
    <cellStyle name="Remarque 4 3 13 3" xfId="18630" xr:uid="{00000000-0005-0000-0000-00004AC80000}"/>
    <cellStyle name="Remarque 4 3 13 4" xfId="42590" xr:uid="{00000000-0005-0000-0000-00004BC80000}"/>
    <cellStyle name="Remarque 4 3 14" xfId="8754" xr:uid="{00000000-0005-0000-0000-00004CC80000}"/>
    <cellStyle name="Remarque 4 3 14 2" xfId="32768" xr:uid="{00000000-0005-0000-0000-00004DC80000}"/>
    <cellStyle name="Remarque 4 3 14 2 2" xfId="56728" xr:uid="{00000000-0005-0000-0000-00004EC80000}"/>
    <cellStyle name="Remarque 4 3 14 3" xfId="20015" xr:uid="{00000000-0005-0000-0000-00004FC80000}"/>
    <cellStyle name="Remarque 4 3 14 4" xfId="43975" xr:uid="{00000000-0005-0000-0000-000050C80000}"/>
    <cellStyle name="Remarque 4 3 15" xfId="10211" xr:uid="{00000000-0005-0000-0000-000051C80000}"/>
    <cellStyle name="Remarque 4 3 15 2" xfId="34221" xr:uid="{00000000-0005-0000-0000-000052C80000}"/>
    <cellStyle name="Remarque 4 3 15 2 2" xfId="58181" xr:uid="{00000000-0005-0000-0000-000053C80000}"/>
    <cellStyle name="Remarque 4 3 15 3" xfId="21478" xr:uid="{00000000-0005-0000-0000-000054C80000}"/>
    <cellStyle name="Remarque 4 3 15 4" xfId="45438" xr:uid="{00000000-0005-0000-0000-000055C80000}"/>
    <cellStyle name="Remarque 4 3 16" xfId="11621" xr:uid="{00000000-0005-0000-0000-000056C80000}"/>
    <cellStyle name="Remarque 4 3 16 2" xfId="22889" xr:uid="{00000000-0005-0000-0000-000057C80000}"/>
    <cellStyle name="Remarque 4 3 16 3" xfId="46849" xr:uid="{00000000-0005-0000-0000-000058C80000}"/>
    <cellStyle name="Remarque 4 3 17" xfId="1683" xr:uid="{00000000-0005-0000-0000-000059C80000}"/>
    <cellStyle name="Remarque 4 3 17 2" xfId="25697" xr:uid="{00000000-0005-0000-0000-00005AC80000}"/>
    <cellStyle name="Remarque 4 3 17 3" xfId="49657" xr:uid="{00000000-0005-0000-0000-00005BC80000}"/>
    <cellStyle name="Remarque 4 3 18" xfId="24279" xr:uid="{00000000-0005-0000-0000-00005CC80000}"/>
    <cellStyle name="Remarque 4 3 18 2" xfId="48239" xr:uid="{00000000-0005-0000-0000-00005DC80000}"/>
    <cellStyle name="Remarque 4 3 19" xfId="36701" xr:uid="{00000000-0005-0000-0000-00005EC80000}"/>
    <cellStyle name="Remarque 4 3 19 2" xfId="60661" xr:uid="{00000000-0005-0000-0000-00005FC80000}"/>
    <cellStyle name="Remarque 4 3 2" xfId="422" xr:uid="{00000000-0005-0000-0000-000060C80000}"/>
    <cellStyle name="Remarque 4 3 2 10" xfId="6156" xr:uid="{00000000-0005-0000-0000-000061C80000}"/>
    <cellStyle name="Remarque 4 3 2 10 2" xfId="30170" xr:uid="{00000000-0005-0000-0000-000062C80000}"/>
    <cellStyle name="Remarque 4 3 2 10 2 2" xfId="54130" xr:uid="{00000000-0005-0000-0000-000063C80000}"/>
    <cellStyle name="Remarque 4 3 2 10 3" xfId="17417" xr:uid="{00000000-0005-0000-0000-000064C80000}"/>
    <cellStyle name="Remarque 4 3 2 10 4" xfId="41377" xr:uid="{00000000-0005-0000-0000-000065C80000}"/>
    <cellStyle name="Remarque 4 3 2 11" xfId="7544" xr:uid="{00000000-0005-0000-0000-000066C80000}"/>
    <cellStyle name="Remarque 4 3 2 11 2" xfId="31558" xr:uid="{00000000-0005-0000-0000-000067C80000}"/>
    <cellStyle name="Remarque 4 3 2 11 2 2" xfId="55518" xr:uid="{00000000-0005-0000-0000-000068C80000}"/>
    <cellStyle name="Remarque 4 3 2 11 3" xfId="18805" xr:uid="{00000000-0005-0000-0000-000069C80000}"/>
    <cellStyle name="Remarque 4 3 2 11 4" xfId="42765" xr:uid="{00000000-0005-0000-0000-00006AC80000}"/>
    <cellStyle name="Remarque 4 3 2 12" xfId="8929" xr:uid="{00000000-0005-0000-0000-00006BC80000}"/>
    <cellStyle name="Remarque 4 3 2 12 2" xfId="32943" xr:uid="{00000000-0005-0000-0000-00006CC80000}"/>
    <cellStyle name="Remarque 4 3 2 12 2 2" xfId="56903" xr:uid="{00000000-0005-0000-0000-00006DC80000}"/>
    <cellStyle name="Remarque 4 3 2 12 3" xfId="20190" xr:uid="{00000000-0005-0000-0000-00006EC80000}"/>
    <cellStyle name="Remarque 4 3 2 12 4" xfId="44150" xr:uid="{00000000-0005-0000-0000-00006FC80000}"/>
    <cellStyle name="Remarque 4 3 2 13" xfId="10386" xr:uid="{00000000-0005-0000-0000-000070C80000}"/>
    <cellStyle name="Remarque 4 3 2 13 2" xfId="34396" xr:uid="{00000000-0005-0000-0000-000071C80000}"/>
    <cellStyle name="Remarque 4 3 2 13 2 2" xfId="58356" xr:uid="{00000000-0005-0000-0000-000072C80000}"/>
    <cellStyle name="Remarque 4 3 2 13 3" xfId="21653" xr:uid="{00000000-0005-0000-0000-000073C80000}"/>
    <cellStyle name="Remarque 4 3 2 13 4" xfId="45613" xr:uid="{00000000-0005-0000-0000-000074C80000}"/>
    <cellStyle name="Remarque 4 3 2 14" xfId="12291" xr:uid="{00000000-0005-0000-0000-000075C80000}"/>
    <cellStyle name="Remarque 4 3 2 14 2" xfId="23579" xr:uid="{00000000-0005-0000-0000-000076C80000}"/>
    <cellStyle name="Remarque 4 3 2 14 3" xfId="47539" xr:uid="{00000000-0005-0000-0000-000077C80000}"/>
    <cellStyle name="Remarque 4 3 2 15" xfId="1858" xr:uid="{00000000-0005-0000-0000-000078C80000}"/>
    <cellStyle name="Remarque 4 3 2 15 2" xfId="25872" xr:uid="{00000000-0005-0000-0000-000079C80000}"/>
    <cellStyle name="Remarque 4 3 2 15 3" xfId="49832" xr:uid="{00000000-0005-0000-0000-00007AC80000}"/>
    <cellStyle name="Remarque 4 3 2 16" xfId="24454" xr:uid="{00000000-0005-0000-0000-00007BC80000}"/>
    <cellStyle name="Remarque 4 3 2 16 2" xfId="48414" xr:uid="{00000000-0005-0000-0000-00007CC80000}"/>
    <cellStyle name="Remarque 4 3 2 17" xfId="35861" xr:uid="{00000000-0005-0000-0000-00007DC80000}"/>
    <cellStyle name="Remarque 4 3 2 17 2" xfId="59821" xr:uid="{00000000-0005-0000-0000-00007EC80000}"/>
    <cellStyle name="Remarque 4 3 2 18" xfId="13119" xr:uid="{00000000-0005-0000-0000-00007FC80000}"/>
    <cellStyle name="Remarque 4 3 2 19" xfId="37079" xr:uid="{00000000-0005-0000-0000-000080C80000}"/>
    <cellStyle name="Remarque 4 3 2 2" xfId="558" xr:uid="{00000000-0005-0000-0000-000081C80000}"/>
    <cellStyle name="Remarque 4 3 2 2 10" xfId="24590" xr:uid="{00000000-0005-0000-0000-000082C80000}"/>
    <cellStyle name="Remarque 4 3 2 2 10 2" xfId="48550" xr:uid="{00000000-0005-0000-0000-000083C80000}"/>
    <cellStyle name="Remarque 4 3 2 2 11" xfId="35679" xr:uid="{00000000-0005-0000-0000-000084C80000}"/>
    <cellStyle name="Remarque 4 3 2 2 11 2" xfId="59639" xr:uid="{00000000-0005-0000-0000-000085C80000}"/>
    <cellStyle name="Remarque 4 3 2 2 12" xfId="13255" xr:uid="{00000000-0005-0000-0000-000086C80000}"/>
    <cellStyle name="Remarque 4 3 2 2 13" xfId="37215" xr:uid="{00000000-0005-0000-0000-000087C80000}"/>
    <cellStyle name="Remarque 4 3 2 2 2" xfId="3464" xr:uid="{00000000-0005-0000-0000-000088C80000}"/>
    <cellStyle name="Remarque 4 3 2 2 2 2" xfId="27478" xr:uid="{00000000-0005-0000-0000-000089C80000}"/>
    <cellStyle name="Remarque 4 3 2 2 2 2 2" xfId="51438" xr:uid="{00000000-0005-0000-0000-00008AC80000}"/>
    <cellStyle name="Remarque 4 3 2 2 2 3" xfId="14725" xr:uid="{00000000-0005-0000-0000-00008BC80000}"/>
    <cellStyle name="Remarque 4 3 2 2 2 4" xfId="38685" xr:uid="{00000000-0005-0000-0000-00008CC80000}"/>
    <cellStyle name="Remarque 4 3 2 2 3" xfId="4898" xr:uid="{00000000-0005-0000-0000-00008DC80000}"/>
    <cellStyle name="Remarque 4 3 2 2 3 2" xfId="28912" xr:uid="{00000000-0005-0000-0000-00008EC80000}"/>
    <cellStyle name="Remarque 4 3 2 2 3 2 2" xfId="52872" xr:uid="{00000000-0005-0000-0000-00008FC80000}"/>
    <cellStyle name="Remarque 4 3 2 2 3 3" xfId="16159" xr:uid="{00000000-0005-0000-0000-000090C80000}"/>
    <cellStyle name="Remarque 4 3 2 2 3 4" xfId="40119" xr:uid="{00000000-0005-0000-0000-000091C80000}"/>
    <cellStyle name="Remarque 4 3 2 2 4" xfId="6292" xr:uid="{00000000-0005-0000-0000-000092C80000}"/>
    <cellStyle name="Remarque 4 3 2 2 4 2" xfId="30306" xr:uid="{00000000-0005-0000-0000-000093C80000}"/>
    <cellStyle name="Remarque 4 3 2 2 4 2 2" xfId="54266" xr:uid="{00000000-0005-0000-0000-000094C80000}"/>
    <cellStyle name="Remarque 4 3 2 2 4 3" xfId="17553" xr:uid="{00000000-0005-0000-0000-000095C80000}"/>
    <cellStyle name="Remarque 4 3 2 2 4 4" xfId="41513" xr:uid="{00000000-0005-0000-0000-000096C80000}"/>
    <cellStyle name="Remarque 4 3 2 2 5" xfId="7680" xr:uid="{00000000-0005-0000-0000-000097C80000}"/>
    <cellStyle name="Remarque 4 3 2 2 5 2" xfId="31694" xr:uid="{00000000-0005-0000-0000-000098C80000}"/>
    <cellStyle name="Remarque 4 3 2 2 5 2 2" xfId="55654" xr:uid="{00000000-0005-0000-0000-000099C80000}"/>
    <cellStyle name="Remarque 4 3 2 2 5 3" xfId="18941" xr:uid="{00000000-0005-0000-0000-00009AC80000}"/>
    <cellStyle name="Remarque 4 3 2 2 5 4" xfId="42901" xr:uid="{00000000-0005-0000-0000-00009BC80000}"/>
    <cellStyle name="Remarque 4 3 2 2 6" xfId="9065" xr:uid="{00000000-0005-0000-0000-00009CC80000}"/>
    <cellStyle name="Remarque 4 3 2 2 6 2" xfId="33079" xr:uid="{00000000-0005-0000-0000-00009DC80000}"/>
    <cellStyle name="Remarque 4 3 2 2 6 2 2" xfId="57039" xr:uid="{00000000-0005-0000-0000-00009EC80000}"/>
    <cellStyle name="Remarque 4 3 2 2 6 3" xfId="20326" xr:uid="{00000000-0005-0000-0000-00009FC80000}"/>
    <cellStyle name="Remarque 4 3 2 2 6 4" xfId="44286" xr:uid="{00000000-0005-0000-0000-0000A0C80000}"/>
    <cellStyle name="Remarque 4 3 2 2 7" xfId="10522" xr:uid="{00000000-0005-0000-0000-0000A1C80000}"/>
    <cellStyle name="Remarque 4 3 2 2 7 2" xfId="34532" xr:uid="{00000000-0005-0000-0000-0000A2C80000}"/>
    <cellStyle name="Remarque 4 3 2 2 7 2 2" xfId="58492" xr:uid="{00000000-0005-0000-0000-0000A3C80000}"/>
    <cellStyle name="Remarque 4 3 2 2 7 3" xfId="21789" xr:uid="{00000000-0005-0000-0000-0000A4C80000}"/>
    <cellStyle name="Remarque 4 3 2 2 7 4" xfId="45749" xr:uid="{00000000-0005-0000-0000-0000A5C80000}"/>
    <cellStyle name="Remarque 4 3 2 2 8" xfId="12796" xr:uid="{00000000-0005-0000-0000-0000A6C80000}"/>
    <cellStyle name="Remarque 4 3 2 2 8 2" xfId="24106" xr:uid="{00000000-0005-0000-0000-0000A7C80000}"/>
    <cellStyle name="Remarque 4 3 2 2 8 3" xfId="48066" xr:uid="{00000000-0005-0000-0000-0000A8C80000}"/>
    <cellStyle name="Remarque 4 3 2 2 9" xfId="1994" xr:uid="{00000000-0005-0000-0000-0000A9C80000}"/>
    <cellStyle name="Remarque 4 3 2 2 9 2" xfId="26008" xr:uid="{00000000-0005-0000-0000-0000AAC80000}"/>
    <cellStyle name="Remarque 4 3 2 2 9 3" xfId="49968" xr:uid="{00000000-0005-0000-0000-0000ABC80000}"/>
    <cellStyle name="Remarque 4 3 2 3" xfId="750" xr:uid="{00000000-0005-0000-0000-0000ACC80000}"/>
    <cellStyle name="Remarque 4 3 2 3 10" xfId="24782" xr:uid="{00000000-0005-0000-0000-0000ADC80000}"/>
    <cellStyle name="Remarque 4 3 2 3 10 2" xfId="48742" xr:uid="{00000000-0005-0000-0000-0000AEC80000}"/>
    <cellStyle name="Remarque 4 3 2 3 11" xfId="36703" xr:uid="{00000000-0005-0000-0000-0000AFC80000}"/>
    <cellStyle name="Remarque 4 3 2 3 11 2" xfId="60663" xr:uid="{00000000-0005-0000-0000-0000B0C80000}"/>
    <cellStyle name="Remarque 4 3 2 3 12" xfId="13447" xr:uid="{00000000-0005-0000-0000-0000B1C80000}"/>
    <cellStyle name="Remarque 4 3 2 3 13" xfId="37407" xr:uid="{00000000-0005-0000-0000-0000B2C80000}"/>
    <cellStyle name="Remarque 4 3 2 3 2" xfId="3656" xr:uid="{00000000-0005-0000-0000-0000B3C80000}"/>
    <cellStyle name="Remarque 4 3 2 3 2 2" xfId="27670" xr:uid="{00000000-0005-0000-0000-0000B4C80000}"/>
    <cellStyle name="Remarque 4 3 2 3 2 2 2" xfId="51630" xr:uid="{00000000-0005-0000-0000-0000B5C80000}"/>
    <cellStyle name="Remarque 4 3 2 3 2 3" xfId="14917" xr:uid="{00000000-0005-0000-0000-0000B6C80000}"/>
    <cellStyle name="Remarque 4 3 2 3 2 4" xfId="38877" xr:uid="{00000000-0005-0000-0000-0000B7C80000}"/>
    <cellStyle name="Remarque 4 3 2 3 3" xfId="5090" xr:uid="{00000000-0005-0000-0000-0000B8C80000}"/>
    <cellStyle name="Remarque 4 3 2 3 3 2" xfId="29104" xr:uid="{00000000-0005-0000-0000-0000B9C80000}"/>
    <cellStyle name="Remarque 4 3 2 3 3 2 2" xfId="53064" xr:uid="{00000000-0005-0000-0000-0000BAC80000}"/>
    <cellStyle name="Remarque 4 3 2 3 3 3" xfId="16351" xr:uid="{00000000-0005-0000-0000-0000BBC80000}"/>
    <cellStyle name="Remarque 4 3 2 3 3 4" xfId="40311" xr:uid="{00000000-0005-0000-0000-0000BCC80000}"/>
    <cellStyle name="Remarque 4 3 2 3 4" xfId="6484" xr:uid="{00000000-0005-0000-0000-0000BDC80000}"/>
    <cellStyle name="Remarque 4 3 2 3 4 2" xfId="30498" xr:uid="{00000000-0005-0000-0000-0000BEC80000}"/>
    <cellStyle name="Remarque 4 3 2 3 4 2 2" xfId="54458" xr:uid="{00000000-0005-0000-0000-0000BFC80000}"/>
    <cellStyle name="Remarque 4 3 2 3 4 3" xfId="17745" xr:uid="{00000000-0005-0000-0000-0000C0C80000}"/>
    <cellStyle name="Remarque 4 3 2 3 4 4" xfId="41705" xr:uid="{00000000-0005-0000-0000-0000C1C80000}"/>
    <cellStyle name="Remarque 4 3 2 3 5" xfId="7872" xr:uid="{00000000-0005-0000-0000-0000C2C80000}"/>
    <cellStyle name="Remarque 4 3 2 3 5 2" xfId="31886" xr:uid="{00000000-0005-0000-0000-0000C3C80000}"/>
    <cellStyle name="Remarque 4 3 2 3 5 2 2" xfId="55846" xr:uid="{00000000-0005-0000-0000-0000C4C80000}"/>
    <cellStyle name="Remarque 4 3 2 3 5 3" xfId="19133" xr:uid="{00000000-0005-0000-0000-0000C5C80000}"/>
    <cellStyle name="Remarque 4 3 2 3 5 4" xfId="43093" xr:uid="{00000000-0005-0000-0000-0000C6C80000}"/>
    <cellStyle name="Remarque 4 3 2 3 6" xfId="9257" xr:uid="{00000000-0005-0000-0000-0000C7C80000}"/>
    <cellStyle name="Remarque 4 3 2 3 6 2" xfId="33271" xr:uid="{00000000-0005-0000-0000-0000C8C80000}"/>
    <cellStyle name="Remarque 4 3 2 3 6 2 2" xfId="57231" xr:uid="{00000000-0005-0000-0000-0000C9C80000}"/>
    <cellStyle name="Remarque 4 3 2 3 6 3" xfId="20518" xr:uid="{00000000-0005-0000-0000-0000CAC80000}"/>
    <cellStyle name="Remarque 4 3 2 3 6 4" xfId="44478" xr:uid="{00000000-0005-0000-0000-0000CBC80000}"/>
    <cellStyle name="Remarque 4 3 2 3 7" xfId="10714" xr:uid="{00000000-0005-0000-0000-0000CCC80000}"/>
    <cellStyle name="Remarque 4 3 2 3 7 2" xfId="34724" xr:uid="{00000000-0005-0000-0000-0000CDC80000}"/>
    <cellStyle name="Remarque 4 3 2 3 7 2 2" xfId="58684" xr:uid="{00000000-0005-0000-0000-0000CEC80000}"/>
    <cellStyle name="Remarque 4 3 2 3 7 3" xfId="21981" xr:uid="{00000000-0005-0000-0000-0000CFC80000}"/>
    <cellStyle name="Remarque 4 3 2 3 7 4" xfId="45941" xr:uid="{00000000-0005-0000-0000-0000D0C80000}"/>
    <cellStyle name="Remarque 4 3 2 3 8" xfId="12072" xr:uid="{00000000-0005-0000-0000-0000D1C80000}"/>
    <cellStyle name="Remarque 4 3 2 3 8 2" xfId="23353" xr:uid="{00000000-0005-0000-0000-0000D2C80000}"/>
    <cellStyle name="Remarque 4 3 2 3 8 3" xfId="47313" xr:uid="{00000000-0005-0000-0000-0000D3C80000}"/>
    <cellStyle name="Remarque 4 3 2 3 9" xfId="2186" xr:uid="{00000000-0005-0000-0000-0000D4C80000}"/>
    <cellStyle name="Remarque 4 3 2 3 9 2" xfId="26200" xr:uid="{00000000-0005-0000-0000-0000D5C80000}"/>
    <cellStyle name="Remarque 4 3 2 3 9 3" xfId="50160" xr:uid="{00000000-0005-0000-0000-0000D6C80000}"/>
    <cellStyle name="Remarque 4 3 2 4" xfId="944" xr:uid="{00000000-0005-0000-0000-0000D7C80000}"/>
    <cellStyle name="Remarque 4 3 2 4 10" xfId="24976" xr:uid="{00000000-0005-0000-0000-0000D8C80000}"/>
    <cellStyle name="Remarque 4 3 2 4 10 2" xfId="48936" xr:uid="{00000000-0005-0000-0000-0000D9C80000}"/>
    <cellStyle name="Remarque 4 3 2 4 11" xfId="36605" xr:uid="{00000000-0005-0000-0000-0000DAC80000}"/>
    <cellStyle name="Remarque 4 3 2 4 11 2" xfId="60565" xr:uid="{00000000-0005-0000-0000-0000DBC80000}"/>
    <cellStyle name="Remarque 4 3 2 4 12" xfId="13641" xr:uid="{00000000-0005-0000-0000-0000DCC80000}"/>
    <cellStyle name="Remarque 4 3 2 4 13" xfId="37601" xr:uid="{00000000-0005-0000-0000-0000DDC80000}"/>
    <cellStyle name="Remarque 4 3 2 4 2" xfId="3850" xr:uid="{00000000-0005-0000-0000-0000DEC80000}"/>
    <cellStyle name="Remarque 4 3 2 4 2 2" xfId="27864" xr:uid="{00000000-0005-0000-0000-0000DFC80000}"/>
    <cellStyle name="Remarque 4 3 2 4 2 2 2" xfId="51824" xr:uid="{00000000-0005-0000-0000-0000E0C80000}"/>
    <cellStyle name="Remarque 4 3 2 4 2 3" xfId="15111" xr:uid="{00000000-0005-0000-0000-0000E1C80000}"/>
    <cellStyle name="Remarque 4 3 2 4 2 4" xfId="39071" xr:uid="{00000000-0005-0000-0000-0000E2C80000}"/>
    <cellStyle name="Remarque 4 3 2 4 3" xfId="5284" xr:uid="{00000000-0005-0000-0000-0000E3C80000}"/>
    <cellStyle name="Remarque 4 3 2 4 3 2" xfId="29298" xr:uid="{00000000-0005-0000-0000-0000E4C80000}"/>
    <cellStyle name="Remarque 4 3 2 4 3 2 2" xfId="53258" xr:uid="{00000000-0005-0000-0000-0000E5C80000}"/>
    <cellStyle name="Remarque 4 3 2 4 3 3" xfId="16545" xr:uid="{00000000-0005-0000-0000-0000E6C80000}"/>
    <cellStyle name="Remarque 4 3 2 4 3 4" xfId="40505" xr:uid="{00000000-0005-0000-0000-0000E7C80000}"/>
    <cellStyle name="Remarque 4 3 2 4 4" xfId="6678" xr:uid="{00000000-0005-0000-0000-0000E8C80000}"/>
    <cellStyle name="Remarque 4 3 2 4 4 2" xfId="30692" xr:uid="{00000000-0005-0000-0000-0000E9C80000}"/>
    <cellStyle name="Remarque 4 3 2 4 4 2 2" xfId="54652" xr:uid="{00000000-0005-0000-0000-0000EAC80000}"/>
    <cellStyle name="Remarque 4 3 2 4 4 3" xfId="17939" xr:uid="{00000000-0005-0000-0000-0000EBC80000}"/>
    <cellStyle name="Remarque 4 3 2 4 4 4" xfId="41899" xr:uid="{00000000-0005-0000-0000-0000ECC80000}"/>
    <cellStyle name="Remarque 4 3 2 4 5" xfId="8066" xr:uid="{00000000-0005-0000-0000-0000EDC80000}"/>
    <cellStyle name="Remarque 4 3 2 4 5 2" xfId="32080" xr:uid="{00000000-0005-0000-0000-0000EEC80000}"/>
    <cellStyle name="Remarque 4 3 2 4 5 2 2" xfId="56040" xr:uid="{00000000-0005-0000-0000-0000EFC80000}"/>
    <cellStyle name="Remarque 4 3 2 4 5 3" xfId="19327" xr:uid="{00000000-0005-0000-0000-0000F0C80000}"/>
    <cellStyle name="Remarque 4 3 2 4 5 4" xfId="43287" xr:uid="{00000000-0005-0000-0000-0000F1C80000}"/>
    <cellStyle name="Remarque 4 3 2 4 6" xfId="9451" xr:uid="{00000000-0005-0000-0000-0000F2C80000}"/>
    <cellStyle name="Remarque 4 3 2 4 6 2" xfId="33465" xr:uid="{00000000-0005-0000-0000-0000F3C80000}"/>
    <cellStyle name="Remarque 4 3 2 4 6 2 2" xfId="57425" xr:uid="{00000000-0005-0000-0000-0000F4C80000}"/>
    <cellStyle name="Remarque 4 3 2 4 6 3" xfId="20712" xr:uid="{00000000-0005-0000-0000-0000F5C80000}"/>
    <cellStyle name="Remarque 4 3 2 4 6 4" xfId="44672" xr:uid="{00000000-0005-0000-0000-0000F6C80000}"/>
    <cellStyle name="Remarque 4 3 2 4 7" xfId="10908" xr:uid="{00000000-0005-0000-0000-0000F7C80000}"/>
    <cellStyle name="Remarque 4 3 2 4 7 2" xfId="34918" xr:uid="{00000000-0005-0000-0000-0000F8C80000}"/>
    <cellStyle name="Remarque 4 3 2 4 7 2 2" xfId="58878" xr:uid="{00000000-0005-0000-0000-0000F9C80000}"/>
    <cellStyle name="Remarque 4 3 2 4 7 3" xfId="22175" xr:uid="{00000000-0005-0000-0000-0000FAC80000}"/>
    <cellStyle name="Remarque 4 3 2 4 7 4" xfId="46135" xr:uid="{00000000-0005-0000-0000-0000FBC80000}"/>
    <cellStyle name="Remarque 4 3 2 4 8" xfId="11695" xr:uid="{00000000-0005-0000-0000-0000FCC80000}"/>
    <cellStyle name="Remarque 4 3 2 4 8 2" xfId="22964" xr:uid="{00000000-0005-0000-0000-0000FDC80000}"/>
    <cellStyle name="Remarque 4 3 2 4 8 3" xfId="46924" xr:uid="{00000000-0005-0000-0000-0000FEC80000}"/>
    <cellStyle name="Remarque 4 3 2 4 9" xfId="2380" xr:uid="{00000000-0005-0000-0000-0000FFC80000}"/>
    <cellStyle name="Remarque 4 3 2 4 9 2" xfId="26394" xr:uid="{00000000-0005-0000-0000-000000C90000}"/>
    <cellStyle name="Remarque 4 3 2 4 9 3" xfId="50354" xr:uid="{00000000-0005-0000-0000-000001C90000}"/>
    <cellStyle name="Remarque 4 3 2 5" xfId="1137" xr:uid="{00000000-0005-0000-0000-000002C90000}"/>
    <cellStyle name="Remarque 4 3 2 5 10" xfId="25169" xr:uid="{00000000-0005-0000-0000-000003C90000}"/>
    <cellStyle name="Remarque 4 3 2 5 10 2" xfId="49129" xr:uid="{00000000-0005-0000-0000-000004C90000}"/>
    <cellStyle name="Remarque 4 3 2 5 11" xfId="36471" xr:uid="{00000000-0005-0000-0000-000005C90000}"/>
    <cellStyle name="Remarque 4 3 2 5 11 2" xfId="60431" xr:uid="{00000000-0005-0000-0000-000006C90000}"/>
    <cellStyle name="Remarque 4 3 2 5 12" xfId="13834" xr:uid="{00000000-0005-0000-0000-000007C90000}"/>
    <cellStyle name="Remarque 4 3 2 5 13" xfId="37794" xr:uid="{00000000-0005-0000-0000-000008C90000}"/>
    <cellStyle name="Remarque 4 3 2 5 2" xfId="4043" xr:uid="{00000000-0005-0000-0000-000009C90000}"/>
    <cellStyle name="Remarque 4 3 2 5 2 2" xfId="28057" xr:uid="{00000000-0005-0000-0000-00000AC90000}"/>
    <cellStyle name="Remarque 4 3 2 5 2 2 2" xfId="52017" xr:uid="{00000000-0005-0000-0000-00000BC90000}"/>
    <cellStyle name="Remarque 4 3 2 5 2 3" xfId="15304" xr:uid="{00000000-0005-0000-0000-00000CC90000}"/>
    <cellStyle name="Remarque 4 3 2 5 2 4" xfId="39264" xr:uid="{00000000-0005-0000-0000-00000DC90000}"/>
    <cellStyle name="Remarque 4 3 2 5 3" xfId="5477" xr:uid="{00000000-0005-0000-0000-00000EC90000}"/>
    <cellStyle name="Remarque 4 3 2 5 3 2" xfId="29491" xr:uid="{00000000-0005-0000-0000-00000FC90000}"/>
    <cellStyle name="Remarque 4 3 2 5 3 2 2" xfId="53451" xr:uid="{00000000-0005-0000-0000-000010C90000}"/>
    <cellStyle name="Remarque 4 3 2 5 3 3" xfId="16738" xr:uid="{00000000-0005-0000-0000-000011C90000}"/>
    <cellStyle name="Remarque 4 3 2 5 3 4" xfId="40698" xr:uid="{00000000-0005-0000-0000-000012C90000}"/>
    <cellStyle name="Remarque 4 3 2 5 4" xfId="6871" xr:uid="{00000000-0005-0000-0000-000013C90000}"/>
    <cellStyle name="Remarque 4 3 2 5 4 2" xfId="30885" xr:uid="{00000000-0005-0000-0000-000014C90000}"/>
    <cellStyle name="Remarque 4 3 2 5 4 2 2" xfId="54845" xr:uid="{00000000-0005-0000-0000-000015C90000}"/>
    <cellStyle name="Remarque 4 3 2 5 4 3" xfId="18132" xr:uid="{00000000-0005-0000-0000-000016C90000}"/>
    <cellStyle name="Remarque 4 3 2 5 4 4" xfId="42092" xr:uid="{00000000-0005-0000-0000-000017C90000}"/>
    <cellStyle name="Remarque 4 3 2 5 5" xfId="8259" xr:uid="{00000000-0005-0000-0000-000018C90000}"/>
    <cellStyle name="Remarque 4 3 2 5 5 2" xfId="32273" xr:uid="{00000000-0005-0000-0000-000019C90000}"/>
    <cellStyle name="Remarque 4 3 2 5 5 2 2" xfId="56233" xr:uid="{00000000-0005-0000-0000-00001AC90000}"/>
    <cellStyle name="Remarque 4 3 2 5 5 3" xfId="19520" xr:uid="{00000000-0005-0000-0000-00001BC90000}"/>
    <cellStyle name="Remarque 4 3 2 5 5 4" xfId="43480" xr:uid="{00000000-0005-0000-0000-00001CC90000}"/>
    <cellStyle name="Remarque 4 3 2 5 6" xfId="9644" xr:uid="{00000000-0005-0000-0000-00001DC90000}"/>
    <cellStyle name="Remarque 4 3 2 5 6 2" xfId="33658" xr:uid="{00000000-0005-0000-0000-00001EC90000}"/>
    <cellStyle name="Remarque 4 3 2 5 6 2 2" xfId="57618" xr:uid="{00000000-0005-0000-0000-00001FC90000}"/>
    <cellStyle name="Remarque 4 3 2 5 6 3" xfId="20905" xr:uid="{00000000-0005-0000-0000-000020C90000}"/>
    <cellStyle name="Remarque 4 3 2 5 6 4" xfId="44865" xr:uid="{00000000-0005-0000-0000-000021C90000}"/>
    <cellStyle name="Remarque 4 3 2 5 7" xfId="11101" xr:uid="{00000000-0005-0000-0000-000022C90000}"/>
    <cellStyle name="Remarque 4 3 2 5 7 2" xfId="35111" xr:uid="{00000000-0005-0000-0000-000023C90000}"/>
    <cellStyle name="Remarque 4 3 2 5 7 2 2" xfId="59071" xr:uid="{00000000-0005-0000-0000-000024C90000}"/>
    <cellStyle name="Remarque 4 3 2 5 7 3" xfId="22368" xr:uid="{00000000-0005-0000-0000-000025C90000}"/>
    <cellStyle name="Remarque 4 3 2 5 7 4" xfId="46328" xr:uid="{00000000-0005-0000-0000-000026C90000}"/>
    <cellStyle name="Remarque 4 3 2 5 8" xfId="12498" xr:uid="{00000000-0005-0000-0000-000027C90000}"/>
    <cellStyle name="Remarque 4 3 2 5 8 2" xfId="23795" xr:uid="{00000000-0005-0000-0000-000028C90000}"/>
    <cellStyle name="Remarque 4 3 2 5 8 3" xfId="47755" xr:uid="{00000000-0005-0000-0000-000029C90000}"/>
    <cellStyle name="Remarque 4 3 2 5 9" xfId="2573" xr:uid="{00000000-0005-0000-0000-00002AC90000}"/>
    <cellStyle name="Remarque 4 3 2 5 9 2" xfId="26587" xr:uid="{00000000-0005-0000-0000-00002BC90000}"/>
    <cellStyle name="Remarque 4 3 2 5 9 3" xfId="50547" xr:uid="{00000000-0005-0000-0000-00002CC90000}"/>
    <cellStyle name="Remarque 4 3 2 6" xfId="1304" xr:uid="{00000000-0005-0000-0000-00002DC90000}"/>
    <cellStyle name="Remarque 4 3 2 6 10" xfId="25336" xr:uid="{00000000-0005-0000-0000-00002EC90000}"/>
    <cellStyle name="Remarque 4 3 2 6 10 2" xfId="49296" xr:uid="{00000000-0005-0000-0000-00002FC90000}"/>
    <cellStyle name="Remarque 4 3 2 6 11" xfId="34131" xr:uid="{00000000-0005-0000-0000-000030C90000}"/>
    <cellStyle name="Remarque 4 3 2 6 11 2" xfId="58091" xr:uid="{00000000-0005-0000-0000-000031C90000}"/>
    <cellStyle name="Remarque 4 3 2 6 12" xfId="14001" xr:uid="{00000000-0005-0000-0000-000032C90000}"/>
    <cellStyle name="Remarque 4 3 2 6 13" xfId="37961" xr:uid="{00000000-0005-0000-0000-000033C90000}"/>
    <cellStyle name="Remarque 4 3 2 6 2" xfId="4210" xr:uid="{00000000-0005-0000-0000-000034C90000}"/>
    <cellStyle name="Remarque 4 3 2 6 2 2" xfId="28224" xr:uid="{00000000-0005-0000-0000-000035C90000}"/>
    <cellStyle name="Remarque 4 3 2 6 2 2 2" xfId="52184" xr:uid="{00000000-0005-0000-0000-000036C90000}"/>
    <cellStyle name="Remarque 4 3 2 6 2 3" xfId="15471" xr:uid="{00000000-0005-0000-0000-000037C90000}"/>
    <cellStyle name="Remarque 4 3 2 6 2 4" xfId="39431" xr:uid="{00000000-0005-0000-0000-000038C90000}"/>
    <cellStyle name="Remarque 4 3 2 6 3" xfId="5644" xr:uid="{00000000-0005-0000-0000-000039C90000}"/>
    <cellStyle name="Remarque 4 3 2 6 3 2" xfId="29658" xr:uid="{00000000-0005-0000-0000-00003AC90000}"/>
    <cellStyle name="Remarque 4 3 2 6 3 2 2" xfId="53618" xr:uid="{00000000-0005-0000-0000-00003BC90000}"/>
    <cellStyle name="Remarque 4 3 2 6 3 3" xfId="16905" xr:uid="{00000000-0005-0000-0000-00003CC90000}"/>
    <cellStyle name="Remarque 4 3 2 6 3 4" xfId="40865" xr:uid="{00000000-0005-0000-0000-00003DC90000}"/>
    <cellStyle name="Remarque 4 3 2 6 4" xfId="7038" xr:uid="{00000000-0005-0000-0000-00003EC90000}"/>
    <cellStyle name="Remarque 4 3 2 6 4 2" xfId="31052" xr:uid="{00000000-0005-0000-0000-00003FC90000}"/>
    <cellStyle name="Remarque 4 3 2 6 4 2 2" xfId="55012" xr:uid="{00000000-0005-0000-0000-000040C90000}"/>
    <cellStyle name="Remarque 4 3 2 6 4 3" xfId="18299" xr:uid="{00000000-0005-0000-0000-000041C90000}"/>
    <cellStyle name="Remarque 4 3 2 6 4 4" xfId="42259" xr:uid="{00000000-0005-0000-0000-000042C90000}"/>
    <cellStyle name="Remarque 4 3 2 6 5" xfId="8426" xr:uid="{00000000-0005-0000-0000-000043C90000}"/>
    <cellStyle name="Remarque 4 3 2 6 5 2" xfId="32440" xr:uid="{00000000-0005-0000-0000-000044C90000}"/>
    <cellStyle name="Remarque 4 3 2 6 5 2 2" xfId="56400" xr:uid="{00000000-0005-0000-0000-000045C90000}"/>
    <cellStyle name="Remarque 4 3 2 6 5 3" xfId="19687" xr:uid="{00000000-0005-0000-0000-000046C90000}"/>
    <cellStyle name="Remarque 4 3 2 6 5 4" xfId="43647" xr:uid="{00000000-0005-0000-0000-000047C90000}"/>
    <cellStyle name="Remarque 4 3 2 6 6" xfId="9811" xr:uid="{00000000-0005-0000-0000-000048C90000}"/>
    <cellStyle name="Remarque 4 3 2 6 6 2" xfId="33825" xr:uid="{00000000-0005-0000-0000-000049C90000}"/>
    <cellStyle name="Remarque 4 3 2 6 6 2 2" xfId="57785" xr:uid="{00000000-0005-0000-0000-00004AC90000}"/>
    <cellStyle name="Remarque 4 3 2 6 6 3" xfId="21072" xr:uid="{00000000-0005-0000-0000-00004BC90000}"/>
    <cellStyle name="Remarque 4 3 2 6 6 4" xfId="45032" xr:uid="{00000000-0005-0000-0000-00004CC90000}"/>
    <cellStyle name="Remarque 4 3 2 6 7" xfId="11268" xr:uid="{00000000-0005-0000-0000-00004DC90000}"/>
    <cellStyle name="Remarque 4 3 2 6 7 2" xfId="35278" xr:uid="{00000000-0005-0000-0000-00004EC90000}"/>
    <cellStyle name="Remarque 4 3 2 6 7 2 2" xfId="59238" xr:uid="{00000000-0005-0000-0000-00004FC90000}"/>
    <cellStyle name="Remarque 4 3 2 6 7 3" xfId="22535" xr:uid="{00000000-0005-0000-0000-000050C90000}"/>
    <cellStyle name="Remarque 4 3 2 6 7 4" xfId="46495" xr:uid="{00000000-0005-0000-0000-000051C90000}"/>
    <cellStyle name="Remarque 4 3 2 6 8" xfId="12266" xr:uid="{00000000-0005-0000-0000-000052C90000}"/>
    <cellStyle name="Remarque 4 3 2 6 8 2" xfId="23552" xr:uid="{00000000-0005-0000-0000-000053C90000}"/>
    <cellStyle name="Remarque 4 3 2 6 8 3" xfId="47512" xr:uid="{00000000-0005-0000-0000-000054C90000}"/>
    <cellStyle name="Remarque 4 3 2 6 9" xfId="2740" xr:uid="{00000000-0005-0000-0000-000055C90000}"/>
    <cellStyle name="Remarque 4 3 2 6 9 2" xfId="26754" xr:uid="{00000000-0005-0000-0000-000056C90000}"/>
    <cellStyle name="Remarque 4 3 2 6 9 3" xfId="50714" xr:uid="{00000000-0005-0000-0000-000057C90000}"/>
    <cellStyle name="Remarque 4 3 2 7" xfId="1473" xr:uid="{00000000-0005-0000-0000-000058C90000}"/>
    <cellStyle name="Remarque 4 3 2 7 10" xfId="25505" xr:uid="{00000000-0005-0000-0000-000059C90000}"/>
    <cellStyle name="Remarque 4 3 2 7 10 2" xfId="49465" xr:uid="{00000000-0005-0000-0000-00005AC90000}"/>
    <cellStyle name="Remarque 4 3 2 7 11" xfId="35888" xr:uid="{00000000-0005-0000-0000-00005BC90000}"/>
    <cellStyle name="Remarque 4 3 2 7 11 2" xfId="59848" xr:uid="{00000000-0005-0000-0000-00005CC90000}"/>
    <cellStyle name="Remarque 4 3 2 7 12" xfId="14170" xr:uid="{00000000-0005-0000-0000-00005DC90000}"/>
    <cellStyle name="Remarque 4 3 2 7 13" xfId="38130" xr:uid="{00000000-0005-0000-0000-00005EC90000}"/>
    <cellStyle name="Remarque 4 3 2 7 2" xfId="4379" xr:uid="{00000000-0005-0000-0000-00005FC90000}"/>
    <cellStyle name="Remarque 4 3 2 7 2 2" xfId="28393" xr:uid="{00000000-0005-0000-0000-000060C90000}"/>
    <cellStyle name="Remarque 4 3 2 7 2 2 2" xfId="52353" xr:uid="{00000000-0005-0000-0000-000061C90000}"/>
    <cellStyle name="Remarque 4 3 2 7 2 3" xfId="15640" xr:uid="{00000000-0005-0000-0000-000062C90000}"/>
    <cellStyle name="Remarque 4 3 2 7 2 4" xfId="39600" xr:uid="{00000000-0005-0000-0000-000063C90000}"/>
    <cellStyle name="Remarque 4 3 2 7 3" xfId="5813" xr:uid="{00000000-0005-0000-0000-000064C90000}"/>
    <cellStyle name="Remarque 4 3 2 7 3 2" xfId="29827" xr:uid="{00000000-0005-0000-0000-000065C90000}"/>
    <cellStyle name="Remarque 4 3 2 7 3 2 2" xfId="53787" xr:uid="{00000000-0005-0000-0000-000066C90000}"/>
    <cellStyle name="Remarque 4 3 2 7 3 3" xfId="17074" xr:uid="{00000000-0005-0000-0000-000067C90000}"/>
    <cellStyle name="Remarque 4 3 2 7 3 4" xfId="41034" xr:uid="{00000000-0005-0000-0000-000068C90000}"/>
    <cellStyle name="Remarque 4 3 2 7 4" xfId="7207" xr:uid="{00000000-0005-0000-0000-000069C90000}"/>
    <cellStyle name="Remarque 4 3 2 7 4 2" xfId="31221" xr:uid="{00000000-0005-0000-0000-00006AC90000}"/>
    <cellStyle name="Remarque 4 3 2 7 4 2 2" xfId="55181" xr:uid="{00000000-0005-0000-0000-00006BC90000}"/>
    <cellStyle name="Remarque 4 3 2 7 4 3" xfId="18468" xr:uid="{00000000-0005-0000-0000-00006CC90000}"/>
    <cellStyle name="Remarque 4 3 2 7 4 4" xfId="42428" xr:uid="{00000000-0005-0000-0000-00006DC90000}"/>
    <cellStyle name="Remarque 4 3 2 7 5" xfId="8595" xr:uid="{00000000-0005-0000-0000-00006EC90000}"/>
    <cellStyle name="Remarque 4 3 2 7 5 2" xfId="32609" xr:uid="{00000000-0005-0000-0000-00006FC90000}"/>
    <cellStyle name="Remarque 4 3 2 7 5 2 2" xfId="56569" xr:uid="{00000000-0005-0000-0000-000070C90000}"/>
    <cellStyle name="Remarque 4 3 2 7 5 3" xfId="19856" xr:uid="{00000000-0005-0000-0000-000071C90000}"/>
    <cellStyle name="Remarque 4 3 2 7 5 4" xfId="43816" xr:uid="{00000000-0005-0000-0000-000072C90000}"/>
    <cellStyle name="Remarque 4 3 2 7 6" xfId="9980" xr:uid="{00000000-0005-0000-0000-000073C90000}"/>
    <cellStyle name="Remarque 4 3 2 7 6 2" xfId="33994" xr:uid="{00000000-0005-0000-0000-000074C90000}"/>
    <cellStyle name="Remarque 4 3 2 7 6 2 2" xfId="57954" xr:uid="{00000000-0005-0000-0000-000075C90000}"/>
    <cellStyle name="Remarque 4 3 2 7 6 3" xfId="21241" xr:uid="{00000000-0005-0000-0000-000076C90000}"/>
    <cellStyle name="Remarque 4 3 2 7 6 4" xfId="45201" xr:uid="{00000000-0005-0000-0000-000077C90000}"/>
    <cellStyle name="Remarque 4 3 2 7 7" xfId="11437" xr:uid="{00000000-0005-0000-0000-000078C90000}"/>
    <cellStyle name="Remarque 4 3 2 7 7 2" xfId="35447" xr:uid="{00000000-0005-0000-0000-000079C90000}"/>
    <cellStyle name="Remarque 4 3 2 7 7 2 2" xfId="59407" xr:uid="{00000000-0005-0000-0000-00007AC90000}"/>
    <cellStyle name="Remarque 4 3 2 7 7 3" xfId="22704" xr:uid="{00000000-0005-0000-0000-00007BC90000}"/>
    <cellStyle name="Remarque 4 3 2 7 7 4" xfId="46664" xr:uid="{00000000-0005-0000-0000-00007CC90000}"/>
    <cellStyle name="Remarque 4 3 2 7 8" xfId="12130" xr:uid="{00000000-0005-0000-0000-00007DC90000}"/>
    <cellStyle name="Remarque 4 3 2 7 8 2" xfId="23413" xr:uid="{00000000-0005-0000-0000-00007EC90000}"/>
    <cellStyle name="Remarque 4 3 2 7 8 3" xfId="47373" xr:uid="{00000000-0005-0000-0000-00007FC90000}"/>
    <cellStyle name="Remarque 4 3 2 7 9" xfId="2909" xr:uid="{00000000-0005-0000-0000-000080C90000}"/>
    <cellStyle name="Remarque 4 3 2 7 9 2" xfId="26923" xr:uid="{00000000-0005-0000-0000-000081C90000}"/>
    <cellStyle name="Remarque 4 3 2 7 9 3" xfId="50883" xr:uid="{00000000-0005-0000-0000-000082C90000}"/>
    <cellStyle name="Remarque 4 3 2 8" xfId="3328" xr:uid="{00000000-0005-0000-0000-000083C90000}"/>
    <cellStyle name="Remarque 4 3 2 8 2" xfId="27342" xr:uid="{00000000-0005-0000-0000-000084C90000}"/>
    <cellStyle name="Remarque 4 3 2 8 2 2" xfId="51302" xr:uid="{00000000-0005-0000-0000-000085C90000}"/>
    <cellStyle name="Remarque 4 3 2 8 3" xfId="14589" xr:uid="{00000000-0005-0000-0000-000086C90000}"/>
    <cellStyle name="Remarque 4 3 2 8 4" xfId="38549" xr:uid="{00000000-0005-0000-0000-000087C90000}"/>
    <cellStyle name="Remarque 4 3 2 9" xfId="4762" xr:uid="{00000000-0005-0000-0000-000088C90000}"/>
    <cellStyle name="Remarque 4 3 2 9 2" xfId="28776" xr:uid="{00000000-0005-0000-0000-000089C90000}"/>
    <cellStyle name="Remarque 4 3 2 9 2 2" xfId="52736" xr:uid="{00000000-0005-0000-0000-00008AC90000}"/>
    <cellStyle name="Remarque 4 3 2 9 3" xfId="16023" xr:uid="{00000000-0005-0000-0000-00008BC90000}"/>
    <cellStyle name="Remarque 4 3 2 9 4" xfId="39983" xr:uid="{00000000-0005-0000-0000-00008CC90000}"/>
    <cellStyle name="Remarque 4 3 20" xfId="12944" xr:uid="{00000000-0005-0000-0000-00008DC90000}"/>
    <cellStyle name="Remarque 4 3 21" xfId="36904" xr:uid="{00000000-0005-0000-0000-00008EC90000}"/>
    <cellStyle name="Remarque 4 3 22" xfId="247" xr:uid="{00000000-0005-0000-0000-00008FC90000}"/>
    <cellStyle name="Remarque 4 3 3" xfId="346" xr:uid="{00000000-0005-0000-0000-000090C90000}"/>
    <cellStyle name="Remarque 4 3 3 10" xfId="24378" xr:uid="{00000000-0005-0000-0000-000091C90000}"/>
    <cellStyle name="Remarque 4 3 3 10 2" xfId="48338" xr:uid="{00000000-0005-0000-0000-000092C90000}"/>
    <cellStyle name="Remarque 4 3 3 11" xfId="36546" xr:uid="{00000000-0005-0000-0000-000093C90000}"/>
    <cellStyle name="Remarque 4 3 3 11 2" xfId="60506" xr:uid="{00000000-0005-0000-0000-000094C90000}"/>
    <cellStyle name="Remarque 4 3 3 12" xfId="13043" xr:uid="{00000000-0005-0000-0000-000095C90000}"/>
    <cellStyle name="Remarque 4 3 3 13" xfId="37003" xr:uid="{00000000-0005-0000-0000-000096C90000}"/>
    <cellStyle name="Remarque 4 3 3 2" xfId="3252" xr:uid="{00000000-0005-0000-0000-000097C90000}"/>
    <cellStyle name="Remarque 4 3 3 2 2" xfId="27266" xr:uid="{00000000-0005-0000-0000-000098C90000}"/>
    <cellStyle name="Remarque 4 3 3 2 2 2" xfId="51226" xr:uid="{00000000-0005-0000-0000-000099C90000}"/>
    <cellStyle name="Remarque 4 3 3 2 3" xfId="14513" xr:uid="{00000000-0005-0000-0000-00009AC90000}"/>
    <cellStyle name="Remarque 4 3 3 2 4" xfId="38473" xr:uid="{00000000-0005-0000-0000-00009BC90000}"/>
    <cellStyle name="Remarque 4 3 3 3" xfId="4686" xr:uid="{00000000-0005-0000-0000-00009CC90000}"/>
    <cellStyle name="Remarque 4 3 3 3 2" xfId="28700" xr:uid="{00000000-0005-0000-0000-00009DC90000}"/>
    <cellStyle name="Remarque 4 3 3 3 2 2" xfId="52660" xr:uid="{00000000-0005-0000-0000-00009EC90000}"/>
    <cellStyle name="Remarque 4 3 3 3 3" xfId="15947" xr:uid="{00000000-0005-0000-0000-00009FC90000}"/>
    <cellStyle name="Remarque 4 3 3 3 4" xfId="39907" xr:uid="{00000000-0005-0000-0000-0000A0C90000}"/>
    <cellStyle name="Remarque 4 3 3 4" xfId="6080" xr:uid="{00000000-0005-0000-0000-0000A1C90000}"/>
    <cellStyle name="Remarque 4 3 3 4 2" xfId="30094" xr:uid="{00000000-0005-0000-0000-0000A2C90000}"/>
    <cellStyle name="Remarque 4 3 3 4 2 2" xfId="54054" xr:uid="{00000000-0005-0000-0000-0000A3C90000}"/>
    <cellStyle name="Remarque 4 3 3 4 3" xfId="17341" xr:uid="{00000000-0005-0000-0000-0000A4C90000}"/>
    <cellStyle name="Remarque 4 3 3 4 4" xfId="41301" xr:uid="{00000000-0005-0000-0000-0000A5C90000}"/>
    <cellStyle name="Remarque 4 3 3 5" xfId="7468" xr:uid="{00000000-0005-0000-0000-0000A6C90000}"/>
    <cellStyle name="Remarque 4 3 3 5 2" xfId="31482" xr:uid="{00000000-0005-0000-0000-0000A7C90000}"/>
    <cellStyle name="Remarque 4 3 3 5 2 2" xfId="55442" xr:uid="{00000000-0005-0000-0000-0000A8C90000}"/>
    <cellStyle name="Remarque 4 3 3 5 3" xfId="18729" xr:uid="{00000000-0005-0000-0000-0000A9C90000}"/>
    <cellStyle name="Remarque 4 3 3 5 4" xfId="42689" xr:uid="{00000000-0005-0000-0000-0000AAC90000}"/>
    <cellStyle name="Remarque 4 3 3 6" xfId="8853" xr:uid="{00000000-0005-0000-0000-0000ABC90000}"/>
    <cellStyle name="Remarque 4 3 3 6 2" xfId="32867" xr:uid="{00000000-0005-0000-0000-0000ACC90000}"/>
    <cellStyle name="Remarque 4 3 3 6 2 2" xfId="56827" xr:uid="{00000000-0005-0000-0000-0000ADC90000}"/>
    <cellStyle name="Remarque 4 3 3 6 3" xfId="20114" xr:uid="{00000000-0005-0000-0000-0000AEC90000}"/>
    <cellStyle name="Remarque 4 3 3 6 4" xfId="44074" xr:uid="{00000000-0005-0000-0000-0000AFC90000}"/>
    <cellStyle name="Remarque 4 3 3 7" xfId="10310" xr:uid="{00000000-0005-0000-0000-0000B0C90000}"/>
    <cellStyle name="Remarque 4 3 3 7 2" xfId="34320" xr:uid="{00000000-0005-0000-0000-0000B1C90000}"/>
    <cellStyle name="Remarque 4 3 3 7 2 2" xfId="58280" xr:uid="{00000000-0005-0000-0000-0000B2C90000}"/>
    <cellStyle name="Remarque 4 3 3 7 3" xfId="21577" xr:uid="{00000000-0005-0000-0000-0000B3C90000}"/>
    <cellStyle name="Remarque 4 3 3 7 4" xfId="45537" xr:uid="{00000000-0005-0000-0000-0000B4C90000}"/>
    <cellStyle name="Remarque 4 3 3 8" xfId="11744" xr:uid="{00000000-0005-0000-0000-0000B5C90000}"/>
    <cellStyle name="Remarque 4 3 3 8 2" xfId="23015" xr:uid="{00000000-0005-0000-0000-0000B6C90000}"/>
    <cellStyle name="Remarque 4 3 3 8 3" xfId="46975" xr:uid="{00000000-0005-0000-0000-0000B7C90000}"/>
    <cellStyle name="Remarque 4 3 3 9" xfId="1782" xr:uid="{00000000-0005-0000-0000-0000B8C90000}"/>
    <cellStyle name="Remarque 4 3 3 9 2" xfId="25796" xr:uid="{00000000-0005-0000-0000-0000B9C90000}"/>
    <cellStyle name="Remarque 4 3 3 9 3" xfId="49756" xr:uid="{00000000-0005-0000-0000-0000BAC90000}"/>
    <cellStyle name="Remarque 4 3 4" xfId="482" xr:uid="{00000000-0005-0000-0000-0000BBC90000}"/>
    <cellStyle name="Remarque 4 3 4 10" xfId="24514" xr:uid="{00000000-0005-0000-0000-0000BCC90000}"/>
    <cellStyle name="Remarque 4 3 4 10 2" xfId="48474" xr:uid="{00000000-0005-0000-0000-0000BDC90000}"/>
    <cellStyle name="Remarque 4 3 4 11" xfId="36235" xr:uid="{00000000-0005-0000-0000-0000BEC90000}"/>
    <cellStyle name="Remarque 4 3 4 11 2" xfId="60195" xr:uid="{00000000-0005-0000-0000-0000BFC90000}"/>
    <cellStyle name="Remarque 4 3 4 12" xfId="13179" xr:uid="{00000000-0005-0000-0000-0000C0C90000}"/>
    <cellStyle name="Remarque 4 3 4 13" xfId="37139" xr:uid="{00000000-0005-0000-0000-0000C1C90000}"/>
    <cellStyle name="Remarque 4 3 4 2" xfId="3388" xr:uid="{00000000-0005-0000-0000-0000C2C90000}"/>
    <cellStyle name="Remarque 4 3 4 2 2" xfId="27402" xr:uid="{00000000-0005-0000-0000-0000C3C90000}"/>
    <cellStyle name="Remarque 4 3 4 2 2 2" xfId="51362" xr:uid="{00000000-0005-0000-0000-0000C4C90000}"/>
    <cellStyle name="Remarque 4 3 4 2 3" xfId="14649" xr:uid="{00000000-0005-0000-0000-0000C5C90000}"/>
    <cellStyle name="Remarque 4 3 4 2 4" xfId="38609" xr:uid="{00000000-0005-0000-0000-0000C6C90000}"/>
    <cellStyle name="Remarque 4 3 4 3" xfId="4822" xr:uid="{00000000-0005-0000-0000-0000C7C90000}"/>
    <cellStyle name="Remarque 4 3 4 3 2" xfId="28836" xr:uid="{00000000-0005-0000-0000-0000C8C90000}"/>
    <cellStyle name="Remarque 4 3 4 3 2 2" xfId="52796" xr:uid="{00000000-0005-0000-0000-0000C9C90000}"/>
    <cellStyle name="Remarque 4 3 4 3 3" xfId="16083" xr:uid="{00000000-0005-0000-0000-0000CAC90000}"/>
    <cellStyle name="Remarque 4 3 4 3 4" xfId="40043" xr:uid="{00000000-0005-0000-0000-0000CBC90000}"/>
    <cellStyle name="Remarque 4 3 4 4" xfId="6216" xr:uid="{00000000-0005-0000-0000-0000CCC90000}"/>
    <cellStyle name="Remarque 4 3 4 4 2" xfId="30230" xr:uid="{00000000-0005-0000-0000-0000CDC90000}"/>
    <cellStyle name="Remarque 4 3 4 4 2 2" xfId="54190" xr:uid="{00000000-0005-0000-0000-0000CEC90000}"/>
    <cellStyle name="Remarque 4 3 4 4 3" xfId="17477" xr:uid="{00000000-0005-0000-0000-0000CFC90000}"/>
    <cellStyle name="Remarque 4 3 4 4 4" xfId="41437" xr:uid="{00000000-0005-0000-0000-0000D0C90000}"/>
    <cellStyle name="Remarque 4 3 4 5" xfId="7604" xr:uid="{00000000-0005-0000-0000-0000D1C90000}"/>
    <cellStyle name="Remarque 4 3 4 5 2" xfId="31618" xr:uid="{00000000-0005-0000-0000-0000D2C90000}"/>
    <cellStyle name="Remarque 4 3 4 5 2 2" xfId="55578" xr:uid="{00000000-0005-0000-0000-0000D3C90000}"/>
    <cellStyle name="Remarque 4 3 4 5 3" xfId="18865" xr:uid="{00000000-0005-0000-0000-0000D4C90000}"/>
    <cellStyle name="Remarque 4 3 4 5 4" xfId="42825" xr:uid="{00000000-0005-0000-0000-0000D5C90000}"/>
    <cellStyle name="Remarque 4 3 4 6" xfId="8989" xr:uid="{00000000-0005-0000-0000-0000D6C90000}"/>
    <cellStyle name="Remarque 4 3 4 6 2" xfId="33003" xr:uid="{00000000-0005-0000-0000-0000D7C90000}"/>
    <cellStyle name="Remarque 4 3 4 6 2 2" xfId="56963" xr:uid="{00000000-0005-0000-0000-0000D8C90000}"/>
    <cellStyle name="Remarque 4 3 4 6 3" xfId="20250" xr:uid="{00000000-0005-0000-0000-0000D9C90000}"/>
    <cellStyle name="Remarque 4 3 4 6 4" xfId="44210" xr:uid="{00000000-0005-0000-0000-0000DAC90000}"/>
    <cellStyle name="Remarque 4 3 4 7" xfId="10446" xr:uid="{00000000-0005-0000-0000-0000DBC90000}"/>
    <cellStyle name="Remarque 4 3 4 7 2" xfId="34456" xr:uid="{00000000-0005-0000-0000-0000DCC90000}"/>
    <cellStyle name="Remarque 4 3 4 7 2 2" xfId="58416" xr:uid="{00000000-0005-0000-0000-0000DDC90000}"/>
    <cellStyle name="Remarque 4 3 4 7 3" xfId="21713" xr:uid="{00000000-0005-0000-0000-0000DEC90000}"/>
    <cellStyle name="Remarque 4 3 4 7 4" xfId="45673" xr:uid="{00000000-0005-0000-0000-0000DFC90000}"/>
    <cellStyle name="Remarque 4 3 4 8" xfId="12552" xr:uid="{00000000-0005-0000-0000-0000E0C90000}"/>
    <cellStyle name="Remarque 4 3 4 8 2" xfId="23851" xr:uid="{00000000-0005-0000-0000-0000E1C90000}"/>
    <cellStyle name="Remarque 4 3 4 8 3" xfId="47811" xr:uid="{00000000-0005-0000-0000-0000E2C90000}"/>
    <cellStyle name="Remarque 4 3 4 9" xfId="1918" xr:uid="{00000000-0005-0000-0000-0000E3C90000}"/>
    <cellStyle name="Remarque 4 3 4 9 2" xfId="25932" xr:uid="{00000000-0005-0000-0000-0000E4C90000}"/>
    <cellStyle name="Remarque 4 3 4 9 3" xfId="49892" xr:uid="{00000000-0005-0000-0000-0000E5C90000}"/>
    <cellStyle name="Remarque 4 3 5" xfId="674" xr:uid="{00000000-0005-0000-0000-0000E6C90000}"/>
    <cellStyle name="Remarque 4 3 5 10" xfId="24706" xr:uid="{00000000-0005-0000-0000-0000E7C90000}"/>
    <cellStyle name="Remarque 4 3 5 10 2" xfId="48666" xr:uid="{00000000-0005-0000-0000-0000E8C90000}"/>
    <cellStyle name="Remarque 4 3 5 11" xfId="22879" xr:uid="{00000000-0005-0000-0000-0000E9C90000}"/>
    <cellStyle name="Remarque 4 3 5 11 2" xfId="46839" xr:uid="{00000000-0005-0000-0000-0000EAC90000}"/>
    <cellStyle name="Remarque 4 3 5 12" xfId="13371" xr:uid="{00000000-0005-0000-0000-0000EBC90000}"/>
    <cellStyle name="Remarque 4 3 5 13" xfId="37331" xr:uid="{00000000-0005-0000-0000-0000ECC90000}"/>
    <cellStyle name="Remarque 4 3 5 2" xfId="3580" xr:uid="{00000000-0005-0000-0000-0000EDC90000}"/>
    <cellStyle name="Remarque 4 3 5 2 2" xfId="27594" xr:uid="{00000000-0005-0000-0000-0000EEC90000}"/>
    <cellStyle name="Remarque 4 3 5 2 2 2" xfId="51554" xr:uid="{00000000-0005-0000-0000-0000EFC90000}"/>
    <cellStyle name="Remarque 4 3 5 2 3" xfId="14841" xr:uid="{00000000-0005-0000-0000-0000F0C90000}"/>
    <cellStyle name="Remarque 4 3 5 2 4" xfId="38801" xr:uid="{00000000-0005-0000-0000-0000F1C90000}"/>
    <cellStyle name="Remarque 4 3 5 3" xfId="5014" xr:uid="{00000000-0005-0000-0000-0000F2C90000}"/>
    <cellStyle name="Remarque 4 3 5 3 2" xfId="29028" xr:uid="{00000000-0005-0000-0000-0000F3C90000}"/>
    <cellStyle name="Remarque 4 3 5 3 2 2" xfId="52988" xr:uid="{00000000-0005-0000-0000-0000F4C90000}"/>
    <cellStyle name="Remarque 4 3 5 3 3" xfId="16275" xr:uid="{00000000-0005-0000-0000-0000F5C90000}"/>
    <cellStyle name="Remarque 4 3 5 3 4" xfId="40235" xr:uid="{00000000-0005-0000-0000-0000F6C90000}"/>
    <cellStyle name="Remarque 4 3 5 4" xfId="6408" xr:uid="{00000000-0005-0000-0000-0000F7C90000}"/>
    <cellStyle name="Remarque 4 3 5 4 2" xfId="30422" xr:uid="{00000000-0005-0000-0000-0000F8C90000}"/>
    <cellStyle name="Remarque 4 3 5 4 2 2" xfId="54382" xr:uid="{00000000-0005-0000-0000-0000F9C90000}"/>
    <cellStyle name="Remarque 4 3 5 4 3" xfId="17669" xr:uid="{00000000-0005-0000-0000-0000FAC90000}"/>
    <cellStyle name="Remarque 4 3 5 4 4" xfId="41629" xr:uid="{00000000-0005-0000-0000-0000FBC90000}"/>
    <cellStyle name="Remarque 4 3 5 5" xfId="7796" xr:uid="{00000000-0005-0000-0000-0000FCC90000}"/>
    <cellStyle name="Remarque 4 3 5 5 2" xfId="31810" xr:uid="{00000000-0005-0000-0000-0000FDC90000}"/>
    <cellStyle name="Remarque 4 3 5 5 2 2" xfId="55770" xr:uid="{00000000-0005-0000-0000-0000FEC90000}"/>
    <cellStyle name="Remarque 4 3 5 5 3" xfId="19057" xr:uid="{00000000-0005-0000-0000-0000FFC90000}"/>
    <cellStyle name="Remarque 4 3 5 5 4" xfId="43017" xr:uid="{00000000-0005-0000-0000-000000CA0000}"/>
    <cellStyle name="Remarque 4 3 5 6" xfId="9181" xr:uid="{00000000-0005-0000-0000-000001CA0000}"/>
    <cellStyle name="Remarque 4 3 5 6 2" xfId="33195" xr:uid="{00000000-0005-0000-0000-000002CA0000}"/>
    <cellStyle name="Remarque 4 3 5 6 2 2" xfId="57155" xr:uid="{00000000-0005-0000-0000-000003CA0000}"/>
    <cellStyle name="Remarque 4 3 5 6 3" xfId="20442" xr:uid="{00000000-0005-0000-0000-000004CA0000}"/>
    <cellStyle name="Remarque 4 3 5 6 4" xfId="44402" xr:uid="{00000000-0005-0000-0000-000005CA0000}"/>
    <cellStyle name="Remarque 4 3 5 7" xfId="10638" xr:uid="{00000000-0005-0000-0000-000006CA0000}"/>
    <cellStyle name="Remarque 4 3 5 7 2" xfId="34648" xr:uid="{00000000-0005-0000-0000-000007CA0000}"/>
    <cellStyle name="Remarque 4 3 5 7 2 2" xfId="58608" xr:uid="{00000000-0005-0000-0000-000008CA0000}"/>
    <cellStyle name="Remarque 4 3 5 7 3" xfId="21905" xr:uid="{00000000-0005-0000-0000-000009CA0000}"/>
    <cellStyle name="Remarque 4 3 5 7 4" xfId="45865" xr:uid="{00000000-0005-0000-0000-00000ACA0000}"/>
    <cellStyle name="Remarque 4 3 5 8" xfId="12638" xr:uid="{00000000-0005-0000-0000-00000BCA0000}"/>
    <cellStyle name="Remarque 4 3 5 8 2" xfId="23942" xr:uid="{00000000-0005-0000-0000-00000CCA0000}"/>
    <cellStyle name="Remarque 4 3 5 8 3" xfId="47902" xr:uid="{00000000-0005-0000-0000-00000DCA0000}"/>
    <cellStyle name="Remarque 4 3 5 9" xfId="2110" xr:uid="{00000000-0005-0000-0000-00000ECA0000}"/>
    <cellStyle name="Remarque 4 3 5 9 2" xfId="26124" xr:uid="{00000000-0005-0000-0000-00000FCA0000}"/>
    <cellStyle name="Remarque 4 3 5 9 3" xfId="50084" xr:uid="{00000000-0005-0000-0000-000010CA0000}"/>
    <cellStyle name="Remarque 4 3 6" xfId="868" xr:uid="{00000000-0005-0000-0000-000011CA0000}"/>
    <cellStyle name="Remarque 4 3 6 10" xfId="24900" xr:uid="{00000000-0005-0000-0000-000012CA0000}"/>
    <cellStyle name="Remarque 4 3 6 10 2" xfId="48860" xr:uid="{00000000-0005-0000-0000-000013CA0000}"/>
    <cellStyle name="Remarque 4 3 6 11" xfId="35998" xr:uid="{00000000-0005-0000-0000-000014CA0000}"/>
    <cellStyle name="Remarque 4 3 6 11 2" xfId="59958" xr:uid="{00000000-0005-0000-0000-000015CA0000}"/>
    <cellStyle name="Remarque 4 3 6 12" xfId="13565" xr:uid="{00000000-0005-0000-0000-000016CA0000}"/>
    <cellStyle name="Remarque 4 3 6 13" xfId="37525" xr:uid="{00000000-0005-0000-0000-000017CA0000}"/>
    <cellStyle name="Remarque 4 3 6 2" xfId="3774" xr:uid="{00000000-0005-0000-0000-000018CA0000}"/>
    <cellStyle name="Remarque 4 3 6 2 2" xfId="27788" xr:uid="{00000000-0005-0000-0000-000019CA0000}"/>
    <cellStyle name="Remarque 4 3 6 2 2 2" xfId="51748" xr:uid="{00000000-0005-0000-0000-00001ACA0000}"/>
    <cellStyle name="Remarque 4 3 6 2 3" xfId="15035" xr:uid="{00000000-0005-0000-0000-00001BCA0000}"/>
    <cellStyle name="Remarque 4 3 6 2 4" xfId="38995" xr:uid="{00000000-0005-0000-0000-00001CCA0000}"/>
    <cellStyle name="Remarque 4 3 6 3" xfId="5208" xr:uid="{00000000-0005-0000-0000-00001DCA0000}"/>
    <cellStyle name="Remarque 4 3 6 3 2" xfId="29222" xr:uid="{00000000-0005-0000-0000-00001ECA0000}"/>
    <cellStyle name="Remarque 4 3 6 3 2 2" xfId="53182" xr:uid="{00000000-0005-0000-0000-00001FCA0000}"/>
    <cellStyle name="Remarque 4 3 6 3 3" xfId="16469" xr:uid="{00000000-0005-0000-0000-000020CA0000}"/>
    <cellStyle name="Remarque 4 3 6 3 4" xfId="40429" xr:uid="{00000000-0005-0000-0000-000021CA0000}"/>
    <cellStyle name="Remarque 4 3 6 4" xfId="6602" xr:uid="{00000000-0005-0000-0000-000022CA0000}"/>
    <cellStyle name="Remarque 4 3 6 4 2" xfId="30616" xr:uid="{00000000-0005-0000-0000-000023CA0000}"/>
    <cellStyle name="Remarque 4 3 6 4 2 2" xfId="54576" xr:uid="{00000000-0005-0000-0000-000024CA0000}"/>
    <cellStyle name="Remarque 4 3 6 4 3" xfId="17863" xr:uid="{00000000-0005-0000-0000-000025CA0000}"/>
    <cellStyle name="Remarque 4 3 6 4 4" xfId="41823" xr:uid="{00000000-0005-0000-0000-000026CA0000}"/>
    <cellStyle name="Remarque 4 3 6 5" xfId="7990" xr:uid="{00000000-0005-0000-0000-000027CA0000}"/>
    <cellStyle name="Remarque 4 3 6 5 2" xfId="32004" xr:uid="{00000000-0005-0000-0000-000028CA0000}"/>
    <cellStyle name="Remarque 4 3 6 5 2 2" xfId="55964" xr:uid="{00000000-0005-0000-0000-000029CA0000}"/>
    <cellStyle name="Remarque 4 3 6 5 3" xfId="19251" xr:uid="{00000000-0005-0000-0000-00002ACA0000}"/>
    <cellStyle name="Remarque 4 3 6 5 4" xfId="43211" xr:uid="{00000000-0005-0000-0000-00002BCA0000}"/>
    <cellStyle name="Remarque 4 3 6 6" xfId="9375" xr:uid="{00000000-0005-0000-0000-00002CCA0000}"/>
    <cellStyle name="Remarque 4 3 6 6 2" xfId="33389" xr:uid="{00000000-0005-0000-0000-00002DCA0000}"/>
    <cellStyle name="Remarque 4 3 6 6 2 2" xfId="57349" xr:uid="{00000000-0005-0000-0000-00002ECA0000}"/>
    <cellStyle name="Remarque 4 3 6 6 3" xfId="20636" xr:uid="{00000000-0005-0000-0000-00002FCA0000}"/>
    <cellStyle name="Remarque 4 3 6 6 4" xfId="44596" xr:uid="{00000000-0005-0000-0000-000030CA0000}"/>
    <cellStyle name="Remarque 4 3 6 7" xfId="10832" xr:uid="{00000000-0005-0000-0000-000031CA0000}"/>
    <cellStyle name="Remarque 4 3 6 7 2" xfId="34842" xr:uid="{00000000-0005-0000-0000-000032CA0000}"/>
    <cellStyle name="Remarque 4 3 6 7 2 2" xfId="58802" xr:uid="{00000000-0005-0000-0000-000033CA0000}"/>
    <cellStyle name="Remarque 4 3 6 7 3" xfId="22099" xr:uid="{00000000-0005-0000-0000-000034CA0000}"/>
    <cellStyle name="Remarque 4 3 6 7 4" xfId="46059" xr:uid="{00000000-0005-0000-0000-000035CA0000}"/>
    <cellStyle name="Remarque 4 3 6 8" xfId="11687" xr:uid="{00000000-0005-0000-0000-000036CA0000}"/>
    <cellStyle name="Remarque 4 3 6 8 2" xfId="22956" xr:uid="{00000000-0005-0000-0000-000037CA0000}"/>
    <cellStyle name="Remarque 4 3 6 8 3" xfId="46916" xr:uid="{00000000-0005-0000-0000-000038CA0000}"/>
    <cellStyle name="Remarque 4 3 6 9" xfId="2304" xr:uid="{00000000-0005-0000-0000-000039CA0000}"/>
    <cellStyle name="Remarque 4 3 6 9 2" xfId="26318" xr:uid="{00000000-0005-0000-0000-00003ACA0000}"/>
    <cellStyle name="Remarque 4 3 6 9 3" xfId="50278" xr:uid="{00000000-0005-0000-0000-00003BCA0000}"/>
    <cellStyle name="Remarque 4 3 7" xfId="1061" xr:uid="{00000000-0005-0000-0000-00003CCA0000}"/>
    <cellStyle name="Remarque 4 3 7 10" xfId="25093" xr:uid="{00000000-0005-0000-0000-00003DCA0000}"/>
    <cellStyle name="Remarque 4 3 7 10 2" xfId="49053" xr:uid="{00000000-0005-0000-0000-00003ECA0000}"/>
    <cellStyle name="Remarque 4 3 7 11" xfId="36186" xr:uid="{00000000-0005-0000-0000-00003FCA0000}"/>
    <cellStyle name="Remarque 4 3 7 11 2" xfId="60146" xr:uid="{00000000-0005-0000-0000-000040CA0000}"/>
    <cellStyle name="Remarque 4 3 7 12" xfId="13758" xr:uid="{00000000-0005-0000-0000-000041CA0000}"/>
    <cellStyle name="Remarque 4 3 7 13" xfId="37718" xr:uid="{00000000-0005-0000-0000-000042CA0000}"/>
    <cellStyle name="Remarque 4 3 7 2" xfId="3967" xr:uid="{00000000-0005-0000-0000-000043CA0000}"/>
    <cellStyle name="Remarque 4 3 7 2 2" xfId="27981" xr:uid="{00000000-0005-0000-0000-000044CA0000}"/>
    <cellStyle name="Remarque 4 3 7 2 2 2" xfId="51941" xr:uid="{00000000-0005-0000-0000-000045CA0000}"/>
    <cellStyle name="Remarque 4 3 7 2 3" xfId="15228" xr:uid="{00000000-0005-0000-0000-000046CA0000}"/>
    <cellStyle name="Remarque 4 3 7 2 4" xfId="39188" xr:uid="{00000000-0005-0000-0000-000047CA0000}"/>
    <cellStyle name="Remarque 4 3 7 3" xfId="5401" xr:uid="{00000000-0005-0000-0000-000048CA0000}"/>
    <cellStyle name="Remarque 4 3 7 3 2" xfId="29415" xr:uid="{00000000-0005-0000-0000-000049CA0000}"/>
    <cellStyle name="Remarque 4 3 7 3 2 2" xfId="53375" xr:uid="{00000000-0005-0000-0000-00004ACA0000}"/>
    <cellStyle name="Remarque 4 3 7 3 3" xfId="16662" xr:uid="{00000000-0005-0000-0000-00004BCA0000}"/>
    <cellStyle name="Remarque 4 3 7 3 4" xfId="40622" xr:uid="{00000000-0005-0000-0000-00004CCA0000}"/>
    <cellStyle name="Remarque 4 3 7 4" xfId="6795" xr:uid="{00000000-0005-0000-0000-00004DCA0000}"/>
    <cellStyle name="Remarque 4 3 7 4 2" xfId="30809" xr:uid="{00000000-0005-0000-0000-00004ECA0000}"/>
    <cellStyle name="Remarque 4 3 7 4 2 2" xfId="54769" xr:uid="{00000000-0005-0000-0000-00004FCA0000}"/>
    <cellStyle name="Remarque 4 3 7 4 3" xfId="18056" xr:uid="{00000000-0005-0000-0000-000050CA0000}"/>
    <cellStyle name="Remarque 4 3 7 4 4" xfId="42016" xr:uid="{00000000-0005-0000-0000-000051CA0000}"/>
    <cellStyle name="Remarque 4 3 7 5" xfId="8183" xr:uid="{00000000-0005-0000-0000-000052CA0000}"/>
    <cellStyle name="Remarque 4 3 7 5 2" xfId="32197" xr:uid="{00000000-0005-0000-0000-000053CA0000}"/>
    <cellStyle name="Remarque 4 3 7 5 2 2" xfId="56157" xr:uid="{00000000-0005-0000-0000-000054CA0000}"/>
    <cellStyle name="Remarque 4 3 7 5 3" xfId="19444" xr:uid="{00000000-0005-0000-0000-000055CA0000}"/>
    <cellStyle name="Remarque 4 3 7 5 4" xfId="43404" xr:uid="{00000000-0005-0000-0000-000056CA0000}"/>
    <cellStyle name="Remarque 4 3 7 6" xfId="9568" xr:uid="{00000000-0005-0000-0000-000057CA0000}"/>
    <cellStyle name="Remarque 4 3 7 6 2" xfId="33582" xr:uid="{00000000-0005-0000-0000-000058CA0000}"/>
    <cellStyle name="Remarque 4 3 7 6 2 2" xfId="57542" xr:uid="{00000000-0005-0000-0000-000059CA0000}"/>
    <cellStyle name="Remarque 4 3 7 6 3" xfId="20829" xr:uid="{00000000-0005-0000-0000-00005ACA0000}"/>
    <cellStyle name="Remarque 4 3 7 6 4" xfId="44789" xr:uid="{00000000-0005-0000-0000-00005BCA0000}"/>
    <cellStyle name="Remarque 4 3 7 7" xfId="11025" xr:uid="{00000000-0005-0000-0000-00005CCA0000}"/>
    <cellStyle name="Remarque 4 3 7 7 2" xfId="35035" xr:uid="{00000000-0005-0000-0000-00005DCA0000}"/>
    <cellStyle name="Remarque 4 3 7 7 2 2" xfId="58995" xr:uid="{00000000-0005-0000-0000-00005ECA0000}"/>
    <cellStyle name="Remarque 4 3 7 7 3" xfId="22292" xr:uid="{00000000-0005-0000-0000-00005FCA0000}"/>
    <cellStyle name="Remarque 4 3 7 7 4" xfId="46252" xr:uid="{00000000-0005-0000-0000-000060CA0000}"/>
    <cellStyle name="Remarque 4 3 7 8" xfId="11758" xr:uid="{00000000-0005-0000-0000-000061CA0000}"/>
    <cellStyle name="Remarque 4 3 7 8 2" xfId="23030" xr:uid="{00000000-0005-0000-0000-000062CA0000}"/>
    <cellStyle name="Remarque 4 3 7 8 3" xfId="46990" xr:uid="{00000000-0005-0000-0000-000063CA0000}"/>
    <cellStyle name="Remarque 4 3 7 9" xfId="2497" xr:uid="{00000000-0005-0000-0000-000064CA0000}"/>
    <cellStyle name="Remarque 4 3 7 9 2" xfId="26511" xr:uid="{00000000-0005-0000-0000-000065CA0000}"/>
    <cellStyle name="Remarque 4 3 7 9 3" xfId="50471" xr:uid="{00000000-0005-0000-0000-000066CA0000}"/>
    <cellStyle name="Remarque 4 3 8" xfId="1228" xr:uid="{00000000-0005-0000-0000-000067CA0000}"/>
    <cellStyle name="Remarque 4 3 8 10" xfId="25260" xr:uid="{00000000-0005-0000-0000-000068CA0000}"/>
    <cellStyle name="Remarque 4 3 8 10 2" xfId="49220" xr:uid="{00000000-0005-0000-0000-000069CA0000}"/>
    <cellStyle name="Remarque 4 3 8 11" xfId="34206" xr:uid="{00000000-0005-0000-0000-00006ACA0000}"/>
    <cellStyle name="Remarque 4 3 8 11 2" xfId="58166" xr:uid="{00000000-0005-0000-0000-00006BCA0000}"/>
    <cellStyle name="Remarque 4 3 8 12" xfId="13925" xr:uid="{00000000-0005-0000-0000-00006CCA0000}"/>
    <cellStyle name="Remarque 4 3 8 13" xfId="37885" xr:uid="{00000000-0005-0000-0000-00006DCA0000}"/>
    <cellStyle name="Remarque 4 3 8 2" xfId="4134" xr:uid="{00000000-0005-0000-0000-00006ECA0000}"/>
    <cellStyle name="Remarque 4 3 8 2 2" xfId="28148" xr:uid="{00000000-0005-0000-0000-00006FCA0000}"/>
    <cellStyle name="Remarque 4 3 8 2 2 2" xfId="52108" xr:uid="{00000000-0005-0000-0000-000070CA0000}"/>
    <cellStyle name="Remarque 4 3 8 2 3" xfId="15395" xr:uid="{00000000-0005-0000-0000-000071CA0000}"/>
    <cellStyle name="Remarque 4 3 8 2 4" xfId="39355" xr:uid="{00000000-0005-0000-0000-000072CA0000}"/>
    <cellStyle name="Remarque 4 3 8 3" xfId="5568" xr:uid="{00000000-0005-0000-0000-000073CA0000}"/>
    <cellStyle name="Remarque 4 3 8 3 2" xfId="29582" xr:uid="{00000000-0005-0000-0000-000074CA0000}"/>
    <cellStyle name="Remarque 4 3 8 3 2 2" xfId="53542" xr:uid="{00000000-0005-0000-0000-000075CA0000}"/>
    <cellStyle name="Remarque 4 3 8 3 3" xfId="16829" xr:uid="{00000000-0005-0000-0000-000076CA0000}"/>
    <cellStyle name="Remarque 4 3 8 3 4" xfId="40789" xr:uid="{00000000-0005-0000-0000-000077CA0000}"/>
    <cellStyle name="Remarque 4 3 8 4" xfId="6962" xr:uid="{00000000-0005-0000-0000-000078CA0000}"/>
    <cellStyle name="Remarque 4 3 8 4 2" xfId="30976" xr:uid="{00000000-0005-0000-0000-000079CA0000}"/>
    <cellStyle name="Remarque 4 3 8 4 2 2" xfId="54936" xr:uid="{00000000-0005-0000-0000-00007ACA0000}"/>
    <cellStyle name="Remarque 4 3 8 4 3" xfId="18223" xr:uid="{00000000-0005-0000-0000-00007BCA0000}"/>
    <cellStyle name="Remarque 4 3 8 4 4" xfId="42183" xr:uid="{00000000-0005-0000-0000-00007CCA0000}"/>
    <cellStyle name="Remarque 4 3 8 5" xfId="8350" xr:uid="{00000000-0005-0000-0000-00007DCA0000}"/>
    <cellStyle name="Remarque 4 3 8 5 2" xfId="32364" xr:uid="{00000000-0005-0000-0000-00007ECA0000}"/>
    <cellStyle name="Remarque 4 3 8 5 2 2" xfId="56324" xr:uid="{00000000-0005-0000-0000-00007FCA0000}"/>
    <cellStyle name="Remarque 4 3 8 5 3" xfId="19611" xr:uid="{00000000-0005-0000-0000-000080CA0000}"/>
    <cellStyle name="Remarque 4 3 8 5 4" xfId="43571" xr:uid="{00000000-0005-0000-0000-000081CA0000}"/>
    <cellStyle name="Remarque 4 3 8 6" xfId="9735" xr:uid="{00000000-0005-0000-0000-000082CA0000}"/>
    <cellStyle name="Remarque 4 3 8 6 2" xfId="33749" xr:uid="{00000000-0005-0000-0000-000083CA0000}"/>
    <cellStyle name="Remarque 4 3 8 6 2 2" xfId="57709" xr:uid="{00000000-0005-0000-0000-000084CA0000}"/>
    <cellStyle name="Remarque 4 3 8 6 3" xfId="20996" xr:uid="{00000000-0005-0000-0000-000085CA0000}"/>
    <cellStyle name="Remarque 4 3 8 6 4" xfId="44956" xr:uid="{00000000-0005-0000-0000-000086CA0000}"/>
    <cellStyle name="Remarque 4 3 8 7" xfId="11192" xr:uid="{00000000-0005-0000-0000-000087CA0000}"/>
    <cellStyle name="Remarque 4 3 8 7 2" xfId="35202" xr:uid="{00000000-0005-0000-0000-000088CA0000}"/>
    <cellStyle name="Remarque 4 3 8 7 2 2" xfId="59162" xr:uid="{00000000-0005-0000-0000-000089CA0000}"/>
    <cellStyle name="Remarque 4 3 8 7 3" xfId="22459" xr:uid="{00000000-0005-0000-0000-00008ACA0000}"/>
    <cellStyle name="Remarque 4 3 8 7 4" xfId="46419" xr:uid="{00000000-0005-0000-0000-00008BCA0000}"/>
    <cellStyle name="Remarque 4 3 8 8" xfId="12263" xr:uid="{00000000-0005-0000-0000-00008CCA0000}"/>
    <cellStyle name="Remarque 4 3 8 8 2" xfId="23549" xr:uid="{00000000-0005-0000-0000-00008DCA0000}"/>
    <cellStyle name="Remarque 4 3 8 8 3" xfId="47509" xr:uid="{00000000-0005-0000-0000-00008ECA0000}"/>
    <cellStyle name="Remarque 4 3 8 9" xfId="2664" xr:uid="{00000000-0005-0000-0000-00008FCA0000}"/>
    <cellStyle name="Remarque 4 3 8 9 2" xfId="26678" xr:uid="{00000000-0005-0000-0000-000090CA0000}"/>
    <cellStyle name="Remarque 4 3 8 9 3" xfId="50638" xr:uid="{00000000-0005-0000-0000-000091CA0000}"/>
    <cellStyle name="Remarque 4 3 9" xfId="1397" xr:uid="{00000000-0005-0000-0000-000092CA0000}"/>
    <cellStyle name="Remarque 4 3 9 10" xfId="25429" xr:uid="{00000000-0005-0000-0000-000093CA0000}"/>
    <cellStyle name="Remarque 4 3 9 10 2" xfId="49389" xr:uid="{00000000-0005-0000-0000-000094CA0000}"/>
    <cellStyle name="Remarque 4 3 9 11" xfId="36635" xr:uid="{00000000-0005-0000-0000-000095CA0000}"/>
    <cellStyle name="Remarque 4 3 9 11 2" xfId="60595" xr:uid="{00000000-0005-0000-0000-000096CA0000}"/>
    <cellStyle name="Remarque 4 3 9 12" xfId="14094" xr:uid="{00000000-0005-0000-0000-000097CA0000}"/>
    <cellStyle name="Remarque 4 3 9 13" xfId="38054" xr:uid="{00000000-0005-0000-0000-000098CA0000}"/>
    <cellStyle name="Remarque 4 3 9 2" xfId="4303" xr:uid="{00000000-0005-0000-0000-000099CA0000}"/>
    <cellStyle name="Remarque 4 3 9 2 2" xfId="28317" xr:uid="{00000000-0005-0000-0000-00009ACA0000}"/>
    <cellStyle name="Remarque 4 3 9 2 2 2" xfId="52277" xr:uid="{00000000-0005-0000-0000-00009BCA0000}"/>
    <cellStyle name="Remarque 4 3 9 2 3" xfId="15564" xr:uid="{00000000-0005-0000-0000-00009CCA0000}"/>
    <cellStyle name="Remarque 4 3 9 2 4" xfId="39524" xr:uid="{00000000-0005-0000-0000-00009DCA0000}"/>
    <cellStyle name="Remarque 4 3 9 3" xfId="5737" xr:uid="{00000000-0005-0000-0000-00009ECA0000}"/>
    <cellStyle name="Remarque 4 3 9 3 2" xfId="29751" xr:uid="{00000000-0005-0000-0000-00009FCA0000}"/>
    <cellStyle name="Remarque 4 3 9 3 2 2" xfId="53711" xr:uid="{00000000-0005-0000-0000-0000A0CA0000}"/>
    <cellStyle name="Remarque 4 3 9 3 3" xfId="16998" xr:uid="{00000000-0005-0000-0000-0000A1CA0000}"/>
    <cellStyle name="Remarque 4 3 9 3 4" xfId="40958" xr:uid="{00000000-0005-0000-0000-0000A2CA0000}"/>
    <cellStyle name="Remarque 4 3 9 4" xfId="7131" xr:uid="{00000000-0005-0000-0000-0000A3CA0000}"/>
    <cellStyle name="Remarque 4 3 9 4 2" xfId="31145" xr:uid="{00000000-0005-0000-0000-0000A4CA0000}"/>
    <cellStyle name="Remarque 4 3 9 4 2 2" xfId="55105" xr:uid="{00000000-0005-0000-0000-0000A5CA0000}"/>
    <cellStyle name="Remarque 4 3 9 4 3" xfId="18392" xr:uid="{00000000-0005-0000-0000-0000A6CA0000}"/>
    <cellStyle name="Remarque 4 3 9 4 4" xfId="42352" xr:uid="{00000000-0005-0000-0000-0000A7CA0000}"/>
    <cellStyle name="Remarque 4 3 9 5" xfId="8519" xr:uid="{00000000-0005-0000-0000-0000A8CA0000}"/>
    <cellStyle name="Remarque 4 3 9 5 2" xfId="32533" xr:uid="{00000000-0005-0000-0000-0000A9CA0000}"/>
    <cellStyle name="Remarque 4 3 9 5 2 2" xfId="56493" xr:uid="{00000000-0005-0000-0000-0000AACA0000}"/>
    <cellStyle name="Remarque 4 3 9 5 3" xfId="19780" xr:uid="{00000000-0005-0000-0000-0000ABCA0000}"/>
    <cellStyle name="Remarque 4 3 9 5 4" xfId="43740" xr:uid="{00000000-0005-0000-0000-0000ACCA0000}"/>
    <cellStyle name="Remarque 4 3 9 6" xfId="9904" xr:uid="{00000000-0005-0000-0000-0000ADCA0000}"/>
    <cellStyle name="Remarque 4 3 9 6 2" xfId="33918" xr:uid="{00000000-0005-0000-0000-0000AECA0000}"/>
    <cellStyle name="Remarque 4 3 9 6 2 2" xfId="57878" xr:uid="{00000000-0005-0000-0000-0000AFCA0000}"/>
    <cellStyle name="Remarque 4 3 9 6 3" xfId="21165" xr:uid="{00000000-0005-0000-0000-0000B0CA0000}"/>
    <cellStyle name="Remarque 4 3 9 6 4" xfId="45125" xr:uid="{00000000-0005-0000-0000-0000B1CA0000}"/>
    <cellStyle name="Remarque 4 3 9 7" xfId="11361" xr:uid="{00000000-0005-0000-0000-0000B2CA0000}"/>
    <cellStyle name="Remarque 4 3 9 7 2" xfId="35371" xr:uid="{00000000-0005-0000-0000-0000B3CA0000}"/>
    <cellStyle name="Remarque 4 3 9 7 2 2" xfId="59331" xr:uid="{00000000-0005-0000-0000-0000B4CA0000}"/>
    <cellStyle name="Remarque 4 3 9 7 3" xfId="22628" xr:uid="{00000000-0005-0000-0000-0000B5CA0000}"/>
    <cellStyle name="Remarque 4 3 9 7 4" xfId="46588" xr:uid="{00000000-0005-0000-0000-0000B6CA0000}"/>
    <cellStyle name="Remarque 4 3 9 8" xfId="12674" xr:uid="{00000000-0005-0000-0000-0000B7CA0000}"/>
    <cellStyle name="Remarque 4 3 9 8 2" xfId="23979" xr:uid="{00000000-0005-0000-0000-0000B8CA0000}"/>
    <cellStyle name="Remarque 4 3 9 8 3" xfId="47939" xr:uid="{00000000-0005-0000-0000-0000B9CA0000}"/>
    <cellStyle name="Remarque 4 3 9 9" xfId="2833" xr:uid="{00000000-0005-0000-0000-0000BACA0000}"/>
    <cellStyle name="Remarque 4 3 9 9 2" xfId="26847" xr:uid="{00000000-0005-0000-0000-0000BBCA0000}"/>
    <cellStyle name="Remarque 4 3 9 9 3" xfId="50807" xr:uid="{00000000-0005-0000-0000-0000BCCA0000}"/>
    <cellStyle name="Remarque 4 4" xfId="81" xr:uid="{00000000-0005-0000-0000-0000BDCA0000}"/>
    <cellStyle name="Remarque 4 4 10" xfId="6115" xr:uid="{00000000-0005-0000-0000-0000BECA0000}"/>
    <cellStyle name="Remarque 4 4 10 2" xfId="30129" xr:uid="{00000000-0005-0000-0000-0000BFCA0000}"/>
    <cellStyle name="Remarque 4 4 10 2 2" xfId="54089" xr:uid="{00000000-0005-0000-0000-0000C0CA0000}"/>
    <cellStyle name="Remarque 4 4 10 3" xfId="17376" xr:uid="{00000000-0005-0000-0000-0000C1CA0000}"/>
    <cellStyle name="Remarque 4 4 10 4" xfId="41336" xr:uid="{00000000-0005-0000-0000-0000C2CA0000}"/>
    <cellStyle name="Remarque 4 4 11" xfId="7503" xr:uid="{00000000-0005-0000-0000-0000C3CA0000}"/>
    <cellStyle name="Remarque 4 4 11 2" xfId="31517" xr:uid="{00000000-0005-0000-0000-0000C4CA0000}"/>
    <cellStyle name="Remarque 4 4 11 2 2" xfId="55477" xr:uid="{00000000-0005-0000-0000-0000C5CA0000}"/>
    <cellStyle name="Remarque 4 4 11 3" xfId="18764" xr:uid="{00000000-0005-0000-0000-0000C6CA0000}"/>
    <cellStyle name="Remarque 4 4 11 4" xfId="42724" xr:uid="{00000000-0005-0000-0000-0000C7CA0000}"/>
    <cellStyle name="Remarque 4 4 12" xfId="8888" xr:uid="{00000000-0005-0000-0000-0000C8CA0000}"/>
    <cellStyle name="Remarque 4 4 12 2" xfId="32902" xr:uid="{00000000-0005-0000-0000-0000C9CA0000}"/>
    <cellStyle name="Remarque 4 4 12 2 2" xfId="56862" xr:uid="{00000000-0005-0000-0000-0000CACA0000}"/>
    <cellStyle name="Remarque 4 4 12 3" xfId="20149" xr:uid="{00000000-0005-0000-0000-0000CBCA0000}"/>
    <cellStyle name="Remarque 4 4 12 4" xfId="44109" xr:uid="{00000000-0005-0000-0000-0000CCCA0000}"/>
    <cellStyle name="Remarque 4 4 13" xfId="10345" xr:uid="{00000000-0005-0000-0000-0000CDCA0000}"/>
    <cellStyle name="Remarque 4 4 13 2" xfId="34355" xr:uid="{00000000-0005-0000-0000-0000CECA0000}"/>
    <cellStyle name="Remarque 4 4 13 2 2" xfId="58315" xr:uid="{00000000-0005-0000-0000-0000CFCA0000}"/>
    <cellStyle name="Remarque 4 4 13 3" xfId="21612" xr:uid="{00000000-0005-0000-0000-0000D0CA0000}"/>
    <cellStyle name="Remarque 4 4 13 4" xfId="45572" xr:uid="{00000000-0005-0000-0000-0000D1CA0000}"/>
    <cellStyle name="Remarque 4 4 14" xfId="12383" xr:uid="{00000000-0005-0000-0000-0000D2CA0000}"/>
    <cellStyle name="Remarque 4 4 14 2" xfId="23672" xr:uid="{00000000-0005-0000-0000-0000D3CA0000}"/>
    <cellStyle name="Remarque 4 4 14 3" xfId="47632" xr:uid="{00000000-0005-0000-0000-0000D4CA0000}"/>
    <cellStyle name="Remarque 4 4 15" xfId="1817" xr:uid="{00000000-0005-0000-0000-0000D5CA0000}"/>
    <cellStyle name="Remarque 4 4 15 2" xfId="25831" xr:uid="{00000000-0005-0000-0000-0000D6CA0000}"/>
    <cellStyle name="Remarque 4 4 15 3" xfId="49791" xr:uid="{00000000-0005-0000-0000-0000D7CA0000}"/>
    <cellStyle name="Remarque 4 4 16" xfId="24413" xr:uid="{00000000-0005-0000-0000-0000D8CA0000}"/>
    <cellStyle name="Remarque 4 4 16 2" xfId="48373" xr:uid="{00000000-0005-0000-0000-0000D9CA0000}"/>
    <cellStyle name="Remarque 4 4 17" xfId="35811" xr:uid="{00000000-0005-0000-0000-0000DACA0000}"/>
    <cellStyle name="Remarque 4 4 17 2" xfId="59771" xr:uid="{00000000-0005-0000-0000-0000DBCA0000}"/>
    <cellStyle name="Remarque 4 4 18" xfId="13078" xr:uid="{00000000-0005-0000-0000-0000DCCA0000}"/>
    <cellStyle name="Remarque 4 4 19" xfId="37038" xr:uid="{00000000-0005-0000-0000-0000DDCA0000}"/>
    <cellStyle name="Remarque 4 4 2" xfId="517" xr:uid="{00000000-0005-0000-0000-0000DECA0000}"/>
    <cellStyle name="Remarque 4 4 2 10" xfId="24549" xr:uid="{00000000-0005-0000-0000-0000DFCA0000}"/>
    <cellStyle name="Remarque 4 4 2 10 2" xfId="48509" xr:uid="{00000000-0005-0000-0000-0000E0CA0000}"/>
    <cellStyle name="Remarque 4 4 2 11" xfId="34204" xr:uid="{00000000-0005-0000-0000-0000E1CA0000}"/>
    <cellStyle name="Remarque 4 4 2 11 2" xfId="58164" xr:uid="{00000000-0005-0000-0000-0000E2CA0000}"/>
    <cellStyle name="Remarque 4 4 2 12" xfId="13214" xr:uid="{00000000-0005-0000-0000-0000E3CA0000}"/>
    <cellStyle name="Remarque 4 4 2 13" xfId="37174" xr:uid="{00000000-0005-0000-0000-0000E4CA0000}"/>
    <cellStyle name="Remarque 4 4 2 2" xfId="3423" xr:uid="{00000000-0005-0000-0000-0000E5CA0000}"/>
    <cellStyle name="Remarque 4 4 2 2 2" xfId="27437" xr:uid="{00000000-0005-0000-0000-0000E6CA0000}"/>
    <cellStyle name="Remarque 4 4 2 2 2 2" xfId="51397" xr:uid="{00000000-0005-0000-0000-0000E7CA0000}"/>
    <cellStyle name="Remarque 4 4 2 2 3" xfId="14684" xr:uid="{00000000-0005-0000-0000-0000E8CA0000}"/>
    <cellStyle name="Remarque 4 4 2 2 4" xfId="38644" xr:uid="{00000000-0005-0000-0000-0000E9CA0000}"/>
    <cellStyle name="Remarque 4 4 2 3" xfId="4857" xr:uid="{00000000-0005-0000-0000-0000EACA0000}"/>
    <cellStyle name="Remarque 4 4 2 3 2" xfId="28871" xr:uid="{00000000-0005-0000-0000-0000EBCA0000}"/>
    <cellStyle name="Remarque 4 4 2 3 2 2" xfId="52831" xr:uid="{00000000-0005-0000-0000-0000ECCA0000}"/>
    <cellStyle name="Remarque 4 4 2 3 3" xfId="16118" xr:uid="{00000000-0005-0000-0000-0000EDCA0000}"/>
    <cellStyle name="Remarque 4 4 2 3 4" xfId="40078" xr:uid="{00000000-0005-0000-0000-0000EECA0000}"/>
    <cellStyle name="Remarque 4 4 2 4" xfId="6251" xr:uid="{00000000-0005-0000-0000-0000EFCA0000}"/>
    <cellStyle name="Remarque 4 4 2 4 2" xfId="30265" xr:uid="{00000000-0005-0000-0000-0000F0CA0000}"/>
    <cellStyle name="Remarque 4 4 2 4 2 2" xfId="54225" xr:uid="{00000000-0005-0000-0000-0000F1CA0000}"/>
    <cellStyle name="Remarque 4 4 2 4 3" xfId="17512" xr:uid="{00000000-0005-0000-0000-0000F2CA0000}"/>
    <cellStyle name="Remarque 4 4 2 4 4" xfId="41472" xr:uid="{00000000-0005-0000-0000-0000F3CA0000}"/>
    <cellStyle name="Remarque 4 4 2 5" xfId="7639" xr:uid="{00000000-0005-0000-0000-0000F4CA0000}"/>
    <cellStyle name="Remarque 4 4 2 5 2" xfId="31653" xr:uid="{00000000-0005-0000-0000-0000F5CA0000}"/>
    <cellStyle name="Remarque 4 4 2 5 2 2" xfId="55613" xr:uid="{00000000-0005-0000-0000-0000F6CA0000}"/>
    <cellStyle name="Remarque 4 4 2 5 3" xfId="18900" xr:uid="{00000000-0005-0000-0000-0000F7CA0000}"/>
    <cellStyle name="Remarque 4 4 2 5 4" xfId="42860" xr:uid="{00000000-0005-0000-0000-0000F8CA0000}"/>
    <cellStyle name="Remarque 4 4 2 6" xfId="9024" xr:uid="{00000000-0005-0000-0000-0000F9CA0000}"/>
    <cellStyle name="Remarque 4 4 2 6 2" xfId="33038" xr:uid="{00000000-0005-0000-0000-0000FACA0000}"/>
    <cellStyle name="Remarque 4 4 2 6 2 2" xfId="56998" xr:uid="{00000000-0005-0000-0000-0000FBCA0000}"/>
    <cellStyle name="Remarque 4 4 2 6 3" xfId="20285" xr:uid="{00000000-0005-0000-0000-0000FCCA0000}"/>
    <cellStyle name="Remarque 4 4 2 6 4" xfId="44245" xr:uid="{00000000-0005-0000-0000-0000FDCA0000}"/>
    <cellStyle name="Remarque 4 4 2 7" xfId="10481" xr:uid="{00000000-0005-0000-0000-0000FECA0000}"/>
    <cellStyle name="Remarque 4 4 2 7 2" xfId="34491" xr:uid="{00000000-0005-0000-0000-0000FFCA0000}"/>
    <cellStyle name="Remarque 4 4 2 7 2 2" xfId="58451" xr:uid="{00000000-0005-0000-0000-000000CB0000}"/>
    <cellStyle name="Remarque 4 4 2 7 3" xfId="21748" xr:uid="{00000000-0005-0000-0000-000001CB0000}"/>
    <cellStyle name="Remarque 4 4 2 7 4" xfId="45708" xr:uid="{00000000-0005-0000-0000-000002CB0000}"/>
    <cellStyle name="Remarque 4 4 2 8" xfId="11887" xr:uid="{00000000-0005-0000-0000-000003CB0000}"/>
    <cellStyle name="Remarque 4 4 2 8 2" xfId="23164" xr:uid="{00000000-0005-0000-0000-000004CB0000}"/>
    <cellStyle name="Remarque 4 4 2 8 3" xfId="47124" xr:uid="{00000000-0005-0000-0000-000005CB0000}"/>
    <cellStyle name="Remarque 4 4 2 9" xfId="1953" xr:uid="{00000000-0005-0000-0000-000006CB0000}"/>
    <cellStyle name="Remarque 4 4 2 9 2" xfId="25967" xr:uid="{00000000-0005-0000-0000-000007CB0000}"/>
    <cellStyle name="Remarque 4 4 2 9 3" xfId="49927" xr:uid="{00000000-0005-0000-0000-000008CB0000}"/>
    <cellStyle name="Remarque 4 4 20" xfId="381" xr:uid="{00000000-0005-0000-0000-000009CB0000}"/>
    <cellStyle name="Remarque 4 4 3" xfId="709" xr:uid="{00000000-0005-0000-0000-00000ACB0000}"/>
    <cellStyle name="Remarque 4 4 3 10" xfId="24741" xr:uid="{00000000-0005-0000-0000-00000BCB0000}"/>
    <cellStyle name="Remarque 4 4 3 10 2" xfId="48701" xr:uid="{00000000-0005-0000-0000-00000CCB0000}"/>
    <cellStyle name="Remarque 4 4 3 11" xfId="36376" xr:uid="{00000000-0005-0000-0000-00000DCB0000}"/>
    <cellStyle name="Remarque 4 4 3 11 2" xfId="60336" xr:uid="{00000000-0005-0000-0000-00000ECB0000}"/>
    <cellStyle name="Remarque 4 4 3 12" xfId="13406" xr:uid="{00000000-0005-0000-0000-00000FCB0000}"/>
    <cellStyle name="Remarque 4 4 3 13" xfId="37366" xr:uid="{00000000-0005-0000-0000-000010CB0000}"/>
    <cellStyle name="Remarque 4 4 3 2" xfId="3615" xr:uid="{00000000-0005-0000-0000-000011CB0000}"/>
    <cellStyle name="Remarque 4 4 3 2 2" xfId="27629" xr:uid="{00000000-0005-0000-0000-000012CB0000}"/>
    <cellStyle name="Remarque 4 4 3 2 2 2" xfId="51589" xr:uid="{00000000-0005-0000-0000-000013CB0000}"/>
    <cellStyle name="Remarque 4 4 3 2 3" xfId="14876" xr:uid="{00000000-0005-0000-0000-000014CB0000}"/>
    <cellStyle name="Remarque 4 4 3 2 4" xfId="38836" xr:uid="{00000000-0005-0000-0000-000015CB0000}"/>
    <cellStyle name="Remarque 4 4 3 3" xfId="5049" xr:uid="{00000000-0005-0000-0000-000016CB0000}"/>
    <cellStyle name="Remarque 4 4 3 3 2" xfId="29063" xr:uid="{00000000-0005-0000-0000-000017CB0000}"/>
    <cellStyle name="Remarque 4 4 3 3 2 2" xfId="53023" xr:uid="{00000000-0005-0000-0000-000018CB0000}"/>
    <cellStyle name="Remarque 4 4 3 3 3" xfId="16310" xr:uid="{00000000-0005-0000-0000-000019CB0000}"/>
    <cellStyle name="Remarque 4 4 3 3 4" xfId="40270" xr:uid="{00000000-0005-0000-0000-00001ACB0000}"/>
    <cellStyle name="Remarque 4 4 3 4" xfId="6443" xr:uid="{00000000-0005-0000-0000-00001BCB0000}"/>
    <cellStyle name="Remarque 4 4 3 4 2" xfId="30457" xr:uid="{00000000-0005-0000-0000-00001CCB0000}"/>
    <cellStyle name="Remarque 4 4 3 4 2 2" xfId="54417" xr:uid="{00000000-0005-0000-0000-00001DCB0000}"/>
    <cellStyle name="Remarque 4 4 3 4 3" xfId="17704" xr:uid="{00000000-0005-0000-0000-00001ECB0000}"/>
    <cellStyle name="Remarque 4 4 3 4 4" xfId="41664" xr:uid="{00000000-0005-0000-0000-00001FCB0000}"/>
    <cellStyle name="Remarque 4 4 3 5" xfId="7831" xr:uid="{00000000-0005-0000-0000-000020CB0000}"/>
    <cellStyle name="Remarque 4 4 3 5 2" xfId="31845" xr:uid="{00000000-0005-0000-0000-000021CB0000}"/>
    <cellStyle name="Remarque 4 4 3 5 2 2" xfId="55805" xr:uid="{00000000-0005-0000-0000-000022CB0000}"/>
    <cellStyle name="Remarque 4 4 3 5 3" xfId="19092" xr:uid="{00000000-0005-0000-0000-000023CB0000}"/>
    <cellStyle name="Remarque 4 4 3 5 4" xfId="43052" xr:uid="{00000000-0005-0000-0000-000024CB0000}"/>
    <cellStyle name="Remarque 4 4 3 6" xfId="9216" xr:uid="{00000000-0005-0000-0000-000025CB0000}"/>
    <cellStyle name="Remarque 4 4 3 6 2" xfId="33230" xr:uid="{00000000-0005-0000-0000-000026CB0000}"/>
    <cellStyle name="Remarque 4 4 3 6 2 2" xfId="57190" xr:uid="{00000000-0005-0000-0000-000027CB0000}"/>
    <cellStyle name="Remarque 4 4 3 6 3" xfId="20477" xr:uid="{00000000-0005-0000-0000-000028CB0000}"/>
    <cellStyle name="Remarque 4 4 3 6 4" xfId="44437" xr:uid="{00000000-0005-0000-0000-000029CB0000}"/>
    <cellStyle name="Remarque 4 4 3 7" xfId="10673" xr:uid="{00000000-0005-0000-0000-00002ACB0000}"/>
    <cellStyle name="Remarque 4 4 3 7 2" xfId="34683" xr:uid="{00000000-0005-0000-0000-00002BCB0000}"/>
    <cellStyle name="Remarque 4 4 3 7 2 2" xfId="58643" xr:uid="{00000000-0005-0000-0000-00002CCB0000}"/>
    <cellStyle name="Remarque 4 4 3 7 3" xfId="21940" xr:uid="{00000000-0005-0000-0000-00002DCB0000}"/>
    <cellStyle name="Remarque 4 4 3 7 4" xfId="45900" xr:uid="{00000000-0005-0000-0000-00002ECB0000}"/>
    <cellStyle name="Remarque 4 4 3 8" xfId="12191" xr:uid="{00000000-0005-0000-0000-00002FCB0000}"/>
    <cellStyle name="Remarque 4 4 3 8 2" xfId="23474" xr:uid="{00000000-0005-0000-0000-000030CB0000}"/>
    <cellStyle name="Remarque 4 4 3 8 3" xfId="47434" xr:uid="{00000000-0005-0000-0000-000031CB0000}"/>
    <cellStyle name="Remarque 4 4 3 9" xfId="2145" xr:uid="{00000000-0005-0000-0000-000032CB0000}"/>
    <cellStyle name="Remarque 4 4 3 9 2" xfId="26159" xr:uid="{00000000-0005-0000-0000-000033CB0000}"/>
    <cellStyle name="Remarque 4 4 3 9 3" xfId="50119" xr:uid="{00000000-0005-0000-0000-000034CB0000}"/>
    <cellStyle name="Remarque 4 4 4" xfId="903" xr:uid="{00000000-0005-0000-0000-000035CB0000}"/>
    <cellStyle name="Remarque 4 4 4 10" xfId="24935" xr:uid="{00000000-0005-0000-0000-000036CB0000}"/>
    <cellStyle name="Remarque 4 4 4 10 2" xfId="48895" xr:uid="{00000000-0005-0000-0000-000037CB0000}"/>
    <cellStyle name="Remarque 4 4 4 11" xfId="36026" xr:uid="{00000000-0005-0000-0000-000038CB0000}"/>
    <cellStyle name="Remarque 4 4 4 11 2" xfId="59986" xr:uid="{00000000-0005-0000-0000-000039CB0000}"/>
    <cellStyle name="Remarque 4 4 4 12" xfId="13600" xr:uid="{00000000-0005-0000-0000-00003ACB0000}"/>
    <cellStyle name="Remarque 4 4 4 13" xfId="37560" xr:uid="{00000000-0005-0000-0000-00003BCB0000}"/>
    <cellStyle name="Remarque 4 4 4 2" xfId="3809" xr:uid="{00000000-0005-0000-0000-00003CCB0000}"/>
    <cellStyle name="Remarque 4 4 4 2 2" xfId="27823" xr:uid="{00000000-0005-0000-0000-00003DCB0000}"/>
    <cellStyle name="Remarque 4 4 4 2 2 2" xfId="51783" xr:uid="{00000000-0005-0000-0000-00003ECB0000}"/>
    <cellStyle name="Remarque 4 4 4 2 3" xfId="15070" xr:uid="{00000000-0005-0000-0000-00003FCB0000}"/>
    <cellStyle name="Remarque 4 4 4 2 4" xfId="39030" xr:uid="{00000000-0005-0000-0000-000040CB0000}"/>
    <cellStyle name="Remarque 4 4 4 3" xfId="5243" xr:uid="{00000000-0005-0000-0000-000041CB0000}"/>
    <cellStyle name="Remarque 4 4 4 3 2" xfId="29257" xr:uid="{00000000-0005-0000-0000-000042CB0000}"/>
    <cellStyle name="Remarque 4 4 4 3 2 2" xfId="53217" xr:uid="{00000000-0005-0000-0000-000043CB0000}"/>
    <cellStyle name="Remarque 4 4 4 3 3" xfId="16504" xr:uid="{00000000-0005-0000-0000-000044CB0000}"/>
    <cellStyle name="Remarque 4 4 4 3 4" xfId="40464" xr:uid="{00000000-0005-0000-0000-000045CB0000}"/>
    <cellStyle name="Remarque 4 4 4 4" xfId="6637" xr:uid="{00000000-0005-0000-0000-000046CB0000}"/>
    <cellStyle name="Remarque 4 4 4 4 2" xfId="30651" xr:uid="{00000000-0005-0000-0000-000047CB0000}"/>
    <cellStyle name="Remarque 4 4 4 4 2 2" xfId="54611" xr:uid="{00000000-0005-0000-0000-000048CB0000}"/>
    <cellStyle name="Remarque 4 4 4 4 3" xfId="17898" xr:uid="{00000000-0005-0000-0000-000049CB0000}"/>
    <cellStyle name="Remarque 4 4 4 4 4" xfId="41858" xr:uid="{00000000-0005-0000-0000-00004ACB0000}"/>
    <cellStyle name="Remarque 4 4 4 5" xfId="8025" xr:uid="{00000000-0005-0000-0000-00004BCB0000}"/>
    <cellStyle name="Remarque 4 4 4 5 2" xfId="32039" xr:uid="{00000000-0005-0000-0000-00004CCB0000}"/>
    <cellStyle name="Remarque 4 4 4 5 2 2" xfId="55999" xr:uid="{00000000-0005-0000-0000-00004DCB0000}"/>
    <cellStyle name="Remarque 4 4 4 5 3" xfId="19286" xr:uid="{00000000-0005-0000-0000-00004ECB0000}"/>
    <cellStyle name="Remarque 4 4 4 5 4" xfId="43246" xr:uid="{00000000-0005-0000-0000-00004FCB0000}"/>
    <cellStyle name="Remarque 4 4 4 6" xfId="9410" xr:uid="{00000000-0005-0000-0000-000050CB0000}"/>
    <cellStyle name="Remarque 4 4 4 6 2" xfId="33424" xr:uid="{00000000-0005-0000-0000-000051CB0000}"/>
    <cellStyle name="Remarque 4 4 4 6 2 2" xfId="57384" xr:uid="{00000000-0005-0000-0000-000052CB0000}"/>
    <cellStyle name="Remarque 4 4 4 6 3" xfId="20671" xr:uid="{00000000-0005-0000-0000-000053CB0000}"/>
    <cellStyle name="Remarque 4 4 4 6 4" xfId="44631" xr:uid="{00000000-0005-0000-0000-000054CB0000}"/>
    <cellStyle name="Remarque 4 4 4 7" xfId="10867" xr:uid="{00000000-0005-0000-0000-000055CB0000}"/>
    <cellStyle name="Remarque 4 4 4 7 2" xfId="34877" xr:uid="{00000000-0005-0000-0000-000056CB0000}"/>
    <cellStyle name="Remarque 4 4 4 7 2 2" xfId="58837" xr:uid="{00000000-0005-0000-0000-000057CB0000}"/>
    <cellStyle name="Remarque 4 4 4 7 3" xfId="22134" xr:uid="{00000000-0005-0000-0000-000058CB0000}"/>
    <cellStyle name="Remarque 4 4 4 7 4" xfId="46094" xr:uid="{00000000-0005-0000-0000-000059CB0000}"/>
    <cellStyle name="Remarque 4 4 4 8" xfId="12483" xr:uid="{00000000-0005-0000-0000-00005ACB0000}"/>
    <cellStyle name="Remarque 4 4 4 8 2" xfId="23780" xr:uid="{00000000-0005-0000-0000-00005BCB0000}"/>
    <cellStyle name="Remarque 4 4 4 8 3" xfId="47740" xr:uid="{00000000-0005-0000-0000-00005CCB0000}"/>
    <cellStyle name="Remarque 4 4 4 9" xfId="2339" xr:uid="{00000000-0005-0000-0000-00005DCB0000}"/>
    <cellStyle name="Remarque 4 4 4 9 2" xfId="26353" xr:uid="{00000000-0005-0000-0000-00005ECB0000}"/>
    <cellStyle name="Remarque 4 4 4 9 3" xfId="50313" xr:uid="{00000000-0005-0000-0000-00005FCB0000}"/>
    <cellStyle name="Remarque 4 4 5" xfId="1096" xr:uid="{00000000-0005-0000-0000-000060CB0000}"/>
    <cellStyle name="Remarque 4 4 5 10" xfId="25128" xr:uid="{00000000-0005-0000-0000-000061CB0000}"/>
    <cellStyle name="Remarque 4 4 5 10 2" xfId="49088" xr:uid="{00000000-0005-0000-0000-000062CB0000}"/>
    <cellStyle name="Remarque 4 4 5 11" xfId="35794" xr:uid="{00000000-0005-0000-0000-000063CB0000}"/>
    <cellStyle name="Remarque 4 4 5 11 2" xfId="59754" xr:uid="{00000000-0005-0000-0000-000064CB0000}"/>
    <cellStyle name="Remarque 4 4 5 12" xfId="13793" xr:uid="{00000000-0005-0000-0000-000065CB0000}"/>
    <cellStyle name="Remarque 4 4 5 13" xfId="37753" xr:uid="{00000000-0005-0000-0000-000066CB0000}"/>
    <cellStyle name="Remarque 4 4 5 2" xfId="4002" xr:uid="{00000000-0005-0000-0000-000067CB0000}"/>
    <cellStyle name="Remarque 4 4 5 2 2" xfId="28016" xr:uid="{00000000-0005-0000-0000-000068CB0000}"/>
    <cellStyle name="Remarque 4 4 5 2 2 2" xfId="51976" xr:uid="{00000000-0005-0000-0000-000069CB0000}"/>
    <cellStyle name="Remarque 4 4 5 2 3" xfId="15263" xr:uid="{00000000-0005-0000-0000-00006ACB0000}"/>
    <cellStyle name="Remarque 4 4 5 2 4" xfId="39223" xr:uid="{00000000-0005-0000-0000-00006BCB0000}"/>
    <cellStyle name="Remarque 4 4 5 3" xfId="5436" xr:uid="{00000000-0005-0000-0000-00006CCB0000}"/>
    <cellStyle name="Remarque 4 4 5 3 2" xfId="29450" xr:uid="{00000000-0005-0000-0000-00006DCB0000}"/>
    <cellStyle name="Remarque 4 4 5 3 2 2" xfId="53410" xr:uid="{00000000-0005-0000-0000-00006ECB0000}"/>
    <cellStyle name="Remarque 4 4 5 3 3" xfId="16697" xr:uid="{00000000-0005-0000-0000-00006FCB0000}"/>
    <cellStyle name="Remarque 4 4 5 3 4" xfId="40657" xr:uid="{00000000-0005-0000-0000-000070CB0000}"/>
    <cellStyle name="Remarque 4 4 5 4" xfId="6830" xr:uid="{00000000-0005-0000-0000-000071CB0000}"/>
    <cellStyle name="Remarque 4 4 5 4 2" xfId="30844" xr:uid="{00000000-0005-0000-0000-000072CB0000}"/>
    <cellStyle name="Remarque 4 4 5 4 2 2" xfId="54804" xr:uid="{00000000-0005-0000-0000-000073CB0000}"/>
    <cellStyle name="Remarque 4 4 5 4 3" xfId="18091" xr:uid="{00000000-0005-0000-0000-000074CB0000}"/>
    <cellStyle name="Remarque 4 4 5 4 4" xfId="42051" xr:uid="{00000000-0005-0000-0000-000075CB0000}"/>
    <cellStyle name="Remarque 4 4 5 5" xfId="8218" xr:uid="{00000000-0005-0000-0000-000076CB0000}"/>
    <cellStyle name="Remarque 4 4 5 5 2" xfId="32232" xr:uid="{00000000-0005-0000-0000-000077CB0000}"/>
    <cellStyle name="Remarque 4 4 5 5 2 2" xfId="56192" xr:uid="{00000000-0005-0000-0000-000078CB0000}"/>
    <cellStyle name="Remarque 4 4 5 5 3" xfId="19479" xr:uid="{00000000-0005-0000-0000-000079CB0000}"/>
    <cellStyle name="Remarque 4 4 5 5 4" xfId="43439" xr:uid="{00000000-0005-0000-0000-00007ACB0000}"/>
    <cellStyle name="Remarque 4 4 5 6" xfId="9603" xr:uid="{00000000-0005-0000-0000-00007BCB0000}"/>
    <cellStyle name="Remarque 4 4 5 6 2" xfId="33617" xr:uid="{00000000-0005-0000-0000-00007CCB0000}"/>
    <cellStyle name="Remarque 4 4 5 6 2 2" xfId="57577" xr:uid="{00000000-0005-0000-0000-00007DCB0000}"/>
    <cellStyle name="Remarque 4 4 5 6 3" xfId="20864" xr:uid="{00000000-0005-0000-0000-00007ECB0000}"/>
    <cellStyle name="Remarque 4 4 5 6 4" xfId="44824" xr:uid="{00000000-0005-0000-0000-00007FCB0000}"/>
    <cellStyle name="Remarque 4 4 5 7" xfId="11060" xr:uid="{00000000-0005-0000-0000-000080CB0000}"/>
    <cellStyle name="Remarque 4 4 5 7 2" xfId="35070" xr:uid="{00000000-0005-0000-0000-000081CB0000}"/>
    <cellStyle name="Remarque 4 4 5 7 2 2" xfId="59030" xr:uid="{00000000-0005-0000-0000-000082CB0000}"/>
    <cellStyle name="Remarque 4 4 5 7 3" xfId="22327" xr:uid="{00000000-0005-0000-0000-000083CB0000}"/>
    <cellStyle name="Remarque 4 4 5 7 4" xfId="46287" xr:uid="{00000000-0005-0000-0000-000084CB0000}"/>
    <cellStyle name="Remarque 4 4 5 8" xfId="12405" xr:uid="{00000000-0005-0000-0000-000085CB0000}"/>
    <cellStyle name="Remarque 4 4 5 8 2" xfId="23696" xr:uid="{00000000-0005-0000-0000-000086CB0000}"/>
    <cellStyle name="Remarque 4 4 5 8 3" xfId="47656" xr:uid="{00000000-0005-0000-0000-000087CB0000}"/>
    <cellStyle name="Remarque 4 4 5 9" xfId="2532" xr:uid="{00000000-0005-0000-0000-000088CB0000}"/>
    <cellStyle name="Remarque 4 4 5 9 2" xfId="26546" xr:uid="{00000000-0005-0000-0000-000089CB0000}"/>
    <cellStyle name="Remarque 4 4 5 9 3" xfId="50506" xr:uid="{00000000-0005-0000-0000-00008ACB0000}"/>
    <cellStyle name="Remarque 4 4 6" xfId="1263" xr:uid="{00000000-0005-0000-0000-00008BCB0000}"/>
    <cellStyle name="Remarque 4 4 6 10" xfId="25295" xr:uid="{00000000-0005-0000-0000-00008CCB0000}"/>
    <cellStyle name="Remarque 4 4 6 10 2" xfId="49255" xr:uid="{00000000-0005-0000-0000-00008DCB0000}"/>
    <cellStyle name="Remarque 4 4 6 11" xfId="36510" xr:uid="{00000000-0005-0000-0000-00008ECB0000}"/>
    <cellStyle name="Remarque 4 4 6 11 2" xfId="60470" xr:uid="{00000000-0005-0000-0000-00008FCB0000}"/>
    <cellStyle name="Remarque 4 4 6 12" xfId="13960" xr:uid="{00000000-0005-0000-0000-000090CB0000}"/>
    <cellStyle name="Remarque 4 4 6 13" xfId="37920" xr:uid="{00000000-0005-0000-0000-000091CB0000}"/>
    <cellStyle name="Remarque 4 4 6 2" xfId="4169" xr:uid="{00000000-0005-0000-0000-000092CB0000}"/>
    <cellStyle name="Remarque 4 4 6 2 2" xfId="28183" xr:uid="{00000000-0005-0000-0000-000093CB0000}"/>
    <cellStyle name="Remarque 4 4 6 2 2 2" xfId="52143" xr:uid="{00000000-0005-0000-0000-000094CB0000}"/>
    <cellStyle name="Remarque 4 4 6 2 3" xfId="15430" xr:uid="{00000000-0005-0000-0000-000095CB0000}"/>
    <cellStyle name="Remarque 4 4 6 2 4" xfId="39390" xr:uid="{00000000-0005-0000-0000-000096CB0000}"/>
    <cellStyle name="Remarque 4 4 6 3" xfId="5603" xr:uid="{00000000-0005-0000-0000-000097CB0000}"/>
    <cellStyle name="Remarque 4 4 6 3 2" xfId="29617" xr:uid="{00000000-0005-0000-0000-000098CB0000}"/>
    <cellStyle name="Remarque 4 4 6 3 2 2" xfId="53577" xr:uid="{00000000-0005-0000-0000-000099CB0000}"/>
    <cellStyle name="Remarque 4 4 6 3 3" xfId="16864" xr:uid="{00000000-0005-0000-0000-00009ACB0000}"/>
    <cellStyle name="Remarque 4 4 6 3 4" xfId="40824" xr:uid="{00000000-0005-0000-0000-00009BCB0000}"/>
    <cellStyle name="Remarque 4 4 6 4" xfId="6997" xr:uid="{00000000-0005-0000-0000-00009CCB0000}"/>
    <cellStyle name="Remarque 4 4 6 4 2" xfId="31011" xr:uid="{00000000-0005-0000-0000-00009DCB0000}"/>
    <cellStyle name="Remarque 4 4 6 4 2 2" xfId="54971" xr:uid="{00000000-0005-0000-0000-00009ECB0000}"/>
    <cellStyle name="Remarque 4 4 6 4 3" xfId="18258" xr:uid="{00000000-0005-0000-0000-00009FCB0000}"/>
    <cellStyle name="Remarque 4 4 6 4 4" xfId="42218" xr:uid="{00000000-0005-0000-0000-0000A0CB0000}"/>
    <cellStyle name="Remarque 4 4 6 5" xfId="8385" xr:uid="{00000000-0005-0000-0000-0000A1CB0000}"/>
    <cellStyle name="Remarque 4 4 6 5 2" xfId="32399" xr:uid="{00000000-0005-0000-0000-0000A2CB0000}"/>
    <cellStyle name="Remarque 4 4 6 5 2 2" xfId="56359" xr:uid="{00000000-0005-0000-0000-0000A3CB0000}"/>
    <cellStyle name="Remarque 4 4 6 5 3" xfId="19646" xr:uid="{00000000-0005-0000-0000-0000A4CB0000}"/>
    <cellStyle name="Remarque 4 4 6 5 4" xfId="43606" xr:uid="{00000000-0005-0000-0000-0000A5CB0000}"/>
    <cellStyle name="Remarque 4 4 6 6" xfId="9770" xr:uid="{00000000-0005-0000-0000-0000A6CB0000}"/>
    <cellStyle name="Remarque 4 4 6 6 2" xfId="33784" xr:uid="{00000000-0005-0000-0000-0000A7CB0000}"/>
    <cellStyle name="Remarque 4 4 6 6 2 2" xfId="57744" xr:uid="{00000000-0005-0000-0000-0000A8CB0000}"/>
    <cellStyle name="Remarque 4 4 6 6 3" xfId="21031" xr:uid="{00000000-0005-0000-0000-0000A9CB0000}"/>
    <cellStyle name="Remarque 4 4 6 6 4" xfId="44991" xr:uid="{00000000-0005-0000-0000-0000AACB0000}"/>
    <cellStyle name="Remarque 4 4 6 7" xfId="11227" xr:uid="{00000000-0005-0000-0000-0000ABCB0000}"/>
    <cellStyle name="Remarque 4 4 6 7 2" xfId="35237" xr:uid="{00000000-0005-0000-0000-0000ACCB0000}"/>
    <cellStyle name="Remarque 4 4 6 7 2 2" xfId="59197" xr:uid="{00000000-0005-0000-0000-0000ADCB0000}"/>
    <cellStyle name="Remarque 4 4 6 7 3" xfId="22494" xr:uid="{00000000-0005-0000-0000-0000AECB0000}"/>
    <cellStyle name="Remarque 4 4 6 7 4" xfId="46454" xr:uid="{00000000-0005-0000-0000-0000AFCB0000}"/>
    <cellStyle name="Remarque 4 4 6 8" xfId="12573" xr:uid="{00000000-0005-0000-0000-0000B0CB0000}"/>
    <cellStyle name="Remarque 4 4 6 8 2" xfId="23873" xr:uid="{00000000-0005-0000-0000-0000B1CB0000}"/>
    <cellStyle name="Remarque 4 4 6 8 3" xfId="47833" xr:uid="{00000000-0005-0000-0000-0000B2CB0000}"/>
    <cellStyle name="Remarque 4 4 6 9" xfId="2699" xr:uid="{00000000-0005-0000-0000-0000B3CB0000}"/>
    <cellStyle name="Remarque 4 4 6 9 2" xfId="26713" xr:uid="{00000000-0005-0000-0000-0000B4CB0000}"/>
    <cellStyle name="Remarque 4 4 6 9 3" xfId="50673" xr:uid="{00000000-0005-0000-0000-0000B5CB0000}"/>
    <cellStyle name="Remarque 4 4 7" xfId="1432" xr:uid="{00000000-0005-0000-0000-0000B6CB0000}"/>
    <cellStyle name="Remarque 4 4 7 10" xfId="25464" xr:uid="{00000000-0005-0000-0000-0000B7CB0000}"/>
    <cellStyle name="Remarque 4 4 7 10 2" xfId="49424" xr:uid="{00000000-0005-0000-0000-0000B8CB0000}"/>
    <cellStyle name="Remarque 4 4 7 11" xfId="35592" xr:uid="{00000000-0005-0000-0000-0000B9CB0000}"/>
    <cellStyle name="Remarque 4 4 7 11 2" xfId="59552" xr:uid="{00000000-0005-0000-0000-0000BACB0000}"/>
    <cellStyle name="Remarque 4 4 7 12" xfId="14129" xr:uid="{00000000-0005-0000-0000-0000BBCB0000}"/>
    <cellStyle name="Remarque 4 4 7 13" xfId="38089" xr:uid="{00000000-0005-0000-0000-0000BCCB0000}"/>
    <cellStyle name="Remarque 4 4 7 2" xfId="4338" xr:uid="{00000000-0005-0000-0000-0000BDCB0000}"/>
    <cellStyle name="Remarque 4 4 7 2 2" xfId="28352" xr:uid="{00000000-0005-0000-0000-0000BECB0000}"/>
    <cellStyle name="Remarque 4 4 7 2 2 2" xfId="52312" xr:uid="{00000000-0005-0000-0000-0000BFCB0000}"/>
    <cellStyle name="Remarque 4 4 7 2 3" xfId="15599" xr:uid="{00000000-0005-0000-0000-0000C0CB0000}"/>
    <cellStyle name="Remarque 4 4 7 2 4" xfId="39559" xr:uid="{00000000-0005-0000-0000-0000C1CB0000}"/>
    <cellStyle name="Remarque 4 4 7 3" xfId="5772" xr:uid="{00000000-0005-0000-0000-0000C2CB0000}"/>
    <cellStyle name="Remarque 4 4 7 3 2" xfId="29786" xr:uid="{00000000-0005-0000-0000-0000C3CB0000}"/>
    <cellStyle name="Remarque 4 4 7 3 2 2" xfId="53746" xr:uid="{00000000-0005-0000-0000-0000C4CB0000}"/>
    <cellStyle name="Remarque 4 4 7 3 3" xfId="17033" xr:uid="{00000000-0005-0000-0000-0000C5CB0000}"/>
    <cellStyle name="Remarque 4 4 7 3 4" xfId="40993" xr:uid="{00000000-0005-0000-0000-0000C6CB0000}"/>
    <cellStyle name="Remarque 4 4 7 4" xfId="7166" xr:uid="{00000000-0005-0000-0000-0000C7CB0000}"/>
    <cellStyle name="Remarque 4 4 7 4 2" xfId="31180" xr:uid="{00000000-0005-0000-0000-0000C8CB0000}"/>
    <cellStyle name="Remarque 4 4 7 4 2 2" xfId="55140" xr:uid="{00000000-0005-0000-0000-0000C9CB0000}"/>
    <cellStyle name="Remarque 4 4 7 4 3" xfId="18427" xr:uid="{00000000-0005-0000-0000-0000CACB0000}"/>
    <cellStyle name="Remarque 4 4 7 4 4" xfId="42387" xr:uid="{00000000-0005-0000-0000-0000CBCB0000}"/>
    <cellStyle name="Remarque 4 4 7 5" xfId="8554" xr:uid="{00000000-0005-0000-0000-0000CCCB0000}"/>
    <cellStyle name="Remarque 4 4 7 5 2" xfId="32568" xr:uid="{00000000-0005-0000-0000-0000CDCB0000}"/>
    <cellStyle name="Remarque 4 4 7 5 2 2" xfId="56528" xr:uid="{00000000-0005-0000-0000-0000CECB0000}"/>
    <cellStyle name="Remarque 4 4 7 5 3" xfId="19815" xr:uid="{00000000-0005-0000-0000-0000CFCB0000}"/>
    <cellStyle name="Remarque 4 4 7 5 4" xfId="43775" xr:uid="{00000000-0005-0000-0000-0000D0CB0000}"/>
    <cellStyle name="Remarque 4 4 7 6" xfId="9939" xr:uid="{00000000-0005-0000-0000-0000D1CB0000}"/>
    <cellStyle name="Remarque 4 4 7 6 2" xfId="33953" xr:uid="{00000000-0005-0000-0000-0000D2CB0000}"/>
    <cellStyle name="Remarque 4 4 7 6 2 2" xfId="57913" xr:uid="{00000000-0005-0000-0000-0000D3CB0000}"/>
    <cellStyle name="Remarque 4 4 7 6 3" xfId="21200" xr:uid="{00000000-0005-0000-0000-0000D4CB0000}"/>
    <cellStyle name="Remarque 4 4 7 6 4" xfId="45160" xr:uid="{00000000-0005-0000-0000-0000D5CB0000}"/>
    <cellStyle name="Remarque 4 4 7 7" xfId="11396" xr:uid="{00000000-0005-0000-0000-0000D6CB0000}"/>
    <cellStyle name="Remarque 4 4 7 7 2" xfId="35406" xr:uid="{00000000-0005-0000-0000-0000D7CB0000}"/>
    <cellStyle name="Remarque 4 4 7 7 2 2" xfId="59366" xr:uid="{00000000-0005-0000-0000-0000D8CB0000}"/>
    <cellStyle name="Remarque 4 4 7 7 3" xfId="22663" xr:uid="{00000000-0005-0000-0000-0000D9CB0000}"/>
    <cellStyle name="Remarque 4 4 7 7 4" xfId="46623" xr:uid="{00000000-0005-0000-0000-0000DACB0000}"/>
    <cellStyle name="Remarque 4 4 7 8" xfId="12481" xr:uid="{00000000-0005-0000-0000-0000DBCB0000}"/>
    <cellStyle name="Remarque 4 4 7 8 2" xfId="23777" xr:uid="{00000000-0005-0000-0000-0000DCCB0000}"/>
    <cellStyle name="Remarque 4 4 7 8 3" xfId="47737" xr:uid="{00000000-0005-0000-0000-0000DDCB0000}"/>
    <cellStyle name="Remarque 4 4 7 9" xfId="2868" xr:uid="{00000000-0005-0000-0000-0000DECB0000}"/>
    <cellStyle name="Remarque 4 4 7 9 2" xfId="26882" xr:uid="{00000000-0005-0000-0000-0000DFCB0000}"/>
    <cellStyle name="Remarque 4 4 7 9 3" xfId="50842" xr:uid="{00000000-0005-0000-0000-0000E0CB0000}"/>
    <cellStyle name="Remarque 4 4 8" xfId="3287" xr:uid="{00000000-0005-0000-0000-0000E1CB0000}"/>
    <cellStyle name="Remarque 4 4 8 2" xfId="27301" xr:uid="{00000000-0005-0000-0000-0000E2CB0000}"/>
    <cellStyle name="Remarque 4 4 8 2 2" xfId="51261" xr:uid="{00000000-0005-0000-0000-0000E3CB0000}"/>
    <cellStyle name="Remarque 4 4 8 3" xfId="14548" xr:uid="{00000000-0005-0000-0000-0000E4CB0000}"/>
    <cellStyle name="Remarque 4 4 8 4" xfId="38508" xr:uid="{00000000-0005-0000-0000-0000E5CB0000}"/>
    <cellStyle name="Remarque 4 4 9" xfId="4721" xr:uid="{00000000-0005-0000-0000-0000E6CB0000}"/>
    <cellStyle name="Remarque 4 4 9 2" xfId="28735" xr:uid="{00000000-0005-0000-0000-0000E7CB0000}"/>
    <cellStyle name="Remarque 4 4 9 2 2" xfId="52695" xr:uid="{00000000-0005-0000-0000-0000E8CB0000}"/>
    <cellStyle name="Remarque 4 4 9 3" xfId="15982" xr:uid="{00000000-0005-0000-0000-0000E9CB0000}"/>
    <cellStyle name="Remarque 4 4 9 4" xfId="39942" xr:uid="{00000000-0005-0000-0000-0000EACB0000}"/>
    <cellStyle name="Remarque 4 5" xfId="120" xr:uid="{00000000-0005-0000-0000-0000EBCB0000}"/>
    <cellStyle name="Remarque 4 5 10" xfId="24331" xr:uid="{00000000-0005-0000-0000-0000ECCB0000}"/>
    <cellStyle name="Remarque 4 5 10 2" xfId="48291" xr:uid="{00000000-0005-0000-0000-0000EDCB0000}"/>
    <cellStyle name="Remarque 4 5 11" xfId="36393" xr:uid="{00000000-0005-0000-0000-0000EECB0000}"/>
    <cellStyle name="Remarque 4 5 11 2" xfId="60353" xr:uid="{00000000-0005-0000-0000-0000EFCB0000}"/>
    <cellStyle name="Remarque 4 5 12" xfId="12996" xr:uid="{00000000-0005-0000-0000-0000F0CB0000}"/>
    <cellStyle name="Remarque 4 5 13" xfId="36956" xr:uid="{00000000-0005-0000-0000-0000F1CB0000}"/>
    <cellStyle name="Remarque 4 5 14" xfId="299" xr:uid="{00000000-0005-0000-0000-0000F2CB0000}"/>
    <cellStyle name="Remarque 4 5 2" xfId="3205" xr:uid="{00000000-0005-0000-0000-0000F3CB0000}"/>
    <cellStyle name="Remarque 4 5 2 2" xfId="27219" xr:uid="{00000000-0005-0000-0000-0000F4CB0000}"/>
    <cellStyle name="Remarque 4 5 2 2 2" xfId="51179" xr:uid="{00000000-0005-0000-0000-0000F5CB0000}"/>
    <cellStyle name="Remarque 4 5 2 3" xfId="14466" xr:uid="{00000000-0005-0000-0000-0000F6CB0000}"/>
    <cellStyle name="Remarque 4 5 2 4" xfId="38426" xr:uid="{00000000-0005-0000-0000-0000F7CB0000}"/>
    <cellStyle name="Remarque 4 5 3" xfId="4639" xr:uid="{00000000-0005-0000-0000-0000F8CB0000}"/>
    <cellStyle name="Remarque 4 5 3 2" xfId="28653" xr:uid="{00000000-0005-0000-0000-0000F9CB0000}"/>
    <cellStyle name="Remarque 4 5 3 2 2" xfId="52613" xr:uid="{00000000-0005-0000-0000-0000FACB0000}"/>
    <cellStyle name="Remarque 4 5 3 3" xfId="15900" xr:uid="{00000000-0005-0000-0000-0000FBCB0000}"/>
    <cellStyle name="Remarque 4 5 3 4" xfId="39860" xr:uid="{00000000-0005-0000-0000-0000FCCB0000}"/>
    <cellStyle name="Remarque 4 5 4" xfId="6033" xr:uid="{00000000-0005-0000-0000-0000FDCB0000}"/>
    <cellStyle name="Remarque 4 5 4 2" xfId="30047" xr:uid="{00000000-0005-0000-0000-0000FECB0000}"/>
    <cellStyle name="Remarque 4 5 4 2 2" xfId="54007" xr:uid="{00000000-0005-0000-0000-0000FFCB0000}"/>
    <cellStyle name="Remarque 4 5 4 3" xfId="17294" xr:uid="{00000000-0005-0000-0000-000000CC0000}"/>
    <cellStyle name="Remarque 4 5 4 4" xfId="41254" xr:uid="{00000000-0005-0000-0000-000001CC0000}"/>
    <cellStyle name="Remarque 4 5 5" xfId="7421" xr:uid="{00000000-0005-0000-0000-000002CC0000}"/>
    <cellStyle name="Remarque 4 5 5 2" xfId="31435" xr:uid="{00000000-0005-0000-0000-000003CC0000}"/>
    <cellStyle name="Remarque 4 5 5 2 2" xfId="55395" xr:uid="{00000000-0005-0000-0000-000004CC0000}"/>
    <cellStyle name="Remarque 4 5 5 3" xfId="18682" xr:uid="{00000000-0005-0000-0000-000005CC0000}"/>
    <cellStyle name="Remarque 4 5 5 4" xfId="42642" xr:uid="{00000000-0005-0000-0000-000006CC0000}"/>
    <cellStyle name="Remarque 4 5 6" xfId="8806" xr:uid="{00000000-0005-0000-0000-000007CC0000}"/>
    <cellStyle name="Remarque 4 5 6 2" xfId="32820" xr:uid="{00000000-0005-0000-0000-000008CC0000}"/>
    <cellStyle name="Remarque 4 5 6 2 2" xfId="56780" xr:uid="{00000000-0005-0000-0000-000009CC0000}"/>
    <cellStyle name="Remarque 4 5 6 3" xfId="20067" xr:uid="{00000000-0005-0000-0000-00000ACC0000}"/>
    <cellStyle name="Remarque 4 5 6 4" xfId="44027" xr:uid="{00000000-0005-0000-0000-00000BCC0000}"/>
    <cellStyle name="Remarque 4 5 7" xfId="10263" xr:uid="{00000000-0005-0000-0000-00000CCC0000}"/>
    <cellStyle name="Remarque 4 5 7 2" xfId="34273" xr:uid="{00000000-0005-0000-0000-00000DCC0000}"/>
    <cellStyle name="Remarque 4 5 7 2 2" xfId="58233" xr:uid="{00000000-0005-0000-0000-00000ECC0000}"/>
    <cellStyle name="Remarque 4 5 7 3" xfId="21530" xr:uid="{00000000-0005-0000-0000-00000FCC0000}"/>
    <cellStyle name="Remarque 4 5 7 4" xfId="45490" xr:uid="{00000000-0005-0000-0000-000010CC0000}"/>
    <cellStyle name="Remarque 4 5 8" xfId="12116" xr:uid="{00000000-0005-0000-0000-000011CC0000}"/>
    <cellStyle name="Remarque 4 5 8 2" xfId="23399" xr:uid="{00000000-0005-0000-0000-000012CC0000}"/>
    <cellStyle name="Remarque 4 5 8 3" xfId="47359" xr:uid="{00000000-0005-0000-0000-000013CC0000}"/>
    <cellStyle name="Remarque 4 5 9" xfId="1735" xr:uid="{00000000-0005-0000-0000-000014CC0000}"/>
    <cellStyle name="Remarque 4 5 9 2" xfId="25749" xr:uid="{00000000-0005-0000-0000-000015CC0000}"/>
    <cellStyle name="Remarque 4 5 9 3" xfId="49709" xr:uid="{00000000-0005-0000-0000-000016CC0000}"/>
    <cellStyle name="Remarque 4 6" xfId="614" xr:uid="{00000000-0005-0000-0000-000017CC0000}"/>
    <cellStyle name="Remarque 4 6 10" xfId="24646" xr:uid="{00000000-0005-0000-0000-000018CC0000}"/>
    <cellStyle name="Remarque 4 6 10 2" xfId="48606" xr:uid="{00000000-0005-0000-0000-000019CC0000}"/>
    <cellStyle name="Remarque 4 6 11" xfId="36548" xr:uid="{00000000-0005-0000-0000-00001ACC0000}"/>
    <cellStyle name="Remarque 4 6 11 2" xfId="60508" xr:uid="{00000000-0005-0000-0000-00001BCC0000}"/>
    <cellStyle name="Remarque 4 6 12" xfId="13311" xr:uid="{00000000-0005-0000-0000-00001CCC0000}"/>
    <cellStyle name="Remarque 4 6 13" xfId="37271" xr:uid="{00000000-0005-0000-0000-00001DCC0000}"/>
    <cellStyle name="Remarque 4 6 2" xfId="3520" xr:uid="{00000000-0005-0000-0000-00001ECC0000}"/>
    <cellStyle name="Remarque 4 6 2 2" xfId="27534" xr:uid="{00000000-0005-0000-0000-00001FCC0000}"/>
    <cellStyle name="Remarque 4 6 2 2 2" xfId="51494" xr:uid="{00000000-0005-0000-0000-000020CC0000}"/>
    <cellStyle name="Remarque 4 6 2 3" xfId="14781" xr:uid="{00000000-0005-0000-0000-000021CC0000}"/>
    <cellStyle name="Remarque 4 6 2 4" xfId="38741" xr:uid="{00000000-0005-0000-0000-000022CC0000}"/>
    <cellStyle name="Remarque 4 6 3" xfId="4954" xr:uid="{00000000-0005-0000-0000-000023CC0000}"/>
    <cellStyle name="Remarque 4 6 3 2" xfId="28968" xr:uid="{00000000-0005-0000-0000-000024CC0000}"/>
    <cellStyle name="Remarque 4 6 3 2 2" xfId="52928" xr:uid="{00000000-0005-0000-0000-000025CC0000}"/>
    <cellStyle name="Remarque 4 6 3 3" xfId="16215" xr:uid="{00000000-0005-0000-0000-000026CC0000}"/>
    <cellStyle name="Remarque 4 6 3 4" xfId="40175" xr:uid="{00000000-0005-0000-0000-000027CC0000}"/>
    <cellStyle name="Remarque 4 6 4" xfId="6348" xr:uid="{00000000-0005-0000-0000-000028CC0000}"/>
    <cellStyle name="Remarque 4 6 4 2" xfId="30362" xr:uid="{00000000-0005-0000-0000-000029CC0000}"/>
    <cellStyle name="Remarque 4 6 4 2 2" xfId="54322" xr:uid="{00000000-0005-0000-0000-00002ACC0000}"/>
    <cellStyle name="Remarque 4 6 4 3" xfId="17609" xr:uid="{00000000-0005-0000-0000-00002BCC0000}"/>
    <cellStyle name="Remarque 4 6 4 4" xfId="41569" xr:uid="{00000000-0005-0000-0000-00002CCC0000}"/>
    <cellStyle name="Remarque 4 6 5" xfId="7736" xr:uid="{00000000-0005-0000-0000-00002DCC0000}"/>
    <cellStyle name="Remarque 4 6 5 2" xfId="31750" xr:uid="{00000000-0005-0000-0000-00002ECC0000}"/>
    <cellStyle name="Remarque 4 6 5 2 2" xfId="55710" xr:uid="{00000000-0005-0000-0000-00002FCC0000}"/>
    <cellStyle name="Remarque 4 6 5 3" xfId="18997" xr:uid="{00000000-0005-0000-0000-000030CC0000}"/>
    <cellStyle name="Remarque 4 6 5 4" xfId="42957" xr:uid="{00000000-0005-0000-0000-000031CC0000}"/>
    <cellStyle name="Remarque 4 6 6" xfId="9121" xr:uid="{00000000-0005-0000-0000-000032CC0000}"/>
    <cellStyle name="Remarque 4 6 6 2" xfId="33135" xr:uid="{00000000-0005-0000-0000-000033CC0000}"/>
    <cellStyle name="Remarque 4 6 6 2 2" xfId="57095" xr:uid="{00000000-0005-0000-0000-000034CC0000}"/>
    <cellStyle name="Remarque 4 6 6 3" xfId="20382" xr:uid="{00000000-0005-0000-0000-000035CC0000}"/>
    <cellStyle name="Remarque 4 6 6 4" xfId="44342" xr:uid="{00000000-0005-0000-0000-000036CC0000}"/>
    <cellStyle name="Remarque 4 6 7" xfId="10578" xr:uid="{00000000-0005-0000-0000-000037CC0000}"/>
    <cellStyle name="Remarque 4 6 7 2" xfId="34588" xr:uid="{00000000-0005-0000-0000-000038CC0000}"/>
    <cellStyle name="Remarque 4 6 7 2 2" xfId="58548" xr:uid="{00000000-0005-0000-0000-000039CC0000}"/>
    <cellStyle name="Remarque 4 6 7 3" xfId="21845" xr:uid="{00000000-0005-0000-0000-00003ACC0000}"/>
    <cellStyle name="Remarque 4 6 7 4" xfId="45805" xr:uid="{00000000-0005-0000-0000-00003BCC0000}"/>
    <cellStyle name="Remarque 4 6 8" xfId="11786" xr:uid="{00000000-0005-0000-0000-00003CCC0000}"/>
    <cellStyle name="Remarque 4 6 8 2" xfId="23060" xr:uid="{00000000-0005-0000-0000-00003DCC0000}"/>
    <cellStyle name="Remarque 4 6 8 3" xfId="47020" xr:uid="{00000000-0005-0000-0000-00003ECC0000}"/>
    <cellStyle name="Remarque 4 6 9" xfId="2050" xr:uid="{00000000-0005-0000-0000-00003FCC0000}"/>
    <cellStyle name="Remarque 4 6 9 2" xfId="26064" xr:uid="{00000000-0005-0000-0000-000040CC0000}"/>
    <cellStyle name="Remarque 4 6 9 3" xfId="50024" xr:uid="{00000000-0005-0000-0000-000041CC0000}"/>
    <cellStyle name="Remarque 4 7" xfId="808" xr:uid="{00000000-0005-0000-0000-000042CC0000}"/>
    <cellStyle name="Remarque 4 7 10" xfId="24840" xr:uid="{00000000-0005-0000-0000-000043CC0000}"/>
    <cellStyle name="Remarque 4 7 10 2" xfId="48800" xr:uid="{00000000-0005-0000-0000-000044CC0000}"/>
    <cellStyle name="Remarque 4 7 11" xfId="36162" xr:uid="{00000000-0005-0000-0000-000045CC0000}"/>
    <cellStyle name="Remarque 4 7 11 2" xfId="60122" xr:uid="{00000000-0005-0000-0000-000046CC0000}"/>
    <cellStyle name="Remarque 4 7 12" xfId="13505" xr:uid="{00000000-0005-0000-0000-000047CC0000}"/>
    <cellStyle name="Remarque 4 7 13" xfId="37465" xr:uid="{00000000-0005-0000-0000-000048CC0000}"/>
    <cellStyle name="Remarque 4 7 2" xfId="3714" xr:uid="{00000000-0005-0000-0000-000049CC0000}"/>
    <cellStyle name="Remarque 4 7 2 2" xfId="27728" xr:uid="{00000000-0005-0000-0000-00004ACC0000}"/>
    <cellStyle name="Remarque 4 7 2 2 2" xfId="51688" xr:uid="{00000000-0005-0000-0000-00004BCC0000}"/>
    <cellStyle name="Remarque 4 7 2 3" xfId="14975" xr:uid="{00000000-0005-0000-0000-00004CCC0000}"/>
    <cellStyle name="Remarque 4 7 2 4" xfId="38935" xr:uid="{00000000-0005-0000-0000-00004DCC0000}"/>
    <cellStyle name="Remarque 4 7 3" xfId="5148" xr:uid="{00000000-0005-0000-0000-00004ECC0000}"/>
    <cellStyle name="Remarque 4 7 3 2" xfId="29162" xr:uid="{00000000-0005-0000-0000-00004FCC0000}"/>
    <cellStyle name="Remarque 4 7 3 2 2" xfId="53122" xr:uid="{00000000-0005-0000-0000-000050CC0000}"/>
    <cellStyle name="Remarque 4 7 3 3" xfId="16409" xr:uid="{00000000-0005-0000-0000-000051CC0000}"/>
    <cellStyle name="Remarque 4 7 3 4" xfId="40369" xr:uid="{00000000-0005-0000-0000-000052CC0000}"/>
    <cellStyle name="Remarque 4 7 4" xfId="6542" xr:uid="{00000000-0005-0000-0000-000053CC0000}"/>
    <cellStyle name="Remarque 4 7 4 2" xfId="30556" xr:uid="{00000000-0005-0000-0000-000054CC0000}"/>
    <cellStyle name="Remarque 4 7 4 2 2" xfId="54516" xr:uid="{00000000-0005-0000-0000-000055CC0000}"/>
    <cellStyle name="Remarque 4 7 4 3" xfId="17803" xr:uid="{00000000-0005-0000-0000-000056CC0000}"/>
    <cellStyle name="Remarque 4 7 4 4" xfId="41763" xr:uid="{00000000-0005-0000-0000-000057CC0000}"/>
    <cellStyle name="Remarque 4 7 5" xfId="7930" xr:uid="{00000000-0005-0000-0000-000058CC0000}"/>
    <cellStyle name="Remarque 4 7 5 2" xfId="31944" xr:uid="{00000000-0005-0000-0000-000059CC0000}"/>
    <cellStyle name="Remarque 4 7 5 2 2" xfId="55904" xr:uid="{00000000-0005-0000-0000-00005ACC0000}"/>
    <cellStyle name="Remarque 4 7 5 3" xfId="19191" xr:uid="{00000000-0005-0000-0000-00005BCC0000}"/>
    <cellStyle name="Remarque 4 7 5 4" xfId="43151" xr:uid="{00000000-0005-0000-0000-00005CCC0000}"/>
    <cellStyle name="Remarque 4 7 6" xfId="9315" xr:uid="{00000000-0005-0000-0000-00005DCC0000}"/>
    <cellStyle name="Remarque 4 7 6 2" xfId="33329" xr:uid="{00000000-0005-0000-0000-00005ECC0000}"/>
    <cellStyle name="Remarque 4 7 6 2 2" xfId="57289" xr:uid="{00000000-0005-0000-0000-00005FCC0000}"/>
    <cellStyle name="Remarque 4 7 6 3" xfId="20576" xr:uid="{00000000-0005-0000-0000-000060CC0000}"/>
    <cellStyle name="Remarque 4 7 6 4" xfId="44536" xr:uid="{00000000-0005-0000-0000-000061CC0000}"/>
    <cellStyle name="Remarque 4 7 7" xfId="10772" xr:uid="{00000000-0005-0000-0000-000062CC0000}"/>
    <cellStyle name="Remarque 4 7 7 2" xfId="34782" xr:uid="{00000000-0005-0000-0000-000063CC0000}"/>
    <cellStyle name="Remarque 4 7 7 2 2" xfId="58742" xr:uid="{00000000-0005-0000-0000-000064CC0000}"/>
    <cellStyle name="Remarque 4 7 7 3" xfId="22039" xr:uid="{00000000-0005-0000-0000-000065CC0000}"/>
    <cellStyle name="Remarque 4 7 7 4" xfId="45999" xr:uid="{00000000-0005-0000-0000-000066CC0000}"/>
    <cellStyle name="Remarque 4 7 8" xfId="11658" xr:uid="{00000000-0005-0000-0000-000067CC0000}"/>
    <cellStyle name="Remarque 4 7 8 2" xfId="22926" xr:uid="{00000000-0005-0000-0000-000068CC0000}"/>
    <cellStyle name="Remarque 4 7 8 3" xfId="46886" xr:uid="{00000000-0005-0000-0000-000069CC0000}"/>
    <cellStyle name="Remarque 4 7 9" xfId="2244" xr:uid="{00000000-0005-0000-0000-00006ACC0000}"/>
    <cellStyle name="Remarque 4 7 9 2" xfId="26258" xr:uid="{00000000-0005-0000-0000-00006BCC0000}"/>
    <cellStyle name="Remarque 4 7 9 3" xfId="50218" xr:uid="{00000000-0005-0000-0000-00006CCC0000}"/>
    <cellStyle name="Remarque 4 8" xfId="1002" xr:uid="{00000000-0005-0000-0000-00006DCC0000}"/>
    <cellStyle name="Remarque 4 8 10" xfId="25034" xr:uid="{00000000-0005-0000-0000-00006ECC0000}"/>
    <cellStyle name="Remarque 4 8 10 2" xfId="48994" xr:uid="{00000000-0005-0000-0000-00006FCC0000}"/>
    <cellStyle name="Remarque 4 8 11" xfId="34217" xr:uid="{00000000-0005-0000-0000-000070CC0000}"/>
    <cellStyle name="Remarque 4 8 11 2" xfId="58177" xr:uid="{00000000-0005-0000-0000-000071CC0000}"/>
    <cellStyle name="Remarque 4 8 12" xfId="13699" xr:uid="{00000000-0005-0000-0000-000072CC0000}"/>
    <cellStyle name="Remarque 4 8 13" xfId="37659" xr:uid="{00000000-0005-0000-0000-000073CC0000}"/>
    <cellStyle name="Remarque 4 8 2" xfId="3908" xr:uid="{00000000-0005-0000-0000-000074CC0000}"/>
    <cellStyle name="Remarque 4 8 2 2" xfId="27922" xr:uid="{00000000-0005-0000-0000-000075CC0000}"/>
    <cellStyle name="Remarque 4 8 2 2 2" xfId="51882" xr:uid="{00000000-0005-0000-0000-000076CC0000}"/>
    <cellStyle name="Remarque 4 8 2 3" xfId="15169" xr:uid="{00000000-0005-0000-0000-000077CC0000}"/>
    <cellStyle name="Remarque 4 8 2 4" xfId="39129" xr:uid="{00000000-0005-0000-0000-000078CC0000}"/>
    <cellStyle name="Remarque 4 8 3" xfId="5342" xr:uid="{00000000-0005-0000-0000-000079CC0000}"/>
    <cellStyle name="Remarque 4 8 3 2" xfId="29356" xr:uid="{00000000-0005-0000-0000-00007ACC0000}"/>
    <cellStyle name="Remarque 4 8 3 2 2" xfId="53316" xr:uid="{00000000-0005-0000-0000-00007BCC0000}"/>
    <cellStyle name="Remarque 4 8 3 3" xfId="16603" xr:uid="{00000000-0005-0000-0000-00007CCC0000}"/>
    <cellStyle name="Remarque 4 8 3 4" xfId="40563" xr:uid="{00000000-0005-0000-0000-00007DCC0000}"/>
    <cellStyle name="Remarque 4 8 4" xfId="6736" xr:uid="{00000000-0005-0000-0000-00007ECC0000}"/>
    <cellStyle name="Remarque 4 8 4 2" xfId="30750" xr:uid="{00000000-0005-0000-0000-00007FCC0000}"/>
    <cellStyle name="Remarque 4 8 4 2 2" xfId="54710" xr:uid="{00000000-0005-0000-0000-000080CC0000}"/>
    <cellStyle name="Remarque 4 8 4 3" xfId="17997" xr:uid="{00000000-0005-0000-0000-000081CC0000}"/>
    <cellStyle name="Remarque 4 8 4 4" xfId="41957" xr:uid="{00000000-0005-0000-0000-000082CC0000}"/>
    <cellStyle name="Remarque 4 8 5" xfId="8124" xr:uid="{00000000-0005-0000-0000-000083CC0000}"/>
    <cellStyle name="Remarque 4 8 5 2" xfId="32138" xr:uid="{00000000-0005-0000-0000-000084CC0000}"/>
    <cellStyle name="Remarque 4 8 5 2 2" xfId="56098" xr:uid="{00000000-0005-0000-0000-000085CC0000}"/>
    <cellStyle name="Remarque 4 8 5 3" xfId="19385" xr:uid="{00000000-0005-0000-0000-000086CC0000}"/>
    <cellStyle name="Remarque 4 8 5 4" xfId="43345" xr:uid="{00000000-0005-0000-0000-000087CC0000}"/>
    <cellStyle name="Remarque 4 8 6" xfId="9509" xr:uid="{00000000-0005-0000-0000-000088CC0000}"/>
    <cellStyle name="Remarque 4 8 6 2" xfId="33523" xr:uid="{00000000-0005-0000-0000-000089CC0000}"/>
    <cellStyle name="Remarque 4 8 6 2 2" xfId="57483" xr:uid="{00000000-0005-0000-0000-00008ACC0000}"/>
    <cellStyle name="Remarque 4 8 6 3" xfId="20770" xr:uid="{00000000-0005-0000-0000-00008BCC0000}"/>
    <cellStyle name="Remarque 4 8 6 4" xfId="44730" xr:uid="{00000000-0005-0000-0000-00008CCC0000}"/>
    <cellStyle name="Remarque 4 8 7" xfId="10966" xr:uid="{00000000-0005-0000-0000-00008DCC0000}"/>
    <cellStyle name="Remarque 4 8 7 2" xfId="34976" xr:uid="{00000000-0005-0000-0000-00008ECC0000}"/>
    <cellStyle name="Remarque 4 8 7 2 2" xfId="58936" xr:uid="{00000000-0005-0000-0000-00008FCC0000}"/>
    <cellStyle name="Remarque 4 8 7 3" xfId="22233" xr:uid="{00000000-0005-0000-0000-000090CC0000}"/>
    <cellStyle name="Remarque 4 8 7 4" xfId="46193" xr:uid="{00000000-0005-0000-0000-000091CC0000}"/>
    <cellStyle name="Remarque 4 8 8" xfId="12104" xr:uid="{00000000-0005-0000-0000-000092CC0000}"/>
    <cellStyle name="Remarque 4 8 8 2" xfId="23387" xr:uid="{00000000-0005-0000-0000-000093CC0000}"/>
    <cellStyle name="Remarque 4 8 8 3" xfId="47347" xr:uid="{00000000-0005-0000-0000-000094CC0000}"/>
    <cellStyle name="Remarque 4 8 9" xfId="2438" xr:uid="{00000000-0005-0000-0000-000095CC0000}"/>
    <cellStyle name="Remarque 4 8 9 2" xfId="26452" xr:uid="{00000000-0005-0000-0000-000096CC0000}"/>
    <cellStyle name="Remarque 4 8 9 3" xfId="50412" xr:uid="{00000000-0005-0000-0000-000097CC0000}"/>
    <cellStyle name="Remarque 4 9" xfId="341" xr:uid="{00000000-0005-0000-0000-000098CC0000}"/>
    <cellStyle name="Remarque 4 9 10" xfId="24373" xr:uid="{00000000-0005-0000-0000-000099CC0000}"/>
    <cellStyle name="Remarque 4 9 10 2" xfId="48333" xr:uid="{00000000-0005-0000-0000-00009ACC0000}"/>
    <cellStyle name="Remarque 4 9 11" xfId="36473" xr:uid="{00000000-0005-0000-0000-00009BCC0000}"/>
    <cellStyle name="Remarque 4 9 11 2" xfId="60433" xr:uid="{00000000-0005-0000-0000-00009CCC0000}"/>
    <cellStyle name="Remarque 4 9 12" xfId="13038" xr:uid="{00000000-0005-0000-0000-00009DCC0000}"/>
    <cellStyle name="Remarque 4 9 13" xfId="36998" xr:uid="{00000000-0005-0000-0000-00009ECC0000}"/>
    <cellStyle name="Remarque 4 9 2" xfId="3247" xr:uid="{00000000-0005-0000-0000-00009FCC0000}"/>
    <cellStyle name="Remarque 4 9 2 2" xfId="27261" xr:uid="{00000000-0005-0000-0000-0000A0CC0000}"/>
    <cellStyle name="Remarque 4 9 2 2 2" xfId="51221" xr:uid="{00000000-0005-0000-0000-0000A1CC0000}"/>
    <cellStyle name="Remarque 4 9 2 3" xfId="14508" xr:uid="{00000000-0005-0000-0000-0000A2CC0000}"/>
    <cellStyle name="Remarque 4 9 2 4" xfId="38468" xr:uid="{00000000-0005-0000-0000-0000A3CC0000}"/>
    <cellStyle name="Remarque 4 9 3" xfId="4681" xr:uid="{00000000-0005-0000-0000-0000A4CC0000}"/>
    <cellStyle name="Remarque 4 9 3 2" xfId="28695" xr:uid="{00000000-0005-0000-0000-0000A5CC0000}"/>
    <cellStyle name="Remarque 4 9 3 2 2" xfId="52655" xr:uid="{00000000-0005-0000-0000-0000A6CC0000}"/>
    <cellStyle name="Remarque 4 9 3 3" xfId="15942" xr:uid="{00000000-0005-0000-0000-0000A7CC0000}"/>
    <cellStyle name="Remarque 4 9 3 4" xfId="39902" xr:uid="{00000000-0005-0000-0000-0000A8CC0000}"/>
    <cellStyle name="Remarque 4 9 4" xfId="6075" xr:uid="{00000000-0005-0000-0000-0000A9CC0000}"/>
    <cellStyle name="Remarque 4 9 4 2" xfId="30089" xr:uid="{00000000-0005-0000-0000-0000AACC0000}"/>
    <cellStyle name="Remarque 4 9 4 2 2" xfId="54049" xr:uid="{00000000-0005-0000-0000-0000ABCC0000}"/>
    <cellStyle name="Remarque 4 9 4 3" xfId="17336" xr:uid="{00000000-0005-0000-0000-0000ACCC0000}"/>
    <cellStyle name="Remarque 4 9 4 4" xfId="41296" xr:uid="{00000000-0005-0000-0000-0000ADCC0000}"/>
    <cellStyle name="Remarque 4 9 5" xfId="7463" xr:uid="{00000000-0005-0000-0000-0000AECC0000}"/>
    <cellStyle name="Remarque 4 9 5 2" xfId="31477" xr:uid="{00000000-0005-0000-0000-0000AFCC0000}"/>
    <cellStyle name="Remarque 4 9 5 2 2" xfId="55437" xr:uid="{00000000-0005-0000-0000-0000B0CC0000}"/>
    <cellStyle name="Remarque 4 9 5 3" xfId="18724" xr:uid="{00000000-0005-0000-0000-0000B1CC0000}"/>
    <cellStyle name="Remarque 4 9 5 4" xfId="42684" xr:uid="{00000000-0005-0000-0000-0000B2CC0000}"/>
    <cellStyle name="Remarque 4 9 6" xfId="8848" xr:uid="{00000000-0005-0000-0000-0000B3CC0000}"/>
    <cellStyle name="Remarque 4 9 6 2" xfId="32862" xr:uid="{00000000-0005-0000-0000-0000B4CC0000}"/>
    <cellStyle name="Remarque 4 9 6 2 2" xfId="56822" xr:uid="{00000000-0005-0000-0000-0000B5CC0000}"/>
    <cellStyle name="Remarque 4 9 6 3" xfId="20109" xr:uid="{00000000-0005-0000-0000-0000B6CC0000}"/>
    <cellStyle name="Remarque 4 9 6 4" xfId="44069" xr:uid="{00000000-0005-0000-0000-0000B7CC0000}"/>
    <cellStyle name="Remarque 4 9 7" xfId="10305" xr:uid="{00000000-0005-0000-0000-0000B8CC0000}"/>
    <cellStyle name="Remarque 4 9 7 2" xfId="34315" xr:uid="{00000000-0005-0000-0000-0000B9CC0000}"/>
    <cellStyle name="Remarque 4 9 7 2 2" xfId="58275" xr:uid="{00000000-0005-0000-0000-0000BACC0000}"/>
    <cellStyle name="Remarque 4 9 7 3" xfId="21572" xr:uid="{00000000-0005-0000-0000-0000BBCC0000}"/>
    <cellStyle name="Remarque 4 9 7 4" xfId="45532" xr:uid="{00000000-0005-0000-0000-0000BCCC0000}"/>
    <cellStyle name="Remarque 4 9 8" xfId="12584" xr:uid="{00000000-0005-0000-0000-0000BDCC0000}"/>
    <cellStyle name="Remarque 4 9 8 2" xfId="23884" xr:uid="{00000000-0005-0000-0000-0000BECC0000}"/>
    <cellStyle name="Remarque 4 9 8 3" xfId="47844" xr:uid="{00000000-0005-0000-0000-0000BFCC0000}"/>
    <cellStyle name="Remarque 4 9 9" xfId="1777" xr:uid="{00000000-0005-0000-0000-0000C0CC0000}"/>
    <cellStyle name="Remarque 4 9 9 2" xfId="25791" xr:uid="{00000000-0005-0000-0000-0000C1CC0000}"/>
    <cellStyle name="Remarque 4 9 9 3" xfId="49751" xr:uid="{00000000-0005-0000-0000-0000C2CC0000}"/>
    <cellStyle name="Remarque 5" xfId="31" xr:uid="{00000000-0005-0000-0000-0000C3CC0000}"/>
    <cellStyle name="Remarque 5 10" xfId="1198" xr:uid="{00000000-0005-0000-0000-0000C4CC0000}"/>
    <cellStyle name="Remarque 5 10 10" xfId="25230" xr:uid="{00000000-0005-0000-0000-0000C5CC0000}"/>
    <cellStyle name="Remarque 5 10 10 2" xfId="49190" xr:uid="{00000000-0005-0000-0000-0000C6CC0000}"/>
    <cellStyle name="Remarque 5 10 11" xfId="36624" xr:uid="{00000000-0005-0000-0000-0000C7CC0000}"/>
    <cellStyle name="Remarque 5 10 11 2" xfId="60584" xr:uid="{00000000-0005-0000-0000-0000C8CC0000}"/>
    <cellStyle name="Remarque 5 10 12" xfId="13895" xr:uid="{00000000-0005-0000-0000-0000C9CC0000}"/>
    <cellStyle name="Remarque 5 10 13" xfId="37855" xr:uid="{00000000-0005-0000-0000-0000CACC0000}"/>
    <cellStyle name="Remarque 5 10 2" xfId="4104" xr:uid="{00000000-0005-0000-0000-0000CBCC0000}"/>
    <cellStyle name="Remarque 5 10 2 2" xfId="28118" xr:uid="{00000000-0005-0000-0000-0000CCCC0000}"/>
    <cellStyle name="Remarque 5 10 2 2 2" xfId="52078" xr:uid="{00000000-0005-0000-0000-0000CDCC0000}"/>
    <cellStyle name="Remarque 5 10 2 3" xfId="15365" xr:uid="{00000000-0005-0000-0000-0000CECC0000}"/>
    <cellStyle name="Remarque 5 10 2 4" xfId="39325" xr:uid="{00000000-0005-0000-0000-0000CFCC0000}"/>
    <cellStyle name="Remarque 5 10 3" xfId="5538" xr:uid="{00000000-0005-0000-0000-0000D0CC0000}"/>
    <cellStyle name="Remarque 5 10 3 2" xfId="29552" xr:uid="{00000000-0005-0000-0000-0000D1CC0000}"/>
    <cellStyle name="Remarque 5 10 3 2 2" xfId="53512" xr:uid="{00000000-0005-0000-0000-0000D2CC0000}"/>
    <cellStyle name="Remarque 5 10 3 3" xfId="16799" xr:uid="{00000000-0005-0000-0000-0000D3CC0000}"/>
    <cellStyle name="Remarque 5 10 3 4" xfId="40759" xr:uid="{00000000-0005-0000-0000-0000D4CC0000}"/>
    <cellStyle name="Remarque 5 10 4" xfId="6932" xr:uid="{00000000-0005-0000-0000-0000D5CC0000}"/>
    <cellStyle name="Remarque 5 10 4 2" xfId="30946" xr:uid="{00000000-0005-0000-0000-0000D6CC0000}"/>
    <cellStyle name="Remarque 5 10 4 2 2" xfId="54906" xr:uid="{00000000-0005-0000-0000-0000D7CC0000}"/>
    <cellStyle name="Remarque 5 10 4 3" xfId="18193" xr:uid="{00000000-0005-0000-0000-0000D8CC0000}"/>
    <cellStyle name="Remarque 5 10 4 4" xfId="42153" xr:uid="{00000000-0005-0000-0000-0000D9CC0000}"/>
    <cellStyle name="Remarque 5 10 5" xfId="8320" xr:uid="{00000000-0005-0000-0000-0000DACC0000}"/>
    <cellStyle name="Remarque 5 10 5 2" xfId="32334" xr:uid="{00000000-0005-0000-0000-0000DBCC0000}"/>
    <cellStyle name="Remarque 5 10 5 2 2" xfId="56294" xr:uid="{00000000-0005-0000-0000-0000DCCC0000}"/>
    <cellStyle name="Remarque 5 10 5 3" xfId="19581" xr:uid="{00000000-0005-0000-0000-0000DDCC0000}"/>
    <cellStyle name="Remarque 5 10 5 4" xfId="43541" xr:uid="{00000000-0005-0000-0000-0000DECC0000}"/>
    <cellStyle name="Remarque 5 10 6" xfId="9705" xr:uid="{00000000-0005-0000-0000-0000DFCC0000}"/>
    <cellStyle name="Remarque 5 10 6 2" xfId="33719" xr:uid="{00000000-0005-0000-0000-0000E0CC0000}"/>
    <cellStyle name="Remarque 5 10 6 2 2" xfId="57679" xr:uid="{00000000-0005-0000-0000-0000E1CC0000}"/>
    <cellStyle name="Remarque 5 10 6 3" xfId="20966" xr:uid="{00000000-0005-0000-0000-0000E2CC0000}"/>
    <cellStyle name="Remarque 5 10 6 4" xfId="44926" xr:uid="{00000000-0005-0000-0000-0000E3CC0000}"/>
    <cellStyle name="Remarque 5 10 7" xfId="11162" xr:uid="{00000000-0005-0000-0000-0000E4CC0000}"/>
    <cellStyle name="Remarque 5 10 7 2" xfId="35172" xr:uid="{00000000-0005-0000-0000-0000E5CC0000}"/>
    <cellStyle name="Remarque 5 10 7 2 2" xfId="59132" xr:uid="{00000000-0005-0000-0000-0000E6CC0000}"/>
    <cellStyle name="Remarque 5 10 7 3" xfId="22429" xr:uid="{00000000-0005-0000-0000-0000E7CC0000}"/>
    <cellStyle name="Remarque 5 10 7 4" xfId="46389" xr:uid="{00000000-0005-0000-0000-0000E8CC0000}"/>
    <cellStyle name="Remarque 5 10 8" xfId="11881" xr:uid="{00000000-0005-0000-0000-0000E9CC0000}"/>
    <cellStyle name="Remarque 5 10 8 2" xfId="23158" xr:uid="{00000000-0005-0000-0000-0000EACC0000}"/>
    <cellStyle name="Remarque 5 10 8 3" xfId="47118" xr:uid="{00000000-0005-0000-0000-0000EBCC0000}"/>
    <cellStyle name="Remarque 5 10 9" xfId="2634" xr:uid="{00000000-0005-0000-0000-0000ECCC0000}"/>
    <cellStyle name="Remarque 5 10 9 2" xfId="26648" xr:uid="{00000000-0005-0000-0000-0000EDCC0000}"/>
    <cellStyle name="Remarque 5 10 9 3" xfId="50608" xr:uid="{00000000-0005-0000-0000-0000EECC0000}"/>
    <cellStyle name="Remarque 5 11" xfId="308" xr:uid="{00000000-0005-0000-0000-0000EFCC0000}"/>
    <cellStyle name="Remarque 5 11 10" xfId="24340" xr:uid="{00000000-0005-0000-0000-0000F0CC0000}"/>
    <cellStyle name="Remarque 5 11 10 2" xfId="48300" xr:uid="{00000000-0005-0000-0000-0000F1CC0000}"/>
    <cellStyle name="Remarque 5 11 11" xfId="36021" xr:uid="{00000000-0005-0000-0000-0000F2CC0000}"/>
    <cellStyle name="Remarque 5 11 11 2" xfId="59981" xr:uid="{00000000-0005-0000-0000-0000F3CC0000}"/>
    <cellStyle name="Remarque 5 11 12" xfId="13005" xr:uid="{00000000-0005-0000-0000-0000F4CC0000}"/>
    <cellStyle name="Remarque 5 11 13" xfId="36965" xr:uid="{00000000-0005-0000-0000-0000F5CC0000}"/>
    <cellStyle name="Remarque 5 11 2" xfId="3214" xr:uid="{00000000-0005-0000-0000-0000F6CC0000}"/>
    <cellStyle name="Remarque 5 11 2 2" xfId="27228" xr:uid="{00000000-0005-0000-0000-0000F7CC0000}"/>
    <cellStyle name="Remarque 5 11 2 2 2" xfId="51188" xr:uid="{00000000-0005-0000-0000-0000F8CC0000}"/>
    <cellStyle name="Remarque 5 11 2 3" xfId="14475" xr:uid="{00000000-0005-0000-0000-0000F9CC0000}"/>
    <cellStyle name="Remarque 5 11 2 4" xfId="38435" xr:uid="{00000000-0005-0000-0000-0000FACC0000}"/>
    <cellStyle name="Remarque 5 11 3" xfId="4648" xr:uid="{00000000-0005-0000-0000-0000FBCC0000}"/>
    <cellStyle name="Remarque 5 11 3 2" xfId="28662" xr:uid="{00000000-0005-0000-0000-0000FCCC0000}"/>
    <cellStyle name="Remarque 5 11 3 2 2" xfId="52622" xr:uid="{00000000-0005-0000-0000-0000FDCC0000}"/>
    <cellStyle name="Remarque 5 11 3 3" xfId="15909" xr:uid="{00000000-0005-0000-0000-0000FECC0000}"/>
    <cellStyle name="Remarque 5 11 3 4" xfId="39869" xr:uid="{00000000-0005-0000-0000-0000FFCC0000}"/>
    <cellStyle name="Remarque 5 11 4" xfId="6042" xr:uid="{00000000-0005-0000-0000-000000CD0000}"/>
    <cellStyle name="Remarque 5 11 4 2" xfId="30056" xr:uid="{00000000-0005-0000-0000-000001CD0000}"/>
    <cellStyle name="Remarque 5 11 4 2 2" xfId="54016" xr:uid="{00000000-0005-0000-0000-000002CD0000}"/>
    <cellStyle name="Remarque 5 11 4 3" xfId="17303" xr:uid="{00000000-0005-0000-0000-000003CD0000}"/>
    <cellStyle name="Remarque 5 11 4 4" xfId="41263" xr:uid="{00000000-0005-0000-0000-000004CD0000}"/>
    <cellStyle name="Remarque 5 11 5" xfId="7430" xr:uid="{00000000-0005-0000-0000-000005CD0000}"/>
    <cellStyle name="Remarque 5 11 5 2" xfId="31444" xr:uid="{00000000-0005-0000-0000-000006CD0000}"/>
    <cellStyle name="Remarque 5 11 5 2 2" xfId="55404" xr:uid="{00000000-0005-0000-0000-000007CD0000}"/>
    <cellStyle name="Remarque 5 11 5 3" xfId="18691" xr:uid="{00000000-0005-0000-0000-000008CD0000}"/>
    <cellStyle name="Remarque 5 11 5 4" xfId="42651" xr:uid="{00000000-0005-0000-0000-000009CD0000}"/>
    <cellStyle name="Remarque 5 11 6" xfId="8815" xr:uid="{00000000-0005-0000-0000-00000ACD0000}"/>
    <cellStyle name="Remarque 5 11 6 2" xfId="32829" xr:uid="{00000000-0005-0000-0000-00000BCD0000}"/>
    <cellStyle name="Remarque 5 11 6 2 2" xfId="56789" xr:uid="{00000000-0005-0000-0000-00000CCD0000}"/>
    <cellStyle name="Remarque 5 11 6 3" xfId="20076" xr:uid="{00000000-0005-0000-0000-00000DCD0000}"/>
    <cellStyle name="Remarque 5 11 6 4" xfId="44036" xr:uid="{00000000-0005-0000-0000-00000ECD0000}"/>
    <cellStyle name="Remarque 5 11 7" xfId="10272" xr:uid="{00000000-0005-0000-0000-00000FCD0000}"/>
    <cellStyle name="Remarque 5 11 7 2" xfId="34282" xr:uid="{00000000-0005-0000-0000-000010CD0000}"/>
    <cellStyle name="Remarque 5 11 7 2 2" xfId="58242" xr:uid="{00000000-0005-0000-0000-000011CD0000}"/>
    <cellStyle name="Remarque 5 11 7 3" xfId="21539" xr:uid="{00000000-0005-0000-0000-000012CD0000}"/>
    <cellStyle name="Remarque 5 11 7 4" xfId="45499" xr:uid="{00000000-0005-0000-0000-000013CD0000}"/>
    <cellStyle name="Remarque 5 11 8" xfId="11766" xr:uid="{00000000-0005-0000-0000-000014CD0000}"/>
    <cellStyle name="Remarque 5 11 8 2" xfId="23039" xr:uid="{00000000-0005-0000-0000-000015CD0000}"/>
    <cellStyle name="Remarque 5 11 8 3" xfId="46999" xr:uid="{00000000-0005-0000-0000-000016CD0000}"/>
    <cellStyle name="Remarque 5 11 9" xfId="1744" xr:uid="{00000000-0005-0000-0000-000017CD0000}"/>
    <cellStyle name="Remarque 5 11 9 2" xfId="25758" xr:uid="{00000000-0005-0000-0000-000018CD0000}"/>
    <cellStyle name="Remarque 5 11 9 3" xfId="49718" xr:uid="{00000000-0005-0000-0000-000019CD0000}"/>
    <cellStyle name="Remarque 5 12" xfId="1559" xr:uid="{00000000-0005-0000-0000-00001ACD0000}"/>
    <cellStyle name="Remarque 5 12 10" xfId="25591" xr:uid="{00000000-0005-0000-0000-00001BCD0000}"/>
    <cellStyle name="Remarque 5 12 10 2" xfId="49551" xr:uid="{00000000-0005-0000-0000-00001CCD0000}"/>
    <cellStyle name="Remarque 5 12 11" xfId="36531" xr:uid="{00000000-0005-0000-0000-00001DCD0000}"/>
    <cellStyle name="Remarque 5 12 11 2" xfId="60491" xr:uid="{00000000-0005-0000-0000-00001ECD0000}"/>
    <cellStyle name="Remarque 5 12 12" xfId="14256" xr:uid="{00000000-0005-0000-0000-00001FCD0000}"/>
    <cellStyle name="Remarque 5 12 13" xfId="38216" xr:uid="{00000000-0005-0000-0000-000020CD0000}"/>
    <cellStyle name="Remarque 5 12 2" xfId="4465" xr:uid="{00000000-0005-0000-0000-000021CD0000}"/>
    <cellStyle name="Remarque 5 12 2 2" xfId="28479" xr:uid="{00000000-0005-0000-0000-000022CD0000}"/>
    <cellStyle name="Remarque 5 12 2 2 2" xfId="52439" xr:uid="{00000000-0005-0000-0000-000023CD0000}"/>
    <cellStyle name="Remarque 5 12 2 3" xfId="15726" xr:uid="{00000000-0005-0000-0000-000024CD0000}"/>
    <cellStyle name="Remarque 5 12 2 4" xfId="39686" xr:uid="{00000000-0005-0000-0000-000025CD0000}"/>
    <cellStyle name="Remarque 5 12 3" xfId="5899" xr:uid="{00000000-0005-0000-0000-000026CD0000}"/>
    <cellStyle name="Remarque 5 12 3 2" xfId="29913" xr:uid="{00000000-0005-0000-0000-000027CD0000}"/>
    <cellStyle name="Remarque 5 12 3 2 2" xfId="53873" xr:uid="{00000000-0005-0000-0000-000028CD0000}"/>
    <cellStyle name="Remarque 5 12 3 3" xfId="17160" xr:uid="{00000000-0005-0000-0000-000029CD0000}"/>
    <cellStyle name="Remarque 5 12 3 4" xfId="41120" xr:uid="{00000000-0005-0000-0000-00002ACD0000}"/>
    <cellStyle name="Remarque 5 12 4" xfId="7293" xr:uid="{00000000-0005-0000-0000-00002BCD0000}"/>
    <cellStyle name="Remarque 5 12 4 2" xfId="31307" xr:uid="{00000000-0005-0000-0000-00002CCD0000}"/>
    <cellStyle name="Remarque 5 12 4 2 2" xfId="55267" xr:uid="{00000000-0005-0000-0000-00002DCD0000}"/>
    <cellStyle name="Remarque 5 12 4 3" xfId="18554" xr:uid="{00000000-0005-0000-0000-00002ECD0000}"/>
    <cellStyle name="Remarque 5 12 4 4" xfId="42514" xr:uid="{00000000-0005-0000-0000-00002FCD0000}"/>
    <cellStyle name="Remarque 5 12 5" xfId="8681" xr:uid="{00000000-0005-0000-0000-000030CD0000}"/>
    <cellStyle name="Remarque 5 12 5 2" xfId="32695" xr:uid="{00000000-0005-0000-0000-000031CD0000}"/>
    <cellStyle name="Remarque 5 12 5 2 2" xfId="56655" xr:uid="{00000000-0005-0000-0000-000032CD0000}"/>
    <cellStyle name="Remarque 5 12 5 3" xfId="19942" xr:uid="{00000000-0005-0000-0000-000033CD0000}"/>
    <cellStyle name="Remarque 5 12 5 4" xfId="43902" xr:uid="{00000000-0005-0000-0000-000034CD0000}"/>
    <cellStyle name="Remarque 5 12 6" xfId="10066" xr:uid="{00000000-0005-0000-0000-000035CD0000}"/>
    <cellStyle name="Remarque 5 12 6 2" xfId="34080" xr:uid="{00000000-0005-0000-0000-000036CD0000}"/>
    <cellStyle name="Remarque 5 12 6 2 2" xfId="58040" xr:uid="{00000000-0005-0000-0000-000037CD0000}"/>
    <cellStyle name="Remarque 5 12 6 3" xfId="21327" xr:uid="{00000000-0005-0000-0000-000038CD0000}"/>
    <cellStyle name="Remarque 5 12 6 4" xfId="45287" xr:uid="{00000000-0005-0000-0000-000039CD0000}"/>
    <cellStyle name="Remarque 5 12 7" xfId="11523" xr:uid="{00000000-0005-0000-0000-00003ACD0000}"/>
    <cellStyle name="Remarque 5 12 7 2" xfId="35533" xr:uid="{00000000-0005-0000-0000-00003BCD0000}"/>
    <cellStyle name="Remarque 5 12 7 2 2" xfId="59493" xr:uid="{00000000-0005-0000-0000-00003CCD0000}"/>
    <cellStyle name="Remarque 5 12 7 3" xfId="22790" xr:uid="{00000000-0005-0000-0000-00003DCD0000}"/>
    <cellStyle name="Remarque 5 12 7 4" xfId="46750" xr:uid="{00000000-0005-0000-0000-00003ECD0000}"/>
    <cellStyle name="Remarque 5 12 8" xfId="12849" xr:uid="{00000000-0005-0000-0000-00003FCD0000}"/>
    <cellStyle name="Remarque 5 12 8 2" xfId="24161" xr:uid="{00000000-0005-0000-0000-000040CD0000}"/>
    <cellStyle name="Remarque 5 12 8 3" xfId="48121" xr:uid="{00000000-0005-0000-0000-000041CD0000}"/>
    <cellStyle name="Remarque 5 12 9" xfId="2995" xr:uid="{00000000-0005-0000-0000-000042CD0000}"/>
    <cellStyle name="Remarque 5 12 9 2" xfId="27009" xr:uid="{00000000-0005-0000-0000-000043CD0000}"/>
    <cellStyle name="Remarque 5 12 9 3" xfId="50969" xr:uid="{00000000-0005-0000-0000-000044CD0000}"/>
    <cellStyle name="Remarque 5 13" xfId="202" xr:uid="{00000000-0005-0000-0000-000045CD0000}"/>
    <cellStyle name="Remarque 5 13 10" xfId="36747" xr:uid="{00000000-0005-0000-0000-000046CD0000}"/>
    <cellStyle name="Remarque 5 13 10 2" xfId="60707" xr:uid="{00000000-0005-0000-0000-000047CD0000}"/>
    <cellStyle name="Remarque 5 13 11" xfId="14369" xr:uid="{00000000-0005-0000-0000-000048CD0000}"/>
    <cellStyle name="Remarque 5 13 12" xfId="38329" xr:uid="{00000000-0005-0000-0000-000049CD0000}"/>
    <cellStyle name="Remarque 5 13 2" xfId="4547" xr:uid="{00000000-0005-0000-0000-00004ACD0000}"/>
    <cellStyle name="Remarque 5 13 2 2" xfId="28561" xr:uid="{00000000-0005-0000-0000-00004BCD0000}"/>
    <cellStyle name="Remarque 5 13 2 2 2" xfId="52521" xr:uid="{00000000-0005-0000-0000-00004CCD0000}"/>
    <cellStyle name="Remarque 5 13 2 3" xfId="15808" xr:uid="{00000000-0005-0000-0000-00004DCD0000}"/>
    <cellStyle name="Remarque 5 13 2 4" xfId="39768" xr:uid="{00000000-0005-0000-0000-00004ECD0000}"/>
    <cellStyle name="Remarque 5 13 3" xfId="5946" xr:uid="{00000000-0005-0000-0000-00004FCD0000}"/>
    <cellStyle name="Remarque 5 13 3 2" xfId="29960" xr:uid="{00000000-0005-0000-0000-000050CD0000}"/>
    <cellStyle name="Remarque 5 13 3 2 2" xfId="53920" xr:uid="{00000000-0005-0000-0000-000051CD0000}"/>
    <cellStyle name="Remarque 5 13 3 3" xfId="17207" xr:uid="{00000000-0005-0000-0000-000052CD0000}"/>
    <cellStyle name="Remarque 5 13 3 4" xfId="41167" xr:uid="{00000000-0005-0000-0000-000053CD0000}"/>
    <cellStyle name="Remarque 5 13 4" xfId="7340" xr:uid="{00000000-0005-0000-0000-000054CD0000}"/>
    <cellStyle name="Remarque 5 13 4 2" xfId="31354" xr:uid="{00000000-0005-0000-0000-000055CD0000}"/>
    <cellStyle name="Remarque 5 13 4 2 2" xfId="55314" xr:uid="{00000000-0005-0000-0000-000056CD0000}"/>
    <cellStyle name="Remarque 5 13 4 3" xfId="18601" xr:uid="{00000000-0005-0000-0000-000057CD0000}"/>
    <cellStyle name="Remarque 5 13 4 4" xfId="42561" xr:uid="{00000000-0005-0000-0000-000058CD0000}"/>
    <cellStyle name="Remarque 5 13 5" xfId="8728" xr:uid="{00000000-0005-0000-0000-000059CD0000}"/>
    <cellStyle name="Remarque 5 13 5 2" xfId="32742" xr:uid="{00000000-0005-0000-0000-00005ACD0000}"/>
    <cellStyle name="Remarque 5 13 5 2 2" xfId="56702" xr:uid="{00000000-0005-0000-0000-00005BCD0000}"/>
    <cellStyle name="Remarque 5 13 5 3" xfId="19989" xr:uid="{00000000-0005-0000-0000-00005CCD0000}"/>
    <cellStyle name="Remarque 5 13 5 4" xfId="43949" xr:uid="{00000000-0005-0000-0000-00005DCD0000}"/>
    <cellStyle name="Remarque 5 13 6" xfId="10168" xr:uid="{00000000-0005-0000-0000-00005ECD0000}"/>
    <cellStyle name="Remarque 5 13 6 2" xfId="34180" xr:uid="{00000000-0005-0000-0000-00005FCD0000}"/>
    <cellStyle name="Remarque 5 13 6 2 2" xfId="58140" xr:uid="{00000000-0005-0000-0000-000060CD0000}"/>
    <cellStyle name="Remarque 5 13 6 3" xfId="21433" xr:uid="{00000000-0005-0000-0000-000061CD0000}"/>
    <cellStyle name="Remarque 5 13 6 4" xfId="45393" xr:uid="{00000000-0005-0000-0000-000062CD0000}"/>
    <cellStyle name="Remarque 5 13 7" xfId="12377" xr:uid="{00000000-0005-0000-0000-000063CD0000}"/>
    <cellStyle name="Remarque 5 13 7 2" xfId="23666" xr:uid="{00000000-0005-0000-0000-000064CD0000}"/>
    <cellStyle name="Remarque 5 13 7 3" xfId="47626" xr:uid="{00000000-0005-0000-0000-000065CD0000}"/>
    <cellStyle name="Remarque 5 13 8" xfId="3108" xr:uid="{00000000-0005-0000-0000-000066CD0000}"/>
    <cellStyle name="Remarque 5 13 8 2" xfId="27122" xr:uid="{00000000-0005-0000-0000-000067CD0000}"/>
    <cellStyle name="Remarque 5 13 8 3" xfId="51082" xr:uid="{00000000-0005-0000-0000-000068CD0000}"/>
    <cellStyle name="Remarque 5 13 9" xfId="24234" xr:uid="{00000000-0005-0000-0000-000069CD0000}"/>
    <cellStyle name="Remarque 5 13 9 2" xfId="48194" xr:uid="{00000000-0005-0000-0000-00006ACD0000}"/>
    <cellStyle name="Remarque 5 14" xfId="3076" xr:uid="{00000000-0005-0000-0000-00006BCD0000}"/>
    <cellStyle name="Remarque 5 14 2" xfId="27090" xr:uid="{00000000-0005-0000-0000-00006CCD0000}"/>
    <cellStyle name="Remarque 5 14 2 2" xfId="51050" xr:uid="{00000000-0005-0000-0000-00006DCD0000}"/>
    <cellStyle name="Remarque 5 14 3" xfId="14337" xr:uid="{00000000-0005-0000-0000-00006ECD0000}"/>
    <cellStyle name="Remarque 5 14 4" xfId="38297" xr:uid="{00000000-0005-0000-0000-00006FCD0000}"/>
    <cellStyle name="Remarque 5 15" xfId="1634" xr:uid="{00000000-0005-0000-0000-000070CD0000}"/>
    <cellStyle name="Remarque 5 15 2" xfId="25648" xr:uid="{00000000-0005-0000-0000-000071CD0000}"/>
    <cellStyle name="Remarque 5 15 3" xfId="49608" xr:uid="{00000000-0005-0000-0000-000072CD0000}"/>
    <cellStyle name="Remarque 5 16" xfId="12914" xr:uid="{00000000-0005-0000-0000-000073CD0000}"/>
    <cellStyle name="Remarque 5 17" xfId="12910" xr:uid="{00000000-0005-0000-0000-000074CD0000}"/>
    <cellStyle name="Remarque 5 18" xfId="170" xr:uid="{00000000-0005-0000-0000-000075CD0000}"/>
    <cellStyle name="Remarque 5 2" xfId="68" xr:uid="{00000000-0005-0000-0000-000076CD0000}"/>
    <cellStyle name="Remarque 5 2 10" xfId="1362" xr:uid="{00000000-0005-0000-0000-000077CD0000}"/>
    <cellStyle name="Remarque 5 2 10 10" xfId="25394" xr:uid="{00000000-0005-0000-0000-000078CD0000}"/>
    <cellStyle name="Remarque 5 2 10 10 2" xfId="49354" xr:uid="{00000000-0005-0000-0000-000079CD0000}"/>
    <cellStyle name="Remarque 5 2 10 11" xfId="36060" xr:uid="{00000000-0005-0000-0000-00007ACD0000}"/>
    <cellStyle name="Remarque 5 2 10 11 2" xfId="60020" xr:uid="{00000000-0005-0000-0000-00007BCD0000}"/>
    <cellStyle name="Remarque 5 2 10 12" xfId="14059" xr:uid="{00000000-0005-0000-0000-00007CCD0000}"/>
    <cellStyle name="Remarque 5 2 10 13" xfId="38019" xr:uid="{00000000-0005-0000-0000-00007DCD0000}"/>
    <cellStyle name="Remarque 5 2 10 2" xfId="4268" xr:uid="{00000000-0005-0000-0000-00007ECD0000}"/>
    <cellStyle name="Remarque 5 2 10 2 2" xfId="28282" xr:uid="{00000000-0005-0000-0000-00007FCD0000}"/>
    <cellStyle name="Remarque 5 2 10 2 2 2" xfId="52242" xr:uid="{00000000-0005-0000-0000-000080CD0000}"/>
    <cellStyle name="Remarque 5 2 10 2 3" xfId="15529" xr:uid="{00000000-0005-0000-0000-000081CD0000}"/>
    <cellStyle name="Remarque 5 2 10 2 4" xfId="39489" xr:uid="{00000000-0005-0000-0000-000082CD0000}"/>
    <cellStyle name="Remarque 5 2 10 3" xfId="5702" xr:uid="{00000000-0005-0000-0000-000083CD0000}"/>
    <cellStyle name="Remarque 5 2 10 3 2" xfId="29716" xr:uid="{00000000-0005-0000-0000-000084CD0000}"/>
    <cellStyle name="Remarque 5 2 10 3 2 2" xfId="53676" xr:uid="{00000000-0005-0000-0000-000085CD0000}"/>
    <cellStyle name="Remarque 5 2 10 3 3" xfId="16963" xr:uid="{00000000-0005-0000-0000-000086CD0000}"/>
    <cellStyle name="Remarque 5 2 10 3 4" xfId="40923" xr:uid="{00000000-0005-0000-0000-000087CD0000}"/>
    <cellStyle name="Remarque 5 2 10 4" xfId="7096" xr:uid="{00000000-0005-0000-0000-000088CD0000}"/>
    <cellStyle name="Remarque 5 2 10 4 2" xfId="31110" xr:uid="{00000000-0005-0000-0000-000089CD0000}"/>
    <cellStyle name="Remarque 5 2 10 4 2 2" xfId="55070" xr:uid="{00000000-0005-0000-0000-00008ACD0000}"/>
    <cellStyle name="Remarque 5 2 10 4 3" xfId="18357" xr:uid="{00000000-0005-0000-0000-00008BCD0000}"/>
    <cellStyle name="Remarque 5 2 10 4 4" xfId="42317" xr:uid="{00000000-0005-0000-0000-00008CCD0000}"/>
    <cellStyle name="Remarque 5 2 10 5" xfId="8484" xr:uid="{00000000-0005-0000-0000-00008DCD0000}"/>
    <cellStyle name="Remarque 5 2 10 5 2" xfId="32498" xr:uid="{00000000-0005-0000-0000-00008ECD0000}"/>
    <cellStyle name="Remarque 5 2 10 5 2 2" xfId="56458" xr:uid="{00000000-0005-0000-0000-00008FCD0000}"/>
    <cellStyle name="Remarque 5 2 10 5 3" xfId="19745" xr:uid="{00000000-0005-0000-0000-000090CD0000}"/>
    <cellStyle name="Remarque 5 2 10 5 4" xfId="43705" xr:uid="{00000000-0005-0000-0000-000091CD0000}"/>
    <cellStyle name="Remarque 5 2 10 6" xfId="9869" xr:uid="{00000000-0005-0000-0000-000092CD0000}"/>
    <cellStyle name="Remarque 5 2 10 6 2" xfId="33883" xr:uid="{00000000-0005-0000-0000-000093CD0000}"/>
    <cellStyle name="Remarque 5 2 10 6 2 2" xfId="57843" xr:uid="{00000000-0005-0000-0000-000094CD0000}"/>
    <cellStyle name="Remarque 5 2 10 6 3" xfId="21130" xr:uid="{00000000-0005-0000-0000-000095CD0000}"/>
    <cellStyle name="Remarque 5 2 10 6 4" xfId="45090" xr:uid="{00000000-0005-0000-0000-000096CD0000}"/>
    <cellStyle name="Remarque 5 2 10 7" xfId="11326" xr:uid="{00000000-0005-0000-0000-000097CD0000}"/>
    <cellStyle name="Remarque 5 2 10 7 2" xfId="35336" xr:uid="{00000000-0005-0000-0000-000098CD0000}"/>
    <cellStyle name="Remarque 5 2 10 7 2 2" xfId="59296" xr:uid="{00000000-0005-0000-0000-000099CD0000}"/>
    <cellStyle name="Remarque 5 2 10 7 3" xfId="22593" xr:uid="{00000000-0005-0000-0000-00009ACD0000}"/>
    <cellStyle name="Remarque 5 2 10 7 4" xfId="46553" xr:uid="{00000000-0005-0000-0000-00009BCD0000}"/>
    <cellStyle name="Remarque 5 2 10 8" xfId="12028" xr:uid="{00000000-0005-0000-0000-00009CCD0000}"/>
    <cellStyle name="Remarque 5 2 10 8 2" xfId="23307" xr:uid="{00000000-0005-0000-0000-00009DCD0000}"/>
    <cellStyle name="Remarque 5 2 10 8 3" xfId="47267" xr:uid="{00000000-0005-0000-0000-00009ECD0000}"/>
    <cellStyle name="Remarque 5 2 10 9" xfId="2798" xr:uid="{00000000-0005-0000-0000-00009FCD0000}"/>
    <cellStyle name="Remarque 5 2 10 9 2" xfId="26812" xr:uid="{00000000-0005-0000-0000-0000A0CD0000}"/>
    <cellStyle name="Remarque 5 2 10 9 3" xfId="50772" xr:uid="{00000000-0005-0000-0000-0000A1CD0000}"/>
    <cellStyle name="Remarque 5 2 11" xfId="1573" xr:uid="{00000000-0005-0000-0000-0000A2CD0000}"/>
    <cellStyle name="Remarque 5 2 11 10" xfId="25605" xr:uid="{00000000-0005-0000-0000-0000A3CD0000}"/>
    <cellStyle name="Remarque 5 2 11 10 2" xfId="49565" xr:uid="{00000000-0005-0000-0000-0000A4CD0000}"/>
    <cellStyle name="Remarque 5 2 11 11" xfId="24098" xr:uid="{00000000-0005-0000-0000-0000A5CD0000}"/>
    <cellStyle name="Remarque 5 2 11 11 2" xfId="48058" xr:uid="{00000000-0005-0000-0000-0000A6CD0000}"/>
    <cellStyle name="Remarque 5 2 11 12" xfId="14270" xr:uid="{00000000-0005-0000-0000-0000A7CD0000}"/>
    <cellStyle name="Remarque 5 2 11 13" xfId="38230" xr:uid="{00000000-0005-0000-0000-0000A8CD0000}"/>
    <cellStyle name="Remarque 5 2 11 2" xfId="4479" xr:uid="{00000000-0005-0000-0000-0000A9CD0000}"/>
    <cellStyle name="Remarque 5 2 11 2 2" xfId="28493" xr:uid="{00000000-0005-0000-0000-0000AACD0000}"/>
    <cellStyle name="Remarque 5 2 11 2 2 2" xfId="52453" xr:uid="{00000000-0005-0000-0000-0000ABCD0000}"/>
    <cellStyle name="Remarque 5 2 11 2 3" xfId="15740" xr:uid="{00000000-0005-0000-0000-0000ACCD0000}"/>
    <cellStyle name="Remarque 5 2 11 2 4" xfId="39700" xr:uid="{00000000-0005-0000-0000-0000ADCD0000}"/>
    <cellStyle name="Remarque 5 2 11 3" xfId="5913" xr:uid="{00000000-0005-0000-0000-0000AECD0000}"/>
    <cellStyle name="Remarque 5 2 11 3 2" xfId="29927" xr:uid="{00000000-0005-0000-0000-0000AFCD0000}"/>
    <cellStyle name="Remarque 5 2 11 3 2 2" xfId="53887" xr:uid="{00000000-0005-0000-0000-0000B0CD0000}"/>
    <cellStyle name="Remarque 5 2 11 3 3" xfId="17174" xr:uid="{00000000-0005-0000-0000-0000B1CD0000}"/>
    <cellStyle name="Remarque 5 2 11 3 4" xfId="41134" xr:uid="{00000000-0005-0000-0000-0000B2CD0000}"/>
    <cellStyle name="Remarque 5 2 11 4" xfId="7307" xr:uid="{00000000-0005-0000-0000-0000B3CD0000}"/>
    <cellStyle name="Remarque 5 2 11 4 2" xfId="31321" xr:uid="{00000000-0005-0000-0000-0000B4CD0000}"/>
    <cellStyle name="Remarque 5 2 11 4 2 2" xfId="55281" xr:uid="{00000000-0005-0000-0000-0000B5CD0000}"/>
    <cellStyle name="Remarque 5 2 11 4 3" xfId="18568" xr:uid="{00000000-0005-0000-0000-0000B6CD0000}"/>
    <cellStyle name="Remarque 5 2 11 4 4" xfId="42528" xr:uid="{00000000-0005-0000-0000-0000B7CD0000}"/>
    <cellStyle name="Remarque 5 2 11 5" xfId="8695" xr:uid="{00000000-0005-0000-0000-0000B8CD0000}"/>
    <cellStyle name="Remarque 5 2 11 5 2" xfId="32709" xr:uid="{00000000-0005-0000-0000-0000B9CD0000}"/>
    <cellStyle name="Remarque 5 2 11 5 2 2" xfId="56669" xr:uid="{00000000-0005-0000-0000-0000BACD0000}"/>
    <cellStyle name="Remarque 5 2 11 5 3" xfId="19956" xr:uid="{00000000-0005-0000-0000-0000BBCD0000}"/>
    <cellStyle name="Remarque 5 2 11 5 4" xfId="43916" xr:uid="{00000000-0005-0000-0000-0000BCCD0000}"/>
    <cellStyle name="Remarque 5 2 11 6" xfId="10080" xr:uid="{00000000-0005-0000-0000-0000BDCD0000}"/>
    <cellStyle name="Remarque 5 2 11 6 2" xfId="34094" xr:uid="{00000000-0005-0000-0000-0000BECD0000}"/>
    <cellStyle name="Remarque 5 2 11 6 2 2" xfId="58054" xr:uid="{00000000-0005-0000-0000-0000BFCD0000}"/>
    <cellStyle name="Remarque 5 2 11 6 3" xfId="21341" xr:uid="{00000000-0005-0000-0000-0000C0CD0000}"/>
    <cellStyle name="Remarque 5 2 11 6 4" xfId="45301" xr:uid="{00000000-0005-0000-0000-0000C1CD0000}"/>
    <cellStyle name="Remarque 5 2 11 7" xfId="11537" xr:uid="{00000000-0005-0000-0000-0000C2CD0000}"/>
    <cellStyle name="Remarque 5 2 11 7 2" xfId="35547" xr:uid="{00000000-0005-0000-0000-0000C3CD0000}"/>
    <cellStyle name="Remarque 5 2 11 7 2 2" xfId="59507" xr:uid="{00000000-0005-0000-0000-0000C4CD0000}"/>
    <cellStyle name="Remarque 5 2 11 7 3" xfId="22804" xr:uid="{00000000-0005-0000-0000-0000C5CD0000}"/>
    <cellStyle name="Remarque 5 2 11 7 4" xfId="46764" xr:uid="{00000000-0005-0000-0000-0000C6CD0000}"/>
    <cellStyle name="Remarque 5 2 11 8" xfId="12149" xr:uid="{00000000-0005-0000-0000-0000C7CD0000}"/>
    <cellStyle name="Remarque 5 2 11 8 2" xfId="23432" xr:uid="{00000000-0005-0000-0000-0000C8CD0000}"/>
    <cellStyle name="Remarque 5 2 11 8 3" xfId="47392" xr:uid="{00000000-0005-0000-0000-0000C9CD0000}"/>
    <cellStyle name="Remarque 5 2 11 9" xfId="3009" xr:uid="{00000000-0005-0000-0000-0000CACD0000}"/>
    <cellStyle name="Remarque 5 2 11 9 2" xfId="27023" xr:uid="{00000000-0005-0000-0000-0000CBCD0000}"/>
    <cellStyle name="Remarque 5 2 11 9 3" xfId="50983" xr:uid="{00000000-0005-0000-0000-0000CCCD0000}"/>
    <cellStyle name="Remarque 5 2 12" xfId="1538" xr:uid="{00000000-0005-0000-0000-0000CDCD0000}"/>
    <cellStyle name="Remarque 5 2 12 10" xfId="25570" xr:uid="{00000000-0005-0000-0000-0000CECD0000}"/>
    <cellStyle name="Remarque 5 2 12 10 2" xfId="49530" xr:uid="{00000000-0005-0000-0000-0000CFCD0000}"/>
    <cellStyle name="Remarque 5 2 12 11" xfId="34212" xr:uid="{00000000-0005-0000-0000-0000D0CD0000}"/>
    <cellStyle name="Remarque 5 2 12 11 2" xfId="58172" xr:uid="{00000000-0005-0000-0000-0000D1CD0000}"/>
    <cellStyle name="Remarque 5 2 12 12" xfId="14235" xr:uid="{00000000-0005-0000-0000-0000D2CD0000}"/>
    <cellStyle name="Remarque 5 2 12 13" xfId="38195" xr:uid="{00000000-0005-0000-0000-0000D3CD0000}"/>
    <cellStyle name="Remarque 5 2 12 2" xfId="4444" xr:uid="{00000000-0005-0000-0000-0000D4CD0000}"/>
    <cellStyle name="Remarque 5 2 12 2 2" xfId="28458" xr:uid="{00000000-0005-0000-0000-0000D5CD0000}"/>
    <cellStyle name="Remarque 5 2 12 2 2 2" xfId="52418" xr:uid="{00000000-0005-0000-0000-0000D6CD0000}"/>
    <cellStyle name="Remarque 5 2 12 2 3" xfId="15705" xr:uid="{00000000-0005-0000-0000-0000D7CD0000}"/>
    <cellStyle name="Remarque 5 2 12 2 4" xfId="39665" xr:uid="{00000000-0005-0000-0000-0000D8CD0000}"/>
    <cellStyle name="Remarque 5 2 12 3" xfId="5878" xr:uid="{00000000-0005-0000-0000-0000D9CD0000}"/>
    <cellStyle name="Remarque 5 2 12 3 2" xfId="29892" xr:uid="{00000000-0005-0000-0000-0000DACD0000}"/>
    <cellStyle name="Remarque 5 2 12 3 2 2" xfId="53852" xr:uid="{00000000-0005-0000-0000-0000DBCD0000}"/>
    <cellStyle name="Remarque 5 2 12 3 3" xfId="17139" xr:uid="{00000000-0005-0000-0000-0000DCCD0000}"/>
    <cellStyle name="Remarque 5 2 12 3 4" xfId="41099" xr:uid="{00000000-0005-0000-0000-0000DDCD0000}"/>
    <cellStyle name="Remarque 5 2 12 4" xfId="7272" xr:uid="{00000000-0005-0000-0000-0000DECD0000}"/>
    <cellStyle name="Remarque 5 2 12 4 2" xfId="31286" xr:uid="{00000000-0005-0000-0000-0000DFCD0000}"/>
    <cellStyle name="Remarque 5 2 12 4 2 2" xfId="55246" xr:uid="{00000000-0005-0000-0000-0000E0CD0000}"/>
    <cellStyle name="Remarque 5 2 12 4 3" xfId="18533" xr:uid="{00000000-0005-0000-0000-0000E1CD0000}"/>
    <cellStyle name="Remarque 5 2 12 4 4" xfId="42493" xr:uid="{00000000-0005-0000-0000-0000E2CD0000}"/>
    <cellStyle name="Remarque 5 2 12 5" xfId="8660" xr:uid="{00000000-0005-0000-0000-0000E3CD0000}"/>
    <cellStyle name="Remarque 5 2 12 5 2" xfId="32674" xr:uid="{00000000-0005-0000-0000-0000E4CD0000}"/>
    <cellStyle name="Remarque 5 2 12 5 2 2" xfId="56634" xr:uid="{00000000-0005-0000-0000-0000E5CD0000}"/>
    <cellStyle name="Remarque 5 2 12 5 3" xfId="19921" xr:uid="{00000000-0005-0000-0000-0000E6CD0000}"/>
    <cellStyle name="Remarque 5 2 12 5 4" xfId="43881" xr:uid="{00000000-0005-0000-0000-0000E7CD0000}"/>
    <cellStyle name="Remarque 5 2 12 6" xfId="10045" xr:uid="{00000000-0005-0000-0000-0000E8CD0000}"/>
    <cellStyle name="Remarque 5 2 12 6 2" xfId="34059" xr:uid="{00000000-0005-0000-0000-0000E9CD0000}"/>
    <cellStyle name="Remarque 5 2 12 6 2 2" xfId="58019" xr:uid="{00000000-0005-0000-0000-0000EACD0000}"/>
    <cellStyle name="Remarque 5 2 12 6 3" xfId="21306" xr:uid="{00000000-0005-0000-0000-0000EBCD0000}"/>
    <cellStyle name="Remarque 5 2 12 6 4" xfId="45266" xr:uid="{00000000-0005-0000-0000-0000ECCD0000}"/>
    <cellStyle name="Remarque 5 2 12 7" xfId="11502" xr:uid="{00000000-0005-0000-0000-0000EDCD0000}"/>
    <cellStyle name="Remarque 5 2 12 7 2" xfId="35512" xr:uid="{00000000-0005-0000-0000-0000EECD0000}"/>
    <cellStyle name="Remarque 5 2 12 7 2 2" xfId="59472" xr:uid="{00000000-0005-0000-0000-0000EFCD0000}"/>
    <cellStyle name="Remarque 5 2 12 7 3" xfId="22769" xr:uid="{00000000-0005-0000-0000-0000F0CD0000}"/>
    <cellStyle name="Remarque 5 2 12 7 4" xfId="46729" xr:uid="{00000000-0005-0000-0000-0000F1CD0000}"/>
    <cellStyle name="Remarque 5 2 12 8" xfId="12271" xr:uid="{00000000-0005-0000-0000-0000F2CD0000}"/>
    <cellStyle name="Remarque 5 2 12 8 2" xfId="23557" xr:uid="{00000000-0005-0000-0000-0000F3CD0000}"/>
    <cellStyle name="Remarque 5 2 12 8 3" xfId="47517" xr:uid="{00000000-0005-0000-0000-0000F4CD0000}"/>
    <cellStyle name="Remarque 5 2 12 9" xfId="2974" xr:uid="{00000000-0005-0000-0000-0000F5CD0000}"/>
    <cellStyle name="Remarque 5 2 12 9 2" xfId="26988" xr:uid="{00000000-0005-0000-0000-0000F6CD0000}"/>
    <cellStyle name="Remarque 5 2 12 9 3" xfId="50948" xr:uid="{00000000-0005-0000-0000-0000F7CD0000}"/>
    <cellStyle name="Remarque 5 2 13" xfId="1590" xr:uid="{00000000-0005-0000-0000-0000F8CD0000}"/>
    <cellStyle name="Remarque 5 2 13 10" xfId="25622" xr:uid="{00000000-0005-0000-0000-0000F9CD0000}"/>
    <cellStyle name="Remarque 5 2 13 10 2" xfId="49582" xr:uid="{00000000-0005-0000-0000-0000FACD0000}"/>
    <cellStyle name="Remarque 5 2 13 11" xfId="36849" xr:uid="{00000000-0005-0000-0000-0000FBCD0000}"/>
    <cellStyle name="Remarque 5 2 13 11 2" xfId="60809" xr:uid="{00000000-0005-0000-0000-0000FCCD0000}"/>
    <cellStyle name="Remarque 5 2 13 12" xfId="14287" xr:uid="{00000000-0005-0000-0000-0000FDCD0000}"/>
    <cellStyle name="Remarque 5 2 13 13" xfId="38247" xr:uid="{00000000-0005-0000-0000-0000FECD0000}"/>
    <cellStyle name="Remarque 5 2 13 2" xfId="4496" xr:uid="{00000000-0005-0000-0000-0000FFCD0000}"/>
    <cellStyle name="Remarque 5 2 13 2 2" xfId="28510" xr:uid="{00000000-0005-0000-0000-000000CE0000}"/>
    <cellStyle name="Remarque 5 2 13 2 2 2" xfId="52470" xr:uid="{00000000-0005-0000-0000-000001CE0000}"/>
    <cellStyle name="Remarque 5 2 13 2 3" xfId="15757" xr:uid="{00000000-0005-0000-0000-000002CE0000}"/>
    <cellStyle name="Remarque 5 2 13 2 4" xfId="39717" xr:uid="{00000000-0005-0000-0000-000003CE0000}"/>
    <cellStyle name="Remarque 5 2 13 3" xfId="5930" xr:uid="{00000000-0005-0000-0000-000004CE0000}"/>
    <cellStyle name="Remarque 5 2 13 3 2" xfId="29944" xr:uid="{00000000-0005-0000-0000-000005CE0000}"/>
    <cellStyle name="Remarque 5 2 13 3 2 2" xfId="53904" xr:uid="{00000000-0005-0000-0000-000006CE0000}"/>
    <cellStyle name="Remarque 5 2 13 3 3" xfId="17191" xr:uid="{00000000-0005-0000-0000-000007CE0000}"/>
    <cellStyle name="Remarque 5 2 13 3 4" xfId="41151" xr:uid="{00000000-0005-0000-0000-000008CE0000}"/>
    <cellStyle name="Remarque 5 2 13 4" xfId="7324" xr:uid="{00000000-0005-0000-0000-000009CE0000}"/>
    <cellStyle name="Remarque 5 2 13 4 2" xfId="31338" xr:uid="{00000000-0005-0000-0000-00000ACE0000}"/>
    <cellStyle name="Remarque 5 2 13 4 2 2" xfId="55298" xr:uid="{00000000-0005-0000-0000-00000BCE0000}"/>
    <cellStyle name="Remarque 5 2 13 4 3" xfId="18585" xr:uid="{00000000-0005-0000-0000-00000CCE0000}"/>
    <cellStyle name="Remarque 5 2 13 4 4" xfId="42545" xr:uid="{00000000-0005-0000-0000-00000DCE0000}"/>
    <cellStyle name="Remarque 5 2 13 5" xfId="8712" xr:uid="{00000000-0005-0000-0000-00000ECE0000}"/>
    <cellStyle name="Remarque 5 2 13 5 2" xfId="32726" xr:uid="{00000000-0005-0000-0000-00000FCE0000}"/>
    <cellStyle name="Remarque 5 2 13 5 2 2" xfId="56686" xr:uid="{00000000-0005-0000-0000-000010CE0000}"/>
    <cellStyle name="Remarque 5 2 13 5 3" xfId="19973" xr:uid="{00000000-0005-0000-0000-000011CE0000}"/>
    <cellStyle name="Remarque 5 2 13 5 4" xfId="43933" xr:uid="{00000000-0005-0000-0000-000012CE0000}"/>
    <cellStyle name="Remarque 5 2 13 6" xfId="10097" xr:uid="{00000000-0005-0000-0000-000013CE0000}"/>
    <cellStyle name="Remarque 5 2 13 6 2" xfId="34111" xr:uid="{00000000-0005-0000-0000-000014CE0000}"/>
    <cellStyle name="Remarque 5 2 13 6 2 2" xfId="58071" xr:uid="{00000000-0005-0000-0000-000015CE0000}"/>
    <cellStyle name="Remarque 5 2 13 6 3" xfId="21358" xr:uid="{00000000-0005-0000-0000-000016CE0000}"/>
    <cellStyle name="Remarque 5 2 13 6 4" xfId="45318" xr:uid="{00000000-0005-0000-0000-000017CE0000}"/>
    <cellStyle name="Remarque 5 2 13 7" xfId="11554" xr:uid="{00000000-0005-0000-0000-000018CE0000}"/>
    <cellStyle name="Remarque 5 2 13 7 2" xfId="35564" xr:uid="{00000000-0005-0000-0000-000019CE0000}"/>
    <cellStyle name="Remarque 5 2 13 7 2 2" xfId="59524" xr:uid="{00000000-0005-0000-0000-00001ACE0000}"/>
    <cellStyle name="Remarque 5 2 13 7 3" xfId="22821" xr:uid="{00000000-0005-0000-0000-00001BCE0000}"/>
    <cellStyle name="Remarque 5 2 13 7 4" xfId="46781" xr:uid="{00000000-0005-0000-0000-00001CCE0000}"/>
    <cellStyle name="Remarque 5 2 13 8" xfId="10199" xr:uid="{00000000-0005-0000-0000-00001DCE0000}"/>
    <cellStyle name="Remarque 5 2 13 8 2" xfId="21465" xr:uid="{00000000-0005-0000-0000-00001ECE0000}"/>
    <cellStyle name="Remarque 5 2 13 8 3" xfId="45425" xr:uid="{00000000-0005-0000-0000-00001FCE0000}"/>
    <cellStyle name="Remarque 5 2 13 9" xfId="3026" xr:uid="{00000000-0005-0000-0000-000020CE0000}"/>
    <cellStyle name="Remarque 5 2 13 9 2" xfId="27040" xr:uid="{00000000-0005-0000-0000-000021CE0000}"/>
    <cellStyle name="Remarque 5 2 13 9 3" xfId="51000" xr:uid="{00000000-0005-0000-0000-000022CE0000}"/>
    <cellStyle name="Remarque 5 2 14" xfId="215" xr:uid="{00000000-0005-0000-0000-000023CE0000}"/>
    <cellStyle name="Remarque 5 2 14 10" xfId="36616" xr:uid="{00000000-0005-0000-0000-000024CE0000}"/>
    <cellStyle name="Remarque 5 2 14 10 2" xfId="60576" xr:uid="{00000000-0005-0000-0000-000025CE0000}"/>
    <cellStyle name="Remarque 5 2 14 11" xfId="14382" xr:uid="{00000000-0005-0000-0000-000026CE0000}"/>
    <cellStyle name="Remarque 5 2 14 12" xfId="38342" xr:uid="{00000000-0005-0000-0000-000027CE0000}"/>
    <cellStyle name="Remarque 5 2 14 2" xfId="4560" xr:uid="{00000000-0005-0000-0000-000028CE0000}"/>
    <cellStyle name="Remarque 5 2 14 2 2" xfId="28574" xr:uid="{00000000-0005-0000-0000-000029CE0000}"/>
    <cellStyle name="Remarque 5 2 14 2 2 2" xfId="52534" xr:uid="{00000000-0005-0000-0000-00002ACE0000}"/>
    <cellStyle name="Remarque 5 2 14 2 3" xfId="15821" xr:uid="{00000000-0005-0000-0000-00002BCE0000}"/>
    <cellStyle name="Remarque 5 2 14 2 4" xfId="39781" xr:uid="{00000000-0005-0000-0000-00002CCE0000}"/>
    <cellStyle name="Remarque 5 2 14 3" xfId="5959" xr:uid="{00000000-0005-0000-0000-00002DCE0000}"/>
    <cellStyle name="Remarque 5 2 14 3 2" xfId="29973" xr:uid="{00000000-0005-0000-0000-00002ECE0000}"/>
    <cellStyle name="Remarque 5 2 14 3 2 2" xfId="53933" xr:uid="{00000000-0005-0000-0000-00002FCE0000}"/>
    <cellStyle name="Remarque 5 2 14 3 3" xfId="17220" xr:uid="{00000000-0005-0000-0000-000030CE0000}"/>
    <cellStyle name="Remarque 5 2 14 3 4" xfId="41180" xr:uid="{00000000-0005-0000-0000-000031CE0000}"/>
    <cellStyle name="Remarque 5 2 14 4" xfId="7353" xr:uid="{00000000-0005-0000-0000-000032CE0000}"/>
    <cellStyle name="Remarque 5 2 14 4 2" xfId="31367" xr:uid="{00000000-0005-0000-0000-000033CE0000}"/>
    <cellStyle name="Remarque 5 2 14 4 2 2" xfId="55327" xr:uid="{00000000-0005-0000-0000-000034CE0000}"/>
    <cellStyle name="Remarque 5 2 14 4 3" xfId="18614" xr:uid="{00000000-0005-0000-0000-000035CE0000}"/>
    <cellStyle name="Remarque 5 2 14 4 4" xfId="42574" xr:uid="{00000000-0005-0000-0000-000036CE0000}"/>
    <cellStyle name="Remarque 5 2 14 5" xfId="8741" xr:uid="{00000000-0005-0000-0000-000037CE0000}"/>
    <cellStyle name="Remarque 5 2 14 5 2" xfId="32755" xr:uid="{00000000-0005-0000-0000-000038CE0000}"/>
    <cellStyle name="Remarque 5 2 14 5 2 2" xfId="56715" xr:uid="{00000000-0005-0000-0000-000039CE0000}"/>
    <cellStyle name="Remarque 5 2 14 5 3" xfId="20002" xr:uid="{00000000-0005-0000-0000-00003ACE0000}"/>
    <cellStyle name="Remarque 5 2 14 5 4" xfId="43962" xr:uid="{00000000-0005-0000-0000-00003BCE0000}"/>
    <cellStyle name="Remarque 5 2 14 6" xfId="10181" xr:uid="{00000000-0005-0000-0000-00003CCE0000}"/>
    <cellStyle name="Remarque 5 2 14 6 2" xfId="34193" xr:uid="{00000000-0005-0000-0000-00003DCE0000}"/>
    <cellStyle name="Remarque 5 2 14 6 2 2" xfId="58153" xr:uid="{00000000-0005-0000-0000-00003ECE0000}"/>
    <cellStyle name="Remarque 5 2 14 6 3" xfId="21446" xr:uid="{00000000-0005-0000-0000-00003FCE0000}"/>
    <cellStyle name="Remarque 5 2 14 6 4" xfId="45406" xr:uid="{00000000-0005-0000-0000-000040CE0000}"/>
    <cellStyle name="Remarque 5 2 14 7" xfId="12355" xr:uid="{00000000-0005-0000-0000-000041CE0000}"/>
    <cellStyle name="Remarque 5 2 14 7 2" xfId="23644" xr:uid="{00000000-0005-0000-0000-000042CE0000}"/>
    <cellStyle name="Remarque 5 2 14 7 3" xfId="47604" xr:uid="{00000000-0005-0000-0000-000043CE0000}"/>
    <cellStyle name="Remarque 5 2 14 8" xfId="3121" xr:uid="{00000000-0005-0000-0000-000044CE0000}"/>
    <cellStyle name="Remarque 5 2 14 8 2" xfId="27135" xr:uid="{00000000-0005-0000-0000-000045CE0000}"/>
    <cellStyle name="Remarque 5 2 14 8 3" xfId="51095" xr:uid="{00000000-0005-0000-0000-000046CE0000}"/>
    <cellStyle name="Remarque 5 2 14 9" xfId="24247" xr:uid="{00000000-0005-0000-0000-000047CE0000}"/>
    <cellStyle name="Remarque 5 2 14 9 2" xfId="48207" xr:uid="{00000000-0005-0000-0000-000048CE0000}"/>
    <cellStyle name="Remarque 5 2 15" xfId="3090" xr:uid="{00000000-0005-0000-0000-000049CE0000}"/>
    <cellStyle name="Remarque 5 2 15 2" xfId="27104" xr:uid="{00000000-0005-0000-0000-00004ACE0000}"/>
    <cellStyle name="Remarque 5 2 15 2 2" xfId="51064" xr:uid="{00000000-0005-0000-0000-00004BCE0000}"/>
    <cellStyle name="Remarque 5 2 15 3" xfId="14351" xr:uid="{00000000-0005-0000-0000-00004CCE0000}"/>
    <cellStyle name="Remarque 5 2 15 4" xfId="38311" xr:uid="{00000000-0005-0000-0000-00004DCE0000}"/>
    <cellStyle name="Remarque 5 2 16" xfId="4529" xr:uid="{00000000-0005-0000-0000-00004ECE0000}"/>
    <cellStyle name="Remarque 5 2 16 2" xfId="28543" xr:uid="{00000000-0005-0000-0000-00004FCE0000}"/>
    <cellStyle name="Remarque 5 2 16 2 2" xfId="52503" xr:uid="{00000000-0005-0000-0000-000050CE0000}"/>
    <cellStyle name="Remarque 5 2 16 3" xfId="15790" xr:uid="{00000000-0005-0000-0000-000051CE0000}"/>
    <cellStyle name="Remarque 5 2 16 4" xfId="39750" xr:uid="{00000000-0005-0000-0000-000052CE0000}"/>
    <cellStyle name="Remarque 5 2 17" xfId="3060" xr:uid="{00000000-0005-0000-0000-000053CE0000}"/>
    <cellStyle name="Remarque 5 2 17 2" xfId="27074" xr:uid="{00000000-0005-0000-0000-000054CE0000}"/>
    <cellStyle name="Remarque 5 2 17 2 2" xfId="51034" xr:uid="{00000000-0005-0000-0000-000055CE0000}"/>
    <cellStyle name="Remarque 5 2 17 3" xfId="14321" xr:uid="{00000000-0005-0000-0000-000056CE0000}"/>
    <cellStyle name="Remarque 5 2 17 4" xfId="38281" xr:uid="{00000000-0005-0000-0000-000057CE0000}"/>
    <cellStyle name="Remarque 5 2 18" xfId="4509" xr:uid="{00000000-0005-0000-0000-000058CE0000}"/>
    <cellStyle name="Remarque 5 2 18 2" xfId="28523" xr:uid="{00000000-0005-0000-0000-000059CE0000}"/>
    <cellStyle name="Remarque 5 2 18 2 2" xfId="52483" xr:uid="{00000000-0005-0000-0000-00005ACE0000}"/>
    <cellStyle name="Remarque 5 2 18 3" xfId="15770" xr:uid="{00000000-0005-0000-0000-00005BCE0000}"/>
    <cellStyle name="Remarque 5 2 18 4" xfId="39730" xr:uid="{00000000-0005-0000-0000-00005CCE0000}"/>
    <cellStyle name="Remarque 5 2 19" xfId="4513" xr:uid="{00000000-0005-0000-0000-00005DCE0000}"/>
    <cellStyle name="Remarque 5 2 19 2" xfId="28527" xr:uid="{00000000-0005-0000-0000-00005ECE0000}"/>
    <cellStyle name="Remarque 5 2 19 2 2" xfId="52487" xr:uid="{00000000-0005-0000-0000-00005FCE0000}"/>
    <cellStyle name="Remarque 5 2 19 3" xfId="15774" xr:uid="{00000000-0005-0000-0000-000060CE0000}"/>
    <cellStyle name="Remarque 5 2 19 4" xfId="39734" xr:uid="{00000000-0005-0000-0000-000061CE0000}"/>
    <cellStyle name="Remarque 5 2 2" xfId="104" xr:uid="{00000000-0005-0000-0000-000062CE0000}"/>
    <cellStyle name="Remarque 5 2 2 10" xfId="3163" xr:uid="{00000000-0005-0000-0000-000063CE0000}"/>
    <cellStyle name="Remarque 5 2 2 10 2" xfId="27177" xr:uid="{00000000-0005-0000-0000-000064CE0000}"/>
    <cellStyle name="Remarque 5 2 2 10 2 2" xfId="51137" xr:uid="{00000000-0005-0000-0000-000065CE0000}"/>
    <cellStyle name="Remarque 5 2 2 10 3" xfId="14424" xr:uid="{00000000-0005-0000-0000-000066CE0000}"/>
    <cellStyle name="Remarque 5 2 2 10 4" xfId="38384" xr:uid="{00000000-0005-0000-0000-000067CE0000}"/>
    <cellStyle name="Remarque 5 2 2 11" xfId="4597" xr:uid="{00000000-0005-0000-0000-000068CE0000}"/>
    <cellStyle name="Remarque 5 2 2 11 2" xfId="28611" xr:uid="{00000000-0005-0000-0000-000069CE0000}"/>
    <cellStyle name="Remarque 5 2 2 11 2 2" xfId="52571" xr:uid="{00000000-0005-0000-0000-00006ACE0000}"/>
    <cellStyle name="Remarque 5 2 2 11 3" xfId="15858" xr:uid="{00000000-0005-0000-0000-00006BCE0000}"/>
    <cellStyle name="Remarque 5 2 2 11 4" xfId="39818" xr:uid="{00000000-0005-0000-0000-00006CCE0000}"/>
    <cellStyle name="Remarque 5 2 2 12" xfId="5991" xr:uid="{00000000-0005-0000-0000-00006DCE0000}"/>
    <cellStyle name="Remarque 5 2 2 12 2" xfId="30005" xr:uid="{00000000-0005-0000-0000-00006ECE0000}"/>
    <cellStyle name="Remarque 5 2 2 12 2 2" xfId="53965" xr:uid="{00000000-0005-0000-0000-00006FCE0000}"/>
    <cellStyle name="Remarque 5 2 2 12 3" xfId="17252" xr:uid="{00000000-0005-0000-0000-000070CE0000}"/>
    <cellStyle name="Remarque 5 2 2 12 4" xfId="41212" xr:uid="{00000000-0005-0000-0000-000071CE0000}"/>
    <cellStyle name="Remarque 5 2 2 13" xfId="7379" xr:uid="{00000000-0005-0000-0000-000072CE0000}"/>
    <cellStyle name="Remarque 5 2 2 13 2" xfId="31393" xr:uid="{00000000-0005-0000-0000-000073CE0000}"/>
    <cellStyle name="Remarque 5 2 2 13 2 2" xfId="55353" xr:uid="{00000000-0005-0000-0000-000074CE0000}"/>
    <cellStyle name="Remarque 5 2 2 13 3" xfId="18640" xr:uid="{00000000-0005-0000-0000-000075CE0000}"/>
    <cellStyle name="Remarque 5 2 2 13 4" xfId="42600" xr:uid="{00000000-0005-0000-0000-000076CE0000}"/>
    <cellStyle name="Remarque 5 2 2 14" xfId="8764" xr:uid="{00000000-0005-0000-0000-000077CE0000}"/>
    <cellStyle name="Remarque 5 2 2 14 2" xfId="32778" xr:uid="{00000000-0005-0000-0000-000078CE0000}"/>
    <cellStyle name="Remarque 5 2 2 14 2 2" xfId="56738" xr:uid="{00000000-0005-0000-0000-000079CE0000}"/>
    <cellStyle name="Remarque 5 2 2 14 3" xfId="20025" xr:uid="{00000000-0005-0000-0000-00007ACE0000}"/>
    <cellStyle name="Remarque 5 2 2 14 4" xfId="43985" xr:uid="{00000000-0005-0000-0000-00007BCE0000}"/>
    <cellStyle name="Remarque 5 2 2 15" xfId="10221" xr:uid="{00000000-0005-0000-0000-00007CCE0000}"/>
    <cellStyle name="Remarque 5 2 2 15 2" xfId="34231" xr:uid="{00000000-0005-0000-0000-00007DCE0000}"/>
    <cellStyle name="Remarque 5 2 2 15 2 2" xfId="58191" xr:uid="{00000000-0005-0000-0000-00007ECE0000}"/>
    <cellStyle name="Remarque 5 2 2 15 3" xfId="21488" xr:uid="{00000000-0005-0000-0000-00007FCE0000}"/>
    <cellStyle name="Remarque 5 2 2 15 4" xfId="45448" xr:uid="{00000000-0005-0000-0000-000080CE0000}"/>
    <cellStyle name="Remarque 5 2 2 16" xfId="12519" xr:uid="{00000000-0005-0000-0000-000081CE0000}"/>
    <cellStyle name="Remarque 5 2 2 16 2" xfId="23816" xr:uid="{00000000-0005-0000-0000-000082CE0000}"/>
    <cellStyle name="Remarque 5 2 2 16 3" xfId="47776" xr:uid="{00000000-0005-0000-0000-000083CE0000}"/>
    <cellStyle name="Remarque 5 2 2 17" xfId="1693" xr:uid="{00000000-0005-0000-0000-000084CE0000}"/>
    <cellStyle name="Remarque 5 2 2 17 2" xfId="25707" xr:uid="{00000000-0005-0000-0000-000085CE0000}"/>
    <cellStyle name="Remarque 5 2 2 17 3" xfId="49667" xr:uid="{00000000-0005-0000-0000-000086CE0000}"/>
    <cellStyle name="Remarque 5 2 2 18" xfId="24289" xr:uid="{00000000-0005-0000-0000-000087CE0000}"/>
    <cellStyle name="Remarque 5 2 2 18 2" xfId="48249" xr:uid="{00000000-0005-0000-0000-000088CE0000}"/>
    <cellStyle name="Remarque 5 2 2 19" xfId="36682" xr:uid="{00000000-0005-0000-0000-000089CE0000}"/>
    <cellStyle name="Remarque 5 2 2 19 2" xfId="60642" xr:uid="{00000000-0005-0000-0000-00008ACE0000}"/>
    <cellStyle name="Remarque 5 2 2 2" xfId="432" xr:uid="{00000000-0005-0000-0000-00008BCE0000}"/>
    <cellStyle name="Remarque 5 2 2 2 10" xfId="6166" xr:uid="{00000000-0005-0000-0000-00008CCE0000}"/>
    <cellStyle name="Remarque 5 2 2 2 10 2" xfId="30180" xr:uid="{00000000-0005-0000-0000-00008DCE0000}"/>
    <cellStyle name="Remarque 5 2 2 2 10 2 2" xfId="54140" xr:uid="{00000000-0005-0000-0000-00008ECE0000}"/>
    <cellStyle name="Remarque 5 2 2 2 10 3" xfId="17427" xr:uid="{00000000-0005-0000-0000-00008FCE0000}"/>
    <cellStyle name="Remarque 5 2 2 2 10 4" xfId="41387" xr:uid="{00000000-0005-0000-0000-000090CE0000}"/>
    <cellStyle name="Remarque 5 2 2 2 11" xfId="7554" xr:uid="{00000000-0005-0000-0000-000091CE0000}"/>
    <cellStyle name="Remarque 5 2 2 2 11 2" xfId="31568" xr:uid="{00000000-0005-0000-0000-000092CE0000}"/>
    <cellStyle name="Remarque 5 2 2 2 11 2 2" xfId="55528" xr:uid="{00000000-0005-0000-0000-000093CE0000}"/>
    <cellStyle name="Remarque 5 2 2 2 11 3" xfId="18815" xr:uid="{00000000-0005-0000-0000-000094CE0000}"/>
    <cellStyle name="Remarque 5 2 2 2 11 4" xfId="42775" xr:uid="{00000000-0005-0000-0000-000095CE0000}"/>
    <cellStyle name="Remarque 5 2 2 2 12" xfId="8939" xr:uid="{00000000-0005-0000-0000-000096CE0000}"/>
    <cellStyle name="Remarque 5 2 2 2 12 2" xfId="32953" xr:uid="{00000000-0005-0000-0000-000097CE0000}"/>
    <cellStyle name="Remarque 5 2 2 2 12 2 2" xfId="56913" xr:uid="{00000000-0005-0000-0000-000098CE0000}"/>
    <cellStyle name="Remarque 5 2 2 2 12 3" xfId="20200" xr:uid="{00000000-0005-0000-0000-000099CE0000}"/>
    <cellStyle name="Remarque 5 2 2 2 12 4" xfId="44160" xr:uid="{00000000-0005-0000-0000-00009ACE0000}"/>
    <cellStyle name="Remarque 5 2 2 2 13" xfId="10396" xr:uid="{00000000-0005-0000-0000-00009BCE0000}"/>
    <cellStyle name="Remarque 5 2 2 2 13 2" xfId="34406" xr:uid="{00000000-0005-0000-0000-00009CCE0000}"/>
    <cellStyle name="Remarque 5 2 2 2 13 2 2" xfId="58366" xr:uid="{00000000-0005-0000-0000-00009DCE0000}"/>
    <cellStyle name="Remarque 5 2 2 2 13 3" xfId="21663" xr:uid="{00000000-0005-0000-0000-00009ECE0000}"/>
    <cellStyle name="Remarque 5 2 2 2 13 4" xfId="45623" xr:uid="{00000000-0005-0000-0000-00009FCE0000}"/>
    <cellStyle name="Remarque 5 2 2 2 14" xfId="10110" xr:uid="{00000000-0005-0000-0000-0000A0CE0000}"/>
    <cellStyle name="Remarque 5 2 2 2 14 2" xfId="21371" xr:uid="{00000000-0005-0000-0000-0000A1CE0000}"/>
    <cellStyle name="Remarque 5 2 2 2 14 3" xfId="45331" xr:uid="{00000000-0005-0000-0000-0000A2CE0000}"/>
    <cellStyle name="Remarque 5 2 2 2 15" xfId="1868" xr:uid="{00000000-0005-0000-0000-0000A3CE0000}"/>
    <cellStyle name="Remarque 5 2 2 2 15 2" xfId="25882" xr:uid="{00000000-0005-0000-0000-0000A4CE0000}"/>
    <cellStyle name="Remarque 5 2 2 2 15 3" xfId="49842" xr:uid="{00000000-0005-0000-0000-0000A5CE0000}"/>
    <cellStyle name="Remarque 5 2 2 2 16" xfId="24464" xr:uid="{00000000-0005-0000-0000-0000A6CE0000}"/>
    <cellStyle name="Remarque 5 2 2 2 16 2" xfId="48424" xr:uid="{00000000-0005-0000-0000-0000A7CE0000}"/>
    <cellStyle name="Remarque 5 2 2 2 17" xfId="36763" xr:uid="{00000000-0005-0000-0000-0000A8CE0000}"/>
    <cellStyle name="Remarque 5 2 2 2 17 2" xfId="60723" xr:uid="{00000000-0005-0000-0000-0000A9CE0000}"/>
    <cellStyle name="Remarque 5 2 2 2 18" xfId="13129" xr:uid="{00000000-0005-0000-0000-0000AACE0000}"/>
    <cellStyle name="Remarque 5 2 2 2 19" xfId="37089" xr:uid="{00000000-0005-0000-0000-0000ABCE0000}"/>
    <cellStyle name="Remarque 5 2 2 2 2" xfId="568" xr:uid="{00000000-0005-0000-0000-0000ACCE0000}"/>
    <cellStyle name="Remarque 5 2 2 2 2 10" xfId="24600" xr:uid="{00000000-0005-0000-0000-0000ADCE0000}"/>
    <cellStyle name="Remarque 5 2 2 2 2 10 2" xfId="48560" xr:uid="{00000000-0005-0000-0000-0000AECE0000}"/>
    <cellStyle name="Remarque 5 2 2 2 2 11" xfId="36310" xr:uid="{00000000-0005-0000-0000-0000AFCE0000}"/>
    <cellStyle name="Remarque 5 2 2 2 2 11 2" xfId="60270" xr:uid="{00000000-0005-0000-0000-0000B0CE0000}"/>
    <cellStyle name="Remarque 5 2 2 2 2 12" xfId="13265" xr:uid="{00000000-0005-0000-0000-0000B1CE0000}"/>
    <cellStyle name="Remarque 5 2 2 2 2 13" xfId="37225" xr:uid="{00000000-0005-0000-0000-0000B2CE0000}"/>
    <cellStyle name="Remarque 5 2 2 2 2 2" xfId="3474" xr:uid="{00000000-0005-0000-0000-0000B3CE0000}"/>
    <cellStyle name="Remarque 5 2 2 2 2 2 2" xfId="27488" xr:uid="{00000000-0005-0000-0000-0000B4CE0000}"/>
    <cellStyle name="Remarque 5 2 2 2 2 2 2 2" xfId="51448" xr:uid="{00000000-0005-0000-0000-0000B5CE0000}"/>
    <cellStyle name="Remarque 5 2 2 2 2 2 3" xfId="14735" xr:uid="{00000000-0005-0000-0000-0000B6CE0000}"/>
    <cellStyle name="Remarque 5 2 2 2 2 2 4" xfId="38695" xr:uid="{00000000-0005-0000-0000-0000B7CE0000}"/>
    <cellStyle name="Remarque 5 2 2 2 2 3" xfId="4908" xr:uid="{00000000-0005-0000-0000-0000B8CE0000}"/>
    <cellStyle name="Remarque 5 2 2 2 2 3 2" xfId="28922" xr:uid="{00000000-0005-0000-0000-0000B9CE0000}"/>
    <cellStyle name="Remarque 5 2 2 2 2 3 2 2" xfId="52882" xr:uid="{00000000-0005-0000-0000-0000BACE0000}"/>
    <cellStyle name="Remarque 5 2 2 2 2 3 3" xfId="16169" xr:uid="{00000000-0005-0000-0000-0000BBCE0000}"/>
    <cellStyle name="Remarque 5 2 2 2 2 3 4" xfId="40129" xr:uid="{00000000-0005-0000-0000-0000BCCE0000}"/>
    <cellStyle name="Remarque 5 2 2 2 2 4" xfId="6302" xr:uid="{00000000-0005-0000-0000-0000BDCE0000}"/>
    <cellStyle name="Remarque 5 2 2 2 2 4 2" xfId="30316" xr:uid="{00000000-0005-0000-0000-0000BECE0000}"/>
    <cellStyle name="Remarque 5 2 2 2 2 4 2 2" xfId="54276" xr:uid="{00000000-0005-0000-0000-0000BFCE0000}"/>
    <cellStyle name="Remarque 5 2 2 2 2 4 3" xfId="17563" xr:uid="{00000000-0005-0000-0000-0000C0CE0000}"/>
    <cellStyle name="Remarque 5 2 2 2 2 4 4" xfId="41523" xr:uid="{00000000-0005-0000-0000-0000C1CE0000}"/>
    <cellStyle name="Remarque 5 2 2 2 2 5" xfId="7690" xr:uid="{00000000-0005-0000-0000-0000C2CE0000}"/>
    <cellStyle name="Remarque 5 2 2 2 2 5 2" xfId="31704" xr:uid="{00000000-0005-0000-0000-0000C3CE0000}"/>
    <cellStyle name="Remarque 5 2 2 2 2 5 2 2" xfId="55664" xr:uid="{00000000-0005-0000-0000-0000C4CE0000}"/>
    <cellStyle name="Remarque 5 2 2 2 2 5 3" xfId="18951" xr:uid="{00000000-0005-0000-0000-0000C5CE0000}"/>
    <cellStyle name="Remarque 5 2 2 2 2 5 4" xfId="42911" xr:uid="{00000000-0005-0000-0000-0000C6CE0000}"/>
    <cellStyle name="Remarque 5 2 2 2 2 6" xfId="9075" xr:uid="{00000000-0005-0000-0000-0000C7CE0000}"/>
    <cellStyle name="Remarque 5 2 2 2 2 6 2" xfId="33089" xr:uid="{00000000-0005-0000-0000-0000C8CE0000}"/>
    <cellStyle name="Remarque 5 2 2 2 2 6 2 2" xfId="57049" xr:uid="{00000000-0005-0000-0000-0000C9CE0000}"/>
    <cellStyle name="Remarque 5 2 2 2 2 6 3" xfId="20336" xr:uid="{00000000-0005-0000-0000-0000CACE0000}"/>
    <cellStyle name="Remarque 5 2 2 2 2 6 4" xfId="44296" xr:uid="{00000000-0005-0000-0000-0000CBCE0000}"/>
    <cellStyle name="Remarque 5 2 2 2 2 7" xfId="10532" xr:uid="{00000000-0005-0000-0000-0000CCCE0000}"/>
    <cellStyle name="Remarque 5 2 2 2 2 7 2" xfId="34542" xr:uid="{00000000-0005-0000-0000-0000CDCE0000}"/>
    <cellStyle name="Remarque 5 2 2 2 2 7 2 2" xfId="58502" xr:uid="{00000000-0005-0000-0000-0000CECE0000}"/>
    <cellStyle name="Remarque 5 2 2 2 2 7 3" xfId="21799" xr:uid="{00000000-0005-0000-0000-0000CFCE0000}"/>
    <cellStyle name="Remarque 5 2 2 2 2 7 4" xfId="45759" xr:uid="{00000000-0005-0000-0000-0000D0CE0000}"/>
    <cellStyle name="Remarque 5 2 2 2 2 8" xfId="12836" xr:uid="{00000000-0005-0000-0000-0000D1CE0000}"/>
    <cellStyle name="Remarque 5 2 2 2 2 8 2" xfId="24147" xr:uid="{00000000-0005-0000-0000-0000D2CE0000}"/>
    <cellStyle name="Remarque 5 2 2 2 2 8 3" xfId="48107" xr:uid="{00000000-0005-0000-0000-0000D3CE0000}"/>
    <cellStyle name="Remarque 5 2 2 2 2 9" xfId="2004" xr:uid="{00000000-0005-0000-0000-0000D4CE0000}"/>
    <cellStyle name="Remarque 5 2 2 2 2 9 2" xfId="26018" xr:uid="{00000000-0005-0000-0000-0000D5CE0000}"/>
    <cellStyle name="Remarque 5 2 2 2 2 9 3" xfId="49978" xr:uid="{00000000-0005-0000-0000-0000D6CE0000}"/>
    <cellStyle name="Remarque 5 2 2 2 3" xfId="760" xr:uid="{00000000-0005-0000-0000-0000D7CE0000}"/>
    <cellStyle name="Remarque 5 2 2 2 3 10" xfId="24792" xr:uid="{00000000-0005-0000-0000-0000D8CE0000}"/>
    <cellStyle name="Remarque 5 2 2 2 3 10 2" xfId="48752" xr:uid="{00000000-0005-0000-0000-0000D9CE0000}"/>
    <cellStyle name="Remarque 5 2 2 2 3 11" xfId="36621" xr:uid="{00000000-0005-0000-0000-0000DACE0000}"/>
    <cellStyle name="Remarque 5 2 2 2 3 11 2" xfId="60581" xr:uid="{00000000-0005-0000-0000-0000DBCE0000}"/>
    <cellStyle name="Remarque 5 2 2 2 3 12" xfId="13457" xr:uid="{00000000-0005-0000-0000-0000DCCE0000}"/>
    <cellStyle name="Remarque 5 2 2 2 3 13" xfId="37417" xr:uid="{00000000-0005-0000-0000-0000DDCE0000}"/>
    <cellStyle name="Remarque 5 2 2 2 3 2" xfId="3666" xr:uid="{00000000-0005-0000-0000-0000DECE0000}"/>
    <cellStyle name="Remarque 5 2 2 2 3 2 2" xfId="27680" xr:uid="{00000000-0005-0000-0000-0000DFCE0000}"/>
    <cellStyle name="Remarque 5 2 2 2 3 2 2 2" xfId="51640" xr:uid="{00000000-0005-0000-0000-0000E0CE0000}"/>
    <cellStyle name="Remarque 5 2 2 2 3 2 3" xfId="14927" xr:uid="{00000000-0005-0000-0000-0000E1CE0000}"/>
    <cellStyle name="Remarque 5 2 2 2 3 2 4" xfId="38887" xr:uid="{00000000-0005-0000-0000-0000E2CE0000}"/>
    <cellStyle name="Remarque 5 2 2 2 3 3" xfId="5100" xr:uid="{00000000-0005-0000-0000-0000E3CE0000}"/>
    <cellStyle name="Remarque 5 2 2 2 3 3 2" xfId="29114" xr:uid="{00000000-0005-0000-0000-0000E4CE0000}"/>
    <cellStyle name="Remarque 5 2 2 2 3 3 2 2" xfId="53074" xr:uid="{00000000-0005-0000-0000-0000E5CE0000}"/>
    <cellStyle name="Remarque 5 2 2 2 3 3 3" xfId="16361" xr:uid="{00000000-0005-0000-0000-0000E6CE0000}"/>
    <cellStyle name="Remarque 5 2 2 2 3 3 4" xfId="40321" xr:uid="{00000000-0005-0000-0000-0000E7CE0000}"/>
    <cellStyle name="Remarque 5 2 2 2 3 4" xfId="6494" xr:uid="{00000000-0005-0000-0000-0000E8CE0000}"/>
    <cellStyle name="Remarque 5 2 2 2 3 4 2" xfId="30508" xr:uid="{00000000-0005-0000-0000-0000E9CE0000}"/>
    <cellStyle name="Remarque 5 2 2 2 3 4 2 2" xfId="54468" xr:uid="{00000000-0005-0000-0000-0000EACE0000}"/>
    <cellStyle name="Remarque 5 2 2 2 3 4 3" xfId="17755" xr:uid="{00000000-0005-0000-0000-0000EBCE0000}"/>
    <cellStyle name="Remarque 5 2 2 2 3 4 4" xfId="41715" xr:uid="{00000000-0005-0000-0000-0000ECCE0000}"/>
    <cellStyle name="Remarque 5 2 2 2 3 5" xfId="7882" xr:uid="{00000000-0005-0000-0000-0000EDCE0000}"/>
    <cellStyle name="Remarque 5 2 2 2 3 5 2" xfId="31896" xr:uid="{00000000-0005-0000-0000-0000EECE0000}"/>
    <cellStyle name="Remarque 5 2 2 2 3 5 2 2" xfId="55856" xr:uid="{00000000-0005-0000-0000-0000EFCE0000}"/>
    <cellStyle name="Remarque 5 2 2 2 3 5 3" xfId="19143" xr:uid="{00000000-0005-0000-0000-0000F0CE0000}"/>
    <cellStyle name="Remarque 5 2 2 2 3 5 4" xfId="43103" xr:uid="{00000000-0005-0000-0000-0000F1CE0000}"/>
    <cellStyle name="Remarque 5 2 2 2 3 6" xfId="9267" xr:uid="{00000000-0005-0000-0000-0000F2CE0000}"/>
    <cellStyle name="Remarque 5 2 2 2 3 6 2" xfId="33281" xr:uid="{00000000-0005-0000-0000-0000F3CE0000}"/>
    <cellStyle name="Remarque 5 2 2 2 3 6 2 2" xfId="57241" xr:uid="{00000000-0005-0000-0000-0000F4CE0000}"/>
    <cellStyle name="Remarque 5 2 2 2 3 6 3" xfId="20528" xr:uid="{00000000-0005-0000-0000-0000F5CE0000}"/>
    <cellStyle name="Remarque 5 2 2 2 3 6 4" xfId="44488" xr:uid="{00000000-0005-0000-0000-0000F6CE0000}"/>
    <cellStyle name="Remarque 5 2 2 2 3 7" xfId="10724" xr:uid="{00000000-0005-0000-0000-0000F7CE0000}"/>
    <cellStyle name="Remarque 5 2 2 2 3 7 2" xfId="34734" xr:uid="{00000000-0005-0000-0000-0000F8CE0000}"/>
    <cellStyle name="Remarque 5 2 2 2 3 7 2 2" xfId="58694" xr:uid="{00000000-0005-0000-0000-0000F9CE0000}"/>
    <cellStyle name="Remarque 5 2 2 2 3 7 3" xfId="21991" xr:uid="{00000000-0005-0000-0000-0000FACE0000}"/>
    <cellStyle name="Remarque 5 2 2 2 3 7 4" xfId="45951" xr:uid="{00000000-0005-0000-0000-0000FBCE0000}"/>
    <cellStyle name="Remarque 5 2 2 2 3 8" xfId="12513" xr:uid="{00000000-0005-0000-0000-0000FCCE0000}"/>
    <cellStyle name="Remarque 5 2 2 2 3 8 2" xfId="23810" xr:uid="{00000000-0005-0000-0000-0000FDCE0000}"/>
    <cellStyle name="Remarque 5 2 2 2 3 8 3" xfId="47770" xr:uid="{00000000-0005-0000-0000-0000FECE0000}"/>
    <cellStyle name="Remarque 5 2 2 2 3 9" xfId="2196" xr:uid="{00000000-0005-0000-0000-0000FFCE0000}"/>
    <cellStyle name="Remarque 5 2 2 2 3 9 2" xfId="26210" xr:uid="{00000000-0005-0000-0000-000000CF0000}"/>
    <cellStyle name="Remarque 5 2 2 2 3 9 3" xfId="50170" xr:uid="{00000000-0005-0000-0000-000001CF0000}"/>
    <cellStyle name="Remarque 5 2 2 2 4" xfId="954" xr:uid="{00000000-0005-0000-0000-000002CF0000}"/>
    <cellStyle name="Remarque 5 2 2 2 4 10" xfId="24986" xr:uid="{00000000-0005-0000-0000-000003CF0000}"/>
    <cellStyle name="Remarque 5 2 2 2 4 10 2" xfId="48946" xr:uid="{00000000-0005-0000-0000-000004CF0000}"/>
    <cellStyle name="Remarque 5 2 2 2 4 11" xfId="36619" xr:uid="{00000000-0005-0000-0000-000005CF0000}"/>
    <cellStyle name="Remarque 5 2 2 2 4 11 2" xfId="60579" xr:uid="{00000000-0005-0000-0000-000006CF0000}"/>
    <cellStyle name="Remarque 5 2 2 2 4 12" xfId="13651" xr:uid="{00000000-0005-0000-0000-000007CF0000}"/>
    <cellStyle name="Remarque 5 2 2 2 4 13" xfId="37611" xr:uid="{00000000-0005-0000-0000-000008CF0000}"/>
    <cellStyle name="Remarque 5 2 2 2 4 2" xfId="3860" xr:uid="{00000000-0005-0000-0000-000009CF0000}"/>
    <cellStyle name="Remarque 5 2 2 2 4 2 2" xfId="27874" xr:uid="{00000000-0005-0000-0000-00000ACF0000}"/>
    <cellStyle name="Remarque 5 2 2 2 4 2 2 2" xfId="51834" xr:uid="{00000000-0005-0000-0000-00000BCF0000}"/>
    <cellStyle name="Remarque 5 2 2 2 4 2 3" xfId="15121" xr:uid="{00000000-0005-0000-0000-00000CCF0000}"/>
    <cellStyle name="Remarque 5 2 2 2 4 2 4" xfId="39081" xr:uid="{00000000-0005-0000-0000-00000DCF0000}"/>
    <cellStyle name="Remarque 5 2 2 2 4 3" xfId="5294" xr:uid="{00000000-0005-0000-0000-00000ECF0000}"/>
    <cellStyle name="Remarque 5 2 2 2 4 3 2" xfId="29308" xr:uid="{00000000-0005-0000-0000-00000FCF0000}"/>
    <cellStyle name="Remarque 5 2 2 2 4 3 2 2" xfId="53268" xr:uid="{00000000-0005-0000-0000-000010CF0000}"/>
    <cellStyle name="Remarque 5 2 2 2 4 3 3" xfId="16555" xr:uid="{00000000-0005-0000-0000-000011CF0000}"/>
    <cellStyle name="Remarque 5 2 2 2 4 3 4" xfId="40515" xr:uid="{00000000-0005-0000-0000-000012CF0000}"/>
    <cellStyle name="Remarque 5 2 2 2 4 4" xfId="6688" xr:uid="{00000000-0005-0000-0000-000013CF0000}"/>
    <cellStyle name="Remarque 5 2 2 2 4 4 2" xfId="30702" xr:uid="{00000000-0005-0000-0000-000014CF0000}"/>
    <cellStyle name="Remarque 5 2 2 2 4 4 2 2" xfId="54662" xr:uid="{00000000-0005-0000-0000-000015CF0000}"/>
    <cellStyle name="Remarque 5 2 2 2 4 4 3" xfId="17949" xr:uid="{00000000-0005-0000-0000-000016CF0000}"/>
    <cellStyle name="Remarque 5 2 2 2 4 4 4" xfId="41909" xr:uid="{00000000-0005-0000-0000-000017CF0000}"/>
    <cellStyle name="Remarque 5 2 2 2 4 5" xfId="8076" xr:uid="{00000000-0005-0000-0000-000018CF0000}"/>
    <cellStyle name="Remarque 5 2 2 2 4 5 2" xfId="32090" xr:uid="{00000000-0005-0000-0000-000019CF0000}"/>
    <cellStyle name="Remarque 5 2 2 2 4 5 2 2" xfId="56050" xr:uid="{00000000-0005-0000-0000-00001ACF0000}"/>
    <cellStyle name="Remarque 5 2 2 2 4 5 3" xfId="19337" xr:uid="{00000000-0005-0000-0000-00001BCF0000}"/>
    <cellStyle name="Remarque 5 2 2 2 4 5 4" xfId="43297" xr:uid="{00000000-0005-0000-0000-00001CCF0000}"/>
    <cellStyle name="Remarque 5 2 2 2 4 6" xfId="9461" xr:uid="{00000000-0005-0000-0000-00001DCF0000}"/>
    <cellStyle name="Remarque 5 2 2 2 4 6 2" xfId="33475" xr:uid="{00000000-0005-0000-0000-00001ECF0000}"/>
    <cellStyle name="Remarque 5 2 2 2 4 6 2 2" xfId="57435" xr:uid="{00000000-0005-0000-0000-00001FCF0000}"/>
    <cellStyle name="Remarque 5 2 2 2 4 6 3" xfId="20722" xr:uid="{00000000-0005-0000-0000-000020CF0000}"/>
    <cellStyle name="Remarque 5 2 2 2 4 6 4" xfId="44682" xr:uid="{00000000-0005-0000-0000-000021CF0000}"/>
    <cellStyle name="Remarque 5 2 2 2 4 7" xfId="10918" xr:uid="{00000000-0005-0000-0000-000022CF0000}"/>
    <cellStyle name="Remarque 5 2 2 2 4 7 2" xfId="34928" xr:uid="{00000000-0005-0000-0000-000023CF0000}"/>
    <cellStyle name="Remarque 5 2 2 2 4 7 2 2" xfId="58888" xr:uid="{00000000-0005-0000-0000-000024CF0000}"/>
    <cellStyle name="Remarque 5 2 2 2 4 7 3" xfId="22185" xr:uid="{00000000-0005-0000-0000-000025CF0000}"/>
    <cellStyle name="Remarque 5 2 2 2 4 7 4" xfId="46145" xr:uid="{00000000-0005-0000-0000-000026CF0000}"/>
    <cellStyle name="Remarque 5 2 2 2 4 8" xfId="12437" xr:uid="{00000000-0005-0000-0000-000027CF0000}"/>
    <cellStyle name="Remarque 5 2 2 2 4 8 2" xfId="23729" xr:uid="{00000000-0005-0000-0000-000028CF0000}"/>
    <cellStyle name="Remarque 5 2 2 2 4 8 3" xfId="47689" xr:uid="{00000000-0005-0000-0000-000029CF0000}"/>
    <cellStyle name="Remarque 5 2 2 2 4 9" xfId="2390" xr:uid="{00000000-0005-0000-0000-00002ACF0000}"/>
    <cellStyle name="Remarque 5 2 2 2 4 9 2" xfId="26404" xr:uid="{00000000-0005-0000-0000-00002BCF0000}"/>
    <cellStyle name="Remarque 5 2 2 2 4 9 3" xfId="50364" xr:uid="{00000000-0005-0000-0000-00002CCF0000}"/>
    <cellStyle name="Remarque 5 2 2 2 5" xfId="1147" xr:uid="{00000000-0005-0000-0000-00002DCF0000}"/>
    <cellStyle name="Remarque 5 2 2 2 5 10" xfId="25179" xr:uid="{00000000-0005-0000-0000-00002ECF0000}"/>
    <cellStyle name="Remarque 5 2 2 2 5 10 2" xfId="49139" xr:uid="{00000000-0005-0000-0000-00002FCF0000}"/>
    <cellStyle name="Remarque 5 2 2 2 5 11" xfId="36658" xr:uid="{00000000-0005-0000-0000-000030CF0000}"/>
    <cellStyle name="Remarque 5 2 2 2 5 11 2" xfId="60618" xr:uid="{00000000-0005-0000-0000-000031CF0000}"/>
    <cellStyle name="Remarque 5 2 2 2 5 12" xfId="13844" xr:uid="{00000000-0005-0000-0000-000032CF0000}"/>
    <cellStyle name="Remarque 5 2 2 2 5 13" xfId="37804" xr:uid="{00000000-0005-0000-0000-000033CF0000}"/>
    <cellStyle name="Remarque 5 2 2 2 5 2" xfId="4053" xr:uid="{00000000-0005-0000-0000-000034CF0000}"/>
    <cellStyle name="Remarque 5 2 2 2 5 2 2" xfId="28067" xr:uid="{00000000-0005-0000-0000-000035CF0000}"/>
    <cellStyle name="Remarque 5 2 2 2 5 2 2 2" xfId="52027" xr:uid="{00000000-0005-0000-0000-000036CF0000}"/>
    <cellStyle name="Remarque 5 2 2 2 5 2 3" xfId="15314" xr:uid="{00000000-0005-0000-0000-000037CF0000}"/>
    <cellStyle name="Remarque 5 2 2 2 5 2 4" xfId="39274" xr:uid="{00000000-0005-0000-0000-000038CF0000}"/>
    <cellStyle name="Remarque 5 2 2 2 5 3" xfId="5487" xr:uid="{00000000-0005-0000-0000-000039CF0000}"/>
    <cellStyle name="Remarque 5 2 2 2 5 3 2" xfId="29501" xr:uid="{00000000-0005-0000-0000-00003ACF0000}"/>
    <cellStyle name="Remarque 5 2 2 2 5 3 2 2" xfId="53461" xr:uid="{00000000-0005-0000-0000-00003BCF0000}"/>
    <cellStyle name="Remarque 5 2 2 2 5 3 3" xfId="16748" xr:uid="{00000000-0005-0000-0000-00003CCF0000}"/>
    <cellStyle name="Remarque 5 2 2 2 5 3 4" xfId="40708" xr:uid="{00000000-0005-0000-0000-00003DCF0000}"/>
    <cellStyle name="Remarque 5 2 2 2 5 4" xfId="6881" xr:uid="{00000000-0005-0000-0000-00003ECF0000}"/>
    <cellStyle name="Remarque 5 2 2 2 5 4 2" xfId="30895" xr:uid="{00000000-0005-0000-0000-00003FCF0000}"/>
    <cellStyle name="Remarque 5 2 2 2 5 4 2 2" xfId="54855" xr:uid="{00000000-0005-0000-0000-000040CF0000}"/>
    <cellStyle name="Remarque 5 2 2 2 5 4 3" xfId="18142" xr:uid="{00000000-0005-0000-0000-000041CF0000}"/>
    <cellStyle name="Remarque 5 2 2 2 5 4 4" xfId="42102" xr:uid="{00000000-0005-0000-0000-000042CF0000}"/>
    <cellStyle name="Remarque 5 2 2 2 5 5" xfId="8269" xr:uid="{00000000-0005-0000-0000-000043CF0000}"/>
    <cellStyle name="Remarque 5 2 2 2 5 5 2" xfId="32283" xr:uid="{00000000-0005-0000-0000-000044CF0000}"/>
    <cellStyle name="Remarque 5 2 2 2 5 5 2 2" xfId="56243" xr:uid="{00000000-0005-0000-0000-000045CF0000}"/>
    <cellStyle name="Remarque 5 2 2 2 5 5 3" xfId="19530" xr:uid="{00000000-0005-0000-0000-000046CF0000}"/>
    <cellStyle name="Remarque 5 2 2 2 5 5 4" xfId="43490" xr:uid="{00000000-0005-0000-0000-000047CF0000}"/>
    <cellStyle name="Remarque 5 2 2 2 5 6" xfId="9654" xr:uid="{00000000-0005-0000-0000-000048CF0000}"/>
    <cellStyle name="Remarque 5 2 2 2 5 6 2" xfId="33668" xr:uid="{00000000-0005-0000-0000-000049CF0000}"/>
    <cellStyle name="Remarque 5 2 2 2 5 6 2 2" xfId="57628" xr:uid="{00000000-0005-0000-0000-00004ACF0000}"/>
    <cellStyle name="Remarque 5 2 2 2 5 6 3" xfId="20915" xr:uid="{00000000-0005-0000-0000-00004BCF0000}"/>
    <cellStyle name="Remarque 5 2 2 2 5 6 4" xfId="44875" xr:uid="{00000000-0005-0000-0000-00004CCF0000}"/>
    <cellStyle name="Remarque 5 2 2 2 5 7" xfId="11111" xr:uid="{00000000-0005-0000-0000-00004DCF0000}"/>
    <cellStyle name="Remarque 5 2 2 2 5 7 2" xfId="35121" xr:uid="{00000000-0005-0000-0000-00004ECF0000}"/>
    <cellStyle name="Remarque 5 2 2 2 5 7 2 2" xfId="59081" xr:uid="{00000000-0005-0000-0000-00004FCF0000}"/>
    <cellStyle name="Remarque 5 2 2 2 5 7 3" xfId="22378" xr:uid="{00000000-0005-0000-0000-000050CF0000}"/>
    <cellStyle name="Remarque 5 2 2 2 5 7 4" xfId="46338" xr:uid="{00000000-0005-0000-0000-000051CF0000}"/>
    <cellStyle name="Remarque 5 2 2 2 5 8" xfId="11647" xr:uid="{00000000-0005-0000-0000-000052CF0000}"/>
    <cellStyle name="Remarque 5 2 2 2 5 8 2" xfId="22915" xr:uid="{00000000-0005-0000-0000-000053CF0000}"/>
    <cellStyle name="Remarque 5 2 2 2 5 8 3" xfId="46875" xr:uid="{00000000-0005-0000-0000-000054CF0000}"/>
    <cellStyle name="Remarque 5 2 2 2 5 9" xfId="2583" xr:uid="{00000000-0005-0000-0000-000055CF0000}"/>
    <cellStyle name="Remarque 5 2 2 2 5 9 2" xfId="26597" xr:uid="{00000000-0005-0000-0000-000056CF0000}"/>
    <cellStyle name="Remarque 5 2 2 2 5 9 3" xfId="50557" xr:uid="{00000000-0005-0000-0000-000057CF0000}"/>
    <cellStyle name="Remarque 5 2 2 2 6" xfId="1314" xr:uid="{00000000-0005-0000-0000-000058CF0000}"/>
    <cellStyle name="Remarque 5 2 2 2 6 10" xfId="25346" xr:uid="{00000000-0005-0000-0000-000059CF0000}"/>
    <cellStyle name="Remarque 5 2 2 2 6 10 2" xfId="49306" xr:uid="{00000000-0005-0000-0000-00005ACF0000}"/>
    <cellStyle name="Remarque 5 2 2 2 6 11" xfId="36791" xr:uid="{00000000-0005-0000-0000-00005BCF0000}"/>
    <cellStyle name="Remarque 5 2 2 2 6 11 2" xfId="60751" xr:uid="{00000000-0005-0000-0000-00005CCF0000}"/>
    <cellStyle name="Remarque 5 2 2 2 6 12" xfId="14011" xr:uid="{00000000-0005-0000-0000-00005DCF0000}"/>
    <cellStyle name="Remarque 5 2 2 2 6 13" xfId="37971" xr:uid="{00000000-0005-0000-0000-00005ECF0000}"/>
    <cellStyle name="Remarque 5 2 2 2 6 2" xfId="4220" xr:uid="{00000000-0005-0000-0000-00005FCF0000}"/>
    <cellStyle name="Remarque 5 2 2 2 6 2 2" xfId="28234" xr:uid="{00000000-0005-0000-0000-000060CF0000}"/>
    <cellStyle name="Remarque 5 2 2 2 6 2 2 2" xfId="52194" xr:uid="{00000000-0005-0000-0000-000061CF0000}"/>
    <cellStyle name="Remarque 5 2 2 2 6 2 3" xfId="15481" xr:uid="{00000000-0005-0000-0000-000062CF0000}"/>
    <cellStyle name="Remarque 5 2 2 2 6 2 4" xfId="39441" xr:uid="{00000000-0005-0000-0000-000063CF0000}"/>
    <cellStyle name="Remarque 5 2 2 2 6 3" xfId="5654" xr:uid="{00000000-0005-0000-0000-000064CF0000}"/>
    <cellStyle name="Remarque 5 2 2 2 6 3 2" xfId="29668" xr:uid="{00000000-0005-0000-0000-000065CF0000}"/>
    <cellStyle name="Remarque 5 2 2 2 6 3 2 2" xfId="53628" xr:uid="{00000000-0005-0000-0000-000066CF0000}"/>
    <cellStyle name="Remarque 5 2 2 2 6 3 3" xfId="16915" xr:uid="{00000000-0005-0000-0000-000067CF0000}"/>
    <cellStyle name="Remarque 5 2 2 2 6 3 4" xfId="40875" xr:uid="{00000000-0005-0000-0000-000068CF0000}"/>
    <cellStyle name="Remarque 5 2 2 2 6 4" xfId="7048" xr:uid="{00000000-0005-0000-0000-000069CF0000}"/>
    <cellStyle name="Remarque 5 2 2 2 6 4 2" xfId="31062" xr:uid="{00000000-0005-0000-0000-00006ACF0000}"/>
    <cellStyle name="Remarque 5 2 2 2 6 4 2 2" xfId="55022" xr:uid="{00000000-0005-0000-0000-00006BCF0000}"/>
    <cellStyle name="Remarque 5 2 2 2 6 4 3" xfId="18309" xr:uid="{00000000-0005-0000-0000-00006CCF0000}"/>
    <cellStyle name="Remarque 5 2 2 2 6 4 4" xfId="42269" xr:uid="{00000000-0005-0000-0000-00006DCF0000}"/>
    <cellStyle name="Remarque 5 2 2 2 6 5" xfId="8436" xr:uid="{00000000-0005-0000-0000-00006ECF0000}"/>
    <cellStyle name="Remarque 5 2 2 2 6 5 2" xfId="32450" xr:uid="{00000000-0005-0000-0000-00006FCF0000}"/>
    <cellStyle name="Remarque 5 2 2 2 6 5 2 2" xfId="56410" xr:uid="{00000000-0005-0000-0000-000070CF0000}"/>
    <cellStyle name="Remarque 5 2 2 2 6 5 3" xfId="19697" xr:uid="{00000000-0005-0000-0000-000071CF0000}"/>
    <cellStyle name="Remarque 5 2 2 2 6 5 4" xfId="43657" xr:uid="{00000000-0005-0000-0000-000072CF0000}"/>
    <cellStyle name="Remarque 5 2 2 2 6 6" xfId="9821" xr:uid="{00000000-0005-0000-0000-000073CF0000}"/>
    <cellStyle name="Remarque 5 2 2 2 6 6 2" xfId="33835" xr:uid="{00000000-0005-0000-0000-000074CF0000}"/>
    <cellStyle name="Remarque 5 2 2 2 6 6 2 2" xfId="57795" xr:uid="{00000000-0005-0000-0000-000075CF0000}"/>
    <cellStyle name="Remarque 5 2 2 2 6 6 3" xfId="21082" xr:uid="{00000000-0005-0000-0000-000076CF0000}"/>
    <cellStyle name="Remarque 5 2 2 2 6 6 4" xfId="45042" xr:uid="{00000000-0005-0000-0000-000077CF0000}"/>
    <cellStyle name="Remarque 5 2 2 2 6 7" xfId="11278" xr:uid="{00000000-0005-0000-0000-000078CF0000}"/>
    <cellStyle name="Remarque 5 2 2 2 6 7 2" xfId="35288" xr:uid="{00000000-0005-0000-0000-000079CF0000}"/>
    <cellStyle name="Remarque 5 2 2 2 6 7 2 2" xfId="59248" xr:uid="{00000000-0005-0000-0000-00007ACF0000}"/>
    <cellStyle name="Remarque 5 2 2 2 6 7 3" xfId="22545" xr:uid="{00000000-0005-0000-0000-00007BCF0000}"/>
    <cellStyle name="Remarque 5 2 2 2 6 7 4" xfId="46505" xr:uid="{00000000-0005-0000-0000-00007CCF0000}"/>
    <cellStyle name="Remarque 5 2 2 2 6 8" xfId="11721" xr:uid="{00000000-0005-0000-0000-00007DCF0000}"/>
    <cellStyle name="Remarque 5 2 2 2 6 8 2" xfId="22992" xr:uid="{00000000-0005-0000-0000-00007ECF0000}"/>
    <cellStyle name="Remarque 5 2 2 2 6 8 3" xfId="46952" xr:uid="{00000000-0005-0000-0000-00007FCF0000}"/>
    <cellStyle name="Remarque 5 2 2 2 6 9" xfId="2750" xr:uid="{00000000-0005-0000-0000-000080CF0000}"/>
    <cellStyle name="Remarque 5 2 2 2 6 9 2" xfId="26764" xr:uid="{00000000-0005-0000-0000-000081CF0000}"/>
    <cellStyle name="Remarque 5 2 2 2 6 9 3" xfId="50724" xr:uid="{00000000-0005-0000-0000-000082CF0000}"/>
    <cellStyle name="Remarque 5 2 2 2 7" xfId="1483" xr:uid="{00000000-0005-0000-0000-000083CF0000}"/>
    <cellStyle name="Remarque 5 2 2 2 7 10" xfId="25515" xr:uid="{00000000-0005-0000-0000-000084CF0000}"/>
    <cellStyle name="Remarque 5 2 2 2 7 10 2" xfId="49475" xr:uid="{00000000-0005-0000-0000-000085CF0000}"/>
    <cellStyle name="Remarque 5 2 2 2 7 11" xfId="36764" xr:uid="{00000000-0005-0000-0000-000086CF0000}"/>
    <cellStyle name="Remarque 5 2 2 2 7 11 2" xfId="60724" xr:uid="{00000000-0005-0000-0000-000087CF0000}"/>
    <cellStyle name="Remarque 5 2 2 2 7 12" xfId="14180" xr:uid="{00000000-0005-0000-0000-000088CF0000}"/>
    <cellStyle name="Remarque 5 2 2 2 7 13" xfId="38140" xr:uid="{00000000-0005-0000-0000-000089CF0000}"/>
    <cellStyle name="Remarque 5 2 2 2 7 2" xfId="4389" xr:uid="{00000000-0005-0000-0000-00008ACF0000}"/>
    <cellStyle name="Remarque 5 2 2 2 7 2 2" xfId="28403" xr:uid="{00000000-0005-0000-0000-00008BCF0000}"/>
    <cellStyle name="Remarque 5 2 2 2 7 2 2 2" xfId="52363" xr:uid="{00000000-0005-0000-0000-00008CCF0000}"/>
    <cellStyle name="Remarque 5 2 2 2 7 2 3" xfId="15650" xr:uid="{00000000-0005-0000-0000-00008DCF0000}"/>
    <cellStyle name="Remarque 5 2 2 2 7 2 4" xfId="39610" xr:uid="{00000000-0005-0000-0000-00008ECF0000}"/>
    <cellStyle name="Remarque 5 2 2 2 7 3" xfId="5823" xr:uid="{00000000-0005-0000-0000-00008FCF0000}"/>
    <cellStyle name="Remarque 5 2 2 2 7 3 2" xfId="29837" xr:uid="{00000000-0005-0000-0000-000090CF0000}"/>
    <cellStyle name="Remarque 5 2 2 2 7 3 2 2" xfId="53797" xr:uid="{00000000-0005-0000-0000-000091CF0000}"/>
    <cellStyle name="Remarque 5 2 2 2 7 3 3" xfId="17084" xr:uid="{00000000-0005-0000-0000-000092CF0000}"/>
    <cellStyle name="Remarque 5 2 2 2 7 3 4" xfId="41044" xr:uid="{00000000-0005-0000-0000-000093CF0000}"/>
    <cellStyle name="Remarque 5 2 2 2 7 4" xfId="7217" xr:uid="{00000000-0005-0000-0000-000094CF0000}"/>
    <cellStyle name="Remarque 5 2 2 2 7 4 2" xfId="31231" xr:uid="{00000000-0005-0000-0000-000095CF0000}"/>
    <cellStyle name="Remarque 5 2 2 2 7 4 2 2" xfId="55191" xr:uid="{00000000-0005-0000-0000-000096CF0000}"/>
    <cellStyle name="Remarque 5 2 2 2 7 4 3" xfId="18478" xr:uid="{00000000-0005-0000-0000-000097CF0000}"/>
    <cellStyle name="Remarque 5 2 2 2 7 4 4" xfId="42438" xr:uid="{00000000-0005-0000-0000-000098CF0000}"/>
    <cellStyle name="Remarque 5 2 2 2 7 5" xfId="8605" xr:uid="{00000000-0005-0000-0000-000099CF0000}"/>
    <cellStyle name="Remarque 5 2 2 2 7 5 2" xfId="32619" xr:uid="{00000000-0005-0000-0000-00009ACF0000}"/>
    <cellStyle name="Remarque 5 2 2 2 7 5 2 2" xfId="56579" xr:uid="{00000000-0005-0000-0000-00009BCF0000}"/>
    <cellStyle name="Remarque 5 2 2 2 7 5 3" xfId="19866" xr:uid="{00000000-0005-0000-0000-00009CCF0000}"/>
    <cellStyle name="Remarque 5 2 2 2 7 5 4" xfId="43826" xr:uid="{00000000-0005-0000-0000-00009DCF0000}"/>
    <cellStyle name="Remarque 5 2 2 2 7 6" xfId="9990" xr:uid="{00000000-0005-0000-0000-00009ECF0000}"/>
    <cellStyle name="Remarque 5 2 2 2 7 6 2" xfId="34004" xr:uid="{00000000-0005-0000-0000-00009FCF0000}"/>
    <cellStyle name="Remarque 5 2 2 2 7 6 2 2" xfId="57964" xr:uid="{00000000-0005-0000-0000-0000A0CF0000}"/>
    <cellStyle name="Remarque 5 2 2 2 7 6 3" xfId="21251" xr:uid="{00000000-0005-0000-0000-0000A1CF0000}"/>
    <cellStyle name="Remarque 5 2 2 2 7 6 4" xfId="45211" xr:uid="{00000000-0005-0000-0000-0000A2CF0000}"/>
    <cellStyle name="Remarque 5 2 2 2 7 7" xfId="11447" xr:uid="{00000000-0005-0000-0000-0000A3CF0000}"/>
    <cellStyle name="Remarque 5 2 2 2 7 7 2" xfId="35457" xr:uid="{00000000-0005-0000-0000-0000A4CF0000}"/>
    <cellStyle name="Remarque 5 2 2 2 7 7 2 2" xfId="59417" xr:uid="{00000000-0005-0000-0000-0000A5CF0000}"/>
    <cellStyle name="Remarque 5 2 2 2 7 7 3" xfId="22714" xr:uid="{00000000-0005-0000-0000-0000A6CF0000}"/>
    <cellStyle name="Remarque 5 2 2 2 7 7 4" xfId="46674" xr:uid="{00000000-0005-0000-0000-0000A7CF0000}"/>
    <cellStyle name="Remarque 5 2 2 2 7 8" xfId="11714" xr:uid="{00000000-0005-0000-0000-0000A8CF0000}"/>
    <cellStyle name="Remarque 5 2 2 2 7 8 2" xfId="22984" xr:uid="{00000000-0005-0000-0000-0000A9CF0000}"/>
    <cellStyle name="Remarque 5 2 2 2 7 8 3" xfId="46944" xr:uid="{00000000-0005-0000-0000-0000AACF0000}"/>
    <cellStyle name="Remarque 5 2 2 2 7 9" xfId="2919" xr:uid="{00000000-0005-0000-0000-0000ABCF0000}"/>
    <cellStyle name="Remarque 5 2 2 2 7 9 2" xfId="26933" xr:uid="{00000000-0005-0000-0000-0000ACCF0000}"/>
    <cellStyle name="Remarque 5 2 2 2 7 9 3" xfId="50893" xr:uid="{00000000-0005-0000-0000-0000ADCF0000}"/>
    <cellStyle name="Remarque 5 2 2 2 8" xfId="3338" xr:uid="{00000000-0005-0000-0000-0000AECF0000}"/>
    <cellStyle name="Remarque 5 2 2 2 8 2" xfId="27352" xr:uid="{00000000-0005-0000-0000-0000AFCF0000}"/>
    <cellStyle name="Remarque 5 2 2 2 8 2 2" xfId="51312" xr:uid="{00000000-0005-0000-0000-0000B0CF0000}"/>
    <cellStyle name="Remarque 5 2 2 2 8 3" xfId="14599" xr:uid="{00000000-0005-0000-0000-0000B1CF0000}"/>
    <cellStyle name="Remarque 5 2 2 2 8 4" xfId="38559" xr:uid="{00000000-0005-0000-0000-0000B2CF0000}"/>
    <cellStyle name="Remarque 5 2 2 2 9" xfId="4772" xr:uid="{00000000-0005-0000-0000-0000B3CF0000}"/>
    <cellStyle name="Remarque 5 2 2 2 9 2" xfId="28786" xr:uid="{00000000-0005-0000-0000-0000B4CF0000}"/>
    <cellStyle name="Remarque 5 2 2 2 9 2 2" xfId="52746" xr:uid="{00000000-0005-0000-0000-0000B5CF0000}"/>
    <cellStyle name="Remarque 5 2 2 2 9 3" xfId="16033" xr:uid="{00000000-0005-0000-0000-0000B6CF0000}"/>
    <cellStyle name="Remarque 5 2 2 2 9 4" xfId="39993" xr:uid="{00000000-0005-0000-0000-0000B7CF0000}"/>
    <cellStyle name="Remarque 5 2 2 20" xfId="12954" xr:uid="{00000000-0005-0000-0000-0000B8CF0000}"/>
    <cellStyle name="Remarque 5 2 2 21" xfId="36914" xr:uid="{00000000-0005-0000-0000-0000B9CF0000}"/>
    <cellStyle name="Remarque 5 2 2 22" xfId="257" xr:uid="{00000000-0005-0000-0000-0000BACF0000}"/>
    <cellStyle name="Remarque 5 2 2 3" xfId="356" xr:uid="{00000000-0005-0000-0000-0000BBCF0000}"/>
    <cellStyle name="Remarque 5 2 2 3 10" xfId="24388" xr:uid="{00000000-0005-0000-0000-0000BCCF0000}"/>
    <cellStyle name="Remarque 5 2 2 3 10 2" xfId="48348" xr:uid="{00000000-0005-0000-0000-0000BDCF0000}"/>
    <cellStyle name="Remarque 5 2 2 3 11" xfId="36190" xr:uid="{00000000-0005-0000-0000-0000BECF0000}"/>
    <cellStyle name="Remarque 5 2 2 3 11 2" xfId="60150" xr:uid="{00000000-0005-0000-0000-0000BFCF0000}"/>
    <cellStyle name="Remarque 5 2 2 3 12" xfId="13053" xr:uid="{00000000-0005-0000-0000-0000C0CF0000}"/>
    <cellStyle name="Remarque 5 2 2 3 13" xfId="37013" xr:uid="{00000000-0005-0000-0000-0000C1CF0000}"/>
    <cellStyle name="Remarque 5 2 2 3 2" xfId="3262" xr:uid="{00000000-0005-0000-0000-0000C2CF0000}"/>
    <cellStyle name="Remarque 5 2 2 3 2 2" xfId="27276" xr:uid="{00000000-0005-0000-0000-0000C3CF0000}"/>
    <cellStyle name="Remarque 5 2 2 3 2 2 2" xfId="51236" xr:uid="{00000000-0005-0000-0000-0000C4CF0000}"/>
    <cellStyle name="Remarque 5 2 2 3 2 3" xfId="14523" xr:uid="{00000000-0005-0000-0000-0000C5CF0000}"/>
    <cellStyle name="Remarque 5 2 2 3 2 4" xfId="38483" xr:uid="{00000000-0005-0000-0000-0000C6CF0000}"/>
    <cellStyle name="Remarque 5 2 2 3 3" xfId="4696" xr:uid="{00000000-0005-0000-0000-0000C7CF0000}"/>
    <cellStyle name="Remarque 5 2 2 3 3 2" xfId="28710" xr:uid="{00000000-0005-0000-0000-0000C8CF0000}"/>
    <cellStyle name="Remarque 5 2 2 3 3 2 2" xfId="52670" xr:uid="{00000000-0005-0000-0000-0000C9CF0000}"/>
    <cellStyle name="Remarque 5 2 2 3 3 3" xfId="15957" xr:uid="{00000000-0005-0000-0000-0000CACF0000}"/>
    <cellStyle name="Remarque 5 2 2 3 3 4" xfId="39917" xr:uid="{00000000-0005-0000-0000-0000CBCF0000}"/>
    <cellStyle name="Remarque 5 2 2 3 4" xfId="6090" xr:uid="{00000000-0005-0000-0000-0000CCCF0000}"/>
    <cellStyle name="Remarque 5 2 2 3 4 2" xfId="30104" xr:uid="{00000000-0005-0000-0000-0000CDCF0000}"/>
    <cellStyle name="Remarque 5 2 2 3 4 2 2" xfId="54064" xr:uid="{00000000-0005-0000-0000-0000CECF0000}"/>
    <cellStyle name="Remarque 5 2 2 3 4 3" xfId="17351" xr:uid="{00000000-0005-0000-0000-0000CFCF0000}"/>
    <cellStyle name="Remarque 5 2 2 3 4 4" xfId="41311" xr:uid="{00000000-0005-0000-0000-0000D0CF0000}"/>
    <cellStyle name="Remarque 5 2 2 3 5" xfId="7478" xr:uid="{00000000-0005-0000-0000-0000D1CF0000}"/>
    <cellStyle name="Remarque 5 2 2 3 5 2" xfId="31492" xr:uid="{00000000-0005-0000-0000-0000D2CF0000}"/>
    <cellStyle name="Remarque 5 2 2 3 5 2 2" xfId="55452" xr:uid="{00000000-0005-0000-0000-0000D3CF0000}"/>
    <cellStyle name="Remarque 5 2 2 3 5 3" xfId="18739" xr:uid="{00000000-0005-0000-0000-0000D4CF0000}"/>
    <cellStyle name="Remarque 5 2 2 3 5 4" xfId="42699" xr:uid="{00000000-0005-0000-0000-0000D5CF0000}"/>
    <cellStyle name="Remarque 5 2 2 3 6" xfId="8863" xr:uid="{00000000-0005-0000-0000-0000D6CF0000}"/>
    <cellStyle name="Remarque 5 2 2 3 6 2" xfId="32877" xr:uid="{00000000-0005-0000-0000-0000D7CF0000}"/>
    <cellStyle name="Remarque 5 2 2 3 6 2 2" xfId="56837" xr:uid="{00000000-0005-0000-0000-0000D8CF0000}"/>
    <cellStyle name="Remarque 5 2 2 3 6 3" xfId="20124" xr:uid="{00000000-0005-0000-0000-0000D9CF0000}"/>
    <cellStyle name="Remarque 5 2 2 3 6 4" xfId="44084" xr:uid="{00000000-0005-0000-0000-0000DACF0000}"/>
    <cellStyle name="Remarque 5 2 2 3 7" xfId="10320" xr:uid="{00000000-0005-0000-0000-0000DBCF0000}"/>
    <cellStyle name="Remarque 5 2 2 3 7 2" xfId="34330" xr:uid="{00000000-0005-0000-0000-0000DCCF0000}"/>
    <cellStyle name="Remarque 5 2 2 3 7 2 2" xfId="58290" xr:uid="{00000000-0005-0000-0000-0000DDCF0000}"/>
    <cellStyle name="Remarque 5 2 2 3 7 3" xfId="21587" xr:uid="{00000000-0005-0000-0000-0000DECF0000}"/>
    <cellStyle name="Remarque 5 2 2 3 7 4" xfId="45547" xr:uid="{00000000-0005-0000-0000-0000DFCF0000}"/>
    <cellStyle name="Remarque 5 2 2 3 8" xfId="12463" xr:uid="{00000000-0005-0000-0000-0000E0CF0000}"/>
    <cellStyle name="Remarque 5 2 2 3 8 2" xfId="23758" xr:uid="{00000000-0005-0000-0000-0000E1CF0000}"/>
    <cellStyle name="Remarque 5 2 2 3 8 3" xfId="47718" xr:uid="{00000000-0005-0000-0000-0000E2CF0000}"/>
    <cellStyle name="Remarque 5 2 2 3 9" xfId="1792" xr:uid="{00000000-0005-0000-0000-0000E3CF0000}"/>
    <cellStyle name="Remarque 5 2 2 3 9 2" xfId="25806" xr:uid="{00000000-0005-0000-0000-0000E4CF0000}"/>
    <cellStyle name="Remarque 5 2 2 3 9 3" xfId="49766" xr:uid="{00000000-0005-0000-0000-0000E5CF0000}"/>
    <cellStyle name="Remarque 5 2 2 4" xfId="492" xr:uid="{00000000-0005-0000-0000-0000E6CF0000}"/>
    <cellStyle name="Remarque 5 2 2 4 10" xfId="24524" xr:uid="{00000000-0005-0000-0000-0000E7CF0000}"/>
    <cellStyle name="Remarque 5 2 2 4 10 2" xfId="48484" xr:uid="{00000000-0005-0000-0000-0000E8CF0000}"/>
    <cellStyle name="Remarque 5 2 2 4 11" xfId="36006" xr:uid="{00000000-0005-0000-0000-0000E9CF0000}"/>
    <cellStyle name="Remarque 5 2 2 4 11 2" xfId="59966" xr:uid="{00000000-0005-0000-0000-0000EACF0000}"/>
    <cellStyle name="Remarque 5 2 2 4 12" xfId="13189" xr:uid="{00000000-0005-0000-0000-0000EBCF0000}"/>
    <cellStyle name="Remarque 5 2 2 4 13" xfId="37149" xr:uid="{00000000-0005-0000-0000-0000ECCF0000}"/>
    <cellStyle name="Remarque 5 2 2 4 2" xfId="3398" xr:uid="{00000000-0005-0000-0000-0000EDCF0000}"/>
    <cellStyle name="Remarque 5 2 2 4 2 2" xfId="27412" xr:uid="{00000000-0005-0000-0000-0000EECF0000}"/>
    <cellStyle name="Remarque 5 2 2 4 2 2 2" xfId="51372" xr:uid="{00000000-0005-0000-0000-0000EFCF0000}"/>
    <cellStyle name="Remarque 5 2 2 4 2 3" xfId="14659" xr:uid="{00000000-0005-0000-0000-0000F0CF0000}"/>
    <cellStyle name="Remarque 5 2 2 4 2 4" xfId="38619" xr:uid="{00000000-0005-0000-0000-0000F1CF0000}"/>
    <cellStyle name="Remarque 5 2 2 4 3" xfId="4832" xr:uid="{00000000-0005-0000-0000-0000F2CF0000}"/>
    <cellStyle name="Remarque 5 2 2 4 3 2" xfId="28846" xr:uid="{00000000-0005-0000-0000-0000F3CF0000}"/>
    <cellStyle name="Remarque 5 2 2 4 3 2 2" xfId="52806" xr:uid="{00000000-0005-0000-0000-0000F4CF0000}"/>
    <cellStyle name="Remarque 5 2 2 4 3 3" xfId="16093" xr:uid="{00000000-0005-0000-0000-0000F5CF0000}"/>
    <cellStyle name="Remarque 5 2 2 4 3 4" xfId="40053" xr:uid="{00000000-0005-0000-0000-0000F6CF0000}"/>
    <cellStyle name="Remarque 5 2 2 4 4" xfId="6226" xr:uid="{00000000-0005-0000-0000-0000F7CF0000}"/>
    <cellStyle name="Remarque 5 2 2 4 4 2" xfId="30240" xr:uid="{00000000-0005-0000-0000-0000F8CF0000}"/>
    <cellStyle name="Remarque 5 2 2 4 4 2 2" xfId="54200" xr:uid="{00000000-0005-0000-0000-0000F9CF0000}"/>
    <cellStyle name="Remarque 5 2 2 4 4 3" xfId="17487" xr:uid="{00000000-0005-0000-0000-0000FACF0000}"/>
    <cellStyle name="Remarque 5 2 2 4 4 4" xfId="41447" xr:uid="{00000000-0005-0000-0000-0000FBCF0000}"/>
    <cellStyle name="Remarque 5 2 2 4 5" xfId="7614" xr:uid="{00000000-0005-0000-0000-0000FCCF0000}"/>
    <cellStyle name="Remarque 5 2 2 4 5 2" xfId="31628" xr:uid="{00000000-0005-0000-0000-0000FDCF0000}"/>
    <cellStyle name="Remarque 5 2 2 4 5 2 2" xfId="55588" xr:uid="{00000000-0005-0000-0000-0000FECF0000}"/>
    <cellStyle name="Remarque 5 2 2 4 5 3" xfId="18875" xr:uid="{00000000-0005-0000-0000-0000FFCF0000}"/>
    <cellStyle name="Remarque 5 2 2 4 5 4" xfId="42835" xr:uid="{00000000-0005-0000-0000-000000D00000}"/>
    <cellStyle name="Remarque 5 2 2 4 6" xfId="8999" xr:uid="{00000000-0005-0000-0000-000001D00000}"/>
    <cellStyle name="Remarque 5 2 2 4 6 2" xfId="33013" xr:uid="{00000000-0005-0000-0000-000002D00000}"/>
    <cellStyle name="Remarque 5 2 2 4 6 2 2" xfId="56973" xr:uid="{00000000-0005-0000-0000-000003D00000}"/>
    <cellStyle name="Remarque 5 2 2 4 6 3" xfId="20260" xr:uid="{00000000-0005-0000-0000-000004D00000}"/>
    <cellStyle name="Remarque 5 2 2 4 6 4" xfId="44220" xr:uid="{00000000-0005-0000-0000-000005D00000}"/>
    <cellStyle name="Remarque 5 2 2 4 7" xfId="10456" xr:uid="{00000000-0005-0000-0000-000006D00000}"/>
    <cellStyle name="Remarque 5 2 2 4 7 2" xfId="34466" xr:uid="{00000000-0005-0000-0000-000007D00000}"/>
    <cellStyle name="Remarque 5 2 2 4 7 2 2" xfId="58426" xr:uid="{00000000-0005-0000-0000-000008D00000}"/>
    <cellStyle name="Remarque 5 2 2 4 7 3" xfId="21723" xr:uid="{00000000-0005-0000-0000-000009D00000}"/>
    <cellStyle name="Remarque 5 2 2 4 7 4" xfId="45683" xr:uid="{00000000-0005-0000-0000-00000AD00000}"/>
    <cellStyle name="Remarque 5 2 2 4 8" xfId="12095" xr:uid="{00000000-0005-0000-0000-00000BD00000}"/>
    <cellStyle name="Remarque 5 2 2 4 8 2" xfId="23378" xr:uid="{00000000-0005-0000-0000-00000CD00000}"/>
    <cellStyle name="Remarque 5 2 2 4 8 3" xfId="47338" xr:uid="{00000000-0005-0000-0000-00000DD00000}"/>
    <cellStyle name="Remarque 5 2 2 4 9" xfId="1928" xr:uid="{00000000-0005-0000-0000-00000ED00000}"/>
    <cellStyle name="Remarque 5 2 2 4 9 2" xfId="25942" xr:uid="{00000000-0005-0000-0000-00000FD00000}"/>
    <cellStyle name="Remarque 5 2 2 4 9 3" xfId="49902" xr:uid="{00000000-0005-0000-0000-000010D00000}"/>
    <cellStyle name="Remarque 5 2 2 5" xfId="684" xr:uid="{00000000-0005-0000-0000-000011D00000}"/>
    <cellStyle name="Remarque 5 2 2 5 10" xfId="24716" xr:uid="{00000000-0005-0000-0000-000012D00000}"/>
    <cellStyle name="Remarque 5 2 2 5 10 2" xfId="48676" xr:uid="{00000000-0005-0000-0000-000013D00000}"/>
    <cellStyle name="Remarque 5 2 2 5 11" xfId="36372" xr:uid="{00000000-0005-0000-0000-000014D00000}"/>
    <cellStyle name="Remarque 5 2 2 5 11 2" xfId="60332" xr:uid="{00000000-0005-0000-0000-000015D00000}"/>
    <cellStyle name="Remarque 5 2 2 5 12" xfId="13381" xr:uid="{00000000-0005-0000-0000-000016D00000}"/>
    <cellStyle name="Remarque 5 2 2 5 13" xfId="37341" xr:uid="{00000000-0005-0000-0000-000017D00000}"/>
    <cellStyle name="Remarque 5 2 2 5 2" xfId="3590" xr:uid="{00000000-0005-0000-0000-000018D00000}"/>
    <cellStyle name="Remarque 5 2 2 5 2 2" xfId="27604" xr:uid="{00000000-0005-0000-0000-000019D00000}"/>
    <cellStyle name="Remarque 5 2 2 5 2 2 2" xfId="51564" xr:uid="{00000000-0005-0000-0000-00001AD00000}"/>
    <cellStyle name="Remarque 5 2 2 5 2 3" xfId="14851" xr:uid="{00000000-0005-0000-0000-00001BD00000}"/>
    <cellStyle name="Remarque 5 2 2 5 2 4" xfId="38811" xr:uid="{00000000-0005-0000-0000-00001CD00000}"/>
    <cellStyle name="Remarque 5 2 2 5 3" xfId="5024" xr:uid="{00000000-0005-0000-0000-00001DD00000}"/>
    <cellStyle name="Remarque 5 2 2 5 3 2" xfId="29038" xr:uid="{00000000-0005-0000-0000-00001ED00000}"/>
    <cellStyle name="Remarque 5 2 2 5 3 2 2" xfId="52998" xr:uid="{00000000-0005-0000-0000-00001FD00000}"/>
    <cellStyle name="Remarque 5 2 2 5 3 3" xfId="16285" xr:uid="{00000000-0005-0000-0000-000020D00000}"/>
    <cellStyle name="Remarque 5 2 2 5 3 4" xfId="40245" xr:uid="{00000000-0005-0000-0000-000021D00000}"/>
    <cellStyle name="Remarque 5 2 2 5 4" xfId="6418" xr:uid="{00000000-0005-0000-0000-000022D00000}"/>
    <cellStyle name="Remarque 5 2 2 5 4 2" xfId="30432" xr:uid="{00000000-0005-0000-0000-000023D00000}"/>
    <cellStyle name="Remarque 5 2 2 5 4 2 2" xfId="54392" xr:uid="{00000000-0005-0000-0000-000024D00000}"/>
    <cellStyle name="Remarque 5 2 2 5 4 3" xfId="17679" xr:uid="{00000000-0005-0000-0000-000025D00000}"/>
    <cellStyle name="Remarque 5 2 2 5 4 4" xfId="41639" xr:uid="{00000000-0005-0000-0000-000026D00000}"/>
    <cellStyle name="Remarque 5 2 2 5 5" xfId="7806" xr:uid="{00000000-0005-0000-0000-000027D00000}"/>
    <cellStyle name="Remarque 5 2 2 5 5 2" xfId="31820" xr:uid="{00000000-0005-0000-0000-000028D00000}"/>
    <cellStyle name="Remarque 5 2 2 5 5 2 2" xfId="55780" xr:uid="{00000000-0005-0000-0000-000029D00000}"/>
    <cellStyle name="Remarque 5 2 2 5 5 3" xfId="19067" xr:uid="{00000000-0005-0000-0000-00002AD00000}"/>
    <cellStyle name="Remarque 5 2 2 5 5 4" xfId="43027" xr:uid="{00000000-0005-0000-0000-00002BD00000}"/>
    <cellStyle name="Remarque 5 2 2 5 6" xfId="9191" xr:uid="{00000000-0005-0000-0000-00002CD00000}"/>
    <cellStyle name="Remarque 5 2 2 5 6 2" xfId="33205" xr:uid="{00000000-0005-0000-0000-00002DD00000}"/>
    <cellStyle name="Remarque 5 2 2 5 6 2 2" xfId="57165" xr:uid="{00000000-0005-0000-0000-00002ED00000}"/>
    <cellStyle name="Remarque 5 2 2 5 6 3" xfId="20452" xr:uid="{00000000-0005-0000-0000-00002FD00000}"/>
    <cellStyle name="Remarque 5 2 2 5 6 4" xfId="44412" xr:uid="{00000000-0005-0000-0000-000030D00000}"/>
    <cellStyle name="Remarque 5 2 2 5 7" xfId="10648" xr:uid="{00000000-0005-0000-0000-000031D00000}"/>
    <cellStyle name="Remarque 5 2 2 5 7 2" xfId="34658" xr:uid="{00000000-0005-0000-0000-000032D00000}"/>
    <cellStyle name="Remarque 5 2 2 5 7 2 2" xfId="58618" xr:uid="{00000000-0005-0000-0000-000033D00000}"/>
    <cellStyle name="Remarque 5 2 2 5 7 3" xfId="21915" xr:uid="{00000000-0005-0000-0000-000034D00000}"/>
    <cellStyle name="Remarque 5 2 2 5 7 4" xfId="45875" xr:uid="{00000000-0005-0000-0000-000035D00000}"/>
    <cellStyle name="Remarque 5 2 2 5 8" xfId="12887" xr:uid="{00000000-0005-0000-0000-000036D00000}"/>
    <cellStyle name="Remarque 5 2 2 5 8 2" xfId="24199" xr:uid="{00000000-0005-0000-0000-000037D00000}"/>
    <cellStyle name="Remarque 5 2 2 5 8 3" xfId="48159" xr:uid="{00000000-0005-0000-0000-000038D00000}"/>
    <cellStyle name="Remarque 5 2 2 5 9" xfId="2120" xr:uid="{00000000-0005-0000-0000-000039D00000}"/>
    <cellStyle name="Remarque 5 2 2 5 9 2" xfId="26134" xr:uid="{00000000-0005-0000-0000-00003AD00000}"/>
    <cellStyle name="Remarque 5 2 2 5 9 3" xfId="50094" xr:uid="{00000000-0005-0000-0000-00003BD00000}"/>
    <cellStyle name="Remarque 5 2 2 6" xfId="878" xr:uid="{00000000-0005-0000-0000-00003CD00000}"/>
    <cellStyle name="Remarque 5 2 2 6 10" xfId="24910" xr:uid="{00000000-0005-0000-0000-00003DD00000}"/>
    <cellStyle name="Remarque 5 2 2 6 10 2" xfId="48870" xr:uid="{00000000-0005-0000-0000-00003ED00000}"/>
    <cellStyle name="Remarque 5 2 2 6 11" xfId="36012" xr:uid="{00000000-0005-0000-0000-00003FD00000}"/>
    <cellStyle name="Remarque 5 2 2 6 11 2" xfId="59972" xr:uid="{00000000-0005-0000-0000-000040D00000}"/>
    <cellStyle name="Remarque 5 2 2 6 12" xfId="13575" xr:uid="{00000000-0005-0000-0000-000041D00000}"/>
    <cellStyle name="Remarque 5 2 2 6 13" xfId="37535" xr:uid="{00000000-0005-0000-0000-000042D00000}"/>
    <cellStyle name="Remarque 5 2 2 6 2" xfId="3784" xr:uid="{00000000-0005-0000-0000-000043D00000}"/>
    <cellStyle name="Remarque 5 2 2 6 2 2" xfId="27798" xr:uid="{00000000-0005-0000-0000-000044D00000}"/>
    <cellStyle name="Remarque 5 2 2 6 2 2 2" xfId="51758" xr:uid="{00000000-0005-0000-0000-000045D00000}"/>
    <cellStyle name="Remarque 5 2 2 6 2 3" xfId="15045" xr:uid="{00000000-0005-0000-0000-000046D00000}"/>
    <cellStyle name="Remarque 5 2 2 6 2 4" xfId="39005" xr:uid="{00000000-0005-0000-0000-000047D00000}"/>
    <cellStyle name="Remarque 5 2 2 6 3" xfId="5218" xr:uid="{00000000-0005-0000-0000-000048D00000}"/>
    <cellStyle name="Remarque 5 2 2 6 3 2" xfId="29232" xr:uid="{00000000-0005-0000-0000-000049D00000}"/>
    <cellStyle name="Remarque 5 2 2 6 3 2 2" xfId="53192" xr:uid="{00000000-0005-0000-0000-00004AD00000}"/>
    <cellStyle name="Remarque 5 2 2 6 3 3" xfId="16479" xr:uid="{00000000-0005-0000-0000-00004BD00000}"/>
    <cellStyle name="Remarque 5 2 2 6 3 4" xfId="40439" xr:uid="{00000000-0005-0000-0000-00004CD00000}"/>
    <cellStyle name="Remarque 5 2 2 6 4" xfId="6612" xr:uid="{00000000-0005-0000-0000-00004DD00000}"/>
    <cellStyle name="Remarque 5 2 2 6 4 2" xfId="30626" xr:uid="{00000000-0005-0000-0000-00004ED00000}"/>
    <cellStyle name="Remarque 5 2 2 6 4 2 2" xfId="54586" xr:uid="{00000000-0005-0000-0000-00004FD00000}"/>
    <cellStyle name="Remarque 5 2 2 6 4 3" xfId="17873" xr:uid="{00000000-0005-0000-0000-000050D00000}"/>
    <cellStyle name="Remarque 5 2 2 6 4 4" xfId="41833" xr:uid="{00000000-0005-0000-0000-000051D00000}"/>
    <cellStyle name="Remarque 5 2 2 6 5" xfId="8000" xr:uid="{00000000-0005-0000-0000-000052D00000}"/>
    <cellStyle name="Remarque 5 2 2 6 5 2" xfId="32014" xr:uid="{00000000-0005-0000-0000-000053D00000}"/>
    <cellStyle name="Remarque 5 2 2 6 5 2 2" xfId="55974" xr:uid="{00000000-0005-0000-0000-000054D00000}"/>
    <cellStyle name="Remarque 5 2 2 6 5 3" xfId="19261" xr:uid="{00000000-0005-0000-0000-000055D00000}"/>
    <cellStyle name="Remarque 5 2 2 6 5 4" xfId="43221" xr:uid="{00000000-0005-0000-0000-000056D00000}"/>
    <cellStyle name="Remarque 5 2 2 6 6" xfId="9385" xr:uid="{00000000-0005-0000-0000-000057D00000}"/>
    <cellStyle name="Remarque 5 2 2 6 6 2" xfId="33399" xr:uid="{00000000-0005-0000-0000-000058D00000}"/>
    <cellStyle name="Remarque 5 2 2 6 6 2 2" xfId="57359" xr:uid="{00000000-0005-0000-0000-000059D00000}"/>
    <cellStyle name="Remarque 5 2 2 6 6 3" xfId="20646" xr:uid="{00000000-0005-0000-0000-00005AD00000}"/>
    <cellStyle name="Remarque 5 2 2 6 6 4" xfId="44606" xr:uid="{00000000-0005-0000-0000-00005BD00000}"/>
    <cellStyle name="Remarque 5 2 2 6 7" xfId="10842" xr:uid="{00000000-0005-0000-0000-00005CD00000}"/>
    <cellStyle name="Remarque 5 2 2 6 7 2" xfId="34852" xr:uid="{00000000-0005-0000-0000-00005DD00000}"/>
    <cellStyle name="Remarque 5 2 2 6 7 2 2" xfId="58812" xr:uid="{00000000-0005-0000-0000-00005ED00000}"/>
    <cellStyle name="Remarque 5 2 2 6 7 3" xfId="22109" xr:uid="{00000000-0005-0000-0000-00005FD00000}"/>
    <cellStyle name="Remarque 5 2 2 6 7 4" xfId="46069" xr:uid="{00000000-0005-0000-0000-000060D00000}"/>
    <cellStyle name="Remarque 5 2 2 6 8" xfId="12434" xr:uid="{00000000-0005-0000-0000-000061D00000}"/>
    <cellStyle name="Remarque 5 2 2 6 8 2" xfId="23726" xr:uid="{00000000-0005-0000-0000-000062D00000}"/>
    <cellStyle name="Remarque 5 2 2 6 8 3" xfId="47686" xr:uid="{00000000-0005-0000-0000-000063D00000}"/>
    <cellStyle name="Remarque 5 2 2 6 9" xfId="2314" xr:uid="{00000000-0005-0000-0000-000064D00000}"/>
    <cellStyle name="Remarque 5 2 2 6 9 2" xfId="26328" xr:uid="{00000000-0005-0000-0000-000065D00000}"/>
    <cellStyle name="Remarque 5 2 2 6 9 3" xfId="50288" xr:uid="{00000000-0005-0000-0000-000066D00000}"/>
    <cellStyle name="Remarque 5 2 2 7" xfId="1071" xr:uid="{00000000-0005-0000-0000-000067D00000}"/>
    <cellStyle name="Remarque 5 2 2 7 10" xfId="25103" xr:uid="{00000000-0005-0000-0000-000068D00000}"/>
    <cellStyle name="Remarque 5 2 2 7 10 2" xfId="49063" xr:uid="{00000000-0005-0000-0000-000069D00000}"/>
    <cellStyle name="Remarque 5 2 2 7 11" xfId="36407" xr:uid="{00000000-0005-0000-0000-00006AD00000}"/>
    <cellStyle name="Remarque 5 2 2 7 11 2" xfId="60367" xr:uid="{00000000-0005-0000-0000-00006BD00000}"/>
    <cellStyle name="Remarque 5 2 2 7 12" xfId="13768" xr:uid="{00000000-0005-0000-0000-00006CD00000}"/>
    <cellStyle name="Remarque 5 2 2 7 13" xfId="37728" xr:uid="{00000000-0005-0000-0000-00006DD00000}"/>
    <cellStyle name="Remarque 5 2 2 7 2" xfId="3977" xr:uid="{00000000-0005-0000-0000-00006ED00000}"/>
    <cellStyle name="Remarque 5 2 2 7 2 2" xfId="27991" xr:uid="{00000000-0005-0000-0000-00006FD00000}"/>
    <cellStyle name="Remarque 5 2 2 7 2 2 2" xfId="51951" xr:uid="{00000000-0005-0000-0000-000070D00000}"/>
    <cellStyle name="Remarque 5 2 2 7 2 3" xfId="15238" xr:uid="{00000000-0005-0000-0000-000071D00000}"/>
    <cellStyle name="Remarque 5 2 2 7 2 4" xfId="39198" xr:uid="{00000000-0005-0000-0000-000072D00000}"/>
    <cellStyle name="Remarque 5 2 2 7 3" xfId="5411" xr:uid="{00000000-0005-0000-0000-000073D00000}"/>
    <cellStyle name="Remarque 5 2 2 7 3 2" xfId="29425" xr:uid="{00000000-0005-0000-0000-000074D00000}"/>
    <cellStyle name="Remarque 5 2 2 7 3 2 2" xfId="53385" xr:uid="{00000000-0005-0000-0000-000075D00000}"/>
    <cellStyle name="Remarque 5 2 2 7 3 3" xfId="16672" xr:uid="{00000000-0005-0000-0000-000076D00000}"/>
    <cellStyle name="Remarque 5 2 2 7 3 4" xfId="40632" xr:uid="{00000000-0005-0000-0000-000077D00000}"/>
    <cellStyle name="Remarque 5 2 2 7 4" xfId="6805" xr:uid="{00000000-0005-0000-0000-000078D00000}"/>
    <cellStyle name="Remarque 5 2 2 7 4 2" xfId="30819" xr:uid="{00000000-0005-0000-0000-000079D00000}"/>
    <cellStyle name="Remarque 5 2 2 7 4 2 2" xfId="54779" xr:uid="{00000000-0005-0000-0000-00007AD00000}"/>
    <cellStyle name="Remarque 5 2 2 7 4 3" xfId="18066" xr:uid="{00000000-0005-0000-0000-00007BD00000}"/>
    <cellStyle name="Remarque 5 2 2 7 4 4" xfId="42026" xr:uid="{00000000-0005-0000-0000-00007CD00000}"/>
    <cellStyle name="Remarque 5 2 2 7 5" xfId="8193" xr:uid="{00000000-0005-0000-0000-00007DD00000}"/>
    <cellStyle name="Remarque 5 2 2 7 5 2" xfId="32207" xr:uid="{00000000-0005-0000-0000-00007ED00000}"/>
    <cellStyle name="Remarque 5 2 2 7 5 2 2" xfId="56167" xr:uid="{00000000-0005-0000-0000-00007FD00000}"/>
    <cellStyle name="Remarque 5 2 2 7 5 3" xfId="19454" xr:uid="{00000000-0005-0000-0000-000080D00000}"/>
    <cellStyle name="Remarque 5 2 2 7 5 4" xfId="43414" xr:uid="{00000000-0005-0000-0000-000081D00000}"/>
    <cellStyle name="Remarque 5 2 2 7 6" xfId="9578" xr:uid="{00000000-0005-0000-0000-000082D00000}"/>
    <cellStyle name="Remarque 5 2 2 7 6 2" xfId="33592" xr:uid="{00000000-0005-0000-0000-000083D00000}"/>
    <cellStyle name="Remarque 5 2 2 7 6 2 2" xfId="57552" xr:uid="{00000000-0005-0000-0000-000084D00000}"/>
    <cellStyle name="Remarque 5 2 2 7 6 3" xfId="20839" xr:uid="{00000000-0005-0000-0000-000085D00000}"/>
    <cellStyle name="Remarque 5 2 2 7 6 4" xfId="44799" xr:uid="{00000000-0005-0000-0000-000086D00000}"/>
    <cellStyle name="Remarque 5 2 2 7 7" xfId="11035" xr:uid="{00000000-0005-0000-0000-000087D00000}"/>
    <cellStyle name="Remarque 5 2 2 7 7 2" xfId="35045" xr:uid="{00000000-0005-0000-0000-000088D00000}"/>
    <cellStyle name="Remarque 5 2 2 7 7 2 2" xfId="59005" xr:uid="{00000000-0005-0000-0000-000089D00000}"/>
    <cellStyle name="Remarque 5 2 2 7 7 3" xfId="22302" xr:uid="{00000000-0005-0000-0000-00008AD00000}"/>
    <cellStyle name="Remarque 5 2 2 7 7 4" xfId="46262" xr:uid="{00000000-0005-0000-0000-00008BD00000}"/>
    <cellStyle name="Remarque 5 2 2 7 8" xfId="12142" xr:uid="{00000000-0005-0000-0000-00008CD00000}"/>
    <cellStyle name="Remarque 5 2 2 7 8 2" xfId="23425" xr:uid="{00000000-0005-0000-0000-00008DD00000}"/>
    <cellStyle name="Remarque 5 2 2 7 8 3" xfId="47385" xr:uid="{00000000-0005-0000-0000-00008ED00000}"/>
    <cellStyle name="Remarque 5 2 2 7 9" xfId="2507" xr:uid="{00000000-0005-0000-0000-00008FD00000}"/>
    <cellStyle name="Remarque 5 2 2 7 9 2" xfId="26521" xr:uid="{00000000-0005-0000-0000-000090D00000}"/>
    <cellStyle name="Remarque 5 2 2 7 9 3" xfId="50481" xr:uid="{00000000-0005-0000-0000-000091D00000}"/>
    <cellStyle name="Remarque 5 2 2 8" xfId="1238" xr:uid="{00000000-0005-0000-0000-000092D00000}"/>
    <cellStyle name="Remarque 5 2 2 8 10" xfId="25270" xr:uid="{00000000-0005-0000-0000-000093D00000}"/>
    <cellStyle name="Remarque 5 2 2 8 10 2" xfId="49230" xr:uid="{00000000-0005-0000-0000-000094D00000}"/>
    <cellStyle name="Remarque 5 2 2 8 11" xfId="36384" xr:uid="{00000000-0005-0000-0000-000095D00000}"/>
    <cellStyle name="Remarque 5 2 2 8 11 2" xfId="60344" xr:uid="{00000000-0005-0000-0000-000096D00000}"/>
    <cellStyle name="Remarque 5 2 2 8 12" xfId="13935" xr:uid="{00000000-0005-0000-0000-000097D00000}"/>
    <cellStyle name="Remarque 5 2 2 8 13" xfId="37895" xr:uid="{00000000-0005-0000-0000-000098D00000}"/>
    <cellStyle name="Remarque 5 2 2 8 2" xfId="4144" xr:uid="{00000000-0005-0000-0000-000099D00000}"/>
    <cellStyle name="Remarque 5 2 2 8 2 2" xfId="28158" xr:uid="{00000000-0005-0000-0000-00009AD00000}"/>
    <cellStyle name="Remarque 5 2 2 8 2 2 2" xfId="52118" xr:uid="{00000000-0005-0000-0000-00009BD00000}"/>
    <cellStyle name="Remarque 5 2 2 8 2 3" xfId="15405" xr:uid="{00000000-0005-0000-0000-00009CD00000}"/>
    <cellStyle name="Remarque 5 2 2 8 2 4" xfId="39365" xr:uid="{00000000-0005-0000-0000-00009DD00000}"/>
    <cellStyle name="Remarque 5 2 2 8 3" xfId="5578" xr:uid="{00000000-0005-0000-0000-00009ED00000}"/>
    <cellStyle name="Remarque 5 2 2 8 3 2" xfId="29592" xr:uid="{00000000-0005-0000-0000-00009FD00000}"/>
    <cellStyle name="Remarque 5 2 2 8 3 2 2" xfId="53552" xr:uid="{00000000-0005-0000-0000-0000A0D00000}"/>
    <cellStyle name="Remarque 5 2 2 8 3 3" xfId="16839" xr:uid="{00000000-0005-0000-0000-0000A1D00000}"/>
    <cellStyle name="Remarque 5 2 2 8 3 4" xfId="40799" xr:uid="{00000000-0005-0000-0000-0000A2D00000}"/>
    <cellStyle name="Remarque 5 2 2 8 4" xfId="6972" xr:uid="{00000000-0005-0000-0000-0000A3D00000}"/>
    <cellStyle name="Remarque 5 2 2 8 4 2" xfId="30986" xr:uid="{00000000-0005-0000-0000-0000A4D00000}"/>
    <cellStyle name="Remarque 5 2 2 8 4 2 2" xfId="54946" xr:uid="{00000000-0005-0000-0000-0000A5D00000}"/>
    <cellStyle name="Remarque 5 2 2 8 4 3" xfId="18233" xr:uid="{00000000-0005-0000-0000-0000A6D00000}"/>
    <cellStyle name="Remarque 5 2 2 8 4 4" xfId="42193" xr:uid="{00000000-0005-0000-0000-0000A7D00000}"/>
    <cellStyle name="Remarque 5 2 2 8 5" xfId="8360" xr:uid="{00000000-0005-0000-0000-0000A8D00000}"/>
    <cellStyle name="Remarque 5 2 2 8 5 2" xfId="32374" xr:uid="{00000000-0005-0000-0000-0000A9D00000}"/>
    <cellStyle name="Remarque 5 2 2 8 5 2 2" xfId="56334" xr:uid="{00000000-0005-0000-0000-0000AAD00000}"/>
    <cellStyle name="Remarque 5 2 2 8 5 3" xfId="19621" xr:uid="{00000000-0005-0000-0000-0000ABD00000}"/>
    <cellStyle name="Remarque 5 2 2 8 5 4" xfId="43581" xr:uid="{00000000-0005-0000-0000-0000ACD00000}"/>
    <cellStyle name="Remarque 5 2 2 8 6" xfId="9745" xr:uid="{00000000-0005-0000-0000-0000ADD00000}"/>
    <cellStyle name="Remarque 5 2 2 8 6 2" xfId="33759" xr:uid="{00000000-0005-0000-0000-0000AED00000}"/>
    <cellStyle name="Remarque 5 2 2 8 6 2 2" xfId="57719" xr:uid="{00000000-0005-0000-0000-0000AFD00000}"/>
    <cellStyle name="Remarque 5 2 2 8 6 3" xfId="21006" xr:uid="{00000000-0005-0000-0000-0000B0D00000}"/>
    <cellStyle name="Remarque 5 2 2 8 6 4" xfId="44966" xr:uid="{00000000-0005-0000-0000-0000B1D00000}"/>
    <cellStyle name="Remarque 5 2 2 8 7" xfId="11202" xr:uid="{00000000-0005-0000-0000-0000B2D00000}"/>
    <cellStyle name="Remarque 5 2 2 8 7 2" xfId="35212" xr:uid="{00000000-0005-0000-0000-0000B3D00000}"/>
    <cellStyle name="Remarque 5 2 2 8 7 2 2" xfId="59172" xr:uid="{00000000-0005-0000-0000-0000B4D00000}"/>
    <cellStyle name="Remarque 5 2 2 8 7 3" xfId="22469" xr:uid="{00000000-0005-0000-0000-0000B5D00000}"/>
    <cellStyle name="Remarque 5 2 2 8 7 4" xfId="46429" xr:uid="{00000000-0005-0000-0000-0000B6D00000}"/>
    <cellStyle name="Remarque 5 2 2 8 8" xfId="11718" xr:uid="{00000000-0005-0000-0000-0000B7D00000}"/>
    <cellStyle name="Remarque 5 2 2 8 8 2" xfId="22989" xr:uid="{00000000-0005-0000-0000-0000B8D00000}"/>
    <cellStyle name="Remarque 5 2 2 8 8 3" xfId="46949" xr:uid="{00000000-0005-0000-0000-0000B9D00000}"/>
    <cellStyle name="Remarque 5 2 2 8 9" xfId="2674" xr:uid="{00000000-0005-0000-0000-0000BAD00000}"/>
    <cellStyle name="Remarque 5 2 2 8 9 2" xfId="26688" xr:uid="{00000000-0005-0000-0000-0000BBD00000}"/>
    <cellStyle name="Remarque 5 2 2 8 9 3" xfId="50648" xr:uid="{00000000-0005-0000-0000-0000BCD00000}"/>
    <cellStyle name="Remarque 5 2 2 9" xfId="1407" xr:uid="{00000000-0005-0000-0000-0000BDD00000}"/>
    <cellStyle name="Remarque 5 2 2 9 10" xfId="25439" xr:uid="{00000000-0005-0000-0000-0000BED00000}"/>
    <cellStyle name="Remarque 5 2 2 9 10 2" xfId="49399" xr:uid="{00000000-0005-0000-0000-0000BFD00000}"/>
    <cellStyle name="Remarque 5 2 2 9 11" xfId="36794" xr:uid="{00000000-0005-0000-0000-0000C0D00000}"/>
    <cellStyle name="Remarque 5 2 2 9 11 2" xfId="60754" xr:uid="{00000000-0005-0000-0000-0000C1D00000}"/>
    <cellStyle name="Remarque 5 2 2 9 12" xfId="14104" xr:uid="{00000000-0005-0000-0000-0000C2D00000}"/>
    <cellStyle name="Remarque 5 2 2 9 13" xfId="38064" xr:uid="{00000000-0005-0000-0000-0000C3D00000}"/>
    <cellStyle name="Remarque 5 2 2 9 2" xfId="4313" xr:uid="{00000000-0005-0000-0000-0000C4D00000}"/>
    <cellStyle name="Remarque 5 2 2 9 2 2" xfId="28327" xr:uid="{00000000-0005-0000-0000-0000C5D00000}"/>
    <cellStyle name="Remarque 5 2 2 9 2 2 2" xfId="52287" xr:uid="{00000000-0005-0000-0000-0000C6D00000}"/>
    <cellStyle name="Remarque 5 2 2 9 2 3" xfId="15574" xr:uid="{00000000-0005-0000-0000-0000C7D00000}"/>
    <cellStyle name="Remarque 5 2 2 9 2 4" xfId="39534" xr:uid="{00000000-0005-0000-0000-0000C8D00000}"/>
    <cellStyle name="Remarque 5 2 2 9 3" xfId="5747" xr:uid="{00000000-0005-0000-0000-0000C9D00000}"/>
    <cellStyle name="Remarque 5 2 2 9 3 2" xfId="29761" xr:uid="{00000000-0005-0000-0000-0000CAD00000}"/>
    <cellStyle name="Remarque 5 2 2 9 3 2 2" xfId="53721" xr:uid="{00000000-0005-0000-0000-0000CBD00000}"/>
    <cellStyle name="Remarque 5 2 2 9 3 3" xfId="17008" xr:uid="{00000000-0005-0000-0000-0000CCD00000}"/>
    <cellStyle name="Remarque 5 2 2 9 3 4" xfId="40968" xr:uid="{00000000-0005-0000-0000-0000CDD00000}"/>
    <cellStyle name="Remarque 5 2 2 9 4" xfId="7141" xr:uid="{00000000-0005-0000-0000-0000CED00000}"/>
    <cellStyle name="Remarque 5 2 2 9 4 2" xfId="31155" xr:uid="{00000000-0005-0000-0000-0000CFD00000}"/>
    <cellStyle name="Remarque 5 2 2 9 4 2 2" xfId="55115" xr:uid="{00000000-0005-0000-0000-0000D0D00000}"/>
    <cellStyle name="Remarque 5 2 2 9 4 3" xfId="18402" xr:uid="{00000000-0005-0000-0000-0000D1D00000}"/>
    <cellStyle name="Remarque 5 2 2 9 4 4" xfId="42362" xr:uid="{00000000-0005-0000-0000-0000D2D00000}"/>
    <cellStyle name="Remarque 5 2 2 9 5" xfId="8529" xr:uid="{00000000-0005-0000-0000-0000D3D00000}"/>
    <cellStyle name="Remarque 5 2 2 9 5 2" xfId="32543" xr:uid="{00000000-0005-0000-0000-0000D4D00000}"/>
    <cellStyle name="Remarque 5 2 2 9 5 2 2" xfId="56503" xr:uid="{00000000-0005-0000-0000-0000D5D00000}"/>
    <cellStyle name="Remarque 5 2 2 9 5 3" xfId="19790" xr:uid="{00000000-0005-0000-0000-0000D6D00000}"/>
    <cellStyle name="Remarque 5 2 2 9 5 4" xfId="43750" xr:uid="{00000000-0005-0000-0000-0000D7D00000}"/>
    <cellStyle name="Remarque 5 2 2 9 6" xfId="9914" xr:uid="{00000000-0005-0000-0000-0000D8D00000}"/>
    <cellStyle name="Remarque 5 2 2 9 6 2" xfId="33928" xr:uid="{00000000-0005-0000-0000-0000D9D00000}"/>
    <cellStyle name="Remarque 5 2 2 9 6 2 2" xfId="57888" xr:uid="{00000000-0005-0000-0000-0000DAD00000}"/>
    <cellStyle name="Remarque 5 2 2 9 6 3" xfId="21175" xr:uid="{00000000-0005-0000-0000-0000DBD00000}"/>
    <cellStyle name="Remarque 5 2 2 9 6 4" xfId="45135" xr:uid="{00000000-0005-0000-0000-0000DCD00000}"/>
    <cellStyle name="Remarque 5 2 2 9 7" xfId="11371" xr:uid="{00000000-0005-0000-0000-0000DDD00000}"/>
    <cellStyle name="Remarque 5 2 2 9 7 2" xfId="35381" xr:uid="{00000000-0005-0000-0000-0000DED00000}"/>
    <cellStyle name="Remarque 5 2 2 9 7 2 2" xfId="59341" xr:uid="{00000000-0005-0000-0000-0000DFD00000}"/>
    <cellStyle name="Remarque 5 2 2 9 7 3" xfId="22638" xr:uid="{00000000-0005-0000-0000-0000E0D00000}"/>
    <cellStyle name="Remarque 5 2 2 9 7 4" xfId="46598" xr:uid="{00000000-0005-0000-0000-0000E1D00000}"/>
    <cellStyle name="Remarque 5 2 2 9 8" xfId="11997" xr:uid="{00000000-0005-0000-0000-0000E2D00000}"/>
    <cellStyle name="Remarque 5 2 2 9 8 2" xfId="23276" xr:uid="{00000000-0005-0000-0000-0000E3D00000}"/>
    <cellStyle name="Remarque 5 2 2 9 8 3" xfId="47236" xr:uid="{00000000-0005-0000-0000-0000E4D00000}"/>
    <cellStyle name="Remarque 5 2 2 9 9" xfId="2843" xr:uid="{00000000-0005-0000-0000-0000E5D00000}"/>
    <cellStyle name="Remarque 5 2 2 9 9 2" xfId="26857" xr:uid="{00000000-0005-0000-0000-0000E6D00000}"/>
    <cellStyle name="Remarque 5 2 2 9 9 3" xfId="50817" xr:uid="{00000000-0005-0000-0000-0000E7D00000}"/>
    <cellStyle name="Remarque 5 2 20" xfId="10150" xr:uid="{00000000-0005-0000-0000-0000E8D00000}"/>
    <cellStyle name="Remarque 5 2 20 2" xfId="34162" xr:uid="{00000000-0005-0000-0000-0000E9D00000}"/>
    <cellStyle name="Remarque 5 2 20 2 2" xfId="58122" xr:uid="{00000000-0005-0000-0000-0000EAD00000}"/>
    <cellStyle name="Remarque 5 2 20 3" xfId="21415" xr:uid="{00000000-0005-0000-0000-0000EBD00000}"/>
    <cellStyle name="Remarque 5 2 20 4" xfId="45375" xr:uid="{00000000-0005-0000-0000-0000ECD00000}"/>
    <cellStyle name="Remarque 5 2 21" xfId="12158" xr:uid="{00000000-0005-0000-0000-0000EDD00000}"/>
    <cellStyle name="Remarque 5 2 21 2" xfId="23441" xr:uid="{00000000-0005-0000-0000-0000EED00000}"/>
    <cellStyle name="Remarque 5 2 21 3" xfId="47401" xr:uid="{00000000-0005-0000-0000-0000EFD00000}"/>
    <cellStyle name="Remarque 5 2 22" xfId="1648" xr:uid="{00000000-0005-0000-0000-0000F0D00000}"/>
    <cellStyle name="Remarque 5 2 22 2" xfId="25662" xr:uid="{00000000-0005-0000-0000-0000F1D00000}"/>
    <cellStyle name="Remarque 5 2 22 3" xfId="49622" xr:uid="{00000000-0005-0000-0000-0000F2D00000}"/>
    <cellStyle name="Remarque 5 2 23" xfId="22939" xr:uid="{00000000-0005-0000-0000-0000F3D00000}"/>
    <cellStyle name="Remarque 5 2 23 2" xfId="46899" xr:uid="{00000000-0005-0000-0000-0000F4D00000}"/>
    <cellStyle name="Remarque 5 2 24" xfId="35867" xr:uid="{00000000-0005-0000-0000-0000F5D00000}"/>
    <cellStyle name="Remarque 5 2 24 2" xfId="59827" xr:uid="{00000000-0005-0000-0000-0000F6D00000}"/>
    <cellStyle name="Remarque 5 2 25" xfId="12928" xr:uid="{00000000-0005-0000-0000-0000F7D00000}"/>
    <cellStyle name="Remarque 5 2 26" xfId="36869" xr:uid="{00000000-0005-0000-0000-0000F8D00000}"/>
    <cellStyle name="Remarque 5 2 27" xfId="184" xr:uid="{00000000-0005-0000-0000-0000F9D00000}"/>
    <cellStyle name="Remarque 5 2 3" xfId="144" xr:uid="{00000000-0005-0000-0000-0000FAD00000}"/>
    <cellStyle name="Remarque 5 2 3 10" xfId="6140" xr:uid="{00000000-0005-0000-0000-0000FBD00000}"/>
    <cellStyle name="Remarque 5 2 3 10 2" xfId="30154" xr:uid="{00000000-0005-0000-0000-0000FCD00000}"/>
    <cellStyle name="Remarque 5 2 3 10 2 2" xfId="54114" xr:uid="{00000000-0005-0000-0000-0000FDD00000}"/>
    <cellStyle name="Remarque 5 2 3 10 3" xfId="17401" xr:uid="{00000000-0005-0000-0000-0000FED00000}"/>
    <cellStyle name="Remarque 5 2 3 10 4" xfId="41361" xr:uid="{00000000-0005-0000-0000-0000FFD00000}"/>
    <cellStyle name="Remarque 5 2 3 11" xfId="7528" xr:uid="{00000000-0005-0000-0000-000000D10000}"/>
    <cellStyle name="Remarque 5 2 3 11 2" xfId="31542" xr:uid="{00000000-0005-0000-0000-000001D10000}"/>
    <cellStyle name="Remarque 5 2 3 11 2 2" xfId="55502" xr:uid="{00000000-0005-0000-0000-000002D10000}"/>
    <cellStyle name="Remarque 5 2 3 11 3" xfId="18789" xr:uid="{00000000-0005-0000-0000-000003D10000}"/>
    <cellStyle name="Remarque 5 2 3 11 4" xfId="42749" xr:uid="{00000000-0005-0000-0000-000004D10000}"/>
    <cellStyle name="Remarque 5 2 3 12" xfId="8913" xr:uid="{00000000-0005-0000-0000-000005D10000}"/>
    <cellStyle name="Remarque 5 2 3 12 2" xfId="32927" xr:uid="{00000000-0005-0000-0000-000006D10000}"/>
    <cellStyle name="Remarque 5 2 3 12 2 2" xfId="56887" xr:uid="{00000000-0005-0000-0000-000007D10000}"/>
    <cellStyle name="Remarque 5 2 3 12 3" xfId="20174" xr:uid="{00000000-0005-0000-0000-000008D10000}"/>
    <cellStyle name="Remarque 5 2 3 12 4" xfId="44134" xr:uid="{00000000-0005-0000-0000-000009D10000}"/>
    <cellStyle name="Remarque 5 2 3 13" xfId="10370" xr:uid="{00000000-0005-0000-0000-00000AD10000}"/>
    <cellStyle name="Remarque 5 2 3 13 2" xfId="34380" xr:uid="{00000000-0005-0000-0000-00000BD10000}"/>
    <cellStyle name="Remarque 5 2 3 13 2 2" xfId="58340" xr:uid="{00000000-0005-0000-0000-00000CD10000}"/>
    <cellStyle name="Remarque 5 2 3 13 3" xfId="21637" xr:uid="{00000000-0005-0000-0000-00000DD10000}"/>
    <cellStyle name="Remarque 5 2 3 13 4" xfId="45597" xr:uid="{00000000-0005-0000-0000-00000ED10000}"/>
    <cellStyle name="Remarque 5 2 3 14" xfId="12609" xr:uid="{00000000-0005-0000-0000-00000FD10000}"/>
    <cellStyle name="Remarque 5 2 3 14 2" xfId="23911" xr:uid="{00000000-0005-0000-0000-000010D10000}"/>
    <cellStyle name="Remarque 5 2 3 14 3" xfId="47871" xr:uid="{00000000-0005-0000-0000-000011D10000}"/>
    <cellStyle name="Remarque 5 2 3 15" xfId="1842" xr:uid="{00000000-0005-0000-0000-000012D10000}"/>
    <cellStyle name="Remarque 5 2 3 15 2" xfId="25856" xr:uid="{00000000-0005-0000-0000-000013D10000}"/>
    <cellStyle name="Remarque 5 2 3 15 3" xfId="49816" xr:uid="{00000000-0005-0000-0000-000014D10000}"/>
    <cellStyle name="Remarque 5 2 3 16" xfId="24438" xr:uid="{00000000-0005-0000-0000-000015D10000}"/>
    <cellStyle name="Remarque 5 2 3 16 2" xfId="48398" xr:uid="{00000000-0005-0000-0000-000016D10000}"/>
    <cellStyle name="Remarque 5 2 3 17" xfId="36143" xr:uid="{00000000-0005-0000-0000-000017D10000}"/>
    <cellStyle name="Remarque 5 2 3 17 2" xfId="60103" xr:uid="{00000000-0005-0000-0000-000018D10000}"/>
    <cellStyle name="Remarque 5 2 3 18" xfId="13103" xr:uid="{00000000-0005-0000-0000-000019D10000}"/>
    <cellStyle name="Remarque 5 2 3 19" xfId="37063" xr:uid="{00000000-0005-0000-0000-00001AD10000}"/>
    <cellStyle name="Remarque 5 2 3 2" xfId="542" xr:uid="{00000000-0005-0000-0000-00001BD10000}"/>
    <cellStyle name="Remarque 5 2 3 2 10" xfId="24574" xr:uid="{00000000-0005-0000-0000-00001CD10000}"/>
    <cellStyle name="Remarque 5 2 3 2 10 2" xfId="48534" xr:uid="{00000000-0005-0000-0000-00001DD10000}"/>
    <cellStyle name="Remarque 5 2 3 2 11" xfId="35616" xr:uid="{00000000-0005-0000-0000-00001ED10000}"/>
    <cellStyle name="Remarque 5 2 3 2 11 2" xfId="59576" xr:uid="{00000000-0005-0000-0000-00001FD10000}"/>
    <cellStyle name="Remarque 5 2 3 2 12" xfId="13239" xr:uid="{00000000-0005-0000-0000-000020D10000}"/>
    <cellStyle name="Remarque 5 2 3 2 13" xfId="37199" xr:uid="{00000000-0005-0000-0000-000021D10000}"/>
    <cellStyle name="Remarque 5 2 3 2 2" xfId="3448" xr:uid="{00000000-0005-0000-0000-000022D10000}"/>
    <cellStyle name="Remarque 5 2 3 2 2 2" xfId="27462" xr:uid="{00000000-0005-0000-0000-000023D10000}"/>
    <cellStyle name="Remarque 5 2 3 2 2 2 2" xfId="51422" xr:uid="{00000000-0005-0000-0000-000024D10000}"/>
    <cellStyle name="Remarque 5 2 3 2 2 3" xfId="14709" xr:uid="{00000000-0005-0000-0000-000025D10000}"/>
    <cellStyle name="Remarque 5 2 3 2 2 4" xfId="38669" xr:uid="{00000000-0005-0000-0000-000026D10000}"/>
    <cellStyle name="Remarque 5 2 3 2 3" xfId="4882" xr:uid="{00000000-0005-0000-0000-000027D10000}"/>
    <cellStyle name="Remarque 5 2 3 2 3 2" xfId="28896" xr:uid="{00000000-0005-0000-0000-000028D10000}"/>
    <cellStyle name="Remarque 5 2 3 2 3 2 2" xfId="52856" xr:uid="{00000000-0005-0000-0000-000029D10000}"/>
    <cellStyle name="Remarque 5 2 3 2 3 3" xfId="16143" xr:uid="{00000000-0005-0000-0000-00002AD10000}"/>
    <cellStyle name="Remarque 5 2 3 2 3 4" xfId="40103" xr:uid="{00000000-0005-0000-0000-00002BD10000}"/>
    <cellStyle name="Remarque 5 2 3 2 4" xfId="6276" xr:uid="{00000000-0005-0000-0000-00002CD10000}"/>
    <cellStyle name="Remarque 5 2 3 2 4 2" xfId="30290" xr:uid="{00000000-0005-0000-0000-00002DD10000}"/>
    <cellStyle name="Remarque 5 2 3 2 4 2 2" xfId="54250" xr:uid="{00000000-0005-0000-0000-00002ED10000}"/>
    <cellStyle name="Remarque 5 2 3 2 4 3" xfId="17537" xr:uid="{00000000-0005-0000-0000-00002FD10000}"/>
    <cellStyle name="Remarque 5 2 3 2 4 4" xfId="41497" xr:uid="{00000000-0005-0000-0000-000030D10000}"/>
    <cellStyle name="Remarque 5 2 3 2 5" xfId="7664" xr:uid="{00000000-0005-0000-0000-000031D10000}"/>
    <cellStyle name="Remarque 5 2 3 2 5 2" xfId="31678" xr:uid="{00000000-0005-0000-0000-000032D10000}"/>
    <cellStyle name="Remarque 5 2 3 2 5 2 2" xfId="55638" xr:uid="{00000000-0005-0000-0000-000033D10000}"/>
    <cellStyle name="Remarque 5 2 3 2 5 3" xfId="18925" xr:uid="{00000000-0005-0000-0000-000034D10000}"/>
    <cellStyle name="Remarque 5 2 3 2 5 4" xfId="42885" xr:uid="{00000000-0005-0000-0000-000035D10000}"/>
    <cellStyle name="Remarque 5 2 3 2 6" xfId="9049" xr:uid="{00000000-0005-0000-0000-000036D10000}"/>
    <cellStyle name="Remarque 5 2 3 2 6 2" xfId="33063" xr:uid="{00000000-0005-0000-0000-000037D10000}"/>
    <cellStyle name="Remarque 5 2 3 2 6 2 2" xfId="57023" xr:uid="{00000000-0005-0000-0000-000038D10000}"/>
    <cellStyle name="Remarque 5 2 3 2 6 3" xfId="20310" xr:uid="{00000000-0005-0000-0000-000039D10000}"/>
    <cellStyle name="Remarque 5 2 3 2 6 4" xfId="44270" xr:uid="{00000000-0005-0000-0000-00003AD10000}"/>
    <cellStyle name="Remarque 5 2 3 2 7" xfId="10506" xr:uid="{00000000-0005-0000-0000-00003BD10000}"/>
    <cellStyle name="Remarque 5 2 3 2 7 2" xfId="34516" xr:uid="{00000000-0005-0000-0000-00003CD10000}"/>
    <cellStyle name="Remarque 5 2 3 2 7 2 2" xfId="58476" xr:uid="{00000000-0005-0000-0000-00003DD10000}"/>
    <cellStyle name="Remarque 5 2 3 2 7 3" xfId="21773" xr:uid="{00000000-0005-0000-0000-00003ED10000}"/>
    <cellStyle name="Remarque 5 2 3 2 7 4" xfId="45733" xr:uid="{00000000-0005-0000-0000-00003FD10000}"/>
    <cellStyle name="Remarque 5 2 3 2 8" xfId="11937" xr:uid="{00000000-0005-0000-0000-000040D10000}"/>
    <cellStyle name="Remarque 5 2 3 2 8 2" xfId="23215" xr:uid="{00000000-0005-0000-0000-000041D10000}"/>
    <cellStyle name="Remarque 5 2 3 2 8 3" xfId="47175" xr:uid="{00000000-0005-0000-0000-000042D10000}"/>
    <cellStyle name="Remarque 5 2 3 2 9" xfId="1978" xr:uid="{00000000-0005-0000-0000-000043D10000}"/>
    <cellStyle name="Remarque 5 2 3 2 9 2" xfId="25992" xr:uid="{00000000-0005-0000-0000-000044D10000}"/>
    <cellStyle name="Remarque 5 2 3 2 9 3" xfId="49952" xr:uid="{00000000-0005-0000-0000-000045D10000}"/>
    <cellStyle name="Remarque 5 2 3 20" xfId="406" xr:uid="{00000000-0005-0000-0000-000046D10000}"/>
    <cellStyle name="Remarque 5 2 3 3" xfId="734" xr:uid="{00000000-0005-0000-0000-000047D10000}"/>
    <cellStyle name="Remarque 5 2 3 3 10" xfId="24766" xr:uid="{00000000-0005-0000-0000-000048D10000}"/>
    <cellStyle name="Remarque 5 2 3 3 10 2" xfId="48726" xr:uid="{00000000-0005-0000-0000-000049D10000}"/>
    <cellStyle name="Remarque 5 2 3 3 11" xfId="36780" xr:uid="{00000000-0005-0000-0000-00004AD10000}"/>
    <cellStyle name="Remarque 5 2 3 3 11 2" xfId="60740" xr:uid="{00000000-0005-0000-0000-00004BD10000}"/>
    <cellStyle name="Remarque 5 2 3 3 12" xfId="13431" xr:uid="{00000000-0005-0000-0000-00004CD10000}"/>
    <cellStyle name="Remarque 5 2 3 3 13" xfId="37391" xr:uid="{00000000-0005-0000-0000-00004DD10000}"/>
    <cellStyle name="Remarque 5 2 3 3 2" xfId="3640" xr:uid="{00000000-0005-0000-0000-00004ED10000}"/>
    <cellStyle name="Remarque 5 2 3 3 2 2" xfId="27654" xr:uid="{00000000-0005-0000-0000-00004FD10000}"/>
    <cellStyle name="Remarque 5 2 3 3 2 2 2" xfId="51614" xr:uid="{00000000-0005-0000-0000-000050D10000}"/>
    <cellStyle name="Remarque 5 2 3 3 2 3" xfId="14901" xr:uid="{00000000-0005-0000-0000-000051D10000}"/>
    <cellStyle name="Remarque 5 2 3 3 2 4" xfId="38861" xr:uid="{00000000-0005-0000-0000-000052D10000}"/>
    <cellStyle name="Remarque 5 2 3 3 3" xfId="5074" xr:uid="{00000000-0005-0000-0000-000053D10000}"/>
    <cellStyle name="Remarque 5 2 3 3 3 2" xfId="29088" xr:uid="{00000000-0005-0000-0000-000054D10000}"/>
    <cellStyle name="Remarque 5 2 3 3 3 2 2" xfId="53048" xr:uid="{00000000-0005-0000-0000-000055D10000}"/>
    <cellStyle name="Remarque 5 2 3 3 3 3" xfId="16335" xr:uid="{00000000-0005-0000-0000-000056D10000}"/>
    <cellStyle name="Remarque 5 2 3 3 3 4" xfId="40295" xr:uid="{00000000-0005-0000-0000-000057D10000}"/>
    <cellStyle name="Remarque 5 2 3 3 4" xfId="6468" xr:uid="{00000000-0005-0000-0000-000058D10000}"/>
    <cellStyle name="Remarque 5 2 3 3 4 2" xfId="30482" xr:uid="{00000000-0005-0000-0000-000059D10000}"/>
    <cellStyle name="Remarque 5 2 3 3 4 2 2" xfId="54442" xr:uid="{00000000-0005-0000-0000-00005AD10000}"/>
    <cellStyle name="Remarque 5 2 3 3 4 3" xfId="17729" xr:uid="{00000000-0005-0000-0000-00005BD10000}"/>
    <cellStyle name="Remarque 5 2 3 3 4 4" xfId="41689" xr:uid="{00000000-0005-0000-0000-00005CD10000}"/>
    <cellStyle name="Remarque 5 2 3 3 5" xfId="7856" xr:uid="{00000000-0005-0000-0000-00005DD10000}"/>
    <cellStyle name="Remarque 5 2 3 3 5 2" xfId="31870" xr:uid="{00000000-0005-0000-0000-00005ED10000}"/>
    <cellStyle name="Remarque 5 2 3 3 5 2 2" xfId="55830" xr:uid="{00000000-0005-0000-0000-00005FD10000}"/>
    <cellStyle name="Remarque 5 2 3 3 5 3" xfId="19117" xr:uid="{00000000-0005-0000-0000-000060D10000}"/>
    <cellStyle name="Remarque 5 2 3 3 5 4" xfId="43077" xr:uid="{00000000-0005-0000-0000-000061D10000}"/>
    <cellStyle name="Remarque 5 2 3 3 6" xfId="9241" xr:uid="{00000000-0005-0000-0000-000062D10000}"/>
    <cellStyle name="Remarque 5 2 3 3 6 2" xfId="33255" xr:uid="{00000000-0005-0000-0000-000063D10000}"/>
    <cellStyle name="Remarque 5 2 3 3 6 2 2" xfId="57215" xr:uid="{00000000-0005-0000-0000-000064D10000}"/>
    <cellStyle name="Remarque 5 2 3 3 6 3" xfId="20502" xr:uid="{00000000-0005-0000-0000-000065D10000}"/>
    <cellStyle name="Remarque 5 2 3 3 6 4" xfId="44462" xr:uid="{00000000-0005-0000-0000-000066D10000}"/>
    <cellStyle name="Remarque 5 2 3 3 7" xfId="10698" xr:uid="{00000000-0005-0000-0000-000067D10000}"/>
    <cellStyle name="Remarque 5 2 3 3 7 2" xfId="34708" xr:uid="{00000000-0005-0000-0000-000068D10000}"/>
    <cellStyle name="Remarque 5 2 3 3 7 2 2" xfId="58668" xr:uid="{00000000-0005-0000-0000-000069D10000}"/>
    <cellStyle name="Remarque 5 2 3 3 7 3" xfId="21965" xr:uid="{00000000-0005-0000-0000-00006AD10000}"/>
    <cellStyle name="Remarque 5 2 3 3 7 4" xfId="45925" xr:uid="{00000000-0005-0000-0000-00006BD10000}"/>
    <cellStyle name="Remarque 5 2 3 3 8" xfId="11617" xr:uid="{00000000-0005-0000-0000-00006CD10000}"/>
    <cellStyle name="Remarque 5 2 3 3 8 2" xfId="22885" xr:uid="{00000000-0005-0000-0000-00006DD10000}"/>
    <cellStyle name="Remarque 5 2 3 3 8 3" xfId="46845" xr:uid="{00000000-0005-0000-0000-00006ED10000}"/>
    <cellStyle name="Remarque 5 2 3 3 9" xfId="2170" xr:uid="{00000000-0005-0000-0000-00006FD10000}"/>
    <cellStyle name="Remarque 5 2 3 3 9 2" xfId="26184" xr:uid="{00000000-0005-0000-0000-000070D10000}"/>
    <cellStyle name="Remarque 5 2 3 3 9 3" xfId="50144" xr:uid="{00000000-0005-0000-0000-000071D10000}"/>
    <cellStyle name="Remarque 5 2 3 4" xfId="928" xr:uid="{00000000-0005-0000-0000-000072D10000}"/>
    <cellStyle name="Remarque 5 2 3 4 10" xfId="24960" xr:uid="{00000000-0005-0000-0000-000073D10000}"/>
    <cellStyle name="Remarque 5 2 3 4 10 2" xfId="48920" xr:uid="{00000000-0005-0000-0000-000074D10000}"/>
    <cellStyle name="Remarque 5 2 3 4 11" xfId="36679" xr:uid="{00000000-0005-0000-0000-000075D10000}"/>
    <cellStyle name="Remarque 5 2 3 4 11 2" xfId="60639" xr:uid="{00000000-0005-0000-0000-000076D10000}"/>
    <cellStyle name="Remarque 5 2 3 4 12" xfId="13625" xr:uid="{00000000-0005-0000-0000-000077D10000}"/>
    <cellStyle name="Remarque 5 2 3 4 13" xfId="37585" xr:uid="{00000000-0005-0000-0000-000078D10000}"/>
    <cellStyle name="Remarque 5 2 3 4 2" xfId="3834" xr:uid="{00000000-0005-0000-0000-000079D10000}"/>
    <cellStyle name="Remarque 5 2 3 4 2 2" xfId="27848" xr:uid="{00000000-0005-0000-0000-00007AD10000}"/>
    <cellStyle name="Remarque 5 2 3 4 2 2 2" xfId="51808" xr:uid="{00000000-0005-0000-0000-00007BD10000}"/>
    <cellStyle name="Remarque 5 2 3 4 2 3" xfId="15095" xr:uid="{00000000-0005-0000-0000-00007CD10000}"/>
    <cellStyle name="Remarque 5 2 3 4 2 4" xfId="39055" xr:uid="{00000000-0005-0000-0000-00007DD10000}"/>
    <cellStyle name="Remarque 5 2 3 4 3" xfId="5268" xr:uid="{00000000-0005-0000-0000-00007ED10000}"/>
    <cellStyle name="Remarque 5 2 3 4 3 2" xfId="29282" xr:uid="{00000000-0005-0000-0000-00007FD10000}"/>
    <cellStyle name="Remarque 5 2 3 4 3 2 2" xfId="53242" xr:uid="{00000000-0005-0000-0000-000080D10000}"/>
    <cellStyle name="Remarque 5 2 3 4 3 3" xfId="16529" xr:uid="{00000000-0005-0000-0000-000081D10000}"/>
    <cellStyle name="Remarque 5 2 3 4 3 4" xfId="40489" xr:uid="{00000000-0005-0000-0000-000082D10000}"/>
    <cellStyle name="Remarque 5 2 3 4 4" xfId="6662" xr:uid="{00000000-0005-0000-0000-000083D10000}"/>
    <cellStyle name="Remarque 5 2 3 4 4 2" xfId="30676" xr:uid="{00000000-0005-0000-0000-000084D10000}"/>
    <cellStyle name="Remarque 5 2 3 4 4 2 2" xfId="54636" xr:uid="{00000000-0005-0000-0000-000085D10000}"/>
    <cellStyle name="Remarque 5 2 3 4 4 3" xfId="17923" xr:uid="{00000000-0005-0000-0000-000086D10000}"/>
    <cellStyle name="Remarque 5 2 3 4 4 4" xfId="41883" xr:uid="{00000000-0005-0000-0000-000087D10000}"/>
    <cellStyle name="Remarque 5 2 3 4 5" xfId="8050" xr:uid="{00000000-0005-0000-0000-000088D10000}"/>
    <cellStyle name="Remarque 5 2 3 4 5 2" xfId="32064" xr:uid="{00000000-0005-0000-0000-000089D10000}"/>
    <cellStyle name="Remarque 5 2 3 4 5 2 2" xfId="56024" xr:uid="{00000000-0005-0000-0000-00008AD10000}"/>
    <cellStyle name="Remarque 5 2 3 4 5 3" xfId="19311" xr:uid="{00000000-0005-0000-0000-00008BD10000}"/>
    <cellStyle name="Remarque 5 2 3 4 5 4" xfId="43271" xr:uid="{00000000-0005-0000-0000-00008CD10000}"/>
    <cellStyle name="Remarque 5 2 3 4 6" xfId="9435" xr:uid="{00000000-0005-0000-0000-00008DD10000}"/>
    <cellStyle name="Remarque 5 2 3 4 6 2" xfId="33449" xr:uid="{00000000-0005-0000-0000-00008ED10000}"/>
    <cellStyle name="Remarque 5 2 3 4 6 2 2" xfId="57409" xr:uid="{00000000-0005-0000-0000-00008FD10000}"/>
    <cellStyle name="Remarque 5 2 3 4 6 3" xfId="20696" xr:uid="{00000000-0005-0000-0000-000090D10000}"/>
    <cellStyle name="Remarque 5 2 3 4 6 4" xfId="44656" xr:uid="{00000000-0005-0000-0000-000091D10000}"/>
    <cellStyle name="Remarque 5 2 3 4 7" xfId="10892" xr:uid="{00000000-0005-0000-0000-000092D10000}"/>
    <cellStyle name="Remarque 5 2 3 4 7 2" xfId="34902" xr:uid="{00000000-0005-0000-0000-000093D10000}"/>
    <cellStyle name="Remarque 5 2 3 4 7 2 2" xfId="58862" xr:uid="{00000000-0005-0000-0000-000094D10000}"/>
    <cellStyle name="Remarque 5 2 3 4 7 3" xfId="22159" xr:uid="{00000000-0005-0000-0000-000095D10000}"/>
    <cellStyle name="Remarque 5 2 3 4 7 4" xfId="46119" xr:uid="{00000000-0005-0000-0000-000096D10000}"/>
    <cellStyle name="Remarque 5 2 3 4 8" xfId="11789" xr:uid="{00000000-0005-0000-0000-000097D10000}"/>
    <cellStyle name="Remarque 5 2 3 4 8 2" xfId="23063" xr:uid="{00000000-0005-0000-0000-000098D10000}"/>
    <cellStyle name="Remarque 5 2 3 4 8 3" xfId="47023" xr:uid="{00000000-0005-0000-0000-000099D10000}"/>
    <cellStyle name="Remarque 5 2 3 4 9" xfId="2364" xr:uid="{00000000-0005-0000-0000-00009AD10000}"/>
    <cellStyle name="Remarque 5 2 3 4 9 2" xfId="26378" xr:uid="{00000000-0005-0000-0000-00009BD10000}"/>
    <cellStyle name="Remarque 5 2 3 4 9 3" xfId="50338" xr:uid="{00000000-0005-0000-0000-00009CD10000}"/>
    <cellStyle name="Remarque 5 2 3 5" xfId="1121" xr:uid="{00000000-0005-0000-0000-00009DD10000}"/>
    <cellStyle name="Remarque 5 2 3 5 10" xfId="25153" xr:uid="{00000000-0005-0000-0000-00009ED10000}"/>
    <cellStyle name="Remarque 5 2 3 5 10 2" xfId="49113" xr:uid="{00000000-0005-0000-0000-00009FD10000}"/>
    <cellStyle name="Remarque 5 2 3 5 11" xfId="24257" xr:uid="{00000000-0005-0000-0000-0000A0D10000}"/>
    <cellStyle name="Remarque 5 2 3 5 11 2" xfId="48217" xr:uid="{00000000-0005-0000-0000-0000A1D10000}"/>
    <cellStyle name="Remarque 5 2 3 5 12" xfId="13818" xr:uid="{00000000-0005-0000-0000-0000A2D10000}"/>
    <cellStyle name="Remarque 5 2 3 5 13" xfId="37778" xr:uid="{00000000-0005-0000-0000-0000A3D10000}"/>
    <cellStyle name="Remarque 5 2 3 5 2" xfId="4027" xr:uid="{00000000-0005-0000-0000-0000A4D10000}"/>
    <cellStyle name="Remarque 5 2 3 5 2 2" xfId="28041" xr:uid="{00000000-0005-0000-0000-0000A5D10000}"/>
    <cellStyle name="Remarque 5 2 3 5 2 2 2" xfId="52001" xr:uid="{00000000-0005-0000-0000-0000A6D10000}"/>
    <cellStyle name="Remarque 5 2 3 5 2 3" xfId="15288" xr:uid="{00000000-0005-0000-0000-0000A7D10000}"/>
    <cellStyle name="Remarque 5 2 3 5 2 4" xfId="39248" xr:uid="{00000000-0005-0000-0000-0000A8D10000}"/>
    <cellStyle name="Remarque 5 2 3 5 3" xfId="5461" xr:uid="{00000000-0005-0000-0000-0000A9D10000}"/>
    <cellStyle name="Remarque 5 2 3 5 3 2" xfId="29475" xr:uid="{00000000-0005-0000-0000-0000AAD10000}"/>
    <cellStyle name="Remarque 5 2 3 5 3 2 2" xfId="53435" xr:uid="{00000000-0005-0000-0000-0000ABD10000}"/>
    <cellStyle name="Remarque 5 2 3 5 3 3" xfId="16722" xr:uid="{00000000-0005-0000-0000-0000ACD10000}"/>
    <cellStyle name="Remarque 5 2 3 5 3 4" xfId="40682" xr:uid="{00000000-0005-0000-0000-0000ADD10000}"/>
    <cellStyle name="Remarque 5 2 3 5 4" xfId="6855" xr:uid="{00000000-0005-0000-0000-0000AED10000}"/>
    <cellStyle name="Remarque 5 2 3 5 4 2" xfId="30869" xr:uid="{00000000-0005-0000-0000-0000AFD10000}"/>
    <cellStyle name="Remarque 5 2 3 5 4 2 2" xfId="54829" xr:uid="{00000000-0005-0000-0000-0000B0D10000}"/>
    <cellStyle name="Remarque 5 2 3 5 4 3" xfId="18116" xr:uid="{00000000-0005-0000-0000-0000B1D10000}"/>
    <cellStyle name="Remarque 5 2 3 5 4 4" xfId="42076" xr:uid="{00000000-0005-0000-0000-0000B2D10000}"/>
    <cellStyle name="Remarque 5 2 3 5 5" xfId="8243" xr:uid="{00000000-0005-0000-0000-0000B3D10000}"/>
    <cellStyle name="Remarque 5 2 3 5 5 2" xfId="32257" xr:uid="{00000000-0005-0000-0000-0000B4D10000}"/>
    <cellStyle name="Remarque 5 2 3 5 5 2 2" xfId="56217" xr:uid="{00000000-0005-0000-0000-0000B5D10000}"/>
    <cellStyle name="Remarque 5 2 3 5 5 3" xfId="19504" xr:uid="{00000000-0005-0000-0000-0000B6D10000}"/>
    <cellStyle name="Remarque 5 2 3 5 5 4" xfId="43464" xr:uid="{00000000-0005-0000-0000-0000B7D10000}"/>
    <cellStyle name="Remarque 5 2 3 5 6" xfId="9628" xr:uid="{00000000-0005-0000-0000-0000B8D10000}"/>
    <cellStyle name="Remarque 5 2 3 5 6 2" xfId="33642" xr:uid="{00000000-0005-0000-0000-0000B9D10000}"/>
    <cellStyle name="Remarque 5 2 3 5 6 2 2" xfId="57602" xr:uid="{00000000-0005-0000-0000-0000BAD10000}"/>
    <cellStyle name="Remarque 5 2 3 5 6 3" xfId="20889" xr:uid="{00000000-0005-0000-0000-0000BBD10000}"/>
    <cellStyle name="Remarque 5 2 3 5 6 4" xfId="44849" xr:uid="{00000000-0005-0000-0000-0000BCD10000}"/>
    <cellStyle name="Remarque 5 2 3 5 7" xfId="11085" xr:uid="{00000000-0005-0000-0000-0000BDD10000}"/>
    <cellStyle name="Remarque 5 2 3 5 7 2" xfId="35095" xr:uid="{00000000-0005-0000-0000-0000BED10000}"/>
    <cellStyle name="Remarque 5 2 3 5 7 2 2" xfId="59055" xr:uid="{00000000-0005-0000-0000-0000BFD10000}"/>
    <cellStyle name="Remarque 5 2 3 5 7 3" xfId="22352" xr:uid="{00000000-0005-0000-0000-0000C0D10000}"/>
    <cellStyle name="Remarque 5 2 3 5 7 4" xfId="46312" xr:uid="{00000000-0005-0000-0000-0000C1D10000}"/>
    <cellStyle name="Remarque 5 2 3 5 8" xfId="10142" xr:uid="{00000000-0005-0000-0000-0000C2D10000}"/>
    <cellStyle name="Remarque 5 2 3 5 8 2" xfId="21405" xr:uid="{00000000-0005-0000-0000-0000C3D10000}"/>
    <cellStyle name="Remarque 5 2 3 5 8 3" xfId="45365" xr:uid="{00000000-0005-0000-0000-0000C4D10000}"/>
    <cellStyle name="Remarque 5 2 3 5 9" xfId="2557" xr:uid="{00000000-0005-0000-0000-0000C5D10000}"/>
    <cellStyle name="Remarque 5 2 3 5 9 2" xfId="26571" xr:uid="{00000000-0005-0000-0000-0000C6D10000}"/>
    <cellStyle name="Remarque 5 2 3 5 9 3" xfId="50531" xr:uid="{00000000-0005-0000-0000-0000C7D10000}"/>
    <cellStyle name="Remarque 5 2 3 6" xfId="1288" xr:uid="{00000000-0005-0000-0000-0000C8D10000}"/>
    <cellStyle name="Remarque 5 2 3 6 10" xfId="25320" xr:uid="{00000000-0005-0000-0000-0000C9D10000}"/>
    <cellStyle name="Remarque 5 2 3 6 10 2" xfId="49280" xr:uid="{00000000-0005-0000-0000-0000CAD10000}"/>
    <cellStyle name="Remarque 5 2 3 6 11" xfId="36750" xr:uid="{00000000-0005-0000-0000-0000CBD10000}"/>
    <cellStyle name="Remarque 5 2 3 6 11 2" xfId="60710" xr:uid="{00000000-0005-0000-0000-0000CCD10000}"/>
    <cellStyle name="Remarque 5 2 3 6 12" xfId="13985" xr:uid="{00000000-0005-0000-0000-0000CDD10000}"/>
    <cellStyle name="Remarque 5 2 3 6 13" xfId="37945" xr:uid="{00000000-0005-0000-0000-0000CED10000}"/>
    <cellStyle name="Remarque 5 2 3 6 2" xfId="4194" xr:uid="{00000000-0005-0000-0000-0000CFD10000}"/>
    <cellStyle name="Remarque 5 2 3 6 2 2" xfId="28208" xr:uid="{00000000-0005-0000-0000-0000D0D10000}"/>
    <cellStyle name="Remarque 5 2 3 6 2 2 2" xfId="52168" xr:uid="{00000000-0005-0000-0000-0000D1D10000}"/>
    <cellStyle name="Remarque 5 2 3 6 2 3" xfId="15455" xr:uid="{00000000-0005-0000-0000-0000D2D10000}"/>
    <cellStyle name="Remarque 5 2 3 6 2 4" xfId="39415" xr:uid="{00000000-0005-0000-0000-0000D3D10000}"/>
    <cellStyle name="Remarque 5 2 3 6 3" xfId="5628" xr:uid="{00000000-0005-0000-0000-0000D4D10000}"/>
    <cellStyle name="Remarque 5 2 3 6 3 2" xfId="29642" xr:uid="{00000000-0005-0000-0000-0000D5D10000}"/>
    <cellStyle name="Remarque 5 2 3 6 3 2 2" xfId="53602" xr:uid="{00000000-0005-0000-0000-0000D6D10000}"/>
    <cellStyle name="Remarque 5 2 3 6 3 3" xfId="16889" xr:uid="{00000000-0005-0000-0000-0000D7D10000}"/>
    <cellStyle name="Remarque 5 2 3 6 3 4" xfId="40849" xr:uid="{00000000-0005-0000-0000-0000D8D10000}"/>
    <cellStyle name="Remarque 5 2 3 6 4" xfId="7022" xr:uid="{00000000-0005-0000-0000-0000D9D10000}"/>
    <cellStyle name="Remarque 5 2 3 6 4 2" xfId="31036" xr:uid="{00000000-0005-0000-0000-0000DAD10000}"/>
    <cellStyle name="Remarque 5 2 3 6 4 2 2" xfId="54996" xr:uid="{00000000-0005-0000-0000-0000DBD10000}"/>
    <cellStyle name="Remarque 5 2 3 6 4 3" xfId="18283" xr:uid="{00000000-0005-0000-0000-0000DCD10000}"/>
    <cellStyle name="Remarque 5 2 3 6 4 4" xfId="42243" xr:uid="{00000000-0005-0000-0000-0000DDD10000}"/>
    <cellStyle name="Remarque 5 2 3 6 5" xfId="8410" xr:uid="{00000000-0005-0000-0000-0000DED10000}"/>
    <cellStyle name="Remarque 5 2 3 6 5 2" xfId="32424" xr:uid="{00000000-0005-0000-0000-0000DFD10000}"/>
    <cellStyle name="Remarque 5 2 3 6 5 2 2" xfId="56384" xr:uid="{00000000-0005-0000-0000-0000E0D10000}"/>
    <cellStyle name="Remarque 5 2 3 6 5 3" xfId="19671" xr:uid="{00000000-0005-0000-0000-0000E1D10000}"/>
    <cellStyle name="Remarque 5 2 3 6 5 4" xfId="43631" xr:uid="{00000000-0005-0000-0000-0000E2D10000}"/>
    <cellStyle name="Remarque 5 2 3 6 6" xfId="9795" xr:uid="{00000000-0005-0000-0000-0000E3D10000}"/>
    <cellStyle name="Remarque 5 2 3 6 6 2" xfId="33809" xr:uid="{00000000-0005-0000-0000-0000E4D10000}"/>
    <cellStyle name="Remarque 5 2 3 6 6 2 2" xfId="57769" xr:uid="{00000000-0005-0000-0000-0000E5D10000}"/>
    <cellStyle name="Remarque 5 2 3 6 6 3" xfId="21056" xr:uid="{00000000-0005-0000-0000-0000E6D10000}"/>
    <cellStyle name="Remarque 5 2 3 6 6 4" xfId="45016" xr:uid="{00000000-0005-0000-0000-0000E7D10000}"/>
    <cellStyle name="Remarque 5 2 3 6 7" xfId="11252" xr:uid="{00000000-0005-0000-0000-0000E8D10000}"/>
    <cellStyle name="Remarque 5 2 3 6 7 2" xfId="35262" xr:uid="{00000000-0005-0000-0000-0000E9D10000}"/>
    <cellStyle name="Remarque 5 2 3 6 7 2 2" xfId="59222" xr:uid="{00000000-0005-0000-0000-0000EAD10000}"/>
    <cellStyle name="Remarque 5 2 3 6 7 3" xfId="22519" xr:uid="{00000000-0005-0000-0000-0000EBD10000}"/>
    <cellStyle name="Remarque 5 2 3 6 7 4" xfId="46479" xr:uid="{00000000-0005-0000-0000-0000ECD10000}"/>
    <cellStyle name="Remarque 5 2 3 6 8" xfId="11604" xr:uid="{00000000-0005-0000-0000-0000EDD10000}"/>
    <cellStyle name="Remarque 5 2 3 6 8 2" xfId="22871" xr:uid="{00000000-0005-0000-0000-0000EED10000}"/>
    <cellStyle name="Remarque 5 2 3 6 8 3" xfId="46831" xr:uid="{00000000-0005-0000-0000-0000EFD10000}"/>
    <cellStyle name="Remarque 5 2 3 6 9" xfId="2724" xr:uid="{00000000-0005-0000-0000-0000F0D10000}"/>
    <cellStyle name="Remarque 5 2 3 6 9 2" xfId="26738" xr:uid="{00000000-0005-0000-0000-0000F1D10000}"/>
    <cellStyle name="Remarque 5 2 3 6 9 3" xfId="50698" xr:uid="{00000000-0005-0000-0000-0000F2D10000}"/>
    <cellStyle name="Remarque 5 2 3 7" xfId="1457" xr:uid="{00000000-0005-0000-0000-0000F3D10000}"/>
    <cellStyle name="Remarque 5 2 3 7 10" xfId="25489" xr:uid="{00000000-0005-0000-0000-0000F4D10000}"/>
    <cellStyle name="Remarque 5 2 3 7 10 2" xfId="49449" xr:uid="{00000000-0005-0000-0000-0000F5D10000}"/>
    <cellStyle name="Remarque 5 2 3 7 11" xfId="36664" xr:uid="{00000000-0005-0000-0000-0000F6D10000}"/>
    <cellStyle name="Remarque 5 2 3 7 11 2" xfId="60624" xr:uid="{00000000-0005-0000-0000-0000F7D10000}"/>
    <cellStyle name="Remarque 5 2 3 7 12" xfId="14154" xr:uid="{00000000-0005-0000-0000-0000F8D10000}"/>
    <cellStyle name="Remarque 5 2 3 7 13" xfId="38114" xr:uid="{00000000-0005-0000-0000-0000F9D10000}"/>
    <cellStyle name="Remarque 5 2 3 7 2" xfId="4363" xr:uid="{00000000-0005-0000-0000-0000FAD10000}"/>
    <cellStyle name="Remarque 5 2 3 7 2 2" xfId="28377" xr:uid="{00000000-0005-0000-0000-0000FBD10000}"/>
    <cellStyle name="Remarque 5 2 3 7 2 2 2" xfId="52337" xr:uid="{00000000-0005-0000-0000-0000FCD10000}"/>
    <cellStyle name="Remarque 5 2 3 7 2 3" xfId="15624" xr:uid="{00000000-0005-0000-0000-0000FDD10000}"/>
    <cellStyle name="Remarque 5 2 3 7 2 4" xfId="39584" xr:uid="{00000000-0005-0000-0000-0000FED10000}"/>
    <cellStyle name="Remarque 5 2 3 7 3" xfId="5797" xr:uid="{00000000-0005-0000-0000-0000FFD10000}"/>
    <cellStyle name="Remarque 5 2 3 7 3 2" xfId="29811" xr:uid="{00000000-0005-0000-0000-000000D20000}"/>
    <cellStyle name="Remarque 5 2 3 7 3 2 2" xfId="53771" xr:uid="{00000000-0005-0000-0000-000001D20000}"/>
    <cellStyle name="Remarque 5 2 3 7 3 3" xfId="17058" xr:uid="{00000000-0005-0000-0000-000002D20000}"/>
    <cellStyle name="Remarque 5 2 3 7 3 4" xfId="41018" xr:uid="{00000000-0005-0000-0000-000003D20000}"/>
    <cellStyle name="Remarque 5 2 3 7 4" xfId="7191" xr:uid="{00000000-0005-0000-0000-000004D20000}"/>
    <cellStyle name="Remarque 5 2 3 7 4 2" xfId="31205" xr:uid="{00000000-0005-0000-0000-000005D20000}"/>
    <cellStyle name="Remarque 5 2 3 7 4 2 2" xfId="55165" xr:uid="{00000000-0005-0000-0000-000006D20000}"/>
    <cellStyle name="Remarque 5 2 3 7 4 3" xfId="18452" xr:uid="{00000000-0005-0000-0000-000007D20000}"/>
    <cellStyle name="Remarque 5 2 3 7 4 4" xfId="42412" xr:uid="{00000000-0005-0000-0000-000008D20000}"/>
    <cellStyle name="Remarque 5 2 3 7 5" xfId="8579" xr:uid="{00000000-0005-0000-0000-000009D20000}"/>
    <cellStyle name="Remarque 5 2 3 7 5 2" xfId="32593" xr:uid="{00000000-0005-0000-0000-00000AD20000}"/>
    <cellStyle name="Remarque 5 2 3 7 5 2 2" xfId="56553" xr:uid="{00000000-0005-0000-0000-00000BD20000}"/>
    <cellStyle name="Remarque 5 2 3 7 5 3" xfId="19840" xr:uid="{00000000-0005-0000-0000-00000CD20000}"/>
    <cellStyle name="Remarque 5 2 3 7 5 4" xfId="43800" xr:uid="{00000000-0005-0000-0000-00000DD20000}"/>
    <cellStyle name="Remarque 5 2 3 7 6" xfId="9964" xr:uid="{00000000-0005-0000-0000-00000ED20000}"/>
    <cellStyle name="Remarque 5 2 3 7 6 2" xfId="33978" xr:uid="{00000000-0005-0000-0000-00000FD20000}"/>
    <cellStyle name="Remarque 5 2 3 7 6 2 2" xfId="57938" xr:uid="{00000000-0005-0000-0000-000010D20000}"/>
    <cellStyle name="Remarque 5 2 3 7 6 3" xfId="21225" xr:uid="{00000000-0005-0000-0000-000011D20000}"/>
    <cellStyle name="Remarque 5 2 3 7 6 4" xfId="45185" xr:uid="{00000000-0005-0000-0000-000012D20000}"/>
    <cellStyle name="Remarque 5 2 3 7 7" xfId="11421" xr:uid="{00000000-0005-0000-0000-000013D20000}"/>
    <cellStyle name="Remarque 5 2 3 7 7 2" xfId="35431" xr:uid="{00000000-0005-0000-0000-000014D20000}"/>
    <cellStyle name="Remarque 5 2 3 7 7 2 2" xfId="59391" xr:uid="{00000000-0005-0000-0000-000015D20000}"/>
    <cellStyle name="Remarque 5 2 3 7 7 3" xfId="22688" xr:uid="{00000000-0005-0000-0000-000016D20000}"/>
    <cellStyle name="Remarque 5 2 3 7 7 4" xfId="46648" xr:uid="{00000000-0005-0000-0000-000017D20000}"/>
    <cellStyle name="Remarque 5 2 3 7 8" xfId="12732" xr:uid="{00000000-0005-0000-0000-000018D20000}"/>
    <cellStyle name="Remarque 5 2 3 7 8 2" xfId="24038" xr:uid="{00000000-0005-0000-0000-000019D20000}"/>
    <cellStyle name="Remarque 5 2 3 7 8 3" xfId="47998" xr:uid="{00000000-0005-0000-0000-00001AD20000}"/>
    <cellStyle name="Remarque 5 2 3 7 9" xfId="2893" xr:uid="{00000000-0005-0000-0000-00001BD20000}"/>
    <cellStyle name="Remarque 5 2 3 7 9 2" xfId="26907" xr:uid="{00000000-0005-0000-0000-00001CD20000}"/>
    <cellStyle name="Remarque 5 2 3 7 9 3" xfId="50867" xr:uid="{00000000-0005-0000-0000-00001DD20000}"/>
    <cellStyle name="Remarque 5 2 3 8" xfId="3312" xr:uid="{00000000-0005-0000-0000-00001ED20000}"/>
    <cellStyle name="Remarque 5 2 3 8 2" xfId="27326" xr:uid="{00000000-0005-0000-0000-00001FD20000}"/>
    <cellStyle name="Remarque 5 2 3 8 2 2" xfId="51286" xr:uid="{00000000-0005-0000-0000-000020D20000}"/>
    <cellStyle name="Remarque 5 2 3 8 3" xfId="14573" xr:uid="{00000000-0005-0000-0000-000021D20000}"/>
    <cellStyle name="Remarque 5 2 3 8 4" xfId="38533" xr:uid="{00000000-0005-0000-0000-000022D20000}"/>
    <cellStyle name="Remarque 5 2 3 9" xfId="4746" xr:uid="{00000000-0005-0000-0000-000023D20000}"/>
    <cellStyle name="Remarque 5 2 3 9 2" xfId="28760" xr:uid="{00000000-0005-0000-0000-000024D20000}"/>
    <cellStyle name="Remarque 5 2 3 9 2 2" xfId="52720" xr:uid="{00000000-0005-0000-0000-000025D20000}"/>
    <cellStyle name="Remarque 5 2 3 9 3" xfId="16007" xr:uid="{00000000-0005-0000-0000-000026D20000}"/>
    <cellStyle name="Remarque 5 2 3 9 4" xfId="39967" xr:uid="{00000000-0005-0000-0000-000027D20000}"/>
    <cellStyle name="Remarque 5 2 4" xfId="446" xr:uid="{00000000-0005-0000-0000-000028D20000}"/>
    <cellStyle name="Remarque 5 2 4 10" xfId="6180" xr:uid="{00000000-0005-0000-0000-000029D20000}"/>
    <cellStyle name="Remarque 5 2 4 10 2" xfId="30194" xr:uid="{00000000-0005-0000-0000-00002AD20000}"/>
    <cellStyle name="Remarque 5 2 4 10 2 2" xfId="54154" xr:uid="{00000000-0005-0000-0000-00002BD20000}"/>
    <cellStyle name="Remarque 5 2 4 10 3" xfId="17441" xr:uid="{00000000-0005-0000-0000-00002CD20000}"/>
    <cellStyle name="Remarque 5 2 4 10 4" xfId="41401" xr:uid="{00000000-0005-0000-0000-00002DD20000}"/>
    <cellStyle name="Remarque 5 2 4 11" xfId="7568" xr:uid="{00000000-0005-0000-0000-00002ED20000}"/>
    <cellStyle name="Remarque 5 2 4 11 2" xfId="31582" xr:uid="{00000000-0005-0000-0000-00002FD20000}"/>
    <cellStyle name="Remarque 5 2 4 11 2 2" xfId="55542" xr:uid="{00000000-0005-0000-0000-000030D20000}"/>
    <cellStyle name="Remarque 5 2 4 11 3" xfId="18829" xr:uid="{00000000-0005-0000-0000-000031D20000}"/>
    <cellStyle name="Remarque 5 2 4 11 4" xfId="42789" xr:uid="{00000000-0005-0000-0000-000032D20000}"/>
    <cellStyle name="Remarque 5 2 4 12" xfId="8953" xr:uid="{00000000-0005-0000-0000-000033D20000}"/>
    <cellStyle name="Remarque 5 2 4 12 2" xfId="32967" xr:uid="{00000000-0005-0000-0000-000034D20000}"/>
    <cellStyle name="Remarque 5 2 4 12 2 2" xfId="56927" xr:uid="{00000000-0005-0000-0000-000035D20000}"/>
    <cellStyle name="Remarque 5 2 4 12 3" xfId="20214" xr:uid="{00000000-0005-0000-0000-000036D20000}"/>
    <cellStyle name="Remarque 5 2 4 12 4" xfId="44174" xr:uid="{00000000-0005-0000-0000-000037D20000}"/>
    <cellStyle name="Remarque 5 2 4 13" xfId="10410" xr:uid="{00000000-0005-0000-0000-000038D20000}"/>
    <cellStyle name="Remarque 5 2 4 13 2" xfId="34420" xr:uid="{00000000-0005-0000-0000-000039D20000}"/>
    <cellStyle name="Remarque 5 2 4 13 2 2" xfId="58380" xr:uid="{00000000-0005-0000-0000-00003AD20000}"/>
    <cellStyle name="Remarque 5 2 4 13 3" xfId="21677" xr:uid="{00000000-0005-0000-0000-00003BD20000}"/>
    <cellStyle name="Remarque 5 2 4 13 4" xfId="45637" xr:uid="{00000000-0005-0000-0000-00003CD20000}"/>
    <cellStyle name="Remarque 5 2 4 14" xfId="12059" xr:uid="{00000000-0005-0000-0000-00003DD20000}"/>
    <cellStyle name="Remarque 5 2 4 14 2" xfId="23340" xr:uid="{00000000-0005-0000-0000-00003ED20000}"/>
    <cellStyle name="Remarque 5 2 4 14 3" xfId="47300" xr:uid="{00000000-0005-0000-0000-00003FD20000}"/>
    <cellStyle name="Remarque 5 2 4 15" xfId="1882" xr:uid="{00000000-0005-0000-0000-000040D20000}"/>
    <cellStyle name="Remarque 5 2 4 15 2" xfId="25896" xr:uid="{00000000-0005-0000-0000-000041D20000}"/>
    <cellStyle name="Remarque 5 2 4 15 3" xfId="49856" xr:uid="{00000000-0005-0000-0000-000042D20000}"/>
    <cellStyle name="Remarque 5 2 4 16" xfId="24478" xr:uid="{00000000-0005-0000-0000-000043D20000}"/>
    <cellStyle name="Remarque 5 2 4 16 2" xfId="48438" xr:uid="{00000000-0005-0000-0000-000044D20000}"/>
    <cellStyle name="Remarque 5 2 4 17" xfId="35763" xr:uid="{00000000-0005-0000-0000-000045D20000}"/>
    <cellStyle name="Remarque 5 2 4 17 2" xfId="59723" xr:uid="{00000000-0005-0000-0000-000046D20000}"/>
    <cellStyle name="Remarque 5 2 4 18" xfId="13143" xr:uid="{00000000-0005-0000-0000-000047D20000}"/>
    <cellStyle name="Remarque 5 2 4 19" xfId="37103" xr:uid="{00000000-0005-0000-0000-000048D20000}"/>
    <cellStyle name="Remarque 5 2 4 2" xfId="582" xr:uid="{00000000-0005-0000-0000-000049D20000}"/>
    <cellStyle name="Remarque 5 2 4 2 10" xfId="24614" xr:uid="{00000000-0005-0000-0000-00004AD20000}"/>
    <cellStyle name="Remarque 5 2 4 2 10 2" xfId="48574" xr:uid="{00000000-0005-0000-0000-00004BD20000}"/>
    <cellStyle name="Remarque 5 2 4 2 11" xfId="35643" xr:uid="{00000000-0005-0000-0000-00004CD20000}"/>
    <cellStyle name="Remarque 5 2 4 2 11 2" xfId="59603" xr:uid="{00000000-0005-0000-0000-00004DD20000}"/>
    <cellStyle name="Remarque 5 2 4 2 12" xfId="13279" xr:uid="{00000000-0005-0000-0000-00004ED20000}"/>
    <cellStyle name="Remarque 5 2 4 2 13" xfId="37239" xr:uid="{00000000-0005-0000-0000-00004FD20000}"/>
    <cellStyle name="Remarque 5 2 4 2 2" xfId="3488" xr:uid="{00000000-0005-0000-0000-000050D20000}"/>
    <cellStyle name="Remarque 5 2 4 2 2 2" xfId="27502" xr:uid="{00000000-0005-0000-0000-000051D20000}"/>
    <cellStyle name="Remarque 5 2 4 2 2 2 2" xfId="51462" xr:uid="{00000000-0005-0000-0000-000052D20000}"/>
    <cellStyle name="Remarque 5 2 4 2 2 3" xfId="14749" xr:uid="{00000000-0005-0000-0000-000053D20000}"/>
    <cellStyle name="Remarque 5 2 4 2 2 4" xfId="38709" xr:uid="{00000000-0005-0000-0000-000054D20000}"/>
    <cellStyle name="Remarque 5 2 4 2 3" xfId="4922" xr:uid="{00000000-0005-0000-0000-000055D20000}"/>
    <cellStyle name="Remarque 5 2 4 2 3 2" xfId="28936" xr:uid="{00000000-0005-0000-0000-000056D20000}"/>
    <cellStyle name="Remarque 5 2 4 2 3 2 2" xfId="52896" xr:uid="{00000000-0005-0000-0000-000057D20000}"/>
    <cellStyle name="Remarque 5 2 4 2 3 3" xfId="16183" xr:uid="{00000000-0005-0000-0000-000058D20000}"/>
    <cellStyle name="Remarque 5 2 4 2 3 4" xfId="40143" xr:uid="{00000000-0005-0000-0000-000059D20000}"/>
    <cellStyle name="Remarque 5 2 4 2 4" xfId="6316" xr:uid="{00000000-0005-0000-0000-00005AD20000}"/>
    <cellStyle name="Remarque 5 2 4 2 4 2" xfId="30330" xr:uid="{00000000-0005-0000-0000-00005BD20000}"/>
    <cellStyle name="Remarque 5 2 4 2 4 2 2" xfId="54290" xr:uid="{00000000-0005-0000-0000-00005CD20000}"/>
    <cellStyle name="Remarque 5 2 4 2 4 3" xfId="17577" xr:uid="{00000000-0005-0000-0000-00005DD20000}"/>
    <cellStyle name="Remarque 5 2 4 2 4 4" xfId="41537" xr:uid="{00000000-0005-0000-0000-00005ED20000}"/>
    <cellStyle name="Remarque 5 2 4 2 5" xfId="7704" xr:uid="{00000000-0005-0000-0000-00005FD20000}"/>
    <cellStyle name="Remarque 5 2 4 2 5 2" xfId="31718" xr:uid="{00000000-0005-0000-0000-000060D20000}"/>
    <cellStyle name="Remarque 5 2 4 2 5 2 2" xfId="55678" xr:uid="{00000000-0005-0000-0000-000061D20000}"/>
    <cellStyle name="Remarque 5 2 4 2 5 3" xfId="18965" xr:uid="{00000000-0005-0000-0000-000062D20000}"/>
    <cellStyle name="Remarque 5 2 4 2 5 4" xfId="42925" xr:uid="{00000000-0005-0000-0000-000063D20000}"/>
    <cellStyle name="Remarque 5 2 4 2 6" xfId="9089" xr:uid="{00000000-0005-0000-0000-000064D20000}"/>
    <cellStyle name="Remarque 5 2 4 2 6 2" xfId="33103" xr:uid="{00000000-0005-0000-0000-000065D20000}"/>
    <cellStyle name="Remarque 5 2 4 2 6 2 2" xfId="57063" xr:uid="{00000000-0005-0000-0000-000066D20000}"/>
    <cellStyle name="Remarque 5 2 4 2 6 3" xfId="20350" xr:uid="{00000000-0005-0000-0000-000067D20000}"/>
    <cellStyle name="Remarque 5 2 4 2 6 4" xfId="44310" xr:uid="{00000000-0005-0000-0000-000068D20000}"/>
    <cellStyle name="Remarque 5 2 4 2 7" xfId="10546" xr:uid="{00000000-0005-0000-0000-000069D20000}"/>
    <cellStyle name="Remarque 5 2 4 2 7 2" xfId="34556" xr:uid="{00000000-0005-0000-0000-00006AD20000}"/>
    <cellStyle name="Remarque 5 2 4 2 7 2 2" xfId="58516" xr:uid="{00000000-0005-0000-0000-00006BD20000}"/>
    <cellStyle name="Remarque 5 2 4 2 7 3" xfId="21813" xr:uid="{00000000-0005-0000-0000-00006CD20000}"/>
    <cellStyle name="Remarque 5 2 4 2 7 4" xfId="45773" xr:uid="{00000000-0005-0000-0000-00006DD20000}"/>
    <cellStyle name="Remarque 5 2 4 2 8" xfId="12588" xr:uid="{00000000-0005-0000-0000-00006ED20000}"/>
    <cellStyle name="Remarque 5 2 4 2 8 2" xfId="23889" xr:uid="{00000000-0005-0000-0000-00006FD20000}"/>
    <cellStyle name="Remarque 5 2 4 2 8 3" xfId="47849" xr:uid="{00000000-0005-0000-0000-000070D20000}"/>
    <cellStyle name="Remarque 5 2 4 2 9" xfId="2018" xr:uid="{00000000-0005-0000-0000-000071D20000}"/>
    <cellStyle name="Remarque 5 2 4 2 9 2" xfId="26032" xr:uid="{00000000-0005-0000-0000-000072D20000}"/>
    <cellStyle name="Remarque 5 2 4 2 9 3" xfId="49992" xr:uid="{00000000-0005-0000-0000-000073D20000}"/>
    <cellStyle name="Remarque 5 2 4 3" xfId="774" xr:uid="{00000000-0005-0000-0000-000074D20000}"/>
    <cellStyle name="Remarque 5 2 4 3 10" xfId="24806" xr:uid="{00000000-0005-0000-0000-000075D20000}"/>
    <cellStyle name="Remarque 5 2 4 3 10 2" xfId="48766" xr:uid="{00000000-0005-0000-0000-000076D20000}"/>
    <cellStyle name="Remarque 5 2 4 3 11" xfId="35940" xr:uid="{00000000-0005-0000-0000-000077D20000}"/>
    <cellStyle name="Remarque 5 2 4 3 11 2" xfId="59900" xr:uid="{00000000-0005-0000-0000-000078D20000}"/>
    <cellStyle name="Remarque 5 2 4 3 12" xfId="13471" xr:uid="{00000000-0005-0000-0000-000079D20000}"/>
    <cellStyle name="Remarque 5 2 4 3 13" xfId="37431" xr:uid="{00000000-0005-0000-0000-00007AD20000}"/>
    <cellStyle name="Remarque 5 2 4 3 2" xfId="3680" xr:uid="{00000000-0005-0000-0000-00007BD20000}"/>
    <cellStyle name="Remarque 5 2 4 3 2 2" xfId="27694" xr:uid="{00000000-0005-0000-0000-00007CD20000}"/>
    <cellStyle name="Remarque 5 2 4 3 2 2 2" xfId="51654" xr:uid="{00000000-0005-0000-0000-00007DD20000}"/>
    <cellStyle name="Remarque 5 2 4 3 2 3" xfId="14941" xr:uid="{00000000-0005-0000-0000-00007ED20000}"/>
    <cellStyle name="Remarque 5 2 4 3 2 4" xfId="38901" xr:uid="{00000000-0005-0000-0000-00007FD20000}"/>
    <cellStyle name="Remarque 5 2 4 3 3" xfId="5114" xr:uid="{00000000-0005-0000-0000-000080D20000}"/>
    <cellStyle name="Remarque 5 2 4 3 3 2" xfId="29128" xr:uid="{00000000-0005-0000-0000-000081D20000}"/>
    <cellStyle name="Remarque 5 2 4 3 3 2 2" xfId="53088" xr:uid="{00000000-0005-0000-0000-000082D20000}"/>
    <cellStyle name="Remarque 5 2 4 3 3 3" xfId="16375" xr:uid="{00000000-0005-0000-0000-000083D20000}"/>
    <cellStyle name="Remarque 5 2 4 3 3 4" xfId="40335" xr:uid="{00000000-0005-0000-0000-000084D20000}"/>
    <cellStyle name="Remarque 5 2 4 3 4" xfId="6508" xr:uid="{00000000-0005-0000-0000-000085D20000}"/>
    <cellStyle name="Remarque 5 2 4 3 4 2" xfId="30522" xr:uid="{00000000-0005-0000-0000-000086D20000}"/>
    <cellStyle name="Remarque 5 2 4 3 4 2 2" xfId="54482" xr:uid="{00000000-0005-0000-0000-000087D20000}"/>
    <cellStyle name="Remarque 5 2 4 3 4 3" xfId="17769" xr:uid="{00000000-0005-0000-0000-000088D20000}"/>
    <cellStyle name="Remarque 5 2 4 3 4 4" xfId="41729" xr:uid="{00000000-0005-0000-0000-000089D20000}"/>
    <cellStyle name="Remarque 5 2 4 3 5" xfId="7896" xr:uid="{00000000-0005-0000-0000-00008AD20000}"/>
    <cellStyle name="Remarque 5 2 4 3 5 2" xfId="31910" xr:uid="{00000000-0005-0000-0000-00008BD20000}"/>
    <cellStyle name="Remarque 5 2 4 3 5 2 2" xfId="55870" xr:uid="{00000000-0005-0000-0000-00008CD20000}"/>
    <cellStyle name="Remarque 5 2 4 3 5 3" xfId="19157" xr:uid="{00000000-0005-0000-0000-00008DD20000}"/>
    <cellStyle name="Remarque 5 2 4 3 5 4" xfId="43117" xr:uid="{00000000-0005-0000-0000-00008ED20000}"/>
    <cellStyle name="Remarque 5 2 4 3 6" xfId="9281" xr:uid="{00000000-0005-0000-0000-00008FD20000}"/>
    <cellStyle name="Remarque 5 2 4 3 6 2" xfId="33295" xr:uid="{00000000-0005-0000-0000-000090D20000}"/>
    <cellStyle name="Remarque 5 2 4 3 6 2 2" xfId="57255" xr:uid="{00000000-0005-0000-0000-000091D20000}"/>
    <cellStyle name="Remarque 5 2 4 3 6 3" xfId="20542" xr:uid="{00000000-0005-0000-0000-000092D20000}"/>
    <cellStyle name="Remarque 5 2 4 3 6 4" xfId="44502" xr:uid="{00000000-0005-0000-0000-000093D20000}"/>
    <cellStyle name="Remarque 5 2 4 3 7" xfId="10738" xr:uid="{00000000-0005-0000-0000-000094D20000}"/>
    <cellStyle name="Remarque 5 2 4 3 7 2" xfId="34748" xr:uid="{00000000-0005-0000-0000-000095D20000}"/>
    <cellStyle name="Remarque 5 2 4 3 7 2 2" xfId="58708" xr:uid="{00000000-0005-0000-0000-000096D20000}"/>
    <cellStyle name="Remarque 5 2 4 3 7 3" xfId="22005" xr:uid="{00000000-0005-0000-0000-000097D20000}"/>
    <cellStyle name="Remarque 5 2 4 3 7 4" xfId="45965" xr:uid="{00000000-0005-0000-0000-000098D20000}"/>
    <cellStyle name="Remarque 5 2 4 3 8" xfId="12307" xr:uid="{00000000-0005-0000-0000-000099D20000}"/>
    <cellStyle name="Remarque 5 2 4 3 8 2" xfId="23595" xr:uid="{00000000-0005-0000-0000-00009AD20000}"/>
    <cellStyle name="Remarque 5 2 4 3 8 3" xfId="47555" xr:uid="{00000000-0005-0000-0000-00009BD20000}"/>
    <cellStyle name="Remarque 5 2 4 3 9" xfId="2210" xr:uid="{00000000-0005-0000-0000-00009CD20000}"/>
    <cellStyle name="Remarque 5 2 4 3 9 2" xfId="26224" xr:uid="{00000000-0005-0000-0000-00009DD20000}"/>
    <cellStyle name="Remarque 5 2 4 3 9 3" xfId="50184" xr:uid="{00000000-0005-0000-0000-00009ED20000}"/>
    <cellStyle name="Remarque 5 2 4 4" xfId="968" xr:uid="{00000000-0005-0000-0000-00009FD20000}"/>
    <cellStyle name="Remarque 5 2 4 4 10" xfId="25000" xr:uid="{00000000-0005-0000-0000-0000A0D20000}"/>
    <cellStyle name="Remarque 5 2 4 4 10 2" xfId="48960" xr:uid="{00000000-0005-0000-0000-0000A1D20000}"/>
    <cellStyle name="Remarque 5 2 4 4 11" xfId="35810" xr:uid="{00000000-0005-0000-0000-0000A2D20000}"/>
    <cellStyle name="Remarque 5 2 4 4 11 2" xfId="59770" xr:uid="{00000000-0005-0000-0000-0000A3D20000}"/>
    <cellStyle name="Remarque 5 2 4 4 12" xfId="13665" xr:uid="{00000000-0005-0000-0000-0000A4D20000}"/>
    <cellStyle name="Remarque 5 2 4 4 13" xfId="37625" xr:uid="{00000000-0005-0000-0000-0000A5D20000}"/>
    <cellStyle name="Remarque 5 2 4 4 2" xfId="3874" xr:uid="{00000000-0005-0000-0000-0000A6D20000}"/>
    <cellStyle name="Remarque 5 2 4 4 2 2" xfId="27888" xr:uid="{00000000-0005-0000-0000-0000A7D20000}"/>
    <cellStyle name="Remarque 5 2 4 4 2 2 2" xfId="51848" xr:uid="{00000000-0005-0000-0000-0000A8D20000}"/>
    <cellStyle name="Remarque 5 2 4 4 2 3" xfId="15135" xr:uid="{00000000-0005-0000-0000-0000A9D20000}"/>
    <cellStyle name="Remarque 5 2 4 4 2 4" xfId="39095" xr:uid="{00000000-0005-0000-0000-0000AAD20000}"/>
    <cellStyle name="Remarque 5 2 4 4 3" xfId="5308" xr:uid="{00000000-0005-0000-0000-0000ABD20000}"/>
    <cellStyle name="Remarque 5 2 4 4 3 2" xfId="29322" xr:uid="{00000000-0005-0000-0000-0000ACD20000}"/>
    <cellStyle name="Remarque 5 2 4 4 3 2 2" xfId="53282" xr:uid="{00000000-0005-0000-0000-0000ADD20000}"/>
    <cellStyle name="Remarque 5 2 4 4 3 3" xfId="16569" xr:uid="{00000000-0005-0000-0000-0000AED20000}"/>
    <cellStyle name="Remarque 5 2 4 4 3 4" xfId="40529" xr:uid="{00000000-0005-0000-0000-0000AFD20000}"/>
    <cellStyle name="Remarque 5 2 4 4 4" xfId="6702" xr:uid="{00000000-0005-0000-0000-0000B0D20000}"/>
    <cellStyle name="Remarque 5 2 4 4 4 2" xfId="30716" xr:uid="{00000000-0005-0000-0000-0000B1D20000}"/>
    <cellStyle name="Remarque 5 2 4 4 4 2 2" xfId="54676" xr:uid="{00000000-0005-0000-0000-0000B2D20000}"/>
    <cellStyle name="Remarque 5 2 4 4 4 3" xfId="17963" xr:uid="{00000000-0005-0000-0000-0000B3D20000}"/>
    <cellStyle name="Remarque 5 2 4 4 4 4" xfId="41923" xr:uid="{00000000-0005-0000-0000-0000B4D20000}"/>
    <cellStyle name="Remarque 5 2 4 4 5" xfId="8090" xr:uid="{00000000-0005-0000-0000-0000B5D20000}"/>
    <cellStyle name="Remarque 5 2 4 4 5 2" xfId="32104" xr:uid="{00000000-0005-0000-0000-0000B6D20000}"/>
    <cellStyle name="Remarque 5 2 4 4 5 2 2" xfId="56064" xr:uid="{00000000-0005-0000-0000-0000B7D20000}"/>
    <cellStyle name="Remarque 5 2 4 4 5 3" xfId="19351" xr:uid="{00000000-0005-0000-0000-0000B8D20000}"/>
    <cellStyle name="Remarque 5 2 4 4 5 4" xfId="43311" xr:uid="{00000000-0005-0000-0000-0000B9D20000}"/>
    <cellStyle name="Remarque 5 2 4 4 6" xfId="9475" xr:uid="{00000000-0005-0000-0000-0000BAD20000}"/>
    <cellStyle name="Remarque 5 2 4 4 6 2" xfId="33489" xr:uid="{00000000-0005-0000-0000-0000BBD20000}"/>
    <cellStyle name="Remarque 5 2 4 4 6 2 2" xfId="57449" xr:uid="{00000000-0005-0000-0000-0000BCD20000}"/>
    <cellStyle name="Remarque 5 2 4 4 6 3" xfId="20736" xr:uid="{00000000-0005-0000-0000-0000BDD20000}"/>
    <cellStyle name="Remarque 5 2 4 4 6 4" xfId="44696" xr:uid="{00000000-0005-0000-0000-0000BED20000}"/>
    <cellStyle name="Remarque 5 2 4 4 7" xfId="10932" xr:uid="{00000000-0005-0000-0000-0000BFD20000}"/>
    <cellStyle name="Remarque 5 2 4 4 7 2" xfId="34942" xr:uid="{00000000-0005-0000-0000-0000C0D20000}"/>
    <cellStyle name="Remarque 5 2 4 4 7 2 2" xfId="58902" xr:uid="{00000000-0005-0000-0000-0000C1D20000}"/>
    <cellStyle name="Remarque 5 2 4 4 7 3" xfId="22199" xr:uid="{00000000-0005-0000-0000-0000C2D20000}"/>
    <cellStyle name="Remarque 5 2 4 4 7 4" xfId="46159" xr:uid="{00000000-0005-0000-0000-0000C3D20000}"/>
    <cellStyle name="Remarque 5 2 4 4 8" xfId="12139" xr:uid="{00000000-0005-0000-0000-0000C4D20000}"/>
    <cellStyle name="Remarque 5 2 4 4 8 2" xfId="23422" xr:uid="{00000000-0005-0000-0000-0000C5D20000}"/>
    <cellStyle name="Remarque 5 2 4 4 8 3" xfId="47382" xr:uid="{00000000-0005-0000-0000-0000C6D20000}"/>
    <cellStyle name="Remarque 5 2 4 4 9" xfId="2404" xr:uid="{00000000-0005-0000-0000-0000C7D20000}"/>
    <cellStyle name="Remarque 5 2 4 4 9 2" xfId="26418" xr:uid="{00000000-0005-0000-0000-0000C8D20000}"/>
    <cellStyle name="Remarque 5 2 4 4 9 3" xfId="50378" xr:uid="{00000000-0005-0000-0000-0000C9D20000}"/>
    <cellStyle name="Remarque 5 2 4 5" xfId="1161" xr:uid="{00000000-0005-0000-0000-0000CAD20000}"/>
    <cellStyle name="Remarque 5 2 4 5 10" xfId="25193" xr:uid="{00000000-0005-0000-0000-0000CBD20000}"/>
    <cellStyle name="Remarque 5 2 4 5 10 2" xfId="49153" xr:uid="{00000000-0005-0000-0000-0000CCD20000}"/>
    <cellStyle name="Remarque 5 2 4 5 11" xfId="28597" xr:uid="{00000000-0005-0000-0000-0000CDD20000}"/>
    <cellStyle name="Remarque 5 2 4 5 11 2" xfId="52557" xr:uid="{00000000-0005-0000-0000-0000CED20000}"/>
    <cellStyle name="Remarque 5 2 4 5 12" xfId="13858" xr:uid="{00000000-0005-0000-0000-0000CFD20000}"/>
    <cellStyle name="Remarque 5 2 4 5 13" xfId="37818" xr:uid="{00000000-0005-0000-0000-0000D0D20000}"/>
    <cellStyle name="Remarque 5 2 4 5 2" xfId="4067" xr:uid="{00000000-0005-0000-0000-0000D1D20000}"/>
    <cellStyle name="Remarque 5 2 4 5 2 2" xfId="28081" xr:uid="{00000000-0005-0000-0000-0000D2D20000}"/>
    <cellStyle name="Remarque 5 2 4 5 2 2 2" xfId="52041" xr:uid="{00000000-0005-0000-0000-0000D3D20000}"/>
    <cellStyle name="Remarque 5 2 4 5 2 3" xfId="15328" xr:uid="{00000000-0005-0000-0000-0000D4D20000}"/>
    <cellStyle name="Remarque 5 2 4 5 2 4" xfId="39288" xr:uid="{00000000-0005-0000-0000-0000D5D20000}"/>
    <cellStyle name="Remarque 5 2 4 5 3" xfId="5501" xr:uid="{00000000-0005-0000-0000-0000D6D20000}"/>
    <cellStyle name="Remarque 5 2 4 5 3 2" xfId="29515" xr:uid="{00000000-0005-0000-0000-0000D7D20000}"/>
    <cellStyle name="Remarque 5 2 4 5 3 2 2" xfId="53475" xr:uid="{00000000-0005-0000-0000-0000D8D20000}"/>
    <cellStyle name="Remarque 5 2 4 5 3 3" xfId="16762" xr:uid="{00000000-0005-0000-0000-0000D9D20000}"/>
    <cellStyle name="Remarque 5 2 4 5 3 4" xfId="40722" xr:uid="{00000000-0005-0000-0000-0000DAD20000}"/>
    <cellStyle name="Remarque 5 2 4 5 4" xfId="6895" xr:uid="{00000000-0005-0000-0000-0000DBD20000}"/>
    <cellStyle name="Remarque 5 2 4 5 4 2" xfId="30909" xr:uid="{00000000-0005-0000-0000-0000DCD20000}"/>
    <cellStyle name="Remarque 5 2 4 5 4 2 2" xfId="54869" xr:uid="{00000000-0005-0000-0000-0000DDD20000}"/>
    <cellStyle name="Remarque 5 2 4 5 4 3" xfId="18156" xr:uid="{00000000-0005-0000-0000-0000DED20000}"/>
    <cellStyle name="Remarque 5 2 4 5 4 4" xfId="42116" xr:uid="{00000000-0005-0000-0000-0000DFD20000}"/>
    <cellStyle name="Remarque 5 2 4 5 5" xfId="8283" xr:uid="{00000000-0005-0000-0000-0000E0D20000}"/>
    <cellStyle name="Remarque 5 2 4 5 5 2" xfId="32297" xr:uid="{00000000-0005-0000-0000-0000E1D20000}"/>
    <cellStyle name="Remarque 5 2 4 5 5 2 2" xfId="56257" xr:uid="{00000000-0005-0000-0000-0000E2D20000}"/>
    <cellStyle name="Remarque 5 2 4 5 5 3" xfId="19544" xr:uid="{00000000-0005-0000-0000-0000E3D20000}"/>
    <cellStyle name="Remarque 5 2 4 5 5 4" xfId="43504" xr:uid="{00000000-0005-0000-0000-0000E4D20000}"/>
    <cellStyle name="Remarque 5 2 4 5 6" xfId="9668" xr:uid="{00000000-0005-0000-0000-0000E5D20000}"/>
    <cellStyle name="Remarque 5 2 4 5 6 2" xfId="33682" xr:uid="{00000000-0005-0000-0000-0000E6D20000}"/>
    <cellStyle name="Remarque 5 2 4 5 6 2 2" xfId="57642" xr:uid="{00000000-0005-0000-0000-0000E7D20000}"/>
    <cellStyle name="Remarque 5 2 4 5 6 3" xfId="20929" xr:uid="{00000000-0005-0000-0000-0000E8D20000}"/>
    <cellStyle name="Remarque 5 2 4 5 6 4" xfId="44889" xr:uid="{00000000-0005-0000-0000-0000E9D20000}"/>
    <cellStyle name="Remarque 5 2 4 5 7" xfId="11125" xr:uid="{00000000-0005-0000-0000-0000EAD20000}"/>
    <cellStyle name="Remarque 5 2 4 5 7 2" xfId="35135" xr:uid="{00000000-0005-0000-0000-0000EBD20000}"/>
    <cellStyle name="Remarque 5 2 4 5 7 2 2" xfId="59095" xr:uid="{00000000-0005-0000-0000-0000ECD20000}"/>
    <cellStyle name="Remarque 5 2 4 5 7 3" xfId="22392" xr:uid="{00000000-0005-0000-0000-0000EDD20000}"/>
    <cellStyle name="Remarque 5 2 4 5 7 4" xfId="46352" xr:uid="{00000000-0005-0000-0000-0000EED20000}"/>
    <cellStyle name="Remarque 5 2 4 5 8" xfId="11777" xr:uid="{00000000-0005-0000-0000-0000EFD20000}"/>
    <cellStyle name="Remarque 5 2 4 5 8 2" xfId="23050" xr:uid="{00000000-0005-0000-0000-0000F0D20000}"/>
    <cellStyle name="Remarque 5 2 4 5 8 3" xfId="47010" xr:uid="{00000000-0005-0000-0000-0000F1D20000}"/>
    <cellStyle name="Remarque 5 2 4 5 9" xfId="2597" xr:uid="{00000000-0005-0000-0000-0000F2D20000}"/>
    <cellStyle name="Remarque 5 2 4 5 9 2" xfId="26611" xr:uid="{00000000-0005-0000-0000-0000F3D20000}"/>
    <cellStyle name="Remarque 5 2 4 5 9 3" xfId="50571" xr:uid="{00000000-0005-0000-0000-0000F4D20000}"/>
    <cellStyle name="Remarque 5 2 4 6" xfId="1328" xr:uid="{00000000-0005-0000-0000-0000F5D20000}"/>
    <cellStyle name="Remarque 5 2 4 6 10" xfId="25360" xr:uid="{00000000-0005-0000-0000-0000F6D20000}"/>
    <cellStyle name="Remarque 5 2 4 6 10 2" xfId="49320" xr:uid="{00000000-0005-0000-0000-0000F7D20000}"/>
    <cellStyle name="Remarque 5 2 4 6 11" xfId="36042" xr:uid="{00000000-0005-0000-0000-0000F8D20000}"/>
    <cellStyle name="Remarque 5 2 4 6 11 2" xfId="60002" xr:uid="{00000000-0005-0000-0000-0000F9D20000}"/>
    <cellStyle name="Remarque 5 2 4 6 12" xfId="14025" xr:uid="{00000000-0005-0000-0000-0000FAD20000}"/>
    <cellStyle name="Remarque 5 2 4 6 13" xfId="37985" xr:uid="{00000000-0005-0000-0000-0000FBD20000}"/>
    <cellStyle name="Remarque 5 2 4 6 2" xfId="4234" xr:uid="{00000000-0005-0000-0000-0000FCD20000}"/>
    <cellStyle name="Remarque 5 2 4 6 2 2" xfId="28248" xr:uid="{00000000-0005-0000-0000-0000FDD20000}"/>
    <cellStyle name="Remarque 5 2 4 6 2 2 2" xfId="52208" xr:uid="{00000000-0005-0000-0000-0000FED20000}"/>
    <cellStyle name="Remarque 5 2 4 6 2 3" xfId="15495" xr:uid="{00000000-0005-0000-0000-0000FFD20000}"/>
    <cellStyle name="Remarque 5 2 4 6 2 4" xfId="39455" xr:uid="{00000000-0005-0000-0000-000000D30000}"/>
    <cellStyle name="Remarque 5 2 4 6 3" xfId="5668" xr:uid="{00000000-0005-0000-0000-000001D30000}"/>
    <cellStyle name="Remarque 5 2 4 6 3 2" xfId="29682" xr:uid="{00000000-0005-0000-0000-000002D30000}"/>
    <cellStyle name="Remarque 5 2 4 6 3 2 2" xfId="53642" xr:uid="{00000000-0005-0000-0000-000003D30000}"/>
    <cellStyle name="Remarque 5 2 4 6 3 3" xfId="16929" xr:uid="{00000000-0005-0000-0000-000004D30000}"/>
    <cellStyle name="Remarque 5 2 4 6 3 4" xfId="40889" xr:uid="{00000000-0005-0000-0000-000005D30000}"/>
    <cellStyle name="Remarque 5 2 4 6 4" xfId="7062" xr:uid="{00000000-0005-0000-0000-000006D30000}"/>
    <cellStyle name="Remarque 5 2 4 6 4 2" xfId="31076" xr:uid="{00000000-0005-0000-0000-000007D30000}"/>
    <cellStyle name="Remarque 5 2 4 6 4 2 2" xfId="55036" xr:uid="{00000000-0005-0000-0000-000008D30000}"/>
    <cellStyle name="Remarque 5 2 4 6 4 3" xfId="18323" xr:uid="{00000000-0005-0000-0000-000009D30000}"/>
    <cellStyle name="Remarque 5 2 4 6 4 4" xfId="42283" xr:uid="{00000000-0005-0000-0000-00000AD30000}"/>
    <cellStyle name="Remarque 5 2 4 6 5" xfId="8450" xr:uid="{00000000-0005-0000-0000-00000BD30000}"/>
    <cellStyle name="Remarque 5 2 4 6 5 2" xfId="32464" xr:uid="{00000000-0005-0000-0000-00000CD30000}"/>
    <cellStyle name="Remarque 5 2 4 6 5 2 2" xfId="56424" xr:uid="{00000000-0005-0000-0000-00000DD30000}"/>
    <cellStyle name="Remarque 5 2 4 6 5 3" xfId="19711" xr:uid="{00000000-0005-0000-0000-00000ED30000}"/>
    <cellStyle name="Remarque 5 2 4 6 5 4" xfId="43671" xr:uid="{00000000-0005-0000-0000-00000FD30000}"/>
    <cellStyle name="Remarque 5 2 4 6 6" xfId="9835" xr:uid="{00000000-0005-0000-0000-000010D30000}"/>
    <cellStyle name="Remarque 5 2 4 6 6 2" xfId="33849" xr:uid="{00000000-0005-0000-0000-000011D30000}"/>
    <cellStyle name="Remarque 5 2 4 6 6 2 2" xfId="57809" xr:uid="{00000000-0005-0000-0000-000012D30000}"/>
    <cellStyle name="Remarque 5 2 4 6 6 3" xfId="21096" xr:uid="{00000000-0005-0000-0000-000013D30000}"/>
    <cellStyle name="Remarque 5 2 4 6 6 4" xfId="45056" xr:uid="{00000000-0005-0000-0000-000014D30000}"/>
    <cellStyle name="Remarque 5 2 4 6 7" xfId="11292" xr:uid="{00000000-0005-0000-0000-000015D30000}"/>
    <cellStyle name="Remarque 5 2 4 6 7 2" xfId="35302" xr:uid="{00000000-0005-0000-0000-000016D30000}"/>
    <cellStyle name="Remarque 5 2 4 6 7 2 2" xfId="59262" xr:uid="{00000000-0005-0000-0000-000017D30000}"/>
    <cellStyle name="Remarque 5 2 4 6 7 3" xfId="22559" xr:uid="{00000000-0005-0000-0000-000018D30000}"/>
    <cellStyle name="Remarque 5 2 4 6 7 4" xfId="46519" xr:uid="{00000000-0005-0000-0000-000019D30000}"/>
    <cellStyle name="Remarque 5 2 4 6 8" xfId="10115" xr:uid="{00000000-0005-0000-0000-00001AD30000}"/>
    <cellStyle name="Remarque 5 2 4 6 8 2" xfId="21376" xr:uid="{00000000-0005-0000-0000-00001BD30000}"/>
    <cellStyle name="Remarque 5 2 4 6 8 3" xfId="45336" xr:uid="{00000000-0005-0000-0000-00001CD30000}"/>
    <cellStyle name="Remarque 5 2 4 6 9" xfId="2764" xr:uid="{00000000-0005-0000-0000-00001DD30000}"/>
    <cellStyle name="Remarque 5 2 4 6 9 2" xfId="26778" xr:uid="{00000000-0005-0000-0000-00001ED30000}"/>
    <cellStyle name="Remarque 5 2 4 6 9 3" xfId="50738" xr:uid="{00000000-0005-0000-0000-00001FD30000}"/>
    <cellStyle name="Remarque 5 2 4 7" xfId="1497" xr:uid="{00000000-0005-0000-0000-000020D30000}"/>
    <cellStyle name="Remarque 5 2 4 7 10" xfId="25529" xr:uid="{00000000-0005-0000-0000-000021D30000}"/>
    <cellStyle name="Remarque 5 2 4 7 10 2" xfId="49489" xr:uid="{00000000-0005-0000-0000-000022D30000}"/>
    <cellStyle name="Remarque 5 2 4 7 11" xfId="35723" xr:uid="{00000000-0005-0000-0000-000023D30000}"/>
    <cellStyle name="Remarque 5 2 4 7 11 2" xfId="59683" xr:uid="{00000000-0005-0000-0000-000024D30000}"/>
    <cellStyle name="Remarque 5 2 4 7 12" xfId="14194" xr:uid="{00000000-0005-0000-0000-000025D30000}"/>
    <cellStyle name="Remarque 5 2 4 7 13" xfId="38154" xr:uid="{00000000-0005-0000-0000-000026D30000}"/>
    <cellStyle name="Remarque 5 2 4 7 2" xfId="4403" xr:uid="{00000000-0005-0000-0000-000027D30000}"/>
    <cellStyle name="Remarque 5 2 4 7 2 2" xfId="28417" xr:uid="{00000000-0005-0000-0000-000028D30000}"/>
    <cellStyle name="Remarque 5 2 4 7 2 2 2" xfId="52377" xr:uid="{00000000-0005-0000-0000-000029D30000}"/>
    <cellStyle name="Remarque 5 2 4 7 2 3" xfId="15664" xr:uid="{00000000-0005-0000-0000-00002AD30000}"/>
    <cellStyle name="Remarque 5 2 4 7 2 4" xfId="39624" xr:uid="{00000000-0005-0000-0000-00002BD30000}"/>
    <cellStyle name="Remarque 5 2 4 7 3" xfId="5837" xr:uid="{00000000-0005-0000-0000-00002CD30000}"/>
    <cellStyle name="Remarque 5 2 4 7 3 2" xfId="29851" xr:uid="{00000000-0005-0000-0000-00002DD30000}"/>
    <cellStyle name="Remarque 5 2 4 7 3 2 2" xfId="53811" xr:uid="{00000000-0005-0000-0000-00002ED30000}"/>
    <cellStyle name="Remarque 5 2 4 7 3 3" xfId="17098" xr:uid="{00000000-0005-0000-0000-00002FD30000}"/>
    <cellStyle name="Remarque 5 2 4 7 3 4" xfId="41058" xr:uid="{00000000-0005-0000-0000-000030D30000}"/>
    <cellStyle name="Remarque 5 2 4 7 4" xfId="7231" xr:uid="{00000000-0005-0000-0000-000031D30000}"/>
    <cellStyle name="Remarque 5 2 4 7 4 2" xfId="31245" xr:uid="{00000000-0005-0000-0000-000032D30000}"/>
    <cellStyle name="Remarque 5 2 4 7 4 2 2" xfId="55205" xr:uid="{00000000-0005-0000-0000-000033D30000}"/>
    <cellStyle name="Remarque 5 2 4 7 4 3" xfId="18492" xr:uid="{00000000-0005-0000-0000-000034D30000}"/>
    <cellStyle name="Remarque 5 2 4 7 4 4" xfId="42452" xr:uid="{00000000-0005-0000-0000-000035D30000}"/>
    <cellStyle name="Remarque 5 2 4 7 5" xfId="8619" xr:uid="{00000000-0005-0000-0000-000036D30000}"/>
    <cellStyle name="Remarque 5 2 4 7 5 2" xfId="32633" xr:uid="{00000000-0005-0000-0000-000037D30000}"/>
    <cellStyle name="Remarque 5 2 4 7 5 2 2" xfId="56593" xr:uid="{00000000-0005-0000-0000-000038D30000}"/>
    <cellStyle name="Remarque 5 2 4 7 5 3" xfId="19880" xr:uid="{00000000-0005-0000-0000-000039D30000}"/>
    <cellStyle name="Remarque 5 2 4 7 5 4" xfId="43840" xr:uid="{00000000-0005-0000-0000-00003AD30000}"/>
    <cellStyle name="Remarque 5 2 4 7 6" xfId="10004" xr:uid="{00000000-0005-0000-0000-00003BD30000}"/>
    <cellStyle name="Remarque 5 2 4 7 6 2" xfId="34018" xr:uid="{00000000-0005-0000-0000-00003CD30000}"/>
    <cellStyle name="Remarque 5 2 4 7 6 2 2" xfId="57978" xr:uid="{00000000-0005-0000-0000-00003DD30000}"/>
    <cellStyle name="Remarque 5 2 4 7 6 3" xfId="21265" xr:uid="{00000000-0005-0000-0000-00003ED30000}"/>
    <cellStyle name="Remarque 5 2 4 7 6 4" xfId="45225" xr:uid="{00000000-0005-0000-0000-00003FD30000}"/>
    <cellStyle name="Remarque 5 2 4 7 7" xfId="11461" xr:uid="{00000000-0005-0000-0000-000040D30000}"/>
    <cellStyle name="Remarque 5 2 4 7 7 2" xfId="35471" xr:uid="{00000000-0005-0000-0000-000041D30000}"/>
    <cellStyle name="Remarque 5 2 4 7 7 2 2" xfId="59431" xr:uid="{00000000-0005-0000-0000-000042D30000}"/>
    <cellStyle name="Remarque 5 2 4 7 7 3" xfId="22728" xr:uid="{00000000-0005-0000-0000-000043D30000}"/>
    <cellStyle name="Remarque 5 2 4 7 7 4" xfId="46688" xr:uid="{00000000-0005-0000-0000-000044D30000}"/>
    <cellStyle name="Remarque 5 2 4 7 8" xfId="12576" xr:uid="{00000000-0005-0000-0000-000045D30000}"/>
    <cellStyle name="Remarque 5 2 4 7 8 2" xfId="23876" xr:uid="{00000000-0005-0000-0000-000046D30000}"/>
    <cellStyle name="Remarque 5 2 4 7 8 3" xfId="47836" xr:uid="{00000000-0005-0000-0000-000047D30000}"/>
    <cellStyle name="Remarque 5 2 4 7 9" xfId="2933" xr:uid="{00000000-0005-0000-0000-000048D30000}"/>
    <cellStyle name="Remarque 5 2 4 7 9 2" xfId="26947" xr:uid="{00000000-0005-0000-0000-000049D30000}"/>
    <cellStyle name="Remarque 5 2 4 7 9 3" xfId="50907" xr:uid="{00000000-0005-0000-0000-00004AD30000}"/>
    <cellStyle name="Remarque 5 2 4 8" xfId="3352" xr:uid="{00000000-0005-0000-0000-00004BD30000}"/>
    <cellStyle name="Remarque 5 2 4 8 2" xfId="27366" xr:uid="{00000000-0005-0000-0000-00004CD30000}"/>
    <cellStyle name="Remarque 5 2 4 8 2 2" xfId="51326" xr:uid="{00000000-0005-0000-0000-00004DD30000}"/>
    <cellStyle name="Remarque 5 2 4 8 3" xfId="14613" xr:uid="{00000000-0005-0000-0000-00004ED30000}"/>
    <cellStyle name="Remarque 5 2 4 8 4" xfId="38573" xr:uid="{00000000-0005-0000-0000-00004FD30000}"/>
    <cellStyle name="Remarque 5 2 4 9" xfId="4786" xr:uid="{00000000-0005-0000-0000-000050D30000}"/>
    <cellStyle name="Remarque 5 2 4 9 2" xfId="28800" xr:uid="{00000000-0005-0000-0000-000051D30000}"/>
    <cellStyle name="Remarque 5 2 4 9 2 2" xfId="52760" xr:uid="{00000000-0005-0000-0000-000052D30000}"/>
    <cellStyle name="Remarque 5 2 4 9 3" xfId="16047" xr:uid="{00000000-0005-0000-0000-000053D30000}"/>
    <cellStyle name="Remarque 5 2 4 9 4" xfId="40007" xr:uid="{00000000-0005-0000-0000-000054D30000}"/>
    <cellStyle name="Remarque 5 2 5" xfId="330" xr:uid="{00000000-0005-0000-0000-000055D30000}"/>
    <cellStyle name="Remarque 5 2 5 10" xfId="24362" xr:uid="{00000000-0005-0000-0000-000056D30000}"/>
    <cellStyle name="Remarque 5 2 5 10 2" xfId="48322" xr:uid="{00000000-0005-0000-0000-000057D30000}"/>
    <cellStyle name="Remarque 5 2 5 11" xfId="36587" xr:uid="{00000000-0005-0000-0000-000058D30000}"/>
    <cellStyle name="Remarque 5 2 5 11 2" xfId="60547" xr:uid="{00000000-0005-0000-0000-000059D30000}"/>
    <cellStyle name="Remarque 5 2 5 12" xfId="13027" xr:uid="{00000000-0005-0000-0000-00005AD30000}"/>
    <cellStyle name="Remarque 5 2 5 13" xfId="36987" xr:uid="{00000000-0005-0000-0000-00005BD30000}"/>
    <cellStyle name="Remarque 5 2 5 2" xfId="3236" xr:uid="{00000000-0005-0000-0000-00005CD30000}"/>
    <cellStyle name="Remarque 5 2 5 2 2" xfId="27250" xr:uid="{00000000-0005-0000-0000-00005DD30000}"/>
    <cellStyle name="Remarque 5 2 5 2 2 2" xfId="51210" xr:uid="{00000000-0005-0000-0000-00005ED30000}"/>
    <cellStyle name="Remarque 5 2 5 2 3" xfId="14497" xr:uid="{00000000-0005-0000-0000-00005FD30000}"/>
    <cellStyle name="Remarque 5 2 5 2 4" xfId="38457" xr:uid="{00000000-0005-0000-0000-000060D30000}"/>
    <cellStyle name="Remarque 5 2 5 3" xfId="4670" xr:uid="{00000000-0005-0000-0000-000061D30000}"/>
    <cellStyle name="Remarque 5 2 5 3 2" xfId="28684" xr:uid="{00000000-0005-0000-0000-000062D30000}"/>
    <cellStyle name="Remarque 5 2 5 3 2 2" xfId="52644" xr:uid="{00000000-0005-0000-0000-000063D30000}"/>
    <cellStyle name="Remarque 5 2 5 3 3" xfId="15931" xr:uid="{00000000-0005-0000-0000-000064D30000}"/>
    <cellStyle name="Remarque 5 2 5 3 4" xfId="39891" xr:uid="{00000000-0005-0000-0000-000065D30000}"/>
    <cellStyle name="Remarque 5 2 5 4" xfId="6064" xr:uid="{00000000-0005-0000-0000-000066D30000}"/>
    <cellStyle name="Remarque 5 2 5 4 2" xfId="30078" xr:uid="{00000000-0005-0000-0000-000067D30000}"/>
    <cellStyle name="Remarque 5 2 5 4 2 2" xfId="54038" xr:uid="{00000000-0005-0000-0000-000068D30000}"/>
    <cellStyle name="Remarque 5 2 5 4 3" xfId="17325" xr:uid="{00000000-0005-0000-0000-000069D30000}"/>
    <cellStyle name="Remarque 5 2 5 4 4" xfId="41285" xr:uid="{00000000-0005-0000-0000-00006AD30000}"/>
    <cellStyle name="Remarque 5 2 5 5" xfId="7452" xr:uid="{00000000-0005-0000-0000-00006BD30000}"/>
    <cellStyle name="Remarque 5 2 5 5 2" xfId="31466" xr:uid="{00000000-0005-0000-0000-00006CD30000}"/>
    <cellStyle name="Remarque 5 2 5 5 2 2" xfId="55426" xr:uid="{00000000-0005-0000-0000-00006DD30000}"/>
    <cellStyle name="Remarque 5 2 5 5 3" xfId="18713" xr:uid="{00000000-0005-0000-0000-00006ED30000}"/>
    <cellStyle name="Remarque 5 2 5 5 4" xfId="42673" xr:uid="{00000000-0005-0000-0000-00006FD30000}"/>
    <cellStyle name="Remarque 5 2 5 6" xfId="8837" xr:uid="{00000000-0005-0000-0000-000070D30000}"/>
    <cellStyle name="Remarque 5 2 5 6 2" xfId="32851" xr:uid="{00000000-0005-0000-0000-000071D30000}"/>
    <cellStyle name="Remarque 5 2 5 6 2 2" xfId="56811" xr:uid="{00000000-0005-0000-0000-000072D30000}"/>
    <cellStyle name="Remarque 5 2 5 6 3" xfId="20098" xr:uid="{00000000-0005-0000-0000-000073D30000}"/>
    <cellStyle name="Remarque 5 2 5 6 4" xfId="44058" xr:uid="{00000000-0005-0000-0000-000074D30000}"/>
    <cellStyle name="Remarque 5 2 5 7" xfId="10294" xr:uid="{00000000-0005-0000-0000-000075D30000}"/>
    <cellStyle name="Remarque 5 2 5 7 2" xfId="34304" xr:uid="{00000000-0005-0000-0000-000076D30000}"/>
    <cellStyle name="Remarque 5 2 5 7 2 2" xfId="58264" xr:uid="{00000000-0005-0000-0000-000077D30000}"/>
    <cellStyle name="Remarque 5 2 5 7 3" xfId="21561" xr:uid="{00000000-0005-0000-0000-000078D30000}"/>
    <cellStyle name="Remarque 5 2 5 7 4" xfId="45521" xr:uid="{00000000-0005-0000-0000-000079D30000}"/>
    <cellStyle name="Remarque 5 2 5 8" xfId="11570" xr:uid="{00000000-0005-0000-0000-00007AD30000}"/>
    <cellStyle name="Remarque 5 2 5 8 2" xfId="22837" xr:uid="{00000000-0005-0000-0000-00007BD30000}"/>
    <cellStyle name="Remarque 5 2 5 8 3" xfId="46797" xr:uid="{00000000-0005-0000-0000-00007CD30000}"/>
    <cellStyle name="Remarque 5 2 5 9" xfId="1766" xr:uid="{00000000-0005-0000-0000-00007DD30000}"/>
    <cellStyle name="Remarque 5 2 5 9 2" xfId="25780" xr:uid="{00000000-0005-0000-0000-00007ED30000}"/>
    <cellStyle name="Remarque 5 2 5 9 3" xfId="49740" xr:uid="{00000000-0005-0000-0000-00007FD30000}"/>
    <cellStyle name="Remarque 5 2 6" xfId="639" xr:uid="{00000000-0005-0000-0000-000080D30000}"/>
    <cellStyle name="Remarque 5 2 6 10" xfId="24671" xr:uid="{00000000-0005-0000-0000-000081D30000}"/>
    <cellStyle name="Remarque 5 2 6 10 2" xfId="48631" xr:uid="{00000000-0005-0000-0000-000082D30000}"/>
    <cellStyle name="Remarque 5 2 6 11" xfId="36438" xr:uid="{00000000-0005-0000-0000-000083D30000}"/>
    <cellStyle name="Remarque 5 2 6 11 2" xfId="60398" xr:uid="{00000000-0005-0000-0000-000084D30000}"/>
    <cellStyle name="Remarque 5 2 6 12" xfId="13336" xr:uid="{00000000-0005-0000-0000-000085D30000}"/>
    <cellStyle name="Remarque 5 2 6 13" xfId="37296" xr:uid="{00000000-0005-0000-0000-000086D30000}"/>
    <cellStyle name="Remarque 5 2 6 2" xfId="3545" xr:uid="{00000000-0005-0000-0000-000087D30000}"/>
    <cellStyle name="Remarque 5 2 6 2 2" xfId="27559" xr:uid="{00000000-0005-0000-0000-000088D30000}"/>
    <cellStyle name="Remarque 5 2 6 2 2 2" xfId="51519" xr:uid="{00000000-0005-0000-0000-000089D30000}"/>
    <cellStyle name="Remarque 5 2 6 2 3" xfId="14806" xr:uid="{00000000-0005-0000-0000-00008AD30000}"/>
    <cellStyle name="Remarque 5 2 6 2 4" xfId="38766" xr:uid="{00000000-0005-0000-0000-00008BD30000}"/>
    <cellStyle name="Remarque 5 2 6 3" xfId="4979" xr:uid="{00000000-0005-0000-0000-00008CD30000}"/>
    <cellStyle name="Remarque 5 2 6 3 2" xfId="28993" xr:uid="{00000000-0005-0000-0000-00008DD30000}"/>
    <cellStyle name="Remarque 5 2 6 3 2 2" xfId="52953" xr:uid="{00000000-0005-0000-0000-00008ED30000}"/>
    <cellStyle name="Remarque 5 2 6 3 3" xfId="16240" xr:uid="{00000000-0005-0000-0000-00008FD30000}"/>
    <cellStyle name="Remarque 5 2 6 3 4" xfId="40200" xr:uid="{00000000-0005-0000-0000-000090D30000}"/>
    <cellStyle name="Remarque 5 2 6 4" xfId="6373" xr:uid="{00000000-0005-0000-0000-000091D30000}"/>
    <cellStyle name="Remarque 5 2 6 4 2" xfId="30387" xr:uid="{00000000-0005-0000-0000-000092D30000}"/>
    <cellStyle name="Remarque 5 2 6 4 2 2" xfId="54347" xr:uid="{00000000-0005-0000-0000-000093D30000}"/>
    <cellStyle name="Remarque 5 2 6 4 3" xfId="17634" xr:uid="{00000000-0005-0000-0000-000094D30000}"/>
    <cellStyle name="Remarque 5 2 6 4 4" xfId="41594" xr:uid="{00000000-0005-0000-0000-000095D30000}"/>
    <cellStyle name="Remarque 5 2 6 5" xfId="7761" xr:uid="{00000000-0005-0000-0000-000096D30000}"/>
    <cellStyle name="Remarque 5 2 6 5 2" xfId="31775" xr:uid="{00000000-0005-0000-0000-000097D30000}"/>
    <cellStyle name="Remarque 5 2 6 5 2 2" xfId="55735" xr:uid="{00000000-0005-0000-0000-000098D30000}"/>
    <cellStyle name="Remarque 5 2 6 5 3" xfId="19022" xr:uid="{00000000-0005-0000-0000-000099D30000}"/>
    <cellStyle name="Remarque 5 2 6 5 4" xfId="42982" xr:uid="{00000000-0005-0000-0000-00009AD30000}"/>
    <cellStyle name="Remarque 5 2 6 6" xfId="9146" xr:uid="{00000000-0005-0000-0000-00009BD30000}"/>
    <cellStyle name="Remarque 5 2 6 6 2" xfId="33160" xr:uid="{00000000-0005-0000-0000-00009CD30000}"/>
    <cellStyle name="Remarque 5 2 6 6 2 2" xfId="57120" xr:uid="{00000000-0005-0000-0000-00009DD30000}"/>
    <cellStyle name="Remarque 5 2 6 6 3" xfId="20407" xr:uid="{00000000-0005-0000-0000-00009ED30000}"/>
    <cellStyle name="Remarque 5 2 6 6 4" xfId="44367" xr:uid="{00000000-0005-0000-0000-00009FD30000}"/>
    <cellStyle name="Remarque 5 2 6 7" xfId="10603" xr:uid="{00000000-0005-0000-0000-0000A0D30000}"/>
    <cellStyle name="Remarque 5 2 6 7 2" xfId="34613" xr:uid="{00000000-0005-0000-0000-0000A1D30000}"/>
    <cellStyle name="Remarque 5 2 6 7 2 2" xfId="58573" xr:uid="{00000000-0005-0000-0000-0000A2D30000}"/>
    <cellStyle name="Remarque 5 2 6 7 3" xfId="21870" xr:uid="{00000000-0005-0000-0000-0000A3D30000}"/>
    <cellStyle name="Remarque 5 2 6 7 4" xfId="45830" xr:uid="{00000000-0005-0000-0000-0000A4D30000}"/>
    <cellStyle name="Remarque 5 2 6 8" xfId="12834" xr:uid="{00000000-0005-0000-0000-0000A5D30000}"/>
    <cellStyle name="Remarque 5 2 6 8 2" xfId="24145" xr:uid="{00000000-0005-0000-0000-0000A6D30000}"/>
    <cellStyle name="Remarque 5 2 6 8 3" xfId="48105" xr:uid="{00000000-0005-0000-0000-0000A7D30000}"/>
    <cellStyle name="Remarque 5 2 6 9" xfId="2075" xr:uid="{00000000-0005-0000-0000-0000A8D30000}"/>
    <cellStyle name="Remarque 5 2 6 9 2" xfId="26089" xr:uid="{00000000-0005-0000-0000-0000A9D30000}"/>
    <cellStyle name="Remarque 5 2 6 9 3" xfId="50049" xr:uid="{00000000-0005-0000-0000-0000AAD30000}"/>
    <cellStyle name="Remarque 5 2 7" xfId="833" xr:uid="{00000000-0005-0000-0000-0000ABD30000}"/>
    <cellStyle name="Remarque 5 2 7 10" xfId="24865" xr:uid="{00000000-0005-0000-0000-0000ACD30000}"/>
    <cellStyle name="Remarque 5 2 7 10 2" xfId="48825" xr:uid="{00000000-0005-0000-0000-0000ADD30000}"/>
    <cellStyle name="Remarque 5 2 7 11" xfId="36557" xr:uid="{00000000-0005-0000-0000-0000AED30000}"/>
    <cellStyle name="Remarque 5 2 7 11 2" xfId="60517" xr:uid="{00000000-0005-0000-0000-0000AFD30000}"/>
    <cellStyle name="Remarque 5 2 7 12" xfId="13530" xr:uid="{00000000-0005-0000-0000-0000B0D30000}"/>
    <cellStyle name="Remarque 5 2 7 13" xfId="37490" xr:uid="{00000000-0005-0000-0000-0000B1D30000}"/>
    <cellStyle name="Remarque 5 2 7 2" xfId="3739" xr:uid="{00000000-0005-0000-0000-0000B2D30000}"/>
    <cellStyle name="Remarque 5 2 7 2 2" xfId="27753" xr:uid="{00000000-0005-0000-0000-0000B3D30000}"/>
    <cellStyle name="Remarque 5 2 7 2 2 2" xfId="51713" xr:uid="{00000000-0005-0000-0000-0000B4D30000}"/>
    <cellStyle name="Remarque 5 2 7 2 3" xfId="15000" xr:uid="{00000000-0005-0000-0000-0000B5D30000}"/>
    <cellStyle name="Remarque 5 2 7 2 4" xfId="38960" xr:uid="{00000000-0005-0000-0000-0000B6D30000}"/>
    <cellStyle name="Remarque 5 2 7 3" xfId="5173" xr:uid="{00000000-0005-0000-0000-0000B7D30000}"/>
    <cellStyle name="Remarque 5 2 7 3 2" xfId="29187" xr:uid="{00000000-0005-0000-0000-0000B8D30000}"/>
    <cellStyle name="Remarque 5 2 7 3 2 2" xfId="53147" xr:uid="{00000000-0005-0000-0000-0000B9D30000}"/>
    <cellStyle name="Remarque 5 2 7 3 3" xfId="16434" xr:uid="{00000000-0005-0000-0000-0000BAD30000}"/>
    <cellStyle name="Remarque 5 2 7 3 4" xfId="40394" xr:uid="{00000000-0005-0000-0000-0000BBD30000}"/>
    <cellStyle name="Remarque 5 2 7 4" xfId="6567" xr:uid="{00000000-0005-0000-0000-0000BCD30000}"/>
    <cellStyle name="Remarque 5 2 7 4 2" xfId="30581" xr:uid="{00000000-0005-0000-0000-0000BDD30000}"/>
    <cellStyle name="Remarque 5 2 7 4 2 2" xfId="54541" xr:uid="{00000000-0005-0000-0000-0000BED30000}"/>
    <cellStyle name="Remarque 5 2 7 4 3" xfId="17828" xr:uid="{00000000-0005-0000-0000-0000BFD30000}"/>
    <cellStyle name="Remarque 5 2 7 4 4" xfId="41788" xr:uid="{00000000-0005-0000-0000-0000C0D30000}"/>
    <cellStyle name="Remarque 5 2 7 5" xfId="7955" xr:uid="{00000000-0005-0000-0000-0000C1D30000}"/>
    <cellStyle name="Remarque 5 2 7 5 2" xfId="31969" xr:uid="{00000000-0005-0000-0000-0000C2D30000}"/>
    <cellStyle name="Remarque 5 2 7 5 2 2" xfId="55929" xr:uid="{00000000-0005-0000-0000-0000C3D30000}"/>
    <cellStyle name="Remarque 5 2 7 5 3" xfId="19216" xr:uid="{00000000-0005-0000-0000-0000C4D30000}"/>
    <cellStyle name="Remarque 5 2 7 5 4" xfId="43176" xr:uid="{00000000-0005-0000-0000-0000C5D30000}"/>
    <cellStyle name="Remarque 5 2 7 6" xfId="9340" xr:uid="{00000000-0005-0000-0000-0000C6D30000}"/>
    <cellStyle name="Remarque 5 2 7 6 2" xfId="33354" xr:uid="{00000000-0005-0000-0000-0000C7D30000}"/>
    <cellStyle name="Remarque 5 2 7 6 2 2" xfId="57314" xr:uid="{00000000-0005-0000-0000-0000C8D30000}"/>
    <cellStyle name="Remarque 5 2 7 6 3" xfId="20601" xr:uid="{00000000-0005-0000-0000-0000C9D30000}"/>
    <cellStyle name="Remarque 5 2 7 6 4" xfId="44561" xr:uid="{00000000-0005-0000-0000-0000CAD30000}"/>
    <cellStyle name="Remarque 5 2 7 7" xfId="10797" xr:uid="{00000000-0005-0000-0000-0000CBD30000}"/>
    <cellStyle name="Remarque 5 2 7 7 2" xfId="34807" xr:uid="{00000000-0005-0000-0000-0000CCD30000}"/>
    <cellStyle name="Remarque 5 2 7 7 2 2" xfId="58767" xr:uid="{00000000-0005-0000-0000-0000CDD30000}"/>
    <cellStyle name="Remarque 5 2 7 7 3" xfId="22064" xr:uid="{00000000-0005-0000-0000-0000CED30000}"/>
    <cellStyle name="Remarque 5 2 7 7 4" xfId="46024" xr:uid="{00000000-0005-0000-0000-0000CFD30000}"/>
    <cellStyle name="Remarque 5 2 7 8" xfId="12495" xr:uid="{00000000-0005-0000-0000-0000D0D30000}"/>
    <cellStyle name="Remarque 5 2 7 8 2" xfId="23792" xr:uid="{00000000-0005-0000-0000-0000D1D30000}"/>
    <cellStyle name="Remarque 5 2 7 8 3" xfId="47752" xr:uid="{00000000-0005-0000-0000-0000D2D30000}"/>
    <cellStyle name="Remarque 5 2 7 9" xfId="2269" xr:uid="{00000000-0005-0000-0000-0000D3D30000}"/>
    <cellStyle name="Remarque 5 2 7 9 2" xfId="26283" xr:uid="{00000000-0005-0000-0000-0000D4D30000}"/>
    <cellStyle name="Remarque 5 2 7 9 3" xfId="50243" xr:uid="{00000000-0005-0000-0000-0000D5D30000}"/>
    <cellStyle name="Remarque 5 2 8" xfId="1026" xr:uid="{00000000-0005-0000-0000-0000D6D30000}"/>
    <cellStyle name="Remarque 5 2 8 10" xfId="25058" xr:uid="{00000000-0005-0000-0000-0000D7D30000}"/>
    <cellStyle name="Remarque 5 2 8 10 2" xfId="49018" xr:uid="{00000000-0005-0000-0000-0000D8D30000}"/>
    <cellStyle name="Remarque 5 2 8 11" xfId="36579" xr:uid="{00000000-0005-0000-0000-0000D9D30000}"/>
    <cellStyle name="Remarque 5 2 8 11 2" xfId="60539" xr:uid="{00000000-0005-0000-0000-0000DAD30000}"/>
    <cellStyle name="Remarque 5 2 8 12" xfId="13723" xr:uid="{00000000-0005-0000-0000-0000DBD30000}"/>
    <cellStyle name="Remarque 5 2 8 13" xfId="37683" xr:uid="{00000000-0005-0000-0000-0000DCD30000}"/>
    <cellStyle name="Remarque 5 2 8 2" xfId="3932" xr:uid="{00000000-0005-0000-0000-0000DDD30000}"/>
    <cellStyle name="Remarque 5 2 8 2 2" xfId="27946" xr:uid="{00000000-0005-0000-0000-0000DED30000}"/>
    <cellStyle name="Remarque 5 2 8 2 2 2" xfId="51906" xr:uid="{00000000-0005-0000-0000-0000DFD30000}"/>
    <cellStyle name="Remarque 5 2 8 2 3" xfId="15193" xr:uid="{00000000-0005-0000-0000-0000E0D30000}"/>
    <cellStyle name="Remarque 5 2 8 2 4" xfId="39153" xr:uid="{00000000-0005-0000-0000-0000E1D30000}"/>
    <cellStyle name="Remarque 5 2 8 3" xfId="5366" xr:uid="{00000000-0005-0000-0000-0000E2D30000}"/>
    <cellStyle name="Remarque 5 2 8 3 2" xfId="29380" xr:uid="{00000000-0005-0000-0000-0000E3D30000}"/>
    <cellStyle name="Remarque 5 2 8 3 2 2" xfId="53340" xr:uid="{00000000-0005-0000-0000-0000E4D30000}"/>
    <cellStyle name="Remarque 5 2 8 3 3" xfId="16627" xr:uid="{00000000-0005-0000-0000-0000E5D30000}"/>
    <cellStyle name="Remarque 5 2 8 3 4" xfId="40587" xr:uid="{00000000-0005-0000-0000-0000E6D30000}"/>
    <cellStyle name="Remarque 5 2 8 4" xfId="6760" xr:uid="{00000000-0005-0000-0000-0000E7D30000}"/>
    <cellStyle name="Remarque 5 2 8 4 2" xfId="30774" xr:uid="{00000000-0005-0000-0000-0000E8D30000}"/>
    <cellStyle name="Remarque 5 2 8 4 2 2" xfId="54734" xr:uid="{00000000-0005-0000-0000-0000E9D30000}"/>
    <cellStyle name="Remarque 5 2 8 4 3" xfId="18021" xr:uid="{00000000-0005-0000-0000-0000EAD30000}"/>
    <cellStyle name="Remarque 5 2 8 4 4" xfId="41981" xr:uid="{00000000-0005-0000-0000-0000EBD30000}"/>
    <cellStyle name="Remarque 5 2 8 5" xfId="8148" xr:uid="{00000000-0005-0000-0000-0000ECD30000}"/>
    <cellStyle name="Remarque 5 2 8 5 2" xfId="32162" xr:uid="{00000000-0005-0000-0000-0000EDD30000}"/>
    <cellStyle name="Remarque 5 2 8 5 2 2" xfId="56122" xr:uid="{00000000-0005-0000-0000-0000EED30000}"/>
    <cellStyle name="Remarque 5 2 8 5 3" xfId="19409" xr:uid="{00000000-0005-0000-0000-0000EFD30000}"/>
    <cellStyle name="Remarque 5 2 8 5 4" xfId="43369" xr:uid="{00000000-0005-0000-0000-0000F0D30000}"/>
    <cellStyle name="Remarque 5 2 8 6" xfId="9533" xr:uid="{00000000-0005-0000-0000-0000F1D30000}"/>
    <cellStyle name="Remarque 5 2 8 6 2" xfId="33547" xr:uid="{00000000-0005-0000-0000-0000F2D30000}"/>
    <cellStyle name="Remarque 5 2 8 6 2 2" xfId="57507" xr:uid="{00000000-0005-0000-0000-0000F3D30000}"/>
    <cellStyle name="Remarque 5 2 8 6 3" xfId="20794" xr:uid="{00000000-0005-0000-0000-0000F4D30000}"/>
    <cellStyle name="Remarque 5 2 8 6 4" xfId="44754" xr:uid="{00000000-0005-0000-0000-0000F5D30000}"/>
    <cellStyle name="Remarque 5 2 8 7" xfId="10990" xr:uid="{00000000-0005-0000-0000-0000F6D30000}"/>
    <cellStyle name="Remarque 5 2 8 7 2" xfId="35000" xr:uid="{00000000-0005-0000-0000-0000F7D30000}"/>
    <cellStyle name="Remarque 5 2 8 7 2 2" xfId="58960" xr:uid="{00000000-0005-0000-0000-0000F8D30000}"/>
    <cellStyle name="Remarque 5 2 8 7 3" xfId="22257" xr:uid="{00000000-0005-0000-0000-0000F9D30000}"/>
    <cellStyle name="Remarque 5 2 8 7 4" xfId="46217" xr:uid="{00000000-0005-0000-0000-0000FAD30000}"/>
    <cellStyle name="Remarque 5 2 8 8" xfId="12050" xr:uid="{00000000-0005-0000-0000-0000FBD30000}"/>
    <cellStyle name="Remarque 5 2 8 8 2" xfId="23330" xr:uid="{00000000-0005-0000-0000-0000FCD30000}"/>
    <cellStyle name="Remarque 5 2 8 8 3" xfId="47290" xr:uid="{00000000-0005-0000-0000-0000FDD30000}"/>
    <cellStyle name="Remarque 5 2 8 9" xfId="2462" xr:uid="{00000000-0005-0000-0000-0000FED30000}"/>
    <cellStyle name="Remarque 5 2 8 9 2" xfId="26476" xr:uid="{00000000-0005-0000-0000-0000FFD30000}"/>
    <cellStyle name="Remarque 5 2 8 9 3" xfId="50436" xr:uid="{00000000-0005-0000-0000-000000D40000}"/>
    <cellStyle name="Remarque 5 2 9" xfId="1212" xr:uid="{00000000-0005-0000-0000-000001D40000}"/>
    <cellStyle name="Remarque 5 2 9 10" xfId="25244" xr:uid="{00000000-0005-0000-0000-000002D40000}"/>
    <cellStyle name="Remarque 5 2 9 10 2" xfId="49204" xr:uid="{00000000-0005-0000-0000-000003D40000}"/>
    <cellStyle name="Remarque 5 2 9 11" xfId="36163" xr:uid="{00000000-0005-0000-0000-000004D40000}"/>
    <cellStyle name="Remarque 5 2 9 11 2" xfId="60123" xr:uid="{00000000-0005-0000-0000-000005D40000}"/>
    <cellStyle name="Remarque 5 2 9 12" xfId="13909" xr:uid="{00000000-0005-0000-0000-000006D40000}"/>
    <cellStyle name="Remarque 5 2 9 13" xfId="37869" xr:uid="{00000000-0005-0000-0000-000007D40000}"/>
    <cellStyle name="Remarque 5 2 9 2" xfId="4118" xr:uid="{00000000-0005-0000-0000-000008D40000}"/>
    <cellStyle name="Remarque 5 2 9 2 2" xfId="28132" xr:uid="{00000000-0005-0000-0000-000009D40000}"/>
    <cellStyle name="Remarque 5 2 9 2 2 2" xfId="52092" xr:uid="{00000000-0005-0000-0000-00000AD40000}"/>
    <cellStyle name="Remarque 5 2 9 2 3" xfId="15379" xr:uid="{00000000-0005-0000-0000-00000BD40000}"/>
    <cellStyle name="Remarque 5 2 9 2 4" xfId="39339" xr:uid="{00000000-0005-0000-0000-00000CD40000}"/>
    <cellStyle name="Remarque 5 2 9 3" xfId="5552" xr:uid="{00000000-0005-0000-0000-00000DD40000}"/>
    <cellStyle name="Remarque 5 2 9 3 2" xfId="29566" xr:uid="{00000000-0005-0000-0000-00000ED40000}"/>
    <cellStyle name="Remarque 5 2 9 3 2 2" xfId="53526" xr:uid="{00000000-0005-0000-0000-00000FD40000}"/>
    <cellStyle name="Remarque 5 2 9 3 3" xfId="16813" xr:uid="{00000000-0005-0000-0000-000010D40000}"/>
    <cellStyle name="Remarque 5 2 9 3 4" xfId="40773" xr:uid="{00000000-0005-0000-0000-000011D40000}"/>
    <cellStyle name="Remarque 5 2 9 4" xfId="6946" xr:uid="{00000000-0005-0000-0000-000012D40000}"/>
    <cellStyle name="Remarque 5 2 9 4 2" xfId="30960" xr:uid="{00000000-0005-0000-0000-000013D40000}"/>
    <cellStyle name="Remarque 5 2 9 4 2 2" xfId="54920" xr:uid="{00000000-0005-0000-0000-000014D40000}"/>
    <cellStyle name="Remarque 5 2 9 4 3" xfId="18207" xr:uid="{00000000-0005-0000-0000-000015D40000}"/>
    <cellStyle name="Remarque 5 2 9 4 4" xfId="42167" xr:uid="{00000000-0005-0000-0000-000016D40000}"/>
    <cellStyle name="Remarque 5 2 9 5" xfId="8334" xr:uid="{00000000-0005-0000-0000-000017D40000}"/>
    <cellStyle name="Remarque 5 2 9 5 2" xfId="32348" xr:uid="{00000000-0005-0000-0000-000018D40000}"/>
    <cellStyle name="Remarque 5 2 9 5 2 2" xfId="56308" xr:uid="{00000000-0005-0000-0000-000019D40000}"/>
    <cellStyle name="Remarque 5 2 9 5 3" xfId="19595" xr:uid="{00000000-0005-0000-0000-00001AD40000}"/>
    <cellStyle name="Remarque 5 2 9 5 4" xfId="43555" xr:uid="{00000000-0005-0000-0000-00001BD40000}"/>
    <cellStyle name="Remarque 5 2 9 6" xfId="9719" xr:uid="{00000000-0005-0000-0000-00001CD40000}"/>
    <cellStyle name="Remarque 5 2 9 6 2" xfId="33733" xr:uid="{00000000-0005-0000-0000-00001DD40000}"/>
    <cellStyle name="Remarque 5 2 9 6 2 2" xfId="57693" xr:uid="{00000000-0005-0000-0000-00001ED40000}"/>
    <cellStyle name="Remarque 5 2 9 6 3" xfId="20980" xr:uid="{00000000-0005-0000-0000-00001FD40000}"/>
    <cellStyle name="Remarque 5 2 9 6 4" xfId="44940" xr:uid="{00000000-0005-0000-0000-000020D40000}"/>
    <cellStyle name="Remarque 5 2 9 7" xfId="11176" xr:uid="{00000000-0005-0000-0000-000021D40000}"/>
    <cellStyle name="Remarque 5 2 9 7 2" xfId="35186" xr:uid="{00000000-0005-0000-0000-000022D40000}"/>
    <cellStyle name="Remarque 5 2 9 7 2 2" xfId="59146" xr:uid="{00000000-0005-0000-0000-000023D40000}"/>
    <cellStyle name="Remarque 5 2 9 7 3" xfId="22443" xr:uid="{00000000-0005-0000-0000-000024D40000}"/>
    <cellStyle name="Remarque 5 2 9 7 4" xfId="46403" xr:uid="{00000000-0005-0000-0000-000025D40000}"/>
    <cellStyle name="Remarque 5 2 9 8" xfId="11601" xr:uid="{00000000-0005-0000-0000-000026D40000}"/>
    <cellStyle name="Remarque 5 2 9 8 2" xfId="22868" xr:uid="{00000000-0005-0000-0000-000027D40000}"/>
    <cellStyle name="Remarque 5 2 9 8 3" xfId="46828" xr:uid="{00000000-0005-0000-0000-000028D40000}"/>
    <cellStyle name="Remarque 5 2 9 9" xfId="2648" xr:uid="{00000000-0005-0000-0000-000029D40000}"/>
    <cellStyle name="Remarque 5 2 9 9 2" xfId="26662" xr:uid="{00000000-0005-0000-0000-00002AD40000}"/>
    <cellStyle name="Remarque 5 2 9 9 3" xfId="50622" xr:uid="{00000000-0005-0000-0000-00002BD40000}"/>
    <cellStyle name="Remarque 5 3" xfId="54" xr:uid="{00000000-0005-0000-0000-00002CD40000}"/>
    <cellStyle name="Remarque 5 3 10" xfId="36891" xr:uid="{00000000-0005-0000-0000-00002DD40000}"/>
    <cellStyle name="Remarque 5 3 11" xfId="234" xr:uid="{00000000-0005-0000-0000-00002ED40000}"/>
    <cellStyle name="Remarque 5 3 2" xfId="468" xr:uid="{00000000-0005-0000-0000-00002FD40000}"/>
    <cellStyle name="Remarque 5 3 2 10" xfId="6202" xr:uid="{00000000-0005-0000-0000-000030D40000}"/>
    <cellStyle name="Remarque 5 3 2 10 2" xfId="30216" xr:uid="{00000000-0005-0000-0000-000031D40000}"/>
    <cellStyle name="Remarque 5 3 2 10 2 2" xfId="54176" xr:uid="{00000000-0005-0000-0000-000032D40000}"/>
    <cellStyle name="Remarque 5 3 2 10 3" xfId="17463" xr:uid="{00000000-0005-0000-0000-000033D40000}"/>
    <cellStyle name="Remarque 5 3 2 10 4" xfId="41423" xr:uid="{00000000-0005-0000-0000-000034D40000}"/>
    <cellStyle name="Remarque 5 3 2 11" xfId="7590" xr:uid="{00000000-0005-0000-0000-000035D40000}"/>
    <cellStyle name="Remarque 5 3 2 11 2" xfId="31604" xr:uid="{00000000-0005-0000-0000-000036D40000}"/>
    <cellStyle name="Remarque 5 3 2 11 2 2" xfId="55564" xr:uid="{00000000-0005-0000-0000-000037D40000}"/>
    <cellStyle name="Remarque 5 3 2 11 3" xfId="18851" xr:uid="{00000000-0005-0000-0000-000038D40000}"/>
    <cellStyle name="Remarque 5 3 2 11 4" xfId="42811" xr:uid="{00000000-0005-0000-0000-000039D40000}"/>
    <cellStyle name="Remarque 5 3 2 12" xfId="8975" xr:uid="{00000000-0005-0000-0000-00003AD40000}"/>
    <cellStyle name="Remarque 5 3 2 12 2" xfId="32989" xr:uid="{00000000-0005-0000-0000-00003BD40000}"/>
    <cellStyle name="Remarque 5 3 2 12 2 2" xfId="56949" xr:uid="{00000000-0005-0000-0000-00003CD40000}"/>
    <cellStyle name="Remarque 5 3 2 12 3" xfId="20236" xr:uid="{00000000-0005-0000-0000-00003DD40000}"/>
    <cellStyle name="Remarque 5 3 2 12 4" xfId="44196" xr:uid="{00000000-0005-0000-0000-00003ED40000}"/>
    <cellStyle name="Remarque 5 3 2 13" xfId="10432" xr:uid="{00000000-0005-0000-0000-00003FD40000}"/>
    <cellStyle name="Remarque 5 3 2 13 2" xfId="34442" xr:uid="{00000000-0005-0000-0000-000040D40000}"/>
    <cellStyle name="Remarque 5 3 2 13 2 2" xfId="58402" xr:uid="{00000000-0005-0000-0000-000041D40000}"/>
    <cellStyle name="Remarque 5 3 2 13 3" xfId="21699" xr:uid="{00000000-0005-0000-0000-000042D40000}"/>
    <cellStyle name="Remarque 5 3 2 13 4" xfId="45659" xr:uid="{00000000-0005-0000-0000-000043D40000}"/>
    <cellStyle name="Remarque 5 3 2 14" xfId="12655" xr:uid="{00000000-0005-0000-0000-000044D40000}"/>
    <cellStyle name="Remarque 5 3 2 14 2" xfId="23960" xr:uid="{00000000-0005-0000-0000-000045D40000}"/>
    <cellStyle name="Remarque 5 3 2 14 3" xfId="47920" xr:uid="{00000000-0005-0000-0000-000046D40000}"/>
    <cellStyle name="Remarque 5 3 2 15" xfId="1904" xr:uid="{00000000-0005-0000-0000-000047D40000}"/>
    <cellStyle name="Remarque 5 3 2 15 2" xfId="25918" xr:uid="{00000000-0005-0000-0000-000048D40000}"/>
    <cellStyle name="Remarque 5 3 2 15 3" xfId="49878" xr:uid="{00000000-0005-0000-0000-000049D40000}"/>
    <cellStyle name="Remarque 5 3 2 16" xfId="24500" xr:uid="{00000000-0005-0000-0000-00004AD40000}"/>
    <cellStyle name="Remarque 5 3 2 16 2" xfId="48460" xr:uid="{00000000-0005-0000-0000-00004BD40000}"/>
    <cellStyle name="Remarque 5 3 2 17" xfId="35819" xr:uid="{00000000-0005-0000-0000-00004CD40000}"/>
    <cellStyle name="Remarque 5 3 2 17 2" xfId="59779" xr:uid="{00000000-0005-0000-0000-00004DD40000}"/>
    <cellStyle name="Remarque 5 3 2 18" xfId="13165" xr:uid="{00000000-0005-0000-0000-00004ED40000}"/>
    <cellStyle name="Remarque 5 3 2 19" xfId="37125" xr:uid="{00000000-0005-0000-0000-00004FD40000}"/>
    <cellStyle name="Remarque 5 3 2 2" xfId="604" xr:uid="{00000000-0005-0000-0000-000050D40000}"/>
    <cellStyle name="Remarque 5 3 2 2 10" xfId="24636" xr:uid="{00000000-0005-0000-0000-000051D40000}"/>
    <cellStyle name="Remarque 5 3 2 2 10 2" xfId="48596" xr:uid="{00000000-0005-0000-0000-000052D40000}"/>
    <cellStyle name="Remarque 5 3 2 2 11" xfId="36396" xr:uid="{00000000-0005-0000-0000-000053D40000}"/>
    <cellStyle name="Remarque 5 3 2 2 11 2" xfId="60356" xr:uid="{00000000-0005-0000-0000-000054D40000}"/>
    <cellStyle name="Remarque 5 3 2 2 12" xfId="13301" xr:uid="{00000000-0005-0000-0000-000055D40000}"/>
    <cellStyle name="Remarque 5 3 2 2 13" xfId="37261" xr:uid="{00000000-0005-0000-0000-000056D40000}"/>
    <cellStyle name="Remarque 5 3 2 2 2" xfId="3510" xr:uid="{00000000-0005-0000-0000-000057D40000}"/>
    <cellStyle name="Remarque 5 3 2 2 2 2" xfId="27524" xr:uid="{00000000-0005-0000-0000-000058D40000}"/>
    <cellStyle name="Remarque 5 3 2 2 2 2 2" xfId="51484" xr:uid="{00000000-0005-0000-0000-000059D40000}"/>
    <cellStyle name="Remarque 5 3 2 2 2 3" xfId="14771" xr:uid="{00000000-0005-0000-0000-00005AD40000}"/>
    <cellStyle name="Remarque 5 3 2 2 2 4" xfId="38731" xr:uid="{00000000-0005-0000-0000-00005BD40000}"/>
    <cellStyle name="Remarque 5 3 2 2 3" xfId="4944" xr:uid="{00000000-0005-0000-0000-00005CD40000}"/>
    <cellStyle name="Remarque 5 3 2 2 3 2" xfId="28958" xr:uid="{00000000-0005-0000-0000-00005DD40000}"/>
    <cellStyle name="Remarque 5 3 2 2 3 2 2" xfId="52918" xr:uid="{00000000-0005-0000-0000-00005ED40000}"/>
    <cellStyle name="Remarque 5 3 2 2 3 3" xfId="16205" xr:uid="{00000000-0005-0000-0000-00005FD40000}"/>
    <cellStyle name="Remarque 5 3 2 2 3 4" xfId="40165" xr:uid="{00000000-0005-0000-0000-000060D40000}"/>
    <cellStyle name="Remarque 5 3 2 2 4" xfId="6338" xr:uid="{00000000-0005-0000-0000-000061D40000}"/>
    <cellStyle name="Remarque 5 3 2 2 4 2" xfId="30352" xr:uid="{00000000-0005-0000-0000-000062D40000}"/>
    <cellStyle name="Remarque 5 3 2 2 4 2 2" xfId="54312" xr:uid="{00000000-0005-0000-0000-000063D40000}"/>
    <cellStyle name="Remarque 5 3 2 2 4 3" xfId="17599" xr:uid="{00000000-0005-0000-0000-000064D40000}"/>
    <cellStyle name="Remarque 5 3 2 2 4 4" xfId="41559" xr:uid="{00000000-0005-0000-0000-000065D40000}"/>
    <cellStyle name="Remarque 5 3 2 2 5" xfId="7726" xr:uid="{00000000-0005-0000-0000-000066D40000}"/>
    <cellStyle name="Remarque 5 3 2 2 5 2" xfId="31740" xr:uid="{00000000-0005-0000-0000-000067D40000}"/>
    <cellStyle name="Remarque 5 3 2 2 5 2 2" xfId="55700" xr:uid="{00000000-0005-0000-0000-000068D40000}"/>
    <cellStyle name="Remarque 5 3 2 2 5 3" xfId="18987" xr:uid="{00000000-0005-0000-0000-000069D40000}"/>
    <cellStyle name="Remarque 5 3 2 2 5 4" xfId="42947" xr:uid="{00000000-0005-0000-0000-00006AD40000}"/>
    <cellStyle name="Remarque 5 3 2 2 6" xfId="9111" xr:uid="{00000000-0005-0000-0000-00006BD40000}"/>
    <cellStyle name="Remarque 5 3 2 2 6 2" xfId="33125" xr:uid="{00000000-0005-0000-0000-00006CD40000}"/>
    <cellStyle name="Remarque 5 3 2 2 6 2 2" xfId="57085" xr:uid="{00000000-0005-0000-0000-00006DD40000}"/>
    <cellStyle name="Remarque 5 3 2 2 6 3" xfId="20372" xr:uid="{00000000-0005-0000-0000-00006ED40000}"/>
    <cellStyle name="Remarque 5 3 2 2 6 4" xfId="44332" xr:uid="{00000000-0005-0000-0000-00006FD40000}"/>
    <cellStyle name="Remarque 5 3 2 2 7" xfId="10568" xr:uid="{00000000-0005-0000-0000-000070D40000}"/>
    <cellStyle name="Remarque 5 3 2 2 7 2" xfId="34578" xr:uid="{00000000-0005-0000-0000-000071D40000}"/>
    <cellStyle name="Remarque 5 3 2 2 7 2 2" xfId="58538" xr:uid="{00000000-0005-0000-0000-000072D40000}"/>
    <cellStyle name="Remarque 5 3 2 2 7 3" xfId="21835" xr:uid="{00000000-0005-0000-0000-000073D40000}"/>
    <cellStyle name="Remarque 5 3 2 2 7 4" xfId="45795" xr:uid="{00000000-0005-0000-0000-000074D40000}"/>
    <cellStyle name="Remarque 5 3 2 2 8" xfId="12213" xr:uid="{00000000-0005-0000-0000-000075D40000}"/>
    <cellStyle name="Remarque 5 3 2 2 8 2" xfId="23497" xr:uid="{00000000-0005-0000-0000-000076D40000}"/>
    <cellStyle name="Remarque 5 3 2 2 8 3" xfId="47457" xr:uid="{00000000-0005-0000-0000-000077D40000}"/>
    <cellStyle name="Remarque 5 3 2 2 9" xfId="2040" xr:uid="{00000000-0005-0000-0000-000078D40000}"/>
    <cellStyle name="Remarque 5 3 2 2 9 2" xfId="26054" xr:uid="{00000000-0005-0000-0000-000079D40000}"/>
    <cellStyle name="Remarque 5 3 2 2 9 3" xfId="50014" xr:uid="{00000000-0005-0000-0000-00007AD40000}"/>
    <cellStyle name="Remarque 5 3 2 3" xfId="796" xr:uid="{00000000-0005-0000-0000-00007BD40000}"/>
    <cellStyle name="Remarque 5 3 2 3 10" xfId="24828" xr:uid="{00000000-0005-0000-0000-00007CD40000}"/>
    <cellStyle name="Remarque 5 3 2 3 10 2" xfId="48788" xr:uid="{00000000-0005-0000-0000-00007DD40000}"/>
    <cellStyle name="Remarque 5 3 2 3 11" xfId="35584" xr:uid="{00000000-0005-0000-0000-00007ED40000}"/>
    <cellStyle name="Remarque 5 3 2 3 11 2" xfId="59544" xr:uid="{00000000-0005-0000-0000-00007FD40000}"/>
    <cellStyle name="Remarque 5 3 2 3 12" xfId="13493" xr:uid="{00000000-0005-0000-0000-000080D40000}"/>
    <cellStyle name="Remarque 5 3 2 3 13" xfId="37453" xr:uid="{00000000-0005-0000-0000-000081D40000}"/>
    <cellStyle name="Remarque 5 3 2 3 2" xfId="3702" xr:uid="{00000000-0005-0000-0000-000082D40000}"/>
    <cellStyle name="Remarque 5 3 2 3 2 2" xfId="27716" xr:uid="{00000000-0005-0000-0000-000083D40000}"/>
    <cellStyle name="Remarque 5 3 2 3 2 2 2" xfId="51676" xr:uid="{00000000-0005-0000-0000-000084D40000}"/>
    <cellStyle name="Remarque 5 3 2 3 2 3" xfId="14963" xr:uid="{00000000-0005-0000-0000-000085D40000}"/>
    <cellStyle name="Remarque 5 3 2 3 2 4" xfId="38923" xr:uid="{00000000-0005-0000-0000-000086D40000}"/>
    <cellStyle name="Remarque 5 3 2 3 3" xfId="5136" xr:uid="{00000000-0005-0000-0000-000087D40000}"/>
    <cellStyle name="Remarque 5 3 2 3 3 2" xfId="29150" xr:uid="{00000000-0005-0000-0000-000088D40000}"/>
    <cellStyle name="Remarque 5 3 2 3 3 2 2" xfId="53110" xr:uid="{00000000-0005-0000-0000-000089D40000}"/>
    <cellStyle name="Remarque 5 3 2 3 3 3" xfId="16397" xr:uid="{00000000-0005-0000-0000-00008AD40000}"/>
    <cellStyle name="Remarque 5 3 2 3 3 4" xfId="40357" xr:uid="{00000000-0005-0000-0000-00008BD40000}"/>
    <cellStyle name="Remarque 5 3 2 3 4" xfId="6530" xr:uid="{00000000-0005-0000-0000-00008CD40000}"/>
    <cellStyle name="Remarque 5 3 2 3 4 2" xfId="30544" xr:uid="{00000000-0005-0000-0000-00008DD40000}"/>
    <cellStyle name="Remarque 5 3 2 3 4 2 2" xfId="54504" xr:uid="{00000000-0005-0000-0000-00008ED40000}"/>
    <cellStyle name="Remarque 5 3 2 3 4 3" xfId="17791" xr:uid="{00000000-0005-0000-0000-00008FD40000}"/>
    <cellStyle name="Remarque 5 3 2 3 4 4" xfId="41751" xr:uid="{00000000-0005-0000-0000-000090D40000}"/>
    <cellStyle name="Remarque 5 3 2 3 5" xfId="7918" xr:uid="{00000000-0005-0000-0000-000091D40000}"/>
    <cellStyle name="Remarque 5 3 2 3 5 2" xfId="31932" xr:uid="{00000000-0005-0000-0000-000092D40000}"/>
    <cellStyle name="Remarque 5 3 2 3 5 2 2" xfId="55892" xr:uid="{00000000-0005-0000-0000-000093D40000}"/>
    <cellStyle name="Remarque 5 3 2 3 5 3" xfId="19179" xr:uid="{00000000-0005-0000-0000-000094D40000}"/>
    <cellStyle name="Remarque 5 3 2 3 5 4" xfId="43139" xr:uid="{00000000-0005-0000-0000-000095D40000}"/>
    <cellStyle name="Remarque 5 3 2 3 6" xfId="9303" xr:uid="{00000000-0005-0000-0000-000096D40000}"/>
    <cellStyle name="Remarque 5 3 2 3 6 2" xfId="33317" xr:uid="{00000000-0005-0000-0000-000097D40000}"/>
    <cellStyle name="Remarque 5 3 2 3 6 2 2" xfId="57277" xr:uid="{00000000-0005-0000-0000-000098D40000}"/>
    <cellStyle name="Remarque 5 3 2 3 6 3" xfId="20564" xr:uid="{00000000-0005-0000-0000-000099D40000}"/>
    <cellStyle name="Remarque 5 3 2 3 6 4" xfId="44524" xr:uid="{00000000-0005-0000-0000-00009AD40000}"/>
    <cellStyle name="Remarque 5 3 2 3 7" xfId="10760" xr:uid="{00000000-0005-0000-0000-00009BD40000}"/>
    <cellStyle name="Remarque 5 3 2 3 7 2" xfId="34770" xr:uid="{00000000-0005-0000-0000-00009CD40000}"/>
    <cellStyle name="Remarque 5 3 2 3 7 2 2" xfId="58730" xr:uid="{00000000-0005-0000-0000-00009DD40000}"/>
    <cellStyle name="Remarque 5 3 2 3 7 3" xfId="22027" xr:uid="{00000000-0005-0000-0000-00009ED40000}"/>
    <cellStyle name="Remarque 5 3 2 3 7 4" xfId="45987" xr:uid="{00000000-0005-0000-0000-00009FD40000}"/>
    <cellStyle name="Remarque 5 3 2 3 8" xfId="12109" xr:uid="{00000000-0005-0000-0000-0000A0D40000}"/>
    <cellStyle name="Remarque 5 3 2 3 8 2" xfId="23392" xr:uid="{00000000-0005-0000-0000-0000A1D40000}"/>
    <cellStyle name="Remarque 5 3 2 3 8 3" xfId="47352" xr:uid="{00000000-0005-0000-0000-0000A2D40000}"/>
    <cellStyle name="Remarque 5 3 2 3 9" xfId="2232" xr:uid="{00000000-0005-0000-0000-0000A3D40000}"/>
    <cellStyle name="Remarque 5 3 2 3 9 2" xfId="26246" xr:uid="{00000000-0005-0000-0000-0000A4D40000}"/>
    <cellStyle name="Remarque 5 3 2 3 9 3" xfId="50206" xr:uid="{00000000-0005-0000-0000-0000A5D40000}"/>
    <cellStyle name="Remarque 5 3 2 4" xfId="990" xr:uid="{00000000-0005-0000-0000-0000A6D40000}"/>
    <cellStyle name="Remarque 5 3 2 4 10" xfId="25022" xr:uid="{00000000-0005-0000-0000-0000A7D40000}"/>
    <cellStyle name="Remarque 5 3 2 4 10 2" xfId="48982" xr:uid="{00000000-0005-0000-0000-0000A8D40000}"/>
    <cellStyle name="Remarque 5 3 2 4 11" xfId="35845" xr:uid="{00000000-0005-0000-0000-0000A9D40000}"/>
    <cellStyle name="Remarque 5 3 2 4 11 2" xfId="59805" xr:uid="{00000000-0005-0000-0000-0000AAD40000}"/>
    <cellStyle name="Remarque 5 3 2 4 12" xfId="13687" xr:uid="{00000000-0005-0000-0000-0000ABD40000}"/>
    <cellStyle name="Remarque 5 3 2 4 13" xfId="37647" xr:uid="{00000000-0005-0000-0000-0000ACD40000}"/>
    <cellStyle name="Remarque 5 3 2 4 2" xfId="3896" xr:uid="{00000000-0005-0000-0000-0000ADD40000}"/>
    <cellStyle name="Remarque 5 3 2 4 2 2" xfId="27910" xr:uid="{00000000-0005-0000-0000-0000AED40000}"/>
    <cellStyle name="Remarque 5 3 2 4 2 2 2" xfId="51870" xr:uid="{00000000-0005-0000-0000-0000AFD40000}"/>
    <cellStyle name="Remarque 5 3 2 4 2 3" xfId="15157" xr:uid="{00000000-0005-0000-0000-0000B0D40000}"/>
    <cellStyle name="Remarque 5 3 2 4 2 4" xfId="39117" xr:uid="{00000000-0005-0000-0000-0000B1D40000}"/>
    <cellStyle name="Remarque 5 3 2 4 3" xfId="5330" xr:uid="{00000000-0005-0000-0000-0000B2D40000}"/>
    <cellStyle name="Remarque 5 3 2 4 3 2" xfId="29344" xr:uid="{00000000-0005-0000-0000-0000B3D40000}"/>
    <cellStyle name="Remarque 5 3 2 4 3 2 2" xfId="53304" xr:uid="{00000000-0005-0000-0000-0000B4D40000}"/>
    <cellStyle name="Remarque 5 3 2 4 3 3" xfId="16591" xr:uid="{00000000-0005-0000-0000-0000B5D40000}"/>
    <cellStyle name="Remarque 5 3 2 4 3 4" xfId="40551" xr:uid="{00000000-0005-0000-0000-0000B6D40000}"/>
    <cellStyle name="Remarque 5 3 2 4 4" xfId="6724" xr:uid="{00000000-0005-0000-0000-0000B7D40000}"/>
    <cellStyle name="Remarque 5 3 2 4 4 2" xfId="30738" xr:uid="{00000000-0005-0000-0000-0000B8D40000}"/>
    <cellStyle name="Remarque 5 3 2 4 4 2 2" xfId="54698" xr:uid="{00000000-0005-0000-0000-0000B9D40000}"/>
    <cellStyle name="Remarque 5 3 2 4 4 3" xfId="17985" xr:uid="{00000000-0005-0000-0000-0000BAD40000}"/>
    <cellStyle name="Remarque 5 3 2 4 4 4" xfId="41945" xr:uid="{00000000-0005-0000-0000-0000BBD40000}"/>
    <cellStyle name="Remarque 5 3 2 4 5" xfId="8112" xr:uid="{00000000-0005-0000-0000-0000BCD40000}"/>
    <cellStyle name="Remarque 5 3 2 4 5 2" xfId="32126" xr:uid="{00000000-0005-0000-0000-0000BDD40000}"/>
    <cellStyle name="Remarque 5 3 2 4 5 2 2" xfId="56086" xr:uid="{00000000-0005-0000-0000-0000BED40000}"/>
    <cellStyle name="Remarque 5 3 2 4 5 3" xfId="19373" xr:uid="{00000000-0005-0000-0000-0000BFD40000}"/>
    <cellStyle name="Remarque 5 3 2 4 5 4" xfId="43333" xr:uid="{00000000-0005-0000-0000-0000C0D40000}"/>
    <cellStyle name="Remarque 5 3 2 4 6" xfId="9497" xr:uid="{00000000-0005-0000-0000-0000C1D40000}"/>
    <cellStyle name="Remarque 5 3 2 4 6 2" xfId="33511" xr:uid="{00000000-0005-0000-0000-0000C2D40000}"/>
    <cellStyle name="Remarque 5 3 2 4 6 2 2" xfId="57471" xr:uid="{00000000-0005-0000-0000-0000C3D40000}"/>
    <cellStyle name="Remarque 5 3 2 4 6 3" xfId="20758" xr:uid="{00000000-0005-0000-0000-0000C4D40000}"/>
    <cellStyle name="Remarque 5 3 2 4 6 4" xfId="44718" xr:uid="{00000000-0005-0000-0000-0000C5D40000}"/>
    <cellStyle name="Remarque 5 3 2 4 7" xfId="10954" xr:uid="{00000000-0005-0000-0000-0000C6D40000}"/>
    <cellStyle name="Remarque 5 3 2 4 7 2" xfId="34964" xr:uid="{00000000-0005-0000-0000-0000C7D40000}"/>
    <cellStyle name="Remarque 5 3 2 4 7 2 2" xfId="58924" xr:uid="{00000000-0005-0000-0000-0000C8D40000}"/>
    <cellStyle name="Remarque 5 3 2 4 7 3" xfId="22221" xr:uid="{00000000-0005-0000-0000-0000C9D40000}"/>
    <cellStyle name="Remarque 5 3 2 4 7 4" xfId="46181" xr:uid="{00000000-0005-0000-0000-0000CAD40000}"/>
    <cellStyle name="Remarque 5 3 2 4 8" xfId="11767" xr:uid="{00000000-0005-0000-0000-0000CBD40000}"/>
    <cellStyle name="Remarque 5 3 2 4 8 2" xfId="23040" xr:uid="{00000000-0005-0000-0000-0000CCD40000}"/>
    <cellStyle name="Remarque 5 3 2 4 8 3" xfId="47000" xr:uid="{00000000-0005-0000-0000-0000CDD40000}"/>
    <cellStyle name="Remarque 5 3 2 4 9" xfId="2426" xr:uid="{00000000-0005-0000-0000-0000CED40000}"/>
    <cellStyle name="Remarque 5 3 2 4 9 2" xfId="26440" xr:uid="{00000000-0005-0000-0000-0000CFD40000}"/>
    <cellStyle name="Remarque 5 3 2 4 9 3" xfId="50400" xr:uid="{00000000-0005-0000-0000-0000D0D40000}"/>
    <cellStyle name="Remarque 5 3 2 5" xfId="1183" xr:uid="{00000000-0005-0000-0000-0000D1D40000}"/>
    <cellStyle name="Remarque 5 3 2 5 10" xfId="25215" xr:uid="{00000000-0005-0000-0000-0000D2D40000}"/>
    <cellStyle name="Remarque 5 3 2 5 10 2" xfId="49175" xr:uid="{00000000-0005-0000-0000-0000D3D40000}"/>
    <cellStyle name="Remarque 5 3 2 5 11" xfId="35648" xr:uid="{00000000-0005-0000-0000-0000D4D40000}"/>
    <cellStyle name="Remarque 5 3 2 5 11 2" xfId="59608" xr:uid="{00000000-0005-0000-0000-0000D5D40000}"/>
    <cellStyle name="Remarque 5 3 2 5 12" xfId="13880" xr:uid="{00000000-0005-0000-0000-0000D6D40000}"/>
    <cellStyle name="Remarque 5 3 2 5 13" xfId="37840" xr:uid="{00000000-0005-0000-0000-0000D7D40000}"/>
    <cellStyle name="Remarque 5 3 2 5 2" xfId="4089" xr:uid="{00000000-0005-0000-0000-0000D8D40000}"/>
    <cellStyle name="Remarque 5 3 2 5 2 2" xfId="28103" xr:uid="{00000000-0005-0000-0000-0000D9D40000}"/>
    <cellStyle name="Remarque 5 3 2 5 2 2 2" xfId="52063" xr:uid="{00000000-0005-0000-0000-0000DAD40000}"/>
    <cellStyle name="Remarque 5 3 2 5 2 3" xfId="15350" xr:uid="{00000000-0005-0000-0000-0000DBD40000}"/>
    <cellStyle name="Remarque 5 3 2 5 2 4" xfId="39310" xr:uid="{00000000-0005-0000-0000-0000DCD40000}"/>
    <cellStyle name="Remarque 5 3 2 5 3" xfId="5523" xr:uid="{00000000-0005-0000-0000-0000DDD40000}"/>
    <cellStyle name="Remarque 5 3 2 5 3 2" xfId="29537" xr:uid="{00000000-0005-0000-0000-0000DED40000}"/>
    <cellStyle name="Remarque 5 3 2 5 3 2 2" xfId="53497" xr:uid="{00000000-0005-0000-0000-0000DFD40000}"/>
    <cellStyle name="Remarque 5 3 2 5 3 3" xfId="16784" xr:uid="{00000000-0005-0000-0000-0000E0D40000}"/>
    <cellStyle name="Remarque 5 3 2 5 3 4" xfId="40744" xr:uid="{00000000-0005-0000-0000-0000E1D40000}"/>
    <cellStyle name="Remarque 5 3 2 5 4" xfId="6917" xr:uid="{00000000-0005-0000-0000-0000E2D40000}"/>
    <cellStyle name="Remarque 5 3 2 5 4 2" xfId="30931" xr:uid="{00000000-0005-0000-0000-0000E3D40000}"/>
    <cellStyle name="Remarque 5 3 2 5 4 2 2" xfId="54891" xr:uid="{00000000-0005-0000-0000-0000E4D40000}"/>
    <cellStyle name="Remarque 5 3 2 5 4 3" xfId="18178" xr:uid="{00000000-0005-0000-0000-0000E5D40000}"/>
    <cellStyle name="Remarque 5 3 2 5 4 4" xfId="42138" xr:uid="{00000000-0005-0000-0000-0000E6D40000}"/>
    <cellStyle name="Remarque 5 3 2 5 5" xfId="8305" xr:uid="{00000000-0005-0000-0000-0000E7D40000}"/>
    <cellStyle name="Remarque 5 3 2 5 5 2" xfId="32319" xr:uid="{00000000-0005-0000-0000-0000E8D40000}"/>
    <cellStyle name="Remarque 5 3 2 5 5 2 2" xfId="56279" xr:uid="{00000000-0005-0000-0000-0000E9D40000}"/>
    <cellStyle name="Remarque 5 3 2 5 5 3" xfId="19566" xr:uid="{00000000-0005-0000-0000-0000EAD40000}"/>
    <cellStyle name="Remarque 5 3 2 5 5 4" xfId="43526" xr:uid="{00000000-0005-0000-0000-0000EBD40000}"/>
    <cellStyle name="Remarque 5 3 2 5 6" xfId="9690" xr:uid="{00000000-0005-0000-0000-0000ECD40000}"/>
    <cellStyle name="Remarque 5 3 2 5 6 2" xfId="33704" xr:uid="{00000000-0005-0000-0000-0000EDD40000}"/>
    <cellStyle name="Remarque 5 3 2 5 6 2 2" xfId="57664" xr:uid="{00000000-0005-0000-0000-0000EED40000}"/>
    <cellStyle name="Remarque 5 3 2 5 6 3" xfId="20951" xr:uid="{00000000-0005-0000-0000-0000EFD40000}"/>
    <cellStyle name="Remarque 5 3 2 5 6 4" xfId="44911" xr:uid="{00000000-0005-0000-0000-0000F0D40000}"/>
    <cellStyle name="Remarque 5 3 2 5 7" xfId="11147" xr:uid="{00000000-0005-0000-0000-0000F1D40000}"/>
    <cellStyle name="Remarque 5 3 2 5 7 2" xfId="35157" xr:uid="{00000000-0005-0000-0000-0000F2D40000}"/>
    <cellStyle name="Remarque 5 3 2 5 7 2 2" xfId="59117" xr:uid="{00000000-0005-0000-0000-0000F3D40000}"/>
    <cellStyle name="Remarque 5 3 2 5 7 3" xfId="22414" xr:uid="{00000000-0005-0000-0000-0000F4D40000}"/>
    <cellStyle name="Remarque 5 3 2 5 7 4" xfId="46374" xr:uid="{00000000-0005-0000-0000-0000F5D40000}"/>
    <cellStyle name="Remarque 5 3 2 5 8" xfId="12160" xr:uid="{00000000-0005-0000-0000-0000F6D40000}"/>
    <cellStyle name="Remarque 5 3 2 5 8 2" xfId="23443" xr:uid="{00000000-0005-0000-0000-0000F7D40000}"/>
    <cellStyle name="Remarque 5 3 2 5 8 3" xfId="47403" xr:uid="{00000000-0005-0000-0000-0000F8D40000}"/>
    <cellStyle name="Remarque 5 3 2 5 9" xfId="2619" xr:uid="{00000000-0005-0000-0000-0000F9D40000}"/>
    <cellStyle name="Remarque 5 3 2 5 9 2" xfId="26633" xr:uid="{00000000-0005-0000-0000-0000FAD40000}"/>
    <cellStyle name="Remarque 5 3 2 5 9 3" xfId="50593" xr:uid="{00000000-0005-0000-0000-0000FBD40000}"/>
    <cellStyle name="Remarque 5 3 2 6" xfId="1350" xr:uid="{00000000-0005-0000-0000-0000FCD40000}"/>
    <cellStyle name="Remarque 5 3 2 6 10" xfId="25382" xr:uid="{00000000-0005-0000-0000-0000FDD40000}"/>
    <cellStyle name="Remarque 5 3 2 6 10 2" xfId="49342" xr:uid="{00000000-0005-0000-0000-0000FED40000}"/>
    <cellStyle name="Remarque 5 3 2 6 11" xfId="36829" xr:uid="{00000000-0005-0000-0000-0000FFD40000}"/>
    <cellStyle name="Remarque 5 3 2 6 11 2" xfId="60789" xr:uid="{00000000-0005-0000-0000-000000D50000}"/>
    <cellStyle name="Remarque 5 3 2 6 12" xfId="14047" xr:uid="{00000000-0005-0000-0000-000001D50000}"/>
    <cellStyle name="Remarque 5 3 2 6 13" xfId="38007" xr:uid="{00000000-0005-0000-0000-000002D50000}"/>
    <cellStyle name="Remarque 5 3 2 6 2" xfId="4256" xr:uid="{00000000-0005-0000-0000-000003D50000}"/>
    <cellStyle name="Remarque 5 3 2 6 2 2" xfId="28270" xr:uid="{00000000-0005-0000-0000-000004D50000}"/>
    <cellStyle name="Remarque 5 3 2 6 2 2 2" xfId="52230" xr:uid="{00000000-0005-0000-0000-000005D50000}"/>
    <cellStyle name="Remarque 5 3 2 6 2 3" xfId="15517" xr:uid="{00000000-0005-0000-0000-000006D50000}"/>
    <cellStyle name="Remarque 5 3 2 6 2 4" xfId="39477" xr:uid="{00000000-0005-0000-0000-000007D50000}"/>
    <cellStyle name="Remarque 5 3 2 6 3" xfId="5690" xr:uid="{00000000-0005-0000-0000-000008D50000}"/>
    <cellStyle name="Remarque 5 3 2 6 3 2" xfId="29704" xr:uid="{00000000-0005-0000-0000-000009D50000}"/>
    <cellStyle name="Remarque 5 3 2 6 3 2 2" xfId="53664" xr:uid="{00000000-0005-0000-0000-00000AD50000}"/>
    <cellStyle name="Remarque 5 3 2 6 3 3" xfId="16951" xr:uid="{00000000-0005-0000-0000-00000BD50000}"/>
    <cellStyle name="Remarque 5 3 2 6 3 4" xfId="40911" xr:uid="{00000000-0005-0000-0000-00000CD50000}"/>
    <cellStyle name="Remarque 5 3 2 6 4" xfId="7084" xr:uid="{00000000-0005-0000-0000-00000DD50000}"/>
    <cellStyle name="Remarque 5 3 2 6 4 2" xfId="31098" xr:uid="{00000000-0005-0000-0000-00000ED50000}"/>
    <cellStyle name="Remarque 5 3 2 6 4 2 2" xfId="55058" xr:uid="{00000000-0005-0000-0000-00000FD50000}"/>
    <cellStyle name="Remarque 5 3 2 6 4 3" xfId="18345" xr:uid="{00000000-0005-0000-0000-000010D50000}"/>
    <cellStyle name="Remarque 5 3 2 6 4 4" xfId="42305" xr:uid="{00000000-0005-0000-0000-000011D50000}"/>
    <cellStyle name="Remarque 5 3 2 6 5" xfId="8472" xr:uid="{00000000-0005-0000-0000-000012D50000}"/>
    <cellStyle name="Remarque 5 3 2 6 5 2" xfId="32486" xr:uid="{00000000-0005-0000-0000-000013D50000}"/>
    <cellStyle name="Remarque 5 3 2 6 5 2 2" xfId="56446" xr:uid="{00000000-0005-0000-0000-000014D50000}"/>
    <cellStyle name="Remarque 5 3 2 6 5 3" xfId="19733" xr:uid="{00000000-0005-0000-0000-000015D50000}"/>
    <cellStyle name="Remarque 5 3 2 6 5 4" xfId="43693" xr:uid="{00000000-0005-0000-0000-000016D50000}"/>
    <cellStyle name="Remarque 5 3 2 6 6" xfId="9857" xr:uid="{00000000-0005-0000-0000-000017D50000}"/>
    <cellStyle name="Remarque 5 3 2 6 6 2" xfId="33871" xr:uid="{00000000-0005-0000-0000-000018D50000}"/>
    <cellStyle name="Remarque 5 3 2 6 6 2 2" xfId="57831" xr:uid="{00000000-0005-0000-0000-000019D50000}"/>
    <cellStyle name="Remarque 5 3 2 6 6 3" xfId="21118" xr:uid="{00000000-0005-0000-0000-00001AD50000}"/>
    <cellStyle name="Remarque 5 3 2 6 6 4" xfId="45078" xr:uid="{00000000-0005-0000-0000-00001BD50000}"/>
    <cellStyle name="Remarque 5 3 2 6 7" xfId="11314" xr:uid="{00000000-0005-0000-0000-00001CD50000}"/>
    <cellStyle name="Remarque 5 3 2 6 7 2" xfId="35324" xr:uid="{00000000-0005-0000-0000-00001DD50000}"/>
    <cellStyle name="Remarque 5 3 2 6 7 2 2" xfId="59284" xr:uid="{00000000-0005-0000-0000-00001ED50000}"/>
    <cellStyle name="Remarque 5 3 2 6 7 3" xfId="22581" xr:uid="{00000000-0005-0000-0000-00001FD50000}"/>
    <cellStyle name="Remarque 5 3 2 6 7 4" xfId="46541" xr:uid="{00000000-0005-0000-0000-000020D50000}"/>
    <cellStyle name="Remarque 5 3 2 6 8" xfId="12819" xr:uid="{00000000-0005-0000-0000-000021D50000}"/>
    <cellStyle name="Remarque 5 3 2 6 8 2" xfId="24130" xr:uid="{00000000-0005-0000-0000-000022D50000}"/>
    <cellStyle name="Remarque 5 3 2 6 8 3" xfId="48090" xr:uid="{00000000-0005-0000-0000-000023D50000}"/>
    <cellStyle name="Remarque 5 3 2 6 9" xfId="2786" xr:uid="{00000000-0005-0000-0000-000024D50000}"/>
    <cellStyle name="Remarque 5 3 2 6 9 2" xfId="26800" xr:uid="{00000000-0005-0000-0000-000025D50000}"/>
    <cellStyle name="Remarque 5 3 2 6 9 3" xfId="50760" xr:uid="{00000000-0005-0000-0000-000026D50000}"/>
    <cellStyle name="Remarque 5 3 2 7" xfId="1519" xr:uid="{00000000-0005-0000-0000-000027D50000}"/>
    <cellStyle name="Remarque 5 3 2 7 10" xfId="25551" xr:uid="{00000000-0005-0000-0000-000028D50000}"/>
    <cellStyle name="Remarque 5 3 2 7 10 2" xfId="49511" xr:uid="{00000000-0005-0000-0000-000029D50000}"/>
    <cellStyle name="Remarque 5 3 2 7 11" xfId="35897" xr:uid="{00000000-0005-0000-0000-00002AD50000}"/>
    <cellStyle name="Remarque 5 3 2 7 11 2" xfId="59857" xr:uid="{00000000-0005-0000-0000-00002BD50000}"/>
    <cellStyle name="Remarque 5 3 2 7 12" xfId="14216" xr:uid="{00000000-0005-0000-0000-00002CD50000}"/>
    <cellStyle name="Remarque 5 3 2 7 13" xfId="38176" xr:uid="{00000000-0005-0000-0000-00002DD50000}"/>
    <cellStyle name="Remarque 5 3 2 7 2" xfId="4425" xr:uid="{00000000-0005-0000-0000-00002ED50000}"/>
    <cellStyle name="Remarque 5 3 2 7 2 2" xfId="28439" xr:uid="{00000000-0005-0000-0000-00002FD50000}"/>
    <cellStyle name="Remarque 5 3 2 7 2 2 2" xfId="52399" xr:uid="{00000000-0005-0000-0000-000030D50000}"/>
    <cellStyle name="Remarque 5 3 2 7 2 3" xfId="15686" xr:uid="{00000000-0005-0000-0000-000031D50000}"/>
    <cellStyle name="Remarque 5 3 2 7 2 4" xfId="39646" xr:uid="{00000000-0005-0000-0000-000032D50000}"/>
    <cellStyle name="Remarque 5 3 2 7 3" xfId="5859" xr:uid="{00000000-0005-0000-0000-000033D50000}"/>
    <cellStyle name="Remarque 5 3 2 7 3 2" xfId="29873" xr:uid="{00000000-0005-0000-0000-000034D50000}"/>
    <cellStyle name="Remarque 5 3 2 7 3 2 2" xfId="53833" xr:uid="{00000000-0005-0000-0000-000035D50000}"/>
    <cellStyle name="Remarque 5 3 2 7 3 3" xfId="17120" xr:uid="{00000000-0005-0000-0000-000036D50000}"/>
    <cellStyle name="Remarque 5 3 2 7 3 4" xfId="41080" xr:uid="{00000000-0005-0000-0000-000037D50000}"/>
    <cellStyle name="Remarque 5 3 2 7 4" xfId="7253" xr:uid="{00000000-0005-0000-0000-000038D50000}"/>
    <cellStyle name="Remarque 5 3 2 7 4 2" xfId="31267" xr:uid="{00000000-0005-0000-0000-000039D50000}"/>
    <cellStyle name="Remarque 5 3 2 7 4 2 2" xfId="55227" xr:uid="{00000000-0005-0000-0000-00003AD50000}"/>
    <cellStyle name="Remarque 5 3 2 7 4 3" xfId="18514" xr:uid="{00000000-0005-0000-0000-00003BD50000}"/>
    <cellStyle name="Remarque 5 3 2 7 4 4" xfId="42474" xr:uid="{00000000-0005-0000-0000-00003CD50000}"/>
    <cellStyle name="Remarque 5 3 2 7 5" xfId="8641" xr:uid="{00000000-0005-0000-0000-00003DD50000}"/>
    <cellStyle name="Remarque 5 3 2 7 5 2" xfId="32655" xr:uid="{00000000-0005-0000-0000-00003ED50000}"/>
    <cellStyle name="Remarque 5 3 2 7 5 2 2" xfId="56615" xr:uid="{00000000-0005-0000-0000-00003FD50000}"/>
    <cellStyle name="Remarque 5 3 2 7 5 3" xfId="19902" xr:uid="{00000000-0005-0000-0000-000040D50000}"/>
    <cellStyle name="Remarque 5 3 2 7 5 4" xfId="43862" xr:uid="{00000000-0005-0000-0000-000041D50000}"/>
    <cellStyle name="Remarque 5 3 2 7 6" xfId="10026" xr:uid="{00000000-0005-0000-0000-000042D50000}"/>
    <cellStyle name="Remarque 5 3 2 7 6 2" xfId="34040" xr:uid="{00000000-0005-0000-0000-000043D50000}"/>
    <cellStyle name="Remarque 5 3 2 7 6 2 2" xfId="58000" xr:uid="{00000000-0005-0000-0000-000044D50000}"/>
    <cellStyle name="Remarque 5 3 2 7 6 3" xfId="21287" xr:uid="{00000000-0005-0000-0000-000045D50000}"/>
    <cellStyle name="Remarque 5 3 2 7 6 4" xfId="45247" xr:uid="{00000000-0005-0000-0000-000046D50000}"/>
    <cellStyle name="Remarque 5 3 2 7 7" xfId="11483" xr:uid="{00000000-0005-0000-0000-000047D50000}"/>
    <cellStyle name="Remarque 5 3 2 7 7 2" xfId="35493" xr:uid="{00000000-0005-0000-0000-000048D50000}"/>
    <cellStyle name="Remarque 5 3 2 7 7 2 2" xfId="59453" xr:uid="{00000000-0005-0000-0000-000049D50000}"/>
    <cellStyle name="Remarque 5 3 2 7 7 3" xfId="22750" xr:uid="{00000000-0005-0000-0000-00004AD50000}"/>
    <cellStyle name="Remarque 5 3 2 7 7 4" xfId="46710" xr:uid="{00000000-0005-0000-0000-00004BD50000}"/>
    <cellStyle name="Remarque 5 3 2 7 8" xfId="12145" xr:uid="{00000000-0005-0000-0000-00004CD50000}"/>
    <cellStyle name="Remarque 5 3 2 7 8 2" xfId="23428" xr:uid="{00000000-0005-0000-0000-00004DD50000}"/>
    <cellStyle name="Remarque 5 3 2 7 8 3" xfId="47388" xr:uid="{00000000-0005-0000-0000-00004ED50000}"/>
    <cellStyle name="Remarque 5 3 2 7 9" xfId="2955" xr:uid="{00000000-0005-0000-0000-00004FD50000}"/>
    <cellStyle name="Remarque 5 3 2 7 9 2" xfId="26969" xr:uid="{00000000-0005-0000-0000-000050D50000}"/>
    <cellStyle name="Remarque 5 3 2 7 9 3" xfId="50929" xr:uid="{00000000-0005-0000-0000-000051D50000}"/>
    <cellStyle name="Remarque 5 3 2 8" xfId="3374" xr:uid="{00000000-0005-0000-0000-000052D50000}"/>
    <cellStyle name="Remarque 5 3 2 8 2" xfId="27388" xr:uid="{00000000-0005-0000-0000-000053D50000}"/>
    <cellStyle name="Remarque 5 3 2 8 2 2" xfId="51348" xr:uid="{00000000-0005-0000-0000-000054D50000}"/>
    <cellStyle name="Remarque 5 3 2 8 3" xfId="14635" xr:uid="{00000000-0005-0000-0000-000055D50000}"/>
    <cellStyle name="Remarque 5 3 2 8 4" xfId="38595" xr:uid="{00000000-0005-0000-0000-000056D50000}"/>
    <cellStyle name="Remarque 5 3 2 9" xfId="4808" xr:uid="{00000000-0005-0000-0000-000057D50000}"/>
    <cellStyle name="Remarque 5 3 2 9 2" xfId="28822" xr:uid="{00000000-0005-0000-0000-000058D50000}"/>
    <cellStyle name="Remarque 5 3 2 9 2 2" xfId="52782" xr:uid="{00000000-0005-0000-0000-000059D50000}"/>
    <cellStyle name="Remarque 5 3 2 9 3" xfId="16069" xr:uid="{00000000-0005-0000-0000-00005AD50000}"/>
    <cellStyle name="Remarque 5 3 2 9 4" xfId="40029" xr:uid="{00000000-0005-0000-0000-00005BD50000}"/>
    <cellStyle name="Remarque 5 3 3" xfId="276" xr:uid="{00000000-0005-0000-0000-00005CD50000}"/>
    <cellStyle name="Remarque 5 3 3 10" xfId="24308" xr:uid="{00000000-0005-0000-0000-00005DD50000}"/>
    <cellStyle name="Remarque 5 3 3 10 2" xfId="48268" xr:uid="{00000000-0005-0000-0000-00005ED50000}"/>
    <cellStyle name="Remarque 5 3 3 11" xfId="35779" xr:uid="{00000000-0005-0000-0000-00005FD50000}"/>
    <cellStyle name="Remarque 5 3 3 11 2" xfId="59739" xr:uid="{00000000-0005-0000-0000-000060D50000}"/>
    <cellStyle name="Remarque 5 3 3 12" xfId="12973" xr:uid="{00000000-0005-0000-0000-000061D50000}"/>
    <cellStyle name="Remarque 5 3 3 13" xfId="36933" xr:uid="{00000000-0005-0000-0000-000062D50000}"/>
    <cellStyle name="Remarque 5 3 3 2" xfId="3182" xr:uid="{00000000-0005-0000-0000-000063D50000}"/>
    <cellStyle name="Remarque 5 3 3 2 2" xfId="27196" xr:uid="{00000000-0005-0000-0000-000064D50000}"/>
    <cellStyle name="Remarque 5 3 3 2 2 2" xfId="51156" xr:uid="{00000000-0005-0000-0000-000065D50000}"/>
    <cellStyle name="Remarque 5 3 3 2 3" xfId="14443" xr:uid="{00000000-0005-0000-0000-000066D50000}"/>
    <cellStyle name="Remarque 5 3 3 2 4" xfId="38403" xr:uid="{00000000-0005-0000-0000-000067D50000}"/>
    <cellStyle name="Remarque 5 3 3 3" xfId="4616" xr:uid="{00000000-0005-0000-0000-000068D50000}"/>
    <cellStyle name="Remarque 5 3 3 3 2" xfId="28630" xr:uid="{00000000-0005-0000-0000-000069D50000}"/>
    <cellStyle name="Remarque 5 3 3 3 2 2" xfId="52590" xr:uid="{00000000-0005-0000-0000-00006AD50000}"/>
    <cellStyle name="Remarque 5 3 3 3 3" xfId="15877" xr:uid="{00000000-0005-0000-0000-00006BD50000}"/>
    <cellStyle name="Remarque 5 3 3 3 4" xfId="39837" xr:uid="{00000000-0005-0000-0000-00006CD50000}"/>
    <cellStyle name="Remarque 5 3 3 4" xfId="6010" xr:uid="{00000000-0005-0000-0000-00006DD50000}"/>
    <cellStyle name="Remarque 5 3 3 4 2" xfId="30024" xr:uid="{00000000-0005-0000-0000-00006ED50000}"/>
    <cellStyle name="Remarque 5 3 3 4 2 2" xfId="53984" xr:uid="{00000000-0005-0000-0000-00006FD50000}"/>
    <cellStyle name="Remarque 5 3 3 4 3" xfId="17271" xr:uid="{00000000-0005-0000-0000-000070D50000}"/>
    <cellStyle name="Remarque 5 3 3 4 4" xfId="41231" xr:uid="{00000000-0005-0000-0000-000071D50000}"/>
    <cellStyle name="Remarque 5 3 3 5" xfId="7398" xr:uid="{00000000-0005-0000-0000-000072D50000}"/>
    <cellStyle name="Remarque 5 3 3 5 2" xfId="31412" xr:uid="{00000000-0005-0000-0000-000073D50000}"/>
    <cellStyle name="Remarque 5 3 3 5 2 2" xfId="55372" xr:uid="{00000000-0005-0000-0000-000074D50000}"/>
    <cellStyle name="Remarque 5 3 3 5 3" xfId="18659" xr:uid="{00000000-0005-0000-0000-000075D50000}"/>
    <cellStyle name="Remarque 5 3 3 5 4" xfId="42619" xr:uid="{00000000-0005-0000-0000-000076D50000}"/>
    <cellStyle name="Remarque 5 3 3 6" xfId="8783" xr:uid="{00000000-0005-0000-0000-000077D50000}"/>
    <cellStyle name="Remarque 5 3 3 6 2" xfId="32797" xr:uid="{00000000-0005-0000-0000-000078D50000}"/>
    <cellStyle name="Remarque 5 3 3 6 2 2" xfId="56757" xr:uid="{00000000-0005-0000-0000-000079D50000}"/>
    <cellStyle name="Remarque 5 3 3 6 3" xfId="20044" xr:uid="{00000000-0005-0000-0000-00007AD50000}"/>
    <cellStyle name="Remarque 5 3 3 6 4" xfId="44004" xr:uid="{00000000-0005-0000-0000-00007BD50000}"/>
    <cellStyle name="Remarque 5 3 3 7" xfId="10240" xr:uid="{00000000-0005-0000-0000-00007CD50000}"/>
    <cellStyle name="Remarque 5 3 3 7 2" xfId="34250" xr:uid="{00000000-0005-0000-0000-00007DD50000}"/>
    <cellStyle name="Remarque 5 3 3 7 2 2" xfId="58210" xr:uid="{00000000-0005-0000-0000-00007ED50000}"/>
    <cellStyle name="Remarque 5 3 3 7 3" xfId="21507" xr:uid="{00000000-0005-0000-0000-00007FD50000}"/>
    <cellStyle name="Remarque 5 3 3 7 4" xfId="45467" xr:uid="{00000000-0005-0000-0000-000080D50000}"/>
    <cellStyle name="Remarque 5 3 3 8" xfId="11754" xr:uid="{00000000-0005-0000-0000-000081D50000}"/>
    <cellStyle name="Remarque 5 3 3 8 2" xfId="23026" xr:uid="{00000000-0005-0000-0000-000082D50000}"/>
    <cellStyle name="Remarque 5 3 3 8 3" xfId="46986" xr:uid="{00000000-0005-0000-0000-000083D50000}"/>
    <cellStyle name="Remarque 5 3 3 9" xfId="1712" xr:uid="{00000000-0005-0000-0000-000084D50000}"/>
    <cellStyle name="Remarque 5 3 3 9 2" xfId="25726" xr:uid="{00000000-0005-0000-0000-000085D50000}"/>
    <cellStyle name="Remarque 5 3 3 9 3" xfId="49686" xr:uid="{00000000-0005-0000-0000-000086D50000}"/>
    <cellStyle name="Remarque 5 3 4" xfId="661" xr:uid="{00000000-0005-0000-0000-000087D50000}"/>
    <cellStyle name="Remarque 5 3 4 10" xfId="24693" xr:uid="{00000000-0005-0000-0000-000088D50000}"/>
    <cellStyle name="Remarque 5 3 4 10 2" xfId="48653" xr:uid="{00000000-0005-0000-0000-000089D50000}"/>
    <cellStyle name="Remarque 5 3 4 11" xfId="36102" xr:uid="{00000000-0005-0000-0000-00008AD50000}"/>
    <cellStyle name="Remarque 5 3 4 11 2" xfId="60062" xr:uid="{00000000-0005-0000-0000-00008BD50000}"/>
    <cellStyle name="Remarque 5 3 4 12" xfId="13358" xr:uid="{00000000-0005-0000-0000-00008CD50000}"/>
    <cellStyle name="Remarque 5 3 4 13" xfId="37318" xr:uid="{00000000-0005-0000-0000-00008DD50000}"/>
    <cellStyle name="Remarque 5 3 4 2" xfId="3567" xr:uid="{00000000-0005-0000-0000-00008ED50000}"/>
    <cellStyle name="Remarque 5 3 4 2 2" xfId="27581" xr:uid="{00000000-0005-0000-0000-00008FD50000}"/>
    <cellStyle name="Remarque 5 3 4 2 2 2" xfId="51541" xr:uid="{00000000-0005-0000-0000-000090D50000}"/>
    <cellStyle name="Remarque 5 3 4 2 3" xfId="14828" xr:uid="{00000000-0005-0000-0000-000091D50000}"/>
    <cellStyle name="Remarque 5 3 4 2 4" xfId="38788" xr:uid="{00000000-0005-0000-0000-000092D50000}"/>
    <cellStyle name="Remarque 5 3 4 3" xfId="5001" xr:uid="{00000000-0005-0000-0000-000093D50000}"/>
    <cellStyle name="Remarque 5 3 4 3 2" xfId="29015" xr:uid="{00000000-0005-0000-0000-000094D50000}"/>
    <cellStyle name="Remarque 5 3 4 3 2 2" xfId="52975" xr:uid="{00000000-0005-0000-0000-000095D50000}"/>
    <cellStyle name="Remarque 5 3 4 3 3" xfId="16262" xr:uid="{00000000-0005-0000-0000-000096D50000}"/>
    <cellStyle name="Remarque 5 3 4 3 4" xfId="40222" xr:uid="{00000000-0005-0000-0000-000097D50000}"/>
    <cellStyle name="Remarque 5 3 4 4" xfId="6395" xr:uid="{00000000-0005-0000-0000-000098D50000}"/>
    <cellStyle name="Remarque 5 3 4 4 2" xfId="30409" xr:uid="{00000000-0005-0000-0000-000099D50000}"/>
    <cellStyle name="Remarque 5 3 4 4 2 2" xfId="54369" xr:uid="{00000000-0005-0000-0000-00009AD50000}"/>
    <cellStyle name="Remarque 5 3 4 4 3" xfId="17656" xr:uid="{00000000-0005-0000-0000-00009BD50000}"/>
    <cellStyle name="Remarque 5 3 4 4 4" xfId="41616" xr:uid="{00000000-0005-0000-0000-00009CD50000}"/>
    <cellStyle name="Remarque 5 3 4 5" xfId="7783" xr:uid="{00000000-0005-0000-0000-00009DD50000}"/>
    <cellStyle name="Remarque 5 3 4 5 2" xfId="31797" xr:uid="{00000000-0005-0000-0000-00009ED50000}"/>
    <cellStyle name="Remarque 5 3 4 5 2 2" xfId="55757" xr:uid="{00000000-0005-0000-0000-00009FD50000}"/>
    <cellStyle name="Remarque 5 3 4 5 3" xfId="19044" xr:uid="{00000000-0005-0000-0000-0000A0D50000}"/>
    <cellStyle name="Remarque 5 3 4 5 4" xfId="43004" xr:uid="{00000000-0005-0000-0000-0000A1D50000}"/>
    <cellStyle name="Remarque 5 3 4 6" xfId="9168" xr:uid="{00000000-0005-0000-0000-0000A2D50000}"/>
    <cellStyle name="Remarque 5 3 4 6 2" xfId="33182" xr:uid="{00000000-0005-0000-0000-0000A3D50000}"/>
    <cellStyle name="Remarque 5 3 4 6 2 2" xfId="57142" xr:uid="{00000000-0005-0000-0000-0000A4D50000}"/>
    <cellStyle name="Remarque 5 3 4 6 3" xfId="20429" xr:uid="{00000000-0005-0000-0000-0000A5D50000}"/>
    <cellStyle name="Remarque 5 3 4 6 4" xfId="44389" xr:uid="{00000000-0005-0000-0000-0000A6D50000}"/>
    <cellStyle name="Remarque 5 3 4 7" xfId="10625" xr:uid="{00000000-0005-0000-0000-0000A7D50000}"/>
    <cellStyle name="Remarque 5 3 4 7 2" xfId="34635" xr:uid="{00000000-0005-0000-0000-0000A8D50000}"/>
    <cellStyle name="Remarque 5 3 4 7 2 2" xfId="58595" xr:uid="{00000000-0005-0000-0000-0000A9D50000}"/>
    <cellStyle name="Remarque 5 3 4 7 3" xfId="21892" xr:uid="{00000000-0005-0000-0000-0000AAD50000}"/>
    <cellStyle name="Remarque 5 3 4 7 4" xfId="45852" xr:uid="{00000000-0005-0000-0000-0000ABD50000}"/>
    <cellStyle name="Remarque 5 3 4 8" xfId="12456" xr:uid="{00000000-0005-0000-0000-0000ACD50000}"/>
    <cellStyle name="Remarque 5 3 4 8 2" xfId="23750" xr:uid="{00000000-0005-0000-0000-0000ADD50000}"/>
    <cellStyle name="Remarque 5 3 4 8 3" xfId="47710" xr:uid="{00000000-0005-0000-0000-0000AED50000}"/>
    <cellStyle name="Remarque 5 3 4 9" xfId="2097" xr:uid="{00000000-0005-0000-0000-0000AFD50000}"/>
    <cellStyle name="Remarque 5 3 4 9 2" xfId="26111" xr:uid="{00000000-0005-0000-0000-0000B0D50000}"/>
    <cellStyle name="Remarque 5 3 4 9 3" xfId="50071" xr:uid="{00000000-0005-0000-0000-0000B1D50000}"/>
    <cellStyle name="Remarque 5 3 5" xfId="855" xr:uid="{00000000-0005-0000-0000-0000B2D50000}"/>
    <cellStyle name="Remarque 5 3 5 10" xfId="24887" xr:uid="{00000000-0005-0000-0000-0000B3D50000}"/>
    <cellStyle name="Remarque 5 3 5 10 2" xfId="48847" xr:uid="{00000000-0005-0000-0000-0000B4D50000}"/>
    <cellStyle name="Remarque 5 3 5 11" xfId="36820" xr:uid="{00000000-0005-0000-0000-0000B5D50000}"/>
    <cellStyle name="Remarque 5 3 5 11 2" xfId="60780" xr:uid="{00000000-0005-0000-0000-0000B6D50000}"/>
    <cellStyle name="Remarque 5 3 5 12" xfId="13552" xr:uid="{00000000-0005-0000-0000-0000B7D50000}"/>
    <cellStyle name="Remarque 5 3 5 13" xfId="37512" xr:uid="{00000000-0005-0000-0000-0000B8D50000}"/>
    <cellStyle name="Remarque 5 3 5 2" xfId="3761" xr:uid="{00000000-0005-0000-0000-0000B9D50000}"/>
    <cellStyle name="Remarque 5 3 5 2 2" xfId="27775" xr:uid="{00000000-0005-0000-0000-0000BAD50000}"/>
    <cellStyle name="Remarque 5 3 5 2 2 2" xfId="51735" xr:uid="{00000000-0005-0000-0000-0000BBD50000}"/>
    <cellStyle name="Remarque 5 3 5 2 3" xfId="15022" xr:uid="{00000000-0005-0000-0000-0000BCD50000}"/>
    <cellStyle name="Remarque 5 3 5 2 4" xfId="38982" xr:uid="{00000000-0005-0000-0000-0000BDD50000}"/>
    <cellStyle name="Remarque 5 3 5 3" xfId="5195" xr:uid="{00000000-0005-0000-0000-0000BED50000}"/>
    <cellStyle name="Remarque 5 3 5 3 2" xfId="29209" xr:uid="{00000000-0005-0000-0000-0000BFD50000}"/>
    <cellStyle name="Remarque 5 3 5 3 2 2" xfId="53169" xr:uid="{00000000-0005-0000-0000-0000C0D50000}"/>
    <cellStyle name="Remarque 5 3 5 3 3" xfId="16456" xr:uid="{00000000-0005-0000-0000-0000C1D50000}"/>
    <cellStyle name="Remarque 5 3 5 3 4" xfId="40416" xr:uid="{00000000-0005-0000-0000-0000C2D50000}"/>
    <cellStyle name="Remarque 5 3 5 4" xfId="6589" xr:uid="{00000000-0005-0000-0000-0000C3D50000}"/>
    <cellStyle name="Remarque 5 3 5 4 2" xfId="30603" xr:uid="{00000000-0005-0000-0000-0000C4D50000}"/>
    <cellStyle name="Remarque 5 3 5 4 2 2" xfId="54563" xr:uid="{00000000-0005-0000-0000-0000C5D50000}"/>
    <cellStyle name="Remarque 5 3 5 4 3" xfId="17850" xr:uid="{00000000-0005-0000-0000-0000C6D50000}"/>
    <cellStyle name="Remarque 5 3 5 4 4" xfId="41810" xr:uid="{00000000-0005-0000-0000-0000C7D50000}"/>
    <cellStyle name="Remarque 5 3 5 5" xfId="7977" xr:uid="{00000000-0005-0000-0000-0000C8D50000}"/>
    <cellStyle name="Remarque 5 3 5 5 2" xfId="31991" xr:uid="{00000000-0005-0000-0000-0000C9D50000}"/>
    <cellStyle name="Remarque 5 3 5 5 2 2" xfId="55951" xr:uid="{00000000-0005-0000-0000-0000CAD50000}"/>
    <cellStyle name="Remarque 5 3 5 5 3" xfId="19238" xr:uid="{00000000-0005-0000-0000-0000CBD50000}"/>
    <cellStyle name="Remarque 5 3 5 5 4" xfId="43198" xr:uid="{00000000-0005-0000-0000-0000CCD50000}"/>
    <cellStyle name="Remarque 5 3 5 6" xfId="9362" xr:uid="{00000000-0005-0000-0000-0000CDD50000}"/>
    <cellStyle name="Remarque 5 3 5 6 2" xfId="33376" xr:uid="{00000000-0005-0000-0000-0000CED50000}"/>
    <cellStyle name="Remarque 5 3 5 6 2 2" xfId="57336" xr:uid="{00000000-0005-0000-0000-0000CFD50000}"/>
    <cellStyle name="Remarque 5 3 5 6 3" xfId="20623" xr:uid="{00000000-0005-0000-0000-0000D0D50000}"/>
    <cellStyle name="Remarque 5 3 5 6 4" xfId="44583" xr:uid="{00000000-0005-0000-0000-0000D1D50000}"/>
    <cellStyle name="Remarque 5 3 5 7" xfId="10819" xr:uid="{00000000-0005-0000-0000-0000D2D50000}"/>
    <cellStyle name="Remarque 5 3 5 7 2" xfId="34829" xr:uid="{00000000-0005-0000-0000-0000D3D50000}"/>
    <cellStyle name="Remarque 5 3 5 7 2 2" xfId="58789" xr:uid="{00000000-0005-0000-0000-0000D4D50000}"/>
    <cellStyle name="Remarque 5 3 5 7 3" xfId="22086" xr:uid="{00000000-0005-0000-0000-0000D5D50000}"/>
    <cellStyle name="Remarque 5 3 5 7 4" xfId="46046" xr:uid="{00000000-0005-0000-0000-0000D6D50000}"/>
    <cellStyle name="Remarque 5 3 5 8" xfId="12277" xr:uid="{00000000-0005-0000-0000-0000D7D50000}"/>
    <cellStyle name="Remarque 5 3 5 8 2" xfId="23564" xr:uid="{00000000-0005-0000-0000-0000D8D50000}"/>
    <cellStyle name="Remarque 5 3 5 8 3" xfId="47524" xr:uid="{00000000-0005-0000-0000-0000D9D50000}"/>
    <cellStyle name="Remarque 5 3 5 9" xfId="2291" xr:uid="{00000000-0005-0000-0000-0000DAD50000}"/>
    <cellStyle name="Remarque 5 3 5 9 2" xfId="26305" xr:uid="{00000000-0005-0000-0000-0000DBD50000}"/>
    <cellStyle name="Remarque 5 3 5 9 3" xfId="50265" xr:uid="{00000000-0005-0000-0000-0000DCD50000}"/>
    <cellStyle name="Remarque 5 3 6" xfId="1048" xr:uid="{00000000-0005-0000-0000-0000DDD50000}"/>
    <cellStyle name="Remarque 5 3 6 10" xfId="25080" xr:uid="{00000000-0005-0000-0000-0000DED50000}"/>
    <cellStyle name="Remarque 5 3 6 10 2" xfId="49040" xr:uid="{00000000-0005-0000-0000-0000DFD50000}"/>
    <cellStyle name="Remarque 5 3 6 11" xfId="36533" xr:uid="{00000000-0005-0000-0000-0000E0D50000}"/>
    <cellStyle name="Remarque 5 3 6 11 2" xfId="60493" xr:uid="{00000000-0005-0000-0000-0000E1D50000}"/>
    <cellStyle name="Remarque 5 3 6 12" xfId="13745" xr:uid="{00000000-0005-0000-0000-0000E2D50000}"/>
    <cellStyle name="Remarque 5 3 6 13" xfId="37705" xr:uid="{00000000-0005-0000-0000-0000E3D50000}"/>
    <cellStyle name="Remarque 5 3 6 2" xfId="3954" xr:uid="{00000000-0005-0000-0000-0000E4D50000}"/>
    <cellStyle name="Remarque 5 3 6 2 2" xfId="27968" xr:uid="{00000000-0005-0000-0000-0000E5D50000}"/>
    <cellStyle name="Remarque 5 3 6 2 2 2" xfId="51928" xr:uid="{00000000-0005-0000-0000-0000E6D50000}"/>
    <cellStyle name="Remarque 5 3 6 2 3" xfId="15215" xr:uid="{00000000-0005-0000-0000-0000E7D50000}"/>
    <cellStyle name="Remarque 5 3 6 2 4" xfId="39175" xr:uid="{00000000-0005-0000-0000-0000E8D50000}"/>
    <cellStyle name="Remarque 5 3 6 3" xfId="5388" xr:uid="{00000000-0005-0000-0000-0000E9D50000}"/>
    <cellStyle name="Remarque 5 3 6 3 2" xfId="29402" xr:uid="{00000000-0005-0000-0000-0000EAD50000}"/>
    <cellStyle name="Remarque 5 3 6 3 2 2" xfId="53362" xr:uid="{00000000-0005-0000-0000-0000EBD50000}"/>
    <cellStyle name="Remarque 5 3 6 3 3" xfId="16649" xr:uid="{00000000-0005-0000-0000-0000ECD50000}"/>
    <cellStyle name="Remarque 5 3 6 3 4" xfId="40609" xr:uid="{00000000-0005-0000-0000-0000EDD50000}"/>
    <cellStyle name="Remarque 5 3 6 4" xfId="6782" xr:uid="{00000000-0005-0000-0000-0000EED50000}"/>
    <cellStyle name="Remarque 5 3 6 4 2" xfId="30796" xr:uid="{00000000-0005-0000-0000-0000EFD50000}"/>
    <cellStyle name="Remarque 5 3 6 4 2 2" xfId="54756" xr:uid="{00000000-0005-0000-0000-0000F0D50000}"/>
    <cellStyle name="Remarque 5 3 6 4 3" xfId="18043" xr:uid="{00000000-0005-0000-0000-0000F1D50000}"/>
    <cellStyle name="Remarque 5 3 6 4 4" xfId="42003" xr:uid="{00000000-0005-0000-0000-0000F2D50000}"/>
    <cellStyle name="Remarque 5 3 6 5" xfId="8170" xr:uid="{00000000-0005-0000-0000-0000F3D50000}"/>
    <cellStyle name="Remarque 5 3 6 5 2" xfId="32184" xr:uid="{00000000-0005-0000-0000-0000F4D50000}"/>
    <cellStyle name="Remarque 5 3 6 5 2 2" xfId="56144" xr:uid="{00000000-0005-0000-0000-0000F5D50000}"/>
    <cellStyle name="Remarque 5 3 6 5 3" xfId="19431" xr:uid="{00000000-0005-0000-0000-0000F6D50000}"/>
    <cellStyle name="Remarque 5 3 6 5 4" xfId="43391" xr:uid="{00000000-0005-0000-0000-0000F7D50000}"/>
    <cellStyle name="Remarque 5 3 6 6" xfId="9555" xr:uid="{00000000-0005-0000-0000-0000F8D50000}"/>
    <cellStyle name="Remarque 5 3 6 6 2" xfId="33569" xr:uid="{00000000-0005-0000-0000-0000F9D50000}"/>
    <cellStyle name="Remarque 5 3 6 6 2 2" xfId="57529" xr:uid="{00000000-0005-0000-0000-0000FAD50000}"/>
    <cellStyle name="Remarque 5 3 6 6 3" xfId="20816" xr:uid="{00000000-0005-0000-0000-0000FBD50000}"/>
    <cellStyle name="Remarque 5 3 6 6 4" xfId="44776" xr:uid="{00000000-0005-0000-0000-0000FCD50000}"/>
    <cellStyle name="Remarque 5 3 6 7" xfId="11012" xr:uid="{00000000-0005-0000-0000-0000FDD50000}"/>
    <cellStyle name="Remarque 5 3 6 7 2" xfId="35022" xr:uid="{00000000-0005-0000-0000-0000FED50000}"/>
    <cellStyle name="Remarque 5 3 6 7 2 2" xfId="58982" xr:uid="{00000000-0005-0000-0000-0000FFD50000}"/>
    <cellStyle name="Remarque 5 3 6 7 3" xfId="22279" xr:uid="{00000000-0005-0000-0000-000000D60000}"/>
    <cellStyle name="Remarque 5 3 6 7 4" xfId="46239" xr:uid="{00000000-0005-0000-0000-000001D60000}"/>
    <cellStyle name="Remarque 5 3 6 8" xfId="12738" xr:uid="{00000000-0005-0000-0000-000002D60000}"/>
    <cellStyle name="Remarque 5 3 6 8 2" xfId="24044" xr:uid="{00000000-0005-0000-0000-000003D60000}"/>
    <cellStyle name="Remarque 5 3 6 8 3" xfId="48004" xr:uid="{00000000-0005-0000-0000-000004D60000}"/>
    <cellStyle name="Remarque 5 3 6 9" xfId="2484" xr:uid="{00000000-0005-0000-0000-000005D60000}"/>
    <cellStyle name="Remarque 5 3 6 9 2" xfId="26498" xr:uid="{00000000-0005-0000-0000-000006D60000}"/>
    <cellStyle name="Remarque 5 3 6 9 3" xfId="50458" xr:uid="{00000000-0005-0000-0000-000007D60000}"/>
    <cellStyle name="Remarque 5 3 7" xfId="1384" xr:uid="{00000000-0005-0000-0000-000008D60000}"/>
    <cellStyle name="Remarque 5 3 7 10" xfId="25416" xr:uid="{00000000-0005-0000-0000-000009D60000}"/>
    <cellStyle name="Remarque 5 3 7 10 2" xfId="49376" xr:uid="{00000000-0005-0000-0000-00000AD60000}"/>
    <cellStyle name="Remarque 5 3 7 11" xfId="35714" xr:uid="{00000000-0005-0000-0000-00000BD60000}"/>
    <cellStyle name="Remarque 5 3 7 11 2" xfId="59674" xr:uid="{00000000-0005-0000-0000-00000CD60000}"/>
    <cellStyle name="Remarque 5 3 7 12" xfId="14081" xr:uid="{00000000-0005-0000-0000-00000DD60000}"/>
    <cellStyle name="Remarque 5 3 7 13" xfId="38041" xr:uid="{00000000-0005-0000-0000-00000ED60000}"/>
    <cellStyle name="Remarque 5 3 7 2" xfId="4290" xr:uid="{00000000-0005-0000-0000-00000FD60000}"/>
    <cellStyle name="Remarque 5 3 7 2 2" xfId="28304" xr:uid="{00000000-0005-0000-0000-000010D60000}"/>
    <cellStyle name="Remarque 5 3 7 2 2 2" xfId="52264" xr:uid="{00000000-0005-0000-0000-000011D60000}"/>
    <cellStyle name="Remarque 5 3 7 2 3" xfId="15551" xr:uid="{00000000-0005-0000-0000-000012D60000}"/>
    <cellStyle name="Remarque 5 3 7 2 4" xfId="39511" xr:uid="{00000000-0005-0000-0000-000013D60000}"/>
    <cellStyle name="Remarque 5 3 7 3" xfId="5724" xr:uid="{00000000-0005-0000-0000-000014D60000}"/>
    <cellStyle name="Remarque 5 3 7 3 2" xfId="29738" xr:uid="{00000000-0005-0000-0000-000015D60000}"/>
    <cellStyle name="Remarque 5 3 7 3 2 2" xfId="53698" xr:uid="{00000000-0005-0000-0000-000016D60000}"/>
    <cellStyle name="Remarque 5 3 7 3 3" xfId="16985" xr:uid="{00000000-0005-0000-0000-000017D60000}"/>
    <cellStyle name="Remarque 5 3 7 3 4" xfId="40945" xr:uid="{00000000-0005-0000-0000-000018D60000}"/>
    <cellStyle name="Remarque 5 3 7 4" xfId="7118" xr:uid="{00000000-0005-0000-0000-000019D60000}"/>
    <cellStyle name="Remarque 5 3 7 4 2" xfId="31132" xr:uid="{00000000-0005-0000-0000-00001AD60000}"/>
    <cellStyle name="Remarque 5 3 7 4 2 2" xfId="55092" xr:uid="{00000000-0005-0000-0000-00001BD60000}"/>
    <cellStyle name="Remarque 5 3 7 4 3" xfId="18379" xr:uid="{00000000-0005-0000-0000-00001CD60000}"/>
    <cellStyle name="Remarque 5 3 7 4 4" xfId="42339" xr:uid="{00000000-0005-0000-0000-00001DD60000}"/>
    <cellStyle name="Remarque 5 3 7 5" xfId="8506" xr:uid="{00000000-0005-0000-0000-00001ED60000}"/>
    <cellStyle name="Remarque 5 3 7 5 2" xfId="32520" xr:uid="{00000000-0005-0000-0000-00001FD60000}"/>
    <cellStyle name="Remarque 5 3 7 5 2 2" xfId="56480" xr:uid="{00000000-0005-0000-0000-000020D60000}"/>
    <cellStyle name="Remarque 5 3 7 5 3" xfId="19767" xr:uid="{00000000-0005-0000-0000-000021D60000}"/>
    <cellStyle name="Remarque 5 3 7 5 4" xfId="43727" xr:uid="{00000000-0005-0000-0000-000022D60000}"/>
    <cellStyle name="Remarque 5 3 7 6" xfId="9891" xr:uid="{00000000-0005-0000-0000-000023D60000}"/>
    <cellStyle name="Remarque 5 3 7 6 2" xfId="33905" xr:uid="{00000000-0005-0000-0000-000024D60000}"/>
    <cellStyle name="Remarque 5 3 7 6 2 2" xfId="57865" xr:uid="{00000000-0005-0000-0000-000025D60000}"/>
    <cellStyle name="Remarque 5 3 7 6 3" xfId="21152" xr:uid="{00000000-0005-0000-0000-000026D60000}"/>
    <cellStyle name="Remarque 5 3 7 6 4" xfId="45112" xr:uid="{00000000-0005-0000-0000-000027D60000}"/>
    <cellStyle name="Remarque 5 3 7 7" xfId="11348" xr:uid="{00000000-0005-0000-0000-000028D60000}"/>
    <cellStyle name="Remarque 5 3 7 7 2" xfId="35358" xr:uid="{00000000-0005-0000-0000-000029D60000}"/>
    <cellStyle name="Remarque 5 3 7 7 2 2" xfId="59318" xr:uid="{00000000-0005-0000-0000-00002AD60000}"/>
    <cellStyle name="Remarque 5 3 7 7 3" xfId="22615" xr:uid="{00000000-0005-0000-0000-00002BD60000}"/>
    <cellStyle name="Remarque 5 3 7 7 4" xfId="46575" xr:uid="{00000000-0005-0000-0000-00002CD60000}"/>
    <cellStyle name="Remarque 5 3 7 8" xfId="12764" xr:uid="{00000000-0005-0000-0000-00002DD60000}"/>
    <cellStyle name="Remarque 5 3 7 8 2" xfId="24071" xr:uid="{00000000-0005-0000-0000-00002ED60000}"/>
    <cellStyle name="Remarque 5 3 7 8 3" xfId="48031" xr:uid="{00000000-0005-0000-0000-00002FD60000}"/>
    <cellStyle name="Remarque 5 3 7 9" xfId="2820" xr:uid="{00000000-0005-0000-0000-000030D60000}"/>
    <cellStyle name="Remarque 5 3 7 9 2" xfId="26834" xr:uid="{00000000-0005-0000-0000-000031D60000}"/>
    <cellStyle name="Remarque 5 3 7 9 3" xfId="50794" xr:uid="{00000000-0005-0000-0000-000032D60000}"/>
    <cellStyle name="Remarque 5 3 8" xfId="3140" xr:uid="{00000000-0005-0000-0000-000033D60000}"/>
    <cellStyle name="Remarque 5 3 8 2" xfId="27154" xr:uid="{00000000-0005-0000-0000-000034D60000}"/>
    <cellStyle name="Remarque 5 3 8 2 2" xfId="51114" xr:uid="{00000000-0005-0000-0000-000035D60000}"/>
    <cellStyle name="Remarque 5 3 8 3" xfId="14401" xr:uid="{00000000-0005-0000-0000-000036D60000}"/>
    <cellStyle name="Remarque 5 3 8 4" xfId="38361" xr:uid="{00000000-0005-0000-0000-000037D60000}"/>
    <cellStyle name="Remarque 5 3 9" xfId="1670" xr:uid="{00000000-0005-0000-0000-000038D60000}"/>
    <cellStyle name="Remarque 5 3 9 2" xfId="25684" xr:uid="{00000000-0005-0000-0000-000039D60000}"/>
    <cellStyle name="Remarque 5 3 9 3" xfId="49644" xr:uid="{00000000-0005-0000-0000-00003AD60000}"/>
    <cellStyle name="Remarque 5 4" xfId="90" xr:uid="{00000000-0005-0000-0000-00003BD60000}"/>
    <cellStyle name="Remarque 5 4 10" xfId="6126" xr:uid="{00000000-0005-0000-0000-00003CD60000}"/>
    <cellStyle name="Remarque 5 4 10 2" xfId="30140" xr:uid="{00000000-0005-0000-0000-00003DD60000}"/>
    <cellStyle name="Remarque 5 4 10 2 2" xfId="54100" xr:uid="{00000000-0005-0000-0000-00003ED60000}"/>
    <cellStyle name="Remarque 5 4 10 3" xfId="17387" xr:uid="{00000000-0005-0000-0000-00003FD60000}"/>
    <cellStyle name="Remarque 5 4 10 4" xfId="41347" xr:uid="{00000000-0005-0000-0000-000040D60000}"/>
    <cellStyle name="Remarque 5 4 11" xfId="7514" xr:uid="{00000000-0005-0000-0000-000041D60000}"/>
    <cellStyle name="Remarque 5 4 11 2" xfId="31528" xr:uid="{00000000-0005-0000-0000-000042D60000}"/>
    <cellStyle name="Remarque 5 4 11 2 2" xfId="55488" xr:uid="{00000000-0005-0000-0000-000043D60000}"/>
    <cellStyle name="Remarque 5 4 11 3" xfId="18775" xr:uid="{00000000-0005-0000-0000-000044D60000}"/>
    <cellStyle name="Remarque 5 4 11 4" xfId="42735" xr:uid="{00000000-0005-0000-0000-000045D60000}"/>
    <cellStyle name="Remarque 5 4 12" xfId="8899" xr:uid="{00000000-0005-0000-0000-000046D60000}"/>
    <cellStyle name="Remarque 5 4 12 2" xfId="32913" xr:uid="{00000000-0005-0000-0000-000047D60000}"/>
    <cellStyle name="Remarque 5 4 12 2 2" xfId="56873" xr:uid="{00000000-0005-0000-0000-000048D60000}"/>
    <cellStyle name="Remarque 5 4 12 3" xfId="20160" xr:uid="{00000000-0005-0000-0000-000049D60000}"/>
    <cellStyle name="Remarque 5 4 12 4" xfId="44120" xr:uid="{00000000-0005-0000-0000-00004AD60000}"/>
    <cellStyle name="Remarque 5 4 13" xfId="10356" xr:uid="{00000000-0005-0000-0000-00004BD60000}"/>
    <cellStyle name="Remarque 5 4 13 2" xfId="34366" xr:uid="{00000000-0005-0000-0000-00004CD60000}"/>
    <cellStyle name="Remarque 5 4 13 2 2" xfId="58326" xr:uid="{00000000-0005-0000-0000-00004DD60000}"/>
    <cellStyle name="Remarque 5 4 13 3" xfId="21623" xr:uid="{00000000-0005-0000-0000-00004ED60000}"/>
    <cellStyle name="Remarque 5 4 13 4" xfId="45583" xr:uid="{00000000-0005-0000-0000-00004FD60000}"/>
    <cellStyle name="Remarque 5 4 14" xfId="11605" xr:uid="{00000000-0005-0000-0000-000050D60000}"/>
    <cellStyle name="Remarque 5 4 14 2" xfId="22872" xr:uid="{00000000-0005-0000-0000-000051D60000}"/>
    <cellStyle name="Remarque 5 4 14 3" xfId="46832" xr:uid="{00000000-0005-0000-0000-000052D60000}"/>
    <cellStyle name="Remarque 5 4 15" xfId="1828" xr:uid="{00000000-0005-0000-0000-000053D60000}"/>
    <cellStyle name="Remarque 5 4 15 2" xfId="25842" xr:uid="{00000000-0005-0000-0000-000054D60000}"/>
    <cellStyle name="Remarque 5 4 15 3" xfId="49802" xr:uid="{00000000-0005-0000-0000-000055D60000}"/>
    <cellStyle name="Remarque 5 4 16" xfId="24424" xr:uid="{00000000-0005-0000-0000-000056D60000}"/>
    <cellStyle name="Remarque 5 4 16 2" xfId="48384" xr:uid="{00000000-0005-0000-0000-000057D60000}"/>
    <cellStyle name="Remarque 5 4 17" xfId="36600" xr:uid="{00000000-0005-0000-0000-000058D60000}"/>
    <cellStyle name="Remarque 5 4 17 2" xfId="60560" xr:uid="{00000000-0005-0000-0000-000059D60000}"/>
    <cellStyle name="Remarque 5 4 18" xfId="13089" xr:uid="{00000000-0005-0000-0000-00005AD60000}"/>
    <cellStyle name="Remarque 5 4 19" xfId="37049" xr:uid="{00000000-0005-0000-0000-00005BD60000}"/>
    <cellStyle name="Remarque 5 4 2" xfId="528" xr:uid="{00000000-0005-0000-0000-00005CD60000}"/>
    <cellStyle name="Remarque 5 4 2 10" xfId="24560" xr:uid="{00000000-0005-0000-0000-00005DD60000}"/>
    <cellStyle name="Remarque 5 4 2 10 2" xfId="48520" xr:uid="{00000000-0005-0000-0000-00005ED60000}"/>
    <cellStyle name="Remarque 5 4 2 11" xfId="36243" xr:uid="{00000000-0005-0000-0000-00005FD60000}"/>
    <cellStyle name="Remarque 5 4 2 11 2" xfId="60203" xr:uid="{00000000-0005-0000-0000-000060D60000}"/>
    <cellStyle name="Remarque 5 4 2 12" xfId="13225" xr:uid="{00000000-0005-0000-0000-000061D60000}"/>
    <cellStyle name="Remarque 5 4 2 13" xfId="37185" xr:uid="{00000000-0005-0000-0000-000062D60000}"/>
    <cellStyle name="Remarque 5 4 2 2" xfId="3434" xr:uid="{00000000-0005-0000-0000-000063D60000}"/>
    <cellStyle name="Remarque 5 4 2 2 2" xfId="27448" xr:uid="{00000000-0005-0000-0000-000064D60000}"/>
    <cellStyle name="Remarque 5 4 2 2 2 2" xfId="51408" xr:uid="{00000000-0005-0000-0000-000065D60000}"/>
    <cellStyle name="Remarque 5 4 2 2 3" xfId="14695" xr:uid="{00000000-0005-0000-0000-000066D60000}"/>
    <cellStyle name="Remarque 5 4 2 2 4" xfId="38655" xr:uid="{00000000-0005-0000-0000-000067D60000}"/>
    <cellStyle name="Remarque 5 4 2 3" xfId="4868" xr:uid="{00000000-0005-0000-0000-000068D60000}"/>
    <cellStyle name="Remarque 5 4 2 3 2" xfId="28882" xr:uid="{00000000-0005-0000-0000-000069D60000}"/>
    <cellStyle name="Remarque 5 4 2 3 2 2" xfId="52842" xr:uid="{00000000-0005-0000-0000-00006AD60000}"/>
    <cellStyle name="Remarque 5 4 2 3 3" xfId="16129" xr:uid="{00000000-0005-0000-0000-00006BD60000}"/>
    <cellStyle name="Remarque 5 4 2 3 4" xfId="40089" xr:uid="{00000000-0005-0000-0000-00006CD60000}"/>
    <cellStyle name="Remarque 5 4 2 4" xfId="6262" xr:uid="{00000000-0005-0000-0000-00006DD60000}"/>
    <cellStyle name="Remarque 5 4 2 4 2" xfId="30276" xr:uid="{00000000-0005-0000-0000-00006ED60000}"/>
    <cellStyle name="Remarque 5 4 2 4 2 2" xfId="54236" xr:uid="{00000000-0005-0000-0000-00006FD60000}"/>
    <cellStyle name="Remarque 5 4 2 4 3" xfId="17523" xr:uid="{00000000-0005-0000-0000-000070D60000}"/>
    <cellStyle name="Remarque 5 4 2 4 4" xfId="41483" xr:uid="{00000000-0005-0000-0000-000071D60000}"/>
    <cellStyle name="Remarque 5 4 2 5" xfId="7650" xr:uid="{00000000-0005-0000-0000-000072D60000}"/>
    <cellStyle name="Remarque 5 4 2 5 2" xfId="31664" xr:uid="{00000000-0005-0000-0000-000073D60000}"/>
    <cellStyle name="Remarque 5 4 2 5 2 2" xfId="55624" xr:uid="{00000000-0005-0000-0000-000074D60000}"/>
    <cellStyle name="Remarque 5 4 2 5 3" xfId="18911" xr:uid="{00000000-0005-0000-0000-000075D60000}"/>
    <cellStyle name="Remarque 5 4 2 5 4" xfId="42871" xr:uid="{00000000-0005-0000-0000-000076D60000}"/>
    <cellStyle name="Remarque 5 4 2 6" xfId="9035" xr:uid="{00000000-0005-0000-0000-000077D60000}"/>
    <cellStyle name="Remarque 5 4 2 6 2" xfId="33049" xr:uid="{00000000-0005-0000-0000-000078D60000}"/>
    <cellStyle name="Remarque 5 4 2 6 2 2" xfId="57009" xr:uid="{00000000-0005-0000-0000-000079D60000}"/>
    <cellStyle name="Remarque 5 4 2 6 3" xfId="20296" xr:uid="{00000000-0005-0000-0000-00007AD60000}"/>
    <cellStyle name="Remarque 5 4 2 6 4" xfId="44256" xr:uid="{00000000-0005-0000-0000-00007BD60000}"/>
    <cellStyle name="Remarque 5 4 2 7" xfId="10492" xr:uid="{00000000-0005-0000-0000-00007CD60000}"/>
    <cellStyle name="Remarque 5 4 2 7 2" xfId="34502" xr:uid="{00000000-0005-0000-0000-00007DD60000}"/>
    <cellStyle name="Remarque 5 4 2 7 2 2" xfId="58462" xr:uid="{00000000-0005-0000-0000-00007ED60000}"/>
    <cellStyle name="Remarque 5 4 2 7 3" xfId="21759" xr:uid="{00000000-0005-0000-0000-00007FD60000}"/>
    <cellStyle name="Remarque 5 4 2 7 4" xfId="45719" xr:uid="{00000000-0005-0000-0000-000080D60000}"/>
    <cellStyle name="Remarque 5 4 2 8" xfId="12143" xr:uid="{00000000-0005-0000-0000-000081D60000}"/>
    <cellStyle name="Remarque 5 4 2 8 2" xfId="23426" xr:uid="{00000000-0005-0000-0000-000082D60000}"/>
    <cellStyle name="Remarque 5 4 2 8 3" xfId="47386" xr:uid="{00000000-0005-0000-0000-000083D60000}"/>
    <cellStyle name="Remarque 5 4 2 9" xfId="1964" xr:uid="{00000000-0005-0000-0000-000084D60000}"/>
    <cellStyle name="Remarque 5 4 2 9 2" xfId="25978" xr:uid="{00000000-0005-0000-0000-000085D60000}"/>
    <cellStyle name="Remarque 5 4 2 9 3" xfId="49938" xr:uid="{00000000-0005-0000-0000-000086D60000}"/>
    <cellStyle name="Remarque 5 4 20" xfId="392" xr:uid="{00000000-0005-0000-0000-000087D60000}"/>
    <cellStyle name="Remarque 5 4 3" xfId="720" xr:uid="{00000000-0005-0000-0000-000088D60000}"/>
    <cellStyle name="Remarque 5 4 3 10" xfId="24752" xr:uid="{00000000-0005-0000-0000-000089D60000}"/>
    <cellStyle name="Remarque 5 4 3 10 2" xfId="48712" xr:uid="{00000000-0005-0000-0000-00008AD60000}"/>
    <cellStyle name="Remarque 5 4 3 11" xfId="36669" xr:uid="{00000000-0005-0000-0000-00008BD60000}"/>
    <cellStyle name="Remarque 5 4 3 11 2" xfId="60629" xr:uid="{00000000-0005-0000-0000-00008CD60000}"/>
    <cellStyle name="Remarque 5 4 3 12" xfId="13417" xr:uid="{00000000-0005-0000-0000-00008DD60000}"/>
    <cellStyle name="Remarque 5 4 3 13" xfId="37377" xr:uid="{00000000-0005-0000-0000-00008ED60000}"/>
    <cellStyle name="Remarque 5 4 3 2" xfId="3626" xr:uid="{00000000-0005-0000-0000-00008FD60000}"/>
    <cellStyle name="Remarque 5 4 3 2 2" xfId="27640" xr:uid="{00000000-0005-0000-0000-000090D60000}"/>
    <cellStyle name="Remarque 5 4 3 2 2 2" xfId="51600" xr:uid="{00000000-0005-0000-0000-000091D60000}"/>
    <cellStyle name="Remarque 5 4 3 2 3" xfId="14887" xr:uid="{00000000-0005-0000-0000-000092D60000}"/>
    <cellStyle name="Remarque 5 4 3 2 4" xfId="38847" xr:uid="{00000000-0005-0000-0000-000093D60000}"/>
    <cellStyle name="Remarque 5 4 3 3" xfId="5060" xr:uid="{00000000-0005-0000-0000-000094D60000}"/>
    <cellStyle name="Remarque 5 4 3 3 2" xfId="29074" xr:uid="{00000000-0005-0000-0000-000095D60000}"/>
    <cellStyle name="Remarque 5 4 3 3 2 2" xfId="53034" xr:uid="{00000000-0005-0000-0000-000096D60000}"/>
    <cellStyle name="Remarque 5 4 3 3 3" xfId="16321" xr:uid="{00000000-0005-0000-0000-000097D60000}"/>
    <cellStyle name="Remarque 5 4 3 3 4" xfId="40281" xr:uid="{00000000-0005-0000-0000-000098D60000}"/>
    <cellStyle name="Remarque 5 4 3 4" xfId="6454" xr:uid="{00000000-0005-0000-0000-000099D60000}"/>
    <cellStyle name="Remarque 5 4 3 4 2" xfId="30468" xr:uid="{00000000-0005-0000-0000-00009AD60000}"/>
    <cellStyle name="Remarque 5 4 3 4 2 2" xfId="54428" xr:uid="{00000000-0005-0000-0000-00009BD60000}"/>
    <cellStyle name="Remarque 5 4 3 4 3" xfId="17715" xr:uid="{00000000-0005-0000-0000-00009CD60000}"/>
    <cellStyle name="Remarque 5 4 3 4 4" xfId="41675" xr:uid="{00000000-0005-0000-0000-00009DD60000}"/>
    <cellStyle name="Remarque 5 4 3 5" xfId="7842" xr:uid="{00000000-0005-0000-0000-00009ED60000}"/>
    <cellStyle name="Remarque 5 4 3 5 2" xfId="31856" xr:uid="{00000000-0005-0000-0000-00009FD60000}"/>
    <cellStyle name="Remarque 5 4 3 5 2 2" xfId="55816" xr:uid="{00000000-0005-0000-0000-0000A0D60000}"/>
    <cellStyle name="Remarque 5 4 3 5 3" xfId="19103" xr:uid="{00000000-0005-0000-0000-0000A1D60000}"/>
    <cellStyle name="Remarque 5 4 3 5 4" xfId="43063" xr:uid="{00000000-0005-0000-0000-0000A2D60000}"/>
    <cellStyle name="Remarque 5 4 3 6" xfId="9227" xr:uid="{00000000-0005-0000-0000-0000A3D60000}"/>
    <cellStyle name="Remarque 5 4 3 6 2" xfId="33241" xr:uid="{00000000-0005-0000-0000-0000A4D60000}"/>
    <cellStyle name="Remarque 5 4 3 6 2 2" xfId="57201" xr:uid="{00000000-0005-0000-0000-0000A5D60000}"/>
    <cellStyle name="Remarque 5 4 3 6 3" xfId="20488" xr:uid="{00000000-0005-0000-0000-0000A6D60000}"/>
    <cellStyle name="Remarque 5 4 3 6 4" xfId="44448" xr:uid="{00000000-0005-0000-0000-0000A7D60000}"/>
    <cellStyle name="Remarque 5 4 3 7" xfId="10684" xr:uid="{00000000-0005-0000-0000-0000A8D60000}"/>
    <cellStyle name="Remarque 5 4 3 7 2" xfId="34694" xr:uid="{00000000-0005-0000-0000-0000A9D60000}"/>
    <cellStyle name="Remarque 5 4 3 7 2 2" xfId="58654" xr:uid="{00000000-0005-0000-0000-0000AAD60000}"/>
    <cellStyle name="Remarque 5 4 3 7 3" xfId="21951" xr:uid="{00000000-0005-0000-0000-0000ABD60000}"/>
    <cellStyle name="Remarque 5 4 3 7 4" xfId="45911" xr:uid="{00000000-0005-0000-0000-0000ACD60000}"/>
    <cellStyle name="Remarque 5 4 3 8" xfId="12714" xr:uid="{00000000-0005-0000-0000-0000ADD60000}"/>
    <cellStyle name="Remarque 5 4 3 8 2" xfId="24020" xr:uid="{00000000-0005-0000-0000-0000AED60000}"/>
    <cellStyle name="Remarque 5 4 3 8 3" xfId="47980" xr:uid="{00000000-0005-0000-0000-0000AFD60000}"/>
    <cellStyle name="Remarque 5 4 3 9" xfId="2156" xr:uid="{00000000-0005-0000-0000-0000B0D60000}"/>
    <cellStyle name="Remarque 5 4 3 9 2" xfId="26170" xr:uid="{00000000-0005-0000-0000-0000B1D60000}"/>
    <cellStyle name="Remarque 5 4 3 9 3" xfId="50130" xr:uid="{00000000-0005-0000-0000-0000B2D60000}"/>
    <cellStyle name="Remarque 5 4 4" xfId="914" xr:uid="{00000000-0005-0000-0000-0000B3D60000}"/>
    <cellStyle name="Remarque 5 4 4 10" xfId="24946" xr:uid="{00000000-0005-0000-0000-0000B4D60000}"/>
    <cellStyle name="Remarque 5 4 4 10 2" xfId="48906" xr:uid="{00000000-0005-0000-0000-0000B5D60000}"/>
    <cellStyle name="Remarque 5 4 4 11" xfId="36358" xr:uid="{00000000-0005-0000-0000-0000B6D60000}"/>
    <cellStyle name="Remarque 5 4 4 11 2" xfId="60318" xr:uid="{00000000-0005-0000-0000-0000B7D60000}"/>
    <cellStyle name="Remarque 5 4 4 12" xfId="13611" xr:uid="{00000000-0005-0000-0000-0000B8D60000}"/>
    <cellStyle name="Remarque 5 4 4 13" xfId="37571" xr:uid="{00000000-0005-0000-0000-0000B9D60000}"/>
    <cellStyle name="Remarque 5 4 4 2" xfId="3820" xr:uid="{00000000-0005-0000-0000-0000BAD60000}"/>
    <cellStyle name="Remarque 5 4 4 2 2" xfId="27834" xr:uid="{00000000-0005-0000-0000-0000BBD60000}"/>
    <cellStyle name="Remarque 5 4 4 2 2 2" xfId="51794" xr:uid="{00000000-0005-0000-0000-0000BCD60000}"/>
    <cellStyle name="Remarque 5 4 4 2 3" xfId="15081" xr:uid="{00000000-0005-0000-0000-0000BDD60000}"/>
    <cellStyle name="Remarque 5 4 4 2 4" xfId="39041" xr:uid="{00000000-0005-0000-0000-0000BED60000}"/>
    <cellStyle name="Remarque 5 4 4 3" xfId="5254" xr:uid="{00000000-0005-0000-0000-0000BFD60000}"/>
    <cellStyle name="Remarque 5 4 4 3 2" xfId="29268" xr:uid="{00000000-0005-0000-0000-0000C0D60000}"/>
    <cellStyle name="Remarque 5 4 4 3 2 2" xfId="53228" xr:uid="{00000000-0005-0000-0000-0000C1D60000}"/>
    <cellStyle name="Remarque 5 4 4 3 3" xfId="16515" xr:uid="{00000000-0005-0000-0000-0000C2D60000}"/>
    <cellStyle name="Remarque 5 4 4 3 4" xfId="40475" xr:uid="{00000000-0005-0000-0000-0000C3D60000}"/>
    <cellStyle name="Remarque 5 4 4 4" xfId="6648" xr:uid="{00000000-0005-0000-0000-0000C4D60000}"/>
    <cellStyle name="Remarque 5 4 4 4 2" xfId="30662" xr:uid="{00000000-0005-0000-0000-0000C5D60000}"/>
    <cellStyle name="Remarque 5 4 4 4 2 2" xfId="54622" xr:uid="{00000000-0005-0000-0000-0000C6D60000}"/>
    <cellStyle name="Remarque 5 4 4 4 3" xfId="17909" xr:uid="{00000000-0005-0000-0000-0000C7D60000}"/>
    <cellStyle name="Remarque 5 4 4 4 4" xfId="41869" xr:uid="{00000000-0005-0000-0000-0000C8D60000}"/>
    <cellStyle name="Remarque 5 4 4 5" xfId="8036" xr:uid="{00000000-0005-0000-0000-0000C9D60000}"/>
    <cellStyle name="Remarque 5 4 4 5 2" xfId="32050" xr:uid="{00000000-0005-0000-0000-0000CAD60000}"/>
    <cellStyle name="Remarque 5 4 4 5 2 2" xfId="56010" xr:uid="{00000000-0005-0000-0000-0000CBD60000}"/>
    <cellStyle name="Remarque 5 4 4 5 3" xfId="19297" xr:uid="{00000000-0005-0000-0000-0000CCD60000}"/>
    <cellStyle name="Remarque 5 4 4 5 4" xfId="43257" xr:uid="{00000000-0005-0000-0000-0000CDD60000}"/>
    <cellStyle name="Remarque 5 4 4 6" xfId="9421" xr:uid="{00000000-0005-0000-0000-0000CED60000}"/>
    <cellStyle name="Remarque 5 4 4 6 2" xfId="33435" xr:uid="{00000000-0005-0000-0000-0000CFD60000}"/>
    <cellStyle name="Remarque 5 4 4 6 2 2" xfId="57395" xr:uid="{00000000-0005-0000-0000-0000D0D60000}"/>
    <cellStyle name="Remarque 5 4 4 6 3" xfId="20682" xr:uid="{00000000-0005-0000-0000-0000D1D60000}"/>
    <cellStyle name="Remarque 5 4 4 6 4" xfId="44642" xr:uid="{00000000-0005-0000-0000-0000D2D60000}"/>
    <cellStyle name="Remarque 5 4 4 7" xfId="10878" xr:uid="{00000000-0005-0000-0000-0000D3D60000}"/>
    <cellStyle name="Remarque 5 4 4 7 2" xfId="34888" xr:uid="{00000000-0005-0000-0000-0000D4D60000}"/>
    <cellStyle name="Remarque 5 4 4 7 2 2" xfId="58848" xr:uid="{00000000-0005-0000-0000-0000D5D60000}"/>
    <cellStyle name="Remarque 5 4 4 7 3" xfId="22145" xr:uid="{00000000-0005-0000-0000-0000D6D60000}"/>
    <cellStyle name="Remarque 5 4 4 7 4" xfId="46105" xr:uid="{00000000-0005-0000-0000-0000D7D60000}"/>
    <cellStyle name="Remarque 5 4 4 8" xfId="11764" xr:uid="{00000000-0005-0000-0000-0000D8D60000}"/>
    <cellStyle name="Remarque 5 4 4 8 2" xfId="23037" xr:uid="{00000000-0005-0000-0000-0000D9D60000}"/>
    <cellStyle name="Remarque 5 4 4 8 3" xfId="46997" xr:uid="{00000000-0005-0000-0000-0000DAD60000}"/>
    <cellStyle name="Remarque 5 4 4 9" xfId="2350" xr:uid="{00000000-0005-0000-0000-0000DBD60000}"/>
    <cellStyle name="Remarque 5 4 4 9 2" xfId="26364" xr:uid="{00000000-0005-0000-0000-0000DCD60000}"/>
    <cellStyle name="Remarque 5 4 4 9 3" xfId="50324" xr:uid="{00000000-0005-0000-0000-0000DDD60000}"/>
    <cellStyle name="Remarque 5 4 5" xfId="1107" xr:uid="{00000000-0005-0000-0000-0000DED60000}"/>
    <cellStyle name="Remarque 5 4 5 10" xfId="25139" xr:uid="{00000000-0005-0000-0000-0000DFD60000}"/>
    <cellStyle name="Remarque 5 4 5 10 2" xfId="49099" xr:uid="{00000000-0005-0000-0000-0000E0D60000}"/>
    <cellStyle name="Remarque 5 4 5 11" xfId="36346" xr:uid="{00000000-0005-0000-0000-0000E1D60000}"/>
    <cellStyle name="Remarque 5 4 5 11 2" xfId="60306" xr:uid="{00000000-0005-0000-0000-0000E2D60000}"/>
    <cellStyle name="Remarque 5 4 5 12" xfId="13804" xr:uid="{00000000-0005-0000-0000-0000E3D60000}"/>
    <cellStyle name="Remarque 5 4 5 13" xfId="37764" xr:uid="{00000000-0005-0000-0000-0000E4D60000}"/>
    <cellStyle name="Remarque 5 4 5 2" xfId="4013" xr:uid="{00000000-0005-0000-0000-0000E5D60000}"/>
    <cellStyle name="Remarque 5 4 5 2 2" xfId="28027" xr:uid="{00000000-0005-0000-0000-0000E6D60000}"/>
    <cellStyle name="Remarque 5 4 5 2 2 2" xfId="51987" xr:uid="{00000000-0005-0000-0000-0000E7D60000}"/>
    <cellStyle name="Remarque 5 4 5 2 3" xfId="15274" xr:uid="{00000000-0005-0000-0000-0000E8D60000}"/>
    <cellStyle name="Remarque 5 4 5 2 4" xfId="39234" xr:uid="{00000000-0005-0000-0000-0000E9D60000}"/>
    <cellStyle name="Remarque 5 4 5 3" xfId="5447" xr:uid="{00000000-0005-0000-0000-0000EAD60000}"/>
    <cellStyle name="Remarque 5 4 5 3 2" xfId="29461" xr:uid="{00000000-0005-0000-0000-0000EBD60000}"/>
    <cellStyle name="Remarque 5 4 5 3 2 2" xfId="53421" xr:uid="{00000000-0005-0000-0000-0000ECD60000}"/>
    <cellStyle name="Remarque 5 4 5 3 3" xfId="16708" xr:uid="{00000000-0005-0000-0000-0000EDD60000}"/>
    <cellStyle name="Remarque 5 4 5 3 4" xfId="40668" xr:uid="{00000000-0005-0000-0000-0000EED60000}"/>
    <cellStyle name="Remarque 5 4 5 4" xfId="6841" xr:uid="{00000000-0005-0000-0000-0000EFD60000}"/>
    <cellStyle name="Remarque 5 4 5 4 2" xfId="30855" xr:uid="{00000000-0005-0000-0000-0000F0D60000}"/>
    <cellStyle name="Remarque 5 4 5 4 2 2" xfId="54815" xr:uid="{00000000-0005-0000-0000-0000F1D60000}"/>
    <cellStyle name="Remarque 5 4 5 4 3" xfId="18102" xr:uid="{00000000-0005-0000-0000-0000F2D60000}"/>
    <cellStyle name="Remarque 5 4 5 4 4" xfId="42062" xr:uid="{00000000-0005-0000-0000-0000F3D60000}"/>
    <cellStyle name="Remarque 5 4 5 5" xfId="8229" xr:uid="{00000000-0005-0000-0000-0000F4D60000}"/>
    <cellStyle name="Remarque 5 4 5 5 2" xfId="32243" xr:uid="{00000000-0005-0000-0000-0000F5D60000}"/>
    <cellStyle name="Remarque 5 4 5 5 2 2" xfId="56203" xr:uid="{00000000-0005-0000-0000-0000F6D60000}"/>
    <cellStyle name="Remarque 5 4 5 5 3" xfId="19490" xr:uid="{00000000-0005-0000-0000-0000F7D60000}"/>
    <cellStyle name="Remarque 5 4 5 5 4" xfId="43450" xr:uid="{00000000-0005-0000-0000-0000F8D60000}"/>
    <cellStyle name="Remarque 5 4 5 6" xfId="9614" xr:uid="{00000000-0005-0000-0000-0000F9D60000}"/>
    <cellStyle name="Remarque 5 4 5 6 2" xfId="33628" xr:uid="{00000000-0005-0000-0000-0000FAD60000}"/>
    <cellStyle name="Remarque 5 4 5 6 2 2" xfId="57588" xr:uid="{00000000-0005-0000-0000-0000FBD60000}"/>
    <cellStyle name="Remarque 5 4 5 6 3" xfId="20875" xr:uid="{00000000-0005-0000-0000-0000FCD60000}"/>
    <cellStyle name="Remarque 5 4 5 6 4" xfId="44835" xr:uid="{00000000-0005-0000-0000-0000FDD60000}"/>
    <cellStyle name="Remarque 5 4 5 7" xfId="11071" xr:uid="{00000000-0005-0000-0000-0000FED60000}"/>
    <cellStyle name="Remarque 5 4 5 7 2" xfId="35081" xr:uid="{00000000-0005-0000-0000-0000FFD60000}"/>
    <cellStyle name="Remarque 5 4 5 7 2 2" xfId="59041" xr:uid="{00000000-0005-0000-0000-000000D70000}"/>
    <cellStyle name="Remarque 5 4 5 7 3" xfId="22338" xr:uid="{00000000-0005-0000-0000-000001D70000}"/>
    <cellStyle name="Remarque 5 4 5 7 4" xfId="46298" xr:uid="{00000000-0005-0000-0000-000002D70000}"/>
    <cellStyle name="Remarque 5 4 5 8" xfId="11795" xr:uid="{00000000-0005-0000-0000-000003D70000}"/>
    <cellStyle name="Remarque 5 4 5 8 2" xfId="23069" xr:uid="{00000000-0005-0000-0000-000004D70000}"/>
    <cellStyle name="Remarque 5 4 5 8 3" xfId="47029" xr:uid="{00000000-0005-0000-0000-000005D70000}"/>
    <cellStyle name="Remarque 5 4 5 9" xfId="2543" xr:uid="{00000000-0005-0000-0000-000006D70000}"/>
    <cellStyle name="Remarque 5 4 5 9 2" xfId="26557" xr:uid="{00000000-0005-0000-0000-000007D70000}"/>
    <cellStyle name="Remarque 5 4 5 9 3" xfId="50517" xr:uid="{00000000-0005-0000-0000-000008D70000}"/>
    <cellStyle name="Remarque 5 4 6" xfId="1274" xr:uid="{00000000-0005-0000-0000-000009D70000}"/>
    <cellStyle name="Remarque 5 4 6 10" xfId="25306" xr:uid="{00000000-0005-0000-0000-00000AD70000}"/>
    <cellStyle name="Remarque 5 4 6 10 2" xfId="49266" xr:uid="{00000000-0005-0000-0000-00000BD70000}"/>
    <cellStyle name="Remarque 5 4 6 11" xfId="36801" xr:uid="{00000000-0005-0000-0000-00000CD70000}"/>
    <cellStyle name="Remarque 5 4 6 11 2" xfId="60761" xr:uid="{00000000-0005-0000-0000-00000DD70000}"/>
    <cellStyle name="Remarque 5 4 6 12" xfId="13971" xr:uid="{00000000-0005-0000-0000-00000ED70000}"/>
    <cellStyle name="Remarque 5 4 6 13" xfId="37931" xr:uid="{00000000-0005-0000-0000-00000FD70000}"/>
    <cellStyle name="Remarque 5 4 6 2" xfId="4180" xr:uid="{00000000-0005-0000-0000-000010D70000}"/>
    <cellStyle name="Remarque 5 4 6 2 2" xfId="28194" xr:uid="{00000000-0005-0000-0000-000011D70000}"/>
    <cellStyle name="Remarque 5 4 6 2 2 2" xfId="52154" xr:uid="{00000000-0005-0000-0000-000012D70000}"/>
    <cellStyle name="Remarque 5 4 6 2 3" xfId="15441" xr:uid="{00000000-0005-0000-0000-000013D70000}"/>
    <cellStyle name="Remarque 5 4 6 2 4" xfId="39401" xr:uid="{00000000-0005-0000-0000-000014D70000}"/>
    <cellStyle name="Remarque 5 4 6 3" xfId="5614" xr:uid="{00000000-0005-0000-0000-000015D70000}"/>
    <cellStyle name="Remarque 5 4 6 3 2" xfId="29628" xr:uid="{00000000-0005-0000-0000-000016D70000}"/>
    <cellStyle name="Remarque 5 4 6 3 2 2" xfId="53588" xr:uid="{00000000-0005-0000-0000-000017D70000}"/>
    <cellStyle name="Remarque 5 4 6 3 3" xfId="16875" xr:uid="{00000000-0005-0000-0000-000018D70000}"/>
    <cellStyle name="Remarque 5 4 6 3 4" xfId="40835" xr:uid="{00000000-0005-0000-0000-000019D70000}"/>
    <cellStyle name="Remarque 5 4 6 4" xfId="7008" xr:uid="{00000000-0005-0000-0000-00001AD70000}"/>
    <cellStyle name="Remarque 5 4 6 4 2" xfId="31022" xr:uid="{00000000-0005-0000-0000-00001BD70000}"/>
    <cellStyle name="Remarque 5 4 6 4 2 2" xfId="54982" xr:uid="{00000000-0005-0000-0000-00001CD70000}"/>
    <cellStyle name="Remarque 5 4 6 4 3" xfId="18269" xr:uid="{00000000-0005-0000-0000-00001DD70000}"/>
    <cellStyle name="Remarque 5 4 6 4 4" xfId="42229" xr:uid="{00000000-0005-0000-0000-00001ED70000}"/>
    <cellStyle name="Remarque 5 4 6 5" xfId="8396" xr:uid="{00000000-0005-0000-0000-00001FD70000}"/>
    <cellStyle name="Remarque 5 4 6 5 2" xfId="32410" xr:uid="{00000000-0005-0000-0000-000020D70000}"/>
    <cellStyle name="Remarque 5 4 6 5 2 2" xfId="56370" xr:uid="{00000000-0005-0000-0000-000021D70000}"/>
    <cellStyle name="Remarque 5 4 6 5 3" xfId="19657" xr:uid="{00000000-0005-0000-0000-000022D70000}"/>
    <cellStyle name="Remarque 5 4 6 5 4" xfId="43617" xr:uid="{00000000-0005-0000-0000-000023D70000}"/>
    <cellStyle name="Remarque 5 4 6 6" xfId="9781" xr:uid="{00000000-0005-0000-0000-000024D70000}"/>
    <cellStyle name="Remarque 5 4 6 6 2" xfId="33795" xr:uid="{00000000-0005-0000-0000-000025D70000}"/>
    <cellStyle name="Remarque 5 4 6 6 2 2" xfId="57755" xr:uid="{00000000-0005-0000-0000-000026D70000}"/>
    <cellStyle name="Remarque 5 4 6 6 3" xfId="21042" xr:uid="{00000000-0005-0000-0000-000027D70000}"/>
    <cellStyle name="Remarque 5 4 6 6 4" xfId="45002" xr:uid="{00000000-0005-0000-0000-000028D70000}"/>
    <cellStyle name="Remarque 5 4 6 7" xfId="11238" xr:uid="{00000000-0005-0000-0000-000029D70000}"/>
    <cellStyle name="Remarque 5 4 6 7 2" xfId="35248" xr:uid="{00000000-0005-0000-0000-00002AD70000}"/>
    <cellStyle name="Remarque 5 4 6 7 2 2" xfId="59208" xr:uid="{00000000-0005-0000-0000-00002BD70000}"/>
    <cellStyle name="Remarque 5 4 6 7 3" xfId="22505" xr:uid="{00000000-0005-0000-0000-00002CD70000}"/>
    <cellStyle name="Remarque 5 4 6 7 4" xfId="46465" xr:uid="{00000000-0005-0000-0000-00002DD70000}"/>
    <cellStyle name="Remarque 5 4 6 8" xfId="11884" xr:uid="{00000000-0005-0000-0000-00002ED70000}"/>
    <cellStyle name="Remarque 5 4 6 8 2" xfId="23161" xr:uid="{00000000-0005-0000-0000-00002FD70000}"/>
    <cellStyle name="Remarque 5 4 6 8 3" xfId="47121" xr:uid="{00000000-0005-0000-0000-000030D70000}"/>
    <cellStyle name="Remarque 5 4 6 9" xfId="2710" xr:uid="{00000000-0005-0000-0000-000031D70000}"/>
    <cellStyle name="Remarque 5 4 6 9 2" xfId="26724" xr:uid="{00000000-0005-0000-0000-000032D70000}"/>
    <cellStyle name="Remarque 5 4 6 9 3" xfId="50684" xr:uid="{00000000-0005-0000-0000-000033D70000}"/>
    <cellStyle name="Remarque 5 4 7" xfId="1443" xr:uid="{00000000-0005-0000-0000-000034D70000}"/>
    <cellStyle name="Remarque 5 4 7 10" xfId="25475" xr:uid="{00000000-0005-0000-0000-000035D70000}"/>
    <cellStyle name="Remarque 5 4 7 10 2" xfId="49435" xr:uid="{00000000-0005-0000-0000-000036D70000}"/>
    <cellStyle name="Remarque 5 4 7 11" xfId="35700" xr:uid="{00000000-0005-0000-0000-000037D70000}"/>
    <cellStyle name="Remarque 5 4 7 11 2" xfId="59660" xr:uid="{00000000-0005-0000-0000-000038D70000}"/>
    <cellStyle name="Remarque 5 4 7 12" xfId="14140" xr:uid="{00000000-0005-0000-0000-000039D70000}"/>
    <cellStyle name="Remarque 5 4 7 13" xfId="38100" xr:uid="{00000000-0005-0000-0000-00003AD70000}"/>
    <cellStyle name="Remarque 5 4 7 2" xfId="4349" xr:uid="{00000000-0005-0000-0000-00003BD70000}"/>
    <cellStyle name="Remarque 5 4 7 2 2" xfId="28363" xr:uid="{00000000-0005-0000-0000-00003CD70000}"/>
    <cellStyle name="Remarque 5 4 7 2 2 2" xfId="52323" xr:uid="{00000000-0005-0000-0000-00003DD70000}"/>
    <cellStyle name="Remarque 5 4 7 2 3" xfId="15610" xr:uid="{00000000-0005-0000-0000-00003ED70000}"/>
    <cellStyle name="Remarque 5 4 7 2 4" xfId="39570" xr:uid="{00000000-0005-0000-0000-00003FD70000}"/>
    <cellStyle name="Remarque 5 4 7 3" xfId="5783" xr:uid="{00000000-0005-0000-0000-000040D70000}"/>
    <cellStyle name="Remarque 5 4 7 3 2" xfId="29797" xr:uid="{00000000-0005-0000-0000-000041D70000}"/>
    <cellStyle name="Remarque 5 4 7 3 2 2" xfId="53757" xr:uid="{00000000-0005-0000-0000-000042D70000}"/>
    <cellStyle name="Remarque 5 4 7 3 3" xfId="17044" xr:uid="{00000000-0005-0000-0000-000043D70000}"/>
    <cellStyle name="Remarque 5 4 7 3 4" xfId="41004" xr:uid="{00000000-0005-0000-0000-000044D70000}"/>
    <cellStyle name="Remarque 5 4 7 4" xfId="7177" xr:uid="{00000000-0005-0000-0000-000045D70000}"/>
    <cellStyle name="Remarque 5 4 7 4 2" xfId="31191" xr:uid="{00000000-0005-0000-0000-000046D70000}"/>
    <cellStyle name="Remarque 5 4 7 4 2 2" xfId="55151" xr:uid="{00000000-0005-0000-0000-000047D70000}"/>
    <cellStyle name="Remarque 5 4 7 4 3" xfId="18438" xr:uid="{00000000-0005-0000-0000-000048D70000}"/>
    <cellStyle name="Remarque 5 4 7 4 4" xfId="42398" xr:uid="{00000000-0005-0000-0000-000049D70000}"/>
    <cellStyle name="Remarque 5 4 7 5" xfId="8565" xr:uid="{00000000-0005-0000-0000-00004AD70000}"/>
    <cellStyle name="Remarque 5 4 7 5 2" xfId="32579" xr:uid="{00000000-0005-0000-0000-00004BD70000}"/>
    <cellStyle name="Remarque 5 4 7 5 2 2" xfId="56539" xr:uid="{00000000-0005-0000-0000-00004CD70000}"/>
    <cellStyle name="Remarque 5 4 7 5 3" xfId="19826" xr:uid="{00000000-0005-0000-0000-00004DD70000}"/>
    <cellStyle name="Remarque 5 4 7 5 4" xfId="43786" xr:uid="{00000000-0005-0000-0000-00004ED70000}"/>
    <cellStyle name="Remarque 5 4 7 6" xfId="9950" xr:uid="{00000000-0005-0000-0000-00004FD70000}"/>
    <cellStyle name="Remarque 5 4 7 6 2" xfId="33964" xr:uid="{00000000-0005-0000-0000-000050D70000}"/>
    <cellStyle name="Remarque 5 4 7 6 2 2" xfId="57924" xr:uid="{00000000-0005-0000-0000-000051D70000}"/>
    <cellStyle name="Remarque 5 4 7 6 3" xfId="21211" xr:uid="{00000000-0005-0000-0000-000052D70000}"/>
    <cellStyle name="Remarque 5 4 7 6 4" xfId="45171" xr:uid="{00000000-0005-0000-0000-000053D70000}"/>
    <cellStyle name="Remarque 5 4 7 7" xfId="11407" xr:uid="{00000000-0005-0000-0000-000054D70000}"/>
    <cellStyle name="Remarque 5 4 7 7 2" xfId="35417" xr:uid="{00000000-0005-0000-0000-000055D70000}"/>
    <cellStyle name="Remarque 5 4 7 7 2 2" xfId="59377" xr:uid="{00000000-0005-0000-0000-000056D70000}"/>
    <cellStyle name="Remarque 5 4 7 7 3" xfId="22674" xr:uid="{00000000-0005-0000-0000-000057D70000}"/>
    <cellStyle name="Remarque 5 4 7 7 4" xfId="46634" xr:uid="{00000000-0005-0000-0000-000058D70000}"/>
    <cellStyle name="Remarque 5 4 7 8" xfId="3044" xr:uid="{00000000-0005-0000-0000-000059D70000}"/>
    <cellStyle name="Remarque 5 4 7 8 2" xfId="14305" xr:uid="{00000000-0005-0000-0000-00005AD70000}"/>
    <cellStyle name="Remarque 5 4 7 8 3" xfId="38265" xr:uid="{00000000-0005-0000-0000-00005BD70000}"/>
    <cellStyle name="Remarque 5 4 7 9" xfId="2879" xr:uid="{00000000-0005-0000-0000-00005CD70000}"/>
    <cellStyle name="Remarque 5 4 7 9 2" xfId="26893" xr:uid="{00000000-0005-0000-0000-00005DD70000}"/>
    <cellStyle name="Remarque 5 4 7 9 3" xfId="50853" xr:uid="{00000000-0005-0000-0000-00005ED70000}"/>
    <cellStyle name="Remarque 5 4 8" xfId="3298" xr:uid="{00000000-0005-0000-0000-00005FD70000}"/>
    <cellStyle name="Remarque 5 4 8 2" xfId="27312" xr:uid="{00000000-0005-0000-0000-000060D70000}"/>
    <cellStyle name="Remarque 5 4 8 2 2" xfId="51272" xr:uid="{00000000-0005-0000-0000-000061D70000}"/>
    <cellStyle name="Remarque 5 4 8 3" xfId="14559" xr:uid="{00000000-0005-0000-0000-000062D70000}"/>
    <cellStyle name="Remarque 5 4 8 4" xfId="38519" xr:uid="{00000000-0005-0000-0000-000063D70000}"/>
    <cellStyle name="Remarque 5 4 9" xfId="4732" xr:uid="{00000000-0005-0000-0000-000064D70000}"/>
    <cellStyle name="Remarque 5 4 9 2" xfId="28746" xr:uid="{00000000-0005-0000-0000-000065D70000}"/>
    <cellStyle name="Remarque 5 4 9 2 2" xfId="52706" xr:uid="{00000000-0005-0000-0000-000066D70000}"/>
    <cellStyle name="Remarque 5 4 9 3" xfId="15993" xr:uid="{00000000-0005-0000-0000-000067D70000}"/>
    <cellStyle name="Remarque 5 4 9 4" xfId="39953" xr:uid="{00000000-0005-0000-0000-000068D70000}"/>
    <cellStyle name="Remarque 5 5" xfId="130" xr:uid="{00000000-0005-0000-0000-000069D70000}"/>
    <cellStyle name="Remarque 5 5 10" xfId="6110" xr:uid="{00000000-0005-0000-0000-00006AD70000}"/>
    <cellStyle name="Remarque 5 5 10 2" xfId="30124" xr:uid="{00000000-0005-0000-0000-00006BD70000}"/>
    <cellStyle name="Remarque 5 5 10 2 2" xfId="54084" xr:uid="{00000000-0005-0000-0000-00006CD70000}"/>
    <cellStyle name="Remarque 5 5 10 3" xfId="17371" xr:uid="{00000000-0005-0000-0000-00006DD70000}"/>
    <cellStyle name="Remarque 5 5 10 4" xfId="41331" xr:uid="{00000000-0005-0000-0000-00006ED70000}"/>
    <cellStyle name="Remarque 5 5 11" xfId="7498" xr:uid="{00000000-0005-0000-0000-00006FD70000}"/>
    <cellStyle name="Remarque 5 5 11 2" xfId="31512" xr:uid="{00000000-0005-0000-0000-000070D70000}"/>
    <cellStyle name="Remarque 5 5 11 2 2" xfId="55472" xr:uid="{00000000-0005-0000-0000-000071D70000}"/>
    <cellStyle name="Remarque 5 5 11 3" xfId="18759" xr:uid="{00000000-0005-0000-0000-000072D70000}"/>
    <cellStyle name="Remarque 5 5 11 4" xfId="42719" xr:uid="{00000000-0005-0000-0000-000073D70000}"/>
    <cellStyle name="Remarque 5 5 12" xfId="8883" xr:uid="{00000000-0005-0000-0000-000074D70000}"/>
    <cellStyle name="Remarque 5 5 12 2" xfId="32897" xr:uid="{00000000-0005-0000-0000-000075D70000}"/>
    <cellStyle name="Remarque 5 5 12 2 2" xfId="56857" xr:uid="{00000000-0005-0000-0000-000076D70000}"/>
    <cellStyle name="Remarque 5 5 12 3" xfId="20144" xr:uid="{00000000-0005-0000-0000-000077D70000}"/>
    <cellStyle name="Remarque 5 5 12 4" xfId="44104" xr:uid="{00000000-0005-0000-0000-000078D70000}"/>
    <cellStyle name="Remarque 5 5 13" xfId="10340" xr:uid="{00000000-0005-0000-0000-000079D70000}"/>
    <cellStyle name="Remarque 5 5 13 2" xfId="34350" xr:uid="{00000000-0005-0000-0000-00007AD70000}"/>
    <cellStyle name="Remarque 5 5 13 2 2" xfId="58310" xr:uid="{00000000-0005-0000-0000-00007BD70000}"/>
    <cellStyle name="Remarque 5 5 13 3" xfId="21607" xr:uid="{00000000-0005-0000-0000-00007CD70000}"/>
    <cellStyle name="Remarque 5 5 13 4" xfId="45567" xr:uid="{00000000-0005-0000-0000-00007DD70000}"/>
    <cellStyle name="Remarque 5 5 14" xfId="12255" xr:uid="{00000000-0005-0000-0000-00007ED70000}"/>
    <cellStyle name="Remarque 5 5 14 2" xfId="23540" xr:uid="{00000000-0005-0000-0000-00007FD70000}"/>
    <cellStyle name="Remarque 5 5 14 3" xfId="47500" xr:uid="{00000000-0005-0000-0000-000080D70000}"/>
    <cellStyle name="Remarque 5 5 15" xfId="1812" xr:uid="{00000000-0005-0000-0000-000081D70000}"/>
    <cellStyle name="Remarque 5 5 15 2" xfId="25826" xr:uid="{00000000-0005-0000-0000-000082D70000}"/>
    <cellStyle name="Remarque 5 5 15 3" xfId="49786" xr:uid="{00000000-0005-0000-0000-000083D70000}"/>
    <cellStyle name="Remarque 5 5 16" xfId="24408" xr:uid="{00000000-0005-0000-0000-000084D70000}"/>
    <cellStyle name="Remarque 5 5 16 2" xfId="48368" xr:uid="{00000000-0005-0000-0000-000085D70000}"/>
    <cellStyle name="Remarque 5 5 17" xfId="36196" xr:uid="{00000000-0005-0000-0000-000086D70000}"/>
    <cellStyle name="Remarque 5 5 17 2" xfId="60156" xr:uid="{00000000-0005-0000-0000-000087D70000}"/>
    <cellStyle name="Remarque 5 5 18" xfId="13073" xr:uid="{00000000-0005-0000-0000-000088D70000}"/>
    <cellStyle name="Remarque 5 5 19" xfId="37033" xr:uid="{00000000-0005-0000-0000-000089D70000}"/>
    <cellStyle name="Remarque 5 5 2" xfId="512" xr:uid="{00000000-0005-0000-0000-00008AD70000}"/>
    <cellStyle name="Remarque 5 5 2 10" xfId="24544" xr:uid="{00000000-0005-0000-0000-00008BD70000}"/>
    <cellStyle name="Remarque 5 5 2 10 2" xfId="48504" xr:uid="{00000000-0005-0000-0000-00008CD70000}"/>
    <cellStyle name="Remarque 5 5 2 11" xfId="36353" xr:uid="{00000000-0005-0000-0000-00008DD70000}"/>
    <cellStyle name="Remarque 5 5 2 11 2" xfId="60313" xr:uid="{00000000-0005-0000-0000-00008ED70000}"/>
    <cellStyle name="Remarque 5 5 2 12" xfId="13209" xr:uid="{00000000-0005-0000-0000-00008FD70000}"/>
    <cellStyle name="Remarque 5 5 2 13" xfId="37169" xr:uid="{00000000-0005-0000-0000-000090D70000}"/>
    <cellStyle name="Remarque 5 5 2 2" xfId="3418" xr:uid="{00000000-0005-0000-0000-000091D70000}"/>
    <cellStyle name="Remarque 5 5 2 2 2" xfId="27432" xr:uid="{00000000-0005-0000-0000-000092D70000}"/>
    <cellStyle name="Remarque 5 5 2 2 2 2" xfId="51392" xr:uid="{00000000-0005-0000-0000-000093D70000}"/>
    <cellStyle name="Remarque 5 5 2 2 3" xfId="14679" xr:uid="{00000000-0005-0000-0000-000094D70000}"/>
    <cellStyle name="Remarque 5 5 2 2 4" xfId="38639" xr:uid="{00000000-0005-0000-0000-000095D70000}"/>
    <cellStyle name="Remarque 5 5 2 3" xfId="4852" xr:uid="{00000000-0005-0000-0000-000096D70000}"/>
    <cellStyle name="Remarque 5 5 2 3 2" xfId="28866" xr:uid="{00000000-0005-0000-0000-000097D70000}"/>
    <cellStyle name="Remarque 5 5 2 3 2 2" xfId="52826" xr:uid="{00000000-0005-0000-0000-000098D70000}"/>
    <cellStyle name="Remarque 5 5 2 3 3" xfId="16113" xr:uid="{00000000-0005-0000-0000-000099D70000}"/>
    <cellStyle name="Remarque 5 5 2 3 4" xfId="40073" xr:uid="{00000000-0005-0000-0000-00009AD70000}"/>
    <cellStyle name="Remarque 5 5 2 4" xfId="6246" xr:uid="{00000000-0005-0000-0000-00009BD70000}"/>
    <cellStyle name="Remarque 5 5 2 4 2" xfId="30260" xr:uid="{00000000-0005-0000-0000-00009CD70000}"/>
    <cellStyle name="Remarque 5 5 2 4 2 2" xfId="54220" xr:uid="{00000000-0005-0000-0000-00009DD70000}"/>
    <cellStyle name="Remarque 5 5 2 4 3" xfId="17507" xr:uid="{00000000-0005-0000-0000-00009ED70000}"/>
    <cellStyle name="Remarque 5 5 2 4 4" xfId="41467" xr:uid="{00000000-0005-0000-0000-00009FD70000}"/>
    <cellStyle name="Remarque 5 5 2 5" xfId="7634" xr:uid="{00000000-0005-0000-0000-0000A0D70000}"/>
    <cellStyle name="Remarque 5 5 2 5 2" xfId="31648" xr:uid="{00000000-0005-0000-0000-0000A1D70000}"/>
    <cellStyle name="Remarque 5 5 2 5 2 2" xfId="55608" xr:uid="{00000000-0005-0000-0000-0000A2D70000}"/>
    <cellStyle name="Remarque 5 5 2 5 3" xfId="18895" xr:uid="{00000000-0005-0000-0000-0000A3D70000}"/>
    <cellStyle name="Remarque 5 5 2 5 4" xfId="42855" xr:uid="{00000000-0005-0000-0000-0000A4D70000}"/>
    <cellStyle name="Remarque 5 5 2 6" xfId="9019" xr:uid="{00000000-0005-0000-0000-0000A5D70000}"/>
    <cellStyle name="Remarque 5 5 2 6 2" xfId="33033" xr:uid="{00000000-0005-0000-0000-0000A6D70000}"/>
    <cellStyle name="Remarque 5 5 2 6 2 2" xfId="56993" xr:uid="{00000000-0005-0000-0000-0000A7D70000}"/>
    <cellStyle name="Remarque 5 5 2 6 3" xfId="20280" xr:uid="{00000000-0005-0000-0000-0000A8D70000}"/>
    <cellStyle name="Remarque 5 5 2 6 4" xfId="44240" xr:uid="{00000000-0005-0000-0000-0000A9D70000}"/>
    <cellStyle name="Remarque 5 5 2 7" xfId="10476" xr:uid="{00000000-0005-0000-0000-0000AAD70000}"/>
    <cellStyle name="Remarque 5 5 2 7 2" xfId="34486" xr:uid="{00000000-0005-0000-0000-0000ABD70000}"/>
    <cellStyle name="Remarque 5 5 2 7 2 2" xfId="58446" xr:uid="{00000000-0005-0000-0000-0000ACD70000}"/>
    <cellStyle name="Remarque 5 5 2 7 3" xfId="21743" xr:uid="{00000000-0005-0000-0000-0000ADD70000}"/>
    <cellStyle name="Remarque 5 5 2 7 4" xfId="45703" xr:uid="{00000000-0005-0000-0000-0000AED70000}"/>
    <cellStyle name="Remarque 5 5 2 8" xfId="12760" xr:uid="{00000000-0005-0000-0000-0000AFD70000}"/>
    <cellStyle name="Remarque 5 5 2 8 2" xfId="24067" xr:uid="{00000000-0005-0000-0000-0000B0D70000}"/>
    <cellStyle name="Remarque 5 5 2 8 3" xfId="48027" xr:uid="{00000000-0005-0000-0000-0000B1D70000}"/>
    <cellStyle name="Remarque 5 5 2 9" xfId="1948" xr:uid="{00000000-0005-0000-0000-0000B2D70000}"/>
    <cellStyle name="Remarque 5 5 2 9 2" xfId="25962" xr:uid="{00000000-0005-0000-0000-0000B3D70000}"/>
    <cellStyle name="Remarque 5 5 2 9 3" xfId="49922" xr:uid="{00000000-0005-0000-0000-0000B4D70000}"/>
    <cellStyle name="Remarque 5 5 20" xfId="376" xr:uid="{00000000-0005-0000-0000-0000B5D70000}"/>
    <cellStyle name="Remarque 5 5 3" xfId="704" xr:uid="{00000000-0005-0000-0000-0000B6D70000}"/>
    <cellStyle name="Remarque 5 5 3 10" xfId="24736" xr:uid="{00000000-0005-0000-0000-0000B7D70000}"/>
    <cellStyle name="Remarque 5 5 3 10 2" xfId="48696" xr:uid="{00000000-0005-0000-0000-0000B8D70000}"/>
    <cellStyle name="Remarque 5 5 3 11" xfId="36017" xr:uid="{00000000-0005-0000-0000-0000B9D70000}"/>
    <cellStyle name="Remarque 5 5 3 11 2" xfId="59977" xr:uid="{00000000-0005-0000-0000-0000BAD70000}"/>
    <cellStyle name="Remarque 5 5 3 12" xfId="13401" xr:uid="{00000000-0005-0000-0000-0000BBD70000}"/>
    <cellStyle name="Remarque 5 5 3 13" xfId="37361" xr:uid="{00000000-0005-0000-0000-0000BCD70000}"/>
    <cellStyle name="Remarque 5 5 3 2" xfId="3610" xr:uid="{00000000-0005-0000-0000-0000BDD70000}"/>
    <cellStyle name="Remarque 5 5 3 2 2" xfId="27624" xr:uid="{00000000-0005-0000-0000-0000BED70000}"/>
    <cellStyle name="Remarque 5 5 3 2 2 2" xfId="51584" xr:uid="{00000000-0005-0000-0000-0000BFD70000}"/>
    <cellStyle name="Remarque 5 5 3 2 3" xfId="14871" xr:uid="{00000000-0005-0000-0000-0000C0D70000}"/>
    <cellStyle name="Remarque 5 5 3 2 4" xfId="38831" xr:uid="{00000000-0005-0000-0000-0000C1D70000}"/>
    <cellStyle name="Remarque 5 5 3 3" xfId="5044" xr:uid="{00000000-0005-0000-0000-0000C2D70000}"/>
    <cellStyle name="Remarque 5 5 3 3 2" xfId="29058" xr:uid="{00000000-0005-0000-0000-0000C3D70000}"/>
    <cellStyle name="Remarque 5 5 3 3 2 2" xfId="53018" xr:uid="{00000000-0005-0000-0000-0000C4D70000}"/>
    <cellStyle name="Remarque 5 5 3 3 3" xfId="16305" xr:uid="{00000000-0005-0000-0000-0000C5D70000}"/>
    <cellStyle name="Remarque 5 5 3 3 4" xfId="40265" xr:uid="{00000000-0005-0000-0000-0000C6D70000}"/>
    <cellStyle name="Remarque 5 5 3 4" xfId="6438" xr:uid="{00000000-0005-0000-0000-0000C7D70000}"/>
    <cellStyle name="Remarque 5 5 3 4 2" xfId="30452" xr:uid="{00000000-0005-0000-0000-0000C8D70000}"/>
    <cellStyle name="Remarque 5 5 3 4 2 2" xfId="54412" xr:uid="{00000000-0005-0000-0000-0000C9D70000}"/>
    <cellStyle name="Remarque 5 5 3 4 3" xfId="17699" xr:uid="{00000000-0005-0000-0000-0000CAD70000}"/>
    <cellStyle name="Remarque 5 5 3 4 4" xfId="41659" xr:uid="{00000000-0005-0000-0000-0000CBD70000}"/>
    <cellStyle name="Remarque 5 5 3 5" xfId="7826" xr:uid="{00000000-0005-0000-0000-0000CCD70000}"/>
    <cellStyle name="Remarque 5 5 3 5 2" xfId="31840" xr:uid="{00000000-0005-0000-0000-0000CDD70000}"/>
    <cellStyle name="Remarque 5 5 3 5 2 2" xfId="55800" xr:uid="{00000000-0005-0000-0000-0000CED70000}"/>
    <cellStyle name="Remarque 5 5 3 5 3" xfId="19087" xr:uid="{00000000-0005-0000-0000-0000CFD70000}"/>
    <cellStyle name="Remarque 5 5 3 5 4" xfId="43047" xr:uid="{00000000-0005-0000-0000-0000D0D70000}"/>
    <cellStyle name="Remarque 5 5 3 6" xfId="9211" xr:uid="{00000000-0005-0000-0000-0000D1D70000}"/>
    <cellStyle name="Remarque 5 5 3 6 2" xfId="33225" xr:uid="{00000000-0005-0000-0000-0000D2D70000}"/>
    <cellStyle name="Remarque 5 5 3 6 2 2" xfId="57185" xr:uid="{00000000-0005-0000-0000-0000D3D70000}"/>
    <cellStyle name="Remarque 5 5 3 6 3" xfId="20472" xr:uid="{00000000-0005-0000-0000-0000D4D70000}"/>
    <cellStyle name="Remarque 5 5 3 6 4" xfId="44432" xr:uid="{00000000-0005-0000-0000-0000D5D70000}"/>
    <cellStyle name="Remarque 5 5 3 7" xfId="10668" xr:uid="{00000000-0005-0000-0000-0000D6D70000}"/>
    <cellStyle name="Remarque 5 5 3 7 2" xfId="34678" xr:uid="{00000000-0005-0000-0000-0000D7D70000}"/>
    <cellStyle name="Remarque 5 5 3 7 2 2" xfId="58638" xr:uid="{00000000-0005-0000-0000-0000D8D70000}"/>
    <cellStyle name="Remarque 5 5 3 7 3" xfId="21935" xr:uid="{00000000-0005-0000-0000-0000D9D70000}"/>
    <cellStyle name="Remarque 5 5 3 7 4" xfId="45895" xr:uid="{00000000-0005-0000-0000-0000DAD70000}"/>
    <cellStyle name="Remarque 5 5 3 8" xfId="12046" xr:uid="{00000000-0005-0000-0000-0000DBD70000}"/>
    <cellStyle name="Remarque 5 5 3 8 2" xfId="23326" xr:uid="{00000000-0005-0000-0000-0000DCD70000}"/>
    <cellStyle name="Remarque 5 5 3 8 3" xfId="47286" xr:uid="{00000000-0005-0000-0000-0000DDD70000}"/>
    <cellStyle name="Remarque 5 5 3 9" xfId="2140" xr:uid="{00000000-0005-0000-0000-0000DED70000}"/>
    <cellStyle name="Remarque 5 5 3 9 2" xfId="26154" xr:uid="{00000000-0005-0000-0000-0000DFD70000}"/>
    <cellStyle name="Remarque 5 5 3 9 3" xfId="50114" xr:uid="{00000000-0005-0000-0000-0000E0D70000}"/>
    <cellStyle name="Remarque 5 5 4" xfId="898" xr:uid="{00000000-0005-0000-0000-0000E1D70000}"/>
    <cellStyle name="Remarque 5 5 4 10" xfId="24930" xr:uid="{00000000-0005-0000-0000-0000E2D70000}"/>
    <cellStyle name="Remarque 5 5 4 10 2" xfId="48890" xr:uid="{00000000-0005-0000-0000-0000E3D70000}"/>
    <cellStyle name="Remarque 5 5 4 11" xfId="36694" xr:uid="{00000000-0005-0000-0000-0000E4D70000}"/>
    <cellStyle name="Remarque 5 5 4 11 2" xfId="60654" xr:uid="{00000000-0005-0000-0000-0000E5D70000}"/>
    <cellStyle name="Remarque 5 5 4 12" xfId="13595" xr:uid="{00000000-0005-0000-0000-0000E6D70000}"/>
    <cellStyle name="Remarque 5 5 4 13" xfId="37555" xr:uid="{00000000-0005-0000-0000-0000E7D70000}"/>
    <cellStyle name="Remarque 5 5 4 2" xfId="3804" xr:uid="{00000000-0005-0000-0000-0000E8D70000}"/>
    <cellStyle name="Remarque 5 5 4 2 2" xfId="27818" xr:uid="{00000000-0005-0000-0000-0000E9D70000}"/>
    <cellStyle name="Remarque 5 5 4 2 2 2" xfId="51778" xr:uid="{00000000-0005-0000-0000-0000EAD70000}"/>
    <cellStyle name="Remarque 5 5 4 2 3" xfId="15065" xr:uid="{00000000-0005-0000-0000-0000EBD70000}"/>
    <cellStyle name="Remarque 5 5 4 2 4" xfId="39025" xr:uid="{00000000-0005-0000-0000-0000ECD70000}"/>
    <cellStyle name="Remarque 5 5 4 3" xfId="5238" xr:uid="{00000000-0005-0000-0000-0000EDD70000}"/>
    <cellStyle name="Remarque 5 5 4 3 2" xfId="29252" xr:uid="{00000000-0005-0000-0000-0000EED70000}"/>
    <cellStyle name="Remarque 5 5 4 3 2 2" xfId="53212" xr:uid="{00000000-0005-0000-0000-0000EFD70000}"/>
    <cellStyle name="Remarque 5 5 4 3 3" xfId="16499" xr:uid="{00000000-0005-0000-0000-0000F0D70000}"/>
    <cellStyle name="Remarque 5 5 4 3 4" xfId="40459" xr:uid="{00000000-0005-0000-0000-0000F1D70000}"/>
    <cellStyle name="Remarque 5 5 4 4" xfId="6632" xr:uid="{00000000-0005-0000-0000-0000F2D70000}"/>
    <cellStyle name="Remarque 5 5 4 4 2" xfId="30646" xr:uid="{00000000-0005-0000-0000-0000F3D70000}"/>
    <cellStyle name="Remarque 5 5 4 4 2 2" xfId="54606" xr:uid="{00000000-0005-0000-0000-0000F4D70000}"/>
    <cellStyle name="Remarque 5 5 4 4 3" xfId="17893" xr:uid="{00000000-0005-0000-0000-0000F5D70000}"/>
    <cellStyle name="Remarque 5 5 4 4 4" xfId="41853" xr:uid="{00000000-0005-0000-0000-0000F6D70000}"/>
    <cellStyle name="Remarque 5 5 4 5" xfId="8020" xr:uid="{00000000-0005-0000-0000-0000F7D70000}"/>
    <cellStyle name="Remarque 5 5 4 5 2" xfId="32034" xr:uid="{00000000-0005-0000-0000-0000F8D70000}"/>
    <cellStyle name="Remarque 5 5 4 5 2 2" xfId="55994" xr:uid="{00000000-0005-0000-0000-0000F9D70000}"/>
    <cellStyle name="Remarque 5 5 4 5 3" xfId="19281" xr:uid="{00000000-0005-0000-0000-0000FAD70000}"/>
    <cellStyle name="Remarque 5 5 4 5 4" xfId="43241" xr:uid="{00000000-0005-0000-0000-0000FBD70000}"/>
    <cellStyle name="Remarque 5 5 4 6" xfId="9405" xr:uid="{00000000-0005-0000-0000-0000FCD70000}"/>
    <cellStyle name="Remarque 5 5 4 6 2" xfId="33419" xr:uid="{00000000-0005-0000-0000-0000FDD70000}"/>
    <cellStyle name="Remarque 5 5 4 6 2 2" xfId="57379" xr:uid="{00000000-0005-0000-0000-0000FED70000}"/>
    <cellStyle name="Remarque 5 5 4 6 3" xfId="20666" xr:uid="{00000000-0005-0000-0000-0000FFD70000}"/>
    <cellStyle name="Remarque 5 5 4 6 4" xfId="44626" xr:uid="{00000000-0005-0000-0000-000000D80000}"/>
    <cellStyle name="Remarque 5 5 4 7" xfId="10862" xr:uid="{00000000-0005-0000-0000-000001D80000}"/>
    <cellStyle name="Remarque 5 5 4 7 2" xfId="34872" xr:uid="{00000000-0005-0000-0000-000002D80000}"/>
    <cellStyle name="Remarque 5 5 4 7 2 2" xfId="58832" xr:uid="{00000000-0005-0000-0000-000003D80000}"/>
    <cellStyle name="Remarque 5 5 4 7 3" xfId="22129" xr:uid="{00000000-0005-0000-0000-000004D80000}"/>
    <cellStyle name="Remarque 5 5 4 7 4" xfId="46089" xr:uid="{00000000-0005-0000-0000-000005D80000}"/>
    <cellStyle name="Remarque 5 5 4 8" xfId="12172" xr:uid="{00000000-0005-0000-0000-000006D80000}"/>
    <cellStyle name="Remarque 5 5 4 8 2" xfId="23455" xr:uid="{00000000-0005-0000-0000-000007D80000}"/>
    <cellStyle name="Remarque 5 5 4 8 3" xfId="47415" xr:uid="{00000000-0005-0000-0000-000008D80000}"/>
    <cellStyle name="Remarque 5 5 4 9" xfId="2334" xr:uid="{00000000-0005-0000-0000-000009D80000}"/>
    <cellStyle name="Remarque 5 5 4 9 2" xfId="26348" xr:uid="{00000000-0005-0000-0000-00000AD80000}"/>
    <cellStyle name="Remarque 5 5 4 9 3" xfId="50308" xr:uid="{00000000-0005-0000-0000-00000BD80000}"/>
    <cellStyle name="Remarque 5 5 5" xfId="1091" xr:uid="{00000000-0005-0000-0000-00000CD80000}"/>
    <cellStyle name="Remarque 5 5 5 10" xfId="25123" xr:uid="{00000000-0005-0000-0000-00000DD80000}"/>
    <cellStyle name="Remarque 5 5 5 10 2" xfId="49083" xr:uid="{00000000-0005-0000-0000-00000ED80000}"/>
    <cellStyle name="Remarque 5 5 5 11" xfId="35812" xr:uid="{00000000-0005-0000-0000-00000FD80000}"/>
    <cellStyle name="Remarque 5 5 5 11 2" xfId="59772" xr:uid="{00000000-0005-0000-0000-000010D80000}"/>
    <cellStyle name="Remarque 5 5 5 12" xfId="13788" xr:uid="{00000000-0005-0000-0000-000011D80000}"/>
    <cellStyle name="Remarque 5 5 5 13" xfId="37748" xr:uid="{00000000-0005-0000-0000-000012D80000}"/>
    <cellStyle name="Remarque 5 5 5 2" xfId="3997" xr:uid="{00000000-0005-0000-0000-000013D80000}"/>
    <cellStyle name="Remarque 5 5 5 2 2" xfId="28011" xr:uid="{00000000-0005-0000-0000-000014D80000}"/>
    <cellStyle name="Remarque 5 5 5 2 2 2" xfId="51971" xr:uid="{00000000-0005-0000-0000-000015D80000}"/>
    <cellStyle name="Remarque 5 5 5 2 3" xfId="15258" xr:uid="{00000000-0005-0000-0000-000016D80000}"/>
    <cellStyle name="Remarque 5 5 5 2 4" xfId="39218" xr:uid="{00000000-0005-0000-0000-000017D80000}"/>
    <cellStyle name="Remarque 5 5 5 3" xfId="5431" xr:uid="{00000000-0005-0000-0000-000018D80000}"/>
    <cellStyle name="Remarque 5 5 5 3 2" xfId="29445" xr:uid="{00000000-0005-0000-0000-000019D80000}"/>
    <cellStyle name="Remarque 5 5 5 3 2 2" xfId="53405" xr:uid="{00000000-0005-0000-0000-00001AD80000}"/>
    <cellStyle name="Remarque 5 5 5 3 3" xfId="16692" xr:uid="{00000000-0005-0000-0000-00001BD80000}"/>
    <cellStyle name="Remarque 5 5 5 3 4" xfId="40652" xr:uid="{00000000-0005-0000-0000-00001CD80000}"/>
    <cellStyle name="Remarque 5 5 5 4" xfId="6825" xr:uid="{00000000-0005-0000-0000-00001DD80000}"/>
    <cellStyle name="Remarque 5 5 5 4 2" xfId="30839" xr:uid="{00000000-0005-0000-0000-00001ED80000}"/>
    <cellStyle name="Remarque 5 5 5 4 2 2" xfId="54799" xr:uid="{00000000-0005-0000-0000-00001FD80000}"/>
    <cellStyle name="Remarque 5 5 5 4 3" xfId="18086" xr:uid="{00000000-0005-0000-0000-000020D80000}"/>
    <cellStyle name="Remarque 5 5 5 4 4" xfId="42046" xr:uid="{00000000-0005-0000-0000-000021D80000}"/>
    <cellStyle name="Remarque 5 5 5 5" xfId="8213" xr:uid="{00000000-0005-0000-0000-000022D80000}"/>
    <cellStyle name="Remarque 5 5 5 5 2" xfId="32227" xr:uid="{00000000-0005-0000-0000-000023D80000}"/>
    <cellStyle name="Remarque 5 5 5 5 2 2" xfId="56187" xr:uid="{00000000-0005-0000-0000-000024D80000}"/>
    <cellStyle name="Remarque 5 5 5 5 3" xfId="19474" xr:uid="{00000000-0005-0000-0000-000025D80000}"/>
    <cellStyle name="Remarque 5 5 5 5 4" xfId="43434" xr:uid="{00000000-0005-0000-0000-000026D80000}"/>
    <cellStyle name="Remarque 5 5 5 6" xfId="9598" xr:uid="{00000000-0005-0000-0000-000027D80000}"/>
    <cellStyle name="Remarque 5 5 5 6 2" xfId="33612" xr:uid="{00000000-0005-0000-0000-000028D80000}"/>
    <cellStyle name="Remarque 5 5 5 6 2 2" xfId="57572" xr:uid="{00000000-0005-0000-0000-000029D80000}"/>
    <cellStyle name="Remarque 5 5 5 6 3" xfId="20859" xr:uid="{00000000-0005-0000-0000-00002AD80000}"/>
    <cellStyle name="Remarque 5 5 5 6 4" xfId="44819" xr:uid="{00000000-0005-0000-0000-00002BD80000}"/>
    <cellStyle name="Remarque 5 5 5 7" xfId="11055" xr:uid="{00000000-0005-0000-0000-00002CD80000}"/>
    <cellStyle name="Remarque 5 5 5 7 2" xfId="35065" xr:uid="{00000000-0005-0000-0000-00002DD80000}"/>
    <cellStyle name="Remarque 5 5 5 7 2 2" xfId="59025" xr:uid="{00000000-0005-0000-0000-00002ED80000}"/>
    <cellStyle name="Remarque 5 5 5 7 3" xfId="22322" xr:uid="{00000000-0005-0000-0000-00002FD80000}"/>
    <cellStyle name="Remarque 5 5 5 7 4" xfId="46282" xr:uid="{00000000-0005-0000-0000-000030D80000}"/>
    <cellStyle name="Remarque 5 5 5 8" xfId="12082" xr:uid="{00000000-0005-0000-0000-000031D80000}"/>
    <cellStyle name="Remarque 5 5 5 8 2" xfId="23365" xr:uid="{00000000-0005-0000-0000-000032D80000}"/>
    <cellStyle name="Remarque 5 5 5 8 3" xfId="47325" xr:uid="{00000000-0005-0000-0000-000033D80000}"/>
    <cellStyle name="Remarque 5 5 5 9" xfId="2527" xr:uid="{00000000-0005-0000-0000-000034D80000}"/>
    <cellStyle name="Remarque 5 5 5 9 2" xfId="26541" xr:uid="{00000000-0005-0000-0000-000035D80000}"/>
    <cellStyle name="Remarque 5 5 5 9 3" xfId="50501" xr:uid="{00000000-0005-0000-0000-000036D80000}"/>
    <cellStyle name="Remarque 5 5 6" xfId="1258" xr:uid="{00000000-0005-0000-0000-000037D80000}"/>
    <cellStyle name="Remarque 5 5 6 10" xfId="25290" xr:uid="{00000000-0005-0000-0000-000038D80000}"/>
    <cellStyle name="Remarque 5 5 6 10 2" xfId="49250" xr:uid="{00000000-0005-0000-0000-000039D80000}"/>
    <cellStyle name="Remarque 5 5 6 11" xfId="36077" xr:uid="{00000000-0005-0000-0000-00003AD80000}"/>
    <cellStyle name="Remarque 5 5 6 11 2" xfId="60037" xr:uid="{00000000-0005-0000-0000-00003BD80000}"/>
    <cellStyle name="Remarque 5 5 6 12" xfId="13955" xr:uid="{00000000-0005-0000-0000-00003CD80000}"/>
    <cellStyle name="Remarque 5 5 6 13" xfId="37915" xr:uid="{00000000-0005-0000-0000-00003DD80000}"/>
    <cellStyle name="Remarque 5 5 6 2" xfId="4164" xr:uid="{00000000-0005-0000-0000-00003ED80000}"/>
    <cellStyle name="Remarque 5 5 6 2 2" xfId="28178" xr:uid="{00000000-0005-0000-0000-00003FD80000}"/>
    <cellStyle name="Remarque 5 5 6 2 2 2" xfId="52138" xr:uid="{00000000-0005-0000-0000-000040D80000}"/>
    <cellStyle name="Remarque 5 5 6 2 3" xfId="15425" xr:uid="{00000000-0005-0000-0000-000041D80000}"/>
    <cellStyle name="Remarque 5 5 6 2 4" xfId="39385" xr:uid="{00000000-0005-0000-0000-000042D80000}"/>
    <cellStyle name="Remarque 5 5 6 3" xfId="5598" xr:uid="{00000000-0005-0000-0000-000043D80000}"/>
    <cellStyle name="Remarque 5 5 6 3 2" xfId="29612" xr:uid="{00000000-0005-0000-0000-000044D80000}"/>
    <cellStyle name="Remarque 5 5 6 3 2 2" xfId="53572" xr:uid="{00000000-0005-0000-0000-000045D80000}"/>
    <cellStyle name="Remarque 5 5 6 3 3" xfId="16859" xr:uid="{00000000-0005-0000-0000-000046D80000}"/>
    <cellStyle name="Remarque 5 5 6 3 4" xfId="40819" xr:uid="{00000000-0005-0000-0000-000047D80000}"/>
    <cellStyle name="Remarque 5 5 6 4" xfId="6992" xr:uid="{00000000-0005-0000-0000-000048D80000}"/>
    <cellStyle name="Remarque 5 5 6 4 2" xfId="31006" xr:uid="{00000000-0005-0000-0000-000049D80000}"/>
    <cellStyle name="Remarque 5 5 6 4 2 2" xfId="54966" xr:uid="{00000000-0005-0000-0000-00004AD80000}"/>
    <cellStyle name="Remarque 5 5 6 4 3" xfId="18253" xr:uid="{00000000-0005-0000-0000-00004BD80000}"/>
    <cellStyle name="Remarque 5 5 6 4 4" xfId="42213" xr:uid="{00000000-0005-0000-0000-00004CD80000}"/>
    <cellStyle name="Remarque 5 5 6 5" xfId="8380" xr:uid="{00000000-0005-0000-0000-00004DD80000}"/>
    <cellStyle name="Remarque 5 5 6 5 2" xfId="32394" xr:uid="{00000000-0005-0000-0000-00004ED80000}"/>
    <cellStyle name="Remarque 5 5 6 5 2 2" xfId="56354" xr:uid="{00000000-0005-0000-0000-00004FD80000}"/>
    <cellStyle name="Remarque 5 5 6 5 3" xfId="19641" xr:uid="{00000000-0005-0000-0000-000050D80000}"/>
    <cellStyle name="Remarque 5 5 6 5 4" xfId="43601" xr:uid="{00000000-0005-0000-0000-000051D80000}"/>
    <cellStyle name="Remarque 5 5 6 6" xfId="9765" xr:uid="{00000000-0005-0000-0000-000052D80000}"/>
    <cellStyle name="Remarque 5 5 6 6 2" xfId="33779" xr:uid="{00000000-0005-0000-0000-000053D80000}"/>
    <cellStyle name="Remarque 5 5 6 6 2 2" xfId="57739" xr:uid="{00000000-0005-0000-0000-000054D80000}"/>
    <cellStyle name="Remarque 5 5 6 6 3" xfId="21026" xr:uid="{00000000-0005-0000-0000-000055D80000}"/>
    <cellStyle name="Remarque 5 5 6 6 4" xfId="44986" xr:uid="{00000000-0005-0000-0000-000056D80000}"/>
    <cellStyle name="Remarque 5 5 6 7" xfId="11222" xr:uid="{00000000-0005-0000-0000-000057D80000}"/>
    <cellStyle name="Remarque 5 5 6 7 2" xfId="35232" xr:uid="{00000000-0005-0000-0000-000058D80000}"/>
    <cellStyle name="Remarque 5 5 6 7 2 2" xfId="59192" xr:uid="{00000000-0005-0000-0000-000059D80000}"/>
    <cellStyle name="Remarque 5 5 6 7 3" xfId="22489" xr:uid="{00000000-0005-0000-0000-00005AD80000}"/>
    <cellStyle name="Remarque 5 5 6 7 4" xfId="46449" xr:uid="{00000000-0005-0000-0000-00005BD80000}"/>
    <cellStyle name="Remarque 5 5 6 8" xfId="12347" xr:uid="{00000000-0005-0000-0000-00005CD80000}"/>
    <cellStyle name="Remarque 5 5 6 8 2" xfId="23635" xr:uid="{00000000-0005-0000-0000-00005DD80000}"/>
    <cellStyle name="Remarque 5 5 6 8 3" xfId="47595" xr:uid="{00000000-0005-0000-0000-00005ED80000}"/>
    <cellStyle name="Remarque 5 5 6 9" xfId="2694" xr:uid="{00000000-0005-0000-0000-00005FD80000}"/>
    <cellStyle name="Remarque 5 5 6 9 2" xfId="26708" xr:uid="{00000000-0005-0000-0000-000060D80000}"/>
    <cellStyle name="Remarque 5 5 6 9 3" xfId="50668" xr:uid="{00000000-0005-0000-0000-000061D80000}"/>
    <cellStyle name="Remarque 5 5 7" xfId="1427" xr:uid="{00000000-0005-0000-0000-000062D80000}"/>
    <cellStyle name="Remarque 5 5 7 10" xfId="25459" xr:uid="{00000000-0005-0000-0000-000063D80000}"/>
    <cellStyle name="Remarque 5 5 7 10 2" xfId="49419" xr:uid="{00000000-0005-0000-0000-000064D80000}"/>
    <cellStyle name="Remarque 5 5 7 11" xfId="21407" xr:uid="{00000000-0005-0000-0000-000065D80000}"/>
    <cellStyle name="Remarque 5 5 7 11 2" xfId="45367" xr:uid="{00000000-0005-0000-0000-000066D80000}"/>
    <cellStyle name="Remarque 5 5 7 12" xfId="14124" xr:uid="{00000000-0005-0000-0000-000067D80000}"/>
    <cellStyle name="Remarque 5 5 7 13" xfId="38084" xr:uid="{00000000-0005-0000-0000-000068D80000}"/>
    <cellStyle name="Remarque 5 5 7 2" xfId="4333" xr:uid="{00000000-0005-0000-0000-000069D80000}"/>
    <cellStyle name="Remarque 5 5 7 2 2" xfId="28347" xr:uid="{00000000-0005-0000-0000-00006AD80000}"/>
    <cellStyle name="Remarque 5 5 7 2 2 2" xfId="52307" xr:uid="{00000000-0005-0000-0000-00006BD80000}"/>
    <cellStyle name="Remarque 5 5 7 2 3" xfId="15594" xr:uid="{00000000-0005-0000-0000-00006CD80000}"/>
    <cellStyle name="Remarque 5 5 7 2 4" xfId="39554" xr:uid="{00000000-0005-0000-0000-00006DD80000}"/>
    <cellStyle name="Remarque 5 5 7 3" xfId="5767" xr:uid="{00000000-0005-0000-0000-00006ED80000}"/>
    <cellStyle name="Remarque 5 5 7 3 2" xfId="29781" xr:uid="{00000000-0005-0000-0000-00006FD80000}"/>
    <cellStyle name="Remarque 5 5 7 3 2 2" xfId="53741" xr:uid="{00000000-0005-0000-0000-000070D80000}"/>
    <cellStyle name="Remarque 5 5 7 3 3" xfId="17028" xr:uid="{00000000-0005-0000-0000-000071D80000}"/>
    <cellStyle name="Remarque 5 5 7 3 4" xfId="40988" xr:uid="{00000000-0005-0000-0000-000072D80000}"/>
    <cellStyle name="Remarque 5 5 7 4" xfId="7161" xr:uid="{00000000-0005-0000-0000-000073D80000}"/>
    <cellStyle name="Remarque 5 5 7 4 2" xfId="31175" xr:uid="{00000000-0005-0000-0000-000074D80000}"/>
    <cellStyle name="Remarque 5 5 7 4 2 2" xfId="55135" xr:uid="{00000000-0005-0000-0000-000075D80000}"/>
    <cellStyle name="Remarque 5 5 7 4 3" xfId="18422" xr:uid="{00000000-0005-0000-0000-000076D80000}"/>
    <cellStyle name="Remarque 5 5 7 4 4" xfId="42382" xr:uid="{00000000-0005-0000-0000-000077D80000}"/>
    <cellStyle name="Remarque 5 5 7 5" xfId="8549" xr:uid="{00000000-0005-0000-0000-000078D80000}"/>
    <cellStyle name="Remarque 5 5 7 5 2" xfId="32563" xr:uid="{00000000-0005-0000-0000-000079D80000}"/>
    <cellStyle name="Remarque 5 5 7 5 2 2" xfId="56523" xr:uid="{00000000-0005-0000-0000-00007AD80000}"/>
    <cellStyle name="Remarque 5 5 7 5 3" xfId="19810" xr:uid="{00000000-0005-0000-0000-00007BD80000}"/>
    <cellStyle name="Remarque 5 5 7 5 4" xfId="43770" xr:uid="{00000000-0005-0000-0000-00007CD80000}"/>
    <cellStyle name="Remarque 5 5 7 6" xfId="9934" xr:uid="{00000000-0005-0000-0000-00007DD80000}"/>
    <cellStyle name="Remarque 5 5 7 6 2" xfId="33948" xr:uid="{00000000-0005-0000-0000-00007ED80000}"/>
    <cellStyle name="Remarque 5 5 7 6 2 2" xfId="57908" xr:uid="{00000000-0005-0000-0000-00007FD80000}"/>
    <cellStyle name="Remarque 5 5 7 6 3" xfId="21195" xr:uid="{00000000-0005-0000-0000-000080D80000}"/>
    <cellStyle name="Remarque 5 5 7 6 4" xfId="45155" xr:uid="{00000000-0005-0000-0000-000081D80000}"/>
    <cellStyle name="Remarque 5 5 7 7" xfId="11391" xr:uid="{00000000-0005-0000-0000-000082D80000}"/>
    <cellStyle name="Remarque 5 5 7 7 2" xfId="35401" xr:uid="{00000000-0005-0000-0000-000083D80000}"/>
    <cellStyle name="Remarque 5 5 7 7 2 2" xfId="59361" xr:uid="{00000000-0005-0000-0000-000084D80000}"/>
    <cellStyle name="Remarque 5 5 7 7 3" xfId="22658" xr:uid="{00000000-0005-0000-0000-000085D80000}"/>
    <cellStyle name="Remarque 5 5 7 7 4" xfId="46618" xr:uid="{00000000-0005-0000-0000-000086D80000}"/>
    <cellStyle name="Remarque 5 5 7 8" xfId="12040" xr:uid="{00000000-0005-0000-0000-000087D80000}"/>
    <cellStyle name="Remarque 5 5 7 8 2" xfId="23320" xr:uid="{00000000-0005-0000-0000-000088D80000}"/>
    <cellStyle name="Remarque 5 5 7 8 3" xfId="47280" xr:uid="{00000000-0005-0000-0000-000089D80000}"/>
    <cellStyle name="Remarque 5 5 7 9" xfId="2863" xr:uid="{00000000-0005-0000-0000-00008AD80000}"/>
    <cellStyle name="Remarque 5 5 7 9 2" xfId="26877" xr:uid="{00000000-0005-0000-0000-00008BD80000}"/>
    <cellStyle name="Remarque 5 5 7 9 3" xfId="50837" xr:uid="{00000000-0005-0000-0000-00008CD80000}"/>
    <cellStyle name="Remarque 5 5 8" xfId="3282" xr:uid="{00000000-0005-0000-0000-00008DD80000}"/>
    <cellStyle name="Remarque 5 5 8 2" xfId="27296" xr:uid="{00000000-0005-0000-0000-00008ED80000}"/>
    <cellStyle name="Remarque 5 5 8 2 2" xfId="51256" xr:uid="{00000000-0005-0000-0000-00008FD80000}"/>
    <cellStyle name="Remarque 5 5 8 3" xfId="14543" xr:uid="{00000000-0005-0000-0000-000090D80000}"/>
    <cellStyle name="Remarque 5 5 8 4" xfId="38503" xr:uid="{00000000-0005-0000-0000-000091D80000}"/>
    <cellStyle name="Remarque 5 5 9" xfId="4716" xr:uid="{00000000-0005-0000-0000-000092D80000}"/>
    <cellStyle name="Remarque 5 5 9 2" xfId="28730" xr:uid="{00000000-0005-0000-0000-000093D80000}"/>
    <cellStyle name="Remarque 5 5 9 2 2" xfId="52690" xr:uid="{00000000-0005-0000-0000-000094D80000}"/>
    <cellStyle name="Remarque 5 5 9 3" xfId="15977" xr:uid="{00000000-0005-0000-0000-000095D80000}"/>
    <cellStyle name="Remarque 5 5 9 4" xfId="39937" xr:uid="{00000000-0005-0000-0000-000096D80000}"/>
    <cellStyle name="Remarque 5 6" xfId="298" xr:uid="{00000000-0005-0000-0000-000097D80000}"/>
    <cellStyle name="Remarque 5 6 10" xfId="24330" xr:uid="{00000000-0005-0000-0000-000098D80000}"/>
    <cellStyle name="Remarque 5 6 10 2" xfId="48290" xr:uid="{00000000-0005-0000-0000-000099D80000}"/>
    <cellStyle name="Remarque 5 6 11" xfId="35652" xr:uid="{00000000-0005-0000-0000-00009AD80000}"/>
    <cellStyle name="Remarque 5 6 11 2" xfId="59612" xr:uid="{00000000-0005-0000-0000-00009BD80000}"/>
    <cellStyle name="Remarque 5 6 12" xfId="12995" xr:uid="{00000000-0005-0000-0000-00009CD80000}"/>
    <cellStyle name="Remarque 5 6 13" xfId="36955" xr:uid="{00000000-0005-0000-0000-00009DD80000}"/>
    <cellStyle name="Remarque 5 6 2" xfId="3204" xr:uid="{00000000-0005-0000-0000-00009ED80000}"/>
    <cellStyle name="Remarque 5 6 2 2" xfId="27218" xr:uid="{00000000-0005-0000-0000-00009FD80000}"/>
    <cellStyle name="Remarque 5 6 2 2 2" xfId="51178" xr:uid="{00000000-0005-0000-0000-0000A0D80000}"/>
    <cellStyle name="Remarque 5 6 2 3" xfId="14465" xr:uid="{00000000-0005-0000-0000-0000A1D80000}"/>
    <cellStyle name="Remarque 5 6 2 4" xfId="38425" xr:uid="{00000000-0005-0000-0000-0000A2D80000}"/>
    <cellStyle name="Remarque 5 6 3" xfId="4638" xr:uid="{00000000-0005-0000-0000-0000A3D80000}"/>
    <cellStyle name="Remarque 5 6 3 2" xfId="28652" xr:uid="{00000000-0005-0000-0000-0000A4D80000}"/>
    <cellStyle name="Remarque 5 6 3 2 2" xfId="52612" xr:uid="{00000000-0005-0000-0000-0000A5D80000}"/>
    <cellStyle name="Remarque 5 6 3 3" xfId="15899" xr:uid="{00000000-0005-0000-0000-0000A6D80000}"/>
    <cellStyle name="Remarque 5 6 3 4" xfId="39859" xr:uid="{00000000-0005-0000-0000-0000A7D80000}"/>
    <cellStyle name="Remarque 5 6 4" xfId="6032" xr:uid="{00000000-0005-0000-0000-0000A8D80000}"/>
    <cellStyle name="Remarque 5 6 4 2" xfId="30046" xr:uid="{00000000-0005-0000-0000-0000A9D80000}"/>
    <cellStyle name="Remarque 5 6 4 2 2" xfId="54006" xr:uid="{00000000-0005-0000-0000-0000AAD80000}"/>
    <cellStyle name="Remarque 5 6 4 3" xfId="17293" xr:uid="{00000000-0005-0000-0000-0000ABD80000}"/>
    <cellStyle name="Remarque 5 6 4 4" xfId="41253" xr:uid="{00000000-0005-0000-0000-0000ACD80000}"/>
    <cellStyle name="Remarque 5 6 5" xfId="7420" xr:uid="{00000000-0005-0000-0000-0000ADD80000}"/>
    <cellStyle name="Remarque 5 6 5 2" xfId="31434" xr:uid="{00000000-0005-0000-0000-0000AED80000}"/>
    <cellStyle name="Remarque 5 6 5 2 2" xfId="55394" xr:uid="{00000000-0005-0000-0000-0000AFD80000}"/>
    <cellStyle name="Remarque 5 6 5 3" xfId="18681" xr:uid="{00000000-0005-0000-0000-0000B0D80000}"/>
    <cellStyle name="Remarque 5 6 5 4" xfId="42641" xr:uid="{00000000-0005-0000-0000-0000B1D80000}"/>
    <cellStyle name="Remarque 5 6 6" xfId="8805" xr:uid="{00000000-0005-0000-0000-0000B2D80000}"/>
    <cellStyle name="Remarque 5 6 6 2" xfId="32819" xr:uid="{00000000-0005-0000-0000-0000B3D80000}"/>
    <cellStyle name="Remarque 5 6 6 2 2" xfId="56779" xr:uid="{00000000-0005-0000-0000-0000B4D80000}"/>
    <cellStyle name="Remarque 5 6 6 3" xfId="20066" xr:uid="{00000000-0005-0000-0000-0000B5D80000}"/>
    <cellStyle name="Remarque 5 6 6 4" xfId="44026" xr:uid="{00000000-0005-0000-0000-0000B6D80000}"/>
    <cellStyle name="Remarque 5 6 7" xfId="10262" xr:uid="{00000000-0005-0000-0000-0000B7D80000}"/>
    <cellStyle name="Remarque 5 6 7 2" xfId="34272" xr:uid="{00000000-0005-0000-0000-0000B8D80000}"/>
    <cellStyle name="Remarque 5 6 7 2 2" xfId="58232" xr:uid="{00000000-0005-0000-0000-0000B9D80000}"/>
    <cellStyle name="Remarque 5 6 7 3" xfId="21529" xr:uid="{00000000-0005-0000-0000-0000BAD80000}"/>
    <cellStyle name="Remarque 5 6 7 4" xfId="45489" xr:uid="{00000000-0005-0000-0000-0000BBD80000}"/>
    <cellStyle name="Remarque 5 6 8" xfId="12301" xr:uid="{00000000-0005-0000-0000-0000BCD80000}"/>
    <cellStyle name="Remarque 5 6 8 2" xfId="23589" xr:uid="{00000000-0005-0000-0000-0000BDD80000}"/>
    <cellStyle name="Remarque 5 6 8 3" xfId="47549" xr:uid="{00000000-0005-0000-0000-0000BED80000}"/>
    <cellStyle name="Remarque 5 6 9" xfId="1734" xr:uid="{00000000-0005-0000-0000-0000BFD80000}"/>
    <cellStyle name="Remarque 5 6 9 2" xfId="25748" xr:uid="{00000000-0005-0000-0000-0000C0D80000}"/>
    <cellStyle name="Remarque 5 6 9 3" xfId="49708" xr:uid="{00000000-0005-0000-0000-0000C1D80000}"/>
    <cellStyle name="Remarque 5 7" xfId="625" xr:uid="{00000000-0005-0000-0000-0000C2D80000}"/>
    <cellStyle name="Remarque 5 7 10" xfId="24657" xr:uid="{00000000-0005-0000-0000-0000C3D80000}"/>
    <cellStyle name="Remarque 5 7 10 2" xfId="48617" xr:uid="{00000000-0005-0000-0000-0000C4D80000}"/>
    <cellStyle name="Remarque 5 7 11" xfId="24274" xr:uid="{00000000-0005-0000-0000-0000C5D80000}"/>
    <cellStyle name="Remarque 5 7 11 2" xfId="48234" xr:uid="{00000000-0005-0000-0000-0000C6D80000}"/>
    <cellStyle name="Remarque 5 7 12" xfId="13322" xr:uid="{00000000-0005-0000-0000-0000C7D80000}"/>
    <cellStyle name="Remarque 5 7 13" xfId="37282" xr:uid="{00000000-0005-0000-0000-0000C8D80000}"/>
    <cellStyle name="Remarque 5 7 2" xfId="3531" xr:uid="{00000000-0005-0000-0000-0000C9D80000}"/>
    <cellStyle name="Remarque 5 7 2 2" xfId="27545" xr:uid="{00000000-0005-0000-0000-0000CAD80000}"/>
    <cellStyle name="Remarque 5 7 2 2 2" xfId="51505" xr:uid="{00000000-0005-0000-0000-0000CBD80000}"/>
    <cellStyle name="Remarque 5 7 2 3" xfId="14792" xr:uid="{00000000-0005-0000-0000-0000CCD80000}"/>
    <cellStyle name="Remarque 5 7 2 4" xfId="38752" xr:uid="{00000000-0005-0000-0000-0000CDD80000}"/>
    <cellStyle name="Remarque 5 7 3" xfId="4965" xr:uid="{00000000-0005-0000-0000-0000CED80000}"/>
    <cellStyle name="Remarque 5 7 3 2" xfId="28979" xr:uid="{00000000-0005-0000-0000-0000CFD80000}"/>
    <cellStyle name="Remarque 5 7 3 2 2" xfId="52939" xr:uid="{00000000-0005-0000-0000-0000D0D80000}"/>
    <cellStyle name="Remarque 5 7 3 3" xfId="16226" xr:uid="{00000000-0005-0000-0000-0000D1D80000}"/>
    <cellStyle name="Remarque 5 7 3 4" xfId="40186" xr:uid="{00000000-0005-0000-0000-0000D2D80000}"/>
    <cellStyle name="Remarque 5 7 4" xfId="6359" xr:uid="{00000000-0005-0000-0000-0000D3D80000}"/>
    <cellStyle name="Remarque 5 7 4 2" xfId="30373" xr:uid="{00000000-0005-0000-0000-0000D4D80000}"/>
    <cellStyle name="Remarque 5 7 4 2 2" xfId="54333" xr:uid="{00000000-0005-0000-0000-0000D5D80000}"/>
    <cellStyle name="Remarque 5 7 4 3" xfId="17620" xr:uid="{00000000-0005-0000-0000-0000D6D80000}"/>
    <cellStyle name="Remarque 5 7 4 4" xfId="41580" xr:uid="{00000000-0005-0000-0000-0000D7D80000}"/>
    <cellStyle name="Remarque 5 7 5" xfId="7747" xr:uid="{00000000-0005-0000-0000-0000D8D80000}"/>
    <cellStyle name="Remarque 5 7 5 2" xfId="31761" xr:uid="{00000000-0005-0000-0000-0000D9D80000}"/>
    <cellStyle name="Remarque 5 7 5 2 2" xfId="55721" xr:uid="{00000000-0005-0000-0000-0000DAD80000}"/>
    <cellStyle name="Remarque 5 7 5 3" xfId="19008" xr:uid="{00000000-0005-0000-0000-0000DBD80000}"/>
    <cellStyle name="Remarque 5 7 5 4" xfId="42968" xr:uid="{00000000-0005-0000-0000-0000DCD80000}"/>
    <cellStyle name="Remarque 5 7 6" xfId="9132" xr:uid="{00000000-0005-0000-0000-0000DDD80000}"/>
    <cellStyle name="Remarque 5 7 6 2" xfId="33146" xr:uid="{00000000-0005-0000-0000-0000DED80000}"/>
    <cellStyle name="Remarque 5 7 6 2 2" xfId="57106" xr:uid="{00000000-0005-0000-0000-0000DFD80000}"/>
    <cellStyle name="Remarque 5 7 6 3" xfId="20393" xr:uid="{00000000-0005-0000-0000-0000E0D80000}"/>
    <cellStyle name="Remarque 5 7 6 4" xfId="44353" xr:uid="{00000000-0005-0000-0000-0000E1D80000}"/>
    <cellStyle name="Remarque 5 7 7" xfId="10589" xr:uid="{00000000-0005-0000-0000-0000E2D80000}"/>
    <cellStyle name="Remarque 5 7 7 2" xfId="34599" xr:uid="{00000000-0005-0000-0000-0000E3D80000}"/>
    <cellStyle name="Remarque 5 7 7 2 2" xfId="58559" xr:uid="{00000000-0005-0000-0000-0000E4D80000}"/>
    <cellStyle name="Remarque 5 7 7 3" xfId="21856" xr:uid="{00000000-0005-0000-0000-0000E5D80000}"/>
    <cellStyle name="Remarque 5 7 7 4" xfId="45816" xr:uid="{00000000-0005-0000-0000-0000E6D80000}"/>
    <cellStyle name="Remarque 5 7 8" xfId="11869" xr:uid="{00000000-0005-0000-0000-0000E7D80000}"/>
    <cellStyle name="Remarque 5 7 8 2" xfId="23145" xr:uid="{00000000-0005-0000-0000-0000E8D80000}"/>
    <cellStyle name="Remarque 5 7 8 3" xfId="47105" xr:uid="{00000000-0005-0000-0000-0000E9D80000}"/>
    <cellStyle name="Remarque 5 7 9" xfId="2061" xr:uid="{00000000-0005-0000-0000-0000EAD80000}"/>
    <cellStyle name="Remarque 5 7 9 2" xfId="26075" xr:uid="{00000000-0005-0000-0000-0000EBD80000}"/>
    <cellStyle name="Remarque 5 7 9 3" xfId="50035" xr:uid="{00000000-0005-0000-0000-0000ECD80000}"/>
    <cellStyle name="Remarque 5 8" xfId="819" xr:uid="{00000000-0005-0000-0000-0000EDD80000}"/>
    <cellStyle name="Remarque 5 8 10" xfId="24851" xr:uid="{00000000-0005-0000-0000-0000EED80000}"/>
    <cellStyle name="Remarque 5 8 10 2" xfId="48811" xr:uid="{00000000-0005-0000-0000-0000EFD80000}"/>
    <cellStyle name="Remarque 5 8 11" xfId="36332" xr:uid="{00000000-0005-0000-0000-0000F0D80000}"/>
    <cellStyle name="Remarque 5 8 11 2" xfId="60292" xr:uid="{00000000-0005-0000-0000-0000F1D80000}"/>
    <cellStyle name="Remarque 5 8 12" xfId="13516" xr:uid="{00000000-0005-0000-0000-0000F2D80000}"/>
    <cellStyle name="Remarque 5 8 13" xfId="37476" xr:uid="{00000000-0005-0000-0000-0000F3D80000}"/>
    <cellStyle name="Remarque 5 8 2" xfId="3725" xr:uid="{00000000-0005-0000-0000-0000F4D80000}"/>
    <cellStyle name="Remarque 5 8 2 2" xfId="27739" xr:uid="{00000000-0005-0000-0000-0000F5D80000}"/>
    <cellStyle name="Remarque 5 8 2 2 2" xfId="51699" xr:uid="{00000000-0005-0000-0000-0000F6D80000}"/>
    <cellStyle name="Remarque 5 8 2 3" xfId="14986" xr:uid="{00000000-0005-0000-0000-0000F7D80000}"/>
    <cellStyle name="Remarque 5 8 2 4" xfId="38946" xr:uid="{00000000-0005-0000-0000-0000F8D80000}"/>
    <cellStyle name="Remarque 5 8 3" xfId="5159" xr:uid="{00000000-0005-0000-0000-0000F9D80000}"/>
    <cellStyle name="Remarque 5 8 3 2" xfId="29173" xr:uid="{00000000-0005-0000-0000-0000FAD80000}"/>
    <cellStyle name="Remarque 5 8 3 2 2" xfId="53133" xr:uid="{00000000-0005-0000-0000-0000FBD80000}"/>
    <cellStyle name="Remarque 5 8 3 3" xfId="16420" xr:uid="{00000000-0005-0000-0000-0000FCD80000}"/>
    <cellStyle name="Remarque 5 8 3 4" xfId="40380" xr:uid="{00000000-0005-0000-0000-0000FDD80000}"/>
    <cellStyle name="Remarque 5 8 4" xfId="6553" xr:uid="{00000000-0005-0000-0000-0000FED80000}"/>
    <cellStyle name="Remarque 5 8 4 2" xfId="30567" xr:uid="{00000000-0005-0000-0000-0000FFD80000}"/>
    <cellStyle name="Remarque 5 8 4 2 2" xfId="54527" xr:uid="{00000000-0005-0000-0000-000000D90000}"/>
    <cellStyle name="Remarque 5 8 4 3" xfId="17814" xr:uid="{00000000-0005-0000-0000-000001D90000}"/>
    <cellStyle name="Remarque 5 8 4 4" xfId="41774" xr:uid="{00000000-0005-0000-0000-000002D90000}"/>
    <cellStyle name="Remarque 5 8 5" xfId="7941" xr:uid="{00000000-0005-0000-0000-000003D90000}"/>
    <cellStyle name="Remarque 5 8 5 2" xfId="31955" xr:uid="{00000000-0005-0000-0000-000004D90000}"/>
    <cellStyle name="Remarque 5 8 5 2 2" xfId="55915" xr:uid="{00000000-0005-0000-0000-000005D90000}"/>
    <cellStyle name="Remarque 5 8 5 3" xfId="19202" xr:uid="{00000000-0005-0000-0000-000006D90000}"/>
    <cellStyle name="Remarque 5 8 5 4" xfId="43162" xr:uid="{00000000-0005-0000-0000-000007D90000}"/>
    <cellStyle name="Remarque 5 8 6" xfId="9326" xr:uid="{00000000-0005-0000-0000-000008D90000}"/>
    <cellStyle name="Remarque 5 8 6 2" xfId="33340" xr:uid="{00000000-0005-0000-0000-000009D90000}"/>
    <cellStyle name="Remarque 5 8 6 2 2" xfId="57300" xr:uid="{00000000-0005-0000-0000-00000AD90000}"/>
    <cellStyle name="Remarque 5 8 6 3" xfId="20587" xr:uid="{00000000-0005-0000-0000-00000BD90000}"/>
    <cellStyle name="Remarque 5 8 6 4" xfId="44547" xr:uid="{00000000-0005-0000-0000-00000CD90000}"/>
    <cellStyle name="Remarque 5 8 7" xfId="10783" xr:uid="{00000000-0005-0000-0000-00000DD90000}"/>
    <cellStyle name="Remarque 5 8 7 2" xfId="34793" xr:uid="{00000000-0005-0000-0000-00000ED90000}"/>
    <cellStyle name="Remarque 5 8 7 2 2" xfId="58753" xr:uid="{00000000-0005-0000-0000-00000FD90000}"/>
    <cellStyle name="Remarque 5 8 7 3" xfId="22050" xr:uid="{00000000-0005-0000-0000-000010D90000}"/>
    <cellStyle name="Remarque 5 8 7 4" xfId="46010" xr:uid="{00000000-0005-0000-0000-000011D90000}"/>
    <cellStyle name="Remarque 5 8 8" xfId="12746" xr:uid="{00000000-0005-0000-0000-000012D90000}"/>
    <cellStyle name="Remarque 5 8 8 2" xfId="24053" xr:uid="{00000000-0005-0000-0000-000013D90000}"/>
    <cellStyle name="Remarque 5 8 8 3" xfId="48013" xr:uid="{00000000-0005-0000-0000-000014D90000}"/>
    <cellStyle name="Remarque 5 8 9" xfId="2255" xr:uid="{00000000-0005-0000-0000-000015D90000}"/>
    <cellStyle name="Remarque 5 8 9 2" xfId="26269" xr:uid="{00000000-0005-0000-0000-000016D90000}"/>
    <cellStyle name="Remarque 5 8 9 3" xfId="50229" xr:uid="{00000000-0005-0000-0000-000017D90000}"/>
    <cellStyle name="Remarque 5 9" xfId="1012" xr:uid="{00000000-0005-0000-0000-000018D90000}"/>
    <cellStyle name="Remarque 5 9 10" xfId="25044" xr:uid="{00000000-0005-0000-0000-000019D90000}"/>
    <cellStyle name="Remarque 5 9 10 2" xfId="49004" xr:uid="{00000000-0005-0000-0000-00001AD90000}"/>
    <cellStyle name="Remarque 5 9 11" xfId="36432" xr:uid="{00000000-0005-0000-0000-00001BD90000}"/>
    <cellStyle name="Remarque 5 9 11 2" xfId="60392" xr:uid="{00000000-0005-0000-0000-00001CD90000}"/>
    <cellStyle name="Remarque 5 9 12" xfId="13709" xr:uid="{00000000-0005-0000-0000-00001DD90000}"/>
    <cellStyle name="Remarque 5 9 13" xfId="37669" xr:uid="{00000000-0005-0000-0000-00001ED90000}"/>
    <cellStyle name="Remarque 5 9 2" xfId="3918" xr:uid="{00000000-0005-0000-0000-00001FD90000}"/>
    <cellStyle name="Remarque 5 9 2 2" xfId="27932" xr:uid="{00000000-0005-0000-0000-000020D90000}"/>
    <cellStyle name="Remarque 5 9 2 2 2" xfId="51892" xr:uid="{00000000-0005-0000-0000-000021D90000}"/>
    <cellStyle name="Remarque 5 9 2 3" xfId="15179" xr:uid="{00000000-0005-0000-0000-000022D90000}"/>
    <cellStyle name="Remarque 5 9 2 4" xfId="39139" xr:uid="{00000000-0005-0000-0000-000023D90000}"/>
    <cellStyle name="Remarque 5 9 3" xfId="5352" xr:uid="{00000000-0005-0000-0000-000024D90000}"/>
    <cellStyle name="Remarque 5 9 3 2" xfId="29366" xr:uid="{00000000-0005-0000-0000-000025D90000}"/>
    <cellStyle name="Remarque 5 9 3 2 2" xfId="53326" xr:uid="{00000000-0005-0000-0000-000026D90000}"/>
    <cellStyle name="Remarque 5 9 3 3" xfId="16613" xr:uid="{00000000-0005-0000-0000-000027D90000}"/>
    <cellStyle name="Remarque 5 9 3 4" xfId="40573" xr:uid="{00000000-0005-0000-0000-000028D90000}"/>
    <cellStyle name="Remarque 5 9 4" xfId="6746" xr:uid="{00000000-0005-0000-0000-000029D90000}"/>
    <cellStyle name="Remarque 5 9 4 2" xfId="30760" xr:uid="{00000000-0005-0000-0000-00002AD90000}"/>
    <cellStyle name="Remarque 5 9 4 2 2" xfId="54720" xr:uid="{00000000-0005-0000-0000-00002BD90000}"/>
    <cellStyle name="Remarque 5 9 4 3" xfId="18007" xr:uid="{00000000-0005-0000-0000-00002CD90000}"/>
    <cellStyle name="Remarque 5 9 4 4" xfId="41967" xr:uid="{00000000-0005-0000-0000-00002DD90000}"/>
    <cellStyle name="Remarque 5 9 5" xfId="8134" xr:uid="{00000000-0005-0000-0000-00002ED90000}"/>
    <cellStyle name="Remarque 5 9 5 2" xfId="32148" xr:uid="{00000000-0005-0000-0000-00002FD90000}"/>
    <cellStyle name="Remarque 5 9 5 2 2" xfId="56108" xr:uid="{00000000-0005-0000-0000-000030D90000}"/>
    <cellStyle name="Remarque 5 9 5 3" xfId="19395" xr:uid="{00000000-0005-0000-0000-000031D90000}"/>
    <cellStyle name="Remarque 5 9 5 4" xfId="43355" xr:uid="{00000000-0005-0000-0000-000032D90000}"/>
    <cellStyle name="Remarque 5 9 6" xfId="9519" xr:uid="{00000000-0005-0000-0000-000033D90000}"/>
    <cellStyle name="Remarque 5 9 6 2" xfId="33533" xr:uid="{00000000-0005-0000-0000-000034D90000}"/>
    <cellStyle name="Remarque 5 9 6 2 2" xfId="57493" xr:uid="{00000000-0005-0000-0000-000035D90000}"/>
    <cellStyle name="Remarque 5 9 6 3" xfId="20780" xr:uid="{00000000-0005-0000-0000-000036D90000}"/>
    <cellStyle name="Remarque 5 9 6 4" xfId="44740" xr:uid="{00000000-0005-0000-0000-000037D90000}"/>
    <cellStyle name="Remarque 5 9 7" xfId="10976" xr:uid="{00000000-0005-0000-0000-000038D90000}"/>
    <cellStyle name="Remarque 5 9 7 2" xfId="34986" xr:uid="{00000000-0005-0000-0000-000039D90000}"/>
    <cellStyle name="Remarque 5 9 7 2 2" xfId="58946" xr:uid="{00000000-0005-0000-0000-00003AD90000}"/>
    <cellStyle name="Remarque 5 9 7 3" xfId="22243" xr:uid="{00000000-0005-0000-0000-00003BD90000}"/>
    <cellStyle name="Remarque 5 9 7 4" xfId="46203" xr:uid="{00000000-0005-0000-0000-00003CD90000}"/>
    <cellStyle name="Remarque 5 9 8" xfId="11571" xr:uid="{00000000-0005-0000-0000-00003DD90000}"/>
    <cellStyle name="Remarque 5 9 8 2" xfId="22838" xr:uid="{00000000-0005-0000-0000-00003ED90000}"/>
    <cellStyle name="Remarque 5 9 8 3" xfId="46798" xr:uid="{00000000-0005-0000-0000-00003FD90000}"/>
    <cellStyle name="Remarque 5 9 9" xfId="2448" xr:uid="{00000000-0005-0000-0000-000040D90000}"/>
    <cellStyle name="Remarque 5 9 9 2" xfId="26462" xr:uid="{00000000-0005-0000-0000-000041D90000}"/>
    <cellStyle name="Remarque 5 9 9 3" xfId="50422" xr:uid="{00000000-0005-0000-0000-000042D90000}"/>
    <cellStyle name="Remarque 6" xfId="51" xr:uid="{00000000-0005-0000-0000-000043D90000}"/>
    <cellStyle name="Remarque 6 10" xfId="1195" xr:uid="{00000000-0005-0000-0000-000044D90000}"/>
    <cellStyle name="Remarque 6 10 10" xfId="25227" xr:uid="{00000000-0005-0000-0000-000045D90000}"/>
    <cellStyle name="Remarque 6 10 10 2" xfId="49187" xr:uid="{00000000-0005-0000-0000-000046D90000}"/>
    <cellStyle name="Remarque 6 10 11" xfId="35657" xr:uid="{00000000-0005-0000-0000-000047D90000}"/>
    <cellStyle name="Remarque 6 10 11 2" xfId="59617" xr:uid="{00000000-0005-0000-0000-000048D90000}"/>
    <cellStyle name="Remarque 6 10 12" xfId="13892" xr:uid="{00000000-0005-0000-0000-000049D90000}"/>
    <cellStyle name="Remarque 6 10 13" xfId="37852" xr:uid="{00000000-0005-0000-0000-00004AD90000}"/>
    <cellStyle name="Remarque 6 10 2" xfId="4101" xr:uid="{00000000-0005-0000-0000-00004BD90000}"/>
    <cellStyle name="Remarque 6 10 2 2" xfId="28115" xr:uid="{00000000-0005-0000-0000-00004CD90000}"/>
    <cellStyle name="Remarque 6 10 2 2 2" xfId="52075" xr:uid="{00000000-0005-0000-0000-00004DD90000}"/>
    <cellStyle name="Remarque 6 10 2 3" xfId="15362" xr:uid="{00000000-0005-0000-0000-00004ED90000}"/>
    <cellStyle name="Remarque 6 10 2 4" xfId="39322" xr:uid="{00000000-0005-0000-0000-00004FD90000}"/>
    <cellStyle name="Remarque 6 10 3" xfId="5535" xr:uid="{00000000-0005-0000-0000-000050D90000}"/>
    <cellStyle name="Remarque 6 10 3 2" xfId="29549" xr:uid="{00000000-0005-0000-0000-000051D90000}"/>
    <cellStyle name="Remarque 6 10 3 2 2" xfId="53509" xr:uid="{00000000-0005-0000-0000-000052D90000}"/>
    <cellStyle name="Remarque 6 10 3 3" xfId="16796" xr:uid="{00000000-0005-0000-0000-000053D90000}"/>
    <cellStyle name="Remarque 6 10 3 4" xfId="40756" xr:uid="{00000000-0005-0000-0000-000054D90000}"/>
    <cellStyle name="Remarque 6 10 4" xfId="6929" xr:uid="{00000000-0005-0000-0000-000055D90000}"/>
    <cellStyle name="Remarque 6 10 4 2" xfId="30943" xr:uid="{00000000-0005-0000-0000-000056D90000}"/>
    <cellStyle name="Remarque 6 10 4 2 2" xfId="54903" xr:uid="{00000000-0005-0000-0000-000057D90000}"/>
    <cellStyle name="Remarque 6 10 4 3" xfId="18190" xr:uid="{00000000-0005-0000-0000-000058D90000}"/>
    <cellStyle name="Remarque 6 10 4 4" xfId="42150" xr:uid="{00000000-0005-0000-0000-000059D90000}"/>
    <cellStyle name="Remarque 6 10 5" xfId="8317" xr:uid="{00000000-0005-0000-0000-00005AD90000}"/>
    <cellStyle name="Remarque 6 10 5 2" xfId="32331" xr:uid="{00000000-0005-0000-0000-00005BD90000}"/>
    <cellStyle name="Remarque 6 10 5 2 2" xfId="56291" xr:uid="{00000000-0005-0000-0000-00005CD90000}"/>
    <cellStyle name="Remarque 6 10 5 3" xfId="19578" xr:uid="{00000000-0005-0000-0000-00005DD90000}"/>
    <cellStyle name="Remarque 6 10 5 4" xfId="43538" xr:uid="{00000000-0005-0000-0000-00005ED90000}"/>
    <cellStyle name="Remarque 6 10 6" xfId="9702" xr:uid="{00000000-0005-0000-0000-00005FD90000}"/>
    <cellStyle name="Remarque 6 10 6 2" xfId="33716" xr:uid="{00000000-0005-0000-0000-000060D90000}"/>
    <cellStyle name="Remarque 6 10 6 2 2" xfId="57676" xr:uid="{00000000-0005-0000-0000-000061D90000}"/>
    <cellStyle name="Remarque 6 10 6 3" xfId="20963" xr:uid="{00000000-0005-0000-0000-000062D90000}"/>
    <cellStyle name="Remarque 6 10 6 4" xfId="44923" xr:uid="{00000000-0005-0000-0000-000063D90000}"/>
    <cellStyle name="Remarque 6 10 7" xfId="11159" xr:uid="{00000000-0005-0000-0000-000064D90000}"/>
    <cellStyle name="Remarque 6 10 7 2" xfId="35169" xr:uid="{00000000-0005-0000-0000-000065D90000}"/>
    <cellStyle name="Remarque 6 10 7 2 2" xfId="59129" xr:uid="{00000000-0005-0000-0000-000066D90000}"/>
    <cellStyle name="Remarque 6 10 7 3" xfId="22426" xr:uid="{00000000-0005-0000-0000-000067D90000}"/>
    <cellStyle name="Remarque 6 10 7 4" xfId="46386" xr:uid="{00000000-0005-0000-0000-000068D90000}"/>
    <cellStyle name="Remarque 6 10 8" xfId="12435" xr:uid="{00000000-0005-0000-0000-000069D90000}"/>
    <cellStyle name="Remarque 6 10 8 2" xfId="23727" xr:uid="{00000000-0005-0000-0000-00006AD90000}"/>
    <cellStyle name="Remarque 6 10 8 3" xfId="47687" xr:uid="{00000000-0005-0000-0000-00006BD90000}"/>
    <cellStyle name="Remarque 6 10 9" xfId="2631" xr:uid="{00000000-0005-0000-0000-00006CD90000}"/>
    <cellStyle name="Remarque 6 10 9 2" xfId="26645" xr:uid="{00000000-0005-0000-0000-00006DD90000}"/>
    <cellStyle name="Remarque 6 10 9 3" xfId="50605" xr:uid="{00000000-0005-0000-0000-00006ED90000}"/>
    <cellStyle name="Remarque 6 11" xfId="297" xr:uid="{00000000-0005-0000-0000-00006FD90000}"/>
    <cellStyle name="Remarque 6 11 10" xfId="24329" xr:uid="{00000000-0005-0000-0000-000070D90000}"/>
    <cellStyle name="Remarque 6 11 10 2" xfId="48289" xr:uid="{00000000-0005-0000-0000-000071D90000}"/>
    <cellStyle name="Remarque 6 11 11" xfId="35724" xr:uid="{00000000-0005-0000-0000-000072D90000}"/>
    <cellStyle name="Remarque 6 11 11 2" xfId="59684" xr:uid="{00000000-0005-0000-0000-000073D90000}"/>
    <cellStyle name="Remarque 6 11 12" xfId="12994" xr:uid="{00000000-0005-0000-0000-000074D90000}"/>
    <cellStyle name="Remarque 6 11 13" xfId="36954" xr:uid="{00000000-0005-0000-0000-000075D90000}"/>
    <cellStyle name="Remarque 6 11 2" xfId="3203" xr:uid="{00000000-0005-0000-0000-000076D90000}"/>
    <cellStyle name="Remarque 6 11 2 2" xfId="27217" xr:uid="{00000000-0005-0000-0000-000077D90000}"/>
    <cellStyle name="Remarque 6 11 2 2 2" xfId="51177" xr:uid="{00000000-0005-0000-0000-000078D90000}"/>
    <cellStyle name="Remarque 6 11 2 3" xfId="14464" xr:uid="{00000000-0005-0000-0000-000079D90000}"/>
    <cellStyle name="Remarque 6 11 2 4" xfId="38424" xr:uid="{00000000-0005-0000-0000-00007AD90000}"/>
    <cellStyle name="Remarque 6 11 3" xfId="4637" xr:uid="{00000000-0005-0000-0000-00007BD90000}"/>
    <cellStyle name="Remarque 6 11 3 2" xfId="28651" xr:uid="{00000000-0005-0000-0000-00007CD90000}"/>
    <cellStyle name="Remarque 6 11 3 2 2" xfId="52611" xr:uid="{00000000-0005-0000-0000-00007DD90000}"/>
    <cellStyle name="Remarque 6 11 3 3" xfId="15898" xr:uid="{00000000-0005-0000-0000-00007ED90000}"/>
    <cellStyle name="Remarque 6 11 3 4" xfId="39858" xr:uid="{00000000-0005-0000-0000-00007FD90000}"/>
    <cellStyle name="Remarque 6 11 4" xfId="6031" xr:uid="{00000000-0005-0000-0000-000080D90000}"/>
    <cellStyle name="Remarque 6 11 4 2" xfId="30045" xr:uid="{00000000-0005-0000-0000-000081D90000}"/>
    <cellStyle name="Remarque 6 11 4 2 2" xfId="54005" xr:uid="{00000000-0005-0000-0000-000082D90000}"/>
    <cellStyle name="Remarque 6 11 4 3" xfId="17292" xr:uid="{00000000-0005-0000-0000-000083D90000}"/>
    <cellStyle name="Remarque 6 11 4 4" xfId="41252" xr:uid="{00000000-0005-0000-0000-000084D90000}"/>
    <cellStyle name="Remarque 6 11 5" xfId="7419" xr:uid="{00000000-0005-0000-0000-000085D90000}"/>
    <cellStyle name="Remarque 6 11 5 2" xfId="31433" xr:uid="{00000000-0005-0000-0000-000086D90000}"/>
    <cellStyle name="Remarque 6 11 5 2 2" xfId="55393" xr:uid="{00000000-0005-0000-0000-000087D90000}"/>
    <cellStyle name="Remarque 6 11 5 3" xfId="18680" xr:uid="{00000000-0005-0000-0000-000088D90000}"/>
    <cellStyle name="Remarque 6 11 5 4" xfId="42640" xr:uid="{00000000-0005-0000-0000-000089D90000}"/>
    <cellStyle name="Remarque 6 11 6" xfId="8804" xr:uid="{00000000-0005-0000-0000-00008AD90000}"/>
    <cellStyle name="Remarque 6 11 6 2" xfId="32818" xr:uid="{00000000-0005-0000-0000-00008BD90000}"/>
    <cellStyle name="Remarque 6 11 6 2 2" xfId="56778" xr:uid="{00000000-0005-0000-0000-00008CD90000}"/>
    <cellStyle name="Remarque 6 11 6 3" xfId="20065" xr:uid="{00000000-0005-0000-0000-00008DD90000}"/>
    <cellStyle name="Remarque 6 11 6 4" xfId="44025" xr:uid="{00000000-0005-0000-0000-00008ED90000}"/>
    <cellStyle name="Remarque 6 11 7" xfId="10261" xr:uid="{00000000-0005-0000-0000-00008FD90000}"/>
    <cellStyle name="Remarque 6 11 7 2" xfId="34271" xr:uid="{00000000-0005-0000-0000-000090D90000}"/>
    <cellStyle name="Remarque 6 11 7 2 2" xfId="58231" xr:uid="{00000000-0005-0000-0000-000091D90000}"/>
    <cellStyle name="Remarque 6 11 7 3" xfId="21528" xr:uid="{00000000-0005-0000-0000-000092D90000}"/>
    <cellStyle name="Remarque 6 11 7 4" xfId="45488" xr:uid="{00000000-0005-0000-0000-000093D90000}"/>
    <cellStyle name="Remarque 6 11 8" xfId="12485" xr:uid="{00000000-0005-0000-0000-000094D90000}"/>
    <cellStyle name="Remarque 6 11 8 2" xfId="23782" xr:uid="{00000000-0005-0000-0000-000095D90000}"/>
    <cellStyle name="Remarque 6 11 8 3" xfId="47742" xr:uid="{00000000-0005-0000-0000-000096D90000}"/>
    <cellStyle name="Remarque 6 11 9" xfId="1733" xr:uid="{00000000-0005-0000-0000-000097D90000}"/>
    <cellStyle name="Remarque 6 11 9 2" xfId="25747" xr:uid="{00000000-0005-0000-0000-000098D90000}"/>
    <cellStyle name="Remarque 6 11 9 3" xfId="49707" xr:uid="{00000000-0005-0000-0000-000099D90000}"/>
    <cellStyle name="Remarque 6 12" xfId="1556" xr:uid="{00000000-0005-0000-0000-00009AD90000}"/>
    <cellStyle name="Remarque 6 12 10" xfId="25588" xr:uid="{00000000-0005-0000-0000-00009BD90000}"/>
    <cellStyle name="Remarque 6 12 10 2" xfId="49548" xr:uid="{00000000-0005-0000-0000-00009CD90000}"/>
    <cellStyle name="Remarque 6 12 11" xfId="23755" xr:uid="{00000000-0005-0000-0000-00009DD90000}"/>
    <cellStyle name="Remarque 6 12 11 2" xfId="47715" xr:uid="{00000000-0005-0000-0000-00009ED90000}"/>
    <cellStyle name="Remarque 6 12 12" xfId="14253" xr:uid="{00000000-0005-0000-0000-00009FD90000}"/>
    <cellStyle name="Remarque 6 12 13" xfId="38213" xr:uid="{00000000-0005-0000-0000-0000A0D90000}"/>
    <cellStyle name="Remarque 6 12 2" xfId="4462" xr:uid="{00000000-0005-0000-0000-0000A1D90000}"/>
    <cellStyle name="Remarque 6 12 2 2" xfId="28476" xr:uid="{00000000-0005-0000-0000-0000A2D90000}"/>
    <cellStyle name="Remarque 6 12 2 2 2" xfId="52436" xr:uid="{00000000-0005-0000-0000-0000A3D90000}"/>
    <cellStyle name="Remarque 6 12 2 3" xfId="15723" xr:uid="{00000000-0005-0000-0000-0000A4D90000}"/>
    <cellStyle name="Remarque 6 12 2 4" xfId="39683" xr:uid="{00000000-0005-0000-0000-0000A5D90000}"/>
    <cellStyle name="Remarque 6 12 3" xfId="5896" xr:uid="{00000000-0005-0000-0000-0000A6D90000}"/>
    <cellStyle name="Remarque 6 12 3 2" xfId="29910" xr:uid="{00000000-0005-0000-0000-0000A7D90000}"/>
    <cellStyle name="Remarque 6 12 3 2 2" xfId="53870" xr:uid="{00000000-0005-0000-0000-0000A8D90000}"/>
    <cellStyle name="Remarque 6 12 3 3" xfId="17157" xr:uid="{00000000-0005-0000-0000-0000A9D90000}"/>
    <cellStyle name="Remarque 6 12 3 4" xfId="41117" xr:uid="{00000000-0005-0000-0000-0000AAD90000}"/>
    <cellStyle name="Remarque 6 12 4" xfId="7290" xr:uid="{00000000-0005-0000-0000-0000ABD90000}"/>
    <cellStyle name="Remarque 6 12 4 2" xfId="31304" xr:uid="{00000000-0005-0000-0000-0000ACD90000}"/>
    <cellStyle name="Remarque 6 12 4 2 2" xfId="55264" xr:uid="{00000000-0005-0000-0000-0000ADD90000}"/>
    <cellStyle name="Remarque 6 12 4 3" xfId="18551" xr:uid="{00000000-0005-0000-0000-0000AED90000}"/>
    <cellStyle name="Remarque 6 12 4 4" xfId="42511" xr:uid="{00000000-0005-0000-0000-0000AFD90000}"/>
    <cellStyle name="Remarque 6 12 5" xfId="8678" xr:uid="{00000000-0005-0000-0000-0000B0D90000}"/>
    <cellStyle name="Remarque 6 12 5 2" xfId="32692" xr:uid="{00000000-0005-0000-0000-0000B1D90000}"/>
    <cellStyle name="Remarque 6 12 5 2 2" xfId="56652" xr:uid="{00000000-0005-0000-0000-0000B2D90000}"/>
    <cellStyle name="Remarque 6 12 5 3" xfId="19939" xr:uid="{00000000-0005-0000-0000-0000B3D90000}"/>
    <cellStyle name="Remarque 6 12 5 4" xfId="43899" xr:uid="{00000000-0005-0000-0000-0000B4D90000}"/>
    <cellStyle name="Remarque 6 12 6" xfId="10063" xr:uid="{00000000-0005-0000-0000-0000B5D90000}"/>
    <cellStyle name="Remarque 6 12 6 2" xfId="34077" xr:uid="{00000000-0005-0000-0000-0000B6D90000}"/>
    <cellStyle name="Remarque 6 12 6 2 2" xfId="58037" xr:uid="{00000000-0005-0000-0000-0000B7D90000}"/>
    <cellStyle name="Remarque 6 12 6 3" xfId="21324" xr:uid="{00000000-0005-0000-0000-0000B8D90000}"/>
    <cellStyle name="Remarque 6 12 6 4" xfId="45284" xr:uid="{00000000-0005-0000-0000-0000B9D90000}"/>
    <cellStyle name="Remarque 6 12 7" xfId="11520" xr:uid="{00000000-0005-0000-0000-0000BAD90000}"/>
    <cellStyle name="Remarque 6 12 7 2" xfId="35530" xr:uid="{00000000-0005-0000-0000-0000BBD90000}"/>
    <cellStyle name="Remarque 6 12 7 2 2" xfId="59490" xr:uid="{00000000-0005-0000-0000-0000BCD90000}"/>
    <cellStyle name="Remarque 6 12 7 3" xfId="22787" xr:uid="{00000000-0005-0000-0000-0000BDD90000}"/>
    <cellStyle name="Remarque 6 12 7 4" xfId="46747" xr:uid="{00000000-0005-0000-0000-0000BED90000}"/>
    <cellStyle name="Remarque 6 12 8" xfId="11631" xr:uid="{00000000-0005-0000-0000-0000BFD90000}"/>
    <cellStyle name="Remarque 6 12 8 2" xfId="22899" xr:uid="{00000000-0005-0000-0000-0000C0D90000}"/>
    <cellStyle name="Remarque 6 12 8 3" xfId="46859" xr:uid="{00000000-0005-0000-0000-0000C1D90000}"/>
    <cellStyle name="Remarque 6 12 9" xfId="2992" xr:uid="{00000000-0005-0000-0000-0000C2D90000}"/>
    <cellStyle name="Remarque 6 12 9 2" xfId="27006" xr:uid="{00000000-0005-0000-0000-0000C3D90000}"/>
    <cellStyle name="Remarque 6 12 9 3" xfId="50966" xr:uid="{00000000-0005-0000-0000-0000C4D90000}"/>
    <cellStyle name="Remarque 6 13" xfId="199" xr:uid="{00000000-0005-0000-0000-0000C5D90000}"/>
    <cellStyle name="Remarque 6 13 10" xfId="36784" xr:uid="{00000000-0005-0000-0000-0000C6D90000}"/>
    <cellStyle name="Remarque 6 13 10 2" xfId="60744" xr:uid="{00000000-0005-0000-0000-0000C7D90000}"/>
    <cellStyle name="Remarque 6 13 11" xfId="14366" xr:uid="{00000000-0005-0000-0000-0000C8D90000}"/>
    <cellStyle name="Remarque 6 13 12" xfId="38326" xr:uid="{00000000-0005-0000-0000-0000C9D90000}"/>
    <cellStyle name="Remarque 6 13 2" xfId="4544" xr:uid="{00000000-0005-0000-0000-0000CAD90000}"/>
    <cellStyle name="Remarque 6 13 2 2" xfId="28558" xr:uid="{00000000-0005-0000-0000-0000CBD90000}"/>
    <cellStyle name="Remarque 6 13 2 2 2" xfId="52518" xr:uid="{00000000-0005-0000-0000-0000CCD90000}"/>
    <cellStyle name="Remarque 6 13 2 3" xfId="15805" xr:uid="{00000000-0005-0000-0000-0000CDD90000}"/>
    <cellStyle name="Remarque 6 13 2 4" xfId="39765" xr:uid="{00000000-0005-0000-0000-0000CED90000}"/>
    <cellStyle name="Remarque 6 13 3" xfId="5943" xr:uid="{00000000-0005-0000-0000-0000CFD90000}"/>
    <cellStyle name="Remarque 6 13 3 2" xfId="29957" xr:uid="{00000000-0005-0000-0000-0000D0D90000}"/>
    <cellStyle name="Remarque 6 13 3 2 2" xfId="53917" xr:uid="{00000000-0005-0000-0000-0000D1D90000}"/>
    <cellStyle name="Remarque 6 13 3 3" xfId="17204" xr:uid="{00000000-0005-0000-0000-0000D2D90000}"/>
    <cellStyle name="Remarque 6 13 3 4" xfId="41164" xr:uid="{00000000-0005-0000-0000-0000D3D90000}"/>
    <cellStyle name="Remarque 6 13 4" xfId="7337" xr:uid="{00000000-0005-0000-0000-0000D4D90000}"/>
    <cellStyle name="Remarque 6 13 4 2" xfId="31351" xr:uid="{00000000-0005-0000-0000-0000D5D90000}"/>
    <cellStyle name="Remarque 6 13 4 2 2" xfId="55311" xr:uid="{00000000-0005-0000-0000-0000D6D90000}"/>
    <cellStyle name="Remarque 6 13 4 3" xfId="18598" xr:uid="{00000000-0005-0000-0000-0000D7D90000}"/>
    <cellStyle name="Remarque 6 13 4 4" xfId="42558" xr:uid="{00000000-0005-0000-0000-0000D8D90000}"/>
    <cellStyle name="Remarque 6 13 5" xfId="8725" xr:uid="{00000000-0005-0000-0000-0000D9D90000}"/>
    <cellStyle name="Remarque 6 13 5 2" xfId="32739" xr:uid="{00000000-0005-0000-0000-0000DAD90000}"/>
    <cellStyle name="Remarque 6 13 5 2 2" xfId="56699" xr:uid="{00000000-0005-0000-0000-0000DBD90000}"/>
    <cellStyle name="Remarque 6 13 5 3" xfId="19986" xr:uid="{00000000-0005-0000-0000-0000DCD90000}"/>
    <cellStyle name="Remarque 6 13 5 4" xfId="43946" xr:uid="{00000000-0005-0000-0000-0000DDD90000}"/>
    <cellStyle name="Remarque 6 13 6" xfId="10165" xr:uid="{00000000-0005-0000-0000-0000DED90000}"/>
    <cellStyle name="Remarque 6 13 6 2" xfId="34177" xr:uid="{00000000-0005-0000-0000-0000DFD90000}"/>
    <cellStyle name="Remarque 6 13 6 2 2" xfId="58137" xr:uid="{00000000-0005-0000-0000-0000E0D90000}"/>
    <cellStyle name="Remarque 6 13 6 3" xfId="21430" xr:uid="{00000000-0005-0000-0000-0000E1D90000}"/>
    <cellStyle name="Remarque 6 13 6 4" xfId="45390" xr:uid="{00000000-0005-0000-0000-0000E2D90000}"/>
    <cellStyle name="Remarque 6 13 7" xfId="11879" xr:uid="{00000000-0005-0000-0000-0000E3D90000}"/>
    <cellStyle name="Remarque 6 13 7 2" xfId="23156" xr:uid="{00000000-0005-0000-0000-0000E4D90000}"/>
    <cellStyle name="Remarque 6 13 7 3" xfId="47116" xr:uid="{00000000-0005-0000-0000-0000E5D90000}"/>
    <cellStyle name="Remarque 6 13 8" xfId="3105" xr:uid="{00000000-0005-0000-0000-0000E6D90000}"/>
    <cellStyle name="Remarque 6 13 8 2" xfId="27119" xr:uid="{00000000-0005-0000-0000-0000E7D90000}"/>
    <cellStyle name="Remarque 6 13 8 3" xfId="51079" xr:uid="{00000000-0005-0000-0000-0000E8D90000}"/>
    <cellStyle name="Remarque 6 13 9" xfId="24231" xr:uid="{00000000-0005-0000-0000-0000E9D90000}"/>
    <cellStyle name="Remarque 6 13 9 2" xfId="48191" xr:uid="{00000000-0005-0000-0000-0000EAD90000}"/>
    <cellStyle name="Remarque 6 14" xfId="3073" xr:uid="{00000000-0005-0000-0000-0000EBD90000}"/>
    <cellStyle name="Remarque 6 14 2" xfId="27087" xr:uid="{00000000-0005-0000-0000-0000ECD90000}"/>
    <cellStyle name="Remarque 6 14 2 2" xfId="51047" xr:uid="{00000000-0005-0000-0000-0000EDD90000}"/>
    <cellStyle name="Remarque 6 14 3" xfId="14334" xr:uid="{00000000-0005-0000-0000-0000EED90000}"/>
    <cellStyle name="Remarque 6 14 4" xfId="38294" xr:uid="{00000000-0005-0000-0000-0000EFD90000}"/>
    <cellStyle name="Remarque 6 15" xfId="1631" xr:uid="{00000000-0005-0000-0000-0000F0D90000}"/>
    <cellStyle name="Remarque 6 15 2" xfId="25645" xr:uid="{00000000-0005-0000-0000-0000F1D90000}"/>
    <cellStyle name="Remarque 6 15 3" xfId="49605" xr:uid="{00000000-0005-0000-0000-0000F2D90000}"/>
    <cellStyle name="Remarque 6 16" xfId="12911" xr:uid="{00000000-0005-0000-0000-0000F3D90000}"/>
    <cellStyle name="Remarque 6 17" xfId="1604" xr:uid="{00000000-0005-0000-0000-0000F4D90000}"/>
    <cellStyle name="Remarque 6 18" xfId="167" xr:uid="{00000000-0005-0000-0000-0000F5D90000}"/>
    <cellStyle name="Remarque 6 2" xfId="65" xr:uid="{00000000-0005-0000-0000-0000F6D90000}"/>
    <cellStyle name="Remarque 6 2 10" xfId="333" xr:uid="{00000000-0005-0000-0000-0000F7D90000}"/>
    <cellStyle name="Remarque 6 2 10 10" xfId="24365" xr:uid="{00000000-0005-0000-0000-0000F8D90000}"/>
    <cellStyle name="Remarque 6 2 10 10 2" xfId="48325" xr:uid="{00000000-0005-0000-0000-0000F9D90000}"/>
    <cellStyle name="Remarque 6 2 10 11" xfId="36116" xr:uid="{00000000-0005-0000-0000-0000FAD90000}"/>
    <cellStyle name="Remarque 6 2 10 11 2" xfId="60076" xr:uid="{00000000-0005-0000-0000-0000FBD90000}"/>
    <cellStyle name="Remarque 6 2 10 12" xfId="13030" xr:uid="{00000000-0005-0000-0000-0000FCD90000}"/>
    <cellStyle name="Remarque 6 2 10 13" xfId="36990" xr:uid="{00000000-0005-0000-0000-0000FDD90000}"/>
    <cellStyle name="Remarque 6 2 10 2" xfId="3239" xr:uid="{00000000-0005-0000-0000-0000FED90000}"/>
    <cellStyle name="Remarque 6 2 10 2 2" xfId="27253" xr:uid="{00000000-0005-0000-0000-0000FFD90000}"/>
    <cellStyle name="Remarque 6 2 10 2 2 2" xfId="51213" xr:uid="{00000000-0005-0000-0000-000000DA0000}"/>
    <cellStyle name="Remarque 6 2 10 2 3" xfId="14500" xr:uid="{00000000-0005-0000-0000-000001DA0000}"/>
    <cellStyle name="Remarque 6 2 10 2 4" xfId="38460" xr:uid="{00000000-0005-0000-0000-000002DA0000}"/>
    <cellStyle name="Remarque 6 2 10 3" xfId="4673" xr:uid="{00000000-0005-0000-0000-000003DA0000}"/>
    <cellStyle name="Remarque 6 2 10 3 2" xfId="28687" xr:uid="{00000000-0005-0000-0000-000004DA0000}"/>
    <cellStyle name="Remarque 6 2 10 3 2 2" xfId="52647" xr:uid="{00000000-0005-0000-0000-000005DA0000}"/>
    <cellStyle name="Remarque 6 2 10 3 3" xfId="15934" xr:uid="{00000000-0005-0000-0000-000006DA0000}"/>
    <cellStyle name="Remarque 6 2 10 3 4" xfId="39894" xr:uid="{00000000-0005-0000-0000-000007DA0000}"/>
    <cellStyle name="Remarque 6 2 10 4" xfId="6067" xr:uid="{00000000-0005-0000-0000-000008DA0000}"/>
    <cellStyle name="Remarque 6 2 10 4 2" xfId="30081" xr:uid="{00000000-0005-0000-0000-000009DA0000}"/>
    <cellStyle name="Remarque 6 2 10 4 2 2" xfId="54041" xr:uid="{00000000-0005-0000-0000-00000ADA0000}"/>
    <cellStyle name="Remarque 6 2 10 4 3" xfId="17328" xr:uid="{00000000-0005-0000-0000-00000BDA0000}"/>
    <cellStyle name="Remarque 6 2 10 4 4" xfId="41288" xr:uid="{00000000-0005-0000-0000-00000CDA0000}"/>
    <cellStyle name="Remarque 6 2 10 5" xfId="7455" xr:uid="{00000000-0005-0000-0000-00000DDA0000}"/>
    <cellStyle name="Remarque 6 2 10 5 2" xfId="31469" xr:uid="{00000000-0005-0000-0000-00000EDA0000}"/>
    <cellStyle name="Remarque 6 2 10 5 2 2" xfId="55429" xr:uid="{00000000-0005-0000-0000-00000FDA0000}"/>
    <cellStyle name="Remarque 6 2 10 5 3" xfId="18716" xr:uid="{00000000-0005-0000-0000-000010DA0000}"/>
    <cellStyle name="Remarque 6 2 10 5 4" xfId="42676" xr:uid="{00000000-0005-0000-0000-000011DA0000}"/>
    <cellStyle name="Remarque 6 2 10 6" xfId="8840" xr:uid="{00000000-0005-0000-0000-000012DA0000}"/>
    <cellStyle name="Remarque 6 2 10 6 2" xfId="32854" xr:uid="{00000000-0005-0000-0000-000013DA0000}"/>
    <cellStyle name="Remarque 6 2 10 6 2 2" xfId="56814" xr:uid="{00000000-0005-0000-0000-000014DA0000}"/>
    <cellStyle name="Remarque 6 2 10 6 3" xfId="20101" xr:uid="{00000000-0005-0000-0000-000015DA0000}"/>
    <cellStyle name="Remarque 6 2 10 6 4" xfId="44061" xr:uid="{00000000-0005-0000-0000-000016DA0000}"/>
    <cellStyle name="Remarque 6 2 10 7" xfId="10297" xr:uid="{00000000-0005-0000-0000-000017DA0000}"/>
    <cellStyle name="Remarque 6 2 10 7 2" xfId="34307" xr:uid="{00000000-0005-0000-0000-000018DA0000}"/>
    <cellStyle name="Remarque 6 2 10 7 2 2" xfId="58267" xr:uid="{00000000-0005-0000-0000-000019DA0000}"/>
    <cellStyle name="Remarque 6 2 10 7 3" xfId="21564" xr:uid="{00000000-0005-0000-0000-00001ADA0000}"/>
    <cellStyle name="Remarque 6 2 10 7 4" xfId="45524" xr:uid="{00000000-0005-0000-0000-00001BDA0000}"/>
    <cellStyle name="Remarque 6 2 10 8" xfId="12522" xr:uid="{00000000-0005-0000-0000-00001CDA0000}"/>
    <cellStyle name="Remarque 6 2 10 8 2" xfId="23819" xr:uid="{00000000-0005-0000-0000-00001DDA0000}"/>
    <cellStyle name="Remarque 6 2 10 8 3" xfId="47779" xr:uid="{00000000-0005-0000-0000-00001EDA0000}"/>
    <cellStyle name="Remarque 6 2 10 9" xfId="1769" xr:uid="{00000000-0005-0000-0000-00001FDA0000}"/>
    <cellStyle name="Remarque 6 2 10 9 2" xfId="25783" xr:uid="{00000000-0005-0000-0000-000020DA0000}"/>
    <cellStyle name="Remarque 6 2 10 9 3" xfId="49743" xr:uid="{00000000-0005-0000-0000-000021DA0000}"/>
    <cellStyle name="Remarque 6 2 11" xfId="1570" xr:uid="{00000000-0005-0000-0000-000022DA0000}"/>
    <cellStyle name="Remarque 6 2 11 10" xfId="25602" xr:uid="{00000000-0005-0000-0000-000023DA0000}"/>
    <cellStyle name="Remarque 6 2 11 10 2" xfId="49562" xr:uid="{00000000-0005-0000-0000-000024DA0000}"/>
    <cellStyle name="Remarque 6 2 11 11" xfId="23357" xr:uid="{00000000-0005-0000-0000-000025DA0000}"/>
    <cellStyle name="Remarque 6 2 11 11 2" xfId="47317" xr:uid="{00000000-0005-0000-0000-000026DA0000}"/>
    <cellStyle name="Remarque 6 2 11 12" xfId="14267" xr:uid="{00000000-0005-0000-0000-000027DA0000}"/>
    <cellStyle name="Remarque 6 2 11 13" xfId="38227" xr:uid="{00000000-0005-0000-0000-000028DA0000}"/>
    <cellStyle name="Remarque 6 2 11 2" xfId="4476" xr:uid="{00000000-0005-0000-0000-000029DA0000}"/>
    <cellStyle name="Remarque 6 2 11 2 2" xfId="28490" xr:uid="{00000000-0005-0000-0000-00002ADA0000}"/>
    <cellStyle name="Remarque 6 2 11 2 2 2" xfId="52450" xr:uid="{00000000-0005-0000-0000-00002BDA0000}"/>
    <cellStyle name="Remarque 6 2 11 2 3" xfId="15737" xr:uid="{00000000-0005-0000-0000-00002CDA0000}"/>
    <cellStyle name="Remarque 6 2 11 2 4" xfId="39697" xr:uid="{00000000-0005-0000-0000-00002DDA0000}"/>
    <cellStyle name="Remarque 6 2 11 3" xfId="5910" xr:uid="{00000000-0005-0000-0000-00002EDA0000}"/>
    <cellStyle name="Remarque 6 2 11 3 2" xfId="29924" xr:uid="{00000000-0005-0000-0000-00002FDA0000}"/>
    <cellStyle name="Remarque 6 2 11 3 2 2" xfId="53884" xr:uid="{00000000-0005-0000-0000-000030DA0000}"/>
    <cellStyle name="Remarque 6 2 11 3 3" xfId="17171" xr:uid="{00000000-0005-0000-0000-000031DA0000}"/>
    <cellStyle name="Remarque 6 2 11 3 4" xfId="41131" xr:uid="{00000000-0005-0000-0000-000032DA0000}"/>
    <cellStyle name="Remarque 6 2 11 4" xfId="7304" xr:uid="{00000000-0005-0000-0000-000033DA0000}"/>
    <cellStyle name="Remarque 6 2 11 4 2" xfId="31318" xr:uid="{00000000-0005-0000-0000-000034DA0000}"/>
    <cellStyle name="Remarque 6 2 11 4 2 2" xfId="55278" xr:uid="{00000000-0005-0000-0000-000035DA0000}"/>
    <cellStyle name="Remarque 6 2 11 4 3" xfId="18565" xr:uid="{00000000-0005-0000-0000-000036DA0000}"/>
    <cellStyle name="Remarque 6 2 11 4 4" xfId="42525" xr:uid="{00000000-0005-0000-0000-000037DA0000}"/>
    <cellStyle name="Remarque 6 2 11 5" xfId="8692" xr:uid="{00000000-0005-0000-0000-000038DA0000}"/>
    <cellStyle name="Remarque 6 2 11 5 2" xfId="32706" xr:uid="{00000000-0005-0000-0000-000039DA0000}"/>
    <cellStyle name="Remarque 6 2 11 5 2 2" xfId="56666" xr:uid="{00000000-0005-0000-0000-00003ADA0000}"/>
    <cellStyle name="Remarque 6 2 11 5 3" xfId="19953" xr:uid="{00000000-0005-0000-0000-00003BDA0000}"/>
    <cellStyle name="Remarque 6 2 11 5 4" xfId="43913" xr:uid="{00000000-0005-0000-0000-00003CDA0000}"/>
    <cellStyle name="Remarque 6 2 11 6" xfId="10077" xr:uid="{00000000-0005-0000-0000-00003DDA0000}"/>
    <cellStyle name="Remarque 6 2 11 6 2" xfId="34091" xr:uid="{00000000-0005-0000-0000-00003EDA0000}"/>
    <cellStyle name="Remarque 6 2 11 6 2 2" xfId="58051" xr:uid="{00000000-0005-0000-0000-00003FDA0000}"/>
    <cellStyle name="Remarque 6 2 11 6 3" xfId="21338" xr:uid="{00000000-0005-0000-0000-000040DA0000}"/>
    <cellStyle name="Remarque 6 2 11 6 4" xfId="45298" xr:uid="{00000000-0005-0000-0000-000041DA0000}"/>
    <cellStyle name="Remarque 6 2 11 7" xfId="11534" xr:uid="{00000000-0005-0000-0000-000042DA0000}"/>
    <cellStyle name="Remarque 6 2 11 7 2" xfId="35544" xr:uid="{00000000-0005-0000-0000-000043DA0000}"/>
    <cellStyle name="Remarque 6 2 11 7 2 2" xfId="59504" xr:uid="{00000000-0005-0000-0000-000044DA0000}"/>
    <cellStyle name="Remarque 6 2 11 7 3" xfId="22801" xr:uid="{00000000-0005-0000-0000-000045DA0000}"/>
    <cellStyle name="Remarque 6 2 11 7 4" xfId="46761" xr:uid="{00000000-0005-0000-0000-000046DA0000}"/>
    <cellStyle name="Remarque 6 2 11 8" xfId="10198" xr:uid="{00000000-0005-0000-0000-000047DA0000}"/>
    <cellStyle name="Remarque 6 2 11 8 2" xfId="21464" xr:uid="{00000000-0005-0000-0000-000048DA0000}"/>
    <cellStyle name="Remarque 6 2 11 8 3" xfId="45424" xr:uid="{00000000-0005-0000-0000-000049DA0000}"/>
    <cellStyle name="Remarque 6 2 11 9" xfId="3006" xr:uid="{00000000-0005-0000-0000-00004ADA0000}"/>
    <cellStyle name="Remarque 6 2 11 9 2" xfId="27020" xr:uid="{00000000-0005-0000-0000-00004BDA0000}"/>
    <cellStyle name="Remarque 6 2 11 9 3" xfId="50980" xr:uid="{00000000-0005-0000-0000-00004CDA0000}"/>
    <cellStyle name="Remarque 6 2 12" xfId="1532" xr:uid="{00000000-0005-0000-0000-00004DDA0000}"/>
    <cellStyle name="Remarque 6 2 12 10" xfId="25564" xr:uid="{00000000-0005-0000-0000-00004EDA0000}"/>
    <cellStyle name="Remarque 6 2 12 10 2" xfId="49524" xr:uid="{00000000-0005-0000-0000-00004FDA0000}"/>
    <cellStyle name="Remarque 6 2 12 11" xfId="36177" xr:uid="{00000000-0005-0000-0000-000050DA0000}"/>
    <cellStyle name="Remarque 6 2 12 11 2" xfId="60137" xr:uid="{00000000-0005-0000-0000-000051DA0000}"/>
    <cellStyle name="Remarque 6 2 12 12" xfId="14229" xr:uid="{00000000-0005-0000-0000-000052DA0000}"/>
    <cellStyle name="Remarque 6 2 12 13" xfId="38189" xr:uid="{00000000-0005-0000-0000-000053DA0000}"/>
    <cellStyle name="Remarque 6 2 12 2" xfId="4438" xr:uid="{00000000-0005-0000-0000-000054DA0000}"/>
    <cellStyle name="Remarque 6 2 12 2 2" xfId="28452" xr:uid="{00000000-0005-0000-0000-000055DA0000}"/>
    <cellStyle name="Remarque 6 2 12 2 2 2" xfId="52412" xr:uid="{00000000-0005-0000-0000-000056DA0000}"/>
    <cellStyle name="Remarque 6 2 12 2 3" xfId="15699" xr:uid="{00000000-0005-0000-0000-000057DA0000}"/>
    <cellStyle name="Remarque 6 2 12 2 4" xfId="39659" xr:uid="{00000000-0005-0000-0000-000058DA0000}"/>
    <cellStyle name="Remarque 6 2 12 3" xfId="5872" xr:uid="{00000000-0005-0000-0000-000059DA0000}"/>
    <cellStyle name="Remarque 6 2 12 3 2" xfId="29886" xr:uid="{00000000-0005-0000-0000-00005ADA0000}"/>
    <cellStyle name="Remarque 6 2 12 3 2 2" xfId="53846" xr:uid="{00000000-0005-0000-0000-00005BDA0000}"/>
    <cellStyle name="Remarque 6 2 12 3 3" xfId="17133" xr:uid="{00000000-0005-0000-0000-00005CDA0000}"/>
    <cellStyle name="Remarque 6 2 12 3 4" xfId="41093" xr:uid="{00000000-0005-0000-0000-00005DDA0000}"/>
    <cellStyle name="Remarque 6 2 12 4" xfId="7266" xr:uid="{00000000-0005-0000-0000-00005EDA0000}"/>
    <cellStyle name="Remarque 6 2 12 4 2" xfId="31280" xr:uid="{00000000-0005-0000-0000-00005FDA0000}"/>
    <cellStyle name="Remarque 6 2 12 4 2 2" xfId="55240" xr:uid="{00000000-0005-0000-0000-000060DA0000}"/>
    <cellStyle name="Remarque 6 2 12 4 3" xfId="18527" xr:uid="{00000000-0005-0000-0000-000061DA0000}"/>
    <cellStyle name="Remarque 6 2 12 4 4" xfId="42487" xr:uid="{00000000-0005-0000-0000-000062DA0000}"/>
    <cellStyle name="Remarque 6 2 12 5" xfId="8654" xr:uid="{00000000-0005-0000-0000-000063DA0000}"/>
    <cellStyle name="Remarque 6 2 12 5 2" xfId="32668" xr:uid="{00000000-0005-0000-0000-000064DA0000}"/>
    <cellStyle name="Remarque 6 2 12 5 2 2" xfId="56628" xr:uid="{00000000-0005-0000-0000-000065DA0000}"/>
    <cellStyle name="Remarque 6 2 12 5 3" xfId="19915" xr:uid="{00000000-0005-0000-0000-000066DA0000}"/>
    <cellStyle name="Remarque 6 2 12 5 4" xfId="43875" xr:uid="{00000000-0005-0000-0000-000067DA0000}"/>
    <cellStyle name="Remarque 6 2 12 6" xfId="10039" xr:uid="{00000000-0005-0000-0000-000068DA0000}"/>
    <cellStyle name="Remarque 6 2 12 6 2" xfId="34053" xr:uid="{00000000-0005-0000-0000-000069DA0000}"/>
    <cellStyle name="Remarque 6 2 12 6 2 2" xfId="58013" xr:uid="{00000000-0005-0000-0000-00006ADA0000}"/>
    <cellStyle name="Remarque 6 2 12 6 3" xfId="21300" xr:uid="{00000000-0005-0000-0000-00006BDA0000}"/>
    <cellStyle name="Remarque 6 2 12 6 4" xfId="45260" xr:uid="{00000000-0005-0000-0000-00006CDA0000}"/>
    <cellStyle name="Remarque 6 2 12 7" xfId="11496" xr:uid="{00000000-0005-0000-0000-00006DDA0000}"/>
    <cellStyle name="Remarque 6 2 12 7 2" xfId="35506" xr:uid="{00000000-0005-0000-0000-00006EDA0000}"/>
    <cellStyle name="Remarque 6 2 12 7 2 2" xfId="59466" xr:uid="{00000000-0005-0000-0000-00006FDA0000}"/>
    <cellStyle name="Remarque 6 2 12 7 3" xfId="22763" xr:uid="{00000000-0005-0000-0000-000070DA0000}"/>
    <cellStyle name="Remarque 6 2 12 7 4" xfId="46723" xr:uid="{00000000-0005-0000-0000-000071DA0000}"/>
    <cellStyle name="Remarque 6 2 12 8" xfId="12123" xr:uid="{00000000-0005-0000-0000-000072DA0000}"/>
    <cellStyle name="Remarque 6 2 12 8 2" xfId="23406" xr:uid="{00000000-0005-0000-0000-000073DA0000}"/>
    <cellStyle name="Remarque 6 2 12 8 3" xfId="47366" xr:uid="{00000000-0005-0000-0000-000074DA0000}"/>
    <cellStyle name="Remarque 6 2 12 9" xfId="2968" xr:uid="{00000000-0005-0000-0000-000075DA0000}"/>
    <cellStyle name="Remarque 6 2 12 9 2" xfId="26982" xr:uid="{00000000-0005-0000-0000-000076DA0000}"/>
    <cellStyle name="Remarque 6 2 12 9 3" xfId="50942" xr:uid="{00000000-0005-0000-0000-000077DA0000}"/>
    <cellStyle name="Remarque 6 2 13" xfId="1587" xr:uid="{00000000-0005-0000-0000-000078DA0000}"/>
    <cellStyle name="Remarque 6 2 13 10" xfId="25619" xr:uid="{00000000-0005-0000-0000-000079DA0000}"/>
    <cellStyle name="Remarque 6 2 13 10 2" xfId="49579" xr:uid="{00000000-0005-0000-0000-00007ADA0000}"/>
    <cellStyle name="Remarque 6 2 13 11" xfId="36846" xr:uid="{00000000-0005-0000-0000-00007BDA0000}"/>
    <cellStyle name="Remarque 6 2 13 11 2" xfId="60806" xr:uid="{00000000-0005-0000-0000-00007CDA0000}"/>
    <cellStyle name="Remarque 6 2 13 12" xfId="14284" xr:uid="{00000000-0005-0000-0000-00007DDA0000}"/>
    <cellStyle name="Remarque 6 2 13 13" xfId="38244" xr:uid="{00000000-0005-0000-0000-00007EDA0000}"/>
    <cellStyle name="Remarque 6 2 13 2" xfId="4493" xr:uid="{00000000-0005-0000-0000-00007FDA0000}"/>
    <cellStyle name="Remarque 6 2 13 2 2" xfId="28507" xr:uid="{00000000-0005-0000-0000-000080DA0000}"/>
    <cellStyle name="Remarque 6 2 13 2 2 2" xfId="52467" xr:uid="{00000000-0005-0000-0000-000081DA0000}"/>
    <cellStyle name="Remarque 6 2 13 2 3" xfId="15754" xr:uid="{00000000-0005-0000-0000-000082DA0000}"/>
    <cellStyle name="Remarque 6 2 13 2 4" xfId="39714" xr:uid="{00000000-0005-0000-0000-000083DA0000}"/>
    <cellStyle name="Remarque 6 2 13 3" xfId="5927" xr:uid="{00000000-0005-0000-0000-000084DA0000}"/>
    <cellStyle name="Remarque 6 2 13 3 2" xfId="29941" xr:uid="{00000000-0005-0000-0000-000085DA0000}"/>
    <cellStyle name="Remarque 6 2 13 3 2 2" xfId="53901" xr:uid="{00000000-0005-0000-0000-000086DA0000}"/>
    <cellStyle name="Remarque 6 2 13 3 3" xfId="17188" xr:uid="{00000000-0005-0000-0000-000087DA0000}"/>
    <cellStyle name="Remarque 6 2 13 3 4" xfId="41148" xr:uid="{00000000-0005-0000-0000-000088DA0000}"/>
    <cellStyle name="Remarque 6 2 13 4" xfId="7321" xr:uid="{00000000-0005-0000-0000-000089DA0000}"/>
    <cellStyle name="Remarque 6 2 13 4 2" xfId="31335" xr:uid="{00000000-0005-0000-0000-00008ADA0000}"/>
    <cellStyle name="Remarque 6 2 13 4 2 2" xfId="55295" xr:uid="{00000000-0005-0000-0000-00008BDA0000}"/>
    <cellStyle name="Remarque 6 2 13 4 3" xfId="18582" xr:uid="{00000000-0005-0000-0000-00008CDA0000}"/>
    <cellStyle name="Remarque 6 2 13 4 4" xfId="42542" xr:uid="{00000000-0005-0000-0000-00008DDA0000}"/>
    <cellStyle name="Remarque 6 2 13 5" xfId="8709" xr:uid="{00000000-0005-0000-0000-00008EDA0000}"/>
    <cellStyle name="Remarque 6 2 13 5 2" xfId="32723" xr:uid="{00000000-0005-0000-0000-00008FDA0000}"/>
    <cellStyle name="Remarque 6 2 13 5 2 2" xfId="56683" xr:uid="{00000000-0005-0000-0000-000090DA0000}"/>
    <cellStyle name="Remarque 6 2 13 5 3" xfId="19970" xr:uid="{00000000-0005-0000-0000-000091DA0000}"/>
    <cellStyle name="Remarque 6 2 13 5 4" xfId="43930" xr:uid="{00000000-0005-0000-0000-000092DA0000}"/>
    <cellStyle name="Remarque 6 2 13 6" xfId="10094" xr:uid="{00000000-0005-0000-0000-000093DA0000}"/>
    <cellStyle name="Remarque 6 2 13 6 2" xfId="34108" xr:uid="{00000000-0005-0000-0000-000094DA0000}"/>
    <cellStyle name="Remarque 6 2 13 6 2 2" xfId="58068" xr:uid="{00000000-0005-0000-0000-000095DA0000}"/>
    <cellStyle name="Remarque 6 2 13 6 3" xfId="21355" xr:uid="{00000000-0005-0000-0000-000096DA0000}"/>
    <cellStyle name="Remarque 6 2 13 6 4" xfId="45315" xr:uid="{00000000-0005-0000-0000-000097DA0000}"/>
    <cellStyle name="Remarque 6 2 13 7" xfId="11551" xr:uid="{00000000-0005-0000-0000-000098DA0000}"/>
    <cellStyle name="Remarque 6 2 13 7 2" xfId="35561" xr:uid="{00000000-0005-0000-0000-000099DA0000}"/>
    <cellStyle name="Remarque 6 2 13 7 2 2" xfId="59521" xr:uid="{00000000-0005-0000-0000-00009ADA0000}"/>
    <cellStyle name="Remarque 6 2 13 7 3" xfId="22818" xr:uid="{00000000-0005-0000-0000-00009BDA0000}"/>
    <cellStyle name="Remarque 6 2 13 7 4" xfId="46778" xr:uid="{00000000-0005-0000-0000-00009CDA0000}"/>
    <cellStyle name="Remarque 6 2 13 8" xfId="10126" xr:uid="{00000000-0005-0000-0000-00009DDA0000}"/>
    <cellStyle name="Remarque 6 2 13 8 2" xfId="21387" xr:uid="{00000000-0005-0000-0000-00009EDA0000}"/>
    <cellStyle name="Remarque 6 2 13 8 3" xfId="45347" xr:uid="{00000000-0005-0000-0000-00009FDA0000}"/>
    <cellStyle name="Remarque 6 2 13 9" xfId="3023" xr:uid="{00000000-0005-0000-0000-0000A0DA0000}"/>
    <cellStyle name="Remarque 6 2 13 9 2" xfId="27037" xr:uid="{00000000-0005-0000-0000-0000A1DA0000}"/>
    <cellStyle name="Remarque 6 2 13 9 3" xfId="50997" xr:uid="{00000000-0005-0000-0000-0000A2DA0000}"/>
    <cellStyle name="Remarque 6 2 14" xfId="212" xr:uid="{00000000-0005-0000-0000-0000A3DA0000}"/>
    <cellStyle name="Remarque 6 2 14 10" xfId="35664" xr:uid="{00000000-0005-0000-0000-0000A4DA0000}"/>
    <cellStyle name="Remarque 6 2 14 10 2" xfId="59624" xr:uid="{00000000-0005-0000-0000-0000A5DA0000}"/>
    <cellStyle name="Remarque 6 2 14 11" xfId="14379" xr:uid="{00000000-0005-0000-0000-0000A6DA0000}"/>
    <cellStyle name="Remarque 6 2 14 12" xfId="38339" xr:uid="{00000000-0005-0000-0000-0000A7DA0000}"/>
    <cellStyle name="Remarque 6 2 14 2" xfId="4557" xr:uid="{00000000-0005-0000-0000-0000A8DA0000}"/>
    <cellStyle name="Remarque 6 2 14 2 2" xfId="28571" xr:uid="{00000000-0005-0000-0000-0000A9DA0000}"/>
    <cellStyle name="Remarque 6 2 14 2 2 2" xfId="52531" xr:uid="{00000000-0005-0000-0000-0000AADA0000}"/>
    <cellStyle name="Remarque 6 2 14 2 3" xfId="15818" xr:uid="{00000000-0005-0000-0000-0000ABDA0000}"/>
    <cellStyle name="Remarque 6 2 14 2 4" xfId="39778" xr:uid="{00000000-0005-0000-0000-0000ACDA0000}"/>
    <cellStyle name="Remarque 6 2 14 3" xfId="5956" xr:uid="{00000000-0005-0000-0000-0000ADDA0000}"/>
    <cellStyle name="Remarque 6 2 14 3 2" xfId="29970" xr:uid="{00000000-0005-0000-0000-0000AEDA0000}"/>
    <cellStyle name="Remarque 6 2 14 3 2 2" xfId="53930" xr:uid="{00000000-0005-0000-0000-0000AFDA0000}"/>
    <cellStyle name="Remarque 6 2 14 3 3" xfId="17217" xr:uid="{00000000-0005-0000-0000-0000B0DA0000}"/>
    <cellStyle name="Remarque 6 2 14 3 4" xfId="41177" xr:uid="{00000000-0005-0000-0000-0000B1DA0000}"/>
    <cellStyle name="Remarque 6 2 14 4" xfId="7350" xr:uid="{00000000-0005-0000-0000-0000B2DA0000}"/>
    <cellStyle name="Remarque 6 2 14 4 2" xfId="31364" xr:uid="{00000000-0005-0000-0000-0000B3DA0000}"/>
    <cellStyle name="Remarque 6 2 14 4 2 2" xfId="55324" xr:uid="{00000000-0005-0000-0000-0000B4DA0000}"/>
    <cellStyle name="Remarque 6 2 14 4 3" xfId="18611" xr:uid="{00000000-0005-0000-0000-0000B5DA0000}"/>
    <cellStyle name="Remarque 6 2 14 4 4" xfId="42571" xr:uid="{00000000-0005-0000-0000-0000B6DA0000}"/>
    <cellStyle name="Remarque 6 2 14 5" xfId="8738" xr:uid="{00000000-0005-0000-0000-0000B7DA0000}"/>
    <cellStyle name="Remarque 6 2 14 5 2" xfId="32752" xr:uid="{00000000-0005-0000-0000-0000B8DA0000}"/>
    <cellStyle name="Remarque 6 2 14 5 2 2" xfId="56712" xr:uid="{00000000-0005-0000-0000-0000B9DA0000}"/>
    <cellStyle name="Remarque 6 2 14 5 3" xfId="19999" xr:uid="{00000000-0005-0000-0000-0000BADA0000}"/>
    <cellStyle name="Remarque 6 2 14 5 4" xfId="43959" xr:uid="{00000000-0005-0000-0000-0000BBDA0000}"/>
    <cellStyle name="Remarque 6 2 14 6" xfId="10178" xr:uid="{00000000-0005-0000-0000-0000BCDA0000}"/>
    <cellStyle name="Remarque 6 2 14 6 2" xfId="34190" xr:uid="{00000000-0005-0000-0000-0000BDDA0000}"/>
    <cellStyle name="Remarque 6 2 14 6 2 2" xfId="58150" xr:uid="{00000000-0005-0000-0000-0000BEDA0000}"/>
    <cellStyle name="Remarque 6 2 14 6 3" xfId="21443" xr:uid="{00000000-0005-0000-0000-0000BFDA0000}"/>
    <cellStyle name="Remarque 6 2 14 6 4" xfId="45403" xr:uid="{00000000-0005-0000-0000-0000C0DA0000}"/>
    <cellStyle name="Remarque 6 2 14 7" xfId="11822" xr:uid="{00000000-0005-0000-0000-0000C1DA0000}"/>
    <cellStyle name="Remarque 6 2 14 7 2" xfId="23096" xr:uid="{00000000-0005-0000-0000-0000C2DA0000}"/>
    <cellStyle name="Remarque 6 2 14 7 3" xfId="47056" xr:uid="{00000000-0005-0000-0000-0000C3DA0000}"/>
    <cellStyle name="Remarque 6 2 14 8" xfId="3118" xr:uid="{00000000-0005-0000-0000-0000C4DA0000}"/>
    <cellStyle name="Remarque 6 2 14 8 2" xfId="27132" xr:uid="{00000000-0005-0000-0000-0000C5DA0000}"/>
    <cellStyle name="Remarque 6 2 14 8 3" xfId="51092" xr:uid="{00000000-0005-0000-0000-0000C6DA0000}"/>
    <cellStyle name="Remarque 6 2 14 9" xfId="24244" xr:uid="{00000000-0005-0000-0000-0000C7DA0000}"/>
    <cellStyle name="Remarque 6 2 14 9 2" xfId="48204" xr:uid="{00000000-0005-0000-0000-0000C8DA0000}"/>
    <cellStyle name="Remarque 6 2 15" xfId="3087" xr:uid="{00000000-0005-0000-0000-0000C9DA0000}"/>
    <cellStyle name="Remarque 6 2 15 2" xfId="27101" xr:uid="{00000000-0005-0000-0000-0000CADA0000}"/>
    <cellStyle name="Remarque 6 2 15 2 2" xfId="51061" xr:uid="{00000000-0005-0000-0000-0000CBDA0000}"/>
    <cellStyle name="Remarque 6 2 15 3" xfId="14348" xr:uid="{00000000-0005-0000-0000-0000CCDA0000}"/>
    <cellStyle name="Remarque 6 2 15 4" xfId="38308" xr:uid="{00000000-0005-0000-0000-0000CDDA0000}"/>
    <cellStyle name="Remarque 6 2 16" xfId="4526" xr:uid="{00000000-0005-0000-0000-0000CEDA0000}"/>
    <cellStyle name="Remarque 6 2 16 2" xfId="28540" xr:uid="{00000000-0005-0000-0000-0000CFDA0000}"/>
    <cellStyle name="Remarque 6 2 16 2 2" xfId="52500" xr:uid="{00000000-0005-0000-0000-0000D0DA0000}"/>
    <cellStyle name="Remarque 6 2 16 3" xfId="15787" xr:uid="{00000000-0005-0000-0000-0000D1DA0000}"/>
    <cellStyle name="Remarque 6 2 16 4" xfId="39747" xr:uid="{00000000-0005-0000-0000-0000D2DA0000}"/>
    <cellStyle name="Remarque 6 2 17" xfId="3053" xr:uid="{00000000-0005-0000-0000-0000D3DA0000}"/>
    <cellStyle name="Remarque 6 2 17 2" xfId="27067" xr:uid="{00000000-0005-0000-0000-0000D4DA0000}"/>
    <cellStyle name="Remarque 6 2 17 2 2" xfId="51027" xr:uid="{00000000-0005-0000-0000-0000D5DA0000}"/>
    <cellStyle name="Remarque 6 2 17 3" xfId="14314" xr:uid="{00000000-0005-0000-0000-0000D6DA0000}"/>
    <cellStyle name="Remarque 6 2 17 4" xfId="38274" xr:uid="{00000000-0005-0000-0000-0000D7DA0000}"/>
    <cellStyle name="Remarque 6 2 18" xfId="4521" xr:uid="{00000000-0005-0000-0000-0000D8DA0000}"/>
    <cellStyle name="Remarque 6 2 18 2" xfId="28535" xr:uid="{00000000-0005-0000-0000-0000D9DA0000}"/>
    <cellStyle name="Remarque 6 2 18 2 2" xfId="52495" xr:uid="{00000000-0005-0000-0000-0000DADA0000}"/>
    <cellStyle name="Remarque 6 2 18 3" xfId="15782" xr:uid="{00000000-0005-0000-0000-0000DBDA0000}"/>
    <cellStyle name="Remarque 6 2 18 4" xfId="39742" xr:uid="{00000000-0005-0000-0000-0000DCDA0000}"/>
    <cellStyle name="Remarque 6 2 19" xfId="4581" xr:uid="{00000000-0005-0000-0000-0000DDDA0000}"/>
    <cellStyle name="Remarque 6 2 19 2" xfId="28595" xr:uid="{00000000-0005-0000-0000-0000DEDA0000}"/>
    <cellStyle name="Remarque 6 2 19 2 2" xfId="52555" xr:uid="{00000000-0005-0000-0000-0000DFDA0000}"/>
    <cellStyle name="Remarque 6 2 19 3" xfId="15842" xr:uid="{00000000-0005-0000-0000-0000E0DA0000}"/>
    <cellStyle name="Remarque 6 2 19 4" xfId="39802" xr:uid="{00000000-0005-0000-0000-0000E1DA0000}"/>
    <cellStyle name="Remarque 6 2 2" xfId="101" xr:uid="{00000000-0005-0000-0000-0000E2DA0000}"/>
    <cellStyle name="Remarque 6 2 2 10" xfId="3160" xr:uid="{00000000-0005-0000-0000-0000E3DA0000}"/>
    <cellStyle name="Remarque 6 2 2 10 2" xfId="27174" xr:uid="{00000000-0005-0000-0000-0000E4DA0000}"/>
    <cellStyle name="Remarque 6 2 2 10 2 2" xfId="51134" xr:uid="{00000000-0005-0000-0000-0000E5DA0000}"/>
    <cellStyle name="Remarque 6 2 2 10 3" xfId="14421" xr:uid="{00000000-0005-0000-0000-0000E6DA0000}"/>
    <cellStyle name="Remarque 6 2 2 10 4" xfId="38381" xr:uid="{00000000-0005-0000-0000-0000E7DA0000}"/>
    <cellStyle name="Remarque 6 2 2 11" xfId="4594" xr:uid="{00000000-0005-0000-0000-0000E8DA0000}"/>
    <cellStyle name="Remarque 6 2 2 11 2" xfId="28608" xr:uid="{00000000-0005-0000-0000-0000E9DA0000}"/>
    <cellStyle name="Remarque 6 2 2 11 2 2" xfId="52568" xr:uid="{00000000-0005-0000-0000-0000EADA0000}"/>
    <cellStyle name="Remarque 6 2 2 11 3" xfId="15855" xr:uid="{00000000-0005-0000-0000-0000EBDA0000}"/>
    <cellStyle name="Remarque 6 2 2 11 4" xfId="39815" xr:uid="{00000000-0005-0000-0000-0000ECDA0000}"/>
    <cellStyle name="Remarque 6 2 2 12" xfId="5988" xr:uid="{00000000-0005-0000-0000-0000EDDA0000}"/>
    <cellStyle name="Remarque 6 2 2 12 2" xfId="30002" xr:uid="{00000000-0005-0000-0000-0000EEDA0000}"/>
    <cellStyle name="Remarque 6 2 2 12 2 2" xfId="53962" xr:uid="{00000000-0005-0000-0000-0000EFDA0000}"/>
    <cellStyle name="Remarque 6 2 2 12 3" xfId="17249" xr:uid="{00000000-0005-0000-0000-0000F0DA0000}"/>
    <cellStyle name="Remarque 6 2 2 12 4" xfId="41209" xr:uid="{00000000-0005-0000-0000-0000F1DA0000}"/>
    <cellStyle name="Remarque 6 2 2 13" xfId="7376" xr:uid="{00000000-0005-0000-0000-0000F2DA0000}"/>
    <cellStyle name="Remarque 6 2 2 13 2" xfId="31390" xr:uid="{00000000-0005-0000-0000-0000F3DA0000}"/>
    <cellStyle name="Remarque 6 2 2 13 2 2" xfId="55350" xr:uid="{00000000-0005-0000-0000-0000F4DA0000}"/>
    <cellStyle name="Remarque 6 2 2 13 3" xfId="18637" xr:uid="{00000000-0005-0000-0000-0000F5DA0000}"/>
    <cellStyle name="Remarque 6 2 2 13 4" xfId="42597" xr:uid="{00000000-0005-0000-0000-0000F6DA0000}"/>
    <cellStyle name="Remarque 6 2 2 14" xfId="8761" xr:uid="{00000000-0005-0000-0000-0000F7DA0000}"/>
    <cellStyle name="Remarque 6 2 2 14 2" xfId="32775" xr:uid="{00000000-0005-0000-0000-0000F8DA0000}"/>
    <cellStyle name="Remarque 6 2 2 14 2 2" xfId="56735" xr:uid="{00000000-0005-0000-0000-0000F9DA0000}"/>
    <cellStyle name="Remarque 6 2 2 14 3" xfId="20022" xr:uid="{00000000-0005-0000-0000-0000FADA0000}"/>
    <cellStyle name="Remarque 6 2 2 14 4" xfId="43982" xr:uid="{00000000-0005-0000-0000-0000FBDA0000}"/>
    <cellStyle name="Remarque 6 2 2 15" xfId="10218" xr:uid="{00000000-0005-0000-0000-0000FCDA0000}"/>
    <cellStyle name="Remarque 6 2 2 15 2" xfId="34228" xr:uid="{00000000-0005-0000-0000-0000FDDA0000}"/>
    <cellStyle name="Remarque 6 2 2 15 2 2" xfId="58188" xr:uid="{00000000-0005-0000-0000-0000FEDA0000}"/>
    <cellStyle name="Remarque 6 2 2 15 3" xfId="21485" xr:uid="{00000000-0005-0000-0000-0000FFDA0000}"/>
    <cellStyle name="Remarque 6 2 2 15 4" xfId="45445" xr:uid="{00000000-0005-0000-0000-000000DB0000}"/>
    <cellStyle name="Remarque 6 2 2 16" xfId="11567" xr:uid="{00000000-0005-0000-0000-000001DB0000}"/>
    <cellStyle name="Remarque 6 2 2 16 2" xfId="22834" xr:uid="{00000000-0005-0000-0000-000002DB0000}"/>
    <cellStyle name="Remarque 6 2 2 16 3" xfId="46794" xr:uid="{00000000-0005-0000-0000-000003DB0000}"/>
    <cellStyle name="Remarque 6 2 2 17" xfId="1690" xr:uid="{00000000-0005-0000-0000-000004DB0000}"/>
    <cellStyle name="Remarque 6 2 2 17 2" xfId="25704" xr:uid="{00000000-0005-0000-0000-000005DB0000}"/>
    <cellStyle name="Remarque 6 2 2 17 3" xfId="49664" xr:uid="{00000000-0005-0000-0000-000006DB0000}"/>
    <cellStyle name="Remarque 6 2 2 18" xfId="24286" xr:uid="{00000000-0005-0000-0000-000007DB0000}"/>
    <cellStyle name="Remarque 6 2 2 18 2" xfId="48246" xr:uid="{00000000-0005-0000-0000-000008DB0000}"/>
    <cellStyle name="Remarque 6 2 2 19" xfId="36128" xr:uid="{00000000-0005-0000-0000-000009DB0000}"/>
    <cellStyle name="Remarque 6 2 2 19 2" xfId="60088" xr:uid="{00000000-0005-0000-0000-00000ADB0000}"/>
    <cellStyle name="Remarque 6 2 2 2" xfId="429" xr:uid="{00000000-0005-0000-0000-00000BDB0000}"/>
    <cellStyle name="Remarque 6 2 2 2 10" xfId="6163" xr:uid="{00000000-0005-0000-0000-00000CDB0000}"/>
    <cellStyle name="Remarque 6 2 2 2 10 2" xfId="30177" xr:uid="{00000000-0005-0000-0000-00000DDB0000}"/>
    <cellStyle name="Remarque 6 2 2 2 10 2 2" xfId="54137" xr:uid="{00000000-0005-0000-0000-00000EDB0000}"/>
    <cellStyle name="Remarque 6 2 2 2 10 3" xfId="17424" xr:uid="{00000000-0005-0000-0000-00000FDB0000}"/>
    <cellStyle name="Remarque 6 2 2 2 10 4" xfId="41384" xr:uid="{00000000-0005-0000-0000-000010DB0000}"/>
    <cellStyle name="Remarque 6 2 2 2 11" xfId="7551" xr:uid="{00000000-0005-0000-0000-000011DB0000}"/>
    <cellStyle name="Remarque 6 2 2 2 11 2" xfId="31565" xr:uid="{00000000-0005-0000-0000-000012DB0000}"/>
    <cellStyle name="Remarque 6 2 2 2 11 2 2" xfId="55525" xr:uid="{00000000-0005-0000-0000-000013DB0000}"/>
    <cellStyle name="Remarque 6 2 2 2 11 3" xfId="18812" xr:uid="{00000000-0005-0000-0000-000014DB0000}"/>
    <cellStyle name="Remarque 6 2 2 2 11 4" xfId="42772" xr:uid="{00000000-0005-0000-0000-000015DB0000}"/>
    <cellStyle name="Remarque 6 2 2 2 12" xfId="8936" xr:uid="{00000000-0005-0000-0000-000016DB0000}"/>
    <cellStyle name="Remarque 6 2 2 2 12 2" xfId="32950" xr:uid="{00000000-0005-0000-0000-000017DB0000}"/>
    <cellStyle name="Remarque 6 2 2 2 12 2 2" xfId="56910" xr:uid="{00000000-0005-0000-0000-000018DB0000}"/>
    <cellStyle name="Remarque 6 2 2 2 12 3" xfId="20197" xr:uid="{00000000-0005-0000-0000-000019DB0000}"/>
    <cellStyle name="Remarque 6 2 2 2 12 4" xfId="44157" xr:uid="{00000000-0005-0000-0000-00001ADB0000}"/>
    <cellStyle name="Remarque 6 2 2 2 13" xfId="10393" xr:uid="{00000000-0005-0000-0000-00001BDB0000}"/>
    <cellStyle name="Remarque 6 2 2 2 13 2" xfId="34403" xr:uid="{00000000-0005-0000-0000-00001CDB0000}"/>
    <cellStyle name="Remarque 6 2 2 2 13 2 2" xfId="58363" xr:uid="{00000000-0005-0000-0000-00001DDB0000}"/>
    <cellStyle name="Remarque 6 2 2 2 13 3" xfId="21660" xr:uid="{00000000-0005-0000-0000-00001EDB0000}"/>
    <cellStyle name="Remarque 6 2 2 2 13 4" xfId="45620" xr:uid="{00000000-0005-0000-0000-00001FDB0000}"/>
    <cellStyle name="Remarque 6 2 2 2 14" xfId="12846" xr:uid="{00000000-0005-0000-0000-000020DB0000}"/>
    <cellStyle name="Remarque 6 2 2 2 14 2" xfId="24158" xr:uid="{00000000-0005-0000-0000-000021DB0000}"/>
    <cellStyle name="Remarque 6 2 2 2 14 3" xfId="48118" xr:uid="{00000000-0005-0000-0000-000022DB0000}"/>
    <cellStyle name="Remarque 6 2 2 2 15" xfId="1865" xr:uid="{00000000-0005-0000-0000-000023DB0000}"/>
    <cellStyle name="Remarque 6 2 2 2 15 2" xfId="25879" xr:uid="{00000000-0005-0000-0000-000024DB0000}"/>
    <cellStyle name="Remarque 6 2 2 2 15 3" xfId="49839" xr:uid="{00000000-0005-0000-0000-000025DB0000}"/>
    <cellStyle name="Remarque 6 2 2 2 16" xfId="24461" xr:uid="{00000000-0005-0000-0000-000026DB0000}"/>
    <cellStyle name="Remarque 6 2 2 2 16 2" xfId="48421" xr:uid="{00000000-0005-0000-0000-000027DB0000}"/>
    <cellStyle name="Remarque 6 2 2 2 17" xfId="35784" xr:uid="{00000000-0005-0000-0000-000028DB0000}"/>
    <cellStyle name="Remarque 6 2 2 2 17 2" xfId="59744" xr:uid="{00000000-0005-0000-0000-000029DB0000}"/>
    <cellStyle name="Remarque 6 2 2 2 18" xfId="13126" xr:uid="{00000000-0005-0000-0000-00002ADB0000}"/>
    <cellStyle name="Remarque 6 2 2 2 19" xfId="37086" xr:uid="{00000000-0005-0000-0000-00002BDB0000}"/>
    <cellStyle name="Remarque 6 2 2 2 2" xfId="565" xr:uid="{00000000-0005-0000-0000-00002CDB0000}"/>
    <cellStyle name="Remarque 6 2 2 2 2 10" xfId="24597" xr:uid="{00000000-0005-0000-0000-00002DDB0000}"/>
    <cellStyle name="Remarque 6 2 2 2 2 10 2" xfId="48557" xr:uid="{00000000-0005-0000-0000-00002EDB0000}"/>
    <cellStyle name="Remarque 6 2 2 2 2 11" xfId="36009" xr:uid="{00000000-0005-0000-0000-00002FDB0000}"/>
    <cellStyle name="Remarque 6 2 2 2 2 11 2" xfId="59969" xr:uid="{00000000-0005-0000-0000-000030DB0000}"/>
    <cellStyle name="Remarque 6 2 2 2 2 12" xfId="13262" xr:uid="{00000000-0005-0000-0000-000031DB0000}"/>
    <cellStyle name="Remarque 6 2 2 2 2 13" xfId="37222" xr:uid="{00000000-0005-0000-0000-000032DB0000}"/>
    <cellStyle name="Remarque 6 2 2 2 2 2" xfId="3471" xr:uid="{00000000-0005-0000-0000-000033DB0000}"/>
    <cellStyle name="Remarque 6 2 2 2 2 2 2" xfId="27485" xr:uid="{00000000-0005-0000-0000-000034DB0000}"/>
    <cellStyle name="Remarque 6 2 2 2 2 2 2 2" xfId="51445" xr:uid="{00000000-0005-0000-0000-000035DB0000}"/>
    <cellStyle name="Remarque 6 2 2 2 2 2 3" xfId="14732" xr:uid="{00000000-0005-0000-0000-000036DB0000}"/>
    <cellStyle name="Remarque 6 2 2 2 2 2 4" xfId="38692" xr:uid="{00000000-0005-0000-0000-000037DB0000}"/>
    <cellStyle name="Remarque 6 2 2 2 2 3" xfId="4905" xr:uid="{00000000-0005-0000-0000-000038DB0000}"/>
    <cellStyle name="Remarque 6 2 2 2 2 3 2" xfId="28919" xr:uid="{00000000-0005-0000-0000-000039DB0000}"/>
    <cellStyle name="Remarque 6 2 2 2 2 3 2 2" xfId="52879" xr:uid="{00000000-0005-0000-0000-00003ADB0000}"/>
    <cellStyle name="Remarque 6 2 2 2 2 3 3" xfId="16166" xr:uid="{00000000-0005-0000-0000-00003BDB0000}"/>
    <cellStyle name="Remarque 6 2 2 2 2 3 4" xfId="40126" xr:uid="{00000000-0005-0000-0000-00003CDB0000}"/>
    <cellStyle name="Remarque 6 2 2 2 2 4" xfId="6299" xr:uid="{00000000-0005-0000-0000-00003DDB0000}"/>
    <cellStyle name="Remarque 6 2 2 2 2 4 2" xfId="30313" xr:uid="{00000000-0005-0000-0000-00003EDB0000}"/>
    <cellStyle name="Remarque 6 2 2 2 2 4 2 2" xfId="54273" xr:uid="{00000000-0005-0000-0000-00003FDB0000}"/>
    <cellStyle name="Remarque 6 2 2 2 2 4 3" xfId="17560" xr:uid="{00000000-0005-0000-0000-000040DB0000}"/>
    <cellStyle name="Remarque 6 2 2 2 2 4 4" xfId="41520" xr:uid="{00000000-0005-0000-0000-000041DB0000}"/>
    <cellStyle name="Remarque 6 2 2 2 2 5" xfId="7687" xr:uid="{00000000-0005-0000-0000-000042DB0000}"/>
    <cellStyle name="Remarque 6 2 2 2 2 5 2" xfId="31701" xr:uid="{00000000-0005-0000-0000-000043DB0000}"/>
    <cellStyle name="Remarque 6 2 2 2 2 5 2 2" xfId="55661" xr:uid="{00000000-0005-0000-0000-000044DB0000}"/>
    <cellStyle name="Remarque 6 2 2 2 2 5 3" xfId="18948" xr:uid="{00000000-0005-0000-0000-000045DB0000}"/>
    <cellStyle name="Remarque 6 2 2 2 2 5 4" xfId="42908" xr:uid="{00000000-0005-0000-0000-000046DB0000}"/>
    <cellStyle name="Remarque 6 2 2 2 2 6" xfId="9072" xr:uid="{00000000-0005-0000-0000-000047DB0000}"/>
    <cellStyle name="Remarque 6 2 2 2 2 6 2" xfId="33086" xr:uid="{00000000-0005-0000-0000-000048DB0000}"/>
    <cellStyle name="Remarque 6 2 2 2 2 6 2 2" xfId="57046" xr:uid="{00000000-0005-0000-0000-000049DB0000}"/>
    <cellStyle name="Remarque 6 2 2 2 2 6 3" xfId="20333" xr:uid="{00000000-0005-0000-0000-00004ADB0000}"/>
    <cellStyle name="Remarque 6 2 2 2 2 6 4" xfId="44293" xr:uid="{00000000-0005-0000-0000-00004BDB0000}"/>
    <cellStyle name="Remarque 6 2 2 2 2 7" xfId="10529" xr:uid="{00000000-0005-0000-0000-00004CDB0000}"/>
    <cellStyle name="Remarque 6 2 2 2 2 7 2" xfId="34539" xr:uid="{00000000-0005-0000-0000-00004DDB0000}"/>
    <cellStyle name="Remarque 6 2 2 2 2 7 2 2" xfId="58499" xr:uid="{00000000-0005-0000-0000-00004EDB0000}"/>
    <cellStyle name="Remarque 6 2 2 2 2 7 3" xfId="21796" xr:uid="{00000000-0005-0000-0000-00004FDB0000}"/>
    <cellStyle name="Remarque 6 2 2 2 2 7 4" xfId="45756" xr:uid="{00000000-0005-0000-0000-000050DB0000}"/>
    <cellStyle name="Remarque 6 2 2 2 2 8" xfId="11629" xr:uid="{00000000-0005-0000-0000-000051DB0000}"/>
    <cellStyle name="Remarque 6 2 2 2 2 8 2" xfId="22897" xr:uid="{00000000-0005-0000-0000-000052DB0000}"/>
    <cellStyle name="Remarque 6 2 2 2 2 8 3" xfId="46857" xr:uid="{00000000-0005-0000-0000-000053DB0000}"/>
    <cellStyle name="Remarque 6 2 2 2 2 9" xfId="2001" xr:uid="{00000000-0005-0000-0000-000054DB0000}"/>
    <cellStyle name="Remarque 6 2 2 2 2 9 2" xfId="26015" xr:uid="{00000000-0005-0000-0000-000055DB0000}"/>
    <cellStyle name="Remarque 6 2 2 2 2 9 3" xfId="49975" xr:uid="{00000000-0005-0000-0000-000056DB0000}"/>
    <cellStyle name="Remarque 6 2 2 2 3" xfId="757" xr:uid="{00000000-0005-0000-0000-000057DB0000}"/>
    <cellStyle name="Remarque 6 2 2 2 3 10" xfId="24789" xr:uid="{00000000-0005-0000-0000-000058DB0000}"/>
    <cellStyle name="Remarque 6 2 2 2 3 10 2" xfId="48749" xr:uid="{00000000-0005-0000-0000-000059DB0000}"/>
    <cellStyle name="Remarque 6 2 2 2 3 11" xfId="35734" xr:uid="{00000000-0005-0000-0000-00005ADB0000}"/>
    <cellStyle name="Remarque 6 2 2 2 3 11 2" xfId="59694" xr:uid="{00000000-0005-0000-0000-00005BDB0000}"/>
    <cellStyle name="Remarque 6 2 2 2 3 12" xfId="13454" xr:uid="{00000000-0005-0000-0000-00005CDB0000}"/>
    <cellStyle name="Remarque 6 2 2 2 3 13" xfId="37414" xr:uid="{00000000-0005-0000-0000-00005DDB0000}"/>
    <cellStyle name="Remarque 6 2 2 2 3 2" xfId="3663" xr:uid="{00000000-0005-0000-0000-00005EDB0000}"/>
    <cellStyle name="Remarque 6 2 2 2 3 2 2" xfId="27677" xr:uid="{00000000-0005-0000-0000-00005FDB0000}"/>
    <cellStyle name="Remarque 6 2 2 2 3 2 2 2" xfId="51637" xr:uid="{00000000-0005-0000-0000-000060DB0000}"/>
    <cellStyle name="Remarque 6 2 2 2 3 2 3" xfId="14924" xr:uid="{00000000-0005-0000-0000-000061DB0000}"/>
    <cellStyle name="Remarque 6 2 2 2 3 2 4" xfId="38884" xr:uid="{00000000-0005-0000-0000-000062DB0000}"/>
    <cellStyle name="Remarque 6 2 2 2 3 3" xfId="5097" xr:uid="{00000000-0005-0000-0000-000063DB0000}"/>
    <cellStyle name="Remarque 6 2 2 2 3 3 2" xfId="29111" xr:uid="{00000000-0005-0000-0000-000064DB0000}"/>
    <cellStyle name="Remarque 6 2 2 2 3 3 2 2" xfId="53071" xr:uid="{00000000-0005-0000-0000-000065DB0000}"/>
    <cellStyle name="Remarque 6 2 2 2 3 3 3" xfId="16358" xr:uid="{00000000-0005-0000-0000-000066DB0000}"/>
    <cellStyle name="Remarque 6 2 2 2 3 3 4" xfId="40318" xr:uid="{00000000-0005-0000-0000-000067DB0000}"/>
    <cellStyle name="Remarque 6 2 2 2 3 4" xfId="6491" xr:uid="{00000000-0005-0000-0000-000068DB0000}"/>
    <cellStyle name="Remarque 6 2 2 2 3 4 2" xfId="30505" xr:uid="{00000000-0005-0000-0000-000069DB0000}"/>
    <cellStyle name="Remarque 6 2 2 2 3 4 2 2" xfId="54465" xr:uid="{00000000-0005-0000-0000-00006ADB0000}"/>
    <cellStyle name="Remarque 6 2 2 2 3 4 3" xfId="17752" xr:uid="{00000000-0005-0000-0000-00006BDB0000}"/>
    <cellStyle name="Remarque 6 2 2 2 3 4 4" xfId="41712" xr:uid="{00000000-0005-0000-0000-00006CDB0000}"/>
    <cellStyle name="Remarque 6 2 2 2 3 5" xfId="7879" xr:uid="{00000000-0005-0000-0000-00006DDB0000}"/>
    <cellStyle name="Remarque 6 2 2 2 3 5 2" xfId="31893" xr:uid="{00000000-0005-0000-0000-00006EDB0000}"/>
    <cellStyle name="Remarque 6 2 2 2 3 5 2 2" xfId="55853" xr:uid="{00000000-0005-0000-0000-00006FDB0000}"/>
    <cellStyle name="Remarque 6 2 2 2 3 5 3" xfId="19140" xr:uid="{00000000-0005-0000-0000-000070DB0000}"/>
    <cellStyle name="Remarque 6 2 2 2 3 5 4" xfId="43100" xr:uid="{00000000-0005-0000-0000-000071DB0000}"/>
    <cellStyle name="Remarque 6 2 2 2 3 6" xfId="9264" xr:uid="{00000000-0005-0000-0000-000072DB0000}"/>
    <cellStyle name="Remarque 6 2 2 2 3 6 2" xfId="33278" xr:uid="{00000000-0005-0000-0000-000073DB0000}"/>
    <cellStyle name="Remarque 6 2 2 2 3 6 2 2" xfId="57238" xr:uid="{00000000-0005-0000-0000-000074DB0000}"/>
    <cellStyle name="Remarque 6 2 2 2 3 6 3" xfId="20525" xr:uid="{00000000-0005-0000-0000-000075DB0000}"/>
    <cellStyle name="Remarque 6 2 2 2 3 6 4" xfId="44485" xr:uid="{00000000-0005-0000-0000-000076DB0000}"/>
    <cellStyle name="Remarque 6 2 2 2 3 7" xfId="10721" xr:uid="{00000000-0005-0000-0000-000077DB0000}"/>
    <cellStyle name="Remarque 6 2 2 2 3 7 2" xfId="34731" xr:uid="{00000000-0005-0000-0000-000078DB0000}"/>
    <cellStyle name="Remarque 6 2 2 2 3 7 2 2" xfId="58691" xr:uid="{00000000-0005-0000-0000-000079DB0000}"/>
    <cellStyle name="Remarque 6 2 2 2 3 7 3" xfId="21988" xr:uid="{00000000-0005-0000-0000-00007ADB0000}"/>
    <cellStyle name="Remarque 6 2 2 2 3 7 4" xfId="45948" xr:uid="{00000000-0005-0000-0000-00007BDB0000}"/>
    <cellStyle name="Remarque 6 2 2 2 3 8" xfId="11645" xr:uid="{00000000-0005-0000-0000-00007CDB0000}"/>
    <cellStyle name="Remarque 6 2 2 2 3 8 2" xfId="22913" xr:uid="{00000000-0005-0000-0000-00007DDB0000}"/>
    <cellStyle name="Remarque 6 2 2 2 3 8 3" xfId="46873" xr:uid="{00000000-0005-0000-0000-00007EDB0000}"/>
    <cellStyle name="Remarque 6 2 2 2 3 9" xfId="2193" xr:uid="{00000000-0005-0000-0000-00007FDB0000}"/>
    <cellStyle name="Remarque 6 2 2 2 3 9 2" xfId="26207" xr:uid="{00000000-0005-0000-0000-000080DB0000}"/>
    <cellStyle name="Remarque 6 2 2 2 3 9 3" xfId="50167" xr:uid="{00000000-0005-0000-0000-000081DB0000}"/>
    <cellStyle name="Remarque 6 2 2 2 4" xfId="951" xr:uid="{00000000-0005-0000-0000-000082DB0000}"/>
    <cellStyle name="Remarque 6 2 2 2 4 10" xfId="24983" xr:uid="{00000000-0005-0000-0000-000083DB0000}"/>
    <cellStyle name="Remarque 6 2 2 2 4 10 2" xfId="48943" xr:uid="{00000000-0005-0000-0000-000084DB0000}"/>
    <cellStyle name="Remarque 6 2 2 2 4 11" xfId="36484" xr:uid="{00000000-0005-0000-0000-000085DB0000}"/>
    <cellStyle name="Remarque 6 2 2 2 4 11 2" xfId="60444" xr:uid="{00000000-0005-0000-0000-000086DB0000}"/>
    <cellStyle name="Remarque 6 2 2 2 4 12" xfId="13648" xr:uid="{00000000-0005-0000-0000-000087DB0000}"/>
    <cellStyle name="Remarque 6 2 2 2 4 13" xfId="37608" xr:uid="{00000000-0005-0000-0000-000088DB0000}"/>
    <cellStyle name="Remarque 6 2 2 2 4 2" xfId="3857" xr:uid="{00000000-0005-0000-0000-000089DB0000}"/>
    <cellStyle name="Remarque 6 2 2 2 4 2 2" xfId="27871" xr:uid="{00000000-0005-0000-0000-00008ADB0000}"/>
    <cellStyle name="Remarque 6 2 2 2 4 2 2 2" xfId="51831" xr:uid="{00000000-0005-0000-0000-00008BDB0000}"/>
    <cellStyle name="Remarque 6 2 2 2 4 2 3" xfId="15118" xr:uid="{00000000-0005-0000-0000-00008CDB0000}"/>
    <cellStyle name="Remarque 6 2 2 2 4 2 4" xfId="39078" xr:uid="{00000000-0005-0000-0000-00008DDB0000}"/>
    <cellStyle name="Remarque 6 2 2 2 4 3" xfId="5291" xr:uid="{00000000-0005-0000-0000-00008EDB0000}"/>
    <cellStyle name="Remarque 6 2 2 2 4 3 2" xfId="29305" xr:uid="{00000000-0005-0000-0000-00008FDB0000}"/>
    <cellStyle name="Remarque 6 2 2 2 4 3 2 2" xfId="53265" xr:uid="{00000000-0005-0000-0000-000090DB0000}"/>
    <cellStyle name="Remarque 6 2 2 2 4 3 3" xfId="16552" xr:uid="{00000000-0005-0000-0000-000091DB0000}"/>
    <cellStyle name="Remarque 6 2 2 2 4 3 4" xfId="40512" xr:uid="{00000000-0005-0000-0000-000092DB0000}"/>
    <cellStyle name="Remarque 6 2 2 2 4 4" xfId="6685" xr:uid="{00000000-0005-0000-0000-000093DB0000}"/>
    <cellStyle name="Remarque 6 2 2 2 4 4 2" xfId="30699" xr:uid="{00000000-0005-0000-0000-000094DB0000}"/>
    <cellStyle name="Remarque 6 2 2 2 4 4 2 2" xfId="54659" xr:uid="{00000000-0005-0000-0000-000095DB0000}"/>
    <cellStyle name="Remarque 6 2 2 2 4 4 3" xfId="17946" xr:uid="{00000000-0005-0000-0000-000096DB0000}"/>
    <cellStyle name="Remarque 6 2 2 2 4 4 4" xfId="41906" xr:uid="{00000000-0005-0000-0000-000097DB0000}"/>
    <cellStyle name="Remarque 6 2 2 2 4 5" xfId="8073" xr:uid="{00000000-0005-0000-0000-000098DB0000}"/>
    <cellStyle name="Remarque 6 2 2 2 4 5 2" xfId="32087" xr:uid="{00000000-0005-0000-0000-000099DB0000}"/>
    <cellStyle name="Remarque 6 2 2 2 4 5 2 2" xfId="56047" xr:uid="{00000000-0005-0000-0000-00009ADB0000}"/>
    <cellStyle name="Remarque 6 2 2 2 4 5 3" xfId="19334" xr:uid="{00000000-0005-0000-0000-00009BDB0000}"/>
    <cellStyle name="Remarque 6 2 2 2 4 5 4" xfId="43294" xr:uid="{00000000-0005-0000-0000-00009CDB0000}"/>
    <cellStyle name="Remarque 6 2 2 2 4 6" xfId="9458" xr:uid="{00000000-0005-0000-0000-00009DDB0000}"/>
    <cellStyle name="Remarque 6 2 2 2 4 6 2" xfId="33472" xr:uid="{00000000-0005-0000-0000-00009EDB0000}"/>
    <cellStyle name="Remarque 6 2 2 2 4 6 2 2" xfId="57432" xr:uid="{00000000-0005-0000-0000-00009FDB0000}"/>
    <cellStyle name="Remarque 6 2 2 2 4 6 3" xfId="20719" xr:uid="{00000000-0005-0000-0000-0000A0DB0000}"/>
    <cellStyle name="Remarque 6 2 2 2 4 6 4" xfId="44679" xr:uid="{00000000-0005-0000-0000-0000A1DB0000}"/>
    <cellStyle name="Remarque 6 2 2 2 4 7" xfId="10915" xr:uid="{00000000-0005-0000-0000-0000A2DB0000}"/>
    <cellStyle name="Remarque 6 2 2 2 4 7 2" xfId="34925" xr:uid="{00000000-0005-0000-0000-0000A3DB0000}"/>
    <cellStyle name="Remarque 6 2 2 2 4 7 2 2" xfId="58885" xr:uid="{00000000-0005-0000-0000-0000A4DB0000}"/>
    <cellStyle name="Remarque 6 2 2 2 4 7 3" xfId="22182" xr:uid="{00000000-0005-0000-0000-0000A5DB0000}"/>
    <cellStyle name="Remarque 6 2 2 2 4 7 4" xfId="46142" xr:uid="{00000000-0005-0000-0000-0000A6DB0000}"/>
    <cellStyle name="Remarque 6 2 2 2 4 8" xfId="11735" xr:uid="{00000000-0005-0000-0000-0000A7DB0000}"/>
    <cellStyle name="Remarque 6 2 2 2 4 8 2" xfId="23006" xr:uid="{00000000-0005-0000-0000-0000A8DB0000}"/>
    <cellStyle name="Remarque 6 2 2 2 4 8 3" xfId="46966" xr:uid="{00000000-0005-0000-0000-0000A9DB0000}"/>
    <cellStyle name="Remarque 6 2 2 2 4 9" xfId="2387" xr:uid="{00000000-0005-0000-0000-0000AADB0000}"/>
    <cellStyle name="Remarque 6 2 2 2 4 9 2" xfId="26401" xr:uid="{00000000-0005-0000-0000-0000ABDB0000}"/>
    <cellStyle name="Remarque 6 2 2 2 4 9 3" xfId="50361" xr:uid="{00000000-0005-0000-0000-0000ACDB0000}"/>
    <cellStyle name="Remarque 6 2 2 2 5" xfId="1144" xr:uid="{00000000-0005-0000-0000-0000ADDB0000}"/>
    <cellStyle name="Remarque 6 2 2 2 5 10" xfId="25176" xr:uid="{00000000-0005-0000-0000-0000AEDB0000}"/>
    <cellStyle name="Remarque 6 2 2 2 5 10 2" xfId="49136" xr:uid="{00000000-0005-0000-0000-0000AFDB0000}"/>
    <cellStyle name="Remarque 6 2 2 2 5 11" xfId="35884" xr:uid="{00000000-0005-0000-0000-0000B0DB0000}"/>
    <cellStyle name="Remarque 6 2 2 2 5 11 2" xfId="59844" xr:uid="{00000000-0005-0000-0000-0000B1DB0000}"/>
    <cellStyle name="Remarque 6 2 2 2 5 12" xfId="13841" xr:uid="{00000000-0005-0000-0000-0000B2DB0000}"/>
    <cellStyle name="Remarque 6 2 2 2 5 13" xfId="37801" xr:uid="{00000000-0005-0000-0000-0000B3DB0000}"/>
    <cellStyle name="Remarque 6 2 2 2 5 2" xfId="4050" xr:uid="{00000000-0005-0000-0000-0000B4DB0000}"/>
    <cellStyle name="Remarque 6 2 2 2 5 2 2" xfId="28064" xr:uid="{00000000-0005-0000-0000-0000B5DB0000}"/>
    <cellStyle name="Remarque 6 2 2 2 5 2 2 2" xfId="52024" xr:uid="{00000000-0005-0000-0000-0000B6DB0000}"/>
    <cellStyle name="Remarque 6 2 2 2 5 2 3" xfId="15311" xr:uid="{00000000-0005-0000-0000-0000B7DB0000}"/>
    <cellStyle name="Remarque 6 2 2 2 5 2 4" xfId="39271" xr:uid="{00000000-0005-0000-0000-0000B8DB0000}"/>
    <cellStyle name="Remarque 6 2 2 2 5 3" xfId="5484" xr:uid="{00000000-0005-0000-0000-0000B9DB0000}"/>
    <cellStyle name="Remarque 6 2 2 2 5 3 2" xfId="29498" xr:uid="{00000000-0005-0000-0000-0000BADB0000}"/>
    <cellStyle name="Remarque 6 2 2 2 5 3 2 2" xfId="53458" xr:uid="{00000000-0005-0000-0000-0000BBDB0000}"/>
    <cellStyle name="Remarque 6 2 2 2 5 3 3" xfId="16745" xr:uid="{00000000-0005-0000-0000-0000BCDB0000}"/>
    <cellStyle name="Remarque 6 2 2 2 5 3 4" xfId="40705" xr:uid="{00000000-0005-0000-0000-0000BDDB0000}"/>
    <cellStyle name="Remarque 6 2 2 2 5 4" xfId="6878" xr:uid="{00000000-0005-0000-0000-0000BEDB0000}"/>
    <cellStyle name="Remarque 6 2 2 2 5 4 2" xfId="30892" xr:uid="{00000000-0005-0000-0000-0000BFDB0000}"/>
    <cellStyle name="Remarque 6 2 2 2 5 4 2 2" xfId="54852" xr:uid="{00000000-0005-0000-0000-0000C0DB0000}"/>
    <cellStyle name="Remarque 6 2 2 2 5 4 3" xfId="18139" xr:uid="{00000000-0005-0000-0000-0000C1DB0000}"/>
    <cellStyle name="Remarque 6 2 2 2 5 4 4" xfId="42099" xr:uid="{00000000-0005-0000-0000-0000C2DB0000}"/>
    <cellStyle name="Remarque 6 2 2 2 5 5" xfId="8266" xr:uid="{00000000-0005-0000-0000-0000C3DB0000}"/>
    <cellStyle name="Remarque 6 2 2 2 5 5 2" xfId="32280" xr:uid="{00000000-0005-0000-0000-0000C4DB0000}"/>
    <cellStyle name="Remarque 6 2 2 2 5 5 2 2" xfId="56240" xr:uid="{00000000-0005-0000-0000-0000C5DB0000}"/>
    <cellStyle name="Remarque 6 2 2 2 5 5 3" xfId="19527" xr:uid="{00000000-0005-0000-0000-0000C6DB0000}"/>
    <cellStyle name="Remarque 6 2 2 2 5 5 4" xfId="43487" xr:uid="{00000000-0005-0000-0000-0000C7DB0000}"/>
    <cellStyle name="Remarque 6 2 2 2 5 6" xfId="9651" xr:uid="{00000000-0005-0000-0000-0000C8DB0000}"/>
    <cellStyle name="Remarque 6 2 2 2 5 6 2" xfId="33665" xr:uid="{00000000-0005-0000-0000-0000C9DB0000}"/>
    <cellStyle name="Remarque 6 2 2 2 5 6 2 2" xfId="57625" xr:uid="{00000000-0005-0000-0000-0000CADB0000}"/>
    <cellStyle name="Remarque 6 2 2 2 5 6 3" xfId="20912" xr:uid="{00000000-0005-0000-0000-0000CBDB0000}"/>
    <cellStyle name="Remarque 6 2 2 2 5 6 4" xfId="44872" xr:uid="{00000000-0005-0000-0000-0000CCDB0000}"/>
    <cellStyle name="Remarque 6 2 2 2 5 7" xfId="11108" xr:uid="{00000000-0005-0000-0000-0000CDDB0000}"/>
    <cellStyle name="Remarque 6 2 2 2 5 7 2" xfId="35118" xr:uid="{00000000-0005-0000-0000-0000CEDB0000}"/>
    <cellStyle name="Remarque 6 2 2 2 5 7 2 2" xfId="59078" xr:uid="{00000000-0005-0000-0000-0000CFDB0000}"/>
    <cellStyle name="Remarque 6 2 2 2 5 7 3" xfId="22375" xr:uid="{00000000-0005-0000-0000-0000D0DB0000}"/>
    <cellStyle name="Remarque 6 2 2 2 5 7 4" xfId="46335" xr:uid="{00000000-0005-0000-0000-0000D1DB0000}"/>
    <cellStyle name="Remarque 6 2 2 2 5 8" xfId="12369" xr:uid="{00000000-0005-0000-0000-0000D2DB0000}"/>
    <cellStyle name="Remarque 6 2 2 2 5 8 2" xfId="23658" xr:uid="{00000000-0005-0000-0000-0000D3DB0000}"/>
    <cellStyle name="Remarque 6 2 2 2 5 8 3" xfId="47618" xr:uid="{00000000-0005-0000-0000-0000D4DB0000}"/>
    <cellStyle name="Remarque 6 2 2 2 5 9" xfId="2580" xr:uid="{00000000-0005-0000-0000-0000D5DB0000}"/>
    <cellStyle name="Remarque 6 2 2 2 5 9 2" xfId="26594" xr:uid="{00000000-0005-0000-0000-0000D6DB0000}"/>
    <cellStyle name="Remarque 6 2 2 2 5 9 3" xfId="50554" xr:uid="{00000000-0005-0000-0000-0000D7DB0000}"/>
    <cellStyle name="Remarque 6 2 2 2 6" xfId="1311" xr:uid="{00000000-0005-0000-0000-0000D8DB0000}"/>
    <cellStyle name="Remarque 6 2 2 2 6 10" xfId="25343" xr:uid="{00000000-0005-0000-0000-0000D9DB0000}"/>
    <cellStyle name="Remarque 6 2 2 2 6 10 2" xfId="49303" xr:uid="{00000000-0005-0000-0000-0000DADB0000}"/>
    <cellStyle name="Remarque 6 2 2 2 6 11" xfId="36643" xr:uid="{00000000-0005-0000-0000-0000DBDB0000}"/>
    <cellStyle name="Remarque 6 2 2 2 6 11 2" xfId="60603" xr:uid="{00000000-0005-0000-0000-0000DCDB0000}"/>
    <cellStyle name="Remarque 6 2 2 2 6 12" xfId="14008" xr:uid="{00000000-0005-0000-0000-0000DDDB0000}"/>
    <cellStyle name="Remarque 6 2 2 2 6 13" xfId="37968" xr:uid="{00000000-0005-0000-0000-0000DEDB0000}"/>
    <cellStyle name="Remarque 6 2 2 2 6 2" xfId="4217" xr:uid="{00000000-0005-0000-0000-0000DFDB0000}"/>
    <cellStyle name="Remarque 6 2 2 2 6 2 2" xfId="28231" xr:uid="{00000000-0005-0000-0000-0000E0DB0000}"/>
    <cellStyle name="Remarque 6 2 2 2 6 2 2 2" xfId="52191" xr:uid="{00000000-0005-0000-0000-0000E1DB0000}"/>
    <cellStyle name="Remarque 6 2 2 2 6 2 3" xfId="15478" xr:uid="{00000000-0005-0000-0000-0000E2DB0000}"/>
    <cellStyle name="Remarque 6 2 2 2 6 2 4" xfId="39438" xr:uid="{00000000-0005-0000-0000-0000E3DB0000}"/>
    <cellStyle name="Remarque 6 2 2 2 6 3" xfId="5651" xr:uid="{00000000-0005-0000-0000-0000E4DB0000}"/>
    <cellStyle name="Remarque 6 2 2 2 6 3 2" xfId="29665" xr:uid="{00000000-0005-0000-0000-0000E5DB0000}"/>
    <cellStyle name="Remarque 6 2 2 2 6 3 2 2" xfId="53625" xr:uid="{00000000-0005-0000-0000-0000E6DB0000}"/>
    <cellStyle name="Remarque 6 2 2 2 6 3 3" xfId="16912" xr:uid="{00000000-0005-0000-0000-0000E7DB0000}"/>
    <cellStyle name="Remarque 6 2 2 2 6 3 4" xfId="40872" xr:uid="{00000000-0005-0000-0000-0000E8DB0000}"/>
    <cellStyle name="Remarque 6 2 2 2 6 4" xfId="7045" xr:uid="{00000000-0005-0000-0000-0000E9DB0000}"/>
    <cellStyle name="Remarque 6 2 2 2 6 4 2" xfId="31059" xr:uid="{00000000-0005-0000-0000-0000EADB0000}"/>
    <cellStyle name="Remarque 6 2 2 2 6 4 2 2" xfId="55019" xr:uid="{00000000-0005-0000-0000-0000EBDB0000}"/>
    <cellStyle name="Remarque 6 2 2 2 6 4 3" xfId="18306" xr:uid="{00000000-0005-0000-0000-0000ECDB0000}"/>
    <cellStyle name="Remarque 6 2 2 2 6 4 4" xfId="42266" xr:uid="{00000000-0005-0000-0000-0000EDDB0000}"/>
    <cellStyle name="Remarque 6 2 2 2 6 5" xfId="8433" xr:uid="{00000000-0005-0000-0000-0000EEDB0000}"/>
    <cellStyle name="Remarque 6 2 2 2 6 5 2" xfId="32447" xr:uid="{00000000-0005-0000-0000-0000EFDB0000}"/>
    <cellStyle name="Remarque 6 2 2 2 6 5 2 2" xfId="56407" xr:uid="{00000000-0005-0000-0000-0000F0DB0000}"/>
    <cellStyle name="Remarque 6 2 2 2 6 5 3" xfId="19694" xr:uid="{00000000-0005-0000-0000-0000F1DB0000}"/>
    <cellStyle name="Remarque 6 2 2 2 6 5 4" xfId="43654" xr:uid="{00000000-0005-0000-0000-0000F2DB0000}"/>
    <cellStyle name="Remarque 6 2 2 2 6 6" xfId="9818" xr:uid="{00000000-0005-0000-0000-0000F3DB0000}"/>
    <cellStyle name="Remarque 6 2 2 2 6 6 2" xfId="33832" xr:uid="{00000000-0005-0000-0000-0000F4DB0000}"/>
    <cellStyle name="Remarque 6 2 2 2 6 6 2 2" xfId="57792" xr:uid="{00000000-0005-0000-0000-0000F5DB0000}"/>
    <cellStyle name="Remarque 6 2 2 2 6 6 3" xfId="21079" xr:uid="{00000000-0005-0000-0000-0000F6DB0000}"/>
    <cellStyle name="Remarque 6 2 2 2 6 6 4" xfId="45039" xr:uid="{00000000-0005-0000-0000-0000F7DB0000}"/>
    <cellStyle name="Remarque 6 2 2 2 6 7" xfId="11275" xr:uid="{00000000-0005-0000-0000-0000F8DB0000}"/>
    <cellStyle name="Remarque 6 2 2 2 6 7 2" xfId="35285" xr:uid="{00000000-0005-0000-0000-0000F9DB0000}"/>
    <cellStyle name="Remarque 6 2 2 2 6 7 2 2" xfId="59245" xr:uid="{00000000-0005-0000-0000-0000FADB0000}"/>
    <cellStyle name="Remarque 6 2 2 2 6 7 3" xfId="22542" xr:uid="{00000000-0005-0000-0000-0000FBDB0000}"/>
    <cellStyle name="Remarque 6 2 2 2 6 7 4" xfId="46502" xr:uid="{00000000-0005-0000-0000-0000FCDB0000}"/>
    <cellStyle name="Remarque 6 2 2 2 6 8" xfId="12219" xr:uid="{00000000-0005-0000-0000-0000FDDB0000}"/>
    <cellStyle name="Remarque 6 2 2 2 6 8 2" xfId="23503" xr:uid="{00000000-0005-0000-0000-0000FEDB0000}"/>
    <cellStyle name="Remarque 6 2 2 2 6 8 3" xfId="47463" xr:uid="{00000000-0005-0000-0000-0000FFDB0000}"/>
    <cellStyle name="Remarque 6 2 2 2 6 9" xfId="2747" xr:uid="{00000000-0005-0000-0000-000000DC0000}"/>
    <cellStyle name="Remarque 6 2 2 2 6 9 2" xfId="26761" xr:uid="{00000000-0005-0000-0000-000001DC0000}"/>
    <cellStyle name="Remarque 6 2 2 2 6 9 3" xfId="50721" xr:uid="{00000000-0005-0000-0000-000002DC0000}"/>
    <cellStyle name="Remarque 6 2 2 2 7" xfId="1480" xr:uid="{00000000-0005-0000-0000-000003DC0000}"/>
    <cellStyle name="Remarque 6 2 2 2 7 10" xfId="25512" xr:uid="{00000000-0005-0000-0000-000004DC0000}"/>
    <cellStyle name="Remarque 6 2 2 2 7 10 2" xfId="49472" xr:uid="{00000000-0005-0000-0000-000005DC0000}"/>
    <cellStyle name="Remarque 6 2 2 2 7 11" xfId="36033" xr:uid="{00000000-0005-0000-0000-000006DC0000}"/>
    <cellStyle name="Remarque 6 2 2 2 7 11 2" xfId="59993" xr:uid="{00000000-0005-0000-0000-000007DC0000}"/>
    <cellStyle name="Remarque 6 2 2 2 7 12" xfId="14177" xr:uid="{00000000-0005-0000-0000-000008DC0000}"/>
    <cellStyle name="Remarque 6 2 2 2 7 13" xfId="38137" xr:uid="{00000000-0005-0000-0000-000009DC0000}"/>
    <cellStyle name="Remarque 6 2 2 2 7 2" xfId="4386" xr:uid="{00000000-0005-0000-0000-00000ADC0000}"/>
    <cellStyle name="Remarque 6 2 2 2 7 2 2" xfId="28400" xr:uid="{00000000-0005-0000-0000-00000BDC0000}"/>
    <cellStyle name="Remarque 6 2 2 2 7 2 2 2" xfId="52360" xr:uid="{00000000-0005-0000-0000-00000CDC0000}"/>
    <cellStyle name="Remarque 6 2 2 2 7 2 3" xfId="15647" xr:uid="{00000000-0005-0000-0000-00000DDC0000}"/>
    <cellStyle name="Remarque 6 2 2 2 7 2 4" xfId="39607" xr:uid="{00000000-0005-0000-0000-00000EDC0000}"/>
    <cellStyle name="Remarque 6 2 2 2 7 3" xfId="5820" xr:uid="{00000000-0005-0000-0000-00000FDC0000}"/>
    <cellStyle name="Remarque 6 2 2 2 7 3 2" xfId="29834" xr:uid="{00000000-0005-0000-0000-000010DC0000}"/>
    <cellStyle name="Remarque 6 2 2 2 7 3 2 2" xfId="53794" xr:uid="{00000000-0005-0000-0000-000011DC0000}"/>
    <cellStyle name="Remarque 6 2 2 2 7 3 3" xfId="17081" xr:uid="{00000000-0005-0000-0000-000012DC0000}"/>
    <cellStyle name="Remarque 6 2 2 2 7 3 4" xfId="41041" xr:uid="{00000000-0005-0000-0000-000013DC0000}"/>
    <cellStyle name="Remarque 6 2 2 2 7 4" xfId="7214" xr:uid="{00000000-0005-0000-0000-000014DC0000}"/>
    <cellStyle name="Remarque 6 2 2 2 7 4 2" xfId="31228" xr:uid="{00000000-0005-0000-0000-000015DC0000}"/>
    <cellStyle name="Remarque 6 2 2 2 7 4 2 2" xfId="55188" xr:uid="{00000000-0005-0000-0000-000016DC0000}"/>
    <cellStyle name="Remarque 6 2 2 2 7 4 3" xfId="18475" xr:uid="{00000000-0005-0000-0000-000017DC0000}"/>
    <cellStyle name="Remarque 6 2 2 2 7 4 4" xfId="42435" xr:uid="{00000000-0005-0000-0000-000018DC0000}"/>
    <cellStyle name="Remarque 6 2 2 2 7 5" xfId="8602" xr:uid="{00000000-0005-0000-0000-000019DC0000}"/>
    <cellStyle name="Remarque 6 2 2 2 7 5 2" xfId="32616" xr:uid="{00000000-0005-0000-0000-00001ADC0000}"/>
    <cellStyle name="Remarque 6 2 2 2 7 5 2 2" xfId="56576" xr:uid="{00000000-0005-0000-0000-00001BDC0000}"/>
    <cellStyle name="Remarque 6 2 2 2 7 5 3" xfId="19863" xr:uid="{00000000-0005-0000-0000-00001CDC0000}"/>
    <cellStyle name="Remarque 6 2 2 2 7 5 4" xfId="43823" xr:uid="{00000000-0005-0000-0000-00001DDC0000}"/>
    <cellStyle name="Remarque 6 2 2 2 7 6" xfId="9987" xr:uid="{00000000-0005-0000-0000-00001EDC0000}"/>
    <cellStyle name="Remarque 6 2 2 2 7 6 2" xfId="34001" xr:uid="{00000000-0005-0000-0000-00001FDC0000}"/>
    <cellStyle name="Remarque 6 2 2 2 7 6 2 2" xfId="57961" xr:uid="{00000000-0005-0000-0000-000020DC0000}"/>
    <cellStyle name="Remarque 6 2 2 2 7 6 3" xfId="21248" xr:uid="{00000000-0005-0000-0000-000021DC0000}"/>
    <cellStyle name="Remarque 6 2 2 2 7 6 4" xfId="45208" xr:uid="{00000000-0005-0000-0000-000022DC0000}"/>
    <cellStyle name="Remarque 6 2 2 2 7 7" xfId="11444" xr:uid="{00000000-0005-0000-0000-000023DC0000}"/>
    <cellStyle name="Remarque 6 2 2 2 7 7 2" xfId="35454" xr:uid="{00000000-0005-0000-0000-000024DC0000}"/>
    <cellStyle name="Remarque 6 2 2 2 7 7 2 2" xfId="59414" xr:uid="{00000000-0005-0000-0000-000025DC0000}"/>
    <cellStyle name="Remarque 6 2 2 2 7 7 3" xfId="22711" xr:uid="{00000000-0005-0000-0000-000026DC0000}"/>
    <cellStyle name="Remarque 6 2 2 2 7 7 4" xfId="46671" xr:uid="{00000000-0005-0000-0000-000027DC0000}"/>
    <cellStyle name="Remarque 6 2 2 2 7 8" xfId="12212" xr:uid="{00000000-0005-0000-0000-000028DC0000}"/>
    <cellStyle name="Remarque 6 2 2 2 7 8 2" xfId="23496" xr:uid="{00000000-0005-0000-0000-000029DC0000}"/>
    <cellStyle name="Remarque 6 2 2 2 7 8 3" xfId="47456" xr:uid="{00000000-0005-0000-0000-00002ADC0000}"/>
    <cellStyle name="Remarque 6 2 2 2 7 9" xfId="2916" xr:uid="{00000000-0005-0000-0000-00002BDC0000}"/>
    <cellStyle name="Remarque 6 2 2 2 7 9 2" xfId="26930" xr:uid="{00000000-0005-0000-0000-00002CDC0000}"/>
    <cellStyle name="Remarque 6 2 2 2 7 9 3" xfId="50890" xr:uid="{00000000-0005-0000-0000-00002DDC0000}"/>
    <cellStyle name="Remarque 6 2 2 2 8" xfId="3335" xr:uid="{00000000-0005-0000-0000-00002EDC0000}"/>
    <cellStyle name="Remarque 6 2 2 2 8 2" xfId="27349" xr:uid="{00000000-0005-0000-0000-00002FDC0000}"/>
    <cellStyle name="Remarque 6 2 2 2 8 2 2" xfId="51309" xr:uid="{00000000-0005-0000-0000-000030DC0000}"/>
    <cellStyle name="Remarque 6 2 2 2 8 3" xfId="14596" xr:uid="{00000000-0005-0000-0000-000031DC0000}"/>
    <cellStyle name="Remarque 6 2 2 2 8 4" xfId="38556" xr:uid="{00000000-0005-0000-0000-000032DC0000}"/>
    <cellStyle name="Remarque 6 2 2 2 9" xfId="4769" xr:uid="{00000000-0005-0000-0000-000033DC0000}"/>
    <cellStyle name="Remarque 6 2 2 2 9 2" xfId="28783" xr:uid="{00000000-0005-0000-0000-000034DC0000}"/>
    <cellStyle name="Remarque 6 2 2 2 9 2 2" xfId="52743" xr:uid="{00000000-0005-0000-0000-000035DC0000}"/>
    <cellStyle name="Remarque 6 2 2 2 9 3" xfId="16030" xr:uid="{00000000-0005-0000-0000-000036DC0000}"/>
    <cellStyle name="Remarque 6 2 2 2 9 4" xfId="39990" xr:uid="{00000000-0005-0000-0000-000037DC0000}"/>
    <cellStyle name="Remarque 6 2 2 20" xfId="12951" xr:uid="{00000000-0005-0000-0000-000038DC0000}"/>
    <cellStyle name="Remarque 6 2 2 21" xfId="36911" xr:uid="{00000000-0005-0000-0000-000039DC0000}"/>
    <cellStyle name="Remarque 6 2 2 22" xfId="254" xr:uid="{00000000-0005-0000-0000-00003ADC0000}"/>
    <cellStyle name="Remarque 6 2 2 3" xfId="353" xr:uid="{00000000-0005-0000-0000-00003BDC0000}"/>
    <cellStyle name="Remarque 6 2 2 3 10" xfId="24385" xr:uid="{00000000-0005-0000-0000-00003CDC0000}"/>
    <cellStyle name="Remarque 6 2 2 3 10 2" xfId="48345" xr:uid="{00000000-0005-0000-0000-00003DDC0000}"/>
    <cellStyle name="Remarque 6 2 2 3 11" xfId="36343" xr:uid="{00000000-0005-0000-0000-00003EDC0000}"/>
    <cellStyle name="Remarque 6 2 2 3 11 2" xfId="60303" xr:uid="{00000000-0005-0000-0000-00003FDC0000}"/>
    <cellStyle name="Remarque 6 2 2 3 12" xfId="13050" xr:uid="{00000000-0005-0000-0000-000040DC0000}"/>
    <cellStyle name="Remarque 6 2 2 3 13" xfId="37010" xr:uid="{00000000-0005-0000-0000-000041DC0000}"/>
    <cellStyle name="Remarque 6 2 2 3 2" xfId="3259" xr:uid="{00000000-0005-0000-0000-000042DC0000}"/>
    <cellStyle name="Remarque 6 2 2 3 2 2" xfId="27273" xr:uid="{00000000-0005-0000-0000-000043DC0000}"/>
    <cellStyle name="Remarque 6 2 2 3 2 2 2" xfId="51233" xr:uid="{00000000-0005-0000-0000-000044DC0000}"/>
    <cellStyle name="Remarque 6 2 2 3 2 3" xfId="14520" xr:uid="{00000000-0005-0000-0000-000045DC0000}"/>
    <cellStyle name="Remarque 6 2 2 3 2 4" xfId="38480" xr:uid="{00000000-0005-0000-0000-000046DC0000}"/>
    <cellStyle name="Remarque 6 2 2 3 3" xfId="4693" xr:uid="{00000000-0005-0000-0000-000047DC0000}"/>
    <cellStyle name="Remarque 6 2 2 3 3 2" xfId="28707" xr:uid="{00000000-0005-0000-0000-000048DC0000}"/>
    <cellStyle name="Remarque 6 2 2 3 3 2 2" xfId="52667" xr:uid="{00000000-0005-0000-0000-000049DC0000}"/>
    <cellStyle name="Remarque 6 2 2 3 3 3" xfId="15954" xr:uid="{00000000-0005-0000-0000-00004ADC0000}"/>
    <cellStyle name="Remarque 6 2 2 3 3 4" xfId="39914" xr:uid="{00000000-0005-0000-0000-00004BDC0000}"/>
    <cellStyle name="Remarque 6 2 2 3 4" xfId="6087" xr:uid="{00000000-0005-0000-0000-00004CDC0000}"/>
    <cellStyle name="Remarque 6 2 2 3 4 2" xfId="30101" xr:uid="{00000000-0005-0000-0000-00004DDC0000}"/>
    <cellStyle name="Remarque 6 2 2 3 4 2 2" xfId="54061" xr:uid="{00000000-0005-0000-0000-00004EDC0000}"/>
    <cellStyle name="Remarque 6 2 2 3 4 3" xfId="17348" xr:uid="{00000000-0005-0000-0000-00004FDC0000}"/>
    <cellStyle name="Remarque 6 2 2 3 4 4" xfId="41308" xr:uid="{00000000-0005-0000-0000-000050DC0000}"/>
    <cellStyle name="Remarque 6 2 2 3 5" xfId="7475" xr:uid="{00000000-0005-0000-0000-000051DC0000}"/>
    <cellStyle name="Remarque 6 2 2 3 5 2" xfId="31489" xr:uid="{00000000-0005-0000-0000-000052DC0000}"/>
    <cellStyle name="Remarque 6 2 2 3 5 2 2" xfId="55449" xr:uid="{00000000-0005-0000-0000-000053DC0000}"/>
    <cellStyle name="Remarque 6 2 2 3 5 3" xfId="18736" xr:uid="{00000000-0005-0000-0000-000054DC0000}"/>
    <cellStyle name="Remarque 6 2 2 3 5 4" xfId="42696" xr:uid="{00000000-0005-0000-0000-000055DC0000}"/>
    <cellStyle name="Remarque 6 2 2 3 6" xfId="8860" xr:uid="{00000000-0005-0000-0000-000056DC0000}"/>
    <cellStyle name="Remarque 6 2 2 3 6 2" xfId="32874" xr:uid="{00000000-0005-0000-0000-000057DC0000}"/>
    <cellStyle name="Remarque 6 2 2 3 6 2 2" xfId="56834" xr:uid="{00000000-0005-0000-0000-000058DC0000}"/>
    <cellStyle name="Remarque 6 2 2 3 6 3" xfId="20121" xr:uid="{00000000-0005-0000-0000-000059DC0000}"/>
    <cellStyle name="Remarque 6 2 2 3 6 4" xfId="44081" xr:uid="{00000000-0005-0000-0000-00005ADC0000}"/>
    <cellStyle name="Remarque 6 2 2 3 7" xfId="10317" xr:uid="{00000000-0005-0000-0000-00005BDC0000}"/>
    <cellStyle name="Remarque 6 2 2 3 7 2" xfId="34327" xr:uid="{00000000-0005-0000-0000-00005CDC0000}"/>
    <cellStyle name="Remarque 6 2 2 3 7 2 2" xfId="58287" xr:uid="{00000000-0005-0000-0000-00005DDC0000}"/>
    <cellStyle name="Remarque 6 2 2 3 7 3" xfId="21584" xr:uid="{00000000-0005-0000-0000-00005EDC0000}"/>
    <cellStyle name="Remarque 6 2 2 3 7 4" xfId="45544" xr:uid="{00000000-0005-0000-0000-00005FDC0000}"/>
    <cellStyle name="Remarque 6 2 2 3 8" xfId="11710" xr:uid="{00000000-0005-0000-0000-000060DC0000}"/>
    <cellStyle name="Remarque 6 2 2 3 8 2" xfId="22980" xr:uid="{00000000-0005-0000-0000-000061DC0000}"/>
    <cellStyle name="Remarque 6 2 2 3 8 3" xfId="46940" xr:uid="{00000000-0005-0000-0000-000062DC0000}"/>
    <cellStyle name="Remarque 6 2 2 3 9" xfId="1789" xr:uid="{00000000-0005-0000-0000-000063DC0000}"/>
    <cellStyle name="Remarque 6 2 2 3 9 2" xfId="25803" xr:uid="{00000000-0005-0000-0000-000064DC0000}"/>
    <cellStyle name="Remarque 6 2 2 3 9 3" xfId="49763" xr:uid="{00000000-0005-0000-0000-000065DC0000}"/>
    <cellStyle name="Remarque 6 2 2 4" xfId="489" xr:uid="{00000000-0005-0000-0000-000066DC0000}"/>
    <cellStyle name="Remarque 6 2 2 4 10" xfId="24521" xr:uid="{00000000-0005-0000-0000-000067DC0000}"/>
    <cellStyle name="Remarque 6 2 2 4 10 2" xfId="48481" xr:uid="{00000000-0005-0000-0000-000068DC0000}"/>
    <cellStyle name="Remarque 6 2 2 4 11" xfId="35976" xr:uid="{00000000-0005-0000-0000-000069DC0000}"/>
    <cellStyle name="Remarque 6 2 2 4 11 2" xfId="59936" xr:uid="{00000000-0005-0000-0000-00006ADC0000}"/>
    <cellStyle name="Remarque 6 2 2 4 12" xfId="13186" xr:uid="{00000000-0005-0000-0000-00006BDC0000}"/>
    <cellStyle name="Remarque 6 2 2 4 13" xfId="37146" xr:uid="{00000000-0005-0000-0000-00006CDC0000}"/>
    <cellStyle name="Remarque 6 2 2 4 2" xfId="3395" xr:uid="{00000000-0005-0000-0000-00006DDC0000}"/>
    <cellStyle name="Remarque 6 2 2 4 2 2" xfId="27409" xr:uid="{00000000-0005-0000-0000-00006EDC0000}"/>
    <cellStyle name="Remarque 6 2 2 4 2 2 2" xfId="51369" xr:uid="{00000000-0005-0000-0000-00006FDC0000}"/>
    <cellStyle name="Remarque 6 2 2 4 2 3" xfId="14656" xr:uid="{00000000-0005-0000-0000-000070DC0000}"/>
    <cellStyle name="Remarque 6 2 2 4 2 4" xfId="38616" xr:uid="{00000000-0005-0000-0000-000071DC0000}"/>
    <cellStyle name="Remarque 6 2 2 4 3" xfId="4829" xr:uid="{00000000-0005-0000-0000-000072DC0000}"/>
    <cellStyle name="Remarque 6 2 2 4 3 2" xfId="28843" xr:uid="{00000000-0005-0000-0000-000073DC0000}"/>
    <cellStyle name="Remarque 6 2 2 4 3 2 2" xfId="52803" xr:uid="{00000000-0005-0000-0000-000074DC0000}"/>
    <cellStyle name="Remarque 6 2 2 4 3 3" xfId="16090" xr:uid="{00000000-0005-0000-0000-000075DC0000}"/>
    <cellStyle name="Remarque 6 2 2 4 3 4" xfId="40050" xr:uid="{00000000-0005-0000-0000-000076DC0000}"/>
    <cellStyle name="Remarque 6 2 2 4 4" xfId="6223" xr:uid="{00000000-0005-0000-0000-000077DC0000}"/>
    <cellStyle name="Remarque 6 2 2 4 4 2" xfId="30237" xr:uid="{00000000-0005-0000-0000-000078DC0000}"/>
    <cellStyle name="Remarque 6 2 2 4 4 2 2" xfId="54197" xr:uid="{00000000-0005-0000-0000-000079DC0000}"/>
    <cellStyle name="Remarque 6 2 2 4 4 3" xfId="17484" xr:uid="{00000000-0005-0000-0000-00007ADC0000}"/>
    <cellStyle name="Remarque 6 2 2 4 4 4" xfId="41444" xr:uid="{00000000-0005-0000-0000-00007BDC0000}"/>
    <cellStyle name="Remarque 6 2 2 4 5" xfId="7611" xr:uid="{00000000-0005-0000-0000-00007CDC0000}"/>
    <cellStyle name="Remarque 6 2 2 4 5 2" xfId="31625" xr:uid="{00000000-0005-0000-0000-00007DDC0000}"/>
    <cellStyle name="Remarque 6 2 2 4 5 2 2" xfId="55585" xr:uid="{00000000-0005-0000-0000-00007EDC0000}"/>
    <cellStyle name="Remarque 6 2 2 4 5 3" xfId="18872" xr:uid="{00000000-0005-0000-0000-00007FDC0000}"/>
    <cellStyle name="Remarque 6 2 2 4 5 4" xfId="42832" xr:uid="{00000000-0005-0000-0000-000080DC0000}"/>
    <cellStyle name="Remarque 6 2 2 4 6" xfId="8996" xr:uid="{00000000-0005-0000-0000-000081DC0000}"/>
    <cellStyle name="Remarque 6 2 2 4 6 2" xfId="33010" xr:uid="{00000000-0005-0000-0000-000082DC0000}"/>
    <cellStyle name="Remarque 6 2 2 4 6 2 2" xfId="56970" xr:uid="{00000000-0005-0000-0000-000083DC0000}"/>
    <cellStyle name="Remarque 6 2 2 4 6 3" xfId="20257" xr:uid="{00000000-0005-0000-0000-000084DC0000}"/>
    <cellStyle name="Remarque 6 2 2 4 6 4" xfId="44217" xr:uid="{00000000-0005-0000-0000-000085DC0000}"/>
    <cellStyle name="Remarque 6 2 2 4 7" xfId="10453" xr:uid="{00000000-0005-0000-0000-000086DC0000}"/>
    <cellStyle name="Remarque 6 2 2 4 7 2" xfId="34463" xr:uid="{00000000-0005-0000-0000-000087DC0000}"/>
    <cellStyle name="Remarque 6 2 2 4 7 2 2" xfId="58423" xr:uid="{00000000-0005-0000-0000-000088DC0000}"/>
    <cellStyle name="Remarque 6 2 2 4 7 3" xfId="21720" xr:uid="{00000000-0005-0000-0000-000089DC0000}"/>
    <cellStyle name="Remarque 6 2 2 4 7 4" xfId="45680" xr:uid="{00000000-0005-0000-0000-00008ADC0000}"/>
    <cellStyle name="Remarque 6 2 2 4 8" xfId="12623" xr:uid="{00000000-0005-0000-0000-00008BDC0000}"/>
    <cellStyle name="Remarque 6 2 2 4 8 2" xfId="23926" xr:uid="{00000000-0005-0000-0000-00008CDC0000}"/>
    <cellStyle name="Remarque 6 2 2 4 8 3" xfId="47886" xr:uid="{00000000-0005-0000-0000-00008DDC0000}"/>
    <cellStyle name="Remarque 6 2 2 4 9" xfId="1925" xr:uid="{00000000-0005-0000-0000-00008EDC0000}"/>
    <cellStyle name="Remarque 6 2 2 4 9 2" xfId="25939" xr:uid="{00000000-0005-0000-0000-00008FDC0000}"/>
    <cellStyle name="Remarque 6 2 2 4 9 3" xfId="49899" xr:uid="{00000000-0005-0000-0000-000090DC0000}"/>
    <cellStyle name="Remarque 6 2 2 5" xfId="681" xr:uid="{00000000-0005-0000-0000-000091DC0000}"/>
    <cellStyle name="Remarque 6 2 2 5 10" xfId="24713" xr:uid="{00000000-0005-0000-0000-000092DC0000}"/>
    <cellStyle name="Remarque 6 2 2 5 10 2" xfId="48673" xr:uid="{00000000-0005-0000-0000-000093DC0000}"/>
    <cellStyle name="Remarque 6 2 2 5 11" xfId="35809" xr:uid="{00000000-0005-0000-0000-000094DC0000}"/>
    <cellStyle name="Remarque 6 2 2 5 11 2" xfId="59769" xr:uid="{00000000-0005-0000-0000-000095DC0000}"/>
    <cellStyle name="Remarque 6 2 2 5 12" xfId="13378" xr:uid="{00000000-0005-0000-0000-000096DC0000}"/>
    <cellStyle name="Remarque 6 2 2 5 13" xfId="37338" xr:uid="{00000000-0005-0000-0000-000097DC0000}"/>
    <cellStyle name="Remarque 6 2 2 5 2" xfId="3587" xr:uid="{00000000-0005-0000-0000-000098DC0000}"/>
    <cellStyle name="Remarque 6 2 2 5 2 2" xfId="27601" xr:uid="{00000000-0005-0000-0000-000099DC0000}"/>
    <cellStyle name="Remarque 6 2 2 5 2 2 2" xfId="51561" xr:uid="{00000000-0005-0000-0000-00009ADC0000}"/>
    <cellStyle name="Remarque 6 2 2 5 2 3" xfId="14848" xr:uid="{00000000-0005-0000-0000-00009BDC0000}"/>
    <cellStyle name="Remarque 6 2 2 5 2 4" xfId="38808" xr:uid="{00000000-0005-0000-0000-00009CDC0000}"/>
    <cellStyle name="Remarque 6 2 2 5 3" xfId="5021" xr:uid="{00000000-0005-0000-0000-00009DDC0000}"/>
    <cellStyle name="Remarque 6 2 2 5 3 2" xfId="29035" xr:uid="{00000000-0005-0000-0000-00009EDC0000}"/>
    <cellStyle name="Remarque 6 2 2 5 3 2 2" xfId="52995" xr:uid="{00000000-0005-0000-0000-00009FDC0000}"/>
    <cellStyle name="Remarque 6 2 2 5 3 3" xfId="16282" xr:uid="{00000000-0005-0000-0000-0000A0DC0000}"/>
    <cellStyle name="Remarque 6 2 2 5 3 4" xfId="40242" xr:uid="{00000000-0005-0000-0000-0000A1DC0000}"/>
    <cellStyle name="Remarque 6 2 2 5 4" xfId="6415" xr:uid="{00000000-0005-0000-0000-0000A2DC0000}"/>
    <cellStyle name="Remarque 6 2 2 5 4 2" xfId="30429" xr:uid="{00000000-0005-0000-0000-0000A3DC0000}"/>
    <cellStyle name="Remarque 6 2 2 5 4 2 2" xfId="54389" xr:uid="{00000000-0005-0000-0000-0000A4DC0000}"/>
    <cellStyle name="Remarque 6 2 2 5 4 3" xfId="17676" xr:uid="{00000000-0005-0000-0000-0000A5DC0000}"/>
    <cellStyle name="Remarque 6 2 2 5 4 4" xfId="41636" xr:uid="{00000000-0005-0000-0000-0000A6DC0000}"/>
    <cellStyle name="Remarque 6 2 2 5 5" xfId="7803" xr:uid="{00000000-0005-0000-0000-0000A7DC0000}"/>
    <cellStyle name="Remarque 6 2 2 5 5 2" xfId="31817" xr:uid="{00000000-0005-0000-0000-0000A8DC0000}"/>
    <cellStyle name="Remarque 6 2 2 5 5 2 2" xfId="55777" xr:uid="{00000000-0005-0000-0000-0000A9DC0000}"/>
    <cellStyle name="Remarque 6 2 2 5 5 3" xfId="19064" xr:uid="{00000000-0005-0000-0000-0000AADC0000}"/>
    <cellStyle name="Remarque 6 2 2 5 5 4" xfId="43024" xr:uid="{00000000-0005-0000-0000-0000ABDC0000}"/>
    <cellStyle name="Remarque 6 2 2 5 6" xfId="9188" xr:uid="{00000000-0005-0000-0000-0000ACDC0000}"/>
    <cellStyle name="Remarque 6 2 2 5 6 2" xfId="33202" xr:uid="{00000000-0005-0000-0000-0000ADDC0000}"/>
    <cellStyle name="Remarque 6 2 2 5 6 2 2" xfId="57162" xr:uid="{00000000-0005-0000-0000-0000AEDC0000}"/>
    <cellStyle name="Remarque 6 2 2 5 6 3" xfId="20449" xr:uid="{00000000-0005-0000-0000-0000AFDC0000}"/>
    <cellStyle name="Remarque 6 2 2 5 6 4" xfId="44409" xr:uid="{00000000-0005-0000-0000-0000B0DC0000}"/>
    <cellStyle name="Remarque 6 2 2 5 7" xfId="10645" xr:uid="{00000000-0005-0000-0000-0000B1DC0000}"/>
    <cellStyle name="Remarque 6 2 2 5 7 2" xfId="34655" xr:uid="{00000000-0005-0000-0000-0000B2DC0000}"/>
    <cellStyle name="Remarque 6 2 2 5 7 2 2" xfId="58615" xr:uid="{00000000-0005-0000-0000-0000B3DC0000}"/>
    <cellStyle name="Remarque 6 2 2 5 7 3" xfId="21912" xr:uid="{00000000-0005-0000-0000-0000B4DC0000}"/>
    <cellStyle name="Remarque 6 2 2 5 7 4" xfId="45872" xr:uid="{00000000-0005-0000-0000-0000B5DC0000}"/>
    <cellStyle name="Remarque 6 2 2 5 8" xfId="11591" xr:uid="{00000000-0005-0000-0000-0000B6DC0000}"/>
    <cellStyle name="Remarque 6 2 2 5 8 2" xfId="22858" xr:uid="{00000000-0005-0000-0000-0000B7DC0000}"/>
    <cellStyle name="Remarque 6 2 2 5 8 3" xfId="46818" xr:uid="{00000000-0005-0000-0000-0000B8DC0000}"/>
    <cellStyle name="Remarque 6 2 2 5 9" xfId="2117" xr:uid="{00000000-0005-0000-0000-0000B9DC0000}"/>
    <cellStyle name="Remarque 6 2 2 5 9 2" xfId="26131" xr:uid="{00000000-0005-0000-0000-0000BADC0000}"/>
    <cellStyle name="Remarque 6 2 2 5 9 3" xfId="50091" xr:uid="{00000000-0005-0000-0000-0000BBDC0000}"/>
    <cellStyle name="Remarque 6 2 2 6" xfId="875" xr:uid="{00000000-0005-0000-0000-0000BCDC0000}"/>
    <cellStyle name="Remarque 6 2 2 6 10" xfId="24907" xr:uid="{00000000-0005-0000-0000-0000BDDC0000}"/>
    <cellStyle name="Remarque 6 2 2 6 10 2" xfId="48867" xr:uid="{00000000-0005-0000-0000-0000BEDC0000}"/>
    <cellStyle name="Remarque 6 2 2 6 11" xfId="35949" xr:uid="{00000000-0005-0000-0000-0000BFDC0000}"/>
    <cellStyle name="Remarque 6 2 2 6 11 2" xfId="59909" xr:uid="{00000000-0005-0000-0000-0000C0DC0000}"/>
    <cellStyle name="Remarque 6 2 2 6 12" xfId="13572" xr:uid="{00000000-0005-0000-0000-0000C1DC0000}"/>
    <cellStyle name="Remarque 6 2 2 6 13" xfId="37532" xr:uid="{00000000-0005-0000-0000-0000C2DC0000}"/>
    <cellStyle name="Remarque 6 2 2 6 2" xfId="3781" xr:uid="{00000000-0005-0000-0000-0000C3DC0000}"/>
    <cellStyle name="Remarque 6 2 2 6 2 2" xfId="27795" xr:uid="{00000000-0005-0000-0000-0000C4DC0000}"/>
    <cellStyle name="Remarque 6 2 2 6 2 2 2" xfId="51755" xr:uid="{00000000-0005-0000-0000-0000C5DC0000}"/>
    <cellStyle name="Remarque 6 2 2 6 2 3" xfId="15042" xr:uid="{00000000-0005-0000-0000-0000C6DC0000}"/>
    <cellStyle name="Remarque 6 2 2 6 2 4" xfId="39002" xr:uid="{00000000-0005-0000-0000-0000C7DC0000}"/>
    <cellStyle name="Remarque 6 2 2 6 3" xfId="5215" xr:uid="{00000000-0005-0000-0000-0000C8DC0000}"/>
    <cellStyle name="Remarque 6 2 2 6 3 2" xfId="29229" xr:uid="{00000000-0005-0000-0000-0000C9DC0000}"/>
    <cellStyle name="Remarque 6 2 2 6 3 2 2" xfId="53189" xr:uid="{00000000-0005-0000-0000-0000CADC0000}"/>
    <cellStyle name="Remarque 6 2 2 6 3 3" xfId="16476" xr:uid="{00000000-0005-0000-0000-0000CBDC0000}"/>
    <cellStyle name="Remarque 6 2 2 6 3 4" xfId="40436" xr:uid="{00000000-0005-0000-0000-0000CCDC0000}"/>
    <cellStyle name="Remarque 6 2 2 6 4" xfId="6609" xr:uid="{00000000-0005-0000-0000-0000CDDC0000}"/>
    <cellStyle name="Remarque 6 2 2 6 4 2" xfId="30623" xr:uid="{00000000-0005-0000-0000-0000CEDC0000}"/>
    <cellStyle name="Remarque 6 2 2 6 4 2 2" xfId="54583" xr:uid="{00000000-0005-0000-0000-0000CFDC0000}"/>
    <cellStyle name="Remarque 6 2 2 6 4 3" xfId="17870" xr:uid="{00000000-0005-0000-0000-0000D0DC0000}"/>
    <cellStyle name="Remarque 6 2 2 6 4 4" xfId="41830" xr:uid="{00000000-0005-0000-0000-0000D1DC0000}"/>
    <cellStyle name="Remarque 6 2 2 6 5" xfId="7997" xr:uid="{00000000-0005-0000-0000-0000D2DC0000}"/>
    <cellStyle name="Remarque 6 2 2 6 5 2" xfId="32011" xr:uid="{00000000-0005-0000-0000-0000D3DC0000}"/>
    <cellStyle name="Remarque 6 2 2 6 5 2 2" xfId="55971" xr:uid="{00000000-0005-0000-0000-0000D4DC0000}"/>
    <cellStyle name="Remarque 6 2 2 6 5 3" xfId="19258" xr:uid="{00000000-0005-0000-0000-0000D5DC0000}"/>
    <cellStyle name="Remarque 6 2 2 6 5 4" xfId="43218" xr:uid="{00000000-0005-0000-0000-0000D6DC0000}"/>
    <cellStyle name="Remarque 6 2 2 6 6" xfId="9382" xr:uid="{00000000-0005-0000-0000-0000D7DC0000}"/>
    <cellStyle name="Remarque 6 2 2 6 6 2" xfId="33396" xr:uid="{00000000-0005-0000-0000-0000D8DC0000}"/>
    <cellStyle name="Remarque 6 2 2 6 6 2 2" xfId="57356" xr:uid="{00000000-0005-0000-0000-0000D9DC0000}"/>
    <cellStyle name="Remarque 6 2 2 6 6 3" xfId="20643" xr:uid="{00000000-0005-0000-0000-0000DADC0000}"/>
    <cellStyle name="Remarque 6 2 2 6 6 4" xfId="44603" xr:uid="{00000000-0005-0000-0000-0000DBDC0000}"/>
    <cellStyle name="Remarque 6 2 2 6 7" xfId="10839" xr:uid="{00000000-0005-0000-0000-0000DCDC0000}"/>
    <cellStyle name="Remarque 6 2 2 6 7 2" xfId="34849" xr:uid="{00000000-0005-0000-0000-0000DDDC0000}"/>
    <cellStyle name="Remarque 6 2 2 6 7 2 2" xfId="58809" xr:uid="{00000000-0005-0000-0000-0000DEDC0000}"/>
    <cellStyle name="Remarque 6 2 2 6 7 3" xfId="22106" xr:uid="{00000000-0005-0000-0000-0000DFDC0000}"/>
    <cellStyle name="Remarque 6 2 2 6 7 4" xfId="46066" xr:uid="{00000000-0005-0000-0000-0000E0DC0000}"/>
    <cellStyle name="Remarque 6 2 2 6 8" xfId="11729" xr:uid="{00000000-0005-0000-0000-0000E1DC0000}"/>
    <cellStyle name="Remarque 6 2 2 6 8 2" xfId="23000" xr:uid="{00000000-0005-0000-0000-0000E2DC0000}"/>
    <cellStyle name="Remarque 6 2 2 6 8 3" xfId="46960" xr:uid="{00000000-0005-0000-0000-0000E3DC0000}"/>
    <cellStyle name="Remarque 6 2 2 6 9" xfId="2311" xr:uid="{00000000-0005-0000-0000-0000E4DC0000}"/>
    <cellStyle name="Remarque 6 2 2 6 9 2" xfId="26325" xr:uid="{00000000-0005-0000-0000-0000E5DC0000}"/>
    <cellStyle name="Remarque 6 2 2 6 9 3" xfId="50285" xr:uid="{00000000-0005-0000-0000-0000E6DC0000}"/>
    <cellStyle name="Remarque 6 2 2 7" xfId="1068" xr:uid="{00000000-0005-0000-0000-0000E7DC0000}"/>
    <cellStyle name="Remarque 6 2 2 7 10" xfId="25100" xr:uid="{00000000-0005-0000-0000-0000E8DC0000}"/>
    <cellStyle name="Remarque 6 2 2 7 10 2" xfId="49060" xr:uid="{00000000-0005-0000-0000-0000E9DC0000}"/>
    <cellStyle name="Remarque 6 2 2 7 11" xfId="36385" xr:uid="{00000000-0005-0000-0000-0000EADC0000}"/>
    <cellStyle name="Remarque 6 2 2 7 11 2" xfId="60345" xr:uid="{00000000-0005-0000-0000-0000EBDC0000}"/>
    <cellStyle name="Remarque 6 2 2 7 12" xfId="13765" xr:uid="{00000000-0005-0000-0000-0000ECDC0000}"/>
    <cellStyle name="Remarque 6 2 2 7 13" xfId="37725" xr:uid="{00000000-0005-0000-0000-0000EDDC0000}"/>
    <cellStyle name="Remarque 6 2 2 7 2" xfId="3974" xr:uid="{00000000-0005-0000-0000-0000EEDC0000}"/>
    <cellStyle name="Remarque 6 2 2 7 2 2" xfId="27988" xr:uid="{00000000-0005-0000-0000-0000EFDC0000}"/>
    <cellStyle name="Remarque 6 2 2 7 2 2 2" xfId="51948" xr:uid="{00000000-0005-0000-0000-0000F0DC0000}"/>
    <cellStyle name="Remarque 6 2 2 7 2 3" xfId="15235" xr:uid="{00000000-0005-0000-0000-0000F1DC0000}"/>
    <cellStyle name="Remarque 6 2 2 7 2 4" xfId="39195" xr:uid="{00000000-0005-0000-0000-0000F2DC0000}"/>
    <cellStyle name="Remarque 6 2 2 7 3" xfId="5408" xr:uid="{00000000-0005-0000-0000-0000F3DC0000}"/>
    <cellStyle name="Remarque 6 2 2 7 3 2" xfId="29422" xr:uid="{00000000-0005-0000-0000-0000F4DC0000}"/>
    <cellStyle name="Remarque 6 2 2 7 3 2 2" xfId="53382" xr:uid="{00000000-0005-0000-0000-0000F5DC0000}"/>
    <cellStyle name="Remarque 6 2 2 7 3 3" xfId="16669" xr:uid="{00000000-0005-0000-0000-0000F6DC0000}"/>
    <cellStyle name="Remarque 6 2 2 7 3 4" xfId="40629" xr:uid="{00000000-0005-0000-0000-0000F7DC0000}"/>
    <cellStyle name="Remarque 6 2 2 7 4" xfId="6802" xr:uid="{00000000-0005-0000-0000-0000F8DC0000}"/>
    <cellStyle name="Remarque 6 2 2 7 4 2" xfId="30816" xr:uid="{00000000-0005-0000-0000-0000F9DC0000}"/>
    <cellStyle name="Remarque 6 2 2 7 4 2 2" xfId="54776" xr:uid="{00000000-0005-0000-0000-0000FADC0000}"/>
    <cellStyle name="Remarque 6 2 2 7 4 3" xfId="18063" xr:uid="{00000000-0005-0000-0000-0000FBDC0000}"/>
    <cellStyle name="Remarque 6 2 2 7 4 4" xfId="42023" xr:uid="{00000000-0005-0000-0000-0000FCDC0000}"/>
    <cellStyle name="Remarque 6 2 2 7 5" xfId="8190" xr:uid="{00000000-0005-0000-0000-0000FDDC0000}"/>
    <cellStyle name="Remarque 6 2 2 7 5 2" xfId="32204" xr:uid="{00000000-0005-0000-0000-0000FEDC0000}"/>
    <cellStyle name="Remarque 6 2 2 7 5 2 2" xfId="56164" xr:uid="{00000000-0005-0000-0000-0000FFDC0000}"/>
    <cellStyle name="Remarque 6 2 2 7 5 3" xfId="19451" xr:uid="{00000000-0005-0000-0000-000000DD0000}"/>
    <cellStyle name="Remarque 6 2 2 7 5 4" xfId="43411" xr:uid="{00000000-0005-0000-0000-000001DD0000}"/>
    <cellStyle name="Remarque 6 2 2 7 6" xfId="9575" xr:uid="{00000000-0005-0000-0000-000002DD0000}"/>
    <cellStyle name="Remarque 6 2 2 7 6 2" xfId="33589" xr:uid="{00000000-0005-0000-0000-000003DD0000}"/>
    <cellStyle name="Remarque 6 2 2 7 6 2 2" xfId="57549" xr:uid="{00000000-0005-0000-0000-000004DD0000}"/>
    <cellStyle name="Remarque 6 2 2 7 6 3" xfId="20836" xr:uid="{00000000-0005-0000-0000-000005DD0000}"/>
    <cellStyle name="Remarque 6 2 2 7 6 4" xfId="44796" xr:uid="{00000000-0005-0000-0000-000006DD0000}"/>
    <cellStyle name="Remarque 6 2 2 7 7" xfId="11032" xr:uid="{00000000-0005-0000-0000-000007DD0000}"/>
    <cellStyle name="Remarque 6 2 2 7 7 2" xfId="35042" xr:uid="{00000000-0005-0000-0000-000008DD0000}"/>
    <cellStyle name="Remarque 6 2 2 7 7 2 2" xfId="59002" xr:uid="{00000000-0005-0000-0000-000009DD0000}"/>
    <cellStyle name="Remarque 6 2 2 7 7 3" xfId="22299" xr:uid="{00000000-0005-0000-0000-00000ADD0000}"/>
    <cellStyle name="Remarque 6 2 2 7 7 4" xfId="46259" xr:uid="{00000000-0005-0000-0000-00000BDD0000}"/>
    <cellStyle name="Remarque 6 2 2 7 8" xfId="12669" xr:uid="{00000000-0005-0000-0000-00000CDD0000}"/>
    <cellStyle name="Remarque 6 2 2 7 8 2" xfId="23974" xr:uid="{00000000-0005-0000-0000-00000DDD0000}"/>
    <cellStyle name="Remarque 6 2 2 7 8 3" xfId="47934" xr:uid="{00000000-0005-0000-0000-00000EDD0000}"/>
    <cellStyle name="Remarque 6 2 2 7 9" xfId="2504" xr:uid="{00000000-0005-0000-0000-00000FDD0000}"/>
    <cellStyle name="Remarque 6 2 2 7 9 2" xfId="26518" xr:uid="{00000000-0005-0000-0000-000010DD0000}"/>
    <cellStyle name="Remarque 6 2 2 7 9 3" xfId="50478" xr:uid="{00000000-0005-0000-0000-000011DD0000}"/>
    <cellStyle name="Remarque 6 2 2 8" xfId="1235" xr:uid="{00000000-0005-0000-0000-000012DD0000}"/>
    <cellStyle name="Remarque 6 2 2 8 10" xfId="25267" xr:uid="{00000000-0005-0000-0000-000013DD0000}"/>
    <cellStyle name="Remarque 6 2 2 8 10 2" xfId="49227" xr:uid="{00000000-0005-0000-0000-000014DD0000}"/>
    <cellStyle name="Remarque 6 2 2 8 11" xfId="36056" xr:uid="{00000000-0005-0000-0000-000015DD0000}"/>
    <cellStyle name="Remarque 6 2 2 8 11 2" xfId="60016" xr:uid="{00000000-0005-0000-0000-000016DD0000}"/>
    <cellStyle name="Remarque 6 2 2 8 12" xfId="13932" xr:uid="{00000000-0005-0000-0000-000017DD0000}"/>
    <cellStyle name="Remarque 6 2 2 8 13" xfId="37892" xr:uid="{00000000-0005-0000-0000-000018DD0000}"/>
    <cellStyle name="Remarque 6 2 2 8 2" xfId="4141" xr:uid="{00000000-0005-0000-0000-000019DD0000}"/>
    <cellStyle name="Remarque 6 2 2 8 2 2" xfId="28155" xr:uid="{00000000-0005-0000-0000-00001ADD0000}"/>
    <cellStyle name="Remarque 6 2 2 8 2 2 2" xfId="52115" xr:uid="{00000000-0005-0000-0000-00001BDD0000}"/>
    <cellStyle name="Remarque 6 2 2 8 2 3" xfId="15402" xr:uid="{00000000-0005-0000-0000-00001CDD0000}"/>
    <cellStyle name="Remarque 6 2 2 8 2 4" xfId="39362" xr:uid="{00000000-0005-0000-0000-00001DDD0000}"/>
    <cellStyle name="Remarque 6 2 2 8 3" xfId="5575" xr:uid="{00000000-0005-0000-0000-00001EDD0000}"/>
    <cellStyle name="Remarque 6 2 2 8 3 2" xfId="29589" xr:uid="{00000000-0005-0000-0000-00001FDD0000}"/>
    <cellStyle name="Remarque 6 2 2 8 3 2 2" xfId="53549" xr:uid="{00000000-0005-0000-0000-000020DD0000}"/>
    <cellStyle name="Remarque 6 2 2 8 3 3" xfId="16836" xr:uid="{00000000-0005-0000-0000-000021DD0000}"/>
    <cellStyle name="Remarque 6 2 2 8 3 4" xfId="40796" xr:uid="{00000000-0005-0000-0000-000022DD0000}"/>
    <cellStyle name="Remarque 6 2 2 8 4" xfId="6969" xr:uid="{00000000-0005-0000-0000-000023DD0000}"/>
    <cellStyle name="Remarque 6 2 2 8 4 2" xfId="30983" xr:uid="{00000000-0005-0000-0000-000024DD0000}"/>
    <cellStyle name="Remarque 6 2 2 8 4 2 2" xfId="54943" xr:uid="{00000000-0005-0000-0000-000025DD0000}"/>
    <cellStyle name="Remarque 6 2 2 8 4 3" xfId="18230" xr:uid="{00000000-0005-0000-0000-000026DD0000}"/>
    <cellStyle name="Remarque 6 2 2 8 4 4" xfId="42190" xr:uid="{00000000-0005-0000-0000-000027DD0000}"/>
    <cellStyle name="Remarque 6 2 2 8 5" xfId="8357" xr:uid="{00000000-0005-0000-0000-000028DD0000}"/>
    <cellStyle name="Remarque 6 2 2 8 5 2" xfId="32371" xr:uid="{00000000-0005-0000-0000-000029DD0000}"/>
    <cellStyle name="Remarque 6 2 2 8 5 2 2" xfId="56331" xr:uid="{00000000-0005-0000-0000-00002ADD0000}"/>
    <cellStyle name="Remarque 6 2 2 8 5 3" xfId="19618" xr:uid="{00000000-0005-0000-0000-00002BDD0000}"/>
    <cellStyle name="Remarque 6 2 2 8 5 4" xfId="43578" xr:uid="{00000000-0005-0000-0000-00002CDD0000}"/>
    <cellStyle name="Remarque 6 2 2 8 6" xfId="9742" xr:uid="{00000000-0005-0000-0000-00002DDD0000}"/>
    <cellStyle name="Remarque 6 2 2 8 6 2" xfId="33756" xr:uid="{00000000-0005-0000-0000-00002EDD0000}"/>
    <cellStyle name="Remarque 6 2 2 8 6 2 2" xfId="57716" xr:uid="{00000000-0005-0000-0000-00002FDD0000}"/>
    <cellStyle name="Remarque 6 2 2 8 6 3" xfId="21003" xr:uid="{00000000-0005-0000-0000-000030DD0000}"/>
    <cellStyle name="Remarque 6 2 2 8 6 4" xfId="44963" xr:uid="{00000000-0005-0000-0000-000031DD0000}"/>
    <cellStyle name="Remarque 6 2 2 8 7" xfId="11199" xr:uid="{00000000-0005-0000-0000-000032DD0000}"/>
    <cellStyle name="Remarque 6 2 2 8 7 2" xfId="35209" xr:uid="{00000000-0005-0000-0000-000033DD0000}"/>
    <cellStyle name="Remarque 6 2 2 8 7 2 2" xfId="59169" xr:uid="{00000000-0005-0000-0000-000034DD0000}"/>
    <cellStyle name="Remarque 6 2 2 8 7 3" xfId="22466" xr:uid="{00000000-0005-0000-0000-000035DD0000}"/>
    <cellStyle name="Remarque 6 2 2 8 7 4" xfId="46426" xr:uid="{00000000-0005-0000-0000-000036DD0000}"/>
    <cellStyle name="Remarque 6 2 2 8 8" xfId="12216" xr:uid="{00000000-0005-0000-0000-000037DD0000}"/>
    <cellStyle name="Remarque 6 2 2 8 8 2" xfId="23500" xr:uid="{00000000-0005-0000-0000-000038DD0000}"/>
    <cellStyle name="Remarque 6 2 2 8 8 3" xfId="47460" xr:uid="{00000000-0005-0000-0000-000039DD0000}"/>
    <cellStyle name="Remarque 6 2 2 8 9" xfId="2671" xr:uid="{00000000-0005-0000-0000-00003ADD0000}"/>
    <cellStyle name="Remarque 6 2 2 8 9 2" xfId="26685" xr:uid="{00000000-0005-0000-0000-00003BDD0000}"/>
    <cellStyle name="Remarque 6 2 2 8 9 3" xfId="50645" xr:uid="{00000000-0005-0000-0000-00003CDD0000}"/>
    <cellStyle name="Remarque 6 2 2 9" xfId="1404" xr:uid="{00000000-0005-0000-0000-00003DDD0000}"/>
    <cellStyle name="Remarque 6 2 2 9 10" xfId="25436" xr:uid="{00000000-0005-0000-0000-00003EDD0000}"/>
    <cellStyle name="Remarque 6 2 2 9 10 2" xfId="49396" xr:uid="{00000000-0005-0000-0000-00003FDD0000}"/>
    <cellStyle name="Remarque 6 2 2 9 11" xfId="35590" xr:uid="{00000000-0005-0000-0000-000040DD0000}"/>
    <cellStyle name="Remarque 6 2 2 9 11 2" xfId="59550" xr:uid="{00000000-0005-0000-0000-000041DD0000}"/>
    <cellStyle name="Remarque 6 2 2 9 12" xfId="14101" xr:uid="{00000000-0005-0000-0000-000042DD0000}"/>
    <cellStyle name="Remarque 6 2 2 9 13" xfId="38061" xr:uid="{00000000-0005-0000-0000-000043DD0000}"/>
    <cellStyle name="Remarque 6 2 2 9 2" xfId="4310" xr:uid="{00000000-0005-0000-0000-000044DD0000}"/>
    <cellStyle name="Remarque 6 2 2 9 2 2" xfId="28324" xr:uid="{00000000-0005-0000-0000-000045DD0000}"/>
    <cellStyle name="Remarque 6 2 2 9 2 2 2" xfId="52284" xr:uid="{00000000-0005-0000-0000-000046DD0000}"/>
    <cellStyle name="Remarque 6 2 2 9 2 3" xfId="15571" xr:uid="{00000000-0005-0000-0000-000047DD0000}"/>
    <cellStyle name="Remarque 6 2 2 9 2 4" xfId="39531" xr:uid="{00000000-0005-0000-0000-000048DD0000}"/>
    <cellStyle name="Remarque 6 2 2 9 3" xfId="5744" xr:uid="{00000000-0005-0000-0000-000049DD0000}"/>
    <cellStyle name="Remarque 6 2 2 9 3 2" xfId="29758" xr:uid="{00000000-0005-0000-0000-00004ADD0000}"/>
    <cellStyle name="Remarque 6 2 2 9 3 2 2" xfId="53718" xr:uid="{00000000-0005-0000-0000-00004BDD0000}"/>
    <cellStyle name="Remarque 6 2 2 9 3 3" xfId="17005" xr:uid="{00000000-0005-0000-0000-00004CDD0000}"/>
    <cellStyle name="Remarque 6 2 2 9 3 4" xfId="40965" xr:uid="{00000000-0005-0000-0000-00004DDD0000}"/>
    <cellStyle name="Remarque 6 2 2 9 4" xfId="7138" xr:uid="{00000000-0005-0000-0000-00004EDD0000}"/>
    <cellStyle name="Remarque 6 2 2 9 4 2" xfId="31152" xr:uid="{00000000-0005-0000-0000-00004FDD0000}"/>
    <cellStyle name="Remarque 6 2 2 9 4 2 2" xfId="55112" xr:uid="{00000000-0005-0000-0000-000050DD0000}"/>
    <cellStyle name="Remarque 6 2 2 9 4 3" xfId="18399" xr:uid="{00000000-0005-0000-0000-000051DD0000}"/>
    <cellStyle name="Remarque 6 2 2 9 4 4" xfId="42359" xr:uid="{00000000-0005-0000-0000-000052DD0000}"/>
    <cellStyle name="Remarque 6 2 2 9 5" xfId="8526" xr:uid="{00000000-0005-0000-0000-000053DD0000}"/>
    <cellStyle name="Remarque 6 2 2 9 5 2" xfId="32540" xr:uid="{00000000-0005-0000-0000-000054DD0000}"/>
    <cellStyle name="Remarque 6 2 2 9 5 2 2" xfId="56500" xr:uid="{00000000-0005-0000-0000-000055DD0000}"/>
    <cellStyle name="Remarque 6 2 2 9 5 3" xfId="19787" xr:uid="{00000000-0005-0000-0000-000056DD0000}"/>
    <cellStyle name="Remarque 6 2 2 9 5 4" xfId="43747" xr:uid="{00000000-0005-0000-0000-000057DD0000}"/>
    <cellStyle name="Remarque 6 2 2 9 6" xfId="9911" xr:uid="{00000000-0005-0000-0000-000058DD0000}"/>
    <cellStyle name="Remarque 6 2 2 9 6 2" xfId="33925" xr:uid="{00000000-0005-0000-0000-000059DD0000}"/>
    <cellStyle name="Remarque 6 2 2 9 6 2 2" xfId="57885" xr:uid="{00000000-0005-0000-0000-00005ADD0000}"/>
    <cellStyle name="Remarque 6 2 2 9 6 3" xfId="21172" xr:uid="{00000000-0005-0000-0000-00005BDD0000}"/>
    <cellStyle name="Remarque 6 2 2 9 6 4" xfId="45132" xr:uid="{00000000-0005-0000-0000-00005CDD0000}"/>
    <cellStyle name="Remarque 6 2 2 9 7" xfId="11368" xr:uid="{00000000-0005-0000-0000-00005DDD0000}"/>
    <cellStyle name="Remarque 6 2 2 9 7 2" xfId="35378" xr:uid="{00000000-0005-0000-0000-00005EDD0000}"/>
    <cellStyle name="Remarque 6 2 2 9 7 2 2" xfId="59338" xr:uid="{00000000-0005-0000-0000-00005FDD0000}"/>
    <cellStyle name="Remarque 6 2 2 9 7 3" xfId="22635" xr:uid="{00000000-0005-0000-0000-000060DD0000}"/>
    <cellStyle name="Remarque 6 2 2 9 7 4" xfId="46595" xr:uid="{00000000-0005-0000-0000-000061DD0000}"/>
    <cellStyle name="Remarque 6 2 2 9 8" xfId="12544" xr:uid="{00000000-0005-0000-0000-000062DD0000}"/>
    <cellStyle name="Remarque 6 2 2 9 8 2" xfId="23842" xr:uid="{00000000-0005-0000-0000-000063DD0000}"/>
    <cellStyle name="Remarque 6 2 2 9 8 3" xfId="47802" xr:uid="{00000000-0005-0000-0000-000064DD0000}"/>
    <cellStyle name="Remarque 6 2 2 9 9" xfId="2840" xr:uid="{00000000-0005-0000-0000-000065DD0000}"/>
    <cellStyle name="Remarque 6 2 2 9 9 2" xfId="26854" xr:uid="{00000000-0005-0000-0000-000066DD0000}"/>
    <cellStyle name="Remarque 6 2 2 9 9 3" xfId="50814" xr:uid="{00000000-0005-0000-0000-000067DD0000}"/>
    <cellStyle name="Remarque 6 2 20" xfId="10147" xr:uid="{00000000-0005-0000-0000-000068DD0000}"/>
    <cellStyle name="Remarque 6 2 20 2" xfId="34159" xr:uid="{00000000-0005-0000-0000-000069DD0000}"/>
    <cellStyle name="Remarque 6 2 20 2 2" xfId="58119" xr:uid="{00000000-0005-0000-0000-00006ADD0000}"/>
    <cellStyle name="Remarque 6 2 20 3" xfId="21412" xr:uid="{00000000-0005-0000-0000-00006BDD0000}"/>
    <cellStyle name="Remarque 6 2 20 4" xfId="45372" xr:uid="{00000000-0005-0000-0000-00006CDD0000}"/>
    <cellStyle name="Remarque 6 2 21" xfId="11659" xr:uid="{00000000-0005-0000-0000-00006DDD0000}"/>
    <cellStyle name="Remarque 6 2 21 2" xfId="22927" xr:uid="{00000000-0005-0000-0000-00006EDD0000}"/>
    <cellStyle name="Remarque 6 2 21 3" xfId="46887" xr:uid="{00000000-0005-0000-0000-00006FDD0000}"/>
    <cellStyle name="Remarque 6 2 22" xfId="1645" xr:uid="{00000000-0005-0000-0000-000070DD0000}"/>
    <cellStyle name="Remarque 6 2 22 2" xfId="25659" xr:uid="{00000000-0005-0000-0000-000071DD0000}"/>
    <cellStyle name="Remarque 6 2 22 3" xfId="49619" xr:uid="{00000000-0005-0000-0000-000072DD0000}"/>
    <cellStyle name="Remarque 6 2 23" xfId="23944" xr:uid="{00000000-0005-0000-0000-000073DD0000}"/>
    <cellStyle name="Remarque 6 2 23 2" xfId="47904" xr:uid="{00000000-0005-0000-0000-000074DD0000}"/>
    <cellStyle name="Remarque 6 2 24" xfId="36147" xr:uid="{00000000-0005-0000-0000-000075DD0000}"/>
    <cellStyle name="Remarque 6 2 24 2" xfId="60107" xr:uid="{00000000-0005-0000-0000-000076DD0000}"/>
    <cellStyle name="Remarque 6 2 25" xfId="12925" xr:uid="{00000000-0005-0000-0000-000077DD0000}"/>
    <cellStyle name="Remarque 6 2 26" xfId="36866" xr:uid="{00000000-0005-0000-0000-000078DD0000}"/>
    <cellStyle name="Remarque 6 2 27" xfId="181" xr:uid="{00000000-0005-0000-0000-000079DD0000}"/>
    <cellStyle name="Remarque 6 2 3" xfId="141" xr:uid="{00000000-0005-0000-0000-00007ADD0000}"/>
    <cellStyle name="Remarque 6 2 3 10" xfId="6137" xr:uid="{00000000-0005-0000-0000-00007BDD0000}"/>
    <cellStyle name="Remarque 6 2 3 10 2" xfId="30151" xr:uid="{00000000-0005-0000-0000-00007CDD0000}"/>
    <cellStyle name="Remarque 6 2 3 10 2 2" xfId="54111" xr:uid="{00000000-0005-0000-0000-00007DDD0000}"/>
    <cellStyle name="Remarque 6 2 3 10 3" xfId="17398" xr:uid="{00000000-0005-0000-0000-00007EDD0000}"/>
    <cellStyle name="Remarque 6 2 3 10 4" xfId="41358" xr:uid="{00000000-0005-0000-0000-00007FDD0000}"/>
    <cellStyle name="Remarque 6 2 3 11" xfId="7525" xr:uid="{00000000-0005-0000-0000-000080DD0000}"/>
    <cellStyle name="Remarque 6 2 3 11 2" xfId="31539" xr:uid="{00000000-0005-0000-0000-000081DD0000}"/>
    <cellStyle name="Remarque 6 2 3 11 2 2" xfId="55499" xr:uid="{00000000-0005-0000-0000-000082DD0000}"/>
    <cellStyle name="Remarque 6 2 3 11 3" xfId="18786" xr:uid="{00000000-0005-0000-0000-000083DD0000}"/>
    <cellStyle name="Remarque 6 2 3 11 4" xfId="42746" xr:uid="{00000000-0005-0000-0000-000084DD0000}"/>
    <cellStyle name="Remarque 6 2 3 12" xfId="8910" xr:uid="{00000000-0005-0000-0000-000085DD0000}"/>
    <cellStyle name="Remarque 6 2 3 12 2" xfId="32924" xr:uid="{00000000-0005-0000-0000-000086DD0000}"/>
    <cellStyle name="Remarque 6 2 3 12 2 2" xfId="56884" xr:uid="{00000000-0005-0000-0000-000087DD0000}"/>
    <cellStyle name="Remarque 6 2 3 12 3" xfId="20171" xr:uid="{00000000-0005-0000-0000-000088DD0000}"/>
    <cellStyle name="Remarque 6 2 3 12 4" xfId="44131" xr:uid="{00000000-0005-0000-0000-000089DD0000}"/>
    <cellStyle name="Remarque 6 2 3 13" xfId="10367" xr:uid="{00000000-0005-0000-0000-00008ADD0000}"/>
    <cellStyle name="Remarque 6 2 3 13 2" xfId="34377" xr:uid="{00000000-0005-0000-0000-00008BDD0000}"/>
    <cellStyle name="Remarque 6 2 3 13 2 2" xfId="58337" xr:uid="{00000000-0005-0000-0000-00008CDD0000}"/>
    <cellStyle name="Remarque 6 2 3 13 3" xfId="21634" xr:uid="{00000000-0005-0000-0000-00008DDD0000}"/>
    <cellStyle name="Remarque 6 2 3 13 4" xfId="45594" xr:uid="{00000000-0005-0000-0000-00008EDD0000}"/>
    <cellStyle name="Remarque 6 2 3 14" xfId="11935" xr:uid="{00000000-0005-0000-0000-00008FDD0000}"/>
    <cellStyle name="Remarque 6 2 3 14 2" xfId="23213" xr:uid="{00000000-0005-0000-0000-000090DD0000}"/>
    <cellStyle name="Remarque 6 2 3 14 3" xfId="47173" xr:uid="{00000000-0005-0000-0000-000091DD0000}"/>
    <cellStyle name="Remarque 6 2 3 15" xfId="1839" xr:uid="{00000000-0005-0000-0000-000092DD0000}"/>
    <cellStyle name="Remarque 6 2 3 15 2" xfId="25853" xr:uid="{00000000-0005-0000-0000-000093DD0000}"/>
    <cellStyle name="Remarque 6 2 3 15 3" xfId="49813" xr:uid="{00000000-0005-0000-0000-000094DD0000}"/>
    <cellStyle name="Remarque 6 2 3 16" xfId="24435" xr:uid="{00000000-0005-0000-0000-000095DD0000}"/>
    <cellStyle name="Remarque 6 2 3 16 2" xfId="48395" xr:uid="{00000000-0005-0000-0000-000096DD0000}"/>
    <cellStyle name="Remarque 6 2 3 17" xfId="35956" xr:uid="{00000000-0005-0000-0000-000097DD0000}"/>
    <cellStyle name="Remarque 6 2 3 17 2" xfId="59916" xr:uid="{00000000-0005-0000-0000-000098DD0000}"/>
    <cellStyle name="Remarque 6 2 3 18" xfId="13100" xr:uid="{00000000-0005-0000-0000-000099DD0000}"/>
    <cellStyle name="Remarque 6 2 3 19" xfId="37060" xr:uid="{00000000-0005-0000-0000-00009ADD0000}"/>
    <cellStyle name="Remarque 6 2 3 2" xfId="539" xr:uid="{00000000-0005-0000-0000-00009BDD0000}"/>
    <cellStyle name="Remarque 6 2 3 2 10" xfId="24571" xr:uid="{00000000-0005-0000-0000-00009CDD0000}"/>
    <cellStyle name="Remarque 6 2 3 2 10 2" xfId="48531" xr:uid="{00000000-0005-0000-0000-00009DDD0000}"/>
    <cellStyle name="Remarque 6 2 3 2 11" xfId="36094" xr:uid="{00000000-0005-0000-0000-00009EDD0000}"/>
    <cellStyle name="Remarque 6 2 3 2 11 2" xfId="60054" xr:uid="{00000000-0005-0000-0000-00009FDD0000}"/>
    <cellStyle name="Remarque 6 2 3 2 12" xfId="13236" xr:uid="{00000000-0005-0000-0000-0000A0DD0000}"/>
    <cellStyle name="Remarque 6 2 3 2 13" xfId="37196" xr:uid="{00000000-0005-0000-0000-0000A1DD0000}"/>
    <cellStyle name="Remarque 6 2 3 2 2" xfId="3445" xr:uid="{00000000-0005-0000-0000-0000A2DD0000}"/>
    <cellStyle name="Remarque 6 2 3 2 2 2" xfId="27459" xr:uid="{00000000-0005-0000-0000-0000A3DD0000}"/>
    <cellStyle name="Remarque 6 2 3 2 2 2 2" xfId="51419" xr:uid="{00000000-0005-0000-0000-0000A4DD0000}"/>
    <cellStyle name="Remarque 6 2 3 2 2 3" xfId="14706" xr:uid="{00000000-0005-0000-0000-0000A5DD0000}"/>
    <cellStyle name="Remarque 6 2 3 2 2 4" xfId="38666" xr:uid="{00000000-0005-0000-0000-0000A6DD0000}"/>
    <cellStyle name="Remarque 6 2 3 2 3" xfId="4879" xr:uid="{00000000-0005-0000-0000-0000A7DD0000}"/>
    <cellStyle name="Remarque 6 2 3 2 3 2" xfId="28893" xr:uid="{00000000-0005-0000-0000-0000A8DD0000}"/>
    <cellStyle name="Remarque 6 2 3 2 3 2 2" xfId="52853" xr:uid="{00000000-0005-0000-0000-0000A9DD0000}"/>
    <cellStyle name="Remarque 6 2 3 2 3 3" xfId="16140" xr:uid="{00000000-0005-0000-0000-0000AADD0000}"/>
    <cellStyle name="Remarque 6 2 3 2 3 4" xfId="40100" xr:uid="{00000000-0005-0000-0000-0000ABDD0000}"/>
    <cellStyle name="Remarque 6 2 3 2 4" xfId="6273" xr:uid="{00000000-0005-0000-0000-0000ACDD0000}"/>
    <cellStyle name="Remarque 6 2 3 2 4 2" xfId="30287" xr:uid="{00000000-0005-0000-0000-0000ADDD0000}"/>
    <cellStyle name="Remarque 6 2 3 2 4 2 2" xfId="54247" xr:uid="{00000000-0005-0000-0000-0000AEDD0000}"/>
    <cellStyle name="Remarque 6 2 3 2 4 3" xfId="17534" xr:uid="{00000000-0005-0000-0000-0000AFDD0000}"/>
    <cellStyle name="Remarque 6 2 3 2 4 4" xfId="41494" xr:uid="{00000000-0005-0000-0000-0000B0DD0000}"/>
    <cellStyle name="Remarque 6 2 3 2 5" xfId="7661" xr:uid="{00000000-0005-0000-0000-0000B1DD0000}"/>
    <cellStyle name="Remarque 6 2 3 2 5 2" xfId="31675" xr:uid="{00000000-0005-0000-0000-0000B2DD0000}"/>
    <cellStyle name="Remarque 6 2 3 2 5 2 2" xfId="55635" xr:uid="{00000000-0005-0000-0000-0000B3DD0000}"/>
    <cellStyle name="Remarque 6 2 3 2 5 3" xfId="18922" xr:uid="{00000000-0005-0000-0000-0000B4DD0000}"/>
    <cellStyle name="Remarque 6 2 3 2 5 4" xfId="42882" xr:uid="{00000000-0005-0000-0000-0000B5DD0000}"/>
    <cellStyle name="Remarque 6 2 3 2 6" xfId="9046" xr:uid="{00000000-0005-0000-0000-0000B6DD0000}"/>
    <cellStyle name="Remarque 6 2 3 2 6 2" xfId="33060" xr:uid="{00000000-0005-0000-0000-0000B7DD0000}"/>
    <cellStyle name="Remarque 6 2 3 2 6 2 2" xfId="57020" xr:uid="{00000000-0005-0000-0000-0000B8DD0000}"/>
    <cellStyle name="Remarque 6 2 3 2 6 3" xfId="20307" xr:uid="{00000000-0005-0000-0000-0000B9DD0000}"/>
    <cellStyle name="Remarque 6 2 3 2 6 4" xfId="44267" xr:uid="{00000000-0005-0000-0000-0000BADD0000}"/>
    <cellStyle name="Remarque 6 2 3 2 7" xfId="10503" xr:uid="{00000000-0005-0000-0000-0000BBDD0000}"/>
    <cellStyle name="Remarque 6 2 3 2 7 2" xfId="34513" xr:uid="{00000000-0005-0000-0000-0000BCDD0000}"/>
    <cellStyle name="Remarque 6 2 3 2 7 2 2" xfId="58473" xr:uid="{00000000-0005-0000-0000-0000BDDD0000}"/>
    <cellStyle name="Remarque 6 2 3 2 7 3" xfId="21770" xr:uid="{00000000-0005-0000-0000-0000BEDD0000}"/>
    <cellStyle name="Remarque 6 2 3 2 7 4" xfId="45730" xr:uid="{00000000-0005-0000-0000-0000BFDD0000}"/>
    <cellStyle name="Remarque 6 2 3 2 8" xfId="12490" xr:uid="{00000000-0005-0000-0000-0000C0DD0000}"/>
    <cellStyle name="Remarque 6 2 3 2 8 2" xfId="23787" xr:uid="{00000000-0005-0000-0000-0000C1DD0000}"/>
    <cellStyle name="Remarque 6 2 3 2 8 3" xfId="47747" xr:uid="{00000000-0005-0000-0000-0000C2DD0000}"/>
    <cellStyle name="Remarque 6 2 3 2 9" xfId="1975" xr:uid="{00000000-0005-0000-0000-0000C3DD0000}"/>
    <cellStyle name="Remarque 6 2 3 2 9 2" xfId="25989" xr:uid="{00000000-0005-0000-0000-0000C4DD0000}"/>
    <cellStyle name="Remarque 6 2 3 2 9 3" xfId="49949" xr:uid="{00000000-0005-0000-0000-0000C5DD0000}"/>
    <cellStyle name="Remarque 6 2 3 20" xfId="403" xr:uid="{00000000-0005-0000-0000-0000C6DD0000}"/>
    <cellStyle name="Remarque 6 2 3 3" xfId="731" xr:uid="{00000000-0005-0000-0000-0000C7DD0000}"/>
    <cellStyle name="Remarque 6 2 3 3 10" xfId="24763" xr:uid="{00000000-0005-0000-0000-0000C8DD0000}"/>
    <cellStyle name="Remarque 6 2 3 3 10 2" xfId="48723" xr:uid="{00000000-0005-0000-0000-0000C9DD0000}"/>
    <cellStyle name="Remarque 6 2 3 3 11" xfId="36744" xr:uid="{00000000-0005-0000-0000-0000CADD0000}"/>
    <cellStyle name="Remarque 6 2 3 3 11 2" xfId="60704" xr:uid="{00000000-0005-0000-0000-0000CBDD0000}"/>
    <cellStyle name="Remarque 6 2 3 3 12" xfId="13428" xr:uid="{00000000-0005-0000-0000-0000CCDD0000}"/>
    <cellStyle name="Remarque 6 2 3 3 13" xfId="37388" xr:uid="{00000000-0005-0000-0000-0000CDDD0000}"/>
    <cellStyle name="Remarque 6 2 3 3 2" xfId="3637" xr:uid="{00000000-0005-0000-0000-0000CEDD0000}"/>
    <cellStyle name="Remarque 6 2 3 3 2 2" xfId="27651" xr:uid="{00000000-0005-0000-0000-0000CFDD0000}"/>
    <cellStyle name="Remarque 6 2 3 3 2 2 2" xfId="51611" xr:uid="{00000000-0005-0000-0000-0000D0DD0000}"/>
    <cellStyle name="Remarque 6 2 3 3 2 3" xfId="14898" xr:uid="{00000000-0005-0000-0000-0000D1DD0000}"/>
    <cellStyle name="Remarque 6 2 3 3 2 4" xfId="38858" xr:uid="{00000000-0005-0000-0000-0000D2DD0000}"/>
    <cellStyle name="Remarque 6 2 3 3 3" xfId="5071" xr:uid="{00000000-0005-0000-0000-0000D3DD0000}"/>
    <cellStyle name="Remarque 6 2 3 3 3 2" xfId="29085" xr:uid="{00000000-0005-0000-0000-0000D4DD0000}"/>
    <cellStyle name="Remarque 6 2 3 3 3 2 2" xfId="53045" xr:uid="{00000000-0005-0000-0000-0000D5DD0000}"/>
    <cellStyle name="Remarque 6 2 3 3 3 3" xfId="16332" xr:uid="{00000000-0005-0000-0000-0000D6DD0000}"/>
    <cellStyle name="Remarque 6 2 3 3 3 4" xfId="40292" xr:uid="{00000000-0005-0000-0000-0000D7DD0000}"/>
    <cellStyle name="Remarque 6 2 3 3 4" xfId="6465" xr:uid="{00000000-0005-0000-0000-0000D8DD0000}"/>
    <cellStyle name="Remarque 6 2 3 3 4 2" xfId="30479" xr:uid="{00000000-0005-0000-0000-0000D9DD0000}"/>
    <cellStyle name="Remarque 6 2 3 3 4 2 2" xfId="54439" xr:uid="{00000000-0005-0000-0000-0000DADD0000}"/>
    <cellStyle name="Remarque 6 2 3 3 4 3" xfId="17726" xr:uid="{00000000-0005-0000-0000-0000DBDD0000}"/>
    <cellStyle name="Remarque 6 2 3 3 4 4" xfId="41686" xr:uid="{00000000-0005-0000-0000-0000DCDD0000}"/>
    <cellStyle name="Remarque 6 2 3 3 5" xfId="7853" xr:uid="{00000000-0005-0000-0000-0000DDDD0000}"/>
    <cellStyle name="Remarque 6 2 3 3 5 2" xfId="31867" xr:uid="{00000000-0005-0000-0000-0000DEDD0000}"/>
    <cellStyle name="Remarque 6 2 3 3 5 2 2" xfId="55827" xr:uid="{00000000-0005-0000-0000-0000DFDD0000}"/>
    <cellStyle name="Remarque 6 2 3 3 5 3" xfId="19114" xr:uid="{00000000-0005-0000-0000-0000E0DD0000}"/>
    <cellStyle name="Remarque 6 2 3 3 5 4" xfId="43074" xr:uid="{00000000-0005-0000-0000-0000E1DD0000}"/>
    <cellStyle name="Remarque 6 2 3 3 6" xfId="9238" xr:uid="{00000000-0005-0000-0000-0000E2DD0000}"/>
    <cellStyle name="Remarque 6 2 3 3 6 2" xfId="33252" xr:uid="{00000000-0005-0000-0000-0000E3DD0000}"/>
    <cellStyle name="Remarque 6 2 3 3 6 2 2" xfId="57212" xr:uid="{00000000-0005-0000-0000-0000E4DD0000}"/>
    <cellStyle name="Remarque 6 2 3 3 6 3" xfId="20499" xr:uid="{00000000-0005-0000-0000-0000E5DD0000}"/>
    <cellStyle name="Remarque 6 2 3 3 6 4" xfId="44459" xr:uid="{00000000-0005-0000-0000-0000E6DD0000}"/>
    <cellStyle name="Remarque 6 2 3 3 7" xfId="10695" xr:uid="{00000000-0005-0000-0000-0000E7DD0000}"/>
    <cellStyle name="Remarque 6 2 3 3 7 2" xfId="34705" xr:uid="{00000000-0005-0000-0000-0000E8DD0000}"/>
    <cellStyle name="Remarque 6 2 3 3 7 2 2" xfId="58665" xr:uid="{00000000-0005-0000-0000-0000E9DD0000}"/>
    <cellStyle name="Remarque 6 2 3 3 7 3" xfId="21962" xr:uid="{00000000-0005-0000-0000-0000EADD0000}"/>
    <cellStyle name="Remarque 6 2 3 3 7 4" xfId="45922" xr:uid="{00000000-0005-0000-0000-0000EBDD0000}"/>
    <cellStyle name="Remarque 6 2 3 3 8" xfId="12096" xr:uid="{00000000-0005-0000-0000-0000ECDD0000}"/>
    <cellStyle name="Remarque 6 2 3 3 8 2" xfId="23379" xr:uid="{00000000-0005-0000-0000-0000EDDD0000}"/>
    <cellStyle name="Remarque 6 2 3 3 8 3" xfId="47339" xr:uid="{00000000-0005-0000-0000-0000EEDD0000}"/>
    <cellStyle name="Remarque 6 2 3 3 9" xfId="2167" xr:uid="{00000000-0005-0000-0000-0000EFDD0000}"/>
    <cellStyle name="Remarque 6 2 3 3 9 2" xfId="26181" xr:uid="{00000000-0005-0000-0000-0000F0DD0000}"/>
    <cellStyle name="Remarque 6 2 3 3 9 3" xfId="50141" xr:uid="{00000000-0005-0000-0000-0000F1DD0000}"/>
    <cellStyle name="Remarque 6 2 3 4" xfId="925" xr:uid="{00000000-0005-0000-0000-0000F2DD0000}"/>
    <cellStyle name="Remarque 6 2 3 4 10" xfId="24957" xr:uid="{00000000-0005-0000-0000-0000F3DD0000}"/>
    <cellStyle name="Remarque 6 2 3 4 10 2" xfId="48917" xr:uid="{00000000-0005-0000-0000-0000F4DD0000}"/>
    <cellStyle name="Remarque 6 2 3 4 11" xfId="36798" xr:uid="{00000000-0005-0000-0000-0000F5DD0000}"/>
    <cellStyle name="Remarque 6 2 3 4 11 2" xfId="60758" xr:uid="{00000000-0005-0000-0000-0000F6DD0000}"/>
    <cellStyle name="Remarque 6 2 3 4 12" xfId="13622" xr:uid="{00000000-0005-0000-0000-0000F7DD0000}"/>
    <cellStyle name="Remarque 6 2 3 4 13" xfId="37582" xr:uid="{00000000-0005-0000-0000-0000F8DD0000}"/>
    <cellStyle name="Remarque 6 2 3 4 2" xfId="3831" xr:uid="{00000000-0005-0000-0000-0000F9DD0000}"/>
    <cellStyle name="Remarque 6 2 3 4 2 2" xfId="27845" xr:uid="{00000000-0005-0000-0000-0000FADD0000}"/>
    <cellStyle name="Remarque 6 2 3 4 2 2 2" xfId="51805" xr:uid="{00000000-0005-0000-0000-0000FBDD0000}"/>
    <cellStyle name="Remarque 6 2 3 4 2 3" xfId="15092" xr:uid="{00000000-0005-0000-0000-0000FCDD0000}"/>
    <cellStyle name="Remarque 6 2 3 4 2 4" xfId="39052" xr:uid="{00000000-0005-0000-0000-0000FDDD0000}"/>
    <cellStyle name="Remarque 6 2 3 4 3" xfId="5265" xr:uid="{00000000-0005-0000-0000-0000FEDD0000}"/>
    <cellStyle name="Remarque 6 2 3 4 3 2" xfId="29279" xr:uid="{00000000-0005-0000-0000-0000FFDD0000}"/>
    <cellStyle name="Remarque 6 2 3 4 3 2 2" xfId="53239" xr:uid="{00000000-0005-0000-0000-000000DE0000}"/>
    <cellStyle name="Remarque 6 2 3 4 3 3" xfId="16526" xr:uid="{00000000-0005-0000-0000-000001DE0000}"/>
    <cellStyle name="Remarque 6 2 3 4 3 4" xfId="40486" xr:uid="{00000000-0005-0000-0000-000002DE0000}"/>
    <cellStyle name="Remarque 6 2 3 4 4" xfId="6659" xr:uid="{00000000-0005-0000-0000-000003DE0000}"/>
    <cellStyle name="Remarque 6 2 3 4 4 2" xfId="30673" xr:uid="{00000000-0005-0000-0000-000004DE0000}"/>
    <cellStyle name="Remarque 6 2 3 4 4 2 2" xfId="54633" xr:uid="{00000000-0005-0000-0000-000005DE0000}"/>
    <cellStyle name="Remarque 6 2 3 4 4 3" xfId="17920" xr:uid="{00000000-0005-0000-0000-000006DE0000}"/>
    <cellStyle name="Remarque 6 2 3 4 4 4" xfId="41880" xr:uid="{00000000-0005-0000-0000-000007DE0000}"/>
    <cellStyle name="Remarque 6 2 3 4 5" xfId="8047" xr:uid="{00000000-0005-0000-0000-000008DE0000}"/>
    <cellStyle name="Remarque 6 2 3 4 5 2" xfId="32061" xr:uid="{00000000-0005-0000-0000-000009DE0000}"/>
    <cellStyle name="Remarque 6 2 3 4 5 2 2" xfId="56021" xr:uid="{00000000-0005-0000-0000-00000ADE0000}"/>
    <cellStyle name="Remarque 6 2 3 4 5 3" xfId="19308" xr:uid="{00000000-0005-0000-0000-00000BDE0000}"/>
    <cellStyle name="Remarque 6 2 3 4 5 4" xfId="43268" xr:uid="{00000000-0005-0000-0000-00000CDE0000}"/>
    <cellStyle name="Remarque 6 2 3 4 6" xfId="9432" xr:uid="{00000000-0005-0000-0000-00000DDE0000}"/>
    <cellStyle name="Remarque 6 2 3 4 6 2" xfId="33446" xr:uid="{00000000-0005-0000-0000-00000EDE0000}"/>
    <cellStyle name="Remarque 6 2 3 4 6 2 2" xfId="57406" xr:uid="{00000000-0005-0000-0000-00000FDE0000}"/>
    <cellStyle name="Remarque 6 2 3 4 6 3" xfId="20693" xr:uid="{00000000-0005-0000-0000-000010DE0000}"/>
    <cellStyle name="Remarque 6 2 3 4 6 4" xfId="44653" xr:uid="{00000000-0005-0000-0000-000011DE0000}"/>
    <cellStyle name="Remarque 6 2 3 4 7" xfId="10889" xr:uid="{00000000-0005-0000-0000-000012DE0000}"/>
    <cellStyle name="Remarque 6 2 3 4 7 2" xfId="34899" xr:uid="{00000000-0005-0000-0000-000013DE0000}"/>
    <cellStyle name="Remarque 6 2 3 4 7 2 2" xfId="58859" xr:uid="{00000000-0005-0000-0000-000014DE0000}"/>
    <cellStyle name="Remarque 6 2 3 4 7 3" xfId="22156" xr:uid="{00000000-0005-0000-0000-000015DE0000}"/>
    <cellStyle name="Remarque 6 2 3 4 7 4" xfId="46116" xr:uid="{00000000-0005-0000-0000-000016DE0000}"/>
    <cellStyle name="Remarque 6 2 3 4 8" xfId="12286" xr:uid="{00000000-0005-0000-0000-000017DE0000}"/>
    <cellStyle name="Remarque 6 2 3 4 8 2" xfId="23574" xr:uid="{00000000-0005-0000-0000-000018DE0000}"/>
    <cellStyle name="Remarque 6 2 3 4 8 3" xfId="47534" xr:uid="{00000000-0005-0000-0000-000019DE0000}"/>
    <cellStyle name="Remarque 6 2 3 4 9" xfId="2361" xr:uid="{00000000-0005-0000-0000-00001ADE0000}"/>
    <cellStyle name="Remarque 6 2 3 4 9 2" xfId="26375" xr:uid="{00000000-0005-0000-0000-00001BDE0000}"/>
    <cellStyle name="Remarque 6 2 3 4 9 3" xfId="50335" xr:uid="{00000000-0005-0000-0000-00001CDE0000}"/>
    <cellStyle name="Remarque 6 2 3 5" xfId="1118" xr:uid="{00000000-0005-0000-0000-00001DDE0000}"/>
    <cellStyle name="Remarque 6 2 3 5 10" xfId="25150" xr:uid="{00000000-0005-0000-0000-00001EDE0000}"/>
    <cellStyle name="Remarque 6 2 3 5 10 2" xfId="49110" xr:uid="{00000000-0005-0000-0000-00001FDE0000}"/>
    <cellStyle name="Remarque 6 2 3 5 11" xfId="36367" xr:uid="{00000000-0005-0000-0000-000020DE0000}"/>
    <cellStyle name="Remarque 6 2 3 5 11 2" xfId="60327" xr:uid="{00000000-0005-0000-0000-000021DE0000}"/>
    <cellStyle name="Remarque 6 2 3 5 12" xfId="13815" xr:uid="{00000000-0005-0000-0000-000022DE0000}"/>
    <cellStyle name="Remarque 6 2 3 5 13" xfId="37775" xr:uid="{00000000-0005-0000-0000-000023DE0000}"/>
    <cellStyle name="Remarque 6 2 3 5 2" xfId="4024" xr:uid="{00000000-0005-0000-0000-000024DE0000}"/>
    <cellStyle name="Remarque 6 2 3 5 2 2" xfId="28038" xr:uid="{00000000-0005-0000-0000-000025DE0000}"/>
    <cellStyle name="Remarque 6 2 3 5 2 2 2" xfId="51998" xr:uid="{00000000-0005-0000-0000-000026DE0000}"/>
    <cellStyle name="Remarque 6 2 3 5 2 3" xfId="15285" xr:uid="{00000000-0005-0000-0000-000027DE0000}"/>
    <cellStyle name="Remarque 6 2 3 5 2 4" xfId="39245" xr:uid="{00000000-0005-0000-0000-000028DE0000}"/>
    <cellStyle name="Remarque 6 2 3 5 3" xfId="5458" xr:uid="{00000000-0005-0000-0000-000029DE0000}"/>
    <cellStyle name="Remarque 6 2 3 5 3 2" xfId="29472" xr:uid="{00000000-0005-0000-0000-00002ADE0000}"/>
    <cellStyle name="Remarque 6 2 3 5 3 2 2" xfId="53432" xr:uid="{00000000-0005-0000-0000-00002BDE0000}"/>
    <cellStyle name="Remarque 6 2 3 5 3 3" xfId="16719" xr:uid="{00000000-0005-0000-0000-00002CDE0000}"/>
    <cellStyle name="Remarque 6 2 3 5 3 4" xfId="40679" xr:uid="{00000000-0005-0000-0000-00002DDE0000}"/>
    <cellStyle name="Remarque 6 2 3 5 4" xfId="6852" xr:uid="{00000000-0005-0000-0000-00002EDE0000}"/>
    <cellStyle name="Remarque 6 2 3 5 4 2" xfId="30866" xr:uid="{00000000-0005-0000-0000-00002FDE0000}"/>
    <cellStyle name="Remarque 6 2 3 5 4 2 2" xfId="54826" xr:uid="{00000000-0005-0000-0000-000030DE0000}"/>
    <cellStyle name="Remarque 6 2 3 5 4 3" xfId="18113" xr:uid="{00000000-0005-0000-0000-000031DE0000}"/>
    <cellStyle name="Remarque 6 2 3 5 4 4" xfId="42073" xr:uid="{00000000-0005-0000-0000-000032DE0000}"/>
    <cellStyle name="Remarque 6 2 3 5 5" xfId="8240" xr:uid="{00000000-0005-0000-0000-000033DE0000}"/>
    <cellStyle name="Remarque 6 2 3 5 5 2" xfId="32254" xr:uid="{00000000-0005-0000-0000-000034DE0000}"/>
    <cellStyle name="Remarque 6 2 3 5 5 2 2" xfId="56214" xr:uid="{00000000-0005-0000-0000-000035DE0000}"/>
    <cellStyle name="Remarque 6 2 3 5 5 3" xfId="19501" xr:uid="{00000000-0005-0000-0000-000036DE0000}"/>
    <cellStyle name="Remarque 6 2 3 5 5 4" xfId="43461" xr:uid="{00000000-0005-0000-0000-000037DE0000}"/>
    <cellStyle name="Remarque 6 2 3 5 6" xfId="9625" xr:uid="{00000000-0005-0000-0000-000038DE0000}"/>
    <cellStyle name="Remarque 6 2 3 5 6 2" xfId="33639" xr:uid="{00000000-0005-0000-0000-000039DE0000}"/>
    <cellStyle name="Remarque 6 2 3 5 6 2 2" xfId="57599" xr:uid="{00000000-0005-0000-0000-00003ADE0000}"/>
    <cellStyle name="Remarque 6 2 3 5 6 3" xfId="20886" xr:uid="{00000000-0005-0000-0000-00003BDE0000}"/>
    <cellStyle name="Remarque 6 2 3 5 6 4" xfId="44846" xr:uid="{00000000-0005-0000-0000-00003CDE0000}"/>
    <cellStyle name="Remarque 6 2 3 5 7" xfId="11082" xr:uid="{00000000-0005-0000-0000-00003DDE0000}"/>
    <cellStyle name="Remarque 6 2 3 5 7 2" xfId="35092" xr:uid="{00000000-0005-0000-0000-00003EDE0000}"/>
    <cellStyle name="Remarque 6 2 3 5 7 2 2" xfId="59052" xr:uid="{00000000-0005-0000-0000-00003FDE0000}"/>
    <cellStyle name="Remarque 6 2 3 5 7 3" xfId="22349" xr:uid="{00000000-0005-0000-0000-000040DE0000}"/>
    <cellStyle name="Remarque 6 2 3 5 7 4" xfId="46309" xr:uid="{00000000-0005-0000-0000-000041DE0000}"/>
    <cellStyle name="Remarque 6 2 3 5 8" xfId="12526" xr:uid="{00000000-0005-0000-0000-000042DE0000}"/>
    <cellStyle name="Remarque 6 2 3 5 8 2" xfId="23823" xr:uid="{00000000-0005-0000-0000-000043DE0000}"/>
    <cellStyle name="Remarque 6 2 3 5 8 3" xfId="47783" xr:uid="{00000000-0005-0000-0000-000044DE0000}"/>
    <cellStyle name="Remarque 6 2 3 5 9" xfId="2554" xr:uid="{00000000-0005-0000-0000-000045DE0000}"/>
    <cellStyle name="Remarque 6 2 3 5 9 2" xfId="26568" xr:uid="{00000000-0005-0000-0000-000046DE0000}"/>
    <cellStyle name="Remarque 6 2 3 5 9 3" xfId="50528" xr:uid="{00000000-0005-0000-0000-000047DE0000}"/>
    <cellStyle name="Remarque 6 2 3 6" xfId="1285" xr:uid="{00000000-0005-0000-0000-000048DE0000}"/>
    <cellStyle name="Remarque 6 2 3 6 10" xfId="25317" xr:uid="{00000000-0005-0000-0000-000049DE0000}"/>
    <cellStyle name="Remarque 6 2 3 6 10 2" xfId="49277" xr:uid="{00000000-0005-0000-0000-00004ADE0000}"/>
    <cellStyle name="Remarque 6 2 3 6 11" xfId="36711" xr:uid="{00000000-0005-0000-0000-00004BDE0000}"/>
    <cellStyle name="Remarque 6 2 3 6 11 2" xfId="60671" xr:uid="{00000000-0005-0000-0000-00004CDE0000}"/>
    <cellStyle name="Remarque 6 2 3 6 12" xfId="13982" xr:uid="{00000000-0005-0000-0000-00004DDE0000}"/>
    <cellStyle name="Remarque 6 2 3 6 13" xfId="37942" xr:uid="{00000000-0005-0000-0000-00004EDE0000}"/>
    <cellStyle name="Remarque 6 2 3 6 2" xfId="4191" xr:uid="{00000000-0005-0000-0000-00004FDE0000}"/>
    <cellStyle name="Remarque 6 2 3 6 2 2" xfId="28205" xr:uid="{00000000-0005-0000-0000-000050DE0000}"/>
    <cellStyle name="Remarque 6 2 3 6 2 2 2" xfId="52165" xr:uid="{00000000-0005-0000-0000-000051DE0000}"/>
    <cellStyle name="Remarque 6 2 3 6 2 3" xfId="15452" xr:uid="{00000000-0005-0000-0000-000052DE0000}"/>
    <cellStyle name="Remarque 6 2 3 6 2 4" xfId="39412" xr:uid="{00000000-0005-0000-0000-000053DE0000}"/>
    <cellStyle name="Remarque 6 2 3 6 3" xfId="5625" xr:uid="{00000000-0005-0000-0000-000054DE0000}"/>
    <cellStyle name="Remarque 6 2 3 6 3 2" xfId="29639" xr:uid="{00000000-0005-0000-0000-000055DE0000}"/>
    <cellStyle name="Remarque 6 2 3 6 3 2 2" xfId="53599" xr:uid="{00000000-0005-0000-0000-000056DE0000}"/>
    <cellStyle name="Remarque 6 2 3 6 3 3" xfId="16886" xr:uid="{00000000-0005-0000-0000-000057DE0000}"/>
    <cellStyle name="Remarque 6 2 3 6 3 4" xfId="40846" xr:uid="{00000000-0005-0000-0000-000058DE0000}"/>
    <cellStyle name="Remarque 6 2 3 6 4" xfId="7019" xr:uid="{00000000-0005-0000-0000-000059DE0000}"/>
    <cellStyle name="Remarque 6 2 3 6 4 2" xfId="31033" xr:uid="{00000000-0005-0000-0000-00005ADE0000}"/>
    <cellStyle name="Remarque 6 2 3 6 4 2 2" xfId="54993" xr:uid="{00000000-0005-0000-0000-00005BDE0000}"/>
    <cellStyle name="Remarque 6 2 3 6 4 3" xfId="18280" xr:uid="{00000000-0005-0000-0000-00005CDE0000}"/>
    <cellStyle name="Remarque 6 2 3 6 4 4" xfId="42240" xr:uid="{00000000-0005-0000-0000-00005DDE0000}"/>
    <cellStyle name="Remarque 6 2 3 6 5" xfId="8407" xr:uid="{00000000-0005-0000-0000-00005EDE0000}"/>
    <cellStyle name="Remarque 6 2 3 6 5 2" xfId="32421" xr:uid="{00000000-0005-0000-0000-00005FDE0000}"/>
    <cellStyle name="Remarque 6 2 3 6 5 2 2" xfId="56381" xr:uid="{00000000-0005-0000-0000-000060DE0000}"/>
    <cellStyle name="Remarque 6 2 3 6 5 3" xfId="19668" xr:uid="{00000000-0005-0000-0000-000061DE0000}"/>
    <cellStyle name="Remarque 6 2 3 6 5 4" xfId="43628" xr:uid="{00000000-0005-0000-0000-000062DE0000}"/>
    <cellStyle name="Remarque 6 2 3 6 6" xfId="9792" xr:uid="{00000000-0005-0000-0000-000063DE0000}"/>
    <cellStyle name="Remarque 6 2 3 6 6 2" xfId="33806" xr:uid="{00000000-0005-0000-0000-000064DE0000}"/>
    <cellStyle name="Remarque 6 2 3 6 6 2 2" xfId="57766" xr:uid="{00000000-0005-0000-0000-000065DE0000}"/>
    <cellStyle name="Remarque 6 2 3 6 6 3" xfId="21053" xr:uid="{00000000-0005-0000-0000-000066DE0000}"/>
    <cellStyle name="Remarque 6 2 3 6 6 4" xfId="45013" xr:uid="{00000000-0005-0000-0000-000067DE0000}"/>
    <cellStyle name="Remarque 6 2 3 6 7" xfId="11249" xr:uid="{00000000-0005-0000-0000-000068DE0000}"/>
    <cellStyle name="Remarque 6 2 3 6 7 2" xfId="35259" xr:uid="{00000000-0005-0000-0000-000069DE0000}"/>
    <cellStyle name="Remarque 6 2 3 6 7 2 2" xfId="59219" xr:uid="{00000000-0005-0000-0000-00006ADE0000}"/>
    <cellStyle name="Remarque 6 2 3 6 7 3" xfId="22516" xr:uid="{00000000-0005-0000-0000-00006BDE0000}"/>
    <cellStyle name="Remarque 6 2 3 6 7 4" xfId="46476" xr:uid="{00000000-0005-0000-0000-00006CDE0000}"/>
    <cellStyle name="Remarque 6 2 3 6 8" xfId="12140" xr:uid="{00000000-0005-0000-0000-00006DDE0000}"/>
    <cellStyle name="Remarque 6 2 3 6 8 2" xfId="23423" xr:uid="{00000000-0005-0000-0000-00006EDE0000}"/>
    <cellStyle name="Remarque 6 2 3 6 8 3" xfId="47383" xr:uid="{00000000-0005-0000-0000-00006FDE0000}"/>
    <cellStyle name="Remarque 6 2 3 6 9" xfId="2721" xr:uid="{00000000-0005-0000-0000-000070DE0000}"/>
    <cellStyle name="Remarque 6 2 3 6 9 2" xfId="26735" xr:uid="{00000000-0005-0000-0000-000071DE0000}"/>
    <cellStyle name="Remarque 6 2 3 6 9 3" xfId="50695" xr:uid="{00000000-0005-0000-0000-000072DE0000}"/>
    <cellStyle name="Remarque 6 2 3 7" xfId="1454" xr:uid="{00000000-0005-0000-0000-000073DE0000}"/>
    <cellStyle name="Remarque 6 2 3 7 10" xfId="25486" xr:uid="{00000000-0005-0000-0000-000074DE0000}"/>
    <cellStyle name="Remarque 6 2 3 7 10 2" xfId="49446" xr:uid="{00000000-0005-0000-0000-000075DE0000}"/>
    <cellStyle name="Remarque 6 2 3 7 11" xfId="35821" xr:uid="{00000000-0005-0000-0000-000076DE0000}"/>
    <cellStyle name="Remarque 6 2 3 7 11 2" xfId="59781" xr:uid="{00000000-0005-0000-0000-000077DE0000}"/>
    <cellStyle name="Remarque 6 2 3 7 12" xfId="14151" xr:uid="{00000000-0005-0000-0000-000078DE0000}"/>
    <cellStyle name="Remarque 6 2 3 7 13" xfId="38111" xr:uid="{00000000-0005-0000-0000-000079DE0000}"/>
    <cellStyle name="Remarque 6 2 3 7 2" xfId="4360" xr:uid="{00000000-0005-0000-0000-00007ADE0000}"/>
    <cellStyle name="Remarque 6 2 3 7 2 2" xfId="28374" xr:uid="{00000000-0005-0000-0000-00007BDE0000}"/>
    <cellStyle name="Remarque 6 2 3 7 2 2 2" xfId="52334" xr:uid="{00000000-0005-0000-0000-00007CDE0000}"/>
    <cellStyle name="Remarque 6 2 3 7 2 3" xfId="15621" xr:uid="{00000000-0005-0000-0000-00007DDE0000}"/>
    <cellStyle name="Remarque 6 2 3 7 2 4" xfId="39581" xr:uid="{00000000-0005-0000-0000-00007EDE0000}"/>
    <cellStyle name="Remarque 6 2 3 7 3" xfId="5794" xr:uid="{00000000-0005-0000-0000-00007FDE0000}"/>
    <cellStyle name="Remarque 6 2 3 7 3 2" xfId="29808" xr:uid="{00000000-0005-0000-0000-000080DE0000}"/>
    <cellStyle name="Remarque 6 2 3 7 3 2 2" xfId="53768" xr:uid="{00000000-0005-0000-0000-000081DE0000}"/>
    <cellStyle name="Remarque 6 2 3 7 3 3" xfId="17055" xr:uid="{00000000-0005-0000-0000-000082DE0000}"/>
    <cellStyle name="Remarque 6 2 3 7 3 4" xfId="41015" xr:uid="{00000000-0005-0000-0000-000083DE0000}"/>
    <cellStyle name="Remarque 6 2 3 7 4" xfId="7188" xr:uid="{00000000-0005-0000-0000-000084DE0000}"/>
    <cellStyle name="Remarque 6 2 3 7 4 2" xfId="31202" xr:uid="{00000000-0005-0000-0000-000085DE0000}"/>
    <cellStyle name="Remarque 6 2 3 7 4 2 2" xfId="55162" xr:uid="{00000000-0005-0000-0000-000086DE0000}"/>
    <cellStyle name="Remarque 6 2 3 7 4 3" xfId="18449" xr:uid="{00000000-0005-0000-0000-000087DE0000}"/>
    <cellStyle name="Remarque 6 2 3 7 4 4" xfId="42409" xr:uid="{00000000-0005-0000-0000-000088DE0000}"/>
    <cellStyle name="Remarque 6 2 3 7 5" xfId="8576" xr:uid="{00000000-0005-0000-0000-000089DE0000}"/>
    <cellStyle name="Remarque 6 2 3 7 5 2" xfId="32590" xr:uid="{00000000-0005-0000-0000-00008ADE0000}"/>
    <cellStyle name="Remarque 6 2 3 7 5 2 2" xfId="56550" xr:uid="{00000000-0005-0000-0000-00008BDE0000}"/>
    <cellStyle name="Remarque 6 2 3 7 5 3" xfId="19837" xr:uid="{00000000-0005-0000-0000-00008CDE0000}"/>
    <cellStyle name="Remarque 6 2 3 7 5 4" xfId="43797" xr:uid="{00000000-0005-0000-0000-00008DDE0000}"/>
    <cellStyle name="Remarque 6 2 3 7 6" xfId="9961" xr:uid="{00000000-0005-0000-0000-00008EDE0000}"/>
    <cellStyle name="Remarque 6 2 3 7 6 2" xfId="33975" xr:uid="{00000000-0005-0000-0000-00008FDE0000}"/>
    <cellStyle name="Remarque 6 2 3 7 6 2 2" xfId="57935" xr:uid="{00000000-0005-0000-0000-000090DE0000}"/>
    <cellStyle name="Remarque 6 2 3 7 6 3" xfId="21222" xr:uid="{00000000-0005-0000-0000-000091DE0000}"/>
    <cellStyle name="Remarque 6 2 3 7 6 4" xfId="45182" xr:uid="{00000000-0005-0000-0000-000092DE0000}"/>
    <cellStyle name="Remarque 6 2 3 7 7" xfId="11418" xr:uid="{00000000-0005-0000-0000-000093DE0000}"/>
    <cellStyle name="Remarque 6 2 3 7 7 2" xfId="35428" xr:uid="{00000000-0005-0000-0000-000094DE0000}"/>
    <cellStyle name="Remarque 6 2 3 7 7 2 2" xfId="59388" xr:uid="{00000000-0005-0000-0000-000095DE0000}"/>
    <cellStyle name="Remarque 6 2 3 7 7 3" xfId="22685" xr:uid="{00000000-0005-0000-0000-000096DE0000}"/>
    <cellStyle name="Remarque 6 2 3 7 7 4" xfId="46645" xr:uid="{00000000-0005-0000-0000-000097DE0000}"/>
    <cellStyle name="Remarque 6 2 3 7 8" xfId="12154" xr:uid="{00000000-0005-0000-0000-000098DE0000}"/>
    <cellStyle name="Remarque 6 2 3 7 8 2" xfId="23437" xr:uid="{00000000-0005-0000-0000-000099DE0000}"/>
    <cellStyle name="Remarque 6 2 3 7 8 3" xfId="47397" xr:uid="{00000000-0005-0000-0000-00009ADE0000}"/>
    <cellStyle name="Remarque 6 2 3 7 9" xfId="2890" xr:uid="{00000000-0005-0000-0000-00009BDE0000}"/>
    <cellStyle name="Remarque 6 2 3 7 9 2" xfId="26904" xr:uid="{00000000-0005-0000-0000-00009CDE0000}"/>
    <cellStyle name="Remarque 6 2 3 7 9 3" xfId="50864" xr:uid="{00000000-0005-0000-0000-00009DDE0000}"/>
    <cellStyle name="Remarque 6 2 3 8" xfId="3309" xr:uid="{00000000-0005-0000-0000-00009EDE0000}"/>
    <cellStyle name="Remarque 6 2 3 8 2" xfId="27323" xr:uid="{00000000-0005-0000-0000-00009FDE0000}"/>
    <cellStyle name="Remarque 6 2 3 8 2 2" xfId="51283" xr:uid="{00000000-0005-0000-0000-0000A0DE0000}"/>
    <cellStyle name="Remarque 6 2 3 8 3" xfId="14570" xr:uid="{00000000-0005-0000-0000-0000A1DE0000}"/>
    <cellStyle name="Remarque 6 2 3 8 4" xfId="38530" xr:uid="{00000000-0005-0000-0000-0000A2DE0000}"/>
    <cellStyle name="Remarque 6 2 3 9" xfId="4743" xr:uid="{00000000-0005-0000-0000-0000A3DE0000}"/>
    <cellStyle name="Remarque 6 2 3 9 2" xfId="28757" xr:uid="{00000000-0005-0000-0000-0000A4DE0000}"/>
    <cellStyle name="Remarque 6 2 3 9 2 2" xfId="52717" xr:uid="{00000000-0005-0000-0000-0000A5DE0000}"/>
    <cellStyle name="Remarque 6 2 3 9 3" xfId="16004" xr:uid="{00000000-0005-0000-0000-0000A6DE0000}"/>
    <cellStyle name="Remarque 6 2 3 9 4" xfId="39964" xr:uid="{00000000-0005-0000-0000-0000A7DE0000}"/>
    <cellStyle name="Remarque 6 2 4" xfId="443" xr:uid="{00000000-0005-0000-0000-0000A8DE0000}"/>
    <cellStyle name="Remarque 6 2 4 10" xfId="6177" xr:uid="{00000000-0005-0000-0000-0000A9DE0000}"/>
    <cellStyle name="Remarque 6 2 4 10 2" xfId="30191" xr:uid="{00000000-0005-0000-0000-0000AADE0000}"/>
    <cellStyle name="Remarque 6 2 4 10 2 2" xfId="54151" xr:uid="{00000000-0005-0000-0000-0000ABDE0000}"/>
    <cellStyle name="Remarque 6 2 4 10 3" xfId="17438" xr:uid="{00000000-0005-0000-0000-0000ACDE0000}"/>
    <cellStyle name="Remarque 6 2 4 10 4" xfId="41398" xr:uid="{00000000-0005-0000-0000-0000ADDE0000}"/>
    <cellStyle name="Remarque 6 2 4 11" xfId="7565" xr:uid="{00000000-0005-0000-0000-0000AEDE0000}"/>
    <cellStyle name="Remarque 6 2 4 11 2" xfId="31579" xr:uid="{00000000-0005-0000-0000-0000AFDE0000}"/>
    <cellStyle name="Remarque 6 2 4 11 2 2" xfId="55539" xr:uid="{00000000-0005-0000-0000-0000B0DE0000}"/>
    <cellStyle name="Remarque 6 2 4 11 3" xfId="18826" xr:uid="{00000000-0005-0000-0000-0000B1DE0000}"/>
    <cellStyle name="Remarque 6 2 4 11 4" xfId="42786" xr:uid="{00000000-0005-0000-0000-0000B2DE0000}"/>
    <cellStyle name="Remarque 6 2 4 12" xfId="8950" xr:uid="{00000000-0005-0000-0000-0000B3DE0000}"/>
    <cellStyle name="Remarque 6 2 4 12 2" xfId="32964" xr:uid="{00000000-0005-0000-0000-0000B4DE0000}"/>
    <cellStyle name="Remarque 6 2 4 12 2 2" xfId="56924" xr:uid="{00000000-0005-0000-0000-0000B5DE0000}"/>
    <cellStyle name="Remarque 6 2 4 12 3" xfId="20211" xr:uid="{00000000-0005-0000-0000-0000B6DE0000}"/>
    <cellStyle name="Remarque 6 2 4 12 4" xfId="44171" xr:uid="{00000000-0005-0000-0000-0000B7DE0000}"/>
    <cellStyle name="Remarque 6 2 4 13" xfId="10407" xr:uid="{00000000-0005-0000-0000-0000B8DE0000}"/>
    <cellStyle name="Remarque 6 2 4 13 2" xfId="34417" xr:uid="{00000000-0005-0000-0000-0000B9DE0000}"/>
    <cellStyle name="Remarque 6 2 4 13 2 2" xfId="58377" xr:uid="{00000000-0005-0000-0000-0000BADE0000}"/>
    <cellStyle name="Remarque 6 2 4 13 3" xfId="21674" xr:uid="{00000000-0005-0000-0000-0000BBDE0000}"/>
    <cellStyle name="Remarque 6 2 4 13 4" xfId="45634" xr:uid="{00000000-0005-0000-0000-0000BCDE0000}"/>
    <cellStyle name="Remarque 6 2 4 14" xfId="12587" xr:uid="{00000000-0005-0000-0000-0000BDDE0000}"/>
    <cellStyle name="Remarque 6 2 4 14 2" xfId="23888" xr:uid="{00000000-0005-0000-0000-0000BEDE0000}"/>
    <cellStyle name="Remarque 6 2 4 14 3" xfId="47848" xr:uid="{00000000-0005-0000-0000-0000BFDE0000}"/>
    <cellStyle name="Remarque 6 2 4 15" xfId="1879" xr:uid="{00000000-0005-0000-0000-0000C0DE0000}"/>
    <cellStyle name="Remarque 6 2 4 15 2" xfId="25893" xr:uid="{00000000-0005-0000-0000-0000C1DE0000}"/>
    <cellStyle name="Remarque 6 2 4 15 3" xfId="49853" xr:uid="{00000000-0005-0000-0000-0000C2DE0000}"/>
    <cellStyle name="Remarque 6 2 4 16" xfId="24475" xr:uid="{00000000-0005-0000-0000-0000C3DE0000}"/>
    <cellStyle name="Remarque 6 2 4 16 2" xfId="48435" xr:uid="{00000000-0005-0000-0000-0000C4DE0000}"/>
    <cellStyle name="Remarque 6 2 4 17" xfId="36654" xr:uid="{00000000-0005-0000-0000-0000C5DE0000}"/>
    <cellStyle name="Remarque 6 2 4 17 2" xfId="60614" xr:uid="{00000000-0005-0000-0000-0000C6DE0000}"/>
    <cellStyle name="Remarque 6 2 4 18" xfId="13140" xr:uid="{00000000-0005-0000-0000-0000C7DE0000}"/>
    <cellStyle name="Remarque 6 2 4 19" xfId="37100" xr:uid="{00000000-0005-0000-0000-0000C8DE0000}"/>
    <cellStyle name="Remarque 6 2 4 2" xfId="579" xr:uid="{00000000-0005-0000-0000-0000C9DE0000}"/>
    <cellStyle name="Remarque 6 2 4 2 10" xfId="24611" xr:uid="{00000000-0005-0000-0000-0000CADE0000}"/>
    <cellStyle name="Remarque 6 2 4 2 10 2" xfId="48571" xr:uid="{00000000-0005-0000-0000-0000CBDE0000}"/>
    <cellStyle name="Remarque 6 2 4 2 11" xfId="24262" xr:uid="{00000000-0005-0000-0000-0000CCDE0000}"/>
    <cellStyle name="Remarque 6 2 4 2 11 2" xfId="48222" xr:uid="{00000000-0005-0000-0000-0000CDDE0000}"/>
    <cellStyle name="Remarque 6 2 4 2 12" xfId="13276" xr:uid="{00000000-0005-0000-0000-0000CEDE0000}"/>
    <cellStyle name="Remarque 6 2 4 2 13" xfId="37236" xr:uid="{00000000-0005-0000-0000-0000CFDE0000}"/>
    <cellStyle name="Remarque 6 2 4 2 2" xfId="3485" xr:uid="{00000000-0005-0000-0000-0000D0DE0000}"/>
    <cellStyle name="Remarque 6 2 4 2 2 2" xfId="27499" xr:uid="{00000000-0005-0000-0000-0000D1DE0000}"/>
    <cellStyle name="Remarque 6 2 4 2 2 2 2" xfId="51459" xr:uid="{00000000-0005-0000-0000-0000D2DE0000}"/>
    <cellStyle name="Remarque 6 2 4 2 2 3" xfId="14746" xr:uid="{00000000-0005-0000-0000-0000D3DE0000}"/>
    <cellStyle name="Remarque 6 2 4 2 2 4" xfId="38706" xr:uid="{00000000-0005-0000-0000-0000D4DE0000}"/>
    <cellStyle name="Remarque 6 2 4 2 3" xfId="4919" xr:uid="{00000000-0005-0000-0000-0000D5DE0000}"/>
    <cellStyle name="Remarque 6 2 4 2 3 2" xfId="28933" xr:uid="{00000000-0005-0000-0000-0000D6DE0000}"/>
    <cellStyle name="Remarque 6 2 4 2 3 2 2" xfId="52893" xr:uid="{00000000-0005-0000-0000-0000D7DE0000}"/>
    <cellStyle name="Remarque 6 2 4 2 3 3" xfId="16180" xr:uid="{00000000-0005-0000-0000-0000D8DE0000}"/>
    <cellStyle name="Remarque 6 2 4 2 3 4" xfId="40140" xr:uid="{00000000-0005-0000-0000-0000D9DE0000}"/>
    <cellStyle name="Remarque 6 2 4 2 4" xfId="6313" xr:uid="{00000000-0005-0000-0000-0000DADE0000}"/>
    <cellStyle name="Remarque 6 2 4 2 4 2" xfId="30327" xr:uid="{00000000-0005-0000-0000-0000DBDE0000}"/>
    <cellStyle name="Remarque 6 2 4 2 4 2 2" xfId="54287" xr:uid="{00000000-0005-0000-0000-0000DCDE0000}"/>
    <cellStyle name="Remarque 6 2 4 2 4 3" xfId="17574" xr:uid="{00000000-0005-0000-0000-0000DDDE0000}"/>
    <cellStyle name="Remarque 6 2 4 2 4 4" xfId="41534" xr:uid="{00000000-0005-0000-0000-0000DEDE0000}"/>
    <cellStyle name="Remarque 6 2 4 2 5" xfId="7701" xr:uid="{00000000-0005-0000-0000-0000DFDE0000}"/>
    <cellStyle name="Remarque 6 2 4 2 5 2" xfId="31715" xr:uid="{00000000-0005-0000-0000-0000E0DE0000}"/>
    <cellStyle name="Remarque 6 2 4 2 5 2 2" xfId="55675" xr:uid="{00000000-0005-0000-0000-0000E1DE0000}"/>
    <cellStyle name="Remarque 6 2 4 2 5 3" xfId="18962" xr:uid="{00000000-0005-0000-0000-0000E2DE0000}"/>
    <cellStyle name="Remarque 6 2 4 2 5 4" xfId="42922" xr:uid="{00000000-0005-0000-0000-0000E3DE0000}"/>
    <cellStyle name="Remarque 6 2 4 2 6" xfId="9086" xr:uid="{00000000-0005-0000-0000-0000E4DE0000}"/>
    <cellStyle name="Remarque 6 2 4 2 6 2" xfId="33100" xr:uid="{00000000-0005-0000-0000-0000E5DE0000}"/>
    <cellStyle name="Remarque 6 2 4 2 6 2 2" xfId="57060" xr:uid="{00000000-0005-0000-0000-0000E6DE0000}"/>
    <cellStyle name="Remarque 6 2 4 2 6 3" xfId="20347" xr:uid="{00000000-0005-0000-0000-0000E7DE0000}"/>
    <cellStyle name="Remarque 6 2 4 2 6 4" xfId="44307" xr:uid="{00000000-0005-0000-0000-0000E8DE0000}"/>
    <cellStyle name="Remarque 6 2 4 2 7" xfId="10543" xr:uid="{00000000-0005-0000-0000-0000E9DE0000}"/>
    <cellStyle name="Remarque 6 2 4 2 7 2" xfId="34553" xr:uid="{00000000-0005-0000-0000-0000EADE0000}"/>
    <cellStyle name="Remarque 6 2 4 2 7 2 2" xfId="58513" xr:uid="{00000000-0005-0000-0000-0000EBDE0000}"/>
    <cellStyle name="Remarque 6 2 4 2 7 3" xfId="21810" xr:uid="{00000000-0005-0000-0000-0000ECDE0000}"/>
    <cellStyle name="Remarque 6 2 4 2 7 4" xfId="45770" xr:uid="{00000000-0005-0000-0000-0000EDDE0000}"/>
    <cellStyle name="Remarque 6 2 4 2 8" xfId="11969" xr:uid="{00000000-0005-0000-0000-0000EEDE0000}"/>
    <cellStyle name="Remarque 6 2 4 2 8 2" xfId="23247" xr:uid="{00000000-0005-0000-0000-0000EFDE0000}"/>
    <cellStyle name="Remarque 6 2 4 2 8 3" xfId="47207" xr:uid="{00000000-0005-0000-0000-0000F0DE0000}"/>
    <cellStyle name="Remarque 6 2 4 2 9" xfId="2015" xr:uid="{00000000-0005-0000-0000-0000F1DE0000}"/>
    <cellStyle name="Remarque 6 2 4 2 9 2" xfId="26029" xr:uid="{00000000-0005-0000-0000-0000F2DE0000}"/>
    <cellStyle name="Remarque 6 2 4 2 9 3" xfId="49989" xr:uid="{00000000-0005-0000-0000-0000F3DE0000}"/>
    <cellStyle name="Remarque 6 2 4 3" xfId="771" xr:uid="{00000000-0005-0000-0000-0000F4DE0000}"/>
    <cellStyle name="Remarque 6 2 4 3 10" xfId="24803" xr:uid="{00000000-0005-0000-0000-0000F5DE0000}"/>
    <cellStyle name="Remarque 6 2 4 3 10 2" xfId="48763" xr:uid="{00000000-0005-0000-0000-0000F6DE0000}"/>
    <cellStyle name="Remarque 6 2 4 3 11" xfId="36309" xr:uid="{00000000-0005-0000-0000-0000F7DE0000}"/>
    <cellStyle name="Remarque 6 2 4 3 11 2" xfId="60269" xr:uid="{00000000-0005-0000-0000-0000F8DE0000}"/>
    <cellStyle name="Remarque 6 2 4 3 12" xfId="13468" xr:uid="{00000000-0005-0000-0000-0000F9DE0000}"/>
    <cellStyle name="Remarque 6 2 4 3 13" xfId="37428" xr:uid="{00000000-0005-0000-0000-0000FADE0000}"/>
    <cellStyle name="Remarque 6 2 4 3 2" xfId="3677" xr:uid="{00000000-0005-0000-0000-0000FBDE0000}"/>
    <cellStyle name="Remarque 6 2 4 3 2 2" xfId="27691" xr:uid="{00000000-0005-0000-0000-0000FCDE0000}"/>
    <cellStyle name="Remarque 6 2 4 3 2 2 2" xfId="51651" xr:uid="{00000000-0005-0000-0000-0000FDDE0000}"/>
    <cellStyle name="Remarque 6 2 4 3 2 3" xfId="14938" xr:uid="{00000000-0005-0000-0000-0000FEDE0000}"/>
    <cellStyle name="Remarque 6 2 4 3 2 4" xfId="38898" xr:uid="{00000000-0005-0000-0000-0000FFDE0000}"/>
    <cellStyle name="Remarque 6 2 4 3 3" xfId="5111" xr:uid="{00000000-0005-0000-0000-000000DF0000}"/>
    <cellStyle name="Remarque 6 2 4 3 3 2" xfId="29125" xr:uid="{00000000-0005-0000-0000-000001DF0000}"/>
    <cellStyle name="Remarque 6 2 4 3 3 2 2" xfId="53085" xr:uid="{00000000-0005-0000-0000-000002DF0000}"/>
    <cellStyle name="Remarque 6 2 4 3 3 3" xfId="16372" xr:uid="{00000000-0005-0000-0000-000003DF0000}"/>
    <cellStyle name="Remarque 6 2 4 3 3 4" xfId="40332" xr:uid="{00000000-0005-0000-0000-000004DF0000}"/>
    <cellStyle name="Remarque 6 2 4 3 4" xfId="6505" xr:uid="{00000000-0005-0000-0000-000005DF0000}"/>
    <cellStyle name="Remarque 6 2 4 3 4 2" xfId="30519" xr:uid="{00000000-0005-0000-0000-000006DF0000}"/>
    <cellStyle name="Remarque 6 2 4 3 4 2 2" xfId="54479" xr:uid="{00000000-0005-0000-0000-000007DF0000}"/>
    <cellStyle name="Remarque 6 2 4 3 4 3" xfId="17766" xr:uid="{00000000-0005-0000-0000-000008DF0000}"/>
    <cellStyle name="Remarque 6 2 4 3 4 4" xfId="41726" xr:uid="{00000000-0005-0000-0000-000009DF0000}"/>
    <cellStyle name="Remarque 6 2 4 3 5" xfId="7893" xr:uid="{00000000-0005-0000-0000-00000ADF0000}"/>
    <cellStyle name="Remarque 6 2 4 3 5 2" xfId="31907" xr:uid="{00000000-0005-0000-0000-00000BDF0000}"/>
    <cellStyle name="Remarque 6 2 4 3 5 2 2" xfId="55867" xr:uid="{00000000-0005-0000-0000-00000CDF0000}"/>
    <cellStyle name="Remarque 6 2 4 3 5 3" xfId="19154" xr:uid="{00000000-0005-0000-0000-00000DDF0000}"/>
    <cellStyle name="Remarque 6 2 4 3 5 4" xfId="43114" xr:uid="{00000000-0005-0000-0000-00000EDF0000}"/>
    <cellStyle name="Remarque 6 2 4 3 6" xfId="9278" xr:uid="{00000000-0005-0000-0000-00000FDF0000}"/>
    <cellStyle name="Remarque 6 2 4 3 6 2" xfId="33292" xr:uid="{00000000-0005-0000-0000-000010DF0000}"/>
    <cellStyle name="Remarque 6 2 4 3 6 2 2" xfId="57252" xr:uid="{00000000-0005-0000-0000-000011DF0000}"/>
    <cellStyle name="Remarque 6 2 4 3 6 3" xfId="20539" xr:uid="{00000000-0005-0000-0000-000012DF0000}"/>
    <cellStyle name="Remarque 6 2 4 3 6 4" xfId="44499" xr:uid="{00000000-0005-0000-0000-000013DF0000}"/>
    <cellStyle name="Remarque 6 2 4 3 7" xfId="10735" xr:uid="{00000000-0005-0000-0000-000014DF0000}"/>
    <cellStyle name="Remarque 6 2 4 3 7 2" xfId="34745" xr:uid="{00000000-0005-0000-0000-000015DF0000}"/>
    <cellStyle name="Remarque 6 2 4 3 7 2 2" xfId="58705" xr:uid="{00000000-0005-0000-0000-000016DF0000}"/>
    <cellStyle name="Remarque 6 2 4 3 7 3" xfId="22002" xr:uid="{00000000-0005-0000-0000-000017DF0000}"/>
    <cellStyle name="Remarque 6 2 4 3 7 4" xfId="45962" xr:uid="{00000000-0005-0000-0000-000018DF0000}"/>
    <cellStyle name="Remarque 6 2 4 3 8" xfId="12810" xr:uid="{00000000-0005-0000-0000-000019DF0000}"/>
    <cellStyle name="Remarque 6 2 4 3 8 2" xfId="24121" xr:uid="{00000000-0005-0000-0000-00001ADF0000}"/>
    <cellStyle name="Remarque 6 2 4 3 8 3" xfId="48081" xr:uid="{00000000-0005-0000-0000-00001BDF0000}"/>
    <cellStyle name="Remarque 6 2 4 3 9" xfId="2207" xr:uid="{00000000-0005-0000-0000-00001CDF0000}"/>
    <cellStyle name="Remarque 6 2 4 3 9 2" xfId="26221" xr:uid="{00000000-0005-0000-0000-00001DDF0000}"/>
    <cellStyle name="Remarque 6 2 4 3 9 3" xfId="50181" xr:uid="{00000000-0005-0000-0000-00001EDF0000}"/>
    <cellStyle name="Remarque 6 2 4 4" xfId="965" xr:uid="{00000000-0005-0000-0000-00001FDF0000}"/>
    <cellStyle name="Remarque 6 2 4 4 10" xfId="24997" xr:uid="{00000000-0005-0000-0000-000020DF0000}"/>
    <cellStyle name="Remarque 6 2 4 4 10 2" xfId="48957" xr:uid="{00000000-0005-0000-0000-000021DF0000}"/>
    <cellStyle name="Remarque 6 2 4 4 11" xfId="35697" xr:uid="{00000000-0005-0000-0000-000022DF0000}"/>
    <cellStyle name="Remarque 6 2 4 4 11 2" xfId="59657" xr:uid="{00000000-0005-0000-0000-000023DF0000}"/>
    <cellStyle name="Remarque 6 2 4 4 12" xfId="13662" xr:uid="{00000000-0005-0000-0000-000024DF0000}"/>
    <cellStyle name="Remarque 6 2 4 4 13" xfId="37622" xr:uid="{00000000-0005-0000-0000-000025DF0000}"/>
    <cellStyle name="Remarque 6 2 4 4 2" xfId="3871" xr:uid="{00000000-0005-0000-0000-000026DF0000}"/>
    <cellStyle name="Remarque 6 2 4 4 2 2" xfId="27885" xr:uid="{00000000-0005-0000-0000-000027DF0000}"/>
    <cellStyle name="Remarque 6 2 4 4 2 2 2" xfId="51845" xr:uid="{00000000-0005-0000-0000-000028DF0000}"/>
    <cellStyle name="Remarque 6 2 4 4 2 3" xfId="15132" xr:uid="{00000000-0005-0000-0000-000029DF0000}"/>
    <cellStyle name="Remarque 6 2 4 4 2 4" xfId="39092" xr:uid="{00000000-0005-0000-0000-00002ADF0000}"/>
    <cellStyle name="Remarque 6 2 4 4 3" xfId="5305" xr:uid="{00000000-0005-0000-0000-00002BDF0000}"/>
    <cellStyle name="Remarque 6 2 4 4 3 2" xfId="29319" xr:uid="{00000000-0005-0000-0000-00002CDF0000}"/>
    <cellStyle name="Remarque 6 2 4 4 3 2 2" xfId="53279" xr:uid="{00000000-0005-0000-0000-00002DDF0000}"/>
    <cellStyle name="Remarque 6 2 4 4 3 3" xfId="16566" xr:uid="{00000000-0005-0000-0000-00002EDF0000}"/>
    <cellStyle name="Remarque 6 2 4 4 3 4" xfId="40526" xr:uid="{00000000-0005-0000-0000-00002FDF0000}"/>
    <cellStyle name="Remarque 6 2 4 4 4" xfId="6699" xr:uid="{00000000-0005-0000-0000-000030DF0000}"/>
    <cellStyle name="Remarque 6 2 4 4 4 2" xfId="30713" xr:uid="{00000000-0005-0000-0000-000031DF0000}"/>
    <cellStyle name="Remarque 6 2 4 4 4 2 2" xfId="54673" xr:uid="{00000000-0005-0000-0000-000032DF0000}"/>
    <cellStyle name="Remarque 6 2 4 4 4 3" xfId="17960" xr:uid="{00000000-0005-0000-0000-000033DF0000}"/>
    <cellStyle name="Remarque 6 2 4 4 4 4" xfId="41920" xr:uid="{00000000-0005-0000-0000-000034DF0000}"/>
    <cellStyle name="Remarque 6 2 4 4 5" xfId="8087" xr:uid="{00000000-0005-0000-0000-000035DF0000}"/>
    <cellStyle name="Remarque 6 2 4 4 5 2" xfId="32101" xr:uid="{00000000-0005-0000-0000-000036DF0000}"/>
    <cellStyle name="Remarque 6 2 4 4 5 2 2" xfId="56061" xr:uid="{00000000-0005-0000-0000-000037DF0000}"/>
    <cellStyle name="Remarque 6 2 4 4 5 3" xfId="19348" xr:uid="{00000000-0005-0000-0000-000038DF0000}"/>
    <cellStyle name="Remarque 6 2 4 4 5 4" xfId="43308" xr:uid="{00000000-0005-0000-0000-000039DF0000}"/>
    <cellStyle name="Remarque 6 2 4 4 6" xfId="9472" xr:uid="{00000000-0005-0000-0000-00003ADF0000}"/>
    <cellStyle name="Remarque 6 2 4 4 6 2" xfId="33486" xr:uid="{00000000-0005-0000-0000-00003BDF0000}"/>
    <cellStyle name="Remarque 6 2 4 4 6 2 2" xfId="57446" xr:uid="{00000000-0005-0000-0000-00003CDF0000}"/>
    <cellStyle name="Remarque 6 2 4 4 6 3" xfId="20733" xr:uid="{00000000-0005-0000-0000-00003DDF0000}"/>
    <cellStyle name="Remarque 6 2 4 4 6 4" xfId="44693" xr:uid="{00000000-0005-0000-0000-00003EDF0000}"/>
    <cellStyle name="Remarque 6 2 4 4 7" xfId="10929" xr:uid="{00000000-0005-0000-0000-00003FDF0000}"/>
    <cellStyle name="Remarque 6 2 4 4 7 2" xfId="34939" xr:uid="{00000000-0005-0000-0000-000040DF0000}"/>
    <cellStyle name="Remarque 6 2 4 4 7 2 2" xfId="58899" xr:uid="{00000000-0005-0000-0000-000041DF0000}"/>
    <cellStyle name="Remarque 6 2 4 4 7 3" xfId="22196" xr:uid="{00000000-0005-0000-0000-000042DF0000}"/>
    <cellStyle name="Remarque 6 2 4 4 7 4" xfId="46156" xr:uid="{00000000-0005-0000-0000-000043DF0000}"/>
    <cellStyle name="Remarque 6 2 4 4 8" xfId="12666" xr:uid="{00000000-0005-0000-0000-000044DF0000}"/>
    <cellStyle name="Remarque 6 2 4 4 8 2" xfId="23971" xr:uid="{00000000-0005-0000-0000-000045DF0000}"/>
    <cellStyle name="Remarque 6 2 4 4 8 3" xfId="47931" xr:uid="{00000000-0005-0000-0000-000046DF0000}"/>
    <cellStyle name="Remarque 6 2 4 4 9" xfId="2401" xr:uid="{00000000-0005-0000-0000-000047DF0000}"/>
    <cellStyle name="Remarque 6 2 4 4 9 2" xfId="26415" xr:uid="{00000000-0005-0000-0000-000048DF0000}"/>
    <cellStyle name="Remarque 6 2 4 4 9 3" xfId="50375" xr:uid="{00000000-0005-0000-0000-000049DF0000}"/>
    <cellStyle name="Remarque 6 2 4 5" xfId="1158" xr:uid="{00000000-0005-0000-0000-00004ADF0000}"/>
    <cellStyle name="Remarque 6 2 4 5 10" xfId="25190" xr:uid="{00000000-0005-0000-0000-00004BDF0000}"/>
    <cellStyle name="Remarque 6 2 4 5 10 2" xfId="49150" xr:uid="{00000000-0005-0000-0000-00004CDF0000}"/>
    <cellStyle name="Remarque 6 2 4 5 11" xfId="35775" xr:uid="{00000000-0005-0000-0000-00004DDF0000}"/>
    <cellStyle name="Remarque 6 2 4 5 11 2" xfId="59735" xr:uid="{00000000-0005-0000-0000-00004EDF0000}"/>
    <cellStyle name="Remarque 6 2 4 5 12" xfId="13855" xr:uid="{00000000-0005-0000-0000-00004FDF0000}"/>
    <cellStyle name="Remarque 6 2 4 5 13" xfId="37815" xr:uid="{00000000-0005-0000-0000-000050DF0000}"/>
    <cellStyle name="Remarque 6 2 4 5 2" xfId="4064" xr:uid="{00000000-0005-0000-0000-000051DF0000}"/>
    <cellStyle name="Remarque 6 2 4 5 2 2" xfId="28078" xr:uid="{00000000-0005-0000-0000-000052DF0000}"/>
    <cellStyle name="Remarque 6 2 4 5 2 2 2" xfId="52038" xr:uid="{00000000-0005-0000-0000-000053DF0000}"/>
    <cellStyle name="Remarque 6 2 4 5 2 3" xfId="15325" xr:uid="{00000000-0005-0000-0000-000054DF0000}"/>
    <cellStyle name="Remarque 6 2 4 5 2 4" xfId="39285" xr:uid="{00000000-0005-0000-0000-000055DF0000}"/>
    <cellStyle name="Remarque 6 2 4 5 3" xfId="5498" xr:uid="{00000000-0005-0000-0000-000056DF0000}"/>
    <cellStyle name="Remarque 6 2 4 5 3 2" xfId="29512" xr:uid="{00000000-0005-0000-0000-000057DF0000}"/>
    <cellStyle name="Remarque 6 2 4 5 3 2 2" xfId="53472" xr:uid="{00000000-0005-0000-0000-000058DF0000}"/>
    <cellStyle name="Remarque 6 2 4 5 3 3" xfId="16759" xr:uid="{00000000-0005-0000-0000-000059DF0000}"/>
    <cellStyle name="Remarque 6 2 4 5 3 4" xfId="40719" xr:uid="{00000000-0005-0000-0000-00005ADF0000}"/>
    <cellStyle name="Remarque 6 2 4 5 4" xfId="6892" xr:uid="{00000000-0005-0000-0000-00005BDF0000}"/>
    <cellStyle name="Remarque 6 2 4 5 4 2" xfId="30906" xr:uid="{00000000-0005-0000-0000-00005CDF0000}"/>
    <cellStyle name="Remarque 6 2 4 5 4 2 2" xfId="54866" xr:uid="{00000000-0005-0000-0000-00005DDF0000}"/>
    <cellStyle name="Remarque 6 2 4 5 4 3" xfId="18153" xr:uid="{00000000-0005-0000-0000-00005EDF0000}"/>
    <cellStyle name="Remarque 6 2 4 5 4 4" xfId="42113" xr:uid="{00000000-0005-0000-0000-00005FDF0000}"/>
    <cellStyle name="Remarque 6 2 4 5 5" xfId="8280" xr:uid="{00000000-0005-0000-0000-000060DF0000}"/>
    <cellStyle name="Remarque 6 2 4 5 5 2" xfId="32294" xr:uid="{00000000-0005-0000-0000-000061DF0000}"/>
    <cellStyle name="Remarque 6 2 4 5 5 2 2" xfId="56254" xr:uid="{00000000-0005-0000-0000-000062DF0000}"/>
    <cellStyle name="Remarque 6 2 4 5 5 3" xfId="19541" xr:uid="{00000000-0005-0000-0000-000063DF0000}"/>
    <cellStyle name="Remarque 6 2 4 5 5 4" xfId="43501" xr:uid="{00000000-0005-0000-0000-000064DF0000}"/>
    <cellStyle name="Remarque 6 2 4 5 6" xfId="9665" xr:uid="{00000000-0005-0000-0000-000065DF0000}"/>
    <cellStyle name="Remarque 6 2 4 5 6 2" xfId="33679" xr:uid="{00000000-0005-0000-0000-000066DF0000}"/>
    <cellStyle name="Remarque 6 2 4 5 6 2 2" xfId="57639" xr:uid="{00000000-0005-0000-0000-000067DF0000}"/>
    <cellStyle name="Remarque 6 2 4 5 6 3" xfId="20926" xr:uid="{00000000-0005-0000-0000-000068DF0000}"/>
    <cellStyle name="Remarque 6 2 4 5 6 4" xfId="44886" xr:uid="{00000000-0005-0000-0000-000069DF0000}"/>
    <cellStyle name="Remarque 6 2 4 5 7" xfId="11122" xr:uid="{00000000-0005-0000-0000-00006ADF0000}"/>
    <cellStyle name="Remarque 6 2 4 5 7 2" xfId="35132" xr:uid="{00000000-0005-0000-0000-00006BDF0000}"/>
    <cellStyle name="Remarque 6 2 4 5 7 2 2" xfId="59092" xr:uid="{00000000-0005-0000-0000-00006CDF0000}"/>
    <cellStyle name="Remarque 6 2 4 5 7 3" xfId="22389" xr:uid="{00000000-0005-0000-0000-00006DDF0000}"/>
    <cellStyle name="Remarque 6 2 4 5 7 4" xfId="46349" xr:uid="{00000000-0005-0000-0000-00006EDF0000}"/>
    <cellStyle name="Remarque 6 2 4 5 8" xfId="12275" xr:uid="{00000000-0005-0000-0000-00006FDF0000}"/>
    <cellStyle name="Remarque 6 2 4 5 8 2" xfId="23561" xr:uid="{00000000-0005-0000-0000-000070DF0000}"/>
    <cellStyle name="Remarque 6 2 4 5 8 3" xfId="47521" xr:uid="{00000000-0005-0000-0000-000071DF0000}"/>
    <cellStyle name="Remarque 6 2 4 5 9" xfId="2594" xr:uid="{00000000-0005-0000-0000-000072DF0000}"/>
    <cellStyle name="Remarque 6 2 4 5 9 2" xfId="26608" xr:uid="{00000000-0005-0000-0000-000073DF0000}"/>
    <cellStyle name="Remarque 6 2 4 5 9 3" xfId="50568" xr:uid="{00000000-0005-0000-0000-000074DF0000}"/>
    <cellStyle name="Remarque 6 2 4 6" xfId="1325" xr:uid="{00000000-0005-0000-0000-000075DF0000}"/>
    <cellStyle name="Remarque 6 2 4 6 10" xfId="25357" xr:uid="{00000000-0005-0000-0000-000076DF0000}"/>
    <cellStyle name="Remarque 6 2 4 6 10 2" xfId="49317" xr:uid="{00000000-0005-0000-0000-000077DF0000}"/>
    <cellStyle name="Remarque 6 2 4 6 11" xfId="35907" xr:uid="{00000000-0005-0000-0000-000078DF0000}"/>
    <cellStyle name="Remarque 6 2 4 6 11 2" xfId="59867" xr:uid="{00000000-0005-0000-0000-000079DF0000}"/>
    <cellStyle name="Remarque 6 2 4 6 12" xfId="14022" xr:uid="{00000000-0005-0000-0000-00007ADF0000}"/>
    <cellStyle name="Remarque 6 2 4 6 13" xfId="37982" xr:uid="{00000000-0005-0000-0000-00007BDF0000}"/>
    <cellStyle name="Remarque 6 2 4 6 2" xfId="4231" xr:uid="{00000000-0005-0000-0000-00007CDF0000}"/>
    <cellStyle name="Remarque 6 2 4 6 2 2" xfId="28245" xr:uid="{00000000-0005-0000-0000-00007DDF0000}"/>
    <cellStyle name="Remarque 6 2 4 6 2 2 2" xfId="52205" xr:uid="{00000000-0005-0000-0000-00007EDF0000}"/>
    <cellStyle name="Remarque 6 2 4 6 2 3" xfId="15492" xr:uid="{00000000-0005-0000-0000-00007FDF0000}"/>
    <cellStyle name="Remarque 6 2 4 6 2 4" xfId="39452" xr:uid="{00000000-0005-0000-0000-000080DF0000}"/>
    <cellStyle name="Remarque 6 2 4 6 3" xfId="5665" xr:uid="{00000000-0005-0000-0000-000081DF0000}"/>
    <cellStyle name="Remarque 6 2 4 6 3 2" xfId="29679" xr:uid="{00000000-0005-0000-0000-000082DF0000}"/>
    <cellStyle name="Remarque 6 2 4 6 3 2 2" xfId="53639" xr:uid="{00000000-0005-0000-0000-000083DF0000}"/>
    <cellStyle name="Remarque 6 2 4 6 3 3" xfId="16926" xr:uid="{00000000-0005-0000-0000-000084DF0000}"/>
    <cellStyle name="Remarque 6 2 4 6 3 4" xfId="40886" xr:uid="{00000000-0005-0000-0000-000085DF0000}"/>
    <cellStyle name="Remarque 6 2 4 6 4" xfId="7059" xr:uid="{00000000-0005-0000-0000-000086DF0000}"/>
    <cellStyle name="Remarque 6 2 4 6 4 2" xfId="31073" xr:uid="{00000000-0005-0000-0000-000087DF0000}"/>
    <cellStyle name="Remarque 6 2 4 6 4 2 2" xfId="55033" xr:uid="{00000000-0005-0000-0000-000088DF0000}"/>
    <cellStyle name="Remarque 6 2 4 6 4 3" xfId="18320" xr:uid="{00000000-0005-0000-0000-000089DF0000}"/>
    <cellStyle name="Remarque 6 2 4 6 4 4" xfId="42280" xr:uid="{00000000-0005-0000-0000-00008ADF0000}"/>
    <cellStyle name="Remarque 6 2 4 6 5" xfId="8447" xr:uid="{00000000-0005-0000-0000-00008BDF0000}"/>
    <cellStyle name="Remarque 6 2 4 6 5 2" xfId="32461" xr:uid="{00000000-0005-0000-0000-00008CDF0000}"/>
    <cellStyle name="Remarque 6 2 4 6 5 2 2" xfId="56421" xr:uid="{00000000-0005-0000-0000-00008DDF0000}"/>
    <cellStyle name="Remarque 6 2 4 6 5 3" xfId="19708" xr:uid="{00000000-0005-0000-0000-00008EDF0000}"/>
    <cellStyle name="Remarque 6 2 4 6 5 4" xfId="43668" xr:uid="{00000000-0005-0000-0000-00008FDF0000}"/>
    <cellStyle name="Remarque 6 2 4 6 6" xfId="9832" xr:uid="{00000000-0005-0000-0000-000090DF0000}"/>
    <cellStyle name="Remarque 6 2 4 6 6 2" xfId="33846" xr:uid="{00000000-0005-0000-0000-000091DF0000}"/>
    <cellStyle name="Remarque 6 2 4 6 6 2 2" xfId="57806" xr:uid="{00000000-0005-0000-0000-000092DF0000}"/>
    <cellStyle name="Remarque 6 2 4 6 6 3" xfId="21093" xr:uid="{00000000-0005-0000-0000-000093DF0000}"/>
    <cellStyle name="Remarque 6 2 4 6 6 4" xfId="45053" xr:uid="{00000000-0005-0000-0000-000094DF0000}"/>
    <cellStyle name="Remarque 6 2 4 6 7" xfId="11289" xr:uid="{00000000-0005-0000-0000-000095DF0000}"/>
    <cellStyle name="Remarque 6 2 4 6 7 2" xfId="35299" xr:uid="{00000000-0005-0000-0000-000096DF0000}"/>
    <cellStyle name="Remarque 6 2 4 6 7 2 2" xfId="59259" xr:uid="{00000000-0005-0000-0000-000097DF0000}"/>
    <cellStyle name="Remarque 6 2 4 6 7 3" xfId="22556" xr:uid="{00000000-0005-0000-0000-000098DF0000}"/>
    <cellStyle name="Remarque 6 2 4 6 7 4" xfId="46516" xr:uid="{00000000-0005-0000-0000-000099DF0000}"/>
    <cellStyle name="Remarque 6 2 4 6 8" xfId="12850" xr:uid="{00000000-0005-0000-0000-00009ADF0000}"/>
    <cellStyle name="Remarque 6 2 4 6 8 2" xfId="24162" xr:uid="{00000000-0005-0000-0000-00009BDF0000}"/>
    <cellStyle name="Remarque 6 2 4 6 8 3" xfId="48122" xr:uid="{00000000-0005-0000-0000-00009CDF0000}"/>
    <cellStyle name="Remarque 6 2 4 6 9" xfId="2761" xr:uid="{00000000-0005-0000-0000-00009DDF0000}"/>
    <cellStyle name="Remarque 6 2 4 6 9 2" xfId="26775" xr:uid="{00000000-0005-0000-0000-00009EDF0000}"/>
    <cellStyle name="Remarque 6 2 4 6 9 3" xfId="50735" xr:uid="{00000000-0005-0000-0000-00009FDF0000}"/>
    <cellStyle name="Remarque 6 2 4 7" xfId="1494" xr:uid="{00000000-0005-0000-0000-0000A0DF0000}"/>
    <cellStyle name="Remarque 6 2 4 7 10" xfId="25526" xr:uid="{00000000-0005-0000-0000-0000A1DF0000}"/>
    <cellStyle name="Remarque 6 2 4 7 10 2" xfId="49486" xr:uid="{00000000-0005-0000-0000-0000A2DF0000}"/>
    <cellStyle name="Remarque 6 2 4 7 11" xfId="35991" xr:uid="{00000000-0005-0000-0000-0000A3DF0000}"/>
    <cellStyle name="Remarque 6 2 4 7 11 2" xfId="59951" xr:uid="{00000000-0005-0000-0000-0000A4DF0000}"/>
    <cellStyle name="Remarque 6 2 4 7 12" xfId="14191" xr:uid="{00000000-0005-0000-0000-0000A5DF0000}"/>
    <cellStyle name="Remarque 6 2 4 7 13" xfId="38151" xr:uid="{00000000-0005-0000-0000-0000A6DF0000}"/>
    <cellStyle name="Remarque 6 2 4 7 2" xfId="4400" xr:uid="{00000000-0005-0000-0000-0000A7DF0000}"/>
    <cellStyle name="Remarque 6 2 4 7 2 2" xfId="28414" xr:uid="{00000000-0005-0000-0000-0000A8DF0000}"/>
    <cellStyle name="Remarque 6 2 4 7 2 2 2" xfId="52374" xr:uid="{00000000-0005-0000-0000-0000A9DF0000}"/>
    <cellStyle name="Remarque 6 2 4 7 2 3" xfId="15661" xr:uid="{00000000-0005-0000-0000-0000AADF0000}"/>
    <cellStyle name="Remarque 6 2 4 7 2 4" xfId="39621" xr:uid="{00000000-0005-0000-0000-0000ABDF0000}"/>
    <cellStyle name="Remarque 6 2 4 7 3" xfId="5834" xr:uid="{00000000-0005-0000-0000-0000ACDF0000}"/>
    <cellStyle name="Remarque 6 2 4 7 3 2" xfId="29848" xr:uid="{00000000-0005-0000-0000-0000ADDF0000}"/>
    <cellStyle name="Remarque 6 2 4 7 3 2 2" xfId="53808" xr:uid="{00000000-0005-0000-0000-0000AEDF0000}"/>
    <cellStyle name="Remarque 6 2 4 7 3 3" xfId="17095" xr:uid="{00000000-0005-0000-0000-0000AFDF0000}"/>
    <cellStyle name="Remarque 6 2 4 7 3 4" xfId="41055" xr:uid="{00000000-0005-0000-0000-0000B0DF0000}"/>
    <cellStyle name="Remarque 6 2 4 7 4" xfId="7228" xr:uid="{00000000-0005-0000-0000-0000B1DF0000}"/>
    <cellStyle name="Remarque 6 2 4 7 4 2" xfId="31242" xr:uid="{00000000-0005-0000-0000-0000B2DF0000}"/>
    <cellStyle name="Remarque 6 2 4 7 4 2 2" xfId="55202" xr:uid="{00000000-0005-0000-0000-0000B3DF0000}"/>
    <cellStyle name="Remarque 6 2 4 7 4 3" xfId="18489" xr:uid="{00000000-0005-0000-0000-0000B4DF0000}"/>
    <cellStyle name="Remarque 6 2 4 7 4 4" xfId="42449" xr:uid="{00000000-0005-0000-0000-0000B5DF0000}"/>
    <cellStyle name="Remarque 6 2 4 7 5" xfId="8616" xr:uid="{00000000-0005-0000-0000-0000B6DF0000}"/>
    <cellStyle name="Remarque 6 2 4 7 5 2" xfId="32630" xr:uid="{00000000-0005-0000-0000-0000B7DF0000}"/>
    <cellStyle name="Remarque 6 2 4 7 5 2 2" xfId="56590" xr:uid="{00000000-0005-0000-0000-0000B8DF0000}"/>
    <cellStyle name="Remarque 6 2 4 7 5 3" xfId="19877" xr:uid="{00000000-0005-0000-0000-0000B9DF0000}"/>
    <cellStyle name="Remarque 6 2 4 7 5 4" xfId="43837" xr:uid="{00000000-0005-0000-0000-0000BADF0000}"/>
    <cellStyle name="Remarque 6 2 4 7 6" xfId="10001" xr:uid="{00000000-0005-0000-0000-0000BBDF0000}"/>
    <cellStyle name="Remarque 6 2 4 7 6 2" xfId="34015" xr:uid="{00000000-0005-0000-0000-0000BCDF0000}"/>
    <cellStyle name="Remarque 6 2 4 7 6 2 2" xfId="57975" xr:uid="{00000000-0005-0000-0000-0000BDDF0000}"/>
    <cellStyle name="Remarque 6 2 4 7 6 3" xfId="21262" xr:uid="{00000000-0005-0000-0000-0000BEDF0000}"/>
    <cellStyle name="Remarque 6 2 4 7 6 4" xfId="45222" xr:uid="{00000000-0005-0000-0000-0000BFDF0000}"/>
    <cellStyle name="Remarque 6 2 4 7 7" xfId="11458" xr:uid="{00000000-0005-0000-0000-0000C0DF0000}"/>
    <cellStyle name="Remarque 6 2 4 7 7 2" xfId="35468" xr:uid="{00000000-0005-0000-0000-0000C1DF0000}"/>
    <cellStyle name="Remarque 6 2 4 7 7 2 2" xfId="59428" xr:uid="{00000000-0005-0000-0000-0000C2DF0000}"/>
    <cellStyle name="Remarque 6 2 4 7 7 3" xfId="22725" xr:uid="{00000000-0005-0000-0000-0000C3DF0000}"/>
    <cellStyle name="Remarque 6 2 4 7 7 4" xfId="46685" xr:uid="{00000000-0005-0000-0000-0000C4DF0000}"/>
    <cellStyle name="Remarque 6 2 4 7 8" xfId="11982" xr:uid="{00000000-0005-0000-0000-0000C5DF0000}"/>
    <cellStyle name="Remarque 6 2 4 7 8 2" xfId="23260" xr:uid="{00000000-0005-0000-0000-0000C6DF0000}"/>
    <cellStyle name="Remarque 6 2 4 7 8 3" xfId="47220" xr:uid="{00000000-0005-0000-0000-0000C7DF0000}"/>
    <cellStyle name="Remarque 6 2 4 7 9" xfId="2930" xr:uid="{00000000-0005-0000-0000-0000C8DF0000}"/>
    <cellStyle name="Remarque 6 2 4 7 9 2" xfId="26944" xr:uid="{00000000-0005-0000-0000-0000C9DF0000}"/>
    <cellStyle name="Remarque 6 2 4 7 9 3" xfId="50904" xr:uid="{00000000-0005-0000-0000-0000CADF0000}"/>
    <cellStyle name="Remarque 6 2 4 8" xfId="3349" xr:uid="{00000000-0005-0000-0000-0000CBDF0000}"/>
    <cellStyle name="Remarque 6 2 4 8 2" xfId="27363" xr:uid="{00000000-0005-0000-0000-0000CCDF0000}"/>
    <cellStyle name="Remarque 6 2 4 8 2 2" xfId="51323" xr:uid="{00000000-0005-0000-0000-0000CDDF0000}"/>
    <cellStyle name="Remarque 6 2 4 8 3" xfId="14610" xr:uid="{00000000-0005-0000-0000-0000CEDF0000}"/>
    <cellStyle name="Remarque 6 2 4 8 4" xfId="38570" xr:uid="{00000000-0005-0000-0000-0000CFDF0000}"/>
    <cellStyle name="Remarque 6 2 4 9" xfId="4783" xr:uid="{00000000-0005-0000-0000-0000D0DF0000}"/>
    <cellStyle name="Remarque 6 2 4 9 2" xfId="28797" xr:uid="{00000000-0005-0000-0000-0000D1DF0000}"/>
    <cellStyle name="Remarque 6 2 4 9 2 2" xfId="52757" xr:uid="{00000000-0005-0000-0000-0000D2DF0000}"/>
    <cellStyle name="Remarque 6 2 4 9 3" xfId="16044" xr:uid="{00000000-0005-0000-0000-0000D3DF0000}"/>
    <cellStyle name="Remarque 6 2 4 9 4" xfId="40004" xr:uid="{00000000-0005-0000-0000-0000D4DF0000}"/>
    <cellStyle name="Remarque 6 2 5" xfId="325" xr:uid="{00000000-0005-0000-0000-0000D5DF0000}"/>
    <cellStyle name="Remarque 6 2 5 10" xfId="24357" xr:uid="{00000000-0005-0000-0000-0000D6DF0000}"/>
    <cellStyle name="Remarque 6 2 5 10 2" xfId="48317" xr:uid="{00000000-0005-0000-0000-0000D7DF0000}"/>
    <cellStyle name="Remarque 6 2 5 11" xfId="36344" xr:uid="{00000000-0005-0000-0000-0000D8DF0000}"/>
    <cellStyle name="Remarque 6 2 5 11 2" xfId="60304" xr:uid="{00000000-0005-0000-0000-0000D9DF0000}"/>
    <cellStyle name="Remarque 6 2 5 12" xfId="13022" xr:uid="{00000000-0005-0000-0000-0000DADF0000}"/>
    <cellStyle name="Remarque 6 2 5 13" xfId="36982" xr:uid="{00000000-0005-0000-0000-0000DBDF0000}"/>
    <cellStyle name="Remarque 6 2 5 2" xfId="3231" xr:uid="{00000000-0005-0000-0000-0000DCDF0000}"/>
    <cellStyle name="Remarque 6 2 5 2 2" xfId="27245" xr:uid="{00000000-0005-0000-0000-0000DDDF0000}"/>
    <cellStyle name="Remarque 6 2 5 2 2 2" xfId="51205" xr:uid="{00000000-0005-0000-0000-0000DEDF0000}"/>
    <cellStyle name="Remarque 6 2 5 2 3" xfId="14492" xr:uid="{00000000-0005-0000-0000-0000DFDF0000}"/>
    <cellStyle name="Remarque 6 2 5 2 4" xfId="38452" xr:uid="{00000000-0005-0000-0000-0000E0DF0000}"/>
    <cellStyle name="Remarque 6 2 5 3" xfId="4665" xr:uid="{00000000-0005-0000-0000-0000E1DF0000}"/>
    <cellStyle name="Remarque 6 2 5 3 2" xfId="28679" xr:uid="{00000000-0005-0000-0000-0000E2DF0000}"/>
    <cellStyle name="Remarque 6 2 5 3 2 2" xfId="52639" xr:uid="{00000000-0005-0000-0000-0000E3DF0000}"/>
    <cellStyle name="Remarque 6 2 5 3 3" xfId="15926" xr:uid="{00000000-0005-0000-0000-0000E4DF0000}"/>
    <cellStyle name="Remarque 6 2 5 3 4" xfId="39886" xr:uid="{00000000-0005-0000-0000-0000E5DF0000}"/>
    <cellStyle name="Remarque 6 2 5 4" xfId="6059" xr:uid="{00000000-0005-0000-0000-0000E6DF0000}"/>
    <cellStyle name="Remarque 6 2 5 4 2" xfId="30073" xr:uid="{00000000-0005-0000-0000-0000E7DF0000}"/>
    <cellStyle name="Remarque 6 2 5 4 2 2" xfId="54033" xr:uid="{00000000-0005-0000-0000-0000E8DF0000}"/>
    <cellStyle name="Remarque 6 2 5 4 3" xfId="17320" xr:uid="{00000000-0005-0000-0000-0000E9DF0000}"/>
    <cellStyle name="Remarque 6 2 5 4 4" xfId="41280" xr:uid="{00000000-0005-0000-0000-0000EADF0000}"/>
    <cellStyle name="Remarque 6 2 5 5" xfId="7447" xr:uid="{00000000-0005-0000-0000-0000EBDF0000}"/>
    <cellStyle name="Remarque 6 2 5 5 2" xfId="31461" xr:uid="{00000000-0005-0000-0000-0000ECDF0000}"/>
    <cellStyle name="Remarque 6 2 5 5 2 2" xfId="55421" xr:uid="{00000000-0005-0000-0000-0000EDDF0000}"/>
    <cellStyle name="Remarque 6 2 5 5 3" xfId="18708" xr:uid="{00000000-0005-0000-0000-0000EEDF0000}"/>
    <cellStyle name="Remarque 6 2 5 5 4" xfId="42668" xr:uid="{00000000-0005-0000-0000-0000EFDF0000}"/>
    <cellStyle name="Remarque 6 2 5 6" xfId="8832" xr:uid="{00000000-0005-0000-0000-0000F0DF0000}"/>
    <cellStyle name="Remarque 6 2 5 6 2" xfId="32846" xr:uid="{00000000-0005-0000-0000-0000F1DF0000}"/>
    <cellStyle name="Remarque 6 2 5 6 2 2" xfId="56806" xr:uid="{00000000-0005-0000-0000-0000F2DF0000}"/>
    <cellStyle name="Remarque 6 2 5 6 3" xfId="20093" xr:uid="{00000000-0005-0000-0000-0000F3DF0000}"/>
    <cellStyle name="Remarque 6 2 5 6 4" xfId="44053" xr:uid="{00000000-0005-0000-0000-0000F4DF0000}"/>
    <cellStyle name="Remarque 6 2 5 7" xfId="10289" xr:uid="{00000000-0005-0000-0000-0000F5DF0000}"/>
    <cellStyle name="Remarque 6 2 5 7 2" xfId="34299" xr:uid="{00000000-0005-0000-0000-0000F6DF0000}"/>
    <cellStyle name="Remarque 6 2 5 7 2 2" xfId="58259" xr:uid="{00000000-0005-0000-0000-0000F7DF0000}"/>
    <cellStyle name="Remarque 6 2 5 7 3" xfId="21556" xr:uid="{00000000-0005-0000-0000-0000F8DF0000}"/>
    <cellStyle name="Remarque 6 2 5 7 4" xfId="45516" xr:uid="{00000000-0005-0000-0000-0000F9DF0000}"/>
    <cellStyle name="Remarque 6 2 5 8" xfId="12895" xr:uid="{00000000-0005-0000-0000-0000FADF0000}"/>
    <cellStyle name="Remarque 6 2 5 8 2" xfId="24208" xr:uid="{00000000-0005-0000-0000-0000FBDF0000}"/>
    <cellStyle name="Remarque 6 2 5 8 3" xfId="48168" xr:uid="{00000000-0005-0000-0000-0000FCDF0000}"/>
    <cellStyle name="Remarque 6 2 5 9" xfId="1761" xr:uid="{00000000-0005-0000-0000-0000FDDF0000}"/>
    <cellStyle name="Remarque 6 2 5 9 2" xfId="25775" xr:uid="{00000000-0005-0000-0000-0000FEDF0000}"/>
    <cellStyle name="Remarque 6 2 5 9 3" xfId="49735" xr:uid="{00000000-0005-0000-0000-0000FFDF0000}"/>
    <cellStyle name="Remarque 6 2 6" xfId="636" xr:uid="{00000000-0005-0000-0000-000000E00000}"/>
    <cellStyle name="Remarque 6 2 6 10" xfId="24668" xr:uid="{00000000-0005-0000-0000-000001E00000}"/>
    <cellStyle name="Remarque 6 2 6 10 2" xfId="48628" xr:uid="{00000000-0005-0000-0000-000002E00000}"/>
    <cellStyle name="Remarque 6 2 6 11" xfId="36172" xr:uid="{00000000-0005-0000-0000-000003E00000}"/>
    <cellStyle name="Remarque 6 2 6 11 2" xfId="60132" xr:uid="{00000000-0005-0000-0000-000004E00000}"/>
    <cellStyle name="Remarque 6 2 6 12" xfId="13333" xr:uid="{00000000-0005-0000-0000-000005E00000}"/>
    <cellStyle name="Remarque 6 2 6 13" xfId="37293" xr:uid="{00000000-0005-0000-0000-000006E00000}"/>
    <cellStyle name="Remarque 6 2 6 2" xfId="3542" xr:uid="{00000000-0005-0000-0000-000007E00000}"/>
    <cellStyle name="Remarque 6 2 6 2 2" xfId="27556" xr:uid="{00000000-0005-0000-0000-000008E00000}"/>
    <cellStyle name="Remarque 6 2 6 2 2 2" xfId="51516" xr:uid="{00000000-0005-0000-0000-000009E00000}"/>
    <cellStyle name="Remarque 6 2 6 2 3" xfId="14803" xr:uid="{00000000-0005-0000-0000-00000AE00000}"/>
    <cellStyle name="Remarque 6 2 6 2 4" xfId="38763" xr:uid="{00000000-0005-0000-0000-00000BE00000}"/>
    <cellStyle name="Remarque 6 2 6 3" xfId="4976" xr:uid="{00000000-0005-0000-0000-00000CE00000}"/>
    <cellStyle name="Remarque 6 2 6 3 2" xfId="28990" xr:uid="{00000000-0005-0000-0000-00000DE00000}"/>
    <cellStyle name="Remarque 6 2 6 3 2 2" xfId="52950" xr:uid="{00000000-0005-0000-0000-00000EE00000}"/>
    <cellStyle name="Remarque 6 2 6 3 3" xfId="16237" xr:uid="{00000000-0005-0000-0000-00000FE00000}"/>
    <cellStyle name="Remarque 6 2 6 3 4" xfId="40197" xr:uid="{00000000-0005-0000-0000-000010E00000}"/>
    <cellStyle name="Remarque 6 2 6 4" xfId="6370" xr:uid="{00000000-0005-0000-0000-000011E00000}"/>
    <cellStyle name="Remarque 6 2 6 4 2" xfId="30384" xr:uid="{00000000-0005-0000-0000-000012E00000}"/>
    <cellStyle name="Remarque 6 2 6 4 2 2" xfId="54344" xr:uid="{00000000-0005-0000-0000-000013E00000}"/>
    <cellStyle name="Remarque 6 2 6 4 3" xfId="17631" xr:uid="{00000000-0005-0000-0000-000014E00000}"/>
    <cellStyle name="Remarque 6 2 6 4 4" xfId="41591" xr:uid="{00000000-0005-0000-0000-000015E00000}"/>
    <cellStyle name="Remarque 6 2 6 5" xfId="7758" xr:uid="{00000000-0005-0000-0000-000016E00000}"/>
    <cellStyle name="Remarque 6 2 6 5 2" xfId="31772" xr:uid="{00000000-0005-0000-0000-000017E00000}"/>
    <cellStyle name="Remarque 6 2 6 5 2 2" xfId="55732" xr:uid="{00000000-0005-0000-0000-000018E00000}"/>
    <cellStyle name="Remarque 6 2 6 5 3" xfId="19019" xr:uid="{00000000-0005-0000-0000-000019E00000}"/>
    <cellStyle name="Remarque 6 2 6 5 4" xfId="42979" xr:uid="{00000000-0005-0000-0000-00001AE00000}"/>
    <cellStyle name="Remarque 6 2 6 6" xfId="9143" xr:uid="{00000000-0005-0000-0000-00001BE00000}"/>
    <cellStyle name="Remarque 6 2 6 6 2" xfId="33157" xr:uid="{00000000-0005-0000-0000-00001CE00000}"/>
    <cellStyle name="Remarque 6 2 6 6 2 2" xfId="57117" xr:uid="{00000000-0005-0000-0000-00001DE00000}"/>
    <cellStyle name="Remarque 6 2 6 6 3" xfId="20404" xr:uid="{00000000-0005-0000-0000-00001EE00000}"/>
    <cellStyle name="Remarque 6 2 6 6 4" xfId="44364" xr:uid="{00000000-0005-0000-0000-00001FE00000}"/>
    <cellStyle name="Remarque 6 2 6 7" xfId="10600" xr:uid="{00000000-0005-0000-0000-000020E00000}"/>
    <cellStyle name="Remarque 6 2 6 7 2" xfId="34610" xr:uid="{00000000-0005-0000-0000-000021E00000}"/>
    <cellStyle name="Remarque 6 2 6 7 2 2" xfId="58570" xr:uid="{00000000-0005-0000-0000-000022E00000}"/>
    <cellStyle name="Remarque 6 2 6 7 3" xfId="21867" xr:uid="{00000000-0005-0000-0000-000023E00000}"/>
    <cellStyle name="Remarque 6 2 6 7 4" xfId="45827" xr:uid="{00000000-0005-0000-0000-000024E00000}"/>
    <cellStyle name="Remarque 6 2 6 8" xfId="12204" xr:uid="{00000000-0005-0000-0000-000025E00000}"/>
    <cellStyle name="Remarque 6 2 6 8 2" xfId="23487" xr:uid="{00000000-0005-0000-0000-000026E00000}"/>
    <cellStyle name="Remarque 6 2 6 8 3" xfId="47447" xr:uid="{00000000-0005-0000-0000-000027E00000}"/>
    <cellStyle name="Remarque 6 2 6 9" xfId="2072" xr:uid="{00000000-0005-0000-0000-000028E00000}"/>
    <cellStyle name="Remarque 6 2 6 9 2" xfId="26086" xr:uid="{00000000-0005-0000-0000-000029E00000}"/>
    <cellStyle name="Remarque 6 2 6 9 3" xfId="50046" xr:uid="{00000000-0005-0000-0000-00002AE00000}"/>
    <cellStyle name="Remarque 6 2 7" xfId="830" xr:uid="{00000000-0005-0000-0000-00002BE00000}"/>
    <cellStyle name="Remarque 6 2 7 10" xfId="24862" xr:uid="{00000000-0005-0000-0000-00002CE00000}"/>
    <cellStyle name="Remarque 6 2 7 10 2" xfId="48822" xr:uid="{00000000-0005-0000-0000-00002DE00000}"/>
    <cellStyle name="Remarque 6 2 7 11" xfId="35780" xr:uid="{00000000-0005-0000-0000-00002EE00000}"/>
    <cellStyle name="Remarque 6 2 7 11 2" xfId="59740" xr:uid="{00000000-0005-0000-0000-00002FE00000}"/>
    <cellStyle name="Remarque 6 2 7 12" xfId="13527" xr:uid="{00000000-0005-0000-0000-000030E00000}"/>
    <cellStyle name="Remarque 6 2 7 13" xfId="37487" xr:uid="{00000000-0005-0000-0000-000031E00000}"/>
    <cellStyle name="Remarque 6 2 7 2" xfId="3736" xr:uid="{00000000-0005-0000-0000-000032E00000}"/>
    <cellStyle name="Remarque 6 2 7 2 2" xfId="27750" xr:uid="{00000000-0005-0000-0000-000033E00000}"/>
    <cellStyle name="Remarque 6 2 7 2 2 2" xfId="51710" xr:uid="{00000000-0005-0000-0000-000034E00000}"/>
    <cellStyle name="Remarque 6 2 7 2 3" xfId="14997" xr:uid="{00000000-0005-0000-0000-000035E00000}"/>
    <cellStyle name="Remarque 6 2 7 2 4" xfId="38957" xr:uid="{00000000-0005-0000-0000-000036E00000}"/>
    <cellStyle name="Remarque 6 2 7 3" xfId="5170" xr:uid="{00000000-0005-0000-0000-000037E00000}"/>
    <cellStyle name="Remarque 6 2 7 3 2" xfId="29184" xr:uid="{00000000-0005-0000-0000-000038E00000}"/>
    <cellStyle name="Remarque 6 2 7 3 2 2" xfId="53144" xr:uid="{00000000-0005-0000-0000-000039E00000}"/>
    <cellStyle name="Remarque 6 2 7 3 3" xfId="16431" xr:uid="{00000000-0005-0000-0000-00003AE00000}"/>
    <cellStyle name="Remarque 6 2 7 3 4" xfId="40391" xr:uid="{00000000-0005-0000-0000-00003BE00000}"/>
    <cellStyle name="Remarque 6 2 7 4" xfId="6564" xr:uid="{00000000-0005-0000-0000-00003CE00000}"/>
    <cellStyle name="Remarque 6 2 7 4 2" xfId="30578" xr:uid="{00000000-0005-0000-0000-00003DE00000}"/>
    <cellStyle name="Remarque 6 2 7 4 2 2" xfId="54538" xr:uid="{00000000-0005-0000-0000-00003EE00000}"/>
    <cellStyle name="Remarque 6 2 7 4 3" xfId="17825" xr:uid="{00000000-0005-0000-0000-00003FE00000}"/>
    <cellStyle name="Remarque 6 2 7 4 4" xfId="41785" xr:uid="{00000000-0005-0000-0000-000040E00000}"/>
    <cellStyle name="Remarque 6 2 7 5" xfId="7952" xr:uid="{00000000-0005-0000-0000-000041E00000}"/>
    <cellStyle name="Remarque 6 2 7 5 2" xfId="31966" xr:uid="{00000000-0005-0000-0000-000042E00000}"/>
    <cellStyle name="Remarque 6 2 7 5 2 2" xfId="55926" xr:uid="{00000000-0005-0000-0000-000043E00000}"/>
    <cellStyle name="Remarque 6 2 7 5 3" xfId="19213" xr:uid="{00000000-0005-0000-0000-000044E00000}"/>
    <cellStyle name="Remarque 6 2 7 5 4" xfId="43173" xr:uid="{00000000-0005-0000-0000-000045E00000}"/>
    <cellStyle name="Remarque 6 2 7 6" xfId="9337" xr:uid="{00000000-0005-0000-0000-000046E00000}"/>
    <cellStyle name="Remarque 6 2 7 6 2" xfId="33351" xr:uid="{00000000-0005-0000-0000-000047E00000}"/>
    <cellStyle name="Remarque 6 2 7 6 2 2" xfId="57311" xr:uid="{00000000-0005-0000-0000-000048E00000}"/>
    <cellStyle name="Remarque 6 2 7 6 3" xfId="20598" xr:uid="{00000000-0005-0000-0000-000049E00000}"/>
    <cellStyle name="Remarque 6 2 7 6 4" xfId="44558" xr:uid="{00000000-0005-0000-0000-00004AE00000}"/>
    <cellStyle name="Remarque 6 2 7 7" xfId="10794" xr:uid="{00000000-0005-0000-0000-00004BE00000}"/>
    <cellStyle name="Remarque 6 2 7 7 2" xfId="34804" xr:uid="{00000000-0005-0000-0000-00004CE00000}"/>
    <cellStyle name="Remarque 6 2 7 7 2 2" xfId="58764" xr:uid="{00000000-0005-0000-0000-00004DE00000}"/>
    <cellStyle name="Remarque 6 2 7 7 3" xfId="22061" xr:uid="{00000000-0005-0000-0000-00004EE00000}"/>
    <cellStyle name="Remarque 6 2 7 7 4" xfId="46021" xr:uid="{00000000-0005-0000-0000-00004FE00000}"/>
    <cellStyle name="Remarque 6 2 7 8" xfId="11656" xr:uid="{00000000-0005-0000-0000-000050E00000}"/>
    <cellStyle name="Remarque 6 2 7 8 2" xfId="22924" xr:uid="{00000000-0005-0000-0000-000051E00000}"/>
    <cellStyle name="Remarque 6 2 7 8 3" xfId="46884" xr:uid="{00000000-0005-0000-0000-000052E00000}"/>
    <cellStyle name="Remarque 6 2 7 9" xfId="2266" xr:uid="{00000000-0005-0000-0000-000053E00000}"/>
    <cellStyle name="Remarque 6 2 7 9 2" xfId="26280" xr:uid="{00000000-0005-0000-0000-000054E00000}"/>
    <cellStyle name="Remarque 6 2 7 9 3" xfId="50240" xr:uid="{00000000-0005-0000-0000-000055E00000}"/>
    <cellStyle name="Remarque 6 2 8" xfId="1023" xr:uid="{00000000-0005-0000-0000-000056E00000}"/>
    <cellStyle name="Remarque 6 2 8 10" xfId="25055" xr:uid="{00000000-0005-0000-0000-000057E00000}"/>
    <cellStyle name="Remarque 6 2 8 10 2" xfId="49015" xr:uid="{00000000-0005-0000-0000-000058E00000}"/>
    <cellStyle name="Remarque 6 2 8 11" xfId="34147" xr:uid="{00000000-0005-0000-0000-000059E00000}"/>
    <cellStyle name="Remarque 6 2 8 11 2" xfId="58107" xr:uid="{00000000-0005-0000-0000-00005AE00000}"/>
    <cellStyle name="Remarque 6 2 8 12" xfId="13720" xr:uid="{00000000-0005-0000-0000-00005BE00000}"/>
    <cellStyle name="Remarque 6 2 8 13" xfId="37680" xr:uid="{00000000-0005-0000-0000-00005CE00000}"/>
    <cellStyle name="Remarque 6 2 8 2" xfId="3929" xr:uid="{00000000-0005-0000-0000-00005DE00000}"/>
    <cellStyle name="Remarque 6 2 8 2 2" xfId="27943" xr:uid="{00000000-0005-0000-0000-00005EE00000}"/>
    <cellStyle name="Remarque 6 2 8 2 2 2" xfId="51903" xr:uid="{00000000-0005-0000-0000-00005FE00000}"/>
    <cellStyle name="Remarque 6 2 8 2 3" xfId="15190" xr:uid="{00000000-0005-0000-0000-000060E00000}"/>
    <cellStyle name="Remarque 6 2 8 2 4" xfId="39150" xr:uid="{00000000-0005-0000-0000-000061E00000}"/>
    <cellStyle name="Remarque 6 2 8 3" xfId="5363" xr:uid="{00000000-0005-0000-0000-000062E00000}"/>
    <cellStyle name="Remarque 6 2 8 3 2" xfId="29377" xr:uid="{00000000-0005-0000-0000-000063E00000}"/>
    <cellStyle name="Remarque 6 2 8 3 2 2" xfId="53337" xr:uid="{00000000-0005-0000-0000-000064E00000}"/>
    <cellStyle name="Remarque 6 2 8 3 3" xfId="16624" xr:uid="{00000000-0005-0000-0000-000065E00000}"/>
    <cellStyle name="Remarque 6 2 8 3 4" xfId="40584" xr:uid="{00000000-0005-0000-0000-000066E00000}"/>
    <cellStyle name="Remarque 6 2 8 4" xfId="6757" xr:uid="{00000000-0005-0000-0000-000067E00000}"/>
    <cellStyle name="Remarque 6 2 8 4 2" xfId="30771" xr:uid="{00000000-0005-0000-0000-000068E00000}"/>
    <cellStyle name="Remarque 6 2 8 4 2 2" xfId="54731" xr:uid="{00000000-0005-0000-0000-000069E00000}"/>
    <cellStyle name="Remarque 6 2 8 4 3" xfId="18018" xr:uid="{00000000-0005-0000-0000-00006AE00000}"/>
    <cellStyle name="Remarque 6 2 8 4 4" xfId="41978" xr:uid="{00000000-0005-0000-0000-00006BE00000}"/>
    <cellStyle name="Remarque 6 2 8 5" xfId="8145" xr:uid="{00000000-0005-0000-0000-00006CE00000}"/>
    <cellStyle name="Remarque 6 2 8 5 2" xfId="32159" xr:uid="{00000000-0005-0000-0000-00006DE00000}"/>
    <cellStyle name="Remarque 6 2 8 5 2 2" xfId="56119" xr:uid="{00000000-0005-0000-0000-00006EE00000}"/>
    <cellStyle name="Remarque 6 2 8 5 3" xfId="19406" xr:uid="{00000000-0005-0000-0000-00006FE00000}"/>
    <cellStyle name="Remarque 6 2 8 5 4" xfId="43366" xr:uid="{00000000-0005-0000-0000-000070E00000}"/>
    <cellStyle name="Remarque 6 2 8 6" xfId="9530" xr:uid="{00000000-0005-0000-0000-000071E00000}"/>
    <cellStyle name="Remarque 6 2 8 6 2" xfId="33544" xr:uid="{00000000-0005-0000-0000-000072E00000}"/>
    <cellStyle name="Remarque 6 2 8 6 2 2" xfId="57504" xr:uid="{00000000-0005-0000-0000-000073E00000}"/>
    <cellStyle name="Remarque 6 2 8 6 3" xfId="20791" xr:uid="{00000000-0005-0000-0000-000074E00000}"/>
    <cellStyle name="Remarque 6 2 8 6 4" xfId="44751" xr:uid="{00000000-0005-0000-0000-000075E00000}"/>
    <cellStyle name="Remarque 6 2 8 7" xfId="10987" xr:uid="{00000000-0005-0000-0000-000076E00000}"/>
    <cellStyle name="Remarque 6 2 8 7 2" xfId="34997" xr:uid="{00000000-0005-0000-0000-000077E00000}"/>
    <cellStyle name="Remarque 6 2 8 7 2 2" xfId="58957" xr:uid="{00000000-0005-0000-0000-000078E00000}"/>
    <cellStyle name="Remarque 6 2 8 7 3" xfId="22254" xr:uid="{00000000-0005-0000-0000-000079E00000}"/>
    <cellStyle name="Remarque 6 2 8 7 4" xfId="46214" xr:uid="{00000000-0005-0000-0000-00007AE00000}"/>
    <cellStyle name="Remarque 6 2 8 8" xfId="12578" xr:uid="{00000000-0005-0000-0000-00007BE00000}"/>
    <cellStyle name="Remarque 6 2 8 8 2" xfId="23878" xr:uid="{00000000-0005-0000-0000-00007CE00000}"/>
    <cellStyle name="Remarque 6 2 8 8 3" xfId="47838" xr:uid="{00000000-0005-0000-0000-00007DE00000}"/>
    <cellStyle name="Remarque 6 2 8 9" xfId="2459" xr:uid="{00000000-0005-0000-0000-00007EE00000}"/>
    <cellStyle name="Remarque 6 2 8 9 2" xfId="26473" xr:uid="{00000000-0005-0000-0000-00007FE00000}"/>
    <cellStyle name="Remarque 6 2 8 9 3" xfId="50433" xr:uid="{00000000-0005-0000-0000-000080E00000}"/>
    <cellStyle name="Remarque 6 2 9" xfId="1209" xr:uid="{00000000-0005-0000-0000-000081E00000}"/>
    <cellStyle name="Remarque 6 2 9 10" xfId="25241" xr:uid="{00000000-0005-0000-0000-000082E00000}"/>
    <cellStyle name="Remarque 6 2 9 10 2" xfId="49201" xr:uid="{00000000-0005-0000-0000-000083E00000}"/>
    <cellStyle name="Remarque 6 2 9 11" xfId="36108" xr:uid="{00000000-0005-0000-0000-000084E00000}"/>
    <cellStyle name="Remarque 6 2 9 11 2" xfId="60068" xr:uid="{00000000-0005-0000-0000-000085E00000}"/>
    <cellStyle name="Remarque 6 2 9 12" xfId="13906" xr:uid="{00000000-0005-0000-0000-000086E00000}"/>
    <cellStyle name="Remarque 6 2 9 13" xfId="37866" xr:uid="{00000000-0005-0000-0000-000087E00000}"/>
    <cellStyle name="Remarque 6 2 9 2" xfId="4115" xr:uid="{00000000-0005-0000-0000-000088E00000}"/>
    <cellStyle name="Remarque 6 2 9 2 2" xfId="28129" xr:uid="{00000000-0005-0000-0000-000089E00000}"/>
    <cellStyle name="Remarque 6 2 9 2 2 2" xfId="52089" xr:uid="{00000000-0005-0000-0000-00008AE00000}"/>
    <cellStyle name="Remarque 6 2 9 2 3" xfId="15376" xr:uid="{00000000-0005-0000-0000-00008BE00000}"/>
    <cellStyle name="Remarque 6 2 9 2 4" xfId="39336" xr:uid="{00000000-0005-0000-0000-00008CE00000}"/>
    <cellStyle name="Remarque 6 2 9 3" xfId="5549" xr:uid="{00000000-0005-0000-0000-00008DE00000}"/>
    <cellStyle name="Remarque 6 2 9 3 2" xfId="29563" xr:uid="{00000000-0005-0000-0000-00008EE00000}"/>
    <cellStyle name="Remarque 6 2 9 3 2 2" xfId="53523" xr:uid="{00000000-0005-0000-0000-00008FE00000}"/>
    <cellStyle name="Remarque 6 2 9 3 3" xfId="16810" xr:uid="{00000000-0005-0000-0000-000090E00000}"/>
    <cellStyle name="Remarque 6 2 9 3 4" xfId="40770" xr:uid="{00000000-0005-0000-0000-000091E00000}"/>
    <cellStyle name="Remarque 6 2 9 4" xfId="6943" xr:uid="{00000000-0005-0000-0000-000092E00000}"/>
    <cellStyle name="Remarque 6 2 9 4 2" xfId="30957" xr:uid="{00000000-0005-0000-0000-000093E00000}"/>
    <cellStyle name="Remarque 6 2 9 4 2 2" xfId="54917" xr:uid="{00000000-0005-0000-0000-000094E00000}"/>
    <cellStyle name="Remarque 6 2 9 4 3" xfId="18204" xr:uid="{00000000-0005-0000-0000-000095E00000}"/>
    <cellStyle name="Remarque 6 2 9 4 4" xfId="42164" xr:uid="{00000000-0005-0000-0000-000096E00000}"/>
    <cellStyle name="Remarque 6 2 9 5" xfId="8331" xr:uid="{00000000-0005-0000-0000-000097E00000}"/>
    <cellStyle name="Remarque 6 2 9 5 2" xfId="32345" xr:uid="{00000000-0005-0000-0000-000098E00000}"/>
    <cellStyle name="Remarque 6 2 9 5 2 2" xfId="56305" xr:uid="{00000000-0005-0000-0000-000099E00000}"/>
    <cellStyle name="Remarque 6 2 9 5 3" xfId="19592" xr:uid="{00000000-0005-0000-0000-00009AE00000}"/>
    <cellStyle name="Remarque 6 2 9 5 4" xfId="43552" xr:uid="{00000000-0005-0000-0000-00009BE00000}"/>
    <cellStyle name="Remarque 6 2 9 6" xfId="9716" xr:uid="{00000000-0005-0000-0000-00009CE00000}"/>
    <cellStyle name="Remarque 6 2 9 6 2" xfId="33730" xr:uid="{00000000-0005-0000-0000-00009DE00000}"/>
    <cellStyle name="Remarque 6 2 9 6 2 2" xfId="57690" xr:uid="{00000000-0005-0000-0000-00009EE00000}"/>
    <cellStyle name="Remarque 6 2 9 6 3" xfId="20977" xr:uid="{00000000-0005-0000-0000-00009FE00000}"/>
    <cellStyle name="Remarque 6 2 9 6 4" xfId="44937" xr:uid="{00000000-0005-0000-0000-0000A0E00000}"/>
    <cellStyle name="Remarque 6 2 9 7" xfId="11173" xr:uid="{00000000-0005-0000-0000-0000A1E00000}"/>
    <cellStyle name="Remarque 6 2 9 7 2" xfId="35183" xr:uid="{00000000-0005-0000-0000-0000A2E00000}"/>
    <cellStyle name="Remarque 6 2 9 7 2 2" xfId="59143" xr:uid="{00000000-0005-0000-0000-0000A3E00000}"/>
    <cellStyle name="Remarque 6 2 9 7 3" xfId="22440" xr:uid="{00000000-0005-0000-0000-0000A4E00000}"/>
    <cellStyle name="Remarque 6 2 9 7 4" xfId="46400" xr:uid="{00000000-0005-0000-0000-0000A5E00000}"/>
    <cellStyle name="Remarque 6 2 9 8" xfId="12137" xr:uid="{00000000-0005-0000-0000-0000A6E00000}"/>
    <cellStyle name="Remarque 6 2 9 8 2" xfId="23420" xr:uid="{00000000-0005-0000-0000-0000A7E00000}"/>
    <cellStyle name="Remarque 6 2 9 8 3" xfId="47380" xr:uid="{00000000-0005-0000-0000-0000A8E00000}"/>
    <cellStyle name="Remarque 6 2 9 9" xfId="2645" xr:uid="{00000000-0005-0000-0000-0000A9E00000}"/>
    <cellStyle name="Remarque 6 2 9 9 2" xfId="26659" xr:uid="{00000000-0005-0000-0000-0000AAE00000}"/>
    <cellStyle name="Remarque 6 2 9 9 3" xfId="50619" xr:uid="{00000000-0005-0000-0000-0000ABE00000}"/>
    <cellStyle name="Remarque 6 3" xfId="87" xr:uid="{00000000-0005-0000-0000-0000ACE00000}"/>
    <cellStyle name="Remarque 6 3 10" xfId="36888" xr:uid="{00000000-0005-0000-0000-0000ADE00000}"/>
    <cellStyle name="Remarque 6 3 11" xfId="231" xr:uid="{00000000-0005-0000-0000-0000AEE00000}"/>
    <cellStyle name="Remarque 6 3 2" xfId="465" xr:uid="{00000000-0005-0000-0000-0000AFE00000}"/>
    <cellStyle name="Remarque 6 3 2 10" xfId="6199" xr:uid="{00000000-0005-0000-0000-0000B0E00000}"/>
    <cellStyle name="Remarque 6 3 2 10 2" xfId="30213" xr:uid="{00000000-0005-0000-0000-0000B1E00000}"/>
    <cellStyle name="Remarque 6 3 2 10 2 2" xfId="54173" xr:uid="{00000000-0005-0000-0000-0000B2E00000}"/>
    <cellStyle name="Remarque 6 3 2 10 3" xfId="17460" xr:uid="{00000000-0005-0000-0000-0000B3E00000}"/>
    <cellStyle name="Remarque 6 3 2 10 4" xfId="41420" xr:uid="{00000000-0005-0000-0000-0000B4E00000}"/>
    <cellStyle name="Remarque 6 3 2 11" xfId="7587" xr:uid="{00000000-0005-0000-0000-0000B5E00000}"/>
    <cellStyle name="Remarque 6 3 2 11 2" xfId="31601" xr:uid="{00000000-0005-0000-0000-0000B6E00000}"/>
    <cellStyle name="Remarque 6 3 2 11 2 2" xfId="55561" xr:uid="{00000000-0005-0000-0000-0000B7E00000}"/>
    <cellStyle name="Remarque 6 3 2 11 3" xfId="18848" xr:uid="{00000000-0005-0000-0000-0000B8E00000}"/>
    <cellStyle name="Remarque 6 3 2 11 4" xfId="42808" xr:uid="{00000000-0005-0000-0000-0000B9E00000}"/>
    <cellStyle name="Remarque 6 3 2 12" xfId="8972" xr:uid="{00000000-0005-0000-0000-0000BAE00000}"/>
    <cellStyle name="Remarque 6 3 2 12 2" xfId="32986" xr:uid="{00000000-0005-0000-0000-0000BBE00000}"/>
    <cellStyle name="Remarque 6 3 2 12 2 2" xfId="56946" xr:uid="{00000000-0005-0000-0000-0000BCE00000}"/>
    <cellStyle name="Remarque 6 3 2 12 3" xfId="20233" xr:uid="{00000000-0005-0000-0000-0000BDE00000}"/>
    <cellStyle name="Remarque 6 3 2 12 4" xfId="44193" xr:uid="{00000000-0005-0000-0000-0000BEE00000}"/>
    <cellStyle name="Remarque 6 3 2 13" xfId="10429" xr:uid="{00000000-0005-0000-0000-0000BFE00000}"/>
    <cellStyle name="Remarque 6 3 2 13 2" xfId="34439" xr:uid="{00000000-0005-0000-0000-0000C0E00000}"/>
    <cellStyle name="Remarque 6 3 2 13 2 2" xfId="58399" xr:uid="{00000000-0005-0000-0000-0000C1E00000}"/>
    <cellStyle name="Remarque 6 3 2 13 3" xfId="21696" xr:uid="{00000000-0005-0000-0000-0000C2E00000}"/>
    <cellStyle name="Remarque 6 3 2 13 4" xfId="45656" xr:uid="{00000000-0005-0000-0000-0000C3E00000}"/>
    <cellStyle name="Remarque 6 3 2 14" xfId="12000" xr:uid="{00000000-0005-0000-0000-0000C4E00000}"/>
    <cellStyle name="Remarque 6 3 2 14 2" xfId="23279" xr:uid="{00000000-0005-0000-0000-0000C5E00000}"/>
    <cellStyle name="Remarque 6 3 2 14 3" xfId="47239" xr:uid="{00000000-0005-0000-0000-0000C6E00000}"/>
    <cellStyle name="Remarque 6 3 2 15" xfId="1901" xr:uid="{00000000-0005-0000-0000-0000C7E00000}"/>
    <cellStyle name="Remarque 6 3 2 15 2" xfId="25915" xr:uid="{00000000-0005-0000-0000-0000C8E00000}"/>
    <cellStyle name="Remarque 6 3 2 15 3" xfId="49875" xr:uid="{00000000-0005-0000-0000-0000C9E00000}"/>
    <cellStyle name="Remarque 6 3 2 16" xfId="24497" xr:uid="{00000000-0005-0000-0000-0000CAE00000}"/>
    <cellStyle name="Remarque 6 3 2 16 2" xfId="48457" xr:uid="{00000000-0005-0000-0000-0000CBE00000}"/>
    <cellStyle name="Remarque 6 3 2 17" xfId="36268" xr:uid="{00000000-0005-0000-0000-0000CCE00000}"/>
    <cellStyle name="Remarque 6 3 2 17 2" xfId="60228" xr:uid="{00000000-0005-0000-0000-0000CDE00000}"/>
    <cellStyle name="Remarque 6 3 2 18" xfId="13162" xr:uid="{00000000-0005-0000-0000-0000CEE00000}"/>
    <cellStyle name="Remarque 6 3 2 19" xfId="37122" xr:uid="{00000000-0005-0000-0000-0000CFE00000}"/>
    <cellStyle name="Remarque 6 3 2 2" xfId="601" xr:uid="{00000000-0005-0000-0000-0000D0E00000}"/>
    <cellStyle name="Remarque 6 3 2 2 10" xfId="24633" xr:uid="{00000000-0005-0000-0000-0000D1E00000}"/>
    <cellStyle name="Remarque 6 3 2 2 10 2" xfId="48593" xr:uid="{00000000-0005-0000-0000-0000D2E00000}"/>
    <cellStyle name="Remarque 6 3 2 2 11" xfId="35772" xr:uid="{00000000-0005-0000-0000-0000D3E00000}"/>
    <cellStyle name="Remarque 6 3 2 2 11 2" xfId="59732" xr:uid="{00000000-0005-0000-0000-0000D4E00000}"/>
    <cellStyle name="Remarque 6 3 2 2 12" xfId="13298" xr:uid="{00000000-0005-0000-0000-0000D5E00000}"/>
    <cellStyle name="Remarque 6 3 2 2 13" xfId="37258" xr:uid="{00000000-0005-0000-0000-0000D6E00000}"/>
    <cellStyle name="Remarque 6 3 2 2 2" xfId="3507" xr:uid="{00000000-0005-0000-0000-0000D7E00000}"/>
    <cellStyle name="Remarque 6 3 2 2 2 2" xfId="27521" xr:uid="{00000000-0005-0000-0000-0000D8E00000}"/>
    <cellStyle name="Remarque 6 3 2 2 2 2 2" xfId="51481" xr:uid="{00000000-0005-0000-0000-0000D9E00000}"/>
    <cellStyle name="Remarque 6 3 2 2 2 3" xfId="14768" xr:uid="{00000000-0005-0000-0000-0000DAE00000}"/>
    <cellStyle name="Remarque 6 3 2 2 2 4" xfId="38728" xr:uid="{00000000-0005-0000-0000-0000DBE00000}"/>
    <cellStyle name="Remarque 6 3 2 2 3" xfId="4941" xr:uid="{00000000-0005-0000-0000-0000DCE00000}"/>
    <cellStyle name="Remarque 6 3 2 2 3 2" xfId="28955" xr:uid="{00000000-0005-0000-0000-0000DDE00000}"/>
    <cellStyle name="Remarque 6 3 2 2 3 2 2" xfId="52915" xr:uid="{00000000-0005-0000-0000-0000DEE00000}"/>
    <cellStyle name="Remarque 6 3 2 2 3 3" xfId="16202" xr:uid="{00000000-0005-0000-0000-0000DFE00000}"/>
    <cellStyle name="Remarque 6 3 2 2 3 4" xfId="40162" xr:uid="{00000000-0005-0000-0000-0000E0E00000}"/>
    <cellStyle name="Remarque 6 3 2 2 4" xfId="6335" xr:uid="{00000000-0005-0000-0000-0000E1E00000}"/>
    <cellStyle name="Remarque 6 3 2 2 4 2" xfId="30349" xr:uid="{00000000-0005-0000-0000-0000E2E00000}"/>
    <cellStyle name="Remarque 6 3 2 2 4 2 2" xfId="54309" xr:uid="{00000000-0005-0000-0000-0000E3E00000}"/>
    <cellStyle name="Remarque 6 3 2 2 4 3" xfId="17596" xr:uid="{00000000-0005-0000-0000-0000E4E00000}"/>
    <cellStyle name="Remarque 6 3 2 2 4 4" xfId="41556" xr:uid="{00000000-0005-0000-0000-0000E5E00000}"/>
    <cellStyle name="Remarque 6 3 2 2 5" xfId="7723" xr:uid="{00000000-0005-0000-0000-0000E6E00000}"/>
    <cellStyle name="Remarque 6 3 2 2 5 2" xfId="31737" xr:uid="{00000000-0005-0000-0000-0000E7E00000}"/>
    <cellStyle name="Remarque 6 3 2 2 5 2 2" xfId="55697" xr:uid="{00000000-0005-0000-0000-0000E8E00000}"/>
    <cellStyle name="Remarque 6 3 2 2 5 3" xfId="18984" xr:uid="{00000000-0005-0000-0000-0000E9E00000}"/>
    <cellStyle name="Remarque 6 3 2 2 5 4" xfId="42944" xr:uid="{00000000-0005-0000-0000-0000EAE00000}"/>
    <cellStyle name="Remarque 6 3 2 2 6" xfId="9108" xr:uid="{00000000-0005-0000-0000-0000EBE00000}"/>
    <cellStyle name="Remarque 6 3 2 2 6 2" xfId="33122" xr:uid="{00000000-0005-0000-0000-0000ECE00000}"/>
    <cellStyle name="Remarque 6 3 2 2 6 2 2" xfId="57082" xr:uid="{00000000-0005-0000-0000-0000EDE00000}"/>
    <cellStyle name="Remarque 6 3 2 2 6 3" xfId="20369" xr:uid="{00000000-0005-0000-0000-0000EEE00000}"/>
    <cellStyle name="Remarque 6 3 2 2 6 4" xfId="44329" xr:uid="{00000000-0005-0000-0000-0000EFE00000}"/>
    <cellStyle name="Remarque 6 3 2 2 7" xfId="10565" xr:uid="{00000000-0005-0000-0000-0000F0E00000}"/>
    <cellStyle name="Remarque 6 3 2 2 7 2" xfId="34575" xr:uid="{00000000-0005-0000-0000-0000F1E00000}"/>
    <cellStyle name="Remarque 6 3 2 2 7 2 2" xfId="58535" xr:uid="{00000000-0005-0000-0000-0000F2E00000}"/>
    <cellStyle name="Remarque 6 3 2 2 7 3" xfId="21832" xr:uid="{00000000-0005-0000-0000-0000F3E00000}"/>
    <cellStyle name="Remarque 6 3 2 2 7 4" xfId="45792" xr:uid="{00000000-0005-0000-0000-0000F4E00000}"/>
    <cellStyle name="Remarque 6 3 2 2 8" xfId="12716" xr:uid="{00000000-0005-0000-0000-0000F5E00000}"/>
    <cellStyle name="Remarque 6 3 2 2 8 2" xfId="24022" xr:uid="{00000000-0005-0000-0000-0000F6E00000}"/>
    <cellStyle name="Remarque 6 3 2 2 8 3" xfId="47982" xr:uid="{00000000-0005-0000-0000-0000F7E00000}"/>
    <cellStyle name="Remarque 6 3 2 2 9" xfId="2037" xr:uid="{00000000-0005-0000-0000-0000F8E00000}"/>
    <cellStyle name="Remarque 6 3 2 2 9 2" xfId="26051" xr:uid="{00000000-0005-0000-0000-0000F9E00000}"/>
    <cellStyle name="Remarque 6 3 2 2 9 3" xfId="50011" xr:uid="{00000000-0005-0000-0000-0000FAE00000}"/>
    <cellStyle name="Remarque 6 3 2 3" xfId="793" xr:uid="{00000000-0005-0000-0000-0000FBE00000}"/>
    <cellStyle name="Remarque 6 3 2 3 10" xfId="24825" xr:uid="{00000000-0005-0000-0000-0000FCE00000}"/>
    <cellStyle name="Remarque 6 3 2 3 10 2" xfId="48785" xr:uid="{00000000-0005-0000-0000-0000FDE00000}"/>
    <cellStyle name="Remarque 6 3 2 3 11" xfId="36431" xr:uid="{00000000-0005-0000-0000-0000FEE00000}"/>
    <cellStyle name="Remarque 6 3 2 3 11 2" xfId="60391" xr:uid="{00000000-0005-0000-0000-0000FFE00000}"/>
    <cellStyle name="Remarque 6 3 2 3 12" xfId="13490" xr:uid="{00000000-0005-0000-0000-000000E10000}"/>
    <cellStyle name="Remarque 6 3 2 3 13" xfId="37450" xr:uid="{00000000-0005-0000-0000-000001E10000}"/>
    <cellStyle name="Remarque 6 3 2 3 2" xfId="3699" xr:uid="{00000000-0005-0000-0000-000002E10000}"/>
    <cellStyle name="Remarque 6 3 2 3 2 2" xfId="27713" xr:uid="{00000000-0005-0000-0000-000003E10000}"/>
    <cellStyle name="Remarque 6 3 2 3 2 2 2" xfId="51673" xr:uid="{00000000-0005-0000-0000-000004E10000}"/>
    <cellStyle name="Remarque 6 3 2 3 2 3" xfId="14960" xr:uid="{00000000-0005-0000-0000-000005E10000}"/>
    <cellStyle name="Remarque 6 3 2 3 2 4" xfId="38920" xr:uid="{00000000-0005-0000-0000-000006E10000}"/>
    <cellStyle name="Remarque 6 3 2 3 3" xfId="5133" xr:uid="{00000000-0005-0000-0000-000007E10000}"/>
    <cellStyle name="Remarque 6 3 2 3 3 2" xfId="29147" xr:uid="{00000000-0005-0000-0000-000008E10000}"/>
    <cellStyle name="Remarque 6 3 2 3 3 2 2" xfId="53107" xr:uid="{00000000-0005-0000-0000-000009E10000}"/>
    <cellStyle name="Remarque 6 3 2 3 3 3" xfId="16394" xr:uid="{00000000-0005-0000-0000-00000AE10000}"/>
    <cellStyle name="Remarque 6 3 2 3 3 4" xfId="40354" xr:uid="{00000000-0005-0000-0000-00000BE10000}"/>
    <cellStyle name="Remarque 6 3 2 3 4" xfId="6527" xr:uid="{00000000-0005-0000-0000-00000CE10000}"/>
    <cellStyle name="Remarque 6 3 2 3 4 2" xfId="30541" xr:uid="{00000000-0005-0000-0000-00000DE10000}"/>
    <cellStyle name="Remarque 6 3 2 3 4 2 2" xfId="54501" xr:uid="{00000000-0005-0000-0000-00000EE10000}"/>
    <cellStyle name="Remarque 6 3 2 3 4 3" xfId="17788" xr:uid="{00000000-0005-0000-0000-00000FE10000}"/>
    <cellStyle name="Remarque 6 3 2 3 4 4" xfId="41748" xr:uid="{00000000-0005-0000-0000-000010E10000}"/>
    <cellStyle name="Remarque 6 3 2 3 5" xfId="7915" xr:uid="{00000000-0005-0000-0000-000011E10000}"/>
    <cellStyle name="Remarque 6 3 2 3 5 2" xfId="31929" xr:uid="{00000000-0005-0000-0000-000012E10000}"/>
    <cellStyle name="Remarque 6 3 2 3 5 2 2" xfId="55889" xr:uid="{00000000-0005-0000-0000-000013E10000}"/>
    <cellStyle name="Remarque 6 3 2 3 5 3" xfId="19176" xr:uid="{00000000-0005-0000-0000-000014E10000}"/>
    <cellStyle name="Remarque 6 3 2 3 5 4" xfId="43136" xr:uid="{00000000-0005-0000-0000-000015E10000}"/>
    <cellStyle name="Remarque 6 3 2 3 6" xfId="9300" xr:uid="{00000000-0005-0000-0000-000016E10000}"/>
    <cellStyle name="Remarque 6 3 2 3 6 2" xfId="33314" xr:uid="{00000000-0005-0000-0000-000017E10000}"/>
    <cellStyle name="Remarque 6 3 2 3 6 2 2" xfId="57274" xr:uid="{00000000-0005-0000-0000-000018E10000}"/>
    <cellStyle name="Remarque 6 3 2 3 6 3" xfId="20561" xr:uid="{00000000-0005-0000-0000-000019E10000}"/>
    <cellStyle name="Remarque 6 3 2 3 6 4" xfId="44521" xr:uid="{00000000-0005-0000-0000-00001AE10000}"/>
    <cellStyle name="Remarque 6 3 2 3 7" xfId="10757" xr:uid="{00000000-0005-0000-0000-00001BE10000}"/>
    <cellStyle name="Remarque 6 3 2 3 7 2" xfId="34767" xr:uid="{00000000-0005-0000-0000-00001CE10000}"/>
    <cellStyle name="Remarque 6 3 2 3 7 2 2" xfId="58727" xr:uid="{00000000-0005-0000-0000-00001DE10000}"/>
    <cellStyle name="Remarque 6 3 2 3 7 3" xfId="22024" xr:uid="{00000000-0005-0000-0000-00001EE10000}"/>
    <cellStyle name="Remarque 6 3 2 3 7 4" xfId="45984" xr:uid="{00000000-0005-0000-0000-00001FE10000}"/>
    <cellStyle name="Remarque 6 3 2 3 8" xfId="12636" xr:uid="{00000000-0005-0000-0000-000020E10000}"/>
    <cellStyle name="Remarque 6 3 2 3 8 2" xfId="23940" xr:uid="{00000000-0005-0000-0000-000021E10000}"/>
    <cellStyle name="Remarque 6 3 2 3 8 3" xfId="47900" xr:uid="{00000000-0005-0000-0000-000022E10000}"/>
    <cellStyle name="Remarque 6 3 2 3 9" xfId="2229" xr:uid="{00000000-0005-0000-0000-000023E10000}"/>
    <cellStyle name="Remarque 6 3 2 3 9 2" xfId="26243" xr:uid="{00000000-0005-0000-0000-000024E10000}"/>
    <cellStyle name="Remarque 6 3 2 3 9 3" xfId="50203" xr:uid="{00000000-0005-0000-0000-000025E10000}"/>
    <cellStyle name="Remarque 6 3 2 4" xfId="987" xr:uid="{00000000-0005-0000-0000-000026E10000}"/>
    <cellStyle name="Remarque 6 3 2 4 10" xfId="25019" xr:uid="{00000000-0005-0000-0000-000027E10000}"/>
    <cellStyle name="Remarque 6 3 2 4 10 2" xfId="48979" xr:uid="{00000000-0005-0000-0000-000028E10000}"/>
    <cellStyle name="Remarque 6 3 2 4 11" xfId="34139" xr:uid="{00000000-0005-0000-0000-000029E10000}"/>
    <cellStyle name="Remarque 6 3 2 4 11 2" xfId="58099" xr:uid="{00000000-0005-0000-0000-00002AE10000}"/>
    <cellStyle name="Remarque 6 3 2 4 12" xfId="13684" xr:uid="{00000000-0005-0000-0000-00002BE10000}"/>
    <cellStyle name="Remarque 6 3 2 4 13" xfId="37644" xr:uid="{00000000-0005-0000-0000-00002CE10000}"/>
    <cellStyle name="Remarque 6 3 2 4 2" xfId="3893" xr:uid="{00000000-0005-0000-0000-00002DE10000}"/>
    <cellStyle name="Remarque 6 3 2 4 2 2" xfId="27907" xr:uid="{00000000-0005-0000-0000-00002EE10000}"/>
    <cellStyle name="Remarque 6 3 2 4 2 2 2" xfId="51867" xr:uid="{00000000-0005-0000-0000-00002FE10000}"/>
    <cellStyle name="Remarque 6 3 2 4 2 3" xfId="15154" xr:uid="{00000000-0005-0000-0000-000030E10000}"/>
    <cellStyle name="Remarque 6 3 2 4 2 4" xfId="39114" xr:uid="{00000000-0005-0000-0000-000031E10000}"/>
    <cellStyle name="Remarque 6 3 2 4 3" xfId="5327" xr:uid="{00000000-0005-0000-0000-000032E10000}"/>
    <cellStyle name="Remarque 6 3 2 4 3 2" xfId="29341" xr:uid="{00000000-0005-0000-0000-000033E10000}"/>
    <cellStyle name="Remarque 6 3 2 4 3 2 2" xfId="53301" xr:uid="{00000000-0005-0000-0000-000034E10000}"/>
    <cellStyle name="Remarque 6 3 2 4 3 3" xfId="16588" xr:uid="{00000000-0005-0000-0000-000035E10000}"/>
    <cellStyle name="Remarque 6 3 2 4 3 4" xfId="40548" xr:uid="{00000000-0005-0000-0000-000036E10000}"/>
    <cellStyle name="Remarque 6 3 2 4 4" xfId="6721" xr:uid="{00000000-0005-0000-0000-000037E10000}"/>
    <cellStyle name="Remarque 6 3 2 4 4 2" xfId="30735" xr:uid="{00000000-0005-0000-0000-000038E10000}"/>
    <cellStyle name="Remarque 6 3 2 4 4 2 2" xfId="54695" xr:uid="{00000000-0005-0000-0000-000039E10000}"/>
    <cellStyle name="Remarque 6 3 2 4 4 3" xfId="17982" xr:uid="{00000000-0005-0000-0000-00003AE10000}"/>
    <cellStyle name="Remarque 6 3 2 4 4 4" xfId="41942" xr:uid="{00000000-0005-0000-0000-00003BE10000}"/>
    <cellStyle name="Remarque 6 3 2 4 5" xfId="8109" xr:uid="{00000000-0005-0000-0000-00003CE10000}"/>
    <cellStyle name="Remarque 6 3 2 4 5 2" xfId="32123" xr:uid="{00000000-0005-0000-0000-00003DE10000}"/>
    <cellStyle name="Remarque 6 3 2 4 5 2 2" xfId="56083" xr:uid="{00000000-0005-0000-0000-00003EE10000}"/>
    <cellStyle name="Remarque 6 3 2 4 5 3" xfId="19370" xr:uid="{00000000-0005-0000-0000-00003FE10000}"/>
    <cellStyle name="Remarque 6 3 2 4 5 4" xfId="43330" xr:uid="{00000000-0005-0000-0000-000040E10000}"/>
    <cellStyle name="Remarque 6 3 2 4 6" xfId="9494" xr:uid="{00000000-0005-0000-0000-000041E10000}"/>
    <cellStyle name="Remarque 6 3 2 4 6 2" xfId="33508" xr:uid="{00000000-0005-0000-0000-000042E10000}"/>
    <cellStyle name="Remarque 6 3 2 4 6 2 2" xfId="57468" xr:uid="{00000000-0005-0000-0000-000043E10000}"/>
    <cellStyle name="Remarque 6 3 2 4 6 3" xfId="20755" xr:uid="{00000000-0005-0000-0000-000044E10000}"/>
    <cellStyle name="Remarque 6 3 2 4 6 4" xfId="44715" xr:uid="{00000000-0005-0000-0000-000045E10000}"/>
    <cellStyle name="Remarque 6 3 2 4 7" xfId="10951" xr:uid="{00000000-0005-0000-0000-000046E10000}"/>
    <cellStyle name="Remarque 6 3 2 4 7 2" xfId="34961" xr:uid="{00000000-0005-0000-0000-000047E10000}"/>
    <cellStyle name="Remarque 6 3 2 4 7 2 2" xfId="58921" xr:uid="{00000000-0005-0000-0000-000048E10000}"/>
    <cellStyle name="Remarque 6 3 2 4 7 3" xfId="22218" xr:uid="{00000000-0005-0000-0000-000049E10000}"/>
    <cellStyle name="Remarque 6 3 2 4 7 4" xfId="46178" xr:uid="{00000000-0005-0000-0000-00004AE10000}"/>
    <cellStyle name="Remarque 6 3 2 4 8" xfId="12265" xr:uid="{00000000-0005-0000-0000-00004BE10000}"/>
    <cellStyle name="Remarque 6 3 2 4 8 2" xfId="23551" xr:uid="{00000000-0005-0000-0000-00004CE10000}"/>
    <cellStyle name="Remarque 6 3 2 4 8 3" xfId="47511" xr:uid="{00000000-0005-0000-0000-00004DE10000}"/>
    <cellStyle name="Remarque 6 3 2 4 9" xfId="2423" xr:uid="{00000000-0005-0000-0000-00004EE10000}"/>
    <cellStyle name="Remarque 6 3 2 4 9 2" xfId="26437" xr:uid="{00000000-0005-0000-0000-00004FE10000}"/>
    <cellStyle name="Remarque 6 3 2 4 9 3" xfId="50397" xr:uid="{00000000-0005-0000-0000-000050E10000}"/>
    <cellStyle name="Remarque 6 3 2 5" xfId="1180" xr:uid="{00000000-0005-0000-0000-000051E10000}"/>
    <cellStyle name="Remarque 6 3 2 5 10" xfId="25212" xr:uid="{00000000-0005-0000-0000-000052E10000}"/>
    <cellStyle name="Remarque 6 3 2 5 10 2" xfId="49172" xr:uid="{00000000-0005-0000-0000-000053E10000}"/>
    <cellStyle name="Remarque 6 3 2 5 11" xfId="35687" xr:uid="{00000000-0005-0000-0000-000054E10000}"/>
    <cellStyle name="Remarque 6 3 2 5 11 2" xfId="59647" xr:uid="{00000000-0005-0000-0000-000055E10000}"/>
    <cellStyle name="Remarque 6 3 2 5 12" xfId="13877" xr:uid="{00000000-0005-0000-0000-000056E10000}"/>
    <cellStyle name="Remarque 6 3 2 5 13" xfId="37837" xr:uid="{00000000-0005-0000-0000-000057E10000}"/>
    <cellStyle name="Remarque 6 3 2 5 2" xfId="4086" xr:uid="{00000000-0005-0000-0000-000058E10000}"/>
    <cellStyle name="Remarque 6 3 2 5 2 2" xfId="28100" xr:uid="{00000000-0005-0000-0000-000059E10000}"/>
    <cellStyle name="Remarque 6 3 2 5 2 2 2" xfId="52060" xr:uid="{00000000-0005-0000-0000-00005AE10000}"/>
    <cellStyle name="Remarque 6 3 2 5 2 3" xfId="15347" xr:uid="{00000000-0005-0000-0000-00005BE10000}"/>
    <cellStyle name="Remarque 6 3 2 5 2 4" xfId="39307" xr:uid="{00000000-0005-0000-0000-00005CE10000}"/>
    <cellStyle name="Remarque 6 3 2 5 3" xfId="5520" xr:uid="{00000000-0005-0000-0000-00005DE10000}"/>
    <cellStyle name="Remarque 6 3 2 5 3 2" xfId="29534" xr:uid="{00000000-0005-0000-0000-00005EE10000}"/>
    <cellStyle name="Remarque 6 3 2 5 3 2 2" xfId="53494" xr:uid="{00000000-0005-0000-0000-00005FE10000}"/>
    <cellStyle name="Remarque 6 3 2 5 3 3" xfId="16781" xr:uid="{00000000-0005-0000-0000-000060E10000}"/>
    <cellStyle name="Remarque 6 3 2 5 3 4" xfId="40741" xr:uid="{00000000-0005-0000-0000-000061E10000}"/>
    <cellStyle name="Remarque 6 3 2 5 4" xfId="6914" xr:uid="{00000000-0005-0000-0000-000062E10000}"/>
    <cellStyle name="Remarque 6 3 2 5 4 2" xfId="30928" xr:uid="{00000000-0005-0000-0000-000063E10000}"/>
    <cellStyle name="Remarque 6 3 2 5 4 2 2" xfId="54888" xr:uid="{00000000-0005-0000-0000-000064E10000}"/>
    <cellStyle name="Remarque 6 3 2 5 4 3" xfId="18175" xr:uid="{00000000-0005-0000-0000-000065E10000}"/>
    <cellStyle name="Remarque 6 3 2 5 4 4" xfId="42135" xr:uid="{00000000-0005-0000-0000-000066E10000}"/>
    <cellStyle name="Remarque 6 3 2 5 5" xfId="8302" xr:uid="{00000000-0005-0000-0000-000067E10000}"/>
    <cellStyle name="Remarque 6 3 2 5 5 2" xfId="32316" xr:uid="{00000000-0005-0000-0000-000068E10000}"/>
    <cellStyle name="Remarque 6 3 2 5 5 2 2" xfId="56276" xr:uid="{00000000-0005-0000-0000-000069E10000}"/>
    <cellStyle name="Remarque 6 3 2 5 5 3" xfId="19563" xr:uid="{00000000-0005-0000-0000-00006AE10000}"/>
    <cellStyle name="Remarque 6 3 2 5 5 4" xfId="43523" xr:uid="{00000000-0005-0000-0000-00006BE10000}"/>
    <cellStyle name="Remarque 6 3 2 5 6" xfId="9687" xr:uid="{00000000-0005-0000-0000-00006CE10000}"/>
    <cellStyle name="Remarque 6 3 2 5 6 2" xfId="33701" xr:uid="{00000000-0005-0000-0000-00006DE10000}"/>
    <cellStyle name="Remarque 6 3 2 5 6 2 2" xfId="57661" xr:uid="{00000000-0005-0000-0000-00006EE10000}"/>
    <cellStyle name="Remarque 6 3 2 5 6 3" xfId="20948" xr:uid="{00000000-0005-0000-0000-00006FE10000}"/>
    <cellStyle name="Remarque 6 3 2 5 6 4" xfId="44908" xr:uid="{00000000-0005-0000-0000-000070E10000}"/>
    <cellStyle name="Remarque 6 3 2 5 7" xfId="11144" xr:uid="{00000000-0005-0000-0000-000071E10000}"/>
    <cellStyle name="Remarque 6 3 2 5 7 2" xfId="35154" xr:uid="{00000000-0005-0000-0000-000072E10000}"/>
    <cellStyle name="Remarque 6 3 2 5 7 2 2" xfId="59114" xr:uid="{00000000-0005-0000-0000-000073E10000}"/>
    <cellStyle name="Remarque 6 3 2 5 7 3" xfId="22411" xr:uid="{00000000-0005-0000-0000-000074E10000}"/>
    <cellStyle name="Remarque 6 3 2 5 7 4" xfId="46371" xr:uid="{00000000-0005-0000-0000-000075E10000}"/>
    <cellStyle name="Remarque 6 3 2 5 8" xfId="12688" xr:uid="{00000000-0005-0000-0000-000076E10000}"/>
    <cellStyle name="Remarque 6 3 2 5 8 2" xfId="23993" xr:uid="{00000000-0005-0000-0000-000077E10000}"/>
    <cellStyle name="Remarque 6 3 2 5 8 3" xfId="47953" xr:uid="{00000000-0005-0000-0000-000078E10000}"/>
    <cellStyle name="Remarque 6 3 2 5 9" xfId="2616" xr:uid="{00000000-0005-0000-0000-000079E10000}"/>
    <cellStyle name="Remarque 6 3 2 5 9 2" xfId="26630" xr:uid="{00000000-0005-0000-0000-00007AE10000}"/>
    <cellStyle name="Remarque 6 3 2 5 9 3" xfId="50590" xr:uid="{00000000-0005-0000-0000-00007BE10000}"/>
    <cellStyle name="Remarque 6 3 2 6" xfId="1347" xr:uid="{00000000-0005-0000-0000-00007CE10000}"/>
    <cellStyle name="Remarque 6 3 2 6 10" xfId="25379" xr:uid="{00000000-0005-0000-0000-00007DE10000}"/>
    <cellStyle name="Remarque 6 3 2 6 10 2" xfId="49339" xr:uid="{00000000-0005-0000-0000-00007EE10000}"/>
    <cellStyle name="Remarque 6 3 2 6 11" xfId="35863" xr:uid="{00000000-0005-0000-0000-00007FE10000}"/>
    <cellStyle name="Remarque 6 3 2 6 11 2" xfId="59823" xr:uid="{00000000-0005-0000-0000-000080E10000}"/>
    <cellStyle name="Remarque 6 3 2 6 12" xfId="14044" xr:uid="{00000000-0005-0000-0000-000081E10000}"/>
    <cellStyle name="Remarque 6 3 2 6 13" xfId="38004" xr:uid="{00000000-0005-0000-0000-000082E10000}"/>
    <cellStyle name="Remarque 6 3 2 6 2" xfId="4253" xr:uid="{00000000-0005-0000-0000-000083E10000}"/>
    <cellStyle name="Remarque 6 3 2 6 2 2" xfId="28267" xr:uid="{00000000-0005-0000-0000-000084E10000}"/>
    <cellStyle name="Remarque 6 3 2 6 2 2 2" xfId="52227" xr:uid="{00000000-0005-0000-0000-000085E10000}"/>
    <cellStyle name="Remarque 6 3 2 6 2 3" xfId="15514" xr:uid="{00000000-0005-0000-0000-000086E10000}"/>
    <cellStyle name="Remarque 6 3 2 6 2 4" xfId="39474" xr:uid="{00000000-0005-0000-0000-000087E10000}"/>
    <cellStyle name="Remarque 6 3 2 6 3" xfId="5687" xr:uid="{00000000-0005-0000-0000-000088E10000}"/>
    <cellStyle name="Remarque 6 3 2 6 3 2" xfId="29701" xr:uid="{00000000-0005-0000-0000-000089E10000}"/>
    <cellStyle name="Remarque 6 3 2 6 3 2 2" xfId="53661" xr:uid="{00000000-0005-0000-0000-00008AE10000}"/>
    <cellStyle name="Remarque 6 3 2 6 3 3" xfId="16948" xr:uid="{00000000-0005-0000-0000-00008BE10000}"/>
    <cellStyle name="Remarque 6 3 2 6 3 4" xfId="40908" xr:uid="{00000000-0005-0000-0000-00008CE10000}"/>
    <cellStyle name="Remarque 6 3 2 6 4" xfId="7081" xr:uid="{00000000-0005-0000-0000-00008DE10000}"/>
    <cellStyle name="Remarque 6 3 2 6 4 2" xfId="31095" xr:uid="{00000000-0005-0000-0000-00008EE10000}"/>
    <cellStyle name="Remarque 6 3 2 6 4 2 2" xfId="55055" xr:uid="{00000000-0005-0000-0000-00008FE10000}"/>
    <cellStyle name="Remarque 6 3 2 6 4 3" xfId="18342" xr:uid="{00000000-0005-0000-0000-000090E10000}"/>
    <cellStyle name="Remarque 6 3 2 6 4 4" xfId="42302" xr:uid="{00000000-0005-0000-0000-000091E10000}"/>
    <cellStyle name="Remarque 6 3 2 6 5" xfId="8469" xr:uid="{00000000-0005-0000-0000-000092E10000}"/>
    <cellStyle name="Remarque 6 3 2 6 5 2" xfId="32483" xr:uid="{00000000-0005-0000-0000-000093E10000}"/>
    <cellStyle name="Remarque 6 3 2 6 5 2 2" xfId="56443" xr:uid="{00000000-0005-0000-0000-000094E10000}"/>
    <cellStyle name="Remarque 6 3 2 6 5 3" xfId="19730" xr:uid="{00000000-0005-0000-0000-000095E10000}"/>
    <cellStyle name="Remarque 6 3 2 6 5 4" xfId="43690" xr:uid="{00000000-0005-0000-0000-000096E10000}"/>
    <cellStyle name="Remarque 6 3 2 6 6" xfId="9854" xr:uid="{00000000-0005-0000-0000-000097E10000}"/>
    <cellStyle name="Remarque 6 3 2 6 6 2" xfId="33868" xr:uid="{00000000-0005-0000-0000-000098E10000}"/>
    <cellStyle name="Remarque 6 3 2 6 6 2 2" xfId="57828" xr:uid="{00000000-0005-0000-0000-000099E10000}"/>
    <cellStyle name="Remarque 6 3 2 6 6 3" xfId="21115" xr:uid="{00000000-0005-0000-0000-00009AE10000}"/>
    <cellStyle name="Remarque 6 3 2 6 6 4" xfId="45075" xr:uid="{00000000-0005-0000-0000-00009BE10000}"/>
    <cellStyle name="Remarque 6 3 2 6 7" xfId="11311" xr:uid="{00000000-0005-0000-0000-00009CE10000}"/>
    <cellStyle name="Remarque 6 3 2 6 7 2" xfId="35321" xr:uid="{00000000-0005-0000-0000-00009DE10000}"/>
    <cellStyle name="Remarque 6 3 2 6 7 2 2" xfId="59281" xr:uid="{00000000-0005-0000-0000-00009EE10000}"/>
    <cellStyle name="Remarque 6 3 2 6 7 3" xfId="22578" xr:uid="{00000000-0005-0000-0000-00009FE10000}"/>
    <cellStyle name="Remarque 6 3 2 6 7 4" xfId="46538" xr:uid="{00000000-0005-0000-0000-0000A0E10000}"/>
    <cellStyle name="Remarque 6 3 2 6 8" xfId="12189" xr:uid="{00000000-0005-0000-0000-0000A1E10000}"/>
    <cellStyle name="Remarque 6 3 2 6 8 2" xfId="23472" xr:uid="{00000000-0005-0000-0000-0000A2E10000}"/>
    <cellStyle name="Remarque 6 3 2 6 8 3" xfId="47432" xr:uid="{00000000-0005-0000-0000-0000A3E10000}"/>
    <cellStyle name="Remarque 6 3 2 6 9" xfId="2783" xr:uid="{00000000-0005-0000-0000-0000A4E10000}"/>
    <cellStyle name="Remarque 6 3 2 6 9 2" xfId="26797" xr:uid="{00000000-0005-0000-0000-0000A5E10000}"/>
    <cellStyle name="Remarque 6 3 2 6 9 3" xfId="50757" xr:uid="{00000000-0005-0000-0000-0000A6E10000}"/>
    <cellStyle name="Remarque 6 3 2 7" xfId="1516" xr:uid="{00000000-0005-0000-0000-0000A7E10000}"/>
    <cellStyle name="Remarque 6 3 2 7 10" xfId="25548" xr:uid="{00000000-0005-0000-0000-0000A8E10000}"/>
    <cellStyle name="Remarque 6 3 2 7 10 2" xfId="49508" xr:uid="{00000000-0005-0000-0000-0000A9E10000}"/>
    <cellStyle name="Remarque 6 3 2 7 11" xfId="35873" xr:uid="{00000000-0005-0000-0000-0000AAE10000}"/>
    <cellStyle name="Remarque 6 3 2 7 11 2" xfId="59833" xr:uid="{00000000-0005-0000-0000-0000ABE10000}"/>
    <cellStyle name="Remarque 6 3 2 7 12" xfId="14213" xr:uid="{00000000-0005-0000-0000-0000ACE10000}"/>
    <cellStyle name="Remarque 6 3 2 7 13" xfId="38173" xr:uid="{00000000-0005-0000-0000-0000ADE10000}"/>
    <cellStyle name="Remarque 6 3 2 7 2" xfId="4422" xr:uid="{00000000-0005-0000-0000-0000AEE10000}"/>
    <cellStyle name="Remarque 6 3 2 7 2 2" xfId="28436" xr:uid="{00000000-0005-0000-0000-0000AFE10000}"/>
    <cellStyle name="Remarque 6 3 2 7 2 2 2" xfId="52396" xr:uid="{00000000-0005-0000-0000-0000B0E10000}"/>
    <cellStyle name="Remarque 6 3 2 7 2 3" xfId="15683" xr:uid="{00000000-0005-0000-0000-0000B1E10000}"/>
    <cellStyle name="Remarque 6 3 2 7 2 4" xfId="39643" xr:uid="{00000000-0005-0000-0000-0000B2E10000}"/>
    <cellStyle name="Remarque 6 3 2 7 3" xfId="5856" xr:uid="{00000000-0005-0000-0000-0000B3E10000}"/>
    <cellStyle name="Remarque 6 3 2 7 3 2" xfId="29870" xr:uid="{00000000-0005-0000-0000-0000B4E10000}"/>
    <cellStyle name="Remarque 6 3 2 7 3 2 2" xfId="53830" xr:uid="{00000000-0005-0000-0000-0000B5E10000}"/>
    <cellStyle name="Remarque 6 3 2 7 3 3" xfId="17117" xr:uid="{00000000-0005-0000-0000-0000B6E10000}"/>
    <cellStyle name="Remarque 6 3 2 7 3 4" xfId="41077" xr:uid="{00000000-0005-0000-0000-0000B7E10000}"/>
    <cellStyle name="Remarque 6 3 2 7 4" xfId="7250" xr:uid="{00000000-0005-0000-0000-0000B8E10000}"/>
    <cellStyle name="Remarque 6 3 2 7 4 2" xfId="31264" xr:uid="{00000000-0005-0000-0000-0000B9E10000}"/>
    <cellStyle name="Remarque 6 3 2 7 4 2 2" xfId="55224" xr:uid="{00000000-0005-0000-0000-0000BAE10000}"/>
    <cellStyle name="Remarque 6 3 2 7 4 3" xfId="18511" xr:uid="{00000000-0005-0000-0000-0000BBE10000}"/>
    <cellStyle name="Remarque 6 3 2 7 4 4" xfId="42471" xr:uid="{00000000-0005-0000-0000-0000BCE10000}"/>
    <cellStyle name="Remarque 6 3 2 7 5" xfId="8638" xr:uid="{00000000-0005-0000-0000-0000BDE10000}"/>
    <cellStyle name="Remarque 6 3 2 7 5 2" xfId="32652" xr:uid="{00000000-0005-0000-0000-0000BEE10000}"/>
    <cellStyle name="Remarque 6 3 2 7 5 2 2" xfId="56612" xr:uid="{00000000-0005-0000-0000-0000BFE10000}"/>
    <cellStyle name="Remarque 6 3 2 7 5 3" xfId="19899" xr:uid="{00000000-0005-0000-0000-0000C0E10000}"/>
    <cellStyle name="Remarque 6 3 2 7 5 4" xfId="43859" xr:uid="{00000000-0005-0000-0000-0000C1E10000}"/>
    <cellStyle name="Remarque 6 3 2 7 6" xfId="10023" xr:uid="{00000000-0005-0000-0000-0000C2E10000}"/>
    <cellStyle name="Remarque 6 3 2 7 6 2" xfId="34037" xr:uid="{00000000-0005-0000-0000-0000C3E10000}"/>
    <cellStyle name="Remarque 6 3 2 7 6 2 2" xfId="57997" xr:uid="{00000000-0005-0000-0000-0000C4E10000}"/>
    <cellStyle name="Remarque 6 3 2 7 6 3" xfId="21284" xr:uid="{00000000-0005-0000-0000-0000C5E10000}"/>
    <cellStyle name="Remarque 6 3 2 7 6 4" xfId="45244" xr:uid="{00000000-0005-0000-0000-0000C6E10000}"/>
    <cellStyle name="Remarque 6 3 2 7 7" xfId="11480" xr:uid="{00000000-0005-0000-0000-0000C7E10000}"/>
    <cellStyle name="Remarque 6 3 2 7 7 2" xfId="35490" xr:uid="{00000000-0005-0000-0000-0000C8E10000}"/>
    <cellStyle name="Remarque 6 3 2 7 7 2 2" xfId="59450" xr:uid="{00000000-0005-0000-0000-0000C9E10000}"/>
    <cellStyle name="Remarque 6 3 2 7 7 3" xfId="22747" xr:uid="{00000000-0005-0000-0000-0000CAE10000}"/>
    <cellStyle name="Remarque 6 3 2 7 7 4" xfId="46707" xr:uid="{00000000-0005-0000-0000-0000CBE10000}"/>
    <cellStyle name="Remarque 6 3 2 7 8" xfId="12672" xr:uid="{00000000-0005-0000-0000-0000CCE10000}"/>
    <cellStyle name="Remarque 6 3 2 7 8 2" xfId="23977" xr:uid="{00000000-0005-0000-0000-0000CDE10000}"/>
    <cellStyle name="Remarque 6 3 2 7 8 3" xfId="47937" xr:uid="{00000000-0005-0000-0000-0000CEE10000}"/>
    <cellStyle name="Remarque 6 3 2 7 9" xfId="2952" xr:uid="{00000000-0005-0000-0000-0000CFE10000}"/>
    <cellStyle name="Remarque 6 3 2 7 9 2" xfId="26966" xr:uid="{00000000-0005-0000-0000-0000D0E10000}"/>
    <cellStyle name="Remarque 6 3 2 7 9 3" xfId="50926" xr:uid="{00000000-0005-0000-0000-0000D1E10000}"/>
    <cellStyle name="Remarque 6 3 2 8" xfId="3371" xr:uid="{00000000-0005-0000-0000-0000D2E10000}"/>
    <cellStyle name="Remarque 6 3 2 8 2" xfId="27385" xr:uid="{00000000-0005-0000-0000-0000D3E10000}"/>
    <cellStyle name="Remarque 6 3 2 8 2 2" xfId="51345" xr:uid="{00000000-0005-0000-0000-0000D4E10000}"/>
    <cellStyle name="Remarque 6 3 2 8 3" xfId="14632" xr:uid="{00000000-0005-0000-0000-0000D5E10000}"/>
    <cellStyle name="Remarque 6 3 2 8 4" xfId="38592" xr:uid="{00000000-0005-0000-0000-0000D6E10000}"/>
    <cellStyle name="Remarque 6 3 2 9" xfId="4805" xr:uid="{00000000-0005-0000-0000-0000D7E10000}"/>
    <cellStyle name="Remarque 6 3 2 9 2" xfId="28819" xr:uid="{00000000-0005-0000-0000-0000D8E10000}"/>
    <cellStyle name="Remarque 6 3 2 9 2 2" xfId="52779" xr:uid="{00000000-0005-0000-0000-0000D9E10000}"/>
    <cellStyle name="Remarque 6 3 2 9 3" xfId="16066" xr:uid="{00000000-0005-0000-0000-0000DAE10000}"/>
    <cellStyle name="Remarque 6 3 2 9 4" xfId="40026" xr:uid="{00000000-0005-0000-0000-0000DBE10000}"/>
    <cellStyle name="Remarque 6 3 3" xfId="268" xr:uid="{00000000-0005-0000-0000-0000DCE10000}"/>
    <cellStyle name="Remarque 6 3 3 10" xfId="24300" xr:uid="{00000000-0005-0000-0000-0000DDE10000}"/>
    <cellStyle name="Remarque 6 3 3 10 2" xfId="48260" xr:uid="{00000000-0005-0000-0000-0000DEE10000}"/>
    <cellStyle name="Remarque 6 3 3 11" xfId="24266" xr:uid="{00000000-0005-0000-0000-0000DFE10000}"/>
    <cellStyle name="Remarque 6 3 3 11 2" xfId="48226" xr:uid="{00000000-0005-0000-0000-0000E0E10000}"/>
    <cellStyle name="Remarque 6 3 3 12" xfId="12965" xr:uid="{00000000-0005-0000-0000-0000E1E10000}"/>
    <cellStyle name="Remarque 6 3 3 13" xfId="36925" xr:uid="{00000000-0005-0000-0000-0000E2E10000}"/>
    <cellStyle name="Remarque 6 3 3 2" xfId="3174" xr:uid="{00000000-0005-0000-0000-0000E3E10000}"/>
    <cellStyle name="Remarque 6 3 3 2 2" xfId="27188" xr:uid="{00000000-0005-0000-0000-0000E4E10000}"/>
    <cellStyle name="Remarque 6 3 3 2 2 2" xfId="51148" xr:uid="{00000000-0005-0000-0000-0000E5E10000}"/>
    <cellStyle name="Remarque 6 3 3 2 3" xfId="14435" xr:uid="{00000000-0005-0000-0000-0000E6E10000}"/>
    <cellStyle name="Remarque 6 3 3 2 4" xfId="38395" xr:uid="{00000000-0005-0000-0000-0000E7E10000}"/>
    <cellStyle name="Remarque 6 3 3 3" xfId="4608" xr:uid="{00000000-0005-0000-0000-0000E8E10000}"/>
    <cellStyle name="Remarque 6 3 3 3 2" xfId="28622" xr:uid="{00000000-0005-0000-0000-0000E9E10000}"/>
    <cellStyle name="Remarque 6 3 3 3 2 2" xfId="52582" xr:uid="{00000000-0005-0000-0000-0000EAE10000}"/>
    <cellStyle name="Remarque 6 3 3 3 3" xfId="15869" xr:uid="{00000000-0005-0000-0000-0000EBE10000}"/>
    <cellStyle name="Remarque 6 3 3 3 4" xfId="39829" xr:uid="{00000000-0005-0000-0000-0000ECE10000}"/>
    <cellStyle name="Remarque 6 3 3 4" xfId="6002" xr:uid="{00000000-0005-0000-0000-0000EDE10000}"/>
    <cellStyle name="Remarque 6 3 3 4 2" xfId="30016" xr:uid="{00000000-0005-0000-0000-0000EEE10000}"/>
    <cellStyle name="Remarque 6 3 3 4 2 2" xfId="53976" xr:uid="{00000000-0005-0000-0000-0000EFE10000}"/>
    <cellStyle name="Remarque 6 3 3 4 3" xfId="17263" xr:uid="{00000000-0005-0000-0000-0000F0E10000}"/>
    <cellStyle name="Remarque 6 3 3 4 4" xfId="41223" xr:uid="{00000000-0005-0000-0000-0000F1E10000}"/>
    <cellStyle name="Remarque 6 3 3 5" xfId="7390" xr:uid="{00000000-0005-0000-0000-0000F2E10000}"/>
    <cellStyle name="Remarque 6 3 3 5 2" xfId="31404" xr:uid="{00000000-0005-0000-0000-0000F3E10000}"/>
    <cellStyle name="Remarque 6 3 3 5 2 2" xfId="55364" xr:uid="{00000000-0005-0000-0000-0000F4E10000}"/>
    <cellStyle name="Remarque 6 3 3 5 3" xfId="18651" xr:uid="{00000000-0005-0000-0000-0000F5E10000}"/>
    <cellStyle name="Remarque 6 3 3 5 4" xfId="42611" xr:uid="{00000000-0005-0000-0000-0000F6E10000}"/>
    <cellStyle name="Remarque 6 3 3 6" xfId="8775" xr:uid="{00000000-0005-0000-0000-0000F7E10000}"/>
    <cellStyle name="Remarque 6 3 3 6 2" xfId="32789" xr:uid="{00000000-0005-0000-0000-0000F8E10000}"/>
    <cellStyle name="Remarque 6 3 3 6 2 2" xfId="56749" xr:uid="{00000000-0005-0000-0000-0000F9E10000}"/>
    <cellStyle name="Remarque 6 3 3 6 3" xfId="20036" xr:uid="{00000000-0005-0000-0000-0000FAE10000}"/>
    <cellStyle name="Remarque 6 3 3 6 4" xfId="43996" xr:uid="{00000000-0005-0000-0000-0000FBE10000}"/>
    <cellStyle name="Remarque 6 3 3 7" xfId="10232" xr:uid="{00000000-0005-0000-0000-0000FCE10000}"/>
    <cellStyle name="Remarque 6 3 3 7 2" xfId="34242" xr:uid="{00000000-0005-0000-0000-0000FDE10000}"/>
    <cellStyle name="Remarque 6 3 3 7 2 2" xfId="58202" xr:uid="{00000000-0005-0000-0000-0000FEE10000}"/>
    <cellStyle name="Remarque 6 3 3 7 3" xfId="21499" xr:uid="{00000000-0005-0000-0000-0000FFE10000}"/>
    <cellStyle name="Remarque 6 3 3 7 4" xfId="45459" xr:uid="{00000000-0005-0000-0000-000000E20000}"/>
    <cellStyle name="Remarque 6 3 3 8" xfId="11867" xr:uid="{00000000-0005-0000-0000-000001E20000}"/>
    <cellStyle name="Remarque 6 3 3 8 2" xfId="23143" xr:uid="{00000000-0005-0000-0000-000002E20000}"/>
    <cellStyle name="Remarque 6 3 3 8 3" xfId="47103" xr:uid="{00000000-0005-0000-0000-000003E20000}"/>
    <cellStyle name="Remarque 6 3 3 9" xfId="1704" xr:uid="{00000000-0005-0000-0000-000004E20000}"/>
    <cellStyle name="Remarque 6 3 3 9 2" xfId="25718" xr:uid="{00000000-0005-0000-0000-000005E20000}"/>
    <cellStyle name="Remarque 6 3 3 9 3" xfId="49678" xr:uid="{00000000-0005-0000-0000-000006E20000}"/>
    <cellStyle name="Remarque 6 3 4" xfId="658" xr:uid="{00000000-0005-0000-0000-000007E20000}"/>
    <cellStyle name="Remarque 6 3 4 10" xfId="24690" xr:uid="{00000000-0005-0000-0000-000008E20000}"/>
    <cellStyle name="Remarque 6 3 4 10 2" xfId="48650" xr:uid="{00000000-0005-0000-0000-000009E20000}"/>
    <cellStyle name="Remarque 6 3 4 11" xfId="34145" xr:uid="{00000000-0005-0000-0000-00000AE20000}"/>
    <cellStyle name="Remarque 6 3 4 11 2" xfId="58105" xr:uid="{00000000-0005-0000-0000-00000BE20000}"/>
    <cellStyle name="Remarque 6 3 4 12" xfId="13355" xr:uid="{00000000-0005-0000-0000-00000CE20000}"/>
    <cellStyle name="Remarque 6 3 4 13" xfId="37315" xr:uid="{00000000-0005-0000-0000-00000DE20000}"/>
    <cellStyle name="Remarque 6 3 4 2" xfId="3564" xr:uid="{00000000-0005-0000-0000-00000EE20000}"/>
    <cellStyle name="Remarque 6 3 4 2 2" xfId="27578" xr:uid="{00000000-0005-0000-0000-00000FE20000}"/>
    <cellStyle name="Remarque 6 3 4 2 2 2" xfId="51538" xr:uid="{00000000-0005-0000-0000-000010E20000}"/>
    <cellStyle name="Remarque 6 3 4 2 3" xfId="14825" xr:uid="{00000000-0005-0000-0000-000011E20000}"/>
    <cellStyle name="Remarque 6 3 4 2 4" xfId="38785" xr:uid="{00000000-0005-0000-0000-000012E20000}"/>
    <cellStyle name="Remarque 6 3 4 3" xfId="4998" xr:uid="{00000000-0005-0000-0000-000013E20000}"/>
    <cellStyle name="Remarque 6 3 4 3 2" xfId="29012" xr:uid="{00000000-0005-0000-0000-000014E20000}"/>
    <cellStyle name="Remarque 6 3 4 3 2 2" xfId="52972" xr:uid="{00000000-0005-0000-0000-000015E20000}"/>
    <cellStyle name="Remarque 6 3 4 3 3" xfId="16259" xr:uid="{00000000-0005-0000-0000-000016E20000}"/>
    <cellStyle name="Remarque 6 3 4 3 4" xfId="40219" xr:uid="{00000000-0005-0000-0000-000017E20000}"/>
    <cellStyle name="Remarque 6 3 4 4" xfId="6392" xr:uid="{00000000-0005-0000-0000-000018E20000}"/>
    <cellStyle name="Remarque 6 3 4 4 2" xfId="30406" xr:uid="{00000000-0005-0000-0000-000019E20000}"/>
    <cellStyle name="Remarque 6 3 4 4 2 2" xfId="54366" xr:uid="{00000000-0005-0000-0000-00001AE20000}"/>
    <cellStyle name="Remarque 6 3 4 4 3" xfId="17653" xr:uid="{00000000-0005-0000-0000-00001BE20000}"/>
    <cellStyle name="Remarque 6 3 4 4 4" xfId="41613" xr:uid="{00000000-0005-0000-0000-00001CE20000}"/>
    <cellStyle name="Remarque 6 3 4 5" xfId="7780" xr:uid="{00000000-0005-0000-0000-00001DE20000}"/>
    <cellStyle name="Remarque 6 3 4 5 2" xfId="31794" xr:uid="{00000000-0005-0000-0000-00001EE20000}"/>
    <cellStyle name="Remarque 6 3 4 5 2 2" xfId="55754" xr:uid="{00000000-0005-0000-0000-00001FE20000}"/>
    <cellStyle name="Remarque 6 3 4 5 3" xfId="19041" xr:uid="{00000000-0005-0000-0000-000020E20000}"/>
    <cellStyle name="Remarque 6 3 4 5 4" xfId="43001" xr:uid="{00000000-0005-0000-0000-000021E20000}"/>
    <cellStyle name="Remarque 6 3 4 6" xfId="9165" xr:uid="{00000000-0005-0000-0000-000022E20000}"/>
    <cellStyle name="Remarque 6 3 4 6 2" xfId="33179" xr:uid="{00000000-0005-0000-0000-000023E20000}"/>
    <cellStyle name="Remarque 6 3 4 6 2 2" xfId="57139" xr:uid="{00000000-0005-0000-0000-000024E20000}"/>
    <cellStyle name="Remarque 6 3 4 6 3" xfId="20426" xr:uid="{00000000-0005-0000-0000-000025E20000}"/>
    <cellStyle name="Remarque 6 3 4 6 4" xfId="44386" xr:uid="{00000000-0005-0000-0000-000026E20000}"/>
    <cellStyle name="Remarque 6 3 4 7" xfId="10622" xr:uid="{00000000-0005-0000-0000-000027E20000}"/>
    <cellStyle name="Remarque 6 3 4 7 2" xfId="34632" xr:uid="{00000000-0005-0000-0000-000028E20000}"/>
    <cellStyle name="Remarque 6 3 4 7 2 2" xfId="58592" xr:uid="{00000000-0005-0000-0000-000029E20000}"/>
    <cellStyle name="Remarque 6 3 4 7 3" xfId="21889" xr:uid="{00000000-0005-0000-0000-00002AE20000}"/>
    <cellStyle name="Remarque 6 3 4 7 4" xfId="45849" xr:uid="{00000000-0005-0000-0000-00002BE20000}"/>
    <cellStyle name="Remarque 6 3 4 8" xfId="11811" xr:uid="{00000000-0005-0000-0000-00002CE20000}"/>
    <cellStyle name="Remarque 6 3 4 8 2" xfId="23085" xr:uid="{00000000-0005-0000-0000-00002DE20000}"/>
    <cellStyle name="Remarque 6 3 4 8 3" xfId="47045" xr:uid="{00000000-0005-0000-0000-00002EE20000}"/>
    <cellStyle name="Remarque 6 3 4 9" xfId="2094" xr:uid="{00000000-0005-0000-0000-00002FE20000}"/>
    <cellStyle name="Remarque 6 3 4 9 2" xfId="26108" xr:uid="{00000000-0005-0000-0000-000030E20000}"/>
    <cellStyle name="Remarque 6 3 4 9 3" xfId="50068" xr:uid="{00000000-0005-0000-0000-000031E20000}"/>
    <cellStyle name="Remarque 6 3 5" xfId="852" xr:uid="{00000000-0005-0000-0000-000032E20000}"/>
    <cellStyle name="Remarque 6 3 5 10" xfId="24884" xr:uid="{00000000-0005-0000-0000-000033E20000}"/>
    <cellStyle name="Remarque 6 3 5 10 2" xfId="48844" xr:uid="{00000000-0005-0000-0000-000034E20000}"/>
    <cellStyle name="Remarque 6 3 5 11" xfId="36300" xr:uid="{00000000-0005-0000-0000-000035E20000}"/>
    <cellStyle name="Remarque 6 3 5 11 2" xfId="60260" xr:uid="{00000000-0005-0000-0000-000036E20000}"/>
    <cellStyle name="Remarque 6 3 5 12" xfId="13549" xr:uid="{00000000-0005-0000-0000-000037E20000}"/>
    <cellStyle name="Remarque 6 3 5 13" xfId="37509" xr:uid="{00000000-0005-0000-0000-000038E20000}"/>
    <cellStyle name="Remarque 6 3 5 2" xfId="3758" xr:uid="{00000000-0005-0000-0000-000039E20000}"/>
    <cellStyle name="Remarque 6 3 5 2 2" xfId="27772" xr:uid="{00000000-0005-0000-0000-00003AE20000}"/>
    <cellStyle name="Remarque 6 3 5 2 2 2" xfId="51732" xr:uid="{00000000-0005-0000-0000-00003BE20000}"/>
    <cellStyle name="Remarque 6 3 5 2 3" xfId="15019" xr:uid="{00000000-0005-0000-0000-00003CE20000}"/>
    <cellStyle name="Remarque 6 3 5 2 4" xfId="38979" xr:uid="{00000000-0005-0000-0000-00003DE20000}"/>
    <cellStyle name="Remarque 6 3 5 3" xfId="5192" xr:uid="{00000000-0005-0000-0000-00003EE20000}"/>
    <cellStyle name="Remarque 6 3 5 3 2" xfId="29206" xr:uid="{00000000-0005-0000-0000-00003FE20000}"/>
    <cellStyle name="Remarque 6 3 5 3 2 2" xfId="53166" xr:uid="{00000000-0005-0000-0000-000040E20000}"/>
    <cellStyle name="Remarque 6 3 5 3 3" xfId="16453" xr:uid="{00000000-0005-0000-0000-000041E20000}"/>
    <cellStyle name="Remarque 6 3 5 3 4" xfId="40413" xr:uid="{00000000-0005-0000-0000-000042E20000}"/>
    <cellStyle name="Remarque 6 3 5 4" xfId="6586" xr:uid="{00000000-0005-0000-0000-000043E20000}"/>
    <cellStyle name="Remarque 6 3 5 4 2" xfId="30600" xr:uid="{00000000-0005-0000-0000-000044E20000}"/>
    <cellStyle name="Remarque 6 3 5 4 2 2" xfId="54560" xr:uid="{00000000-0005-0000-0000-000045E20000}"/>
    <cellStyle name="Remarque 6 3 5 4 3" xfId="17847" xr:uid="{00000000-0005-0000-0000-000046E20000}"/>
    <cellStyle name="Remarque 6 3 5 4 4" xfId="41807" xr:uid="{00000000-0005-0000-0000-000047E20000}"/>
    <cellStyle name="Remarque 6 3 5 5" xfId="7974" xr:uid="{00000000-0005-0000-0000-000048E20000}"/>
    <cellStyle name="Remarque 6 3 5 5 2" xfId="31988" xr:uid="{00000000-0005-0000-0000-000049E20000}"/>
    <cellStyle name="Remarque 6 3 5 5 2 2" xfId="55948" xr:uid="{00000000-0005-0000-0000-00004AE20000}"/>
    <cellStyle name="Remarque 6 3 5 5 3" xfId="19235" xr:uid="{00000000-0005-0000-0000-00004BE20000}"/>
    <cellStyle name="Remarque 6 3 5 5 4" xfId="43195" xr:uid="{00000000-0005-0000-0000-00004CE20000}"/>
    <cellStyle name="Remarque 6 3 5 6" xfId="9359" xr:uid="{00000000-0005-0000-0000-00004DE20000}"/>
    <cellStyle name="Remarque 6 3 5 6 2" xfId="33373" xr:uid="{00000000-0005-0000-0000-00004EE20000}"/>
    <cellStyle name="Remarque 6 3 5 6 2 2" xfId="57333" xr:uid="{00000000-0005-0000-0000-00004FE20000}"/>
    <cellStyle name="Remarque 6 3 5 6 3" xfId="20620" xr:uid="{00000000-0005-0000-0000-000050E20000}"/>
    <cellStyle name="Remarque 6 3 5 6 4" xfId="44580" xr:uid="{00000000-0005-0000-0000-000051E20000}"/>
    <cellStyle name="Remarque 6 3 5 7" xfId="10816" xr:uid="{00000000-0005-0000-0000-000052E20000}"/>
    <cellStyle name="Remarque 6 3 5 7 2" xfId="34826" xr:uid="{00000000-0005-0000-0000-000053E20000}"/>
    <cellStyle name="Remarque 6 3 5 7 2 2" xfId="58786" xr:uid="{00000000-0005-0000-0000-000054E20000}"/>
    <cellStyle name="Remarque 6 3 5 7 3" xfId="22083" xr:uid="{00000000-0005-0000-0000-000055E20000}"/>
    <cellStyle name="Remarque 6 3 5 7 4" xfId="46043" xr:uid="{00000000-0005-0000-0000-000056E20000}"/>
    <cellStyle name="Remarque 6 3 5 8" xfId="12780" xr:uid="{00000000-0005-0000-0000-000057E20000}"/>
    <cellStyle name="Remarque 6 3 5 8 2" xfId="24089" xr:uid="{00000000-0005-0000-0000-000058E20000}"/>
    <cellStyle name="Remarque 6 3 5 8 3" xfId="48049" xr:uid="{00000000-0005-0000-0000-000059E20000}"/>
    <cellStyle name="Remarque 6 3 5 9" xfId="2288" xr:uid="{00000000-0005-0000-0000-00005AE20000}"/>
    <cellStyle name="Remarque 6 3 5 9 2" xfId="26302" xr:uid="{00000000-0005-0000-0000-00005BE20000}"/>
    <cellStyle name="Remarque 6 3 5 9 3" xfId="50262" xr:uid="{00000000-0005-0000-0000-00005CE20000}"/>
    <cellStyle name="Remarque 6 3 6" xfId="1045" xr:uid="{00000000-0005-0000-0000-00005DE20000}"/>
    <cellStyle name="Remarque 6 3 6 10" xfId="25077" xr:uid="{00000000-0005-0000-0000-00005EE20000}"/>
    <cellStyle name="Remarque 6 3 6 10 2" xfId="49037" xr:uid="{00000000-0005-0000-0000-00005FE20000}"/>
    <cellStyle name="Remarque 6 3 6 11" xfId="36696" xr:uid="{00000000-0005-0000-0000-000060E20000}"/>
    <cellStyle name="Remarque 6 3 6 11 2" xfId="60656" xr:uid="{00000000-0005-0000-0000-000061E20000}"/>
    <cellStyle name="Remarque 6 3 6 12" xfId="13742" xr:uid="{00000000-0005-0000-0000-000062E20000}"/>
    <cellStyle name="Remarque 6 3 6 13" xfId="37702" xr:uid="{00000000-0005-0000-0000-000063E20000}"/>
    <cellStyle name="Remarque 6 3 6 2" xfId="3951" xr:uid="{00000000-0005-0000-0000-000064E20000}"/>
    <cellStyle name="Remarque 6 3 6 2 2" xfId="27965" xr:uid="{00000000-0005-0000-0000-000065E20000}"/>
    <cellStyle name="Remarque 6 3 6 2 2 2" xfId="51925" xr:uid="{00000000-0005-0000-0000-000066E20000}"/>
    <cellStyle name="Remarque 6 3 6 2 3" xfId="15212" xr:uid="{00000000-0005-0000-0000-000067E20000}"/>
    <cellStyle name="Remarque 6 3 6 2 4" xfId="39172" xr:uid="{00000000-0005-0000-0000-000068E20000}"/>
    <cellStyle name="Remarque 6 3 6 3" xfId="5385" xr:uid="{00000000-0005-0000-0000-000069E20000}"/>
    <cellStyle name="Remarque 6 3 6 3 2" xfId="29399" xr:uid="{00000000-0005-0000-0000-00006AE20000}"/>
    <cellStyle name="Remarque 6 3 6 3 2 2" xfId="53359" xr:uid="{00000000-0005-0000-0000-00006BE20000}"/>
    <cellStyle name="Remarque 6 3 6 3 3" xfId="16646" xr:uid="{00000000-0005-0000-0000-00006CE20000}"/>
    <cellStyle name="Remarque 6 3 6 3 4" xfId="40606" xr:uid="{00000000-0005-0000-0000-00006DE20000}"/>
    <cellStyle name="Remarque 6 3 6 4" xfId="6779" xr:uid="{00000000-0005-0000-0000-00006EE20000}"/>
    <cellStyle name="Remarque 6 3 6 4 2" xfId="30793" xr:uid="{00000000-0005-0000-0000-00006FE20000}"/>
    <cellStyle name="Remarque 6 3 6 4 2 2" xfId="54753" xr:uid="{00000000-0005-0000-0000-000070E20000}"/>
    <cellStyle name="Remarque 6 3 6 4 3" xfId="18040" xr:uid="{00000000-0005-0000-0000-000071E20000}"/>
    <cellStyle name="Remarque 6 3 6 4 4" xfId="42000" xr:uid="{00000000-0005-0000-0000-000072E20000}"/>
    <cellStyle name="Remarque 6 3 6 5" xfId="8167" xr:uid="{00000000-0005-0000-0000-000073E20000}"/>
    <cellStyle name="Remarque 6 3 6 5 2" xfId="32181" xr:uid="{00000000-0005-0000-0000-000074E20000}"/>
    <cellStyle name="Remarque 6 3 6 5 2 2" xfId="56141" xr:uid="{00000000-0005-0000-0000-000075E20000}"/>
    <cellStyle name="Remarque 6 3 6 5 3" xfId="19428" xr:uid="{00000000-0005-0000-0000-000076E20000}"/>
    <cellStyle name="Remarque 6 3 6 5 4" xfId="43388" xr:uid="{00000000-0005-0000-0000-000077E20000}"/>
    <cellStyle name="Remarque 6 3 6 6" xfId="9552" xr:uid="{00000000-0005-0000-0000-000078E20000}"/>
    <cellStyle name="Remarque 6 3 6 6 2" xfId="33566" xr:uid="{00000000-0005-0000-0000-000079E20000}"/>
    <cellStyle name="Remarque 6 3 6 6 2 2" xfId="57526" xr:uid="{00000000-0005-0000-0000-00007AE20000}"/>
    <cellStyle name="Remarque 6 3 6 6 3" xfId="20813" xr:uid="{00000000-0005-0000-0000-00007BE20000}"/>
    <cellStyle name="Remarque 6 3 6 6 4" xfId="44773" xr:uid="{00000000-0005-0000-0000-00007CE20000}"/>
    <cellStyle name="Remarque 6 3 6 7" xfId="11009" xr:uid="{00000000-0005-0000-0000-00007DE20000}"/>
    <cellStyle name="Remarque 6 3 6 7 2" xfId="35019" xr:uid="{00000000-0005-0000-0000-00007EE20000}"/>
    <cellStyle name="Remarque 6 3 6 7 2 2" xfId="58979" xr:uid="{00000000-0005-0000-0000-00007FE20000}"/>
    <cellStyle name="Remarque 6 3 6 7 3" xfId="22276" xr:uid="{00000000-0005-0000-0000-000080E20000}"/>
    <cellStyle name="Remarque 6 3 6 7 4" xfId="46236" xr:uid="{00000000-0005-0000-0000-000081E20000}"/>
    <cellStyle name="Remarque 6 3 6 8" xfId="12165" xr:uid="{00000000-0005-0000-0000-000082E20000}"/>
    <cellStyle name="Remarque 6 3 6 8 2" xfId="23448" xr:uid="{00000000-0005-0000-0000-000083E20000}"/>
    <cellStyle name="Remarque 6 3 6 8 3" xfId="47408" xr:uid="{00000000-0005-0000-0000-000084E20000}"/>
    <cellStyle name="Remarque 6 3 6 9" xfId="2481" xr:uid="{00000000-0005-0000-0000-000085E20000}"/>
    <cellStyle name="Remarque 6 3 6 9 2" xfId="26495" xr:uid="{00000000-0005-0000-0000-000086E20000}"/>
    <cellStyle name="Remarque 6 3 6 9 3" xfId="50455" xr:uid="{00000000-0005-0000-0000-000087E20000}"/>
    <cellStyle name="Remarque 6 3 7" xfId="1381" xr:uid="{00000000-0005-0000-0000-000088E20000}"/>
    <cellStyle name="Remarque 6 3 7 10" xfId="25413" xr:uid="{00000000-0005-0000-0000-000089E20000}"/>
    <cellStyle name="Remarque 6 3 7 10 2" xfId="49373" xr:uid="{00000000-0005-0000-0000-00008AE20000}"/>
    <cellStyle name="Remarque 6 3 7 11" xfId="36250" xr:uid="{00000000-0005-0000-0000-00008BE20000}"/>
    <cellStyle name="Remarque 6 3 7 11 2" xfId="60210" xr:uid="{00000000-0005-0000-0000-00008CE20000}"/>
    <cellStyle name="Remarque 6 3 7 12" xfId="14078" xr:uid="{00000000-0005-0000-0000-00008DE20000}"/>
    <cellStyle name="Remarque 6 3 7 13" xfId="38038" xr:uid="{00000000-0005-0000-0000-00008EE20000}"/>
    <cellStyle name="Remarque 6 3 7 2" xfId="4287" xr:uid="{00000000-0005-0000-0000-00008FE20000}"/>
    <cellStyle name="Remarque 6 3 7 2 2" xfId="28301" xr:uid="{00000000-0005-0000-0000-000090E20000}"/>
    <cellStyle name="Remarque 6 3 7 2 2 2" xfId="52261" xr:uid="{00000000-0005-0000-0000-000091E20000}"/>
    <cellStyle name="Remarque 6 3 7 2 3" xfId="15548" xr:uid="{00000000-0005-0000-0000-000092E20000}"/>
    <cellStyle name="Remarque 6 3 7 2 4" xfId="39508" xr:uid="{00000000-0005-0000-0000-000093E20000}"/>
    <cellStyle name="Remarque 6 3 7 3" xfId="5721" xr:uid="{00000000-0005-0000-0000-000094E20000}"/>
    <cellStyle name="Remarque 6 3 7 3 2" xfId="29735" xr:uid="{00000000-0005-0000-0000-000095E20000}"/>
    <cellStyle name="Remarque 6 3 7 3 2 2" xfId="53695" xr:uid="{00000000-0005-0000-0000-000096E20000}"/>
    <cellStyle name="Remarque 6 3 7 3 3" xfId="16982" xr:uid="{00000000-0005-0000-0000-000097E20000}"/>
    <cellStyle name="Remarque 6 3 7 3 4" xfId="40942" xr:uid="{00000000-0005-0000-0000-000098E20000}"/>
    <cellStyle name="Remarque 6 3 7 4" xfId="7115" xr:uid="{00000000-0005-0000-0000-000099E20000}"/>
    <cellStyle name="Remarque 6 3 7 4 2" xfId="31129" xr:uid="{00000000-0005-0000-0000-00009AE20000}"/>
    <cellStyle name="Remarque 6 3 7 4 2 2" xfId="55089" xr:uid="{00000000-0005-0000-0000-00009BE20000}"/>
    <cellStyle name="Remarque 6 3 7 4 3" xfId="18376" xr:uid="{00000000-0005-0000-0000-00009CE20000}"/>
    <cellStyle name="Remarque 6 3 7 4 4" xfId="42336" xr:uid="{00000000-0005-0000-0000-00009DE20000}"/>
    <cellStyle name="Remarque 6 3 7 5" xfId="8503" xr:uid="{00000000-0005-0000-0000-00009EE20000}"/>
    <cellStyle name="Remarque 6 3 7 5 2" xfId="32517" xr:uid="{00000000-0005-0000-0000-00009FE20000}"/>
    <cellStyle name="Remarque 6 3 7 5 2 2" xfId="56477" xr:uid="{00000000-0005-0000-0000-0000A0E20000}"/>
    <cellStyle name="Remarque 6 3 7 5 3" xfId="19764" xr:uid="{00000000-0005-0000-0000-0000A1E20000}"/>
    <cellStyle name="Remarque 6 3 7 5 4" xfId="43724" xr:uid="{00000000-0005-0000-0000-0000A2E20000}"/>
    <cellStyle name="Remarque 6 3 7 6" xfId="9888" xr:uid="{00000000-0005-0000-0000-0000A3E20000}"/>
    <cellStyle name="Remarque 6 3 7 6 2" xfId="33902" xr:uid="{00000000-0005-0000-0000-0000A4E20000}"/>
    <cellStyle name="Remarque 6 3 7 6 2 2" xfId="57862" xr:uid="{00000000-0005-0000-0000-0000A5E20000}"/>
    <cellStyle name="Remarque 6 3 7 6 3" xfId="21149" xr:uid="{00000000-0005-0000-0000-0000A6E20000}"/>
    <cellStyle name="Remarque 6 3 7 6 4" xfId="45109" xr:uid="{00000000-0005-0000-0000-0000A7E20000}"/>
    <cellStyle name="Remarque 6 3 7 7" xfId="11345" xr:uid="{00000000-0005-0000-0000-0000A8E20000}"/>
    <cellStyle name="Remarque 6 3 7 7 2" xfId="35355" xr:uid="{00000000-0005-0000-0000-0000A9E20000}"/>
    <cellStyle name="Remarque 6 3 7 7 2 2" xfId="59315" xr:uid="{00000000-0005-0000-0000-0000AAE20000}"/>
    <cellStyle name="Remarque 6 3 7 7 3" xfId="22612" xr:uid="{00000000-0005-0000-0000-0000ABE20000}"/>
    <cellStyle name="Remarque 6 3 7 7 4" xfId="46572" xr:uid="{00000000-0005-0000-0000-0000ACE20000}"/>
    <cellStyle name="Remarque 6 3 7 8" xfId="12052" xr:uid="{00000000-0005-0000-0000-0000ADE20000}"/>
    <cellStyle name="Remarque 6 3 7 8 2" xfId="23332" xr:uid="{00000000-0005-0000-0000-0000AEE20000}"/>
    <cellStyle name="Remarque 6 3 7 8 3" xfId="47292" xr:uid="{00000000-0005-0000-0000-0000AFE20000}"/>
    <cellStyle name="Remarque 6 3 7 9" xfId="2817" xr:uid="{00000000-0005-0000-0000-0000B0E20000}"/>
    <cellStyle name="Remarque 6 3 7 9 2" xfId="26831" xr:uid="{00000000-0005-0000-0000-0000B1E20000}"/>
    <cellStyle name="Remarque 6 3 7 9 3" xfId="50791" xr:uid="{00000000-0005-0000-0000-0000B2E20000}"/>
    <cellStyle name="Remarque 6 3 8" xfId="3137" xr:uid="{00000000-0005-0000-0000-0000B3E20000}"/>
    <cellStyle name="Remarque 6 3 8 2" xfId="27151" xr:uid="{00000000-0005-0000-0000-0000B4E20000}"/>
    <cellStyle name="Remarque 6 3 8 2 2" xfId="51111" xr:uid="{00000000-0005-0000-0000-0000B5E20000}"/>
    <cellStyle name="Remarque 6 3 8 3" xfId="14398" xr:uid="{00000000-0005-0000-0000-0000B6E20000}"/>
    <cellStyle name="Remarque 6 3 8 4" xfId="38358" xr:uid="{00000000-0005-0000-0000-0000B7E20000}"/>
    <cellStyle name="Remarque 6 3 9" xfId="1667" xr:uid="{00000000-0005-0000-0000-0000B8E20000}"/>
    <cellStyle name="Remarque 6 3 9 2" xfId="25681" xr:uid="{00000000-0005-0000-0000-0000B9E20000}"/>
    <cellStyle name="Remarque 6 3 9 3" xfId="49641" xr:uid="{00000000-0005-0000-0000-0000BAE20000}"/>
    <cellStyle name="Remarque 6 4" xfId="127" xr:uid="{00000000-0005-0000-0000-0000BBE20000}"/>
    <cellStyle name="Remarque 6 4 10" xfId="6123" xr:uid="{00000000-0005-0000-0000-0000BCE20000}"/>
    <cellStyle name="Remarque 6 4 10 2" xfId="30137" xr:uid="{00000000-0005-0000-0000-0000BDE20000}"/>
    <cellStyle name="Remarque 6 4 10 2 2" xfId="54097" xr:uid="{00000000-0005-0000-0000-0000BEE20000}"/>
    <cellStyle name="Remarque 6 4 10 3" xfId="17384" xr:uid="{00000000-0005-0000-0000-0000BFE20000}"/>
    <cellStyle name="Remarque 6 4 10 4" xfId="41344" xr:uid="{00000000-0005-0000-0000-0000C0E20000}"/>
    <cellStyle name="Remarque 6 4 11" xfId="7511" xr:uid="{00000000-0005-0000-0000-0000C1E20000}"/>
    <cellStyle name="Remarque 6 4 11 2" xfId="31525" xr:uid="{00000000-0005-0000-0000-0000C2E20000}"/>
    <cellStyle name="Remarque 6 4 11 2 2" xfId="55485" xr:uid="{00000000-0005-0000-0000-0000C3E20000}"/>
    <cellStyle name="Remarque 6 4 11 3" xfId="18772" xr:uid="{00000000-0005-0000-0000-0000C4E20000}"/>
    <cellStyle name="Remarque 6 4 11 4" xfId="42732" xr:uid="{00000000-0005-0000-0000-0000C5E20000}"/>
    <cellStyle name="Remarque 6 4 12" xfId="8896" xr:uid="{00000000-0005-0000-0000-0000C6E20000}"/>
    <cellStyle name="Remarque 6 4 12 2" xfId="32910" xr:uid="{00000000-0005-0000-0000-0000C7E20000}"/>
    <cellStyle name="Remarque 6 4 12 2 2" xfId="56870" xr:uid="{00000000-0005-0000-0000-0000C8E20000}"/>
    <cellStyle name="Remarque 6 4 12 3" xfId="20157" xr:uid="{00000000-0005-0000-0000-0000C9E20000}"/>
    <cellStyle name="Remarque 6 4 12 4" xfId="44117" xr:uid="{00000000-0005-0000-0000-0000CAE20000}"/>
    <cellStyle name="Remarque 6 4 13" xfId="10353" xr:uid="{00000000-0005-0000-0000-0000CBE20000}"/>
    <cellStyle name="Remarque 6 4 13 2" xfId="34363" xr:uid="{00000000-0005-0000-0000-0000CCE20000}"/>
    <cellStyle name="Remarque 6 4 13 2 2" xfId="58323" xr:uid="{00000000-0005-0000-0000-0000CDE20000}"/>
    <cellStyle name="Remarque 6 4 13 3" xfId="21620" xr:uid="{00000000-0005-0000-0000-0000CEE20000}"/>
    <cellStyle name="Remarque 6 4 13 4" xfId="45580" xr:uid="{00000000-0005-0000-0000-0000CFE20000}"/>
    <cellStyle name="Remarque 6 4 14" xfId="12141" xr:uid="{00000000-0005-0000-0000-0000D0E20000}"/>
    <cellStyle name="Remarque 6 4 14 2" xfId="23424" xr:uid="{00000000-0005-0000-0000-0000D1E20000}"/>
    <cellStyle name="Remarque 6 4 14 3" xfId="47384" xr:uid="{00000000-0005-0000-0000-0000D2E20000}"/>
    <cellStyle name="Remarque 6 4 15" xfId="1825" xr:uid="{00000000-0005-0000-0000-0000D3E20000}"/>
    <cellStyle name="Remarque 6 4 15 2" xfId="25839" xr:uid="{00000000-0005-0000-0000-0000D4E20000}"/>
    <cellStyle name="Remarque 6 4 15 3" xfId="49799" xr:uid="{00000000-0005-0000-0000-0000D5E20000}"/>
    <cellStyle name="Remarque 6 4 16" xfId="24421" xr:uid="{00000000-0005-0000-0000-0000D6E20000}"/>
    <cellStyle name="Remarque 6 4 16 2" xfId="48381" xr:uid="{00000000-0005-0000-0000-0000D7E20000}"/>
    <cellStyle name="Remarque 6 4 17" xfId="36560" xr:uid="{00000000-0005-0000-0000-0000D8E20000}"/>
    <cellStyle name="Remarque 6 4 17 2" xfId="60520" xr:uid="{00000000-0005-0000-0000-0000D9E20000}"/>
    <cellStyle name="Remarque 6 4 18" xfId="13086" xr:uid="{00000000-0005-0000-0000-0000DAE20000}"/>
    <cellStyle name="Remarque 6 4 19" xfId="37046" xr:uid="{00000000-0005-0000-0000-0000DBE20000}"/>
    <cellStyle name="Remarque 6 4 2" xfId="525" xr:uid="{00000000-0005-0000-0000-0000DCE20000}"/>
    <cellStyle name="Remarque 6 4 2 10" xfId="24557" xr:uid="{00000000-0005-0000-0000-0000DDE20000}"/>
    <cellStyle name="Remarque 6 4 2 10 2" xfId="48517" xr:uid="{00000000-0005-0000-0000-0000DEE20000}"/>
    <cellStyle name="Remarque 6 4 2 11" xfId="36221" xr:uid="{00000000-0005-0000-0000-0000DFE20000}"/>
    <cellStyle name="Remarque 6 4 2 11 2" xfId="60181" xr:uid="{00000000-0005-0000-0000-0000E0E20000}"/>
    <cellStyle name="Remarque 6 4 2 12" xfId="13222" xr:uid="{00000000-0005-0000-0000-0000E1E20000}"/>
    <cellStyle name="Remarque 6 4 2 13" xfId="37182" xr:uid="{00000000-0005-0000-0000-0000E2E20000}"/>
    <cellStyle name="Remarque 6 4 2 2" xfId="3431" xr:uid="{00000000-0005-0000-0000-0000E3E20000}"/>
    <cellStyle name="Remarque 6 4 2 2 2" xfId="27445" xr:uid="{00000000-0005-0000-0000-0000E4E20000}"/>
    <cellStyle name="Remarque 6 4 2 2 2 2" xfId="51405" xr:uid="{00000000-0005-0000-0000-0000E5E20000}"/>
    <cellStyle name="Remarque 6 4 2 2 3" xfId="14692" xr:uid="{00000000-0005-0000-0000-0000E6E20000}"/>
    <cellStyle name="Remarque 6 4 2 2 4" xfId="38652" xr:uid="{00000000-0005-0000-0000-0000E7E20000}"/>
    <cellStyle name="Remarque 6 4 2 3" xfId="4865" xr:uid="{00000000-0005-0000-0000-0000E8E20000}"/>
    <cellStyle name="Remarque 6 4 2 3 2" xfId="28879" xr:uid="{00000000-0005-0000-0000-0000E9E20000}"/>
    <cellStyle name="Remarque 6 4 2 3 2 2" xfId="52839" xr:uid="{00000000-0005-0000-0000-0000EAE20000}"/>
    <cellStyle name="Remarque 6 4 2 3 3" xfId="16126" xr:uid="{00000000-0005-0000-0000-0000EBE20000}"/>
    <cellStyle name="Remarque 6 4 2 3 4" xfId="40086" xr:uid="{00000000-0005-0000-0000-0000ECE20000}"/>
    <cellStyle name="Remarque 6 4 2 4" xfId="6259" xr:uid="{00000000-0005-0000-0000-0000EDE20000}"/>
    <cellStyle name="Remarque 6 4 2 4 2" xfId="30273" xr:uid="{00000000-0005-0000-0000-0000EEE20000}"/>
    <cellStyle name="Remarque 6 4 2 4 2 2" xfId="54233" xr:uid="{00000000-0005-0000-0000-0000EFE20000}"/>
    <cellStyle name="Remarque 6 4 2 4 3" xfId="17520" xr:uid="{00000000-0005-0000-0000-0000F0E20000}"/>
    <cellStyle name="Remarque 6 4 2 4 4" xfId="41480" xr:uid="{00000000-0005-0000-0000-0000F1E20000}"/>
    <cellStyle name="Remarque 6 4 2 5" xfId="7647" xr:uid="{00000000-0005-0000-0000-0000F2E20000}"/>
    <cellStyle name="Remarque 6 4 2 5 2" xfId="31661" xr:uid="{00000000-0005-0000-0000-0000F3E20000}"/>
    <cellStyle name="Remarque 6 4 2 5 2 2" xfId="55621" xr:uid="{00000000-0005-0000-0000-0000F4E20000}"/>
    <cellStyle name="Remarque 6 4 2 5 3" xfId="18908" xr:uid="{00000000-0005-0000-0000-0000F5E20000}"/>
    <cellStyle name="Remarque 6 4 2 5 4" xfId="42868" xr:uid="{00000000-0005-0000-0000-0000F6E20000}"/>
    <cellStyle name="Remarque 6 4 2 6" xfId="9032" xr:uid="{00000000-0005-0000-0000-0000F7E20000}"/>
    <cellStyle name="Remarque 6 4 2 6 2" xfId="33046" xr:uid="{00000000-0005-0000-0000-0000F8E20000}"/>
    <cellStyle name="Remarque 6 4 2 6 2 2" xfId="57006" xr:uid="{00000000-0005-0000-0000-0000F9E20000}"/>
    <cellStyle name="Remarque 6 4 2 6 3" xfId="20293" xr:uid="{00000000-0005-0000-0000-0000FAE20000}"/>
    <cellStyle name="Remarque 6 4 2 6 4" xfId="44253" xr:uid="{00000000-0005-0000-0000-0000FBE20000}"/>
    <cellStyle name="Remarque 6 4 2 7" xfId="10489" xr:uid="{00000000-0005-0000-0000-0000FCE20000}"/>
    <cellStyle name="Remarque 6 4 2 7 2" xfId="34499" xr:uid="{00000000-0005-0000-0000-0000FDE20000}"/>
    <cellStyle name="Remarque 6 4 2 7 2 2" xfId="58459" xr:uid="{00000000-0005-0000-0000-0000FEE20000}"/>
    <cellStyle name="Remarque 6 4 2 7 3" xfId="21756" xr:uid="{00000000-0005-0000-0000-0000FFE20000}"/>
    <cellStyle name="Remarque 6 4 2 7 4" xfId="45716" xr:uid="{00000000-0005-0000-0000-000000E30000}"/>
    <cellStyle name="Remarque 6 4 2 8" xfId="12670" xr:uid="{00000000-0005-0000-0000-000001E30000}"/>
    <cellStyle name="Remarque 6 4 2 8 2" xfId="23975" xr:uid="{00000000-0005-0000-0000-000002E30000}"/>
    <cellStyle name="Remarque 6 4 2 8 3" xfId="47935" xr:uid="{00000000-0005-0000-0000-000003E30000}"/>
    <cellStyle name="Remarque 6 4 2 9" xfId="1961" xr:uid="{00000000-0005-0000-0000-000004E30000}"/>
    <cellStyle name="Remarque 6 4 2 9 2" xfId="25975" xr:uid="{00000000-0005-0000-0000-000005E30000}"/>
    <cellStyle name="Remarque 6 4 2 9 3" xfId="49935" xr:uid="{00000000-0005-0000-0000-000006E30000}"/>
    <cellStyle name="Remarque 6 4 20" xfId="389" xr:uid="{00000000-0005-0000-0000-000007E30000}"/>
    <cellStyle name="Remarque 6 4 3" xfId="717" xr:uid="{00000000-0005-0000-0000-000008E30000}"/>
    <cellStyle name="Remarque 6 4 3 10" xfId="24749" xr:uid="{00000000-0005-0000-0000-000009E30000}"/>
    <cellStyle name="Remarque 6 4 3 10 2" xfId="48709" xr:uid="{00000000-0005-0000-0000-00000AE30000}"/>
    <cellStyle name="Remarque 6 4 3 11" xfId="35710" xr:uid="{00000000-0005-0000-0000-00000BE30000}"/>
    <cellStyle name="Remarque 6 4 3 11 2" xfId="59670" xr:uid="{00000000-0005-0000-0000-00000CE30000}"/>
    <cellStyle name="Remarque 6 4 3 12" xfId="13414" xr:uid="{00000000-0005-0000-0000-00000DE30000}"/>
    <cellStyle name="Remarque 6 4 3 13" xfId="37374" xr:uid="{00000000-0005-0000-0000-00000EE30000}"/>
    <cellStyle name="Remarque 6 4 3 2" xfId="3623" xr:uid="{00000000-0005-0000-0000-00000FE30000}"/>
    <cellStyle name="Remarque 6 4 3 2 2" xfId="27637" xr:uid="{00000000-0005-0000-0000-000010E30000}"/>
    <cellStyle name="Remarque 6 4 3 2 2 2" xfId="51597" xr:uid="{00000000-0005-0000-0000-000011E30000}"/>
    <cellStyle name="Remarque 6 4 3 2 3" xfId="14884" xr:uid="{00000000-0005-0000-0000-000012E30000}"/>
    <cellStyle name="Remarque 6 4 3 2 4" xfId="38844" xr:uid="{00000000-0005-0000-0000-000013E30000}"/>
    <cellStyle name="Remarque 6 4 3 3" xfId="5057" xr:uid="{00000000-0005-0000-0000-000014E30000}"/>
    <cellStyle name="Remarque 6 4 3 3 2" xfId="29071" xr:uid="{00000000-0005-0000-0000-000015E30000}"/>
    <cellStyle name="Remarque 6 4 3 3 2 2" xfId="53031" xr:uid="{00000000-0005-0000-0000-000016E30000}"/>
    <cellStyle name="Remarque 6 4 3 3 3" xfId="16318" xr:uid="{00000000-0005-0000-0000-000017E30000}"/>
    <cellStyle name="Remarque 6 4 3 3 4" xfId="40278" xr:uid="{00000000-0005-0000-0000-000018E30000}"/>
    <cellStyle name="Remarque 6 4 3 4" xfId="6451" xr:uid="{00000000-0005-0000-0000-000019E30000}"/>
    <cellStyle name="Remarque 6 4 3 4 2" xfId="30465" xr:uid="{00000000-0005-0000-0000-00001AE30000}"/>
    <cellStyle name="Remarque 6 4 3 4 2 2" xfId="54425" xr:uid="{00000000-0005-0000-0000-00001BE30000}"/>
    <cellStyle name="Remarque 6 4 3 4 3" xfId="17712" xr:uid="{00000000-0005-0000-0000-00001CE30000}"/>
    <cellStyle name="Remarque 6 4 3 4 4" xfId="41672" xr:uid="{00000000-0005-0000-0000-00001DE30000}"/>
    <cellStyle name="Remarque 6 4 3 5" xfId="7839" xr:uid="{00000000-0005-0000-0000-00001EE30000}"/>
    <cellStyle name="Remarque 6 4 3 5 2" xfId="31853" xr:uid="{00000000-0005-0000-0000-00001FE30000}"/>
    <cellStyle name="Remarque 6 4 3 5 2 2" xfId="55813" xr:uid="{00000000-0005-0000-0000-000020E30000}"/>
    <cellStyle name="Remarque 6 4 3 5 3" xfId="19100" xr:uid="{00000000-0005-0000-0000-000021E30000}"/>
    <cellStyle name="Remarque 6 4 3 5 4" xfId="43060" xr:uid="{00000000-0005-0000-0000-000022E30000}"/>
    <cellStyle name="Remarque 6 4 3 6" xfId="9224" xr:uid="{00000000-0005-0000-0000-000023E30000}"/>
    <cellStyle name="Remarque 6 4 3 6 2" xfId="33238" xr:uid="{00000000-0005-0000-0000-000024E30000}"/>
    <cellStyle name="Remarque 6 4 3 6 2 2" xfId="57198" xr:uid="{00000000-0005-0000-0000-000025E30000}"/>
    <cellStyle name="Remarque 6 4 3 6 3" xfId="20485" xr:uid="{00000000-0005-0000-0000-000026E30000}"/>
    <cellStyle name="Remarque 6 4 3 6 4" xfId="44445" xr:uid="{00000000-0005-0000-0000-000027E30000}"/>
    <cellStyle name="Remarque 6 4 3 7" xfId="10681" xr:uid="{00000000-0005-0000-0000-000028E30000}"/>
    <cellStyle name="Remarque 6 4 3 7 2" xfId="34691" xr:uid="{00000000-0005-0000-0000-000029E30000}"/>
    <cellStyle name="Remarque 6 4 3 7 2 2" xfId="58651" xr:uid="{00000000-0005-0000-0000-00002AE30000}"/>
    <cellStyle name="Remarque 6 4 3 7 3" xfId="21948" xr:uid="{00000000-0005-0000-0000-00002BE30000}"/>
    <cellStyle name="Remarque 6 4 3 7 4" xfId="45908" xr:uid="{00000000-0005-0000-0000-00002CE30000}"/>
    <cellStyle name="Remarque 6 4 3 8" xfId="11949" xr:uid="{00000000-0005-0000-0000-00002DE30000}"/>
    <cellStyle name="Remarque 6 4 3 8 2" xfId="23227" xr:uid="{00000000-0005-0000-0000-00002EE30000}"/>
    <cellStyle name="Remarque 6 4 3 8 3" xfId="47187" xr:uid="{00000000-0005-0000-0000-00002FE30000}"/>
    <cellStyle name="Remarque 6 4 3 9" xfId="2153" xr:uid="{00000000-0005-0000-0000-000030E30000}"/>
    <cellStyle name="Remarque 6 4 3 9 2" xfId="26167" xr:uid="{00000000-0005-0000-0000-000031E30000}"/>
    <cellStyle name="Remarque 6 4 3 9 3" xfId="50127" xr:uid="{00000000-0005-0000-0000-000032E30000}"/>
    <cellStyle name="Remarque 6 4 4" xfId="911" xr:uid="{00000000-0005-0000-0000-000033E30000}"/>
    <cellStyle name="Remarque 6 4 4 10" xfId="24943" xr:uid="{00000000-0005-0000-0000-000034E30000}"/>
    <cellStyle name="Remarque 6 4 4 10 2" xfId="48903" xr:uid="{00000000-0005-0000-0000-000035E30000}"/>
    <cellStyle name="Remarque 6 4 4 11" xfId="34141" xr:uid="{00000000-0005-0000-0000-000036E30000}"/>
    <cellStyle name="Remarque 6 4 4 11 2" xfId="58101" xr:uid="{00000000-0005-0000-0000-000037E30000}"/>
    <cellStyle name="Remarque 6 4 4 12" xfId="13608" xr:uid="{00000000-0005-0000-0000-000038E30000}"/>
    <cellStyle name="Remarque 6 4 4 13" xfId="37568" xr:uid="{00000000-0005-0000-0000-000039E30000}"/>
    <cellStyle name="Remarque 6 4 4 2" xfId="3817" xr:uid="{00000000-0005-0000-0000-00003AE30000}"/>
    <cellStyle name="Remarque 6 4 4 2 2" xfId="27831" xr:uid="{00000000-0005-0000-0000-00003BE30000}"/>
    <cellStyle name="Remarque 6 4 4 2 2 2" xfId="51791" xr:uid="{00000000-0005-0000-0000-00003CE30000}"/>
    <cellStyle name="Remarque 6 4 4 2 3" xfId="15078" xr:uid="{00000000-0005-0000-0000-00003DE30000}"/>
    <cellStyle name="Remarque 6 4 4 2 4" xfId="39038" xr:uid="{00000000-0005-0000-0000-00003EE30000}"/>
    <cellStyle name="Remarque 6 4 4 3" xfId="5251" xr:uid="{00000000-0005-0000-0000-00003FE30000}"/>
    <cellStyle name="Remarque 6 4 4 3 2" xfId="29265" xr:uid="{00000000-0005-0000-0000-000040E30000}"/>
    <cellStyle name="Remarque 6 4 4 3 2 2" xfId="53225" xr:uid="{00000000-0005-0000-0000-000041E30000}"/>
    <cellStyle name="Remarque 6 4 4 3 3" xfId="16512" xr:uid="{00000000-0005-0000-0000-000042E30000}"/>
    <cellStyle name="Remarque 6 4 4 3 4" xfId="40472" xr:uid="{00000000-0005-0000-0000-000043E30000}"/>
    <cellStyle name="Remarque 6 4 4 4" xfId="6645" xr:uid="{00000000-0005-0000-0000-000044E30000}"/>
    <cellStyle name="Remarque 6 4 4 4 2" xfId="30659" xr:uid="{00000000-0005-0000-0000-000045E30000}"/>
    <cellStyle name="Remarque 6 4 4 4 2 2" xfId="54619" xr:uid="{00000000-0005-0000-0000-000046E30000}"/>
    <cellStyle name="Remarque 6 4 4 4 3" xfId="17906" xr:uid="{00000000-0005-0000-0000-000047E30000}"/>
    <cellStyle name="Remarque 6 4 4 4 4" xfId="41866" xr:uid="{00000000-0005-0000-0000-000048E30000}"/>
    <cellStyle name="Remarque 6 4 4 5" xfId="8033" xr:uid="{00000000-0005-0000-0000-000049E30000}"/>
    <cellStyle name="Remarque 6 4 4 5 2" xfId="32047" xr:uid="{00000000-0005-0000-0000-00004AE30000}"/>
    <cellStyle name="Remarque 6 4 4 5 2 2" xfId="56007" xr:uid="{00000000-0005-0000-0000-00004BE30000}"/>
    <cellStyle name="Remarque 6 4 4 5 3" xfId="19294" xr:uid="{00000000-0005-0000-0000-00004CE30000}"/>
    <cellStyle name="Remarque 6 4 4 5 4" xfId="43254" xr:uid="{00000000-0005-0000-0000-00004DE30000}"/>
    <cellStyle name="Remarque 6 4 4 6" xfId="9418" xr:uid="{00000000-0005-0000-0000-00004EE30000}"/>
    <cellStyle name="Remarque 6 4 4 6 2" xfId="33432" xr:uid="{00000000-0005-0000-0000-00004FE30000}"/>
    <cellStyle name="Remarque 6 4 4 6 2 2" xfId="57392" xr:uid="{00000000-0005-0000-0000-000050E30000}"/>
    <cellStyle name="Remarque 6 4 4 6 3" xfId="20679" xr:uid="{00000000-0005-0000-0000-000051E30000}"/>
    <cellStyle name="Remarque 6 4 4 6 4" xfId="44639" xr:uid="{00000000-0005-0000-0000-000052E30000}"/>
    <cellStyle name="Remarque 6 4 4 7" xfId="10875" xr:uid="{00000000-0005-0000-0000-000053E30000}"/>
    <cellStyle name="Remarque 6 4 4 7 2" xfId="34885" xr:uid="{00000000-0005-0000-0000-000054E30000}"/>
    <cellStyle name="Remarque 6 4 4 7 2 2" xfId="58845" xr:uid="{00000000-0005-0000-0000-000055E30000}"/>
    <cellStyle name="Remarque 6 4 4 7 3" xfId="22142" xr:uid="{00000000-0005-0000-0000-000056E30000}"/>
    <cellStyle name="Remarque 6 4 4 7 4" xfId="46102" xr:uid="{00000000-0005-0000-0000-000057E30000}"/>
    <cellStyle name="Remarque 6 4 4 8" xfId="12262" xr:uid="{00000000-0005-0000-0000-000058E30000}"/>
    <cellStyle name="Remarque 6 4 4 8 2" xfId="23548" xr:uid="{00000000-0005-0000-0000-000059E30000}"/>
    <cellStyle name="Remarque 6 4 4 8 3" xfId="47508" xr:uid="{00000000-0005-0000-0000-00005AE30000}"/>
    <cellStyle name="Remarque 6 4 4 9" xfId="2347" xr:uid="{00000000-0005-0000-0000-00005BE30000}"/>
    <cellStyle name="Remarque 6 4 4 9 2" xfId="26361" xr:uid="{00000000-0005-0000-0000-00005CE30000}"/>
    <cellStyle name="Remarque 6 4 4 9 3" xfId="50321" xr:uid="{00000000-0005-0000-0000-00005DE30000}"/>
    <cellStyle name="Remarque 6 4 5" xfId="1104" xr:uid="{00000000-0005-0000-0000-00005EE30000}"/>
    <cellStyle name="Remarque 6 4 5 10" xfId="25136" xr:uid="{00000000-0005-0000-0000-00005FE30000}"/>
    <cellStyle name="Remarque 6 4 5 10 2" xfId="49096" xr:uid="{00000000-0005-0000-0000-000060E30000}"/>
    <cellStyle name="Remarque 6 4 5 11" xfId="35852" xr:uid="{00000000-0005-0000-0000-000061E30000}"/>
    <cellStyle name="Remarque 6 4 5 11 2" xfId="59812" xr:uid="{00000000-0005-0000-0000-000062E30000}"/>
    <cellStyle name="Remarque 6 4 5 12" xfId="13801" xr:uid="{00000000-0005-0000-0000-000063E30000}"/>
    <cellStyle name="Remarque 6 4 5 13" xfId="37761" xr:uid="{00000000-0005-0000-0000-000064E30000}"/>
    <cellStyle name="Remarque 6 4 5 2" xfId="4010" xr:uid="{00000000-0005-0000-0000-000065E30000}"/>
    <cellStyle name="Remarque 6 4 5 2 2" xfId="28024" xr:uid="{00000000-0005-0000-0000-000066E30000}"/>
    <cellStyle name="Remarque 6 4 5 2 2 2" xfId="51984" xr:uid="{00000000-0005-0000-0000-000067E30000}"/>
    <cellStyle name="Remarque 6 4 5 2 3" xfId="15271" xr:uid="{00000000-0005-0000-0000-000068E30000}"/>
    <cellStyle name="Remarque 6 4 5 2 4" xfId="39231" xr:uid="{00000000-0005-0000-0000-000069E30000}"/>
    <cellStyle name="Remarque 6 4 5 3" xfId="5444" xr:uid="{00000000-0005-0000-0000-00006AE30000}"/>
    <cellStyle name="Remarque 6 4 5 3 2" xfId="29458" xr:uid="{00000000-0005-0000-0000-00006BE30000}"/>
    <cellStyle name="Remarque 6 4 5 3 2 2" xfId="53418" xr:uid="{00000000-0005-0000-0000-00006CE30000}"/>
    <cellStyle name="Remarque 6 4 5 3 3" xfId="16705" xr:uid="{00000000-0005-0000-0000-00006DE30000}"/>
    <cellStyle name="Remarque 6 4 5 3 4" xfId="40665" xr:uid="{00000000-0005-0000-0000-00006EE30000}"/>
    <cellStyle name="Remarque 6 4 5 4" xfId="6838" xr:uid="{00000000-0005-0000-0000-00006FE30000}"/>
    <cellStyle name="Remarque 6 4 5 4 2" xfId="30852" xr:uid="{00000000-0005-0000-0000-000070E30000}"/>
    <cellStyle name="Remarque 6 4 5 4 2 2" xfId="54812" xr:uid="{00000000-0005-0000-0000-000071E30000}"/>
    <cellStyle name="Remarque 6 4 5 4 3" xfId="18099" xr:uid="{00000000-0005-0000-0000-000072E30000}"/>
    <cellStyle name="Remarque 6 4 5 4 4" xfId="42059" xr:uid="{00000000-0005-0000-0000-000073E30000}"/>
    <cellStyle name="Remarque 6 4 5 5" xfId="8226" xr:uid="{00000000-0005-0000-0000-000074E30000}"/>
    <cellStyle name="Remarque 6 4 5 5 2" xfId="32240" xr:uid="{00000000-0005-0000-0000-000075E30000}"/>
    <cellStyle name="Remarque 6 4 5 5 2 2" xfId="56200" xr:uid="{00000000-0005-0000-0000-000076E30000}"/>
    <cellStyle name="Remarque 6 4 5 5 3" xfId="19487" xr:uid="{00000000-0005-0000-0000-000077E30000}"/>
    <cellStyle name="Remarque 6 4 5 5 4" xfId="43447" xr:uid="{00000000-0005-0000-0000-000078E30000}"/>
    <cellStyle name="Remarque 6 4 5 6" xfId="9611" xr:uid="{00000000-0005-0000-0000-000079E30000}"/>
    <cellStyle name="Remarque 6 4 5 6 2" xfId="33625" xr:uid="{00000000-0005-0000-0000-00007AE30000}"/>
    <cellStyle name="Remarque 6 4 5 6 2 2" xfId="57585" xr:uid="{00000000-0005-0000-0000-00007BE30000}"/>
    <cellStyle name="Remarque 6 4 5 6 3" xfId="20872" xr:uid="{00000000-0005-0000-0000-00007CE30000}"/>
    <cellStyle name="Remarque 6 4 5 6 4" xfId="44832" xr:uid="{00000000-0005-0000-0000-00007DE30000}"/>
    <cellStyle name="Remarque 6 4 5 7" xfId="11068" xr:uid="{00000000-0005-0000-0000-00007EE30000}"/>
    <cellStyle name="Remarque 6 4 5 7 2" xfId="35078" xr:uid="{00000000-0005-0000-0000-00007FE30000}"/>
    <cellStyle name="Remarque 6 4 5 7 2 2" xfId="59038" xr:uid="{00000000-0005-0000-0000-000080E30000}"/>
    <cellStyle name="Remarque 6 4 5 7 3" xfId="22335" xr:uid="{00000000-0005-0000-0000-000081E30000}"/>
    <cellStyle name="Remarque 6 4 5 7 4" xfId="46295" xr:uid="{00000000-0005-0000-0000-000082E30000}"/>
    <cellStyle name="Remarque 6 4 5 8" xfId="12292" xr:uid="{00000000-0005-0000-0000-000083E30000}"/>
    <cellStyle name="Remarque 6 4 5 8 2" xfId="23580" xr:uid="{00000000-0005-0000-0000-000084E30000}"/>
    <cellStyle name="Remarque 6 4 5 8 3" xfId="47540" xr:uid="{00000000-0005-0000-0000-000085E30000}"/>
    <cellStyle name="Remarque 6 4 5 9" xfId="2540" xr:uid="{00000000-0005-0000-0000-000086E30000}"/>
    <cellStyle name="Remarque 6 4 5 9 2" xfId="26554" xr:uid="{00000000-0005-0000-0000-000087E30000}"/>
    <cellStyle name="Remarque 6 4 5 9 3" xfId="50514" xr:uid="{00000000-0005-0000-0000-000088E30000}"/>
    <cellStyle name="Remarque 6 4 6" xfId="1271" xr:uid="{00000000-0005-0000-0000-000089E30000}"/>
    <cellStyle name="Remarque 6 4 6 10" xfId="25303" xr:uid="{00000000-0005-0000-0000-00008AE30000}"/>
    <cellStyle name="Remarque 6 4 6 10 2" xfId="49263" xr:uid="{00000000-0005-0000-0000-00008BE30000}"/>
    <cellStyle name="Remarque 6 4 6 11" xfId="36466" xr:uid="{00000000-0005-0000-0000-00008CE30000}"/>
    <cellStyle name="Remarque 6 4 6 11 2" xfId="60426" xr:uid="{00000000-0005-0000-0000-00008DE30000}"/>
    <cellStyle name="Remarque 6 4 6 12" xfId="13968" xr:uid="{00000000-0005-0000-0000-00008EE30000}"/>
    <cellStyle name="Remarque 6 4 6 13" xfId="37928" xr:uid="{00000000-0005-0000-0000-00008FE30000}"/>
    <cellStyle name="Remarque 6 4 6 2" xfId="4177" xr:uid="{00000000-0005-0000-0000-000090E30000}"/>
    <cellStyle name="Remarque 6 4 6 2 2" xfId="28191" xr:uid="{00000000-0005-0000-0000-000091E30000}"/>
    <cellStyle name="Remarque 6 4 6 2 2 2" xfId="52151" xr:uid="{00000000-0005-0000-0000-000092E30000}"/>
    <cellStyle name="Remarque 6 4 6 2 3" xfId="15438" xr:uid="{00000000-0005-0000-0000-000093E30000}"/>
    <cellStyle name="Remarque 6 4 6 2 4" xfId="39398" xr:uid="{00000000-0005-0000-0000-000094E30000}"/>
    <cellStyle name="Remarque 6 4 6 3" xfId="5611" xr:uid="{00000000-0005-0000-0000-000095E30000}"/>
    <cellStyle name="Remarque 6 4 6 3 2" xfId="29625" xr:uid="{00000000-0005-0000-0000-000096E30000}"/>
    <cellStyle name="Remarque 6 4 6 3 2 2" xfId="53585" xr:uid="{00000000-0005-0000-0000-000097E30000}"/>
    <cellStyle name="Remarque 6 4 6 3 3" xfId="16872" xr:uid="{00000000-0005-0000-0000-000098E30000}"/>
    <cellStyle name="Remarque 6 4 6 3 4" xfId="40832" xr:uid="{00000000-0005-0000-0000-000099E30000}"/>
    <cellStyle name="Remarque 6 4 6 4" xfId="7005" xr:uid="{00000000-0005-0000-0000-00009AE30000}"/>
    <cellStyle name="Remarque 6 4 6 4 2" xfId="31019" xr:uid="{00000000-0005-0000-0000-00009BE30000}"/>
    <cellStyle name="Remarque 6 4 6 4 2 2" xfId="54979" xr:uid="{00000000-0005-0000-0000-00009CE30000}"/>
    <cellStyle name="Remarque 6 4 6 4 3" xfId="18266" xr:uid="{00000000-0005-0000-0000-00009DE30000}"/>
    <cellStyle name="Remarque 6 4 6 4 4" xfId="42226" xr:uid="{00000000-0005-0000-0000-00009EE30000}"/>
    <cellStyle name="Remarque 6 4 6 5" xfId="8393" xr:uid="{00000000-0005-0000-0000-00009FE30000}"/>
    <cellStyle name="Remarque 6 4 6 5 2" xfId="32407" xr:uid="{00000000-0005-0000-0000-0000A0E30000}"/>
    <cellStyle name="Remarque 6 4 6 5 2 2" xfId="56367" xr:uid="{00000000-0005-0000-0000-0000A1E30000}"/>
    <cellStyle name="Remarque 6 4 6 5 3" xfId="19654" xr:uid="{00000000-0005-0000-0000-0000A2E30000}"/>
    <cellStyle name="Remarque 6 4 6 5 4" xfId="43614" xr:uid="{00000000-0005-0000-0000-0000A3E30000}"/>
    <cellStyle name="Remarque 6 4 6 6" xfId="9778" xr:uid="{00000000-0005-0000-0000-0000A4E30000}"/>
    <cellStyle name="Remarque 6 4 6 6 2" xfId="33792" xr:uid="{00000000-0005-0000-0000-0000A5E30000}"/>
    <cellStyle name="Remarque 6 4 6 6 2 2" xfId="57752" xr:uid="{00000000-0005-0000-0000-0000A6E30000}"/>
    <cellStyle name="Remarque 6 4 6 6 3" xfId="21039" xr:uid="{00000000-0005-0000-0000-0000A7E30000}"/>
    <cellStyle name="Remarque 6 4 6 6 4" xfId="44999" xr:uid="{00000000-0005-0000-0000-0000A8E30000}"/>
    <cellStyle name="Remarque 6 4 6 7" xfId="11235" xr:uid="{00000000-0005-0000-0000-0000A9E30000}"/>
    <cellStyle name="Remarque 6 4 6 7 2" xfId="35245" xr:uid="{00000000-0005-0000-0000-0000AAE30000}"/>
    <cellStyle name="Remarque 6 4 6 7 2 2" xfId="59205" xr:uid="{00000000-0005-0000-0000-0000ABE30000}"/>
    <cellStyle name="Remarque 6 4 6 7 3" xfId="22502" xr:uid="{00000000-0005-0000-0000-0000ACE30000}"/>
    <cellStyle name="Remarque 6 4 6 7 4" xfId="46462" xr:uid="{00000000-0005-0000-0000-0000ADE30000}"/>
    <cellStyle name="Remarque 6 4 6 8" xfId="12438" xr:uid="{00000000-0005-0000-0000-0000AEE30000}"/>
    <cellStyle name="Remarque 6 4 6 8 2" xfId="23730" xr:uid="{00000000-0005-0000-0000-0000AFE30000}"/>
    <cellStyle name="Remarque 6 4 6 8 3" xfId="47690" xr:uid="{00000000-0005-0000-0000-0000B0E30000}"/>
    <cellStyle name="Remarque 6 4 6 9" xfId="2707" xr:uid="{00000000-0005-0000-0000-0000B1E30000}"/>
    <cellStyle name="Remarque 6 4 6 9 2" xfId="26721" xr:uid="{00000000-0005-0000-0000-0000B2E30000}"/>
    <cellStyle name="Remarque 6 4 6 9 3" xfId="50681" xr:uid="{00000000-0005-0000-0000-0000B3E30000}"/>
    <cellStyle name="Remarque 6 4 7" xfId="1440" xr:uid="{00000000-0005-0000-0000-0000B4E30000}"/>
    <cellStyle name="Remarque 6 4 7 10" xfId="25472" xr:uid="{00000000-0005-0000-0000-0000B5E30000}"/>
    <cellStyle name="Remarque 6 4 7 10 2" xfId="49432" xr:uid="{00000000-0005-0000-0000-0000B6E30000}"/>
    <cellStyle name="Remarque 6 4 7 11" xfId="36303" xr:uid="{00000000-0005-0000-0000-0000B7E30000}"/>
    <cellStyle name="Remarque 6 4 7 11 2" xfId="60263" xr:uid="{00000000-0005-0000-0000-0000B8E30000}"/>
    <cellStyle name="Remarque 6 4 7 12" xfId="14137" xr:uid="{00000000-0005-0000-0000-0000B9E30000}"/>
    <cellStyle name="Remarque 6 4 7 13" xfId="38097" xr:uid="{00000000-0005-0000-0000-0000BAE30000}"/>
    <cellStyle name="Remarque 6 4 7 2" xfId="4346" xr:uid="{00000000-0005-0000-0000-0000BBE30000}"/>
    <cellStyle name="Remarque 6 4 7 2 2" xfId="28360" xr:uid="{00000000-0005-0000-0000-0000BCE30000}"/>
    <cellStyle name="Remarque 6 4 7 2 2 2" xfId="52320" xr:uid="{00000000-0005-0000-0000-0000BDE30000}"/>
    <cellStyle name="Remarque 6 4 7 2 3" xfId="15607" xr:uid="{00000000-0005-0000-0000-0000BEE30000}"/>
    <cellStyle name="Remarque 6 4 7 2 4" xfId="39567" xr:uid="{00000000-0005-0000-0000-0000BFE30000}"/>
    <cellStyle name="Remarque 6 4 7 3" xfId="5780" xr:uid="{00000000-0005-0000-0000-0000C0E30000}"/>
    <cellStyle name="Remarque 6 4 7 3 2" xfId="29794" xr:uid="{00000000-0005-0000-0000-0000C1E30000}"/>
    <cellStyle name="Remarque 6 4 7 3 2 2" xfId="53754" xr:uid="{00000000-0005-0000-0000-0000C2E30000}"/>
    <cellStyle name="Remarque 6 4 7 3 3" xfId="17041" xr:uid="{00000000-0005-0000-0000-0000C3E30000}"/>
    <cellStyle name="Remarque 6 4 7 3 4" xfId="41001" xr:uid="{00000000-0005-0000-0000-0000C4E30000}"/>
    <cellStyle name="Remarque 6 4 7 4" xfId="7174" xr:uid="{00000000-0005-0000-0000-0000C5E30000}"/>
    <cellStyle name="Remarque 6 4 7 4 2" xfId="31188" xr:uid="{00000000-0005-0000-0000-0000C6E30000}"/>
    <cellStyle name="Remarque 6 4 7 4 2 2" xfId="55148" xr:uid="{00000000-0005-0000-0000-0000C7E30000}"/>
    <cellStyle name="Remarque 6 4 7 4 3" xfId="18435" xr:uid="{00000000-0005-0000-0000-0000C8E30000}"/>
    <cellStyle name="Remarque 6 4 7 4 4" xfId="42395" xr:uid="{00000000-0005-0000-0000-0000C9E30000}"/>
    <cellStyle name="Remarque 6 4 7 5" xfId="8562" xr:uid="{00000000-0005-0000-0000-0000CAE30000}"/>
    <cellStyle name="Remarque 6 4 7 5 2" xfId="32576" xr:uid="{00000000-0005-0000-0000-0000CBE30000}"/>
    <cellStyle name="Remarque 6 4 7 5 2 2" xfId="56536" xr:uid="{00000000-0005-0000-0000-0000CCE30000}"/>
    <cellStyle name="Remarque 6 4 7 5 3" xfId="19823" xr:uid="{00000000-0005-0000-0000-0000CDE30000}"/>
    <cellStyle name="Remarque 6 4 7 5 4" xfId="43783" xr:uid="{00000000-0005-0000-0000-0000CEE30000}"/>
    <cellStyle name="Remarque 6 4 7 6" xfId="9947" xr:uid="{00000000-0005-0000-0000-0000CFE30000}"/>
    <cellStyle name="Remarque 6 4 7 6 2" xfId="33961" xr:uid="{00000000-0005-0000-0000-0000D0E30000}"/>
    <cellStyle name="Remarque 6 4 7 6 2 2" xfId="57921" xr:uid="{00000000-0005-0000-0000-0000D1E30000}"/>
    <cellStyle name="Remarque 6 4 7 6 3" xfId="21208" xr:uid="{00000000-0005-0000-0000-0000D2E30000}"/>
    <cellStyle name="Remarque 6 4 7 6 4" xfId="45168" xr:uid="{00000000-0005-0000-0000-0000D3E30000}"/>
    <cellStyle name="Remarque 6 4 7 7" xfId="11404" xr:uid="{00000000-0005-0000-0000-0000D4E30000}"/>
    <cellStyle name="Remarque 6 4 7 7 2" xfId="35414" xr:uid="{00000000-0005-0000-0000-0000D5E30000}"/>
    <cellStyle name="Remarque 6 4 7 7 2 2" xfId="59374" xr:uid="{00000000-0005-0000-0000-0000D6E30000}"/>
    <cellStyle name="Remarque 6 4 7 7 3" xfId="22671" xr:uid="{00000000-0005-0000-0000-0000D7E30000}"/>
    <cellStyle name="Remarque 6 4 7 7 4" xfId="46631" xr:uid="{00000000-0005-0000-0000-0000D8E30000}"/>
    <cellStyle name="Remarque 6 4 7 8" xfId="12843" xr:uid="{00000000-0005-0000-0000-0000D9E30000}"/>
    <cellStyle name="Remarque 6 4 7 8 2" xfId="24155" xr:uid="{00000000-0005-0000-0000-0000DAE30000}"/>
    <cellStyle name="Remarque 6 4 7 8 3" xfId="48115" xr:uid="{00000000-0005-0000-0000-0000DBE30000}"/>
    <cellStyle name="Remarque 6 4 7 9" xfId="2876" xr:uid="{00000000-0005-0000-0000-0000DCE30000}"/>
    <cellStyle name="Remarque 6 4 7 9 2" xfId="26890" xr:uid="{00000000-0005-0000-0000-0000DDE30000}"/>
    <cellStyle name="Remarque 6 4 7 9 3" xfId="50850" xr:uid="{00000000-0005-0000-0000-0000DEE30000}"/>
    <cellStyle name="Remarque 6 4 8" xfId="3295" xr:uid="{00000000-0005-0000-0000-0000DFE30000}"/>
    <cellStyle name="Remarque 6 4 8 2" xfId="27309" xr:uid="{00000000-0005-0000-0000-0000E0E30000}"/>
    <cellStyle name="Remarque 6 4 8 2 2" xfId="51269" xr:uid="{00000000-0005-0000-0000-0000E1E30000}"/>
    <cellStyle name="Remarque 6 4 8 3" xfId="14556" xr:uid="{00000000-0005-0000-0000-0000E2E30000}"/>
    <cellStyle name="Remarque 6 4 8 4" xfId="38516" xr:uid="{00000000-0005-0000-0000-0000E3E30000}"/>
    <cellStyle name="Remarque 6 4 9" xfId="4729" xr:uid="{00000000-0005-0000-0000-0000E4E30000}"/>
    <cellStyle name="Remarque 6 4 9 2" xfId="28743" xr:uid="{00000000-0005-0000-0000-0000E5E30000}"/>
    <cellStyle name="Remarque 6 4 9 2 2" xfId="52703" xr:uid="{00000000-0005-0000-0000-0000E6E30000}"/>
    <cellStyle name="Remarque 6 4 9 3" xfId="15990" xr:uid="{00000000-0005-0000-0000-0000E7E30000}"/>
    <cellStyle name="Remarque 6 4 9 4" xfId="39950" xr:uid="{00000000-0005-0000-0000-0000E8E30000}"/>
    <cellStyle name="Remarque 6 5" xfId="369" xr:uid="{00000000-0005-0000-0000-0000E9E30000}"/>
    <cellStyle name="Remarque 6 5 10" xfId="6103" xr:uid="{00000000-0005-0000-0000-0000EAE30000}"/>
    <cellStyle name="Remarque 6 5 10 2" xfId="30117" xr:uid="{00000000-0005-0000-0000-0000EBE30000}"/>
    <cellStyle name="Remarque 6 5 10 2 2" xfId="54077" xr:uid="{00000000-0005-0000-0000-0000ECE30000}"/>
    <cellStyle name="Remarque 6 5 10 3" xfId="17364" xr:uid="{00000000-0005-0000-0000-0000EDE30000}"/>
    <cellStyle name="Remarque 6 5 10 4" xfId="41324" xr:uid="{00000000-0005-0000-0000-0000EEE30000}"/>
    <cellStyle name="Remarque 6 5 11" xfId="7491" xr:uid="{00000000-0005-0000-0000-0000EFE30000}"/>
    <cellStyle name="Remarque 6 5 11 2" xfId="31505" xr:uid="{00000000-0005-0000-0000-0000F0E30000}"/>
    <cellStyle name="Remarque 6 5 11 2 2" xfId="55465" xr:uid="{00000000-0005-0000-0000-0000F1E30000}"/>
    <cellStyle name="Remarque 6 5 11 3" xfId="18752" xr:uid="{00000000-0005-0000-0000-0000F2E30000}"/>
    <cellStyle name="Remarque 6 5 11 4" xfId="42712" xr:uid="{00000000-0005-0000-0000-0000F3E30000}"/>
    <cellStyle name="Remarque 6 5 12" xfId="8876" xr:uid="{00000000-0005-0000-0000-0000F4E30000}"/>
    <cellStyle name="Remarque 6 5 12 2" xfId="32890" xr:uid="{00000000-0005-0000-0000-0000F5E30000}"/>
    <cellStyle name="Remarque 6 5 12 2 2" xfId="56850" xr:uid="{00000000-0005-0000-0000-0000F6E30000}"/>
    <cellStyle name="Remarque 6 5 12 3" xfId="20137" xr:uid="{00000000-0005-0000-0000-0000F7E30000}"/>
    <cellStyle name="Remarque 6 5 12 4" xfId="44097" xr:uid="{00000000-0005-0000-0000-0000F8E30000}"/>
    <cellStyle name="Remarque 6 5 13" xfId="10333" xr:uid="{00000000-0005-0000-0000-0000F9E30000}"/>
    <cellStyle name="Remarque 6 5 13 2" xfId="34343" xr:uid="{00000000-0005-0000-0000-0000FAE30000}"/>
    <cellStyle name="Remarque 6 5 13 2 2" xfId="58303" xr:uid="{00000000-0005-0000-0000-0000FBE30000}"/>
    <cellStyle name="Remarque 6 5 13 3" xfId="21600" xr:uid="{00000000-0005-0000-0000-0000FCE30000}"/>
    <cellStyle name="Remarque 6 5 13 4" xfId="45560" xr:uid="{00000000-0005-0000-0000-0000FDE30000}"/>
    <cellStyle name="Remarque 6 5 14" xfId="12248" xr:uid="{00000000-0005-0000-0000-0000FEE30000}"/>
    <cellStyle name="Remarque 6 5 14 2" xfId="23533" xr:uid="{00000000-0005-0000-0000-0000FFE30000}"/>
    <cellStyle name="Remarque 6 5 14 3" xfId="47493" xr:uid="{00000000-0005-0000-0000-000000E40000}"/>
    <cellStyle name="Remarque 6 5 15" xfId="1805" xr:uid="{00000000-0005-0000-0000-000001E40000}"/>
    <cellStyle name="Remarque 6 5 15 2" xfId="25819" xr:uid="{00000000-0005-0000-0000-000002E40000}"/>
    <cellStyle name="Remarque 6 5 15 3" xfId="49779" xr:uid="{00000000-0005-0000-0000-000003E40000}"/>
    <cellStyle name="Remarque 6 5 16" xfId="24401" xr:uid="{00000000-0005-0000-0000-000004E40000}"/>
    <cellStyle name="Remarque 6 5 16 2" xfId="48361" xr:uid="{00000000-0005-0000-0000-000005E40000}"/>
    <cellStyle name="Remarque 6 5 17" xfId="35718" xr:uid="{00000000-0005-0000-0000-000006E40000}"/>
    <cellStyle name="Remarque 6 5 17 2" xfId="59678" xr:uid="{00000000-0005-0000-0000-000007E40000}"/>
    <cellStyle name="Remarque 6 5 18" xfId="13066" xr:uid="{00000000-0005-0000-0000-000008E40000}"/>
    <cellStyle name="Remarque 6 5 19" xfId="37026" xr:uid="{00000000-0005-0000-0000-000009E40000}"/>
    <cellStyle name="Remarque 6 5 2" xfId="505" xr:uid="{00000000-0005-0000-0000-00000AE40000}"/>
    <cellStyle name="Remarque 6 5 2 10" xfId="24537" xr:uid="{00000000-0005-0000-0000-00000BE40000}"/>
    <cellStyle name="Remarque 6 5 2 10 2" xfId="48497" xr:uid="{00000000-0005-0000-0000-00000CE40000}"/>
    <cellStyle name="Remarque 6 5 2 11" xfId="36383" xr:uid="{00000000-0005-0000-0000-00000DE40000}"/>
    <cellStyle name="Remarque 6 5 2 11 2" xfId="60343" xr:uid="{00000000-0005-0000-0000-00000EE40000}"/>
    <cellStyle name="Remarque 6 5 2 12" xfId="13202" xr:uid="{00000000-0005-0000-0000-00000FE40000}"/>
    <cellStyle name="Remarque 6 5 2 13" xfId="37162" xr:uid="{00000000-0005-0000-0000-000010E40000}"/>
    <cellStyle name="Remarque 6 5 2 2" xfId="3411" xr:uid="{00000000-0005-0000-0000-000011E40000}"/>
    <cellStyle name="Remarque 6 5 2 2 2" xfId="27425" xr:uid="{00000000-0005-0000-0000-000012E40000}"/>
    <cellStyle name="Remarque 6 5 2 2 2 2" xfId="51385" xr:uid="{00000000-0005-0000-0000-000013E40000}"/>
    <cellStyle name="Remarque 6 5 2 2 3" xfId="14672" xr:uid="{00000000-0005-0000-0000-000014E40000}"/>
    <cellStyle name="Remarque 6 5 2 2 4" xfId="38632" xr:uid="{00000000-0005-0000-0000-000015E40000}"/>
    <cellStyle name="Remarque 6 5 2 3" xfId="4845" xr:uid="{00000000-0005-0000-0000-000016E40000}"/>
    <cellStyle name="Remarque 6 5 2 3 2" xfId="28859" xr:uid="{00000000-0005-0000-0000-000017E40000}"/>
    <cellStyle name="Remarque 6 5 2 3 2 2" xfId="52819" xr:uid="{00000000-0005-0000-0000-000018E40000}"/>
    <cellStyle name="Remarque 6 5 2 3 3" xfId="16106" xr:uid="{00000000-0005-0000-0000-000019E40000}"/>
    <cellStyle name="Remarque 6 5 2 3 4" xfId="40066" xr:uid="{00000000-0005-0000-0000-00001AE40000}"/>
    <cellStyle name="Remarque 6 5 2 4" xfId="6239" xr:uid="{00000000-0005-0000-0000-00001BE40000}"/>
    <cellStyle name="Remarque 6 5 2 4 2" xfId="30253" xr:uid="{00000000-0005-0000-0000-00001CE40000}"/>
    <cellStyle name="Remarque 6 5 2 4 2 2" xfId="54213" xr:uid="{00000000-0005-0000-0000-00001DE40000}"/>
    <cellStyle name="Remarque 6 5 2 4 3" xfId="17500" xr:uid="{00000000-0005-0000-0000-00001EE40000}"/>
    <cellStyle name="Remarque 6 5 2 4 4" xfId="41460" xr:uid="{00000000-0005-0000-0000-00001FE40000}"/>
    <cellStyle name="Remarque 6 5 2 5" xfId="7627" xr:uid="{00000000-0005-0000-0000-000020E40000}"/>
    <cellStyle name="Remarque 6 5 2 5 2" xfId="31641" xr:uid="{00000000-0005-0000-0000-000021E40000}"/>
    <cellStyle name="Remarque 6 5 2 5 2 2" xfId="55601" xr:uid="{00000000-0005-0000-0000-000022E40000}"/>
    <cellStyle name="Remarque 6 5 2 5 3" xfId="18888" xr:uid="{00000000-0005-0000-0000-000023E40000}"/>
    <cellStyle name="Remarque 6 5 2 5 4" xfId="42848" xr:uid="{00000000-0005-0000-0000-000024E40000}"/>
    <cellStyle name="Remarque 6 5 2 6" xfId="9012" xr:uid="{00000000-0005-0000-0000-000025E40000}"/>
    <cellStyle name="Remarque 6 5 2 6 2" xfId="33026" xr:uid="{00000000-0005-0000-0000-000026E40000}"/>
    <cellStyle name="Remarque 6 5 2 6 2 2" xfId="56986" xr:uid="{00000000-0005-0000-0000-000027E40000}"/>
    <cellStyle name="Remarque 6 5 2 6 3" xfId="20273" xr:uid="{00000000-0005-0000-0000-000028E40000}"/>
    <cellStyle name="Remarque 6 5 2 6 4" xfId="44233" xr:uid="{00000000-0005-0000-0000-000029E40000}"/>
    <cellStyle name="Remarque 6 5 2 7" xfId="10469" xr:uid="{00000000-0005-0000-0000-00002AE40000}"/>
    <cellStyle name="Remarque 6 5 2 7 2" xfId="34479" xr:uid="{00000000-0005-0000-0000-00002BE40000}"/>
    <cellStyle name="Remarque 6 5 2 7 2 2" xfId="58439" xr:uid="{00000000-0005-0000-0000-00002CE40000}"/>
    <cellStyle name="Remarque 6 5 2 7 3" xfId="21736" xr:uid="{00000000-0005-0000-0000-00002DE40000}"/>
    <cellStyle name="Remarque 6 5 2 7 4" xfId="45696" xr:uid="{00000000-0005-0000-0000-00002EE40000}"/>
    <cellStyle name="Remarque 6 5 2 8" xfId="12731" xr:uid="{00000000-0005-0000-0000-00002FE40000}"/>
    <cellStyle name="Remarque 6 5 2 8 2" xfId="24037" xr:uid="{00000000-0005-0000-0000-000030E40000}"/>
    <cellStyle name="Remarque 6 5 2 8 3" xfId="47997" xr:uid="{00000000-0005-0000-0000-000031E40000}"/>
    <cellStyle name="Remarque 6 5 2 9" xfId="1941" xr:uid="{00000000-0005-0000-0000-000032E40000}"/>
    <cellStyle name="Remarque 6 5 2 9 2" xfId="25955" xr:uid="{00000000-0005-0000-0000-000033E40000}"/>
    <cellStyle name="Remarque 6 5 2 9 3" xfId="49915" xr:uid="{00000000-0005-0000-0000-000034E40000}"/>
    <cellStyle name="Remarque 6 5 3" xfId="697" xr:uid="{00000000-0005-0000-0000-000035E40000}"/>
    <cellStyle name="Remarque 6 5 3 10" xfId="24729" xr:uid="{00000000-0005-0000-0000-000036E40000}"/>
    <cellStyle name="Remarque 6 5 3 10 2" xfId="48689" xr:uid="{00000000-0005-0000-0000-000037E40000}"/>
    <cellStyle name="Remarque 6 5 3 11" xfId="36331" xr:uid="{00000000-0005-0000-0000-000038E40000}"/>
    <cellStyle name="Remarque 6 5 3 11 2" xfId="60291" xr:uid="{00000000-0005-0000-0000-000039E40000}"/>
    <cellStyle name="Remarque 6 5 3 12" xfId="13394" xr:uid="{00000000-0005-0000-0000-00003AE40000}"/>
    <cellStyle name="Remarque 6 5 3 13" xfId="37354" xr:uid="{00000000-0005-0000-0000-00003BE40000}"/>
    <cellStyle name="Remarque 6 5 3 2" xfId="3603" xr:uid="{00000000-0005-0000-0000-00003CE40000}"/>
    <cellStyle name="Remarque 6 5 3 2 2" xfId="27617" xr:uid="{00000000-0005-0000-0000-00003DE40000}"/>
    <cellStyle name="Remarque 6 5 3 2 2 2" xfId="51577" xr:uid="{00000000-0005-0000-0000-00003EE40000}"/>
    <cellStyle name="Remarque 6 5 3 2 3" xfId="14864" xr:uid="{00000000-0005-0000-0000-00003FE40000}"/>
    <cellStyle name="Remarque 6 5 3 2 4" xfId="38824" xr:uid="{00000000-0005-0000-0000-000040E40000}"/>
    <cellStyle name="Remarque 6 5 3 3" xfId="5037" xr:uid="{00000000-0005-0000-0000-000041E40000}"/>
    <cellStyle name="Remarque 6 5 3 3 2" xfId="29051" xr:uid="{00000000-0005-0000-0000-000042E40000}"/>
    <cellStyle name="Remarque 6 5 3 3 2 2" xfId="53011" xr:uid="{00000000-0005-0000-0000-000043E40000}"/>
    <cellStyle name="Remarque 6 5 3 3 3" xfId="16298" xr:uid="{00000000-0005-0000-0000-000044E40000}"/>
    <cellStyle name="Remarque 6 5 3 3 4" xfId="40258" xr:uid="{00000000-0005-0000-0000-000045E40000}"/>
    <cellStyle name="Remarque 6 5 3 4" xfId="6431" xr:uid="{00000000-0005-0000-0000-000046E40000}"/>
    <cellStyle name="Remarque 6 5 3 4 2" xfId="30445" xr:uid="{00000000-0005-0000-0000-000047E40000}"/>
    <cellStyle name="Remarque 6 5 3 4 2 2" xfId="54405" xr:uid="{00000000-0005-0000-0000-000048E40000}"/>
    <cellStyle name="Remarque 6 5 3 4 3" xfId="17692" xr:uid="{00000000-0005-0000-0000-000049E40000}"/>
    <cellStyle name="Remarque 6 5 3 4 4" xfId="41652" xr:uid="{00000000-0005-0000-0000-00004AE40000}"/>
    <cellStyle name="Remarque 6 5 3 5" xfId="7819" xr:uid="{00000000-0005-0000-0000-00004BE40000}"/>
    <cellStyle name="Remarque 6 5 3 5 2" xfId="31833" xr:uid="{00000000-0005-0000-0000-00004CE40000}"/>
    <cellStyle name="Remarque 6 5 3 5 2 2" xfId="55793" xr:uid="{00000000-0005-0000-0000-00004DE40000}"/>
    <cellStyle name="Remarque 6 5 3 5 3" xfId="19080" xr:uid="{00000000-0005-0000-0000-00004EE40000}"/>
    <cellStyle name="Remarque 6 5 3 5 4" xfId="43040" xr:uid="{00000000-0005-0000-0000-00004FE40000}"/>
    <cellStyle name="Remarque 6 5 3 6" xfId="9204" xr:uid="{00000000-0005-0000-0000-000050E40000}"/>
    <cellStyle name="Remarque 6 5 3 6 2" xfId="33218" xr:uid="{00000000-0005-0000-0000-000051E40000}"/>
    <cellStyle name="Remarque 6 5 3 6 2 2" xfId="57178" xr:uid="{00000000-0005-0000-0000-000052E40000}"/>
    <cellStyle name="Remarque 6 5 3 6 3" xfId="20465" xr:uid="{00000000-0005-0000-0000-000053E40000}"/>
    <cellStyle name="Remarque 6 5 3 6 4" xfId="44425" xr:uid="{00000000-0005-0000-0000-000054E40000}"/>
    <cellStyle name="Remarque 6 5 3 7" xfId="10661" xr:uid="{00000000-0005-0000-0000-000055E40000}"/>
    <cellStyle name="Remarque 6 5 3 7 2" xfId="34671" xr:uid="{00000000-0005-0000-0000-000056E40000}"/>
    <cellStyle name="Remarque 6 5 3 7 2 2" xfId="58631" xr:uid="{00000000-0005-0000-0000-000057E40000}"/>
    <cellStyle name="Remarque 6 5 3 7 3" xfId="21928" xr:uid="{00000000-0005-0000-0000-000058E40000}"/>
    <cellStyle name="Remarque 6 5 3 7 4" xfId="45888" xr:uid="{00000000-0005-0000-0000-000059E40000}"/>
    <cellStyle name="Remarque 6 5 3 8" xfId="12153" xr:uid="{00000000-0005-0000-0000-00005AE40000}"/>
    <cellStyle name="Remarque 6 5 3 8 2" xfId="23436" xr:uid="{00000000-0005-0000-0000-00005BE40000}"/>
    <cellStyle name="Remarque 6 5 3 8 3" xfId="47396" xr:uid="{00000000-0005-0000-0000-00005CE40000}"/>
    <cellStyle name="Remarque 6 5 3 9" xfId="2133" xr:uid="{00000000-0005-0000-0000-00005DE40000}"/>
    <cellStyle name="Remarque 6 5 3 9 2" xfId="26147" xr:uid="{00000000-0005-0000-0000-00005EE40000}"/>
    <cellStyle name="Remarque 6 5 3 9 3" xfId="50107" xr:uid="{00000000-0005-0000-0000-00005FE40000}"/>
    <cellStyle name="Remarque 6 5 4" xfId="891" xr:uid="{00000000-0005-0000-0000-000060E40000}"/>
    <cellStyle name="Remarque 6 5 4 10" xfId="24923" xr:uid="{00000000-0005-0000-0000-000061E40000}"/>
    <cellStyle name="Remarque 6 5 4 10 2" xfId="48883" xr:uid="{00000000-0005-0000-0000-000062E40000}"/>
    <cellStyle name="Remarque 6 5 4 11" xfId="35909" xr:uid="{00000000-0005-0000-0000-000063E40000}"/>
    <cellStyle name="Remarque 6 5 4 11 2" xfId="59869" xr:uid="{00000000-0005-0000-0000-000064E40000}"/>
    <cellStyle name="Remarque 6 5 4 12" xfId="13588" xr:uid="{00000000-0005-0000-0000-000065E40000}"/>
    <cellStyle name="Remarque 6 5 4 13" xfId="37548" xr:uid="{00000000-0005-0000-0000-000066E40000}"/>
    <cellStyle name="Remarque 6 5 4 2" xfId="3797" xr:uid="{00000000-0005-0000-0000-000067E40000}"/>
    <cellStyle name="Remarque 6 5 4 2 2" xfId="27811" xr:uid="{00000000-0005-0000-0000-000068E40000}"/>
    <cellStyle name="Remarque 6 5 4 2 2 2" xfId="51771" xr:uid="{00000000-0005-0000-0000-000069E40000}"/>
    <cellStyle name="Remarque 6 5 4 2 3" xfId="15058" xr:uid="{00000000-0005-0000-0000-00006AE40000}"/>
    <cellStyle name="Remarque 6 5 4 2 4" xfId="39018" xr:uid="{00000000-0005-0000-0000-00006BE40000}"/>
    <cellStyle name="Remarque 6 5 4 3" xfId="5231" xr:uid="{00000000-0005-0000-0000-00006CE40000}"/>
    <cellStyle name="Remarque 6 5 4 3 2" xfId="29245" xr:uid="{00000000-0005-0000-0000-00006DE40000}"/>
    <cellStyle name="Remarque 6 5 4 3 2 2" xfId="53205" xr:uid="{00000000-0005-0000-0000-00006EE40000}"/>
    <cellStyle name="Remarque 6 5 4 3 3" xfId="16492" xr:uid="{00000000-0005-0000-0000-00006FE40000}"/>
    <cellStyle name="Remarque 6 5 4 3 4" xfId="40452" xr:uid="{00000000-0005-0000-0000-000070E40000}"/>
    <cellStyle name="Remarque 6 5 4 4" xfId="6625" xr:uid="{00000000-0005-0000-0000-000071E40000}"/>
    <cellStyle name="Remarque 6 5 4 4 2" xfId="30639" xr:uid="{00000000-0005-0000-0000-000072E40000}"/>
    <cellStyle name="Remarque 6 5 4 4 2 2" xfId="54599" xr:uid="{00000000-0005-0000-0000-000073E40000}"/>
    <cellStyle name="Remarque 6 5 4 4 3" xfId="17886" xr:uid="{00000000-0005-0000-0000-000074E40000}"/>
    <cellStyle name="Remarque 6 5 4 4 4" xfId="41846" xr:uid="{00000000-0005-0000-0000-000075E40000}"/>
    <cellStyle name="Remarque 6 5 4 5" xfId="8013" xr:uid="{00000000-0005-0000-0000-000076E40000}"/>
    <cellStyle name="Remarque 6 5 4 5 2" xfId="32027" xr:uid="{00000000-0005-0000-0000-000077E40000}"/>
    <cellStyle name="Remarque 6 5 4 5 2 2" xfId="55987" xr:uid="{00000000-0005-0000-0000-000078E40000}"/>
    <cellStyle name="Remarque 6 5 4 5 3" xfId="19274" xr:uid="{00000000-0005-0000-0000-000079E40000}"/>
    <cellStyle name="Remarque 6 5 4 5 4" xfId="43234" xr:uid="{00000000-0005-0000-0000-00007AE40000}"/>
    <cellStyle name="Remarque 6 5 4 6" xfId="9398" xr:uid="{00000000-0005-0000-0000-00007BE40000}"/>
    <cellStyle name="Remarque 6 5 4 6 2" xfId="33412" xr:uid="{00000000-0005-0000-0000-00007CE40000}"/>
    <cellStyle name="Remarque 6 5 4 6 2 2" xfId="57372" xr:uid="{00000000-0005-0000-0000-00007DE40000}"/>
    <cellStyle name="Remarque 6 5 4 6 3" xfId="20659" xr:uid="{00000000-0005-0000-0000-00007EE40000}"/>
    <cellStyle name="Remarque 6 5 4 6 4" xfId="44619" xr:uid="{00000000-0005-0000-0000-00007FE40000}"/>
    <cellStyle name="Remarque 6 5 4 7" xfId="10855" xr:uid="{00000000-0005-0000-0000-000080E40000}"/>
    <cellStyle name="Remarque 6 5 4 7 2" xfId="34865" xr:uid="{00000000-0005-0000-0000-000081E40000}"/>
    <cellStyle name="Remarque 6 5 4 7 2 2" xfId="58825" xr:uid="{00000000-0005-0000-0000-000082E40000}"/>
    <cellStyle name="Remarque 6 5 4 7 3" xfId="22122" xr:uid="{00000000-0005-0000-0000-000083E40000}"/>
    <cellStyle name="Remarque 6 5 4 7 4" xfId="46082" xr:uid="{00000000-0005-0000-0000-000084E40000}"/>
    <cellStyle name="Remarque 6 5 4 8" xfId="12321" xr:uid="{00000000-0005-0000-0000-000085E40000}"/>
    <cellStyle name="Remarque 6 5 4 8 2" xfId="23609" xr:uid="{00000000-0005-0000-0000-000086E40000}"/>
    <cellStyle name="Remarque 6 5 4 8 3" xfId="47569" xr:uid="{00000000-0005-0000-0000-000087E40000}"/>
    <cellStyle name="Remarque 6 5 4 9" xfId="2327" xr:uid="{00000000-0005-0000-0000-000088E40000}"/>
    <cellStyle name="Remarque 6 5 4 9 2" xfId="26341" xr:uid="{00000000-0005-0000-0000-000089E40000}"/>
    <cellStyle name="Remarque 6 5 4 9 3" xfId="50301" xr:uid="{00000000-0005-0000-0000-00008AE40000}"/>
    <cellStyle name="Remarque 6 5 5" xfId="1084" xr:uid="{00000000-0005-0000-0000-00008BE40000}"/>
    <cellStyle name="Remarque 6 5 5 10" xfId="25116" xr:uid="{00000000-0005-0000-0000-00008CE40000}"/>
    <cellStyle name="Remarque 6 5 5 10 2" xfId="49076" xr:uid="{00000000-0005-0000-0000-00008DE40000}"/>
    <cellStyle name="Remarque 6 5 5 11" xfId="35758" xr:uid="{00000000-0005-0000-0000-00008EE40000}"/>
    <cellStyle name="Remarque 6 5 5 11 2" xfId="59718" xr:uid="{00000000-0005-0000-0000-00008FE40000}"/>
    <cellStyle name="Remarque 6 5 5 12" xfId="13781" xr:uid="{00000000-0005-0000-0000-000090E40000}"/>
    <cellStyle name="Remarque 6 5 5 13" xfId="37741" xr:uid="{00000000-0005-0000-0000-000091E40000}"/>
    <cellStyle name="Remarque 6 5 5 2" xfId="3990" xr:uid="{00000000-0005-0000-0000-000092E40000}"/>
    <cellStyle name="Remarque 6 5 5 2 2" xfId="28004" xr:uid="{00000000-0005-0000-0000-000093E40000}"/>
    <cellStyle name="Remarque 6 5 5 2 2 2" xfId="51964" xr:uid="{00000000-0005-0000-0000-000094E40000}"/>
    <cellStyle name="Remarque 6 5 5 2 3" xfId="15251" xr:uid="{00000000-0005-0000-0000-000095E40000}"/>
    <cellStyle name="Remarque 6 5 5 2 4" xfId="39211" xr:uid="{00000000-0005-0000-0000-000096E40000}"/>
    <cellStyle name="Remarque 6 5 5 3" xfId="5424" xr:uid="{00000000-0005-0000-0000-000097E40000}"/>
    <cellStyle name="Remarque 6 5 5 3 2" xfId="29438" xr:uid="{00000000-0005-0000-0000-000098E40000}"/>
    <cellStyle name="Remarque 6 5 5 3 2 2" xfId="53398" xr:uid="{00000000-0005-0000-0000-000099E40000}"/>
    <cellStyle name="Remarque 6 5 5 3 3" xfId="16685" xr:uid="{00000000-0005-0000-0000-00009AE40000}"/>
    <cellStyle name="Remarque 6 5 5 3 4" xfId="40645" xr:uid="{00000000-0005-0000-0000-00009BE40000}"/>
    <cellStyle name="Remarque 6 5 5 4" xfId="6818" xr:uid="{00000000-0005-0000-0000-00009CE40000}"/>
    <cellStyle name="Remarque 6 5 5 4 2" xfId="30832" xr:uid="{00000000-0005-0000-0000-00009DE40000}"/>
    <cellStyle name="Remarque 6 5 5 4 2 2" xfId="54792" xr:uid="{00000000-0005-0000-0000-00009EE40000}"/>
    <cellStyle name="Remarque 6 5 5 4 3" xfId="18079" xr:uid="{00000000-0005-0000-0000-00009FE40000}"/>
    <cellStyle name="Remarque 6 5 5 4 4" xfId="42039" xr:uid="{00000000-0005-0000-0000-0000A0E40000}"/>
    <cellStyle name="Remarque 6 5 5 5" xfId="8206" xr:uid="{00000000-0005-0000-0000-0000A1E40000}"/>
    <cellStyle name="Remarque 6 5 5 5 2" xfId="32220" xr:uid="{00000000-0005-0000-0000-0000A2E40000}"/>
    <cellStyle name="Remarque 6 5 5 5 2 2" xfId="56180" xr:uid="{00000000-0005-0000-0000-0000A3E40000}"/>
    <cellStyle name="Remarque 6 5 5 5 3" xfId="19467" xr:uid="{00000000-0005-0000-0000-0000A4E40000}"/>
    <cellStyle name="Remarque 6 5 5 5 4" xfId="43427" xr:uid="{00000000-0005-0000-0000-0000A5E40000}"/>
    <cellStyle name="Remarque 6 5 5 6" xfId="9591" xr:uid="{00000000-0005-0000-0000-0000A6E40000}"/>
    <cellStyle name="Remarque 6 5 5 6 2" xfId="33605" xr:uid="{00000000-0005-0000-0000-0000A7E40000}"/>
    <cellStyle name="Remarque 6 5 5 6 2 2" xfId="57565" xr:uid="{00000000-0005-0000-0000-0000A8E40000}"/>
    <cellStyle name="Remarque 6 5 5 6 3" xfId="20852" xr:uid="{00000000-0005-0000-0000-0000A9E40000}"/>
    <cellStyle name="Remarque 6 5 5 6 4" xfId="44812" xr:uid="{00000000-0005-0000-0000-0000AAE40000}"/>
    <cellStyle name="Remarque 6 5 5 7" xfId="11048" xr:uid="{00000000-0005-0000-0000-0000ABE40000}"/>
    <cellStyle name="Remarque 6 5 5 7 2" xfId="35058" xr:uid="{00000000-0005-0000-0000-0000ACE40000}"/>
    <cellStyle name="Remarque 6 5 5 7 2 2" xfId="59018" xr:uid="{00000000-0005-0000-0000-0000ADE40000}"/>
    <cellStyle name="Remarque 6 5 5 7 3" xfId="22315" xr:uid="{00000000-0005-0000-0000-0000AEE40000}"/>
    <cellStyle name="Remarque 6 5 5 7 4" xfId="46275" xr:uid="{00000000-0005-0000-0000-0000AFE40000}"/>
    <cellStyle name="Remarque 6 5 5 8" xfId="12120" xr:uid="{00000000-0005-0000-0000-0000B0E40000}"/>
    <cellStyle name="Remarque 6 5 5 8 2" xfId="23403" xr:uid="{00000000-0005-0000-0000-0000B1E40000}"/>
    <cellStyle name="Remarque 6 5 5 8 3" xfId="47363" xr:uid="{00000000-0005-0000-0000-0000B2E40000}"/>
    <cellStyle name="Remarque 6 5 5 9" xfId="2520" xr:uid="{00000000-0005-0000-0000-0000B3E40000}"/>
    <cellStyle name="Remarque 6 5 5 9 2" xfId="26534" xr:uid="{00000000-0005-0000-0000-0000B4E40000}"/>
    <cellStyle name="Remarque 6 5 5 9 3" xfId="50494" xr:uid="{00000000-0005-0000-0000-0000B5E40000}"/>
    <cellStyle name="Remarque 6 5 6" xfId="1251" xr:uid="{00000000-0005-0000-0000-0000B6E40000}"/>
    <cellStyle name="Remarque 6 5 6 10" xfId="25283" xr:uid="{00000000-0005-0000-0000-0000B7E40000}"/>
    <cellStyle name="Remarque 6 5 6 10 2" xfId="49243" xr:uid="{00000000-0005-0000-0000-0000B8E40000}"/>
    <cellStyle name="Remarque 6 5 6 11" xfId="36507" xr:uid="{00000000-0005-0000-0000-0000B9E40000}"/>
    <cellStyle name="Remarque 6 5 6 11 2" xfId="60467" xr:uid="{00000000-0005-0000-0000-0000BAE40000}"/>
    <cellStyle name="Remarque 6 5 6 12" xfId="13948" xr:uid="{00000000-0005-0000-0000-0000BBE40000}"/>
    <cellStyle name="Remarque 6 5 6 13" xfId="37908" xr:uid="{00000000-0005-0000-0000-0000BCE40000}"/>
    <cellStyle name="Remarque 6 5 6 2" xfId="4157" xr:uid="{00000000-0005-0000-0000-0000BDE40000}"/>
    <cellStyle name="Remarque 6 5 6 2 2" xfId="28171" xr:uid="{00000000-0005-0000-0000-0000BEE40000}"/>
    <cellStyle name="Remarque 6 5 6 2 2 2" xfId="52131" xr:uid="{00000000-0005-0000-0000-0000BFE40000}"/>
    <cellStyle name="Remarque 6 5 6 2 3" xfId="15418" xr:uid="{00000000-0005-0000-0000-0000C0E40000}"/>
    <cellStyle name="Remarque 6 5 6 2 4" xfId="39378" xr:uid="{00000000-0005-0000-0000-0000C1E40000}"/>
    <cellStyle name="Remarque 6 5 6 3" xfId="5591" xr:uid="{00000000-0005-0000-0000-0000C2E40000}"/>
    <cellStyle name="Remarque 6 5 6 3 2" xfId="29605" xr:uid="{00000000-0005-0000-0000-0000C3E40000}"/>
    <cellStyle name="Remarque 6 5 6 3 2 2" xfId="53565" xr:uid="{00000000-0005-0000-0000-0000C4E40000}"/>
    <cellStyle name="Remarque 6 5 6 3 3" xfId="16852" xr:uid="{00000000-0005-0000-0000-0000C5E40000}"/>
    <cellStyle name="Remarque 6 5 6 3 4" xfId="40812" xr:uid="{00000000-0005-0000-0000-0000C6E40000}"/>
    <cellStyle name="Remarque 6 5 6 4" xfId="6985" xr:uid="{00000000-0005-0000-0000-0000C7E40000}"/>
    <cellStyle name="Remarque 6 5 6 4 2" xfId="30999" xr:uid="{00000000-0005-0000-0000-0000C8E40000}"/>
    <cellStyle name="Remarque 6 5 6 4 2 2" xfId="54959" xr:uid="{00000000-0005-0000-0000-0000C9E40000}"/>
    <cellStyle name="Remarque 6 5 6 4 3" xfId="18246" xr:uid="{00000000-0005-0000-0000-0000CAE40000}"/>
    <cellStyle name="Remarque 6 5 6 4 4" xfId="42206" xr:uid="{00000000-0005-0000-0000-0000CBE40000}"/>
    <cellStyle name="Remarque 6 5 6 5" xfId="8373" xr:uid="{00000000-0005-0000-0000-0000CCE40000}"/>
    <cellStyle name="Remarque 6 5 6 5 2" xfId="32387" xr:uid="{00000000-0005-0000-0000-0000CDE40000}"/>
    <cellStyle name="Remarque 6 5 6 5 2 2" xfId="56347" xr:uid="{00000000-0005-0000-0000-0000CEE40000}"/>
    <cellStyle name="Remarque 6 5 6 5 3" xfId="19634" xr:uid="{00000000-0005-0000-0000-0000CFE40000}"/>
    <cellStyle name="Remarque 6 5 6 5 4" xfId="43594" xr:uid="{00000000-0005-0000-0000-0000D0E40000}"/>
    <cellStyle name="Remarque 6 5 6 6" xfId="9758" xr:uid="{00000000-0005-0000-0000-0000D1E40000}"/>
    <cellStyle name="Remarque 6 5 6 6 2" xfId="33772" xr:uid="{00000000-0005-0000-0000-0000D2E40000}"/>
    <cellStyle name="Remarque 6 5 6 6 2 2" xfId="57732" xr:uid="{00000000-0005-0000-0000-0000D3E40000}"/>
    <cellStyle name="Remarque 6 5 6 6 3" xfId="21019" xr:uid="{00000000-0005-0000-0000-0000D4E40000}"/>
    <cellStyle name="Remarque 6 5 6 6 4" xfId="44979" xr:uid="{00000000-0005-0000-0000-0000D5E40000}"/>
    <cellStyle name="Remarque 6 5 6 7" xfId="11215" xr:uid="{00000000-0005-0000-0000-0000D6E40000}"/>
    <cellStyle name="Remarque 6 5 6 7 2" xfId="35225" xr:uid="{00000000-0005-0000-0000-0000D7E40000}"/>
    <cellStyle name="Remarque 6 5 6 7 2 2" xfId="59185" xr:uid="{00000000-0005-0000-0000-0000D8E40000}"/>
    <cellStyle name="Remarque 6 5 6 7 3" xfId="22482" xr:uid="{00000000-0005-0000-0000-0000D9E40000}"/>
    <cellStyle name="Remarque 6 5 6 7 4" xfId="46442" xr:uid="{00000000-0005-0000-0000-0000DAE40000}"/>
    <cellStyle name="Remarque 6 5 6 8" xfId="12676" xr:uid="{00000000-0005-0000-0000-0000DBE40000}"/>
    <cellStyle name="Remarque 6 5 6 8 2" xfId="23981" xr:uid="{00000000-0005-0000-0000-0000DCE40000}"/>
    <cellStyle name="Remarque 6 5 6 8 3" xfId="47941" xr:uid="{00000000-0005-0000-0000-0000DDE40000}"/>
    <cellStyle name="Remarque 6 5 6 9" xfId="2687" xr:uid="{00000000-0005-0000-0000-0000DEE40000}"/>
    <cellStyle name="Remarque 6 5 6 9 2" xfId="26701" xr:uid="{00000000-0005-0000-0000-0000DFE40000}"/>
    <cellStyle name="Remarque 6 5 6 9 3" xfId="50661" xr:uid="{00000000-0005-0000-0000-0000E0E40000}"/>
    <cellStyle name="Remarque 6 5 7" xfId="1420" xr:uid="{00000000-0005-0000-0000-0000E1E40000}"/>
    <cellStyle name="Remarque 6 5 7 10" xfId="25452" xr:uid="{00000000-0005-0000-0000-0000E2E40000}"/>
    <cellStyle name="Remarque 6 5 7 10 2" xfId="49412" xr:uid="{00000000-0005-0000-0000-0000E3E40000}"/>
    <cellStyle name="Remarque 6 5 7 11" xfId="36409" xr:uid="{00000000-0005-0000-0000-0000E4E40000}"/>
    <cellStyle name="Remarque 6 5 7 11 2" xfId="60369" xr:uid="{00000000-0005-0000-0000-0000E5E40000}"/>
    <cellStyle name="Remarque 6 5 7 12" xfId="14117" xr:uid="{00000000-0005-0000-0000-0000E6E40000}"/>
    <cellStyle name="Remarque 6 5 7 13" xfId="38077" xr:uid="{00000000-0005-0000-0000-0000E7E40000}"/>
    <cellStyle name="Remarque 6 5 7 2" xfId="4326" xr:uid="{00000000-0005-0000-0000-0000E8E40000}"/>
    <cellStyle name="Remarque 6 5 7 2 2" xfId="28340" xr:uid="{00000000-0005-0000-0000-0000E9E40000}"/>
    <cellStyle name="Remarque 6 5 7 2 2 2" xfId="52300" xr:uid="{00000000-0005-0000-0000-0000EAE40000}"/>
    <cellStyle name="Remarque 6 5 7 2 3" xfId="15587" xr:uid="{00000000-0005-0000-0000-0000EBE40000}"/>
    <cellStyle name="Remarque 6 5 7 2 4" xfId="39547" xr:uid="{00000000-0005-0000-0000-0000ECE40000}"/>
    <cellStyle name="Remarque 6 5 7 3" xfId="5760" xr:uid="{00000000-0005-0000-0000-0000EDE40000}"/>
    <cellStyle name="Remarque 6 5 7 3 2" xfId="29774" xr:uid="{00000000-0005-0000-0000-0000EEE40000}"/>
    <cellStyle name="Remarque 6 5 7 3 2 2" xfId="53734" xr:uid="{00000000-0005-0000-0000-0000EFE40000}"/>
    <cellStyle name="Remarque 6 5 7 3 3" xfId="17021" xr:uid="{00000000-0005-0000-0000-0000F0E40000}"/>
    <cellStyle name="Remarque 6 5 7 3 4" xfId="40981" xr:uid="{00000000-0005-0000-0000-0000F1E40000}"/>
    <cellStyle name="Remarque 6 5 7 4" xfId="7154" xr:uid="{00000000-0005-0000-0000-0000F2E40000}"/>
    <cellStyle name="Remarque 6 5 7 4 2" xfId="31168" xr:uid="{00000000-0005-0000-0000-0000F3E40000}"/>
    <cellStyle name="Remarque 6 5 7 4 2 2" xfId="55128" xr:uid="{00000000-0005-0000-0000-0000F4E40000}"/>
    <cellStyle name="Remarque 6 5 7 4 3" xfId="18415" xr:uid="{00000000-0005-0000-0000-0000F5E40000}"/>
    <cellStyle name="Remarque 6 5 7 4 4" xfId="42375" xr:uid="{00000000-0005-0000-0000-0000F6E40000}"/>
    <cellStyle name="Remarque 6 5 7 5" xfId="8542" xr:uid="{00000000-0005-0000-0000-0000F7E40000}"/>
    <cellStyle name="Remarque 6 5 7 5 2" xfId="32556" xr:uid="{00000000-0005-0000-0000-0000F8E40000}"/>
    <cellStyle name="Remarque 6 5 7 5 2 2" xfId="56516" xr:uid="{00000000-0005-0000-0000-0000F9E40000}"/>
    <cellStyle name="Remarque 6 5 7 5 3" xfId="19803" xr:uid="{00000000-0005-0000-0000-0000FAE40000}"/>
    <cellStyle name="Remarque 6 5 7 5 4" xfId="43763" xr:uid="{00000000-0005-0000-0000-0000FBE40000}"/>
    <cellStyle name="Remarque 6 5 7 6" xfId="9927" xr:uid="{00000000-0005-0000-0000-0000FCE40000}"/>
    <cellStyle name="Remarque 6 5 7 6 2" xfId="33941" xr:uid="{00000000-0005-0000-0000-0000FDE40000}"/>
    <cellStyle name="Remarque 6 5 7 6 2 2" xfId="57901" xr:uid="{00000000-0005-0000-0000-0000FEE40000}"/>
    <cellStyle name="Remarque 6 5 7 6 3" xfId="21188" xr:uid="{00000000-0005-0000-0000-0000FFE40000}"/>
    <cellStyle name="Remarque 6 5 7 6 4" xfId="45148" xr:uid="{00000000-0005-0000-0000-000000E50000}"/>
    <cellStyle name="Remarque 6 5 7 7" xfId="11384" xr:uid="{00000000-0005-0000-0000-000001E50000}"/>
    <cellStyle name="Remarque 6 5 7 7 2" xfId="35394" xr:uid="{00000000-0005-0000-0000-000002E50000}"/>
    <cellStyle name="Remarque 6 5 7 7 2 2" xfId="59354" xr:uid="{00000000-0005-0000-0000-000003E50000}"/>
    <cellStyle name="Remarque 6 5 7 7 3" xfId="22651" xr:uid="{00000000-0005-0000-0000-000004E50000}"/>
    <cellStyle name="Remarque 6 5 7 7 4" xfId="46611" xr:uid="{00000000-0005-0000-0000-000005E50000}"/>
    <cellStyle name="Remarque 6 5 7 8" xfId="12087" xr:uid="{00000000-0005-0000-0000-000006E50000}"/>
    <cellStyle name="Remarque 6 5 7 8 2" xfId="23370" xr:uid="{00000000-0005-0000-0000-000007E50000}"/>
    <cellStyle name="Remarque 6 5 7 8 3" xfId="47330" xr:uid="{00000000-0005-0000-0000-000008E50000}"/>
    <cellStyle name="Remarque 6 5 7 9" xfId="2856" xr:uid="{00000000-0005-0000-0000-000009E50000}"/>
    <cellStyle name="Remarque 6 5 7 9 2" xfId="26870" xr:uid="{00000000-0005-0000-0000-00000AE50000}"/>
    <cellStyle name="Remarque 6 5 7 9 3" xfId="50830" xr:uid="{00000000-0005-0000-0000-00000BE50000}"/>
    <cellStyle name="Remarque 6 5 8" xfId="3275" xr:uid="{00000000-0005-0000-0000-00000CE50000}"/>
    <cellStyle name="Remarque 6 5 8 2" xfId="27289" xr:uid="{00000000-0005-0000-0000-00000DE50000}"/>
    <cellStyle name="Remarque 6 5 8 2 2" xfId="51249" xr:uid="{00000000-0005-0000-0000-00000EE50000}"/>
    <cellStyle name="Remarque 6 5 8 3" xfId="14536" xr:uid="{00000000-0005-0000-0000-00000FE50000}"/>
    <cellStyle name="Remarque 6 5 8 4" xfId="38496" xr:uid="{00000000-0005-0000-0000-000010E50000}"/>
    <cellStyle name="Remarque 6 5 9" xfId="4709" xr:uid="{00000000-0005-0000-0000-000011E50000}"/>
    <cellStyle name="Remarque 6 5 9 2" xfId="28723" xr:uid="{00000000-0005-0000-0000-000012E50000}"/>
    <cellStyle name="Remarque 6 5 9 2 2" xfId="52683" xr:uid="{00000000-0005-0000-0000-000013E50000}"/>
    <cellStyle name="Remarque 6 5 9 3" xfId="15970" xr:uid="{00000000-0005-0000-0000-000014E50000}"/>
    <cellStyle name="Remarque 6 5 9 4" xfId="39930" xr:uid="{00000000-0005-0000-0000-000015E50000}"/>
    <cellStyle name="Remarque 6 6" xfId="337" xr:uid="{00000000-0005-0000-0000-000016E50000}"/>
    <cellStyle name="Remarque 6 6 10" xfId="24369" xr:uid="{00000000-0005-0000-0000-000017E50000}"/>
    <cellStyle name="Remarque 6 6 10 2" xfId="48329" xr:uid="{00000000-0005-0000-0000-000018E50000}"/>
    <cellStyle name="Remarque 6 6 11" xfId="36063" xr:uid="{00000000-0005-0000-0000-000019E50000}"/>
    <cellStyle name="Remarque 6 6 11 2" xfId="60023" xr:uid="{00000000-0005-0000-0000-00001AE50000}"/>
    <cellStyle name="Remarque 6 6 12" xfId="13034" xr:uid="{00000000-0005-0000-0000-00001BE50000}"/>
    <cellStyle name="Remarque 6 6 13" xfId="36994" xr:uid="{00000000-0005-0000-0000-00001CE50000}"/>
    <cellStyle name="Remarque 6 6 2" xfId="3243" xr:uid="{00000000-0005-0000-0000-00001DE50000}"/>
    <cellStyle name="Remarque 6 6 2 2" xfId="27257" xr:uid="{00000000-0005-0000-0000-00001EE50000}"/>
    <cellStyle name="Remarque 6 6 2 2 2" xfId="51217" xr:uid="{00000000-0005-0000-0000-00001FE50000}"/>
    <cellStyle name="Remarque 6 6 2 3" xfId="14504" xr:uid="{00000000-0005-0000-0000-000020E50000}"/>
    <cellStyle name="Remarque 6 6 2 4" xfId="38464" xr:uid="{00000000-0005-0000-0000-000021E50000}"/>
    <cellStyle name="Remarque 6 6 3" xfId="4677" xr:uid="{00000000-0005-0000-0000-000022E50000}"/>
    <cellStyle name="Remarque 6 6 3 2" xfId="28691" xr:uid="{00000000-0005-0000-0000-000023E50000}"/>
    <cellStyle name="Remarque 6 6 3 2 2" xfId="52651" xr:uid="{00000000-0005-0000-0000-000024E50000}"/>
    <cellStyle name="Remarque 6 6 3 3" xfId="15938" xr:uid="{00000000-0005-0000-0000-000025E50000}"/>
    <cellStyle name="Remarque 6 6 3 4" xfId="39898" xr:uid="{00000000-0005-0000-0000-000026E50000}"/>
    <cellStyle name="Remarque 6 6 4" xfId="6071" xr:uid="{00000000-0005-0000-0000-000027E50000}"/>
    <cellStyle name="Remarque 6 6 4 2" xfId="30085" xr:uid="{00000000-0005-0000-0000-000028E50000}"/>
    <cellStyle name="Remarque 6 6 4 2 2" xfId="54045" xr:uid="{00000000-0005-0000-0000-000029E50000}"/>
    <cellStyle name="Remarque 6 6 4 3" xfId="17332" xr:uid="{00000000-0005-0000-0000-00002AE50000}"/>
    <cellStyle name="Remarque 6 6 4 4" xfId="41292" xr:uid="{00000000-0005-0000-0000-00002BE50000}"/>
    <cellStyle name="Remarque 6 6 5" xfId="7459" xr:uid="{00000000-0005-0000-0000-00002CE50000}"/>
    <cellStyle name="Remarque 6 6 5 2" xfId="31473" xr:uid="{00000000-0005-0000-0000-00002DE50000}"/>
    <cellStyle name="Remarque 6 6 5 2 2" xfId="55433" xr:uid="{00000000-0005-0000-0000-00002EE50000}"/>
    <cellStyle name="Remarque 6 6 5 3" xfId="18720" xr:uid="{00000000-0005-0000-0000-00002FE50000}"/>
    <cellStyle name="Remarque 6 6 5 4" xfId="42680" xr:uid="{00000000-0005-0000-0000-000030E50000}"/>
    <cellStyle name="Remarque 6 6 6" xfId="8844" xr:uid="{00000000-0005-0000-0000-000031E50000}"/>
    <cellStyle name="Remarque 6 6 6 2" xfId="32858" xr:uid="{00000000-0005-0000-0000-000032E50000}"/>
    <cellStyle name="Remarque 6 6 6 2 2" xfId="56818" xr:uid="{00000000-0005-0000-0000-000033E50000}"/>
    <cellStyle name="Remarque 6 6 6 3" xfId="20105" xr:uid="{00000000-0005-0000-0000-000034E50000}"/>
    <cellStyle name="Remarque 6 6 6 4" xfId="44065" xr:uid="{00000000-0005-0000-0000-000035E50000}"/>
    <cellStyle name="Remarque 6 6 7" xfId="10301" xr:uid="{00000000-0005-0000-0000-000036E50000}"/>
    <cellStyle name="Remarque 6 6 7 2" xfId="34311" xr:uid="{00000000-0005-0000-0000-000037E50000}"/>
    <cellStyle name="Remarque 6 6 7 2 2" xfId="58271" xr:uid="{00000000-0005-0000-0000-000038E50000}"/>
    <cellStyle name="Remarque 6 6 7 3" xfId="21568" xr:uid="{00000000-0005-0000-0000-000039E50000}"/>
    <cellStyle name="Remarque 6 6 7 4" xfId="45528" xr:uid="{00000000-0005-0000-0000-00003AE50000}"/>
    <cellStyle name="Remarque 6 6 8" xfId="12150" xr:uid="{00000000-0005-0000-0000-00003BE50000}"/>
    <cellStyle name="Remarque 6 6 8 2" xfId="23433" xr:uid="{00000000-0005-0000-0000-00003CE50000}"/>
    <cellStyle name="Remarque 6 6 8 3" xfId="47393" xr:uid="{00000000-0005-0000-0000-00003DE50000}"/>
    <cellStyle name="Remarque 6 6 9" xfId="1773" xr:uid="{00000000-0005-0000-0000-00003EE50000}"/>
    <cellStyle name="Remarque 6 6 9 2" xfId="25787" xr:uid="{00000000-0005-0000-0000-00003FE50000}"/>
    <cellStyle name="Remarque 6 6 9 3" xfId="49747" xr:uid="{00000000-0005-0000-0000-000040E50000}"/>
    <cellStyle name="Remarque 6 7" xfId="622" xr:uid="{00000000-0005-0000-0000-000041E50000}"/>
    <cellStyle name="Remarque 6 7 10" xfId="24654" xr:uid="{00000000-0005-0000-0000-000042E50000}"/>
    <cellStyle name="Remarque 6 7 10 2" xfId="48614" xr:uid="{00000000-0005-0000-0000-000043E50000}"/>
    <cellStyle name="Remarque 6 7 11" xfId="36628" xr:uid="{00000000-0005-0000-0000-000044E50000}"/>
    <cellStyle name="Remarque 6 7 11 2" xfId="60588" xr:uid="{00000000-0005-0000-0000-000045E50000}"/>
    <cellStyle name="Remarque 6 7 12" xfId="13319" xr:uid="{00000000-0005-0000-0000-000046E50000}"/>
    <cellStyle name="Remarque 6 7 13" xfId="37279" xr:uid="{00000000-0005-0000-0000-000047E50000}"/>
    <cellStyle name="Remarque 6 7 2" xfId="3528" xr:uid="{00000000-0005-0000-0000-000048E50000}"/>
    <cellStyle name="Remarque 6 7 2 2" xfId="27542" xr:uid="{00000000-0005-0000-0000-000049E50000}"/>
    <cellStyle name="Remarque 6 7 2 2 2" xfId="51502" xr:uid="{00000000-0005-0000-0000-00004AE50000}"/>
    <cellStyle name="Remarque 6 7 2 3" xfId="14789" xr:uid="{00000000-0005-0000-0000-00004BE50000}"/>
    <cellStyle name="Remarque 6 7 2 4" xfId="38749" xr:uid="{00000000-0005-0000-0000-00004CE50000}"/>
    <cellStyle name="Remarque 6 7 3" xfId="4962" xr:uid="{00000000-0005-0000-0000-00004DE50000}"/>
    <cellStyle name="Remarque 6 7 3 2" xfId="28976" xr:uid="{00000000-0005-0000-0000-00004EE50000}"/>
    <cellStyle name="Remarque 6 7 3 2 2" xfId="52936" xr:uid="{00000000-0005-0000-0000-00004FE50000}"/>
    <cellStyle name="Remarque 6 7 3 3" xfId="16223" xr:uid="{00000000-0005-0000-0000-000050E50000}"/>
    <cellStyle name="Remarque 6 7 3 4" xfId="40183" xr:uid="{00000000-0005-0000-0000-000051E50000}"/>
    <cellStyle name="Remarque 6 7 4" xfId="6356" xr:uid="{00000000-0005-0000-0000-000052E50000}"/>
    <cellStyle name="Remarque 6 7 4 2" xfId="30370" xr:uid="{00000000-0005-0000-0000-000053E50000}"/>
    <cellStyle name="Remarque 6 7 4 2 2" xfId="54330" xr:uid="{00000000-0005-0000-0000-000054E50000}"/>
    <cellStyle name="Remarque 6 7 4 3" xfId="17617" xr:uid="{00000000-0005-0000-0000-000055E50000}"/>
    <cellStyle name="Remarque 6 7 4 4" xfId="41577" xr:uid="{00000000-0005-0000-0000-000056E50000}"/>
    <cellStyle name="Remarque 6 7 5" xfId="7744" xr:uid="{00000000-0005-0000-0000-000057E50000}"/>
    <cellStyle name="Remarque 6 7 5 2" xfId="31758" xr:uid="{00000000-0005-0000-0000-000058E50000}"/>
    <cellStyle name="Remarque 6 7 5 2 2" xfId="55718" xr:uid="{00000000-0005-0000-0000-000059E50000}"/>
    <cellStyle name="Remarque 6 7 5 3" xfId="19005" xr:uid="{00000000-0005-0000-0000-00005AE50000}"/>
    <cellStyle name="Remarque 6 7 5 4" xfId="42965" xr:uid="{00000000-0005-0000-0000-00005BE50000}"/>
    <cellStyle name="Remarque 6 7 6" xfId="9129" xr:uid="{00000000-0005-0000-0000-00005CE50000}"/>
    <cellStyle name="Remarque 6 7 6 2" xfId="33143" xr:uid="{00000000-0005-0000-0000-00005DE50000}"/>
    <cellStyle name="Remarque 6 7 6 2 2" xfId="57103" xr:uid="{00000000-0005-0000-0000-00005EE50000}"/>
    <cellStyle name="Remarque 6 7 6 3" xfId="20390" xr:uid="{00000000-0005-0000-0000-00005FE50000}"/>
    <cellStyle name="Remarque 6 7 6 4" xfId="44350" xr:uid="{00000000-0005-0000-0000-000060E50000}"/>
    <cellStyle name="Remarque 6 7 7" xfId="10586" xr:uid="{00000000-0005-0000-0000-000061E50000}"/>
    <cellStyle name="Remarque 6 7 7 2" xfId="34596" xr:uid="{00000000-0005-0000-0000-000062E50000}"/>
    <cellStyle name="Remarque 6 7 7 2 2" xfId="58556" xr:uid="{00000000-0005-0000-0000-000063E50000}"/>
    <cellStyle name="Remarque 6 7 7 3" xfId="21853" xr:uid="{00000000-0005-0000-0000-000064E50000}"/>
    <cellStyle name="Remarque 6 7 7 4" xfId="45813" xr:uid="{00000000-0005-0000-0000-000065E50000}"/>
    <cellStyle name="Remarque 6 7 8" xfId="12423" xr:uid="{00000000-0005-0000-0000-000066E50000}"/>
    <cellStyle name="Remarque 6 7 8 2" xfId="23714" xr:uid="{00000000-0005-0000-0000-000067E50000}"/>
    <cellStyle name="Remarque 6 7 8 3" xfId="47674" xr:uid="{00000000-0005-0000-0000-000068E50000}"/>
    <cellStyle name="Remarque 6 7 9" xfId="2058" xr:uid="{00000000-0005-0000-0000-000069E50000}"/>
    <cellStyle name="Remarque 6 7 9 2" xfId="26072" xr:uid="{00000000-0005-0000-0000-00006AE50000}"/>
    <cellStyle name="Remarque 6 7 9 3" xfId="50032" xr:uid="{00000000-0005-0000-0000-00006BE50000}"/>
    <cellStyle name="Remarque 6 8" xfId="816" xr:uid="{00000000-0005-0000-0000-00006CE50000}"/>
    <cellStyle name="Remarque 6 8 10" xfId="24848" xr:uid="{00000000-0005-0000-0000-00006DE50000}"/>
    <cellStyle name="Remarque 6 8 10 2" xfId="48808" xr:uid="{00000000-0005-0000-0000-00006EE50000}"/>
    <cellStyle name="Remarque 6 8 11" xfId="36452" xr:uid="{00000000-0005-0000-0000-00006FE50000}"/>
    <cellStyle name="Remarque 6 8 11 2" xfId="60412" xr:uid="{00000000-0005-0000-0000-000070E50000}"/>
    <cellStyle name="Remarque 6 8 12" xfId="13513" xr:uid="{00000000-0005-0000-0000-000071E50000}"/>
    <cellStyle name="Remarque 6 8 13" xfId="37473" xr:uid="{00000000-0005-0000-0000-000072E50000}"/>
    <cellStyle name="Remarque 6 8 2" xfId="3722" xr:uid="{00000000-0005-0000-0000-000073E50000}"/>
    <cellStyle name="Remarque 6 8 2 2" xfId="27736" xr:uid="{00000000-0005-0000-0000-000074E50000}"/>
    <cellStyle name="Remarque 6 8 2 2 2" xfId="51696" xr:uid="{00000000-0005-0000-0000-000075E50000}"/>
    <cellStyle name="Remarque 6 8 2 3" xfId="14983" xr:uid="{00000000-0005-0000-0000-000076E50000}"/>
    <cellStyle name="Remarque 6 8 2 4" xfId="38943" xr:uid="{00000000-0005-0000-0000-000077E50000}"/>
    <cellStyle name="Remarque 6 8 3" xfId="5156" xr:uid="{00000000-0005-0000-0000-000078E50000}"/>
    <cellStyle name="Remarque 6 8 3 2" xfId="29170" xr:uid="{00000000-0005-0000-0000-000079E50000}"/>
    <cellStyle name="Remarque 6 8 3 2 2" xfId="53130" xr:uid="{00000000-0005-0000-0000-00007AE50000}"/>
    <cellStyle name="Remarque 6 8 3 3" xfId="16417" xr:uid="{00000000-0005-0000-0000-00007BE50000}"/>
    <cellStyle name="Remarque 6 8 3 4" xfId="40377" xr:uid="{00000000-0005-0000-0000-00007CE50000}"/>
    <cellStyle name="Remarque 6 8 4" xfId="6550" xr:uid="{00000000-0005-0000-0000-00007DE50000}"/>
    <cellStyle name="Remarque 6 8 4 2" xfId="30564" xr:uid="{00000000-0005-0000-0000-00007EE50000}"/>
    <cellStyle name="Remarque 6 8 4 2 2" xfId="54524" xr:uid="{00000000-0005-0000-0000-00007FE50000}"/>
    <cellStyle name="Remarque 6 8 4 3" xfId="17811" xr:uid="{00000000-0005-0000-0000-000080E50000}"/>
    <cellStyle name="Remarque 6 8 4 4" xfId="41771" xr:uid="{00000000-0005-0000-0000-000081E50000}"/>
    <cellStyle name="Remarque 6 8 5" xfId="7938" xr:uid="{00000000-0005-0000-0000-000082E50000}"/>
    <cellStyle name="Remarque 6 8 5 2" xfId="31952" xr:uid="{00000000-0005-0000-0000-000083E50000}"/>
    <cellStyle name="Remarque 6 8 5 2 2" xfId="55912" xr:uid="{00000000-0005-0000-0000-000084E50000}"/>
    <cellStyle name="Remarque 6 8 5 3" xfId="19199" xr:uid="{00000000-0005-0000-0000-000085E50000}"/>
    <cellStyle name="Remarque 6 8 5 4" xfId="43159" xr:uid="{00000000-0005-0000-0000-000086E50000}"/>
    <cellStyle name="Remarque 6 8 6" xfId="9323" xr:uid="{00000000-0005-0000-0000-000087E50000}"/>
    <cellStyle name="Remarque 6 8 6 2" xfId="33337" xr:uid="{00000000-0005-0000-0000-000088E50000}"/>
    <cellStyle name="Remarque 6 8 6 2 2" xfId="57297" xr:uid="{00000000-0005-0000-0000-000089E50000}"/>
    <cellStyle name="Remarque 6 8 6 3" xfId="20584" xr:uid="{00000000-0005-0000-0000-00008AE50000}"/>
    <cellStyle name="Remarque 6 8 6 4" xfId="44544" xr:uid="{00000000-0005-0000-0000-00008BE50000}"/>
    <cellStyle name="Remarque 6 8 7" xfId="10780" xr:uid="{00000000-0005-0000-0000-00008CE50000}"/>
    <cellStyle name="Remarque 6 8 7 2" xfId="34790" xr:uid="{00000000-0005-0000-0000-00008DE50000}"/>
    <cellStyle name="Remarque 6 8 7 2 2" xfId="58750" xr:uid="{00000000-0005-0000-0000-00008EE50000}"/>
    <cellStyle name="Remarque 6 8 7 3" xfId="22047" xr:uid="{00000000-0005-0000-0000-00008FE50000}"/>
    <cellStyle name="Remarque 6 8 7 4" xfId="46007" xr:uid="{00000000-0005-0000-0000-000090E50000}"/>
    <cellStyle name="Remarque 6 8 8" xfId="10132" xr:uid="{00000000-0005-0000-0000-000091E50000}"/>
    <cellStyle name="Remarque 6 8 8 2" xfId="21393" xr:uid="{00000000-0005-0000-0000-000092E50000}"/>
    <cellStyle name="Remarque 6 8 8 3" xfId="45353" xr:uid="{00000000-0005-0000-0000-000093E50000}"/>
    <cellStyle name="Remarque 6 8 9" xfId="2252" xr:uid="{00000000-0005-0000-0000-000094E50000}"/>
    <cellStyle name="Remarque 6 8 9 2" xfId="26266" xr:uid="{00000000-0005-0000-0000-000095E50000}"/>
    <cellStyle name="Remarque 6 8 9 3" xfId="50226" xr:uid="{00000000-0005-0000-0000-000096E50000}"/>
    <cellStyle name="Remarque 6 9" xfId="1009" xr:uid="{00000000-0005-0000-0000-000097E50000}"/>
    <cellStyle name="Remarque 6 9 10" xfId="25041" xr:uid="{00000000-0005-0000-0000-000098E50000}"/>
    <cellStyle name="Remarque 6 9 10 2" xfId="49001" xr:uid="{00000000-0005-0000-0000-000099E50000}"/>
    <cellStyle name="Remarque 6 9 11" xfId="36068" xr:uid="{00000000-0005-0000-0000-00009AE50000}"/>
    <cellStyle name="Remarque 6 9 11 2" xfId="60028" xr:uid="{00000000-0005-0000-0000-00009BE50000}"/>
    <cellStyle name="Remarque 6 9 12" xfId="13706" xr:uid="{00000000-0005-0000-0000-00009CE50000}"/>
    <cellStyle name="Remarque 6 9 13" xfId="37666" xr:uid="{00000000-0005-0000-0000-00009DE50000}"/>
    <cellStyle name="Remarque 6 9 2" xfId="3915" xr:uid="{00000000-0005-0000-0000-00009EE50000}"/>
    <cellStyle name="Remarque 6 9 2 2" xfId="27929" xr:uid="{00000000-0005-0000-0000-00009FE50000}"/>
    <cellStyle name="Remarque 6 9 2 2 2" xfId="51889" xr:uid="{00000000-0005-0000-0000-0000A0E50000}"/>
    <cellStyle name="Remarque 6 9 2 3" xfId="15176" xr:uid="{00000000-0005-0000-0000-0000A1E50000}"/>
    <cellStyle name="Remarque 6 9 2 4" xfId="39136" xr:uid="{00000000-0005-0000-0000-0000A2E50000}"/>
    <cellStyle name="Remarque 6 9 3" xfId="5349" xr:uid="{00000000-0005-0000-0000-0000A3E50000}"/>
    <cellStyle name="Remarque 6 9 3 2" xfId="29363" xr:uid="{00000000-0005-0000-0000-0000A4E50000}"/>
    <cellStyle name="Remarque 6 9 3 2 2" xfId="53323" xr:uid="{00000000-0005-0000-0000-0000A5E50000}"/>
    <cellStyle name="Remarque 6 9 3 3" xfId="16610" xr:uid="{00000000-0005-0000-0000-0000A6E50000}"/>
    <cellStyle name="Remarque 6 9 3 4" xfId="40570" xr:uid="{00000000-0005-0000-0000-0000A7E50000}"/>
    <cellStyle name="Remarque 6 9 4" xfId="6743" xr:uid="{00000000-0005-0000-0000-0000A8E50000}"/>
    <cellStyle name="Remarque 6 9 4 2" xfId="30757" xr:uid="{00000000-0005-0000-0000-0000A9E50000}"/>
    <cellStyle name="Remarque 6 9 4 2 2" xfId="54717" xr:uid="{00000000-0005-0000-0000-0000AAE50000}"/>
    <cellStyle name="Remarque 6 9 4 3" xfId="18004" xr:uid="{00000000-0005-0000-0000-0000ABE50000}"/>
    <cellStyle name="Remarque 6 9 4 4" xfId="41964" xr:uid="{00000000-0005-0000-0000-0000ACE50000}"/>
    <cellStyle name="Remarque 6 9 5" xfId="8131" xr:uid="{00000000-0005-0000-0000-0000ADE50000}"/>
    <cellStyle name="Remarque 6 9 5 2" xfId="32145" xr:uid="{00000000-0005-0000-0000-0000AEE50000}"/>
    <cellStyle name="Remarque 6 9 5 2 2" xfId="56105" xr:uid="{00000000-0005-0000-0000-0000AFE50000}"/>
    <cellStyle name="Remarque 6 9 5 3" xfId="19392" xr:uid="{00000000-0005-0000-0000-0000B0E50000}"/>
    <cellStyle name="Remarque 6 9 5 4" xfId="43352" xr:uid="{00000000-0005-0000-0000-0000B1E50000}"/>
    <cellStyle name="Remarque 6 9 6" xfId="9516" xr:uid="{00000000-0005-0000-0000-0000B2E50000}"/>
    <cellStyle name="Remarque 6 9 6 2" xfId="33530" xr:uid="{00000000-0005-0000-0000-0000B3E50000}"/>
    <cellStyle name="Remarque 6 9 6 2 2" xfId="57490" xr:uid="{00000000-0005-0000-0000-0000B4E50000}"/>
    <cellStyle name="Remarque 6 9 6 3" xfId="20777" xr:uid="{00000000-0005-0000-0000-0000B5E50000}"/>
    <cellStyle name="Remarque 6 9 6 4" xfId="44737" xr:uid="{00000000-0005-0000-0000-0000B6E50000}"/>
    <cellStyle name="Remarque 6 9 7" xfId="10973" xr:uid="{00000000-0005-0000-0000-0000B7E50000}"/>
    <cellStyle name="Remarque 6 9 7 2" xfId="34983" xr:uid="{00000000-0005-0000-0000-0000B8E50000}"/>
    <cellStyle name="Remarque 6 9 7 2 2" xfId="58943" xr:uid="{00000000-0005-0000-0000-0000B9E50000}"/>
    <cellStyle name="Remarque 6 9 7 3" xfId="22240" xr:uid="{00000000-0005-0000-0000-0000BAE50000}"/>
    <cellStyle name="Remarque 6 9 7 4" xfId="46200" xr:uid="{00000000-0005-0000-0000-0000BBE50000}"/>
    <cellStyle name="Remarque 6 9 8" xfId="12880" xr:uid="{00000000-0005-0000-0000-0000BCE50000}"/>
    <cellStyle name="Remarque 6 9 8 2" xfId="24192" xr:uid="{00000000-0005-0000-0000-0000BDE50000}"/>
    <cellStyle name="Remarque 6 9 8 3" xfId="48152" xr:uid="{00000000-0005-0000-0000-0000BEE50000}"/>
    <cellStyle name="Remarque 6 9 9" xfId="2445" xr:uid="{00000000-0005-0000-0000-0000BFE50000}"/>
    <cellStyle name="Remarque 6 9 9 2" xfId="26459" xr:uid="{00000000-0005-0000-0000-0000C0E50000}"/>
    <cellStyle name="Remarque 6 9 9 3" xfId="50419" xr:uid="{00000000-0005-0000-0000-0000C1E50000}"/>
    <cellStyle name="Remarque 7" xfId="64" xr:uid="{00000000-0005-0000-0000-0000C2E50000}"/>
    <cellStyle name="Remarque 7 10" xfId="292" xr:uid="{00000000-0005-0000-0000-0000C3E50000}"/>
    <cellStyle name="Remarque 7 10 10" xfId="24324" xr:uid="{00000000-0005-0000-0000-0000C4E50000}"/>
    <cellStyle name="Remarque 7 10 10 2" xfId="48284" xr:uid="{00000000-0005-0000-0000-0000C5E50000}"/>
    <cellStyle name="Remarque 7 10 11" xfId="36391" xr:uid="{00000000-0005-0000-0000-0000C6E50000}"/>
    <cellStyle name="Remarque 7 10 11 2" xfId="60351" xr:uid="{00000000-0005-0000-0000-0000C7E50000}"/>
    <cellStyle name="Remarque 7 10 12" xfId="12989" xr:uid="{00000000-0005-0000-0000-0000C8E50000}"/>
    <cellStyle name="Remarque 7 10 13" xfId="36949" xr:uid="{00000000-0005-0000-0000-0000C9E50000}"/>
    <cellStyle name="Remarque 7 10 2" xfId="3198" xr:uid="{00000000-0005-0000-0000-0000CAE50000}"/>
    <cellStyle name="Remarque 7 10 2 2" xfId="27212" xr:uid="{00000000-0005-0000-0000-0000CBE50000}"/>
    <cellStyle name="Remarque 7 10 2 2 2" xfId="51172" xr:uid="{00000000-0005-0000-0000-0000CCE50000}"/>
    <cellStyle name="Remarque 7 10 2 3" xfId="14459" xr:uid="{00000000-0005-0000-0000-0000CDE50000}"/>
    <cellStyle name="Remarque 7 10 2 4" xfId="38419" xr:uid="{00000000-0005-0000-0000-0000CEE50000}"/>
    <cellStyle name="Remarque 7 10 3" xfId="4632" xr:uid="{00000000-0005-0000-0000-0000CFE50000}"/>
    <cellStyle name="Remarque 7 10 3 2" xfId="28646" xr:uid="{00000000-0005-0000-0000-0000D0E50000}"/>
    <cellStyle name="Remarque 7 10 3 2 2" xfId="52606" xr:uid="{00000000-0005-0000-0000-0000D1E50000}"/>
    <cellStyle name="Remarque 7 10 3 3" xfId="15893" xr:uid="{00000000-0005-0000-0000-0000D2E50000}"/>
    <cellStyle name="Remarque 7 10 3 4" xfId="39853" xr:uid="{00000000-0005-0000-0000-0000D3E50000}"/>
    <cellStyle name="Remarque 7 10 4" xfId="6026" xr:uid="{00000000-0005-0000-0000-0000D4E50000}"/>
    <cellStyle name="Remarque 7 10 4 2" xfId="30040" xr:uid="{00000000-0005-0000-0000-0000D5E50000}"/>
    <cellStyle name="Remarque 7 10 4 2 2" xfId="54000" xr:uid="{00000000-0005-0000-0000-0000D6E50000}"/>
    <cellStyle name="Remarque 7 10 4 3" xfId="17287" xr:uid="{00000000-0005-0000-0000-0000D7E50000}"/>
    <cellStyle name="Remarque 7 10 4 4" xfId="41247" xr:uid="{00000000-0005-0000-0000-0000D8E50000}"/>
    <cellStyle name="Remarque 7 10 5" xfId="7414" xr:uid="{00000000-0005-0000-0000-0000D9E50000}"/>
    <cellStyle name="Remarque 7 10 5 2" xfId="31428" xr:uid="{00000000-0005-0000-0000-0000DAE50000}"/>
    <cellStyle name="Remarque 7 10 5 2 2" xfId="55388" xr:uid="{00000000-0005-0000-0000-0000DBE50000}"/>
    <cellStyle name="Remarque 7 10 5 3" xfId="18675" xr:uid="{00000000-0005-0000-0000-0000DCE50000}"/>
    <cellStyle name="Remarque 7 10 5 4" xfId="42635" xr:uid="{00000000-0005-0000-0000-0000DDE50000}"/>
    <cellStyle name="Remarque 7 10 6" xfId="8799" xr:uid="{00000000-0005-0000-0000-0000DEE50000}"/>
    <cellStyle name="Remarque 7 10 6 2" xfId="32813" xr:uid="{00000000-0005-0000-0000-0000DFE50000}"/>
    <cellStyle name="Remarque 7 10 6 2 2" xfId="56773" xr:uid="{00000000-0005-0000-0000-0000E0E50000}"/>
    <cellStyle name="Remarque 7 10 6 3" xfId="20060" xr:uid="{00000000-0005-0000-0000-0000E1E50000}"/>
    <cellStyle name="Remarque 7 10 6 4" xfId="44020" xr:uid="{00000000-0005-0000-0000-0000E2E50000}"/>
    <cellStyle name="Remarque 7 10 7" xfId="10256" xr:uid="{00000000-0005-0000-0000-0000E3E50000}"/>
    <cellStyle name="Remarque 7 10 7 2" xfId="34266" xr:uid="{00000000-0005-0000-0000-0000E4E50000}"/>
    <cellStyle name="Remarque 7 10 7 2 2" xfId="58226" xr:uid="{00000000-0005-0000-0000-0000E5E50000}"/>
    <cellStyle name="Remarque 7 10 7 3" xfId="21523" xr:uid="{00000000-0005-0000-0000-0000E6E50000}"/>
    <cellStyle name="Remarque 7 10 7 4" xfId="45483" xr:uid="{00000000-0005-0000-0000-0000E7E50000}"/>
    <cellStyle name="Remarque 7 10 8" xfId="12174" xr:uid="{00000000-0005-0000-0000-0000E8E50000}"/>
    <cellStyle name="Remarque 7 10 8 2" xfId="23457" xr:uid="{00000000-0005-0000-0000-0000E9E50000}"/>
    <cellStyle name="Remarque 7 10 8 3" xfId="47417" xr:uid="{00000000-0005-0000-0000-0000EAE50000}"/>
    <cellStyle name="Remarque 7 10 9" xfId="1728" xr:uid="{00000000-0005-0000-0000-0000EBE50000}"/>
    <cellStyle name="Remarque 7 10 9 2" xfId="25742" xr:uid="{00000000-0005-0000-0000-0000ECE50000}"/>
    <cellStyle name="Remarque 7 10 9 3" xfId="49702" xr:uid="{00000000-0005-0000-0000-0000EDE50000}"/>
    <cellStyle name="Remarque 7 11" xfId="1569" xr:uid="{00000000-0005-0000-0000-0000EEE50000}"/>
    <cellStyle name="Remarque 7 11 10" xfId="25601" xr:uid="{00000000-0005-0000-0000-0000EFE50000}"/>
    <cellStyle name="Remarque 7 11 10 2" xfId="49561" xr:uid="{00000000-0005-0000-0000-0000F0E50000}"/>
    <cellStyle name="Remarque 7 11 11" xfId="23765" xr:uid="{00000000-0005-0000-0000-0000F1E50000}"/>
    <cellStyle name="Remarque 7 11 11 2" xfId="47725" xr:uid="{00000000-0005-0000-0000-0000F2E50000}"/>
    <cellStyle name="Remarque 7 11 12" xfId="14266" xr:uid="{00000000-0005-0000-0000-0000F3E50000}"/>
    <cellStyle name="Remarque 7 11 13" xfId="38226" xr:uid="{00000000-0005-0000-0000-0000F4E50000}"/>
    <cellStyle name="Remarque 7 11 2" xfId="4475" xr:uid="{00000000-0005-0000-0000-0000F5E50000}"/>
    <cellStyle name="Remarque 7 11 2 2" xfId="28489" xr:uid="{00000000-0005-0000-0000-0000F6E50000}"/>
    <cellStyle name="Remarque 7 11 2 2 2" xfId="52449" xr:uid="{00000000-0005-0000-0000-0000F7E50000}"/>
    <cellStyle name="Remarque 7 11 2 3" xfId="15736" xr:uid="{00000000-0005-0000-0000-0000F8E50000}"/>
    <cellStyle name="Remarque 7 11 2 4" xfId="39696" xr:uid="{00000000-0005-0000-0000-0000F9E50000}"/>
    <cellStyle name="Remarque 7 11 3" xfId="5909" xr:uid="{00000000-0005-0000-0000-0000FAE50000}"/>
    <cellStyle name="Remarque 7 11 3 2" xfId="29923" xr:uid="{00000000-0005-0000-0000-0000FBE50000}"/>
    <cellStyle name="Remarque 7 11 3 2 2" xfId="53883" xr:uid="{00000000-0005-0000-0000-0000FCE50000}"/>
    <cellStyle name="Remarque 7 11 3 3" xfId="17170" xr:uid="{00000000-0005-0000-0000-0000FDE50000}"/>
    <cellStyle name="Remarque 7 11 3 4" xfId="41130" xr:uid="{00000000-0005-0000-0000-0000FEE50000}"/>
    <cellStyle name="Remarque 7 11 4" xfId="7303" xr:uid="{00000000-0005-0000-0000-0000FFE50000}"/>
    <cellStyle name="Remarque 7 11 4 2" xfId="31317" xr:uid="{00000000-0005-0000-0000-000000E60000}"/>
    <cellStyle name="Remarque 7 11 4 2 2" xfId="55277" xr:uid="{00000000-0005-0000-0000-000001E60000}"/>
    <cellStyle name="Remarque 7 11 4 3" xfId="18564" xr:uid="{00000000-0005-0000-0000-000002E60000}"/>
    <cellStyle name="Remarque 7 11 4 4" xfId="42524" xr:uid="{00000000-0005-0000-0000-000003E60000}"/>
    <cellStyle name="Remarque 7 11 5" xfId="8691" xr:uid="{00000000-0005-0000-0000-000004E60000}"/>
    <cellStyle name="Remarque 7 11 5 2" xfId="32705" xr:uid="{00000000-0005-0000-0000-000005E60000}"/>
    <cellStyle name="Remarque 7 11 5 2 2" xfId="56665" xr:uid="{00000000-0005-0000-0000-000006E60000}"/>
    <cellStyle name="Remarque 7 11 5 3" xfId="19952" xr:uid="{00000000-0005-0000-0000-000007E60000}"/>
    <cellStyle name="Remarque 7 11 5 4" xfId="43912" xr:uid="{00000000-0005-0000-0000-000008E60000}"/>
    <cellStyle name="Remarque 7 11 6" xfId="10076" xr:uid="{00000000-0005-0000-0000-000009E60000}"/>
    <cellStyle name="Remarque 7 11 6 2" xfId="34090" xr:uid="{00000000-0005-0000-0000-00000AE60000}"/>
    <cellStyle name="Remarque 7 11 6 2 2" xfId="58050" xr:uid="{00000000-0005-0000-0000-00000BE60000}"/>
    <cellStyle name="Remarque 7 11 6 3" xfId="21337" xr:uid="{00000000-0005-0000-0000-00000CE60000}"/>
    <cellStyle name="Remarque 7 11 6 4" xfId="45297" xr:uid="{00000000-0005-0000-0000-00000DE60000}"/>
    <cellStyle name="Remarque 7 11 7" xfId="11533" xr:uid="{00000000-0005-0000-0000-00000EE60000}"/>
    <cellStyle name="Remarque 7 11 7 2" xfId="35543" xr:uid="{00000000-0005-0000-0000-00000FE60000}"/>
    <cellStyle name="Remarque 7 11 7 2 2" xfId="59503" xr:uid="{00000000-0005-0000-0000-000010E60000}"/>
    <cellStyle name="Remarque 7 11 7 3" xfId="22800" xr:uid="{00000000-0005-0000-0000-000011E60000}"/>
    <cellStyle name="Remarque 7 11 7 4" xfId="46760" xr:uid="{00000000-0005-0000-0000-000012E60000}"/>
    <cellStyle name="Remarque 7 11 8" xfId="11688" xr:uid="{00000000-0005-0000-0000-000013E60000}"/>
    <cellStyle name="Remarque 7 11 8 2" xfId="22957" xr:uid="{00000000-0005-0000-0000-000014E60000}"/>
    <cellStyle name="Remarque 7 11 8 3" xfId="46917" xr:uid="{00000000-0005-0000-0000-000015E60000}"/>
    <cellStyle name="Remarque 7 11 9" xfId="3005" xr:uid="{00000000-0005-0000-0000-000016E60000}"/>
    <cellStyle name="Remarque 7 11 9 2" xfId="27019" xr:uid="{00000000-0005-0000-0000-000017E60000}"/>
    <cellStyle name="Remarque 7 11 9 3" xfId="50979" xr:uid="{00000000-0005-0000-0000-000018E60000}"/>
    <cellStyle name="Remarque 7 12" xfId="1535" xr:uid="{00000000-0005-0000-0000-000019E60000}"/>
    <cellStyle name="Remarque 7 12 10" xfId="25567" xr:uid="{00000000-0005-0000-0000-00001AE60000}"/>
    <cellStyle name="Remarque 7 12 10 2" xfId="49527" xr:uid="{00000000-0005-0000-0000-00001BE60000}"/>
    <cellStyle name="Remarque 7 12 11" xfId="34213" xr:uid="{00000000-0005-0000-0000-00001CE60000}"/>
    <cellStyle name="Remarque 7 12 11 2" xfId="58173" xr:uid="{00000000-0005-0000-0000-00001DE60000}"/>
    <cellStyle name="Remarque 7 12 12" xfId="14232" xr:uid="{00000000-0005-0000-0000-00001EE60000}"/>
    <cellStyle name="Remarque 7 12 13" xfId="38192" xr:uid="{00000000-0005-0000-0000-00001FE60000}"/>
    <cellStyle name="Remarque 7 12 2" xfId="4441" xr:uid="{00000000-0005-0000-0000-000020E60000}"/>
    <cellStyle name="Remarque 7 12 2 2" xfId="28455" xr:uid="{00000000-0005-0000-0000-000021E60000}"/>
    <cellStyle name="Remarque 7 12 2 2 2" xfId="52415" xr:uid="{00000000-0005-0000-0000-000022E60000}"/>
    <cellStyle name="Remarque 7 12 2 3" xfId="15702" xr:uid="{00000000-0005-0000-0000-000023E60000}"/>
    <cellStyle name="Remarque 7 12 2 4" xfId="39662" xr:uid="{00000000-0005-0000-0000-000024E60000}"/>
    <cellStyle name="Remarque 7 12 3" xfId="5875" xr:uid="{00000000-0005-0000-0000-000025E60000}"/>
    <cellStyle name="Remarque 7 12 3 2" xfId="29889" xr:uid="{00000000-0005-0000-0000-000026E60000}"/>
    <cellStyle name="Remarque 7 12 3 2 2" xfId="53849" xr:uid="{00000000-0005-0000-0000-000027E60000}"/>
    <cellStyle name="Remarque 7 12 3 3" xfId="17136" xr:uid="{00000000-0005-0000-0000-000028E60000}"/>
    <cellStyle name="Remarque 7 12 3 4" xfId="41096" xr:uid="{00000000-0005-0000-0000-000029E60000}"/>
    <cellStyle name="Remarque 7 12 4" xfId="7269" xr:uid="{00000000-0005-0000-0000-00002AE60000}"/>
    <cellStyle name="Remarque 7 12 4 2" xfId="31283" xr:uid="{00000000-0005-0000-0000-00002BE60000}"/>
    <cellStyle name="Remarque 7 12 4 2 2" xfId="55243" xr:uid="{00000000-0005-0000-0000-00002CE60000}"/>
    <cellStyle name="Remarque 7 12 4 3" xfId="18530" xr:uid="{00000000-0005-0000-0000-00002DE60000}"/>
    <cellStyle name="Remarque 7 12 4 4" xfId="42490" xr:uid="{00000000-0005-0000-0000-00002EE60000}"/>
    <cellStyle name="Remarque 7 12 5" xfId="8657" xr:uid="{00000000-0005-0000-0000-00002FE60000}"/>
    <cellStyle name="Remarque 7 12 5 2" xfId="32671" xr:uid="{00000000-0005-0000-0000-000030E60000}"/>
    <cellStyle name="Remarque 7 12 5 2 2" xfId="56631" xr:uid="{00000000-0005-0000-0000-000031E60000}"/>
    <cellStyle name="Remarque 7 12 5 3" xfId="19918" xr:uid="{00000000-0005-0000-0000-000032E60000}"/>
    <cellStyle name="Remarque 7 12 5 4" xfId="43878" xr:uid="{00000000-0005-0000-0000-000033E60000}"/>
    <cellStyle name="Remarque 7 12 6" xfId="10042" xr:uid="{00000000-0005-0000-0000-000034E60000}"/>
    <cellStyle name="Remarque 7 12 6 2" xfId="34056" xr:uid="{00000000-0005-0000-0000-000035E60000}"/>
    <cellStyle name="Remarque 7 12 6 2 2" xfId="58016" xr:uid="{00000000-0005-0000-0000-000036E60000}"/>
    <cellStyle name="Remarque 7 12 6 3" xfId="21303" xr:uid="{00000000-0005-0000-0000-000037E60000}"/>
    <cellStyle name="Remarque 7 12 6 4" xfId="45263" xr:uid="{00000000-0005-0000-0000-000038E60000}"/>
    <cellStyle name="Remarque 7 12 7" xfId="11499" xr:uid="{00000000-0005-0000-0000-000039E60000}"/>
    <cellStyle name="Remarque 7 12 7 2" xfId="35509" xr:uid="{00000000-0005-0000-0000-00003AE60000}"/>
    <cellStyle name="Remarque 7 12 7 2 2" xfId="59469" xr:uid="{00000000-0005-0000-0000-00003BE60000}"/>
    <cellStyle name="Remarque 7 12 7 3" xfId="22766" xr:uid="{00000000-0005-0000-0000-00003CE60000}"/>
    <cellStyle name="Remarque 7 12 7 4" xfId="46726" xr:uid="{00000000-0005-0000-0000-00003DE60000}"/>
    <cellStyle name="Remarque 7 12 8" xfId="12774" xr:uid="{00000000-0005-0000-0000-00003EE60000}"/>
    <cellStyle name="Remarque 7 12 8 2" xfId="24082" xr:uid="{00000000-0005-0000-0000-00003FE60000}"/>
    <cellStyle name="Remarque 7 12 8 3" xfId="48042" xr:uid="{00000000-0005-0000-0000-000040E60000}"/>
    <cellStyle name="Remarque 7 12 9" xfId="2971" xr:uid="{00000000-0005-0000-0000-000041E60000}"/>
    <cellStyle name="Remarque 7 12 9 2" xfId="26985" xr:uid="{00000000-0005-0000-0000-000042E60000}"/>
    <cellStyle name="Remarque 7 12 9 3" xfId="50945" xr:uid="{00000000-0005-0000-0000-000043E60000}"/>
    <cellStyle name="Remarque 7 13" xfId="1586" xr:uid="{00000000-0005-0000-0000-000044E60000}"/>
    <cellStyle name="Remarque 7 13 10" xfId="25618" xr:uid="{00000000-0005-0000-0000-000045E60000}"/>
    <cellStyle name="Remarque 7 13 10 2" xfId="49578" xr:uid="{00000000-0005-0000-0000-000046E60000}"/>
    <cellStyle name="Remarque 7 13 11" xfId="36845" xr:uid="{00000000-0005-0000-0000-000047E60000}"/>
    <cellStyle name="Remarque 7 13 11 2" xfId="60805" xr:uid="{00000000-0005-0000-0000-000048E60000}"/>
    <cellStyle name="Remarque 7 13 12" xfId="14283" xr:uid="{00000000-0005-0000-0000-000049E60000}"/>
    <cellStyle name="Remarque 7 13 13" xfId="38243" xr:uid="{00000000-0005-0000-0000-00004AE60000}"/>
    <cellStyle name="Remarque 7 13 2" xfId="4492" xr:uid="{00000000-0005-0000-0000-00004BE60000}"/>
    <cellStyle name="Remarque 7 13 2 2" xfId="28506" xr:uid="{00000000-0005-0000-0000-00004CE60000}"/>
    <cellStyle name="Remarque 7 13 2 2 2" xfId="52466" xr:uid="{00000000-0005-0000-0000-00004DE60000}"/>
    <cellStyle name="Remarque 7 13 2 3" xfId="15753" xr:uid="{00000000-0005-0000-0000-00004EE60000}"/>
    <cellStyle name="Remarque 7 13 2 4" xfId="39713" xr:uid="{00000000-0005-0000-0000-00004FE60000}"/>
    <cellStyle name="Remarque 7 13 3" xfId="5926" xr:uid="{00000000-0005-0000-0000-000050E60000}"/>
    <cellStyle name="Remarque 7 13 3 2" xfId="29940" xr:uid="{00000000-0005-0000-0000-000051E60000}"/>
    <cellStyle name="Remarque 7 13 3 2 2" xfId="53900" xr:uid="{00000000-0005-0000-0000-000052E60000}"/>
    <cellStyle name="Remarque 7 13 3 3" xfId="17187" xr:uid="{00000000-0005-0000-0000-000053E60000}"/>
    <cellStyle name="Remarque 7 13 3 4" xfId="41147" xr:uid="{00000000-0005-0000-0000-000054E60000}"/>
    <cellStyle name="Remarque 7 13 4" xfId="7320" xr:uid="{00000000-0005-0000-0000-000055E60000}"/>
    <cellStyle name="Remarque 7 13 4 2" xfId="31334" xr:uid="{00000000-0005-0000-0000-000056E60000}"/>
    <cellStyle name="Remarque 7 13 4 2 2" xfId="55294" xr:uid="{00000000-0005-0000-0000-000057E60000}"/>
    <cellStyle name="Remarque 7 13 4 3" xfId="18581" xr:uid="{00000000-0005-0000-0000-000058E60000}"/>
    <cellStyle name="Remarque 7 13 4 4" xfId="42541" xr:uid="{00000000-0005-0000-0000-000059E60000}"/>
    <cellStyle name="Remarque 7 13 5" xfId="8708" xr:uid="{00000000-0005-0000-0000-00005AE60000}"/>
    <cellStyle name="Remarque 7 13 5 2" xfId="32722" xr:uid="{00000000-0005-0000-0000-00005BE60000}"/>
    <cellStyle name="Remarque 7 13 5 2 2" xfId="56682" xr:uid="{00000000-0005-0000-0000-00005CE60000}"/>
    <cellStyle name="Remarque 7 13 5 3" xfId="19969" xr:uid="{00000000-0005-0000-0000-00005DE60000}"/>
    <cellStyle name="Remarque 7 13 5 4" xfId="43929" xr:uid="{00000000-0005-0000-0000-00005EE60000}"/>
    <cellStyle name="Remarque 7 13 6" xfId="10093" xr:uid="{00000000-0005-0000-0000-00005FE60000}"/>
    <cellStyle name="Remarque 7 13 6 2" xfId="34107" xr:uid="{00000000-0005-0000-0000-000060E60000}"/>
    <cellStyle name="Remarque 7 13 6 2 2" xfId="58067" xr:uid="{00000000-0005-0000-0000-000061E60000}"/>
    <cellStyle name="Remarque 7 13 6 3" xfId="21354" xr:uid="{00000000-0005-0000-0000-000062E60000}"/>
    <cellStyle name="Remarque 7 13 6 4" xfId="45314" xr:uid="{00000000-0005-0000-0000-000063E60000}"/>
    <cellStyle name="Remarque 7 13 7" xfId="11550" xr:uid="{00000000-0005-0000-0000-000064E60000}"/>
    <cellStyle name="Remarque 7 13 7 2" xfId="35560" xr:uid="{00000000-0005-0000-0000-000065E60000}"/>
    <cellStyle name="Remarque 7 13 7 2 2" xfId="59520" xr:uid="{00000000-0005-0000-0000-000066E60000}"/>
    <cellStyle name="Remarque 7 13 7 3" xfId="22817" xr:uid="{00000000-0005-0000-0000-000067E60000}"/>
    <cellStyle name="Remarque 7 13 7 4" xfId="46777" xr:uid="{00000000-0005-0000-0000-000068E60000}"/>
    <cellStyle name="Remarque 7 13 8" xfId="10197" xr:uid="{00000000-0005-0000-0000-000069E60000}"/>
    <cellStyle name="Remarque 7 13 8 2" xfId="21462" xr:uid="{00000000-0005-0000-0000-00006AE60000}"/>
    <cellStyle name="Remarque 7 13 8 3" xfId="45422" xr:uid="{00000000-0005-0000-0000-00006BE60000}"/>
    <cellStyle name="Remarque 7 13 9" xfId="3022" xr:uid="{00000000-0005-0000-0000-00006CE60000}"/>
    <cellStyle name="Remarque 7 13 9 2" xfId="27036" xr:uid="{00000000-0005-0000-0000-00006DE60000}"/>
    <cellStyle name="Remarque 7 13 9 3" xfId="50996" xr:uid="{00000000-0005-0000-0000-00006EE60000}"/>
    <cellStyle name="Remarque 7 14" xfId="3086" xr:uid="{00000000-0005-0000-0000-00006FE60000}"/>
    <cellStyle name="Remarque 7 14 2" xfId="27100" xr:uid="{00000000-0005-0000-0000-000070E60000}"/>
    <cellStyle name="Remarque 7 14 2 2" xfId="51060" xr:uid="{00000000-0005-0000-0000-000071E60000}"/>
    <cellStyle name="Remarque 7 14 3" xfId="14347" xr:uid="{00000000-0005-0000-0000-000072E60000}"/>
    <cellStyle name="Remarque 7 14 4" xfId="38307" xr:uid="{00000000-0005-0000-0000-000073E60000}"/>
    <cellStyle name="Remarque 7 15" xfId="4525" xr:uid="{00000000-0005-0000-0000-000074E60000}"/>
    <cellStyle name="Remarque 7 15 2" xfId="28539" xr:uid="{00000000-0005-0000-0000-000075E60000}"/>
    <cellStyle name="Remarque 7 15 2 2" xfId="52499" xr:uid="{00000000-0005-0000-0000-000076E60000}"/>
    <cellStyle name="Remarque 7 15 3" xfId="15786" xr:uid="{00000000-0005-0000-0000-000077E60000}"/>
    <cellStyle name="Remarque 7 15 4" xfId="39746" xr:uid="{00000000-0005-0000-0000-000078E60000}"/>
    <cellStyle name="Remarque 7 16" xfId="3061" xr:uid="{00000000-0005-0000-0000-000079E60000}"/>
    <cellStyle name="Remarque 7 16 2" xfId="27075" xr:uid="{00000000-0005-0000-0000-00007AE60000}"/>
    <cellStyle name="Remarque 7 16 2 2" xfId="51035" xr:uid="{00000000-0005-0000-0000-00007BE60000}"/>
    <cellStyle name="Remarque 7 16 3" xfId="14322" xr:uid="{00000000-0005-0000-0000-00007CE60000}"/>
    <cellStyle name="Remarque 7 16 4" xfId="38282" xr:uid="{00000000-0005-0000-0000-00007DE60000}"/>
    <cellStyle name="Remarque 7 17" xfId="4510" xr:uid="{00000000-0005-0000-0000-00007EE60000}"/>
    <cellStyle name="Remarque 7 17 2" xfId="28524" xr:uid="{00000000-0005-0000-0000-00007FE60000}"/>
    <cellStyle name="Remarque 7 17 2 2" xfId="52484" xr:uid="{00000000-0005-0000-0000-000080E60000}"/>
    <cellStyle name="Remarque 7 17 3" xfId="15771" xr:uid="{00000000-0005-0000-0000-000081E60000}"/>
    <cellStyle name="Remarque 7 17 4" xfId="39731" xr:uid="{00000000-0005-0000-0000-000082E60000}"/>
    <cellStyle name="Remarque 7 18" xfId="4575" xr:uid="{00000000-0005-0000-0000-000083E60000}"/>
    <cellStyle name="Remarque 7 18 2" xfId="28589" xr:uid="{00000000-0005-0000-0000-000084E60000}"/>
    <cellStyle name="Remarque 7 18 2 2" xfId="52549" xr:uid="{00000000-0005-0000-0000-000085E60000}"/>
    <cellStyle name="Remarque 7 18 3" xfId="15836" xr:uid="{00000000-0005-0000-0000-000086E60000}"/>
    <cellStyle name="Remarque 7 18 4" xfId="39796" xr:uid="{00000000-0005-0000-0000-000087E60000}"/>
    <cellStyle name="Remarque 7 19" xfId="10146" xr:uid="{00000000-0005-0000-0000-000088E60000}"/>
    <cellStyle name="Remarque 7 19 2" xfId="34158" xr:uid="{00000000-0005-0000-0000-000089E60000}"/>
    <cellStyle name="Remarque 7 19 2 2" xfId="58118" xr:uid="{00000000-0005-0000-0000-00008AE60000}"/>
    <cellStyle name="Remarque 7 19 3" xfId="21411" xr:uid="{00000000-0005-0000-0000-00008BE60000}"/>
    <cellStyle name="Remarque 7 19 4" xfId="45371" xr:uid="{00000000-0005-0000-0000-00008CE60000}"/>
    <cellStyle name="Remarque 7 2" xfId="100" xr:uid="{00000000-0005-0000-0000-00008DE60000}"/>
    <cellStyle name="Remarque 7 2 10" xfId="3150" xr:uid="{00000000-0005-0000-0000-00008EE60000}"/>
    <cellStyle name="Remarque 7 2 10 2" xfId="27164" xr:uid="{00000000-0005-0000-0000-00008FE60000}"/>
    <cellStyle name="Remarque 7 2 10 2 2" xfId="51124" xr:uid="{00000000-0005-0000-0000-000090E60000}"/>
    <cellStyle name="Remarque 7 2 10 3" xfId="14411" xr:uid="{00000000-0005-0000-0000-000091E60000}"/>
    <cellStyle name="Remarque 7 2 10 4" xfId="38371" xr:uid="{00000000-0005-0000-0000-000092E60000}"/>
    <cellStyle name="Remarque 7 2 11" xfId="4584" xr:uid="{00000000-0005-0000-0000-000093E60000}"/>
    <cellStyle name="Remarque 7 2 11 2" xfId="28598" xr:uid="{00000000-0005-0000-0000-000094E60000}"/>
    <cellStyle name="Remarque 7 2 11 2 2" xfId="52558" xr:uid="{00000000-0005-0000-0000-000095E60000}"/>
    <cellStyle name="Remarque 7 2 11 3" xfId="15845" xr:uid="{00000000-0005-0000-0000-000096E60000}"/>
    <cellStyle name="Remarque 7 2 11 4" xfId="39805" xr:uid="{00000000-0005-0000-0000-000097E60000}"/>
    <cellStyle name="Remarque 7 2 12" xfId="5978" xr:uid="{00000000-0005-0000-0000-000098E60000}"/>
    <cellStyle name="Remarque 7 2 12 2" xfId="29992" xr:uid="{00000000-0005-0000-0000-000099E60000}"/>
    <cellStyle name="Remarque 7 2 12 2 2" xfId="53952" xr:uid="{00000000-0005-0000-0000-00009AE60000}"/>
    <cellStyle name="Remarque 7 2 12 3" xfId="17239" xr:uid="{00000000-0005-0000-0000-00009BE60000}"/>
    <cellStyle name="Remarque 7 2 12 4" xfId="41199" xr:uid="{00000000-0005-0000-0000-00009CE60000}"/>
    <cellStyle name="Remarque 7 2 13" xfId="7366" xr:uid="{00000000-0005-0000-0000-00009DE60000}"/>
    <cellStyle name="Remarque 7 2 13 2" xfId="31380" xr:uid="{00000000-0005-0000-0000-00009EE60000}"/>
    <cellStyle name="Remarque 7 2 13 2 2" xfId="55340" xr:uid="{00000000-0005-0000-0000-00009FE60000}"/>
    <cellStyle name="Remarque 7 2 13 3" xfId="18627" xr:uid="{00000000-0005-0000-0000-0000A0E60000}"/>
    <cellStyle name="Remarque 7 2 13 4" xfId="42587" xr:uid="{00000000-0005-0000-0000-0000A1E60000}"/>
    <cellStyle name="Remarque 7 2 14" xfId="8751" xr:uid="{00000000-0005-0000-0000-0000A2E60000}"/>
    <cellStyle name="Remarque 7 2 14 2" xfId="32765" xr:uid="{00000000-0005-0000-0000-0000A3E60000}"/>
    <cellStyle name="Remarque 7 2 14 2 2" xfId="56725" xr:uid="{00000000-0005-0000-0000-0000A4E60000}"/>
    <cellStyle name="Remarque 7 2 14 3" xfId="20012" xr:uid="{00000000-0005-0000-0000-0000A5E60000}"/>
    <cellStyle name="Remarque 7 2 14 4" xfId="43972" xr:uid="{00000000-0005-0000-0000-0000A6E60000}"/>
    <cellStyle name="Remarque 7 2 15" xfId="10208" xr:uid="{00000000-0005-0000-0000-0000A7E60000}"/>
    <cellStyle name="Remarque 7 2 15 2" xfId="34218" xr:uid="{00000000-0005-0000-0000-0000A8E60000}"/>
    <cellStyle name="Remarque 7 2 15 2 2" xfId="58178" xr:uid="{00000000-0005-0000-0000-0000A9E60000}"/>
    <cellStyle name="Remarque 7 2 15 3" xfId="21475" xr:uid="{00000000-0005-0000-0000-0000AAE60000}"/>
    <cellStyle name="Remarque 7 2 15 4" xfId="45435" xr:uid="{00000000-0005-0000-0000-0000ABE60000}"/>
    <cellStyle name="Remarque 7 2 16" xfId="12100" xr:uid="{00000000-0005-0000-0000-0000ACE60000}"/>
    <cellStyle name="Remarque 7 2 16 2" xfId="23383" xr:uid="{00000000-0005-0000-0000-0000ADE60000}"/>
    <cellStyle name="Remarque 7 2 16 3" xfId="47343" xr:uid="{00000000-0005-0000-0000-0000AEE60000}"/>
    <cellStyle name="Remarque 7 2 17" xfId="1680" xr:uid="{00000000-0005-0000-0000-0000AFE60000}"/>
    <cellStyle name="Remarque 7 2 17 2" xfId="25694" xr:uid="{00000000-0005-0000-0000-0000B0E60000}"/>
    <cellStyle name="Remarque 7 2 17 3" xfId="49654" xr:uid="{00000000-0005-0000-0000-0000B1E60000}"/>
    <cellStyle name="Remarque 7 2 18" xfId="24276" xr:uid="{00000000-0005-0000-0000-0000B2E60000}"/>
    <cellStyle name="Remarque 7 2 18 2" xfId="48236" xr:uid="{00000000-0005-0000-0000-0000B3E60000}"/>
    <cellStyle name="Remarque 7 2 19" xfId="36073" xr:uid="{00000000-0005-0000-0000-0000B4E60000}"/>
    <cellStyle name="Remarque 7 2 19 2" xfId="60033" xr:uid="{00000000-0005-0000-0000-0000B5E60000}"/>
    <cellStyle name="Remarque 7 2 2" xfId="419" xr:uid="{00000000-0005-0000-0000-0000B6E60000}"/>
    <cellStyle name="Remarque 7 2 2 10" xfId="6153" xr:uid="{00000000-0005-0000-0000-0000B7E60000}"/>
    <cellStyle name="Remarque 7 2 2 10 2" xfId="30167" xr:uid="{00000000-0005-0000-0000-0000B8E60000}"/>
    <cellStyle name="Remarque 7 2 2 10 2 2" xfId="54127" xr:uid="{00000000-0005-0000-0000-0000B9E60000}"/>
    <cellStyle name="Remarque 7 2 2 10 3" xfId="17414" xr:uid="{00000000-0005-0000-0000-0000BAE60000}"/>
    <cellStyle name="Remarque 7 2 2 10 4" xfId="41374" xr:uid="{00000000-0005-0000-0000-0000BBE60000}"/>
    <cellStyle name="Remarque 7 2 2 11" xfId="7541" xr:uid="{00000000-0005-0000-0000-0000BCE60000}"/>
    <cellStyle name="Remarque 7 2 2 11 2" xfId="31555" xr:uid="{00000000-0005-0000-0000-0000BDE60000}"/>
    <cellStyle name="Remarque 7 2 2 11 2 2" xfId="55515" xr:uid="{00000000-0005-0000-0000-0000BEE60000}"/>
    <cellStyle name="Remarque 7 2 2 11 3" xfId="18802" xr:uid="{00000000-0005-0000-0000-0000BFE60000}"/>
    <cellStyle name="Remarque 7 2 2 11 4" xfId="42762" xr:uid="{00000000-0005-0000-0000-0000C0E60000}"/>
    <cellStyle name="Remarque 7 2 2 12" xfId="8926" xr:uid="{00000000-0005-0000-0000-0000C1E60000}"/>
    <cellStyle name="Remarque 7 2 2 12 2" xfId="32940" xr:uid="{00000000-0005-0000-0000-0000C2E60000}"/>
    <cellStyle name="Remarque 7 2 2 12 2 2" xfId="56900" xr:uid="{00000000-0005-0000-0000-0000C3E60000}"/>
    <cellStyle name="Remarque 7 2 2 12 3" xfId="20187" xr:uid="{00000000-0005-0000-0000-0000C4E60000}"/>
    <cellStyle name="Remarque 7 2 2 12 4" xfId="44147" xr:uid="{00000000-0005-0000-0000-0000C5E60000}"/>
    <cellStyle name="Remarque 7 2 2 13" xfId="10383" xr:uid="{00000000-0005-0000-0000-0000C6E60000}"/>
    <cellStyle name="Remarque 7 2 2 13 2" xfId="34393" xr:uid="{00000000-0005-0000-0000-0000C7E60000}"/>
    <cellStyle name="Remarque 7 2 2 13 2 2" xfId="58353" xr:uid="{00000000-0005-0000-0000-0000C8E60000}"/>
    <cellStyle name="Remarque 7 2 2 13 3" xfId="21650" xr:uid="{00000000-0005-0000-0000-0000C9E60000}"/>
    <cellStyle name="Remarque 7 2 2 13 4" xfId="45610" xr:uid="{00000000-0005-0000-0000-0000CAE60000}"/>
    <cellStyle name="Remarque 7 2 2 14" xfId="12794" xr:uid="{00000000-0005-0000-0000-0000CBE60000}"/>
    <cellStyle name="Remarque 7 2 2 14 2" xfId="24104" xr:uid="{00000000-0005-0000-0000-0000CCE60000}"/>
    <cellStyle name="Remarque 7 2 2 14 3" xfId="48064" xr:uid="{00000000-0005-0000-0000-0000CDE60000}"/>
    <cellStyle name="Remarque 7 2 2 15" xfId="1855" xr:uid="{00000000-0005-0000-0000-0000CEE60000}"/>
    <cellStyle name="Remarque 7 2 2 15 2" xfId="25869" xr:uid="{00000000-0005-0000-0000-0000CFE60000}"/>
    <cellStyle name="Remarque 7 2 2 15 3" xfId="49829" xr:uid="{00000000-0005-0000-0000-0000D0E60000}"/>
    <cellStyle name="Remarque 7 2 2 16" xfId="24451" xr:uid="{00000000-0005-0000-0000-0000D1E60000}"/>
    <cellStyle name="Remarque 7 2 2 16 2" xfId="48411" xr:uid="{00000000-0005-0000-0000-0000D2E60000}"/>
    <cellStyle name="Remarque 7 2 2 17" xfId="34143" xr:uid="{00000000-0005-0000-0000-0000D3E60000}"/>
    <cellStyle name="Remarque 7 2 2 17 2" xfId="58103" xr:uid="{00000000-0005-0000-0000-0000D4E60000}"/>
    <cellStyle name="Remarque 7 2 2 18" xfId="13116" xr:uid="{00000000-0005-0000-0000-0000D5E60000}"/>
    <cellStyle name="Remarque 7 2 2 19" xfId="37076" xr:uid="{00000000-0005-0000-0000-0000D6E60000}"/>
    <cellStyle name="Remarque 7 2 2 2" xfId="555" xr:uid="{00000000-0005-0000-0000-0000D7E60000}"/>
    <cellStyle name="Remarque 7 2 2 2 10" xfId="24587" xr:uid="{00000000-0005-0000-0000-0000D8E60000}"/>
    <cellStyle name="Remarque 7 2 2 2 10 2" xfId="48547" xr:uid="{00000000-0005-0000-0000-0000D9E60000}"/>
    <cellStyle name="Remarque 7 2 2 2 11" xfId="21395" xr:uid="{00000000-0005-0000-0000-0000DAE60000}"/>
    <cellStyle name="Remarque 7 2 2 2 11 2" xfId="45355" xr:uid="{00000000-0005-0000-0000-0000DBE60000}"/>
    <cellStyle name="Remarque 7 2 2 2 12" xfId="13252" xr:uid="{00000000-0005-0000-0000-0000DCE60000}"/>
    <cellStyle name="Remarque 7 2 2 2 13" xfId="37212" xr:uid="{00000000-0005-0000-0000-0000DDE60000}"/>
    <cellStyle name="Remarque 7 2 2 2 2" xfId="3461" xr:uid="{00000000-0005-0000-0000-0000DEE60000}"/>
    <cellStyle name="Remarque 7 2 2 2 2 2" xfId="27475" xr:uid="{00000000-0005-0000-0000-0000DFE60000}"/>
    <cellStyle name="Remarque 7 2 2 2 2 2 2" xfId="51435" xr:uid="{00000000-0005-0000-0000-0000E0E60000}"/>
    <cellStyle name="Remarque 7 2 2 2 2 3" xfId="14722" xr:uid="{00000000-0005-0000-0000-0000E1E60000}"/>
    <cellStyle name="Remarque 7 2 2 2 2 4" xfId="38682" xr:uid="{00000000-0005-0000-0000-0000E2E60000}"/>
    <cellStyle name="Remarque 7 2 2 2 3" xfId="4895" xr:uid="{00000000-0005-0000-0000-0000E3E60000}"/>
    <cellStyle name="Remarque 7 2 2 2 3 2" xfId="28909" xr:uid="{00000000-0005-0000-0000-0000E4E60000}"/>
    <cellStyle name="Remarque 7 2 2 2 3 2 2" xfId="52869" xr:uid="{00000000-0005-0000-0000-0000E5E60000}"/>
    <cellStyle name="Remarque 7 2 2 2 3 3" xfId="16156" xr:uid="{00000000-0005-0000-0000-0000E6E60000}"/>
    <cellStyle name="Remarque 7 2 2 2 3 4" xfId="40116" xr:uid="{00000000-0005-0000-0000-0000E7E60000}"/>
    <cellStyle name="Remarque 7 2 2 2 4" xfId="6289" xr:uid="{00000000-0005-0000-0000-0000E8E60000}"/>
    <cellStyle name="Remarque 7 2 2 2 4 2" xfId="30303" xr:uid="{00000000-0005-0000-0000-0000E9E60000}"/>
    <cellStyle name="Remarque 7 2 2 2 4 2 2" xfId="54263" xr:uid="{00000000-0005-0000-0000-0000EAE60000}"/>
    <cellStyle name="Remarque 7 2 2 2 4 3" xfId="17550" xr:uid="{00000000-0005-0000-0000-0000EBE60000}"/>
    <cellStyle name="Remarque 7 2 2 2 4 4" xfId="41510" xr:uid="{00000000-0005-0000-0000-0000ECE60000}"/>
    <cellStyle name="Remarque 7 2 2 2 5" xfId="7677" xr:uid="{00000000-0005-0000-0000-0000EDE60000}"/>
    <cellStyle name="Remarque 7 2 2 2 5 2" xfId="31691" xr:uid="{00000000-0005-0000-0000-0000EEE60000}"/>
    <cellStyle name="Remarque 7 2 2 2 5 2 2" xfId="55651" xr:uid="{00000000-0005-0000-0000-0000EFE60000}"/>
    <cellStyle name="Remarque 7 2 2 2 5 3" xfId="18938" xr:uid="{00000000-0005-0000-0000-0000F0E60000}"/>
    <cellStyle name="Remarque 7 2 2 2 5 4" xfId="42898" xr:uid="{00000000-0005-0000-0000-0000F1E60000}"/>
    <cellStyle name="Remarque 7 2 2 2 6" xfId="9062" xr:uid="{00000000-0005-0000-0000-0000F2E60000}"/>
    <cellStyle name="Remarque 7 2 2 2 6 2" xfId="33076" xr:uid="{00000000-0005-0000-0000-0000F3E60000}"/>
    <cellStyle name="Remarque 7 2 2 2 6 2 2" xfId="57036" xr:uid="{00000000-0005-0000-0000-0000F4E60000}"/>
    <cellStyle name="Remarque 7 2 2 2 6 3" xfId="20323" xr:uid="{00000000-0005-0000-0000-0000F5E60000}"/>
    <cellStyle name="Remarque 7 2 2 2 6 4" xfId="44283" xr:uid="{00000000-0005-0000-0000-0000F6E60000}"/>
    <cellStyle name="Remarque 7 2 2 2 7" xfId="10519" xr:uid="{00000000-0005-0000-0000-0000F7E60000}"/>
    <cellStyle name="Remarque 7 2 2 2 7 2" xfId="34529" xr:uid="{00000000-0005-0000-0000-0000F8E60000}"/>
    <cellStyle name="Remarque 7 2 2 2 7 2 2" xfId="58489" xr:uid="{00000000-0005-0000-0000-0000F9E60000}"/>
    <cellStyle name="Remarque 7 2 2 2 7 3" xfId="21786" xr:uid="{00000000-0005-0000-0000-0000FAE60000}"/>
    <cellStyle name="Remarque 7 2 2 2 7 4" xfId="45746" xr:uid="{00000000-0005-0000-0000-0000FBE60000}"/>
    <cellStyle name="Remarque 7 2 2 2 8" xfId="12036" xr:uid="{00000000-0005-0000-0000-0000FCE60000}"/>
    <cellStyle name="Remarque 7 2 2 2 8 2" xfId="23316" xr:uid="{00000000-0005-0000-0000-0000FDE60000}"/>
    <cellStyle name="Remarque 7 2 2 2 8 3" xfId="47276" xr:uid="{00000000-0005-0000-0000-0000FEE60000}"/>
    <cellStyle name="Remarque 7 2 2 2 9" xfId="1991" xr:uid="{00000000-0005-0000-0000-0000FFE60000}"/>
    <cellStyle name="Remarque 7 2 2 2 9 2" xfId="26005" xr:uid="{00000000-0005-0000-0000-000000E70000}"/>
    <cellStyle name="Remarque 7 2 2 2 9 3" xfId="49965" xr:uid="{00000000-0005-0000-0000-000001E70000}"/>
    <cellStyle name="Remarque 7 2 2 3" xfId="747" xr:uid="{00000000-0005-0000-0000-000002E70000}"/>
    <cellStyle name="Remarque 7 2 2 3 10" xfId="24779" xr:uid="{00000000-0005-0000-0000-000003E70000}"/>
    <cellStyle name="Remarque 7 2 2 3 10 2" xfId="48739" xr:uid="{00000000-0005-0000-0000-000004E70000}"/>
    <cellStyle name="Remarque 7 2 2 3 11" xfId="36565" xr:uid="{00000000-0005-0000-0000-000005E70000}"/>
    <cellStyle name="Remarque 7 2 2 3 11 2" xfId="60525" xr:uid="{00000000-0005-0000-0000-000006E70000}"/>
    <cellStyle name="Remarque 7 2 2 3 12" xfId="13444" xr:uid="{00000000-0005-0000-0000-000007E70000}"/>
    <cellStyle name="Remarque 7 2 2 3 13" xfId="37404" xr:uid="{00000000-0005-0000-0000-000008E70000}"/>
    <cellStyle name="Remarque 7 2 2 3 2" xfId="3653" xr:uid="{00000000-0005-0000-0000-000009E70000}"/>
    <cellStyle name="Remarque 7 2 2 3 2 2" xfId="27667" xr:uid="{00000000-0005-0000-0000-00000AE70000}"/>
    <cellStyle name="Remarque 7 2 2 3 2 2 2" xfId="51627" xr:uid="{00000000-0005-0000-0000-00000BE70000}"/>
    <cellStyle name="Remarque 7 2 2 3 2 3" xfId="14914" xr:uid="{00000000-0005-0000-0000-00000CE70000}"/>
    <cellStyle name="Remarque 7 2 2 3 2 4" xfId="38874" xr:uid="{00000000-0005-0000-0000-00000DE70000}"/>
    <cellStyle name="Remarque 7 2 2 3 3" xfId="5087" xr:uid="{00000000-0005-0000-0000-00000EE70000}"/>
    <cellStyle name="Remarque 7 2 2 3 3 2" xfId="29101" xr:uid="{00000000-0005-0000-0000-00000FE70000}"/>
    <cellStyle name="Remarque 7 2 2 3 3 2 2" xfId="53061" xr:uid="{00000000-0005-0000-0000-000010E70000}"/>
    <cellStyle name="Remarque 7 2 2 3 3 3" xfId="16348" xr:uid="{00000000-0005-0000-0000-000011E70000}"/>
    <cellStyle name="Remarque 7 2 2 3 3 4" xfId="40308" xr:uid="{00000000-0005-0000-0000-000012E70000}"/>
    <cellStyle name="Remarque 7 2 2 3 4" xfId="6481" xr:uid="{00000000-0005-0000-0000-000013E70000}"/>
    <cellStyle name="Remarque 7 2 2 3 4 2" xfId="30495" xr:uid="{00000000-0005-0000-0000-000014E70000}"/>
    <cellStyle name="Remarque 7 2 2 3 4 2 2" xfId="54455" xr:uid="{00000000-0005-0000-0000-000015E70000}"/>
    <cellStyle name="Remarque 7 2 2 3 4 3" xfId="17742" xr:uid="{00000000-0005-0000-0000-000016E70000}"/>
    <cellStyle name="Remarque 7 2 2 3 4 4" xfId="41702" xr:uid="{00000000-0005-0000-0000-000017E70000}"/>
    <cellStyle name="Remarque 7 2 2 3 5" xfId="7869" xr:uid="{00000000-0005-0000-0000-000018E70000}"/>
    <cellStyle name="Remarque 7 2 2 3 5 2" xfId="31883" xr:uid="{00000000-0005-0000-0000-000019E70000}"/>
    <cellStyle name="Remarque 7 2 2 3 5 2 2" xfId="55843" xr:uid="{00000000-0005-0000-0000-00001AE70000}"/>
    <cellStyle name="Remarque 7 2 2 3 5 3" xfId="19130" xr:uid="{00000000-0005-0000-0000-00001BE70000}"/>
    <cellStyle name="Remarque 7 2 2 3 5 4" xfId="43090" xr:uid="{00000000-0005-0000-0000-00001CE70000}"/>
    <cellStyle name="Remarque 7 2 2 3 6" xfId="9254" xr:uid="{00000000-0005-0000-0000-00001DE70000}"/>
    <cellStyle name="Remarque 7 2 2 3 6 2" xfId="33268" xr:uid="{00000000-0005-0000-0000-00001EE70000}"/>
    <cellStyle name="Remarque 7 2 2 3 6 2 2" xfId="57228" xr:uid="{00000000-0005-0000-0000-00001FE70000}"/>
    <cellStyle name="Remarque 7 2 2 3 6 3" xfId="20515" xr:uid="{00000000-0005-0000-0000-000020E70000}"/>
    <cellStyle name="Remarque 7 2 2 3 6 4" xfId="44475" xr:uid="{00000000-0005-0000-0000-000021E70000}"/>
    <cellStyle name="Remarque 7 2 2 3 7" xfId="10711" xr:uid="{00000000-0005-0000-0000-000022E70000}"/>
    <cellStyle name="Remarque 7 2 2 3 7 2" xfId="34721" xr:uid="{00000000-0005-0000-0000-000023E70000}"/>
    <cellStyle name="Remarque 7 2 2 3 7 2 2" xfId="58681" xr:uid="{00000000-0005-0000-0000-000024E70000}"/>
    <cellStyle name="Remarque 7 2 2 3 7 3" xfId="21978" xr:uid="{00000000-0005-0000-0000-000025E70000}"/>
    <cellStyle name="Remarque 7 2 2 3 7 4" xfId="45938" xr:uid="{00000000-0005-0000-0000-000026E70000}"/>
    <cellStyle name="Remarque 7 2 2 3 8" xfId="12600" xr:uid="{00000000-0005-0000-0000-000027E70000}"/>
    <cellStyle name="Remarque 7 2 2 3 8 2" xfId="23901" xr:uid="{00000000-0005-0000-0000-000028E70000}"/>
    <cellStyle name="Remarque 7 2 2 3 8 3" xfId="47861" xr:uid="{00000000-0005-0000-0000-000029E70000}"/>
    <cellStyle name="Remarque 7 2 2 3 9" xfId="2183" xr:uid="{00000000-0005-0000-0000-00002AE70000}"/>
    <cellStyle name="Remarque 7 2 2 3 9 2" xfId="26197" xr:uid="{00000000-0005-0000-0000-00002BE70000}"/>
    <cellStyle name="Remarque 7 2 2 3 9 3" xfId="50157" xr:uid="{00000000-0005-0000-0000-00002CE70000}"/>
    <cellStyle name="Remarque 7 2 2 4" xfId="941" xr:uid="{00000000-0005-0000-0000-00002DE70000}"/>
    <cellStyle name="Remarque 7 2 2 4 10" xfId="24973" xr:uid="{00000000-0005-0000-0000-00002EE70000}"/>
    <cellStyle name="Remarque 7 2 2 4 10 2" xfId="48933" xr:uid="{00000000-0005-0000-0000-00002FE70000}"/>
    <cellStyle name="Remarque 7 2 2 4 11" xfId="36246" xr:uid="{00000000-0005-0000-0000-000030E70000}"/>
    <cellStyle name="Remarque 7 2 2 4 11 2" xfId="60206" xr:uid="{00000000-0005-0000-0000-000031E70000}"/>
    <cellStyle name="Remarque 7 2 2 4 12" xfId="13638" xr:uid="{00000000-0005-0000-0000-000032E70000}"/>
    <cellStyle name="Remarque 7 2 2 4 13" xfId="37598" xr:uid="{00000000-0005-0000-0000-000033E70000}"/>
    <cellStyle name="Remarque 7 2 2 4 2" xfId="3847" xr:uid="{00000000-0005-0000-0000-000034E70000}"/>
    <cellStyle name="Remarque 7 2 2 4 2 2" xfId="27861" xr:uid="{00000000-0005-0000-0000-000035E70000}"/>
    <cellStyle name="Remarque 7 2 2 4 2 2 2" xfId="51821" xr:uid="{00000000-0005-0000-0000-000036E70000}"/>
    <cellStyle name="Remarque 7 2 2 4 2 3" xfId="15108" xr:uid="{00000000-0005-0000-0000-000037E70000}"/>
    <cellStyle name="Remarque 7 2 2 4 2 4" xfId="39068" xr:uid="{00000000-0005-0000-0000-000038E70000}"/>
    <cellStyle name="Remarque 7 2 2 4 3" xfId="5281" xr:uid="{00000000-0005-0000-0000-000039E70000}"/>
    <cellStyle name="Remarque 7 2 2 4 3 2" xfId="29295" xr:uid="{00000000-0005-0000-0000-00003AE70000}"/>
    <cellStyle name="Remarque 7 2 2 4 3 2 2" xfId="53255" xr:uid="{00000000-0005-0000-0000-00003BE70000}"/>
    <cellStyle name="Remarque 7 2 2 4 3 3" xfId="16542" xr:uid="{00000000-0005-0000-0000-00003CE70000}"/>
    <cellStyle name="Remarque 7 2 2 4 3 4" xfId="40502" xr:uid="{00000000-0005-0000-0000-00003DE70000}"/>
    <cellStyle name="Remarque 7 2 2 4 4" xfId="6675" xr:uid="{00000000-0005-0000-0000-00003EE70000}"/>
    <cellStyle name="Remarque 7 2 2 4 4 2" xfId="30689" xr:uid="{00000000-0005-0000-0000-00003FE70000}"/>
    <cellStyle name="Remarque 7 2 2 4 4 2 2" xfId="54649" xr:uid="{00000000-0005-0000-0000-000040E70000}"/>
    <cellStyle name="Remarque 7 2 2 4 4 3" xfId="17936" xr:uid="{00000000-0005-0000-0000-000041E70000}"/>
    <cellStyle name="Remarque 7 2 2 4 4 4" xfId="41896" xr:uid="{00000000-0005-0000-0000-000042E70000}"/>
    <cellStyle name="Remarque 7 2 2 4 5" xfId="8063" xr:uid="{00000000-0005-0000-0000-000043E70000}"/>
    <cellStyle name="Remarque 7 2 2 4 5 2" xfId="32077" xr:uid="{00000000-0005-0000-0000-000044E70000}"/>
    <cellStyle name="Remarque 7 2 2 4 5 2 2" xfId="56037" xr:uid="{00000000-0005-0000-0000-000045E70000}"/>
    <cellStyle name="Remarque 7 2 2 4 5 3" xfId="19324" xr:uid="{00000000-0005-0000-0000-000046E70000}"/>
    <cellStyle name="Remarque 7 2 2 4 5 4" xfId="43284" xr:uid="{00000000-0005-0000-0000-000047E70000}"/>
    <cellStyle name="Remarque 7 2 2 4 6" xfId="9448" xr:uid="{00000000-0005-0000-0000-000048E70000}"/>
    <cellStyle name="Remarque 7 2 2 4 6 2" xfId="33462" xr:uid="{00000000-0005-0000-0000-000049E70000}"/>
    <cellStyle name="Remarque 7 2 2 4 6 2 2" xfId="57422" xr:uid="{00000000-0005-0000-0000-00004AE70000}"/>
    <cellStyle name="Remarque 7 2 2 4 6 3" xfId="20709" xr:uid="{00000000-0005-0000-0000-00004BE70000}"/>
    <cellStyle name="Remarque 7 2 2 4 6 4" xfId="44669" xr:uid="{00000000-0005-0000-0000-00004CE70000}"/>
    <cellStyle name="Remarque 7 2 2 4 7" xfId="10905" xr:uid="{00000000-0005-0000-0000-00004DE70000}"/>
    <cellStyle name="Remarque 7 2 2 4 7 2" xfId="34915" xr:uid="{00000000-0005-0000-0000-00004EE70000}"/>
    <cellStyle name="Remarque 7 2 2 4 7 2 2" xfId="58875" xr:uid="{00000000-0005-0000-0000-00004FE70000}"/>
    <cellStyle name="Remarque 7 2 2 4 7 3" xfId="22172" xr:uid="{00000000-0005-0000-0000-000050E70000}"/>
    <cellStyle name="Remarque 7 2 2 4 7 4" xfId="46132" xr:uid="{00000000-0005-0000-0000-000051E70000}"/>
    <cellStyle name="Remarque 7 2 2 4 8" xfId="12346" xr:uid="{00000000-0005-0000-0000-000052E70000}"/>
    <cellStyle name="Remarque 7 2 2 4 8 2" xfId="23634" xr:uid="{00000000-0005-0000-0000-000053E70000}"/>
    <cellStyle name="Remarque 7 2 2 4 8 3" xfId="47594" xr:uid="{00000000-0005-0000-0000-000054E70000}"/>
    <cellStyle name="Remarque 7 2 2 4 9" xfId="2377" xr:uid="{00000000-0005-0000-0000-000055E70000}"/>
    <cellStyle name="Remarque 7 2 2 4 9 2" xfId="26391" xr:uid="{00000000-0005-0000-0000-000056E70000}"/>
    <cellStyle name="Remarque 7 2 2 4 9 3" xfId="50351" xr:uid="{00000000-0005-0000-0000-000057E70000}"/>
    <cellStyle name="Remarque 7 2 2 5" xfId="1134" xr:uid="{00000000-0005-0000-0000-000058E70000}"/>
    <cellStyle name="Remarque 7 2 2 5 10" xfId="25166" xr:uid="{00000000-0005-0000-0000-000059E70000}"/>
    <cellStyle name="Remarque 7 2 2 5 10 2" xfId="49126" xr:uid="{00000000-0005-0000-0000-00005AE70000}"/>
    <cellStyle name="Remarque 7 2 2 5 11" xfId="35644" xr:uid="{00000000-0005-0000-0000-00005BE70000}"/>
    <cellStyle name="Remarque 7 2 2 5 11 2" xfId="59604" xr:uid="{00000000-0005-0000-0000-00005CE70000}"/>
    <cellStyle name="Remarque 7 2 2 5 12" xfId="13831" xr:uid="{00000000-0005-0000-0000-00005DE70000}"/>
    <cellStyle name="Remarque 7 2 2 5 13" xfId="37791" xr:uid="{00000000-0005-0000-0000-00005EE70000}"/>
    <cellStyle name="Remarque 7 2 2 5 2" xfId="4040" xr:uid="{00000000-0005-0000-0000-00005FE70000}"/>
    <cellStyle name="Remarque 7 2 2 5 2 2" xfId="28054" xr:uid="{00000000-0005-0000-0000-000060E70000}"/>
    <cellStyle name="Remarque 7 2 2 5 2 2 2" xfId="52014" xr:uid="{00000000-0005-0000-0000-000061E70000}"/>
    <cellStyle name="Remarque 7 2 2 5 2 3" xfId="15301" xr:uid="{00000000-0005-0000-0000-000062E70000}"/>
    <cellStyle name="Remarque 7 2 2 5 2 4" xfId="39261" xr:uid="{00000000-0005-0000-0000-000063E70000}"/>
    <cellStyle name="Remarque 7 2 2 5 3" xfId="5474" xr:uid="{00000000-0005-0000-0000-000064E70000}"/>
    <cellStyle name="Remarque 7 2 2 5 3 2" xfId="29488" xr:uid="{00000000-0005-0000-0000-000065E70000}"/>
    <cellStyle name="Remarque 7 2 2 5 3 2 2" xfId="53448" xr:uid="{00000000-0005-0000-0000-000066E70000}"/>
    <cellStyle name="Remarque 7 2 2 5 3 3" xfId="16735" xr:uid="{00000000-0005-0000-0000-000067E70000}"/>
    <cellStyle name="Remarque 7 2 2 5 3 4" xfId="40695" xr:uid="{00000000-0005-0000-0000-000068E70000}"/>
    <cellStyle name="Remarque 7 2 2 5 4" xfId="6868" xr:uid="{00000000-0005-0000-0000-000069E70000}"/>
    <cellStyle name="Remarque 7 2 2 5 4 2" xfId="30882" xr:uid="{00000000-0005-0000-0000-00006AE70000}"/>
    <cellStyle name="Remarque 7 2 2 5 4 2 2" xfId="54842" xr:uid="{00000000-0005-0000-0000-00006BE70000}"/>
    <cellStyle name="Remarque 7 2 2 5 4 3" xfId="18129" xr:uid="{00000000-0005-0000-0000-00006CE70000}"/>
    <cellStyle name="Remarque 7 2 2 5 4 4" xfId="42089" xr:uid="{00000000-0005-0000-0000-00006DE70000}"/>
    <cellStyle name="Remarque 7 2 2 5 5" xfId="8256" xr:uid="{00000000-0005-0000-0000-00006EE70000}"/>
    <cellStyle name="Remarque 7 2 2 5 5 2" xfId="32270" xr:uid="{00000000-0005-0000-0000-00006FE70000}"/>
    <cellStyle name="Remarque 7 2 2 5 5 2 2" xfId="56230" xr:uid="{00000000-0005-0000-0000-000070E70000}"/>
    <cellStyle name="Remarque 7 2 2 5 5 3" xfId="19517" xr:uid="{00000000-0005-0000-0000-000071E70000}"/>
    <cellStyle name="Remarque 7 2 2 5 5 4" xfId="43477" xr:uid="{00000000-0005-0000-0000-000072E70000}"/>
    <cellStyle name="Remarque 7 2 2 5 6" xfId="9641" xr:uid="{00000000-0005-0000-0000-000073E70000}"/>
    <cellStyle name="Remarque 7 2 2 5 6 2" xfId="33655" xr:uid="{00000000-0005-0000-0000-000074E70000}"/>
    <cellStyle name="Remarque 7 2 2 5 6 2 2" xfId="57615" xr:uid="{00000000-0005-0000-0000-000075E70000}"/>
    <cellStyle name="Remarque 7 2 2 5 6 3" xfId="20902" xr:uid="{00000000-0005-0000-0000-000076E70000}"/>
    <cellStyle name="Remarque 7 2 2 5 6 4" xfId="44862" xr:uid="{00000000-0005-0000-0000-000077E70000}"/>
    <cellStyle name="Remarque 7 2 2 5 7" xfId="11098" xr:uid="{00000000-0005-0000-0000-000078E70000}"/>
    <cellStyle name="Remarque 7 2 2 5 7 2" xfId="35108" xr:uid="{00000000-0005-0000-0000-000079E70000}"/>
    <cellStyle name="Remarque 7 2 2 5 7 2 2" xfId="59068" xr:uid="{00000000-0005-0000-0000-00007AE70000}"/>
    <cellStyle name="Remarque 7 2 2 5 7 3" xfId="22365" xr:uid="{00000000-0005-0000-0000-00007BE70000}"/>
    <cellStyle name="Remarque 7 2 2 5 7 4" xfId="46325" xr:uid="{00000000-0005-0000-0000-00007CE70000}"/>
    <cellStyle name="Remarque 7 2 2 5 8" xfId="11642" xr:uid="{00000000-0005-0000-0000-00007DE70000}"/>
    <cellStyle name="Remarque 7 2 2 5 8 2" xfId="22910" xr:uid="{00000000-0005-0000-0000-00007EE70000}"/>
    <cellStyle name="Remarque 7 2 2 5 8 3" xfId="46870" xr:uid="{00000000-0005-0000-0000-00007FE70000}"/>
    <cellStyle name="Remarque 7 2 2 5 9" xfId="2570" xr:uid="{00000000-0005-0000-0000-000080E70000}"/>
    <cellStyle name="Remarque 7 2 2 5 9 2" xfId="26584" xr:uid="{00000000-0005-0000-0000-000081E70000}"/>
    <cellStyle name="Remarque 7 2 2 5 9 3" xfId="50544" xr:uid="{00000000-0005-0000-0000-000082E70000}"/>
    <cellStyle name="Remarque 7 2 2 6" xfId="1301" xr:uid="{00000000-0005-0000-0000-000083E70000}"/>
    <cellStyle name="Remarque 7 2 2 6 10" xfId="25333" xr:uid="{00000000-0005-0000-0000-000084E70000}"/>
    <cellStyle name="Remarque 7 2 2 6 10 2" xfId="49293" xr:uid="{00000000-0005-0000-0000-000085E70000}"/>
    <cellStyle name="Remarque 7 2 2 6 11" xfId="36802" xr:uid="{00000000-0005-0000-0000-000086E70000}"/>
    <cellStyle name="Remarque 7 2 2 6 11 2" xfId="60762" xr:uid="{00000000-0005-0000-0000-000087E70000}"/>
    <cellStyle name="Remarque 7 2 2 6 12" xfId="13998" xr:uid="{00000000-0005-0000-0000-000088E70000}"/>
    <cellStyle name="Remarque 7 2 2 6 13" xfId="37958" xr:uid="{00000000-0005-0000-0000-000089E70000}"/>
    <cellStyle name="Remarque 7 2 2 6 2" xfId="4207" xr:uid="{00000000-0005-0000-0000-00008AE70000}"/>
    <cellStyle name="Remarque 7 2 2 6 2 2" xfId="28221" xr:uid="{00000000-0005-0000-0000-00008BE70000}"/>
    <cellStyle name="Remarque 7 2 2 6 2 2 2" xfId="52181" xr:uid="{00000000-0005-0000-0000-00008CE70000}"/>
    <cellStyle name="Remarque 7 2 2 6 2 3" xfId="15468" xr:uid="{00000000-0005-0000-0000-00008DE70000}"/>
    <cellStyle name="Remarque 7 2 2 6 2 4" xfId="39428" xr:uid="{00000000-0005-0000-0000-00008EE70000}"/>
    <cellStyle name="Remarque 7 2 2 6 3" xfId="5641" xr:uid="{00000000-0005-0000-0000-00008FE70000}"/>
    <cellStyle name="Remarque 7 2 2 6 3 2" xfId="29655" xr:uid="{00000000-0005-0000-0000-000090E70000}"/>
    <cellStyle name="Remarque 7 2 2 6 3 2 2" xfId="53615" xr:uid="{00000000-0005-0000-0000-000091E70000}"/>
    <cellStyle name="Remarque 7 2 2 6 3 3" xfId="16902" xr:uid="{00000000-0005-0000-0000-000092E70000}"/>
    <cellStyle name="Remarque 7 2 2 6 3 4" xfId="40862" xr:uid="{00000000-0005-0000-0000-000093E70000}"/>
    <cellStyle name="Remarque 7 2 2 6 4" xfId="7035" xr:uid="{00000000-0005-0000-0000-000094E70000}"/>
    <cellStyle name="Remarque 7 2 2 6 4 2" xfId="31049" xr:uid="{00000000-0005-0000-0000-000095E70000}"/>
    <cellStyle name="Remarque 7 2 2 6 4 2 2" xfId="55009" xr:uid="{00000000-0005-0000-0000-000096E70000}"/>
    <cellStyle name="Remarque 7 2 2 6 4 3" xfId="18296" xr:uid="{00000000-0005-0000-0000-000097E70000}"/>
    <cellStyle name="Remarque 7 2 2 6 4 4" xfId="42256" xr:uid="{00000000-0005-0000-0000-000098E70000}"/>
    <cellStyle name="Remarque 7 2 2 6 5" xfId="8423" xr:uid="{00000000-0005-0000-0000-000099E70000}"/>
    <cellStyle name="Remarque 7 2 2 6 5 2" xfId="32437" xr:uid="{00000000-0005-0000-0000-00009AE70000}"/>
    <cellStyle name="Remarque 7 2 2 6 5 2 2" xfId="56397" xr:uid="{00000000-0005-0000-0000-00009BE70000}"/>
    <cellStyle name="Remarque 7 2 2 6 5 3" xfId="19684" xr:uid="{00000000-0005-0000-0000-00009CE70000}"/>
    <cellStyle name="Remarque 7 2 2 6 5 4" xfId="43644" xr:uid="{00000000-0005-0000-0000-00009DE70000}"/>
    <cellStyle name="Remarque 7 2 2 6 6" xfId="9808" xr:uid="{00000000-0005-0000-0000-00009EE70000}"/>
    <cellStyle name="Remarque 7 2 2 6 6 2" xfId="33822" xr:uid="{00000000-0005-0000-0000-00009FE70000}"/>
    <cellStyle name="Remarque 7 2 2 6 6 2 2" xfId="57782" xr:uid="{00000000-0005-0000-0000-0000A0E70000}"/>
    <cellStyle name="Remarque 7 2 2 6 6 3" xfId="21069" xr:uid="{00000000-0005-0000-0000-0000A1E70000}"/>
    <cellStyle name="Remarque 7 2 2 6 6 4" xfId="45029" xr:uid="{00000000-0005-0000-0000-0000A2E70000}"/>
    <cellStyle name="Remarque 7 2 2 6 7" xfId="11265" xr:uid="{00000000-0005-0000-0000-0000A3E70000}"/>
    <cellStyle name="Remarque 7 2 2 6 7 2" xfId="35275" xr:uid="{00000000-0005-0000-0000-0000A4E70000}"/>
    <cellStyle name="Remarque 7 2 2 6 7 2 2" xfId="59235" xr:uid="{00000000-0005-0000-0000-0000A5E70000}"/>
    <cellStyle name="Remarque 7 2 2 6 7 3" xfId="22532" xr:uid="{00000000-0005-0000-0000-0000A6E70000}"/>
    <cellStyle name="Remarque 7 2 2 6 7 4" xfId="46492" xr:uid="{00000000-0005-0000-0000-0000A7E70000}"/>
    <cellStyle name="Remarque 7 2 2 6 8" xfId="12769" xr:uid="{00000000-0005-0000-0000-0000A8E70000}"/>
    <cellStyle name="Remarque 7 2 2 6 8 2" xfId="24077" xr:uid="{00000000-0005-0000-0000-0000A9E70000}"/>
    <cellStyle name="Remarque 7 2 2 6 8 3" xfId="48037" xr:uid="{00000000-0005-0000-0000-0000AAE70000}"/>
    <cellStyle name="Remarque 7 2 2 6 9" xfId="2737" xr:uid="{00000000-0005-0000-0000-0000ABE70000}"/>
    <cellStyle name="Remarque 7 2 2 6 9 2" xfId="26751" xr:uid="{00000000-0005-0000-0000-0000ACE70000}"/>
    <cellStyle name="Remarque 7 2 2 6 9 3" xfId="50711" xr:uid="{00000000-0005-0000-0000-0000ADE70000}"/>
    <cellStyle name="Remarque 7 2 2 7" xfId="1470" xr:uid="{00000000-0005-0000-0000-0000AEE70000}"/>
    <cellStyle name="Remarque 7 2 2 7 10" xfId="25502" xr:uid="{00000000-0005-0000-0000-0000AFE70000}"/>
    <cellStyle name="Remarque 7 2 2 7 10 2" xfId="49462" xr:uid="{00000000-0005-0000-0000-0000B0E70000}"/>
    <cellStyle name="Remarque 7 2 2 7 11" xfId="36809" xr:uid="{00000000-0005-0000-0000-0000B1E70000}"/>
    <cellStyle name="Remarque 7 2 2 7 11 2" xfId="60769" xr:uid="{00000000-0005-0000-0000-0000B2E70000}"/>
    <cellStyle name="Remarque 7 2 2 7 12" xfId="14167" xr:uid="{00000000-0005-0000-0000-0000B3E70000}"/>
    <cellStyle name="Remarque 7 2 2 7 13" xfId="38127" xr:uid="{00000000-0005-0000-0000-0000B4E70000}"/>
    <cellStyle name="Remarque 7 2 2 7 2" xfId="4376" xr:uid="{00000000-0005-0000-0000-0000B5E70000}"/>
    <cellStyle name="Remarque 7 2 2 7 2 2" xfId="28390" xr:uid="{00000000-0005-0000-0000-0000B6E70000}"/>
    <cellStyle name="Remarque 7 2 2 7 2 2 2" xfId="52350" xr:uid="{00000000-0005-0000-0000-0000B7E70000}"/>
    <cellStyle name="Remarque 7 2 2 7 2 3" xfId="15637" xr:uid="{00000000-0005-0000-0000-0000B8E70000}"/>
    <cellStyle name="Remarque 7 2 2 7 2 4" xfId="39597" xr:uid="{00000000-0005-0000-0000-0000B9E70000}"/>
    <cellStyle name="Remarque 7 2 2 7 3" xfId="5810" xr:uid="{00000000-0005-0000-0000-0000BAE70000}"/>
    <cellStyle name="Remarque 7 2 2 7 3 2" xfId="29824" xr:uid="{00000000-0005-0000-0000-0000BBE70000}"/>
    <cellStyle name="Remarque 7 2 2 7 3 2 2" xfId="53784" xr:uid="{00000000-0005-0000-0000-0000BCE70000}"/>
    <cellStyle name="Remarque 7 2 2 7 3 3" xfId="17071" xr:uid="{00000000-0005-0000-0000-0000BDE70000}"/>
    <cellStyle name="Remarque 7 2 2 7 3 4" xfId="41031" xr:uid="{00000000-0005-0000-0000-0000BEE70000}"/>
    <cellStyle name="Remarque 7 2 2 7 4" xfId="7204" xr:uid="{00000000-0005-0000-0000-0000BFE70000}"/>
    <cellStyle name="Remarque 7 2 2 7 4 2" xfId="31218" xr:uid="{00000000-0005-0000-0000-0000C0E70000}"/>
    <cellStyle name="Remarque 7 2 2 7 4 2 2" xfId="55178" xr:uid="{00000000-0005-0000-0000-0000C1E70000}"/>
    <cellStyle name="Remarque 7 2 2 7 4 3" xfId="18465" xr:uid="{00000000-0005-0000-0000-0000C2E70000}"/>
    <cellStyle name="Remarque 7 2 2 7 4 4" xfId="42425" xr:uid="{00000000-0005-0000-0000-0000C3E70000}"/>
    <cellStyle name="Remarque 7 2 2 7 5" xfId="8592" xr:uid="{00000000-0005-0000-0000-0000C4E70000}"/>
    <cellStyle name="Remarque 7 2 2 7 5 2" xfId="32606" xr:uid="{00000000-0005-0000-0000-0000C5E70000}"/>
    <cellStyle name="Remarque 7 2 2 7 5 2 2" xfId="56566" xr:uid="{00000000-0005-0000-0000-0000C6E70000}"/>
    <cellStyle name="Remarque 7 2 2 7 5 3" xfId="19853" xr:uid="{00000000-0005-0000-0000-0000C7E70000}"/>
    <cellStyle name="Remarque 7 2 2 7 5 4" xfId="43813" xr:uid="{00000000-0005-0000-0000-0000C8E70000}"/>
    <cellStyle name="Remarque 7 2 2 7 6" xfId="9977" xr:uid="{00000000-0005-0000-0000-0000C9E70000}"/>
    <cellStyle name="Remarque 7 2 2 7 6 2" xfId="33991" xr:uid="{00000000-0005-0000-0000-0000CAE70000}"/>
    <cellStyle name="Remarque 7 2 2 7 6 2 2" xfId="57951" xr:uid="{00000000-0005-0000-0000-0000CBE70000}"/>
    <cellStyle name="Remarque 7 2 2 7 6 3" xfId="21238" xr:uid="{00000000-0005-0000-0000-0000CCE70000}"/>
    <cellStyle name="Remarque 7 2 2 7 6 4" xfId="45198" xr:uid="{00000000-0005-0000-0000-0000CDE70000}"/>
    <cellStyle name="Remarque 7 2 2 7 7" xfId="11434" xr:uid="{00000000-0005-0000-0000-0000CEE70000}"/>
    <cellStyle name="Remarque 7 2 2 7 7 2" xfId="35444" xr:uid="{00000000-0005-0000-0000-0000CFE70000}"/>
    <cellStyle name="Remarque 7 2 2 7 7 2 2" xfId="59404" xr:uid="{00000000-0005-0000-0000-0000D0E70000}"/>
    <cellStyle name="Remarque 7 2 2 7 7 3" xfId="22701" xr:uid="{00000000-0005-0000-0000-0000D1E70000}"/>
    <cellStyle name="Remarque 7 2 2 7 7 4" xfId="46661" xr:uid="{00000000-0005-0000-0000-0000D2E70000}"/>
    <cellStyle name="Remarque 7 2 2 7 8" xfId="12657" xr:uid="{00000000-0005-0000-0000-0000D3E70000}"/>
    <cellStyle name="Remarque 7 2 2 7 8 2" xfId="23962" xr:uid="{00000000-0005-0000-0000-0000D4E70000}"/>
    <cellStyle name="Remarque 7 2 2 7 8 3" xfId="47922" xr:uid="{00000000-0005-0000-0000-0000D5E70000}"/>
    <cellStyle name="Remarque 7 2 2 7 9" xfId="2906" xr:uid="{00000000-0005-0000-0000-0000D6E70000}"/>
    <cellStyle name="Remarque 7 2 2 7 9 2" xfId="26920" xr:uid="{00000000-0005-0000-0000-0000D7E70000}"/>
    <cellStyle name="Remarque 7 2 2 7 9 3" xfId="50880" xr:uid="{00000000-0005-0000-0000-0000D8E70000}"/>
    <cellStyle name="Remarque 7 2 2 8" xfId="3325" xr:uid="{00000000-0005-0000-0000-0000D9E70000}"/>
    <cellStyle name="Remarque 7 2 2 8 2" xfId="27339" xr:uid="{00000000-0005-0000-0000-0000DAE70000}"/>
    <cellStyle name="Remarque 7 2 2 8 2 2" xfId="51299" xr:uid="{00000000-0005-0000-0000-0000DBE70000}"/>
    <cellStyle name="Remarque 7 2 2 8 3" xfId="14586" xr:uid="{00000000-0005-0000-0000-0000DCE70000}"/>
    <cellStyle name="Remarque 7 2 2 8 4" xfId="38546" xr:uid="{00000000-0005-0000-0000-0000DDE70000}"/>
    <cellStyle name="Remarque 7 2 2 9" xfId="4759" xr:uid="{00000000-0005-0000-0000-0000DEE70000}"/>
    <cellStyle name="Remarque 7 2 2 9 2" xfId="28773" xr:uid="{00000000-0005-0000-0000-0000DFE70000}"/>
    <cellStyle name="Remarque 7 2 2 9 2 2" xfId="52733" xr:uid="{00000000-0005-0000-0000-0000E0E70000}"/>
    <cellStyle name="Remarque 7 2 2 9 3" xfId="16020" xr:uid="{00000000-0005-0000-0000-0000E1E70000}"/>
    <cellStyle name="Remarque 7 2 2 9 4" xfId="39980" xr:uid="{00000000-0005-0000-0000-0000E2E70000}"/>
    <cellStyle name="Remarque 7 2 20" xfId="12941" xr:uid="{00000000-0005-0000-0000-0000E3E70000}"/>
    <cellStyle name="Remarque 7 2 21" xfId="36901" xr:uid="{00000000-0005-0000-0000-0000E4E70000}"/>
    <cellStyle name="Remarque 7 2 22" xfId="244" xr:uid="{00000000-0005-0000-0000-0000E5E70000}"/>
    <cellStyle name="Remarque 7 2 3" xfId="343" xr:uid="{00000000-0005-0000-0000-0000E6E70000}"/>
    <cellStyle name="Remarque 7 2 3 10" xfId="24375" xr:uid="{00000000-0005-0000-0000-0000E7E70000}"/>
    <cellStyle name="Remarque 7 2 3 10 2" xfId="48335" xr:uid="{00000000-0005-0000-0000-0000E8E70000}"/>
    <cellStyle name="Remarque 7 2 3 11" xfId="36551" xr:uid="{00000000-0005-0000-0000-0000E9E70000}"/>
    <cellStyle name="Remarque 7 2 3 11 2" xfId="60511" xr:uid="{00000000-0005-0000-0000-0000EAE70000}"/>
    <cellStyle name="Remarque 7 2 3 12" xfId="13040" xr:uid="{00000000-0005-0000-0000-0000EBE70000}"/>
    <cellStyle name="Remarque 7 2 3 13" xfId="37000" xr:uid="{00000000-0005-0000-0000-0000ECE70000}"/>
    <cellStyle name="Remarque 7 2 3 2" xfId="3249" xr:uid="{00000000-0005-0000-0000-0000EDE70000}"/>
    <cellStyle name="Remarque 7 2 3 2 2" xfId="27263" xr:uid="{00000000-0005-0000-0000-0000EEE70000}"/>
    <cellStyle name="Remarque 7 2 3 2 2 2" xfId="51223" xr:uid="{00000000-0005-0000-0000-0000EFE70000}"/>
    <cellStyle name="Remarque 7 2 3 2 3" xfId="14510" xr:uid="{00000000-0005-0000-0000-0000F0E70000}"/>
    <cellStyle name="Remarque 7 2 3 2 4" xfId="38470" xr:uid="{00000000-0005-0000-0000-0000F1E70000}"/>
    <cellStyle name="Remarque 7 2 3 3" xfId="4683" xr:uid="{00000000-0005-0000-0000-0000F2E70000}"/>
    <cellStyle name="Remarque 7 2 3 3 2" xfId="28697" xr:uid="{00000000-0005-0000-0000-0000F3E70000}"/>
    <cellStyle name="Remarque 7 2 3 3 2 2" xfId="52657" xr:uid="{00000000-0005-0000-0000-0000F4E70000}"/>
    <cellStyle name="Remarque 7 2 3 3 3" xfId="15944" xr:uid="{00000000-0005-0000-0000-0000F5E70000}"/>
    <cellStyle name="Remarque 7 2 3 3 4" xfId="39904" xr:uid="{00000000-0005-0000-0000-0000F6E70000}"/>
    <cellStyle name="Remarque 7 2 3 4" xfId="6077" xr:uid="{00000000-0005-0000-0000-0000F7E70000}"/>
    <cellStyle name="Remarque 7 2 3 4 2" xfId="30091" xr:uid="{00000000-0005-0000-0000-0000F8E70000}"/>
    <cellStyle name="Remarque 7 2 3 4 2 2" xfId="54051" xr:uid="{00000000-0005-0000-0000-0000F9E70000}"/>
    <cellStyle name="Remarque 7 2 3 4 3" xfId="17338" xr:uid="{00000000-0005-0000-0000-0000FAE70000}"/>
    <cellStyle name="Remarque 7 2 3 4 4" xfId="41298" xr:uid="{00000000-0005-0000-0000-0000FBE70000}"/>
    <cellStyle name="Remarque 7 2 3 5" xfId="7465" xr:uid="{00000000-0005-0000-0000-0000FCE70000}"/>
    <cellStyle name="Remarque 7 2 3 5 2" xfId="31479" xr:uid="{00000000-0005-0000-0000-0000FDE70000}"/>
    <cellStyle name="Remarque 7 2 3 5 2 2" xfId="55439" xr:uid="{00000000-0005-0000-0000-0000FEE70000}"/>
    <cellStyle name="Remarque 7 2 3 5 3" xfId="18726" xr:uid="{00000000-0005-0000-0000-0000FFE70000}"/>
    <cellStyle name="Remarque 7 2 3 5 4" xfId="42686" xr:uid="{00000000-0005-0000-0000-000000E80000}"/>
    <cellStyle name="Remarque 7 2 3 6" xfId="8850" xr:uid="{00000000-0005-0000-0000-000001E80000}"/>
    <cellStyle name="Remarque 7 2 3 6 2" xfId="32864" xr:uid="{00000000-0005-0000-0000-000002E80000}"/>
    <cellStyle name="Remarque 7 2 3 6 2 2" xfId="56824" xr:uid="{00000000-0005-0000-0000-000003E80000}"/>
    <cellStyle name="Remarque 7 2 3 6 3" xfId="20111" xr:uid="{00000000-0005-0000-0000-000004E80000}"/>
    <cellStyle name="Remarque 7 2 3 6 4" xfId="44071" xr:uid="{00000000-0005-0000-0000-000005E80000}"/>
    <cellStyle name="Remarque 7 2 3 7" xfId="10307" xr:uid="{00000000-0005-0000-0000-000006E80000}"/>
    <cellStyle name="Remarque 7 2 3 7 2" xfId="34317" xr:uid="{00000000-0005-0000-0000-000007E80000}"/>
    <cellStyle name="Remarque 7 2 3 7 2 2" xfId="58277" xr:uid="{00000000-0005-0000-0000-000008E80000}"/>
    <cellStyle name="Remarque 7 2 3 7 3" xfId="21574" xr:uid="{00000000-0005-0000-0000-000009E80000}"/>
    <cellStyle name="Remarque 7 2 3 7 4" xfId="45534" xr:uid="{00000000-0005-0000-0000-00000AE80000}"/>
    <cellStyle name="Remarque 7 2 3 8" xfId="12242" xr:uid="{00000000-0005-0000-0000-00000BE80000}"/>
    <cellStyle name="Remarque 7 2 3 8 2" xfId="23526" xr:uid="{00000000-0005-0000-0000-00000CE80000}"/>
    <cellStyle name="Remarque 7 2 3 8 3" xfId="47486" xr:uid="{00000000-0005-0000-0000-00000DE80000}"/>
    <cellStyle name="Remarque 7 2 3 9" xfId="1779" xr:uid="{00000000-0005-0000-0000-00000EE80000}"/>
    <cellStyle name="Remarque 7 2 3 9 2" xfId="25793" xr:uid="{00000000-0005-0000-0000-00000FE80000}"/>
    <cellStyle name="Remarque 7 2 3 9 3" xfId="49753" xr:uid="{00000000-0005-0000-0000-000010E80000}"/>
    <cellStyle name="Remarque 7 2 4" xfId="479" xr:uid="{00000000-0005-0000-0000-000011E80000}"/>
    <cellStyle name="Remarque 7 2 4 10" xfId="24511" xr:uid="{00000000-0005-0000-0000-000012E80000}"/>
    <cellStyle name="Remarque 7 2 4 10 2" xfId="48471" xr:uid="{00000000-0005-0000-0000-000013E80000}"/>
    <cellStyle name="Remarque 7 2 4 11" xfId="36151" xr:uid="{00000000-0005-0000-0000-000014E80000}"/>
    <cellStyle name="Remarque 7 2 4 11 2" xfId="60111" xr:uid="{00000000-0005-0000-0000-000015E80000}"/>
    <cellStyle name="Remarque 7 2 4 12" xfId="13176" xr:uid="{00000000-0005-0000-0000-000016E80000}"/>
    <cellStyle name="Remarque 7 2 4 13" xfId="37136" xr:uid="{00000000-0005-0000-0000-000017E80000}"/>
    <cellStyle name="Remarque 7 2 4 2" xfId="3385" xr:uid="{00000000-0005-0000-0000-000018E80000}"/>
    <cellStyle name="Remarque 7 2 4 2 2" xfId="27399" xr:uid="{00000000-0005-0000-0000-000019E80000}"/>
    <cellStyle name="Remarque 7 2 4 2 2 2" xfId="51359" xr:uid="{00000000-0005-0000-0000-00001AE80000}"/>
    <cellStyle name="Remarque 7 2 4 2 3" xfId="14646" xr:uid="{00000000-0005-0000-0000-00001BE80000}"/>
    <cellStyle name="Remarque 7 2 4 2 4" xfId="38606" xr:uid="{00000000-0005-0000-0000-00001CE80000}"/>
    <cellStyle name="Remarque 7 2 4 3" xfId="4819" xr:uid="{00000000-0005-0000-0000-00001DE80000}"/>
    <cellStyle name="Remarque 7 2 4 3 2" xfId="28833" xr:uid="{00000000-0005-0000-0000-00001EE80000}"/>
    <cellStyle name="Remarque 7 2 4 3 2 2" xfId="52793" xr:uid="{00000000-0005-0000-0000-00001FE80000}"/>
    <cellStyle name="Remarque 7 2 4 3 3" xfId="16080" xr:uid="{00000000-0005-0000-0000-000020E80000}"/>
    <cellStyle name="Remarque 7 2 4 3 4" xfId="40040" xr:uid="{00000000-0005-0000-0000-000021E80000}"/>
    <cellStyle name="Remarque 7 2 4 4" xfId="6213" xr:uid="{00000000-0005-0000-0000-000022E80000}"/>
    <cellStyle name="Remarque 7 2 4 4 2" xfId="30227" xr:uid="{00000000-0005-0000-0000-000023E80000}"/>
    <cellStyle name="Remarque 7 2 4 4 2 2" xfId="54187" xr:uid="{00000000-0005-0000-0000-000024E80000}"/>
    <cellStyle name="Remarque 7 2 4 4 3" xfId="17474" xr:uid="{00000000-0005-0000-0000-000025E80000}"/>
    <cellStyle name="Remarque 7 2 4 4 4" xfId="41434" xr:uid="{00000000-0005-0000-0000-000026E80000}"/>
    <cellStyle name="Remarque 7 2 4 5" xfId="7601" xr:uid="{00000000-0005-0000-0000-000027E80000}"/>
    <cellStyle name="Remarque 7 2 4 5 2" xfId="31615" xr:uid="{00000000-0005-0000-0000-000028E80000}"/>
    <cellStyle name="Remarque 7 2 4 5 2 2" xfId="55575" xr:uid="{00000000-0005-0000-0000-000029E80000}"/>
    <cellStyle name="Remarque 7 2 4 5 3" xfId="18862" xr:uid="{00000000-0005-0000-0000-00002AE80000}"/>
    <cellStyle name="Remarque 7 2 4 5 4" xfId="42822" xr:uid="{00000000-0005-0000-0000-00002BE80000}"/>
    <cellStyle name="Remarque 7 2 4 6" xfId="8986" xr:uid="{00000000-0005-0000-0000-00002CE80000}"/>
    <cellStyle name="Remarque 7 2 4 6 2" xfId="33000" xr:uid="{00000000-0005-0000-0000-00002DE80000}"/>
    <cellStyle name="Remarque 7 2 4 6 2 2" xfId="56960" xr:uid="{00000000-0005-0000-0000-00002EE80000}"/>
    <cellStyle name="Remarque 7 2 4 6 3" xfId="20247" xr:uid="{00000000-0005-0000-0000-00002FE80000}"/>
    <cellStyle name="Remarque 7 2 4 6 4" xfId="44207" xr:uid="{00000000-0005-0000-0000-000030E80000}"/>
    <cellStyle name="Remarque 7 2 4 7" xfId="10443" xr:uid="{00000000-0005-0000-0000-000031E80000}"/>
    <cellStyle name="Remarque 7 2 4 7 2" xfId="34453" xr:uid="{00000000-0005-0000-0000-000032E80000}"/>
    <cellStyle name="Remarque 7 2 4 7 2 2" xfId="58413" xr:uid="{00000000-0005-0000-0000-000033E80000}"/>
    <cellStyle name="Remarque 7 2 4 7 3" xfId="21710" xr:uid="{00000000-0005-0000-0000-000034E80000}"/>
    <cellStyle name="Remarque 7 2 4 7 4" xfId="45670" xr:uid="{00000000-0005-0000-0000-000035E80000}"/>
    <cellStyle name="Remarque 7 2 4 8" xfId="11906" xr:uid="{00000000-0005-0000-0000-000036E80000}"/>
    <cellStyle name="Remarque 7 2 4 8 2" xfId="23183" xr:uid="{00000000-0005-0000-0000-000037E80000}"/>
    <cellStyle name="Remarque 7 2 4 8 3" xfId="47143" xr:uid="{00000000-0005-0000-0000-000038E80000}"/>
    <cellStyle name="Remarque 7 2 4 9" xfId="1915" xr:uid="{00000000-0005-0000-0000-000039E80000}"/>
    <cellStyle name="Remarque 7 2 4 9 2" xfId="25929" xr:uid="{00000000-0005-0000-0000-00003AE80000}"/>
    <cellStyle name="Remarque 7 2 4 9 3" xfId="49889" xr:uid="{00000000-0005-0000-0000-00003BE80000}"/>
    <cellStyle name="Remarque 7 2 5" xfId="671" xr:uid="{00000000-0005-0000-0000-00003CE80000}"/>
    <cellStyle name="Remarque 7 2 5 10" xfId="24703" xr:uid="{00000000-0005-0000-0000-00003DE80000}"/>
    <cellStyle name="Remarque 7 2 5 10 2" xfId="48663" xr:uid="{00000000-0005-0000-0000-00003EE80000}"/>
    <cellStyle name="Remarque 7 2 5 11" xfId="36225" xr:uid="{00000000-0005-0000-0000-00003FE80000}"/>
    <cellStyle name="Remarque 7 2 5 11 2" xfId="60185" xr:uid="{00000000-0005-0000-0000-000040E80000}"/>
    <cellStyle name="Remarque 7 2 5 12" xfId="13368" xr:uid="{00000000-0005-0000-0000-000041E80000}"/>
    <cellStyle name="Remarque 7 2 5 13" xfId="37328" xr:uid="{00000000-0005-0000-0000-000042E80000}"/>
    <cellStyle name="Remarque 7 2 5 2" xfId="3577" xr:uid="{00000000-0005-0000-0000-000043E80000}"/>
    <cellStyle name="Remarque 7 2 5 2 2" xfId="27591" xr:uid="{00000000-0005-0000-0000-000044E80000}"/>
    <cellStyle name="Remarque 7 2 5 2 2 2" xfId="51551" xr:uid="{00000000-0005-0000-0000-000045E80000}"/>
    <cellStyle name="Remarque 7 2 5 2 3" xfId="14838" xr:uid="{00000000-0005-0000-0000-000046E80000}"/>
    <cellStyle name="Remarque 7 2 5 2 4" xfId="38798" xr:uid="{00000000-0005-0000-0000-000047E80000}"/>
    <cellStyle name="Remarque 7 2 5 3" xfId="5011" xr:uid="{00000000-0005-0000-0000-000048E80000}"/>
    <cellStyle name="Remarque 7 2 5 3 2" xfId="29025" xr:uid="{00000000-0005-0000-0000-000049E80000}"/>
    <cellStyle name="Remarque 7 2 5 3 2 2" xfId="52985" xr:uid="{00000000-0005-0000-0000-00004AE80000}"/>
    <cellStyle name="Remarque 7 2 5 3 3" xfId="16272" xr:uid="{00000000-0005-0000-0000-00004BE80000}"/>
    <cellStyle name="Remarque 7 2 5 3 4" xfId="40232" xr:uid="{00000000-0005-0000-0000-00004CE80000}"/>
    <cellStyle name="Remarque 7 2 5 4" xfId="6405" xr:uid="{00000000-0005-0000-0000-00004DE80000}"/>
    <cellStyle name="Remarque 7 2 5 4 2" xfId="30419" xr:uid="{00000000-0005-0000-0000-00004EE80000}"/>
    <cellStyle name="Remarque 7 2 5 4 2 2" xfId="54379" xr:uid="{00000000-0005-0000-0000-00004FE80000}"/>
    <cellStyle name="Remarque 7 2 5 4 3" xfId="17666" xr:uid="{00000000-0005-0000-0000-000050E80000}"/>
    <cellStyle name="Remarque 7 2 5 4 4" xfId="41626" xr:uid="{00000000-0005-0000-0000-000051E80000}"/>
    <cellStyle name="Remarque 7 2 5 5" xfId="7793" xr:uid="{00000000-0005-0000-0000-000052E80000}"/>
    <cellStyle name="Remarque 7 2 5 5 2" xfId="31807" xr:uid="{00000000-0005-0000-0000-000053E80000}"/>
    <cellStyle name="Remarque 7 2 5 5 2 2" xfId="55767" xr:uid="{00000000-0005-0000-0000-000054E80000}"/>
    <cellStyle name="Remarque 7 2 5 5 3" xfId="19054" xr:uid="{00000000-0005-0000-0000-000055E80000}"/>
    <cellStyle name="Remarque 7 2 5 5 4" xfId="43014" xr:uid="{00000000-0005-0000-0000-000056E80000}"/>
    <cellStyle name="Remarque 7 2 5 6" xfId="9178" xr:uid="{00000000-0005-0000-0000-000057E80000}"/>
    <cellStyle name="Remarque 7 2 5 6 2" xfId="33192" xr:uid="{00000000-0005-0000-0000-000058E80000}"/>
    <cellStyle name="Remarque 7 2 5 6 2 2" xfId="57152" xr:uid="{00000000-0005-0000-0000-000059E80000}"/>
    <cellStyle name="Remarque 7 2 5 6 3" xfId="20439" xr:uid="{00000000-0005-0000-0000-00005AE80000}"/>
    <cellStyle name="Remarque 7 2 5 6 4" xfId="44399" xr:uid="{00000000-0005-0000-0000-00005BE80000}"/>
    <cellStyle name="Remarque 7 2 5 7" xfId="10635" xr:uid="{00000000-0005-0000-0000-00005CE80000}"/>
    <cellStyle name="Remarque 7 2 5 7 2" xfId="34645" xr:uid="{00000000-0005-0000-0000-00005DE80000}"/>
    <cellStyle name="Remarque 7 2 5 7 2 2" xfId="58605" xr:uid="{00000000-0005-0000-0000-00005EE80000}"/>
    <cellStyle name="Remarque 7 2 5 7 3" xfId="21902" xr:uid="{00000000-0005-0000-0000-00005FE80000}"/>
    <cellStyle name="Remarque 7 2 5 7 4" xfId="45862" xr:uid="{00000000-0005-0000-0000-000060E80000}"/>
    <cellStyle name="Remarque 7 2 5 8" xfId="11855" xr:uid="{00000000-0005-0000-0000-000061E80000}"/>
    <cellStyle name="Remarque 7 2 5 8 2" xfId="23131" xr:uid="{00000000-0005-0000-0000-000062E80000}"/>
    <cellStyle name="Remarque 7 2 5 8 3" xfId="47091" xr:uid="{00000000-0005-0000-0000-000063E80000}"/>
    <cellStyle name="Remarque 7 2 5 9" xfId="2107" xr:uid="{00000000-0005-0000-0000-000064E80000}"/>
    <cellStyle name="Remarque 7 2 5 9 2" xfId="26121" xr:uid="{00000000-0005-0000-0000-000065E80000}"/>
    <cellStyle name="Remarque 7 2 5 9 3" xfId="50081" xr:uid="{00000000-0005-0000-0000-000066E80000}"/>
    <cellStyle name="Remarque 7 2 6" xfId="865" xr:uid="{00000000-0005-0000-0000-000067E80000}"/>
    <cellStyle name="Remarque 7 2 6 10" xfId="24897" xr:uid="{00000000-0005-0000-0000-000068E80000}"/>
    <cellStyle name="Remarque 7 2 6 10 2" xfId="48857" xr:uid="{00000000-0005-0000-0000-000069E80000}"/>
    <cellStyle name="Remarque 7 2 6 11" xfId="36713" xr:uid="{00000000-0005-0000-0000-00006AE80000}"/>
    <cellStyle name="Remarque 7 2 6 11 2" xfId="60673" xr:uid="{00000000-0005-0000-0000-00006BE80000}"/>
    <cellStyle name="Remarque 7 2 6 12" xfId="13562" xr:uid="{00000000-0005-0000-0000-00006CE80000}"/>
    <cellStyle name="Remarque 7 2 6 13" xfId="37522" xr:uid="{00000000-0005-0000-0000-00006DE80000}"/>
    <cellStyle name="Remarque 7 2 6 2" xfId="3771" xr:uid="{00000000-0005-0000-0000-00006EE80000}"/>
    <cellStyle name="Remarque 7 2 6 2 2" xfId="27785" xr:uid="{00000000-0005-0000-0000-00006FE80000}"/>
    <cellStyle name="Remarque 7 2 6 2 2 2" xfId="51745" xr:uid="{00000000-0005-0000-0000-000070E80000}"/>
    <cellStyle name="Remarque 7 2 6 2 3" xfId="15032" xr:uid="{00000000-0005-0000-0000-000071E80000}"/>
    <cellStyle name="Remarque 7 2 6 2 4" xfId="38992" xr:uid="{00000000-0005-0000-0000-000072E80000}"/>
    <cellStyle name="Remarque 7 2 6 3" xfId="5205" xr:uid="{00000000-0005-0000-0000-000073E80000}"/>
    <cellStyle name="Remarque 7 2 6 3 2" xfId="29219" xr:uid="{00000000-0005-0000-0000-000074E80000}"/>
    <cellStyle name="Remarque 7 2 6 3 2 2" xfId="53179" xr:uid="{00000000-0005-0000-0000-000075E80000}"/>
    <cellStyle name="Remarque 7 2 6 3 3" xfId="16466" xr:uid="{00000000-0005-0000-0000-000076E80000}"/>
    <cellStyle name="Remarque 7 2 6 3 4" xfId="40426" xr:uid="{00000000-0005-0000-0000-000077E80000}"/>
    <cellStyle name="Remarque 7 2 6 4" xfId="6599" xr:uid="{00000000-0005-0000-0000-000078E80000}"/>
    <cellStyle name="Remarque 7 2 6 4 2" xfId="30613" xr:uid="{00000000-0005-0000-0000-000079E80000}"/>
    <cellStyle name="Remarque 7 2 6 4 2 2" xfId="54573" xr:uid="{00000000-0005-0000-0000-00007AE80000}"/>
    <cellStyle name="Remarque 7 2 6 4 3" xfId="17860" xr:uid="{00000000-0005-0000-0000-00007BE80000}"/>
    <cellStyle name="Remarque 7 2 6 4 4" xfId="41820" xr:uid="{00000000-0005-0000-0000-00007CE80000}"/>
    <cellStyle name="Remarque 7 2 6 5" xfId="7987" xr:uid="{00000000-0005-0000-0000-00007DE80000}"/>
    <cellStyle name="Remarque 7 2 6 5 2" xfId="32001" xr:uid="{00000000-0005-0000-0000-00007EE80000}"/>
    <cellStyle name="Remarque 7 2 6 5 2 2" xfId="55961" xr:uid="{00000000-0005-0000-0000-00007FE80000}"/>
    <cellStyle name="Remarque 7 2 6 5 3" xfId="19248" xr:uid="{00000000-0005-0000-0000-000080E80000}"/>
    <cellStyle name="Remarque 7 2 6 5 4" xfId="43208" xr:uid="{00000000-0005-0000-0000-000081E80000}"/>
    <cellStyle name="Remarque 7 2 6 6" xfId="9372" xr:uid="{00000000-0005-0000-0000-000082E80000}"/>
    <cellStyle name="Remarque 7 2 6 6 2" xfId="33386" xr:uid="{00000000-0005-0000-0000-000083E80000}"/>
    <cellStyle name="Remarque 7 2 6 6 2 2" xfId="57346" xr:uid="{00000000-0005-0000-0000-000084E80000}"/>
    <cellStyle name="Remarque 7 2 6 6 3" xfId="20633" xr:uid="{00000000-0005-0000-0000-000085E80000}"/>
    <cellStyle name="Remarque 7 2 6 6 4" xfId="44593" xr:uid="{00000000-0005-0000-0000-000086E80000}"/>
    <cellStyle name="Remarque 7 2 6 7" xfId="10829" xr:uid="{00000000-0005-0000-0000-000087E80000}"/>
    <cellStyle name="Remarque 7 2 6 7 2" xfId="34839" xr:uid="{00000000-0005-0000-0000-000088E80000}"/>
    <cellStyle name="Remarque 7 2 6 7 2 2" xfId="58799" xr:uid="{00000000-0005-0000-0000-000089E80000}"/>
    <cellStyle name="Remarque 7 2 6 7 3" xfId="22096" xr:uid="{00000000-0005-0000-0000-00008AE80000}"/>
    <cellStyle name="Remarque 7 2 6 7 4" xfId="46056" xr:uid="{00000000-0005-0000-0000-00008BE80000}"/>
    <cellStyle name="Remarque 7 2 6 8" xfId="12343" xr:uid="{00000000-0005-0000-0000-00008CE80000}"/>
    <cellStyle name="Remarque 7 2 6 8 2" xfId="23631" xr:uid="{00000000-0005-0000-0000-00008DE80000}"/>
    <cellStyle name="Remarque 7 2 6 8 3" xfId="47591" xr:uid="{00000000-0005-0000-0000-00008EE80000}"/>
    <cellStyle name="Remarque 7 2 6 9" xfId="2301" xr:uid="{00000000-0005-0000-0000-00008FE80000}"/>
    <cellStyle name="Remarque 7 2 6 9 2" xfId="26315" xr:uid="{00000000-0005-0000-0000-000090E80000}"/>
    <cellStyle name="Remarque 7 2 6 9 3" xfId="50275" xr:uid="{00000000-0005-0000-0000-000091E80000}"/>
    <cellStyle name="Remarque 7 2 7" xfId="1058" xr:uid="{00000000-0005-0000-0000-000092E80000}"/>
    <cellStyle name="Remarque 7 2 7 10" xfId="25090" xr:uid="{00000000-0005-0000-0000-000093E80000}"/>
    <cellStyle name="Remarque 7 2 7 10 2" xfId="49050" xr:uid="{00000000-0005-0000-0000-000094E80000}"/>
    <cellStyle name="Remarque 7 2 7 11" xfId="35805" xr:uid="{00000000-0005-0000-0000-000095E80000}"/>
    <cellStyle name="Remarque 7 2 7 11 2" xfId="59765" xr:uid="{00000000-0005-0000-0000-000096E80000}"/>
    <cellStyle name="Remarque 7 2 7 12" xfId="13755" xr:uid="{00000000-0005-0000-0000-000097E80000}"/>
    <cellStyle name="Remarque 7 2 7 13" xfId="37715" xr:uid="{00000000-0005-0000-0000-000098E80000}"/>
    <cellStyle name="Remarque 7 2 7 2" xfId="3964" xr:uid="{00000000-0005-0000-0000-000099E80000}"/>
    <cellStyle name="Remarque 7 2 7 2 2" xfId="27978" xr:uid="{00000000-0005-0000-0000-00009AE80000}"/>
    <cellStyle name="Remarque 7 2 7 2 2 2" xfId="51938" xr:uid="{00000000-0005-0000-0000-00009BE80000}"/>
    <cellStyle name="Remarque 7 2 7 2 3" xfId="15225" xr:uid="{00000000-0005-0000-0000-00009CE80000}"/>
    <cellStyle name="Remarque 7 2 7 2 4" xfId="39185" xr:uid="{00000000-0005-0000-0000-00009DE80000}"/>
    <cellStyle name="Remarque 7 2 7 3" xfId="5398" xr:uid="{00000000-0005-0000-0000-00009EE80000}"/>
    <cellStyle name="Remarque 7 2 7 3 2" xfId="29412" xr:uid="{00000000-0005-0000-0000-00009FE80000}"/>
    <cellStyle name="Remarque 7 2 7 3 2 2" xfId="53372" xr:uid="{00000000-0005-0000-0000-0000A0E80000}"/>
    <cellStyle name="Remarque 7 2 7 3 3" xfId="16659" xr:uid="{00000000-0005-0000-0000-0000A1E80000}"/>
    <cellStyle name="Remarque 7 2 7 3 4" xfId="40619" xr:uid="{00000000-0005-0000-0000-0000A2E80000}"/>
    <cellStyle name="Remarque 7 2 7 4" xfId="6792" xr:uid="{00000000-0005-0000-0000-0000A3E80000}"/>
    <cellStyle name="Remarque 7 2 7 4 2" xfId="30806" xr:uid="{00000000-0005-0000-0000-0000A4E80000}"/>
    <cellStyle name="Remarque 7 2 7 4 2 2" xfId="54766" xr:uid="{00000000-0005-0000-0000-0000A5E80000}"/>
    <cellStyle name="Remarque 7 2 7 4 3" xfId="18053" xr:uid="{00000000-0005-0000-0000-0000A6E80000}"/>
    <cellStyle name="Remarque 7 2 7 4 4" xfId="42013" xr:uid="{00000000-0005-0000-0000-0000A7E80000}"/>
    <cellStyle name="Remarque 7 2 7 5" xfId="8180" xr:uid="{00000000-0005-0000-0000-0000A8E80000}"/>
    <cellStyle name="Remarque 7 2 7 5 2" xfId="32194" xr:uid="{00000000-0005-0000-0000-0000A9E80000}"/>
    <cellStyle name="Remarque 7 2 7 5 2 2" xfId="56154" xr:uid="{00000000-0005-0000-0000-0000AAE80000}"/>
    <cellStyle name="Remarque 7 2 7 5 3" xfId="19441" xr:uid="{00000000-0005-0000-0000-0000ABE80000}"/>
    <cellStyle name="Remarque 7 2 7 5 4" xfId="43401" xr:uid="{00000000-0005-0000-0000-0000ACE80000}"/>
    <cellStyle name="Remarque 7 2 7 6" xfId="9565" xr:uid="{00000000-0005-0000-0000-0000ADE80000}"/>
    <cellStyle name="Remarque 7 2 7 6 2" xfId="33579" xr:uid="{00000000-0005-0000-0000-0000AEE80000}"/>
    <cellStyle name="Remarque 7 2 7 6 2 2" xfId="57539" xr:uid="{00000000-0005-0000-0000-0000AFE80000}"/>
    <cellStyle name="Remarque 7 2 7 6 3" xfId="20826" xr:uid="{00000000-0005-0000-0000-0000B0E80000}"/>
    <cellStyle name="Remarque 7 2 7 6 4" xfId="44786" xr:uid="{00000000-0005-0000-0000-0000B1E80000}"/>
    <cellStyle name="Remarque 7 2 7 7" xfId="11022" xr:uid="{00000000-0005-0000-0000-0000B2E80000}"/>
    <cellStyle name="Remarque 7 2 7 7 2" xfId="35032" xr:uid="{00000000-0005-0000-0000-0000B3E80000}"/>
    <cellStyle name="Remarque 7 2 7 7 2 2" xfId="58992" xr:uid="{00000000-0005-0000-0000-0000B4E80000}"/>
    <cellStyle name="Remarque 7 2 7 7 3" xfId="22289" xr:uid="{00000000-0005-0000-0000-0000B5E80000}"/>
    <cellStyle name="Remarque 7 2 7 7 4" xfId="46249" xr:uid="{00000000-0005-0000-0000-0000B6E80000}"/>
    <cellStyle name="Remarque 7 2 7 8" xfId="12256" xr:uid="{00000000-0005-0000-0000-0000B7E80000}"/>
    <cellStyle name="Remarque 7 2 7 8 2" xfId="23541" xr:uid="{00000000-0005-0000-0000-0000B8E80000}"/>
    <cellStyle name="Remarque 7 2 7 8 3" xfId="47501" xr:uid="{00000000-0005-0000-0000-0000B9E80000}"/>
    <cellStyle name="Remarque 7 2 7 9" xfId="2494" xr:uid="{00000000-0005-0000-0000-0000BAE80000}"/>
    <cellStyle name="Remarque 7 2 7 9 2" xfId="26508" xr:uid="{00000000-0005-0000-0000-0000BBE80000}"/>
    <cellStyle name="Remarque 7 2 7 9 3" xfId="50468" xr:uid="{00000000-0005-0000-0000-0000BCE80000}"/>
    <cellStyle name="Remarque 7 2 8" xfId="1225" xr:uid="{00000000-0005-0000-0000-0000BDE80000}"/>
    <cellStyle name="Remarque 7 2 8 10" xfId="25257" xr:uid="{00000000-0005-0000-0000-0000BEE80000}"/>
    <cellStyle name="Remarque 7 2 8 10 2" xfId="49217" xr:uid="{00000000-0005-0000-0000-0000BFE80000}"/>
    <cellStyle name="Remarque 7 2 8 11" xfId="36625" xr:uid="{00000000-0005-0000-0000-0000C0E80000}"/>
    <cellStyle name="Remarque 7 2 8 11 2" xfId="60585" xr:uid="{00000000-0005-0000-0000-0000C1E80000}"/>
    <cellStyle name="Remarque 7 2 8 12" xfId="13922" xr:uid="{00000000-0005-0000-0000-0000C2E80000}"/>
    <cellStyle name="Remarque 7 2 8 13" xfId="37882" xr:uid="{00000000-0005-0000-0000-0000C3E80000}"/>
    <cellStyle name="Remarque 7 2 8 2" xfId="4131" xr:uid="{00000000-0005-0000-0000-0000C4E80000}"/>
    <cellStyle name="Remarque 7 2 8 2 2" xfId="28145" xr:uid="{00000000-0005-0000-0000-0000C5E80000}"/>
    <cellStyle name="Remarque 7 2 8 2 2 2" xfId="52105" xr:uid="{00000000-0005-0000-0000-0000C6E80000}"/>
    <cellStyle name="Remarque 7 2 8 2 3" xfId="15392" xr:uid="{00000000-0005-0000-0000-0000C7E80000}"/>
    <cellStyle name="Remarque 7 2 8 2 4" xfId="39352" xr:uid="{00000000-0005-0000-0000-0000C8E80000}"/>
    <cellStyle name="Remarque 7 2 8 3" xfId="5565" xr:uid="{00000000-0005-0000-0000-0000C9E80000}"/>
    <cellStyle name="Remarque 7 2 8 3 2" xfId="29579" xr:uid="{00000000-0005-0000-0000-0000CAE80000}"/>
    <cellStyle name="Remarque 7 2 8 3 2 2" xfId="53539" xr:uid="{00000000-0005-0000-0000-0000CBE80000}"/>
    <cellStyle name="Remarque 7 2 8 3 3" xfId="16826" xr:uid="{00000000-0005-0000-0000-0000CCE80000}"/>
    <cellStyle name="Remarque 7 2 8 3 4" xfId="40786" xr:uid="{00000000-0005-0000-0000-0000CDE80000}"/>
    <cellStyle name="Remarque 7 2 8 4" xfId="6959" xr:uid="{00000000-0005-0000-0000-0000CEE80000}"/>
    <cellStyle name="Remarque 7 2 8 4 2" xfId="30973" xr:uid="{00000000-0005-0000-0000-0000CFE80000}"/>
    <cellStyle name="Remarque 7 2 8 4 2 2" xfId="54933" xr:uid="{00000000-0005-0000-0000-0000D0E80000}"/>
    <cellStyle name="Remarque 7 2 8 4 3" xfId="18220" xr:uid="{00000000-0005-0000-0000-0000D1E80000}"/>
    <cellStyle name="Remarque 7 2 8 4 4" xfId="42180" xr:uid="{00000000-0005-0000-0000-0000D2E80000}"/>
    <cellStyle name="Remarque 7 2 8 5" xfId="8347" xr:uid="{00000000-0005-0000-0000-0000D3E80000}"/>
    <cellStyle name="Remarque 7 2 8 5 2" xfId="32361" xr:uid="{00000000-0005-0000-0000-0000D4E80000}"/>
    <cellStyle name="Remarque 7 2 8 5 2 2" xfId="56321" xr:uid="{00000000-0005-0000-0000-0000D5E80000}"/>
    <cellStyle name="Remarque 7 2 8 5 3" xfId="19608" xr:uid="{00000000-0005-0000-0000-0000D6E80000}"/>
    <cellStyle name="Remarque 7 2 8 5 4" xfId="43568" xr:uid="{00000000-0005-0000-0000-0000D7E80000}"/>
    <cellStyle name="Remarque 7 2 8 6" xfId="9732" xr:uid="{00000000-0005-0000-0000-0000D8E80000}"/>
    <cellStyle name="Remarque 7 2 8 6 2" xfId="33746" xr:uid="{00000000-0005-0000-0000-0000D9E80000}"/>
    <cellStyle name="Remarque 7 2 8 6 2 2" xfId="57706" xr:uid="{00000000-0005-0000-0000-0000DAE80000}"/>
    <cellStyle name="Remarque 7 2 8 6 3" xfId="20993" xr:uid="{00000000-0005-0000-0000-0000DBE80000}"/>
    <cellStyle name="Remarque 7 2 8 6 4" xfId="44953" xr:uid="{00000000-0005-0000-0000-0000DCE80000}"/>
    <cellStyle name="Remarque 7 2 8 7" xfId="11189" xr:uid="{00000000-0005-0000-0000-0000DDE80000}"/>
    <cellStyle name="Remarque 7 2 8 7 2" xfId="35199" xr:uid="{00000000-0005-0000-0000-0000DEE80000}"/>
    <cellStyle name="Remarque 7 2 8 7 2 2" xfId="59159" xr:uid="{00000000-0005-0000-0000-0000DFE80000}"/>
    <cellStyle name="Remarque 7 2 8 7 3" xfId="22456" xr:uid="{00000000-0005-0000-0000-0000E0E80000}"/>
    <cellStyle name="Remarque 7 2 8 7 4" xfId="46416" xr:uid="{00000000-0005-0000-0000-0000E1E80000}"/>
    <cellStyle name="Remarque 7 2 8 8" xfId="12766" xr:uid="{00000000-0005-0000-0000-0000E2E80000}"/>
    <cellStyle name="Remarque 7 2 8 8 2" xfId="24074" xr:uid="{00000000-0005-0000-0000-0000E3E80000}"/>
    <cellStyle name="Remarque 7 2 8 8 3" xfId="48034" xr:uid="{00000000-0005-0000-0000-0000E4E80000}"/>
    <cellStyle name="Remarque 7 2 8 9" xfId="2661" xr:uid="{00000000-0005-0000-0000-0000E5E80000}"/>
    <cellStyle name="Remarque 7 2 8 9 2" xfId="26675" xr:uid="{00000000-0005-0000-0000-0000E6E80000}"/>
    <cellStyle name="Remarque 7 2 8 9 3" xfId="50635" xr:uid="{00000000-0005-0000-0000-0000E7E80000}"/>
    <cellStyle name="Remarque 7 2 9" xfId="1394" xr:uid="{00000000-0005-0000-0000-0000E8E80000}"/>
    <cellStyle name="Remarque 7 2 9 10" xfId="25426" xr:uid="{00000000-0005-0000-0000-0000E9E80000}"/>
    <cellStyle name="Remarque 7 2 9 10 2" xfId="49386" xr:uid="{00000000-0005-0000-0000-0000EAE80000}"/>
    <cellStyle name="Remarque 7 2 9 11" xfId="36606" xr:uid="{00000000-0005-0000-0000-0000EBE80000}"/>
    <cellStyle name="Remarque 7 2 9 11 2" xfId="60566" xr:uid="{00000000-0005-0000-0000-0000ECE80000}"/>
    <cellStyle name="Remarque 7 2 9 12" xfId="14091" xr:uid="{00000000-0005-0000-0000-0000EDE80000}"/>
    <cellStyle name="Remarque 7 2 9 13" xfId="38051" xr:uid="{00000000-0005-0000-0000-0000EEE80000}"/>
    <cellStyle name="Remarque 7 2 9 2" xfId="4300" xr:uid="{00000000-0005-0000-0000-0000EFE80000}"/>
    <cellStyle name="Remarque 7 2 9 2 2" xfId="28314" xr:uid="{00000000-0005-0000-0000-0000F0E80000}"/>
    <cellStyle name="Remarque 7 2 9 2 2 2" xfId="52274" xr:uid="{00000000-0005-0000-0000-0000F1E80000}"/>
    <cellStyle name="Remarque 7 2 9 2 3" xfId="15561" xr:uid="{00000000-0005-0000-0000-0000F2E80000}"/>
    <cellStyle name="Remarque 7 2 9 2 4" xfId="39521" xr:uid="{00000000-0005-0000-0000-0000F3E80000}"/>
    <cellStyle name="Remarque 7 2 9 3" xfId="5734" xr:uid="{00000000-0005-0000-0000-0000F4E80000}"/>
    <cellStyle name="Remarque 7 2 9 3 2" xfId="29748" xr:uid="{00000000-0005-0000-0000-0000F5E80000}"/>
    <cellStyle name="Remarque 7 2 9 3 2 2" xfId="53708" xr:uid="{00000000-0005-0000-0000-0000F6E80000}"/>
    <cellStyle name="Remarque 7 2 9 3 3" xfId="16995" xr:uid="{00000000-0005-0000-0000-0000F7E80000}"/>
    <cellStyle name="Remarque 7 2 9 3 4" xfId="40955" xr:uid="{00000000-0005-0000-0000-0000F8E80000}"/>
    <cellStyle name="Remarque 7 2 9 4" xfId="7128" xr:uid="{00000000-0005-0000-0000-0000F9E80000}"/>
    <cellStyle name="Remarque 7 2 9 4 2" xfId="31142" xr:uid="{00000000-0005-0000-0000-0000FAE80000}"/>
    <cellStyle name="Remarque 7 2 9 4 2 2" xfId="55102" xr:uid="{00000000-0005-0000-0000-0000FBE80000}"/>
    <cellStyle name="Remarque 7 2 9 4 3" xfId="18389" xr:uid="{00000000-0005-0000-0000-0000FCE80000}"/>
    <cellStyle name="Remarque 7 2 9 4 4" xfId="42349" xr:uid="{00000000-0005-0000-0000-0000FDE80000}"/>
    <cellStyle name="Remarque 7 2 9 5" xfId="8516" xr:uid="{00000000-0005-0000-0000-0000FEE80000}"/>
    <cellStyle name="Remarque 7 2 9 5 2" xfId="32530" xr:uid="{00000000-0005-0000-0000-0000FFE80000}"/>
    <cellStyle name="Remarque 7 2 9 5 2 2" xfId="56490" xr:uid="{00000000-0005-0000-0000-000000E90000}"/>
    <cellStyle name="Remarque 7 2 9 5 3" xfId="19777" xr:uid="{00000000-0005-0000-0000-000001E90000}"/>
    <cellStyle name="Remarque 7 2 9 5 4" xfId="43737" xr:uid="{00000000-0005-0000-0000-000002E90000}"/>
    <cellStyle name="Remarque 7 2 9 6" xfId="9901" xr:uid="{00000000-0005-0000-0000-000003E90000}"/>
    <cellStyle name="Remarque 7 2 9 6 2" xfId="33915" xr:uid="{00000000-0005-0000-0000-000004E90000}"/>
    <cellStyle name="Remarque 7 2 9 6 2 2" xfId="57875" xr:uid="{00000000-0005-0000-0000-000005E90000}"/>
    <cellStyle name="Remarque 7 2 9 6 3" xfId="21162" xr:uid="{00000000-0005-0000-0000-000006E90000}"/>
    <cellStyle name="Remarque 7 2 9 6 4" xfId="45122" xr:uid="{00000000-0005-0000-0000-000007E90000}"/>
    <cellStyle name="Remarque 7 2 9 7" xfId="11358" xr:uid="{00000000-0005-0000-0000-000008E90000}"/>
    <cellStyle name="Remarque 7 2 9 7 2" xfId="35368" xr:uid="{00000000-0005-0000-0000-000009E90000}"/>
    <cellStyle name="Remarque 7 2 9 7 2 2" xfId="59328" xr:uid="{00000000-0005-0000-0000-00000AE90000}"/>
    <cellStyle name="Remarque 7 2 9 7 3" xfId="22625" xr:uid="{00000000-0005-0000-0000-00000BE90000}"/>
    <cellStyle name="Remarque 7 2 9 7 4" xfId="46585" xr:uid="{00000000-0005-0000-0000-00000CE90000}"/>
    <cellStyle name="Remarque 7 2 9 8" xfId="12019" xr:uid="{00000000-0005-0000-0000-00000DE90000}"/>
    <cellStyle name="Remarque 7 2 9 8 2" xfId="23298" xr:uid="{00000000-0005-0000-0000-00000EE90000}"/>
    <cellStyle name="Remarque 7 2 9 8 3" xfId="47258" xr:uid="{00000000-0005-0000-0000-00000FE90000}"/>
    <cellStyle name="Remarque 7 2 9 9" xfId="2830" xr:uid="{00000000-0005-0000-0000-000010E90000}"/>
    <cellStyle name="Remarque 7 2 9 9 2" xfId="26844" xr:uid="{00000000-0005-0000-0000-000011E90000}"/>
    <cellStyle name="Remarque 7 2 9 9 3" xfId="50804" xr:uid="{00000000-0005-0000-0000-000012E90000}"/>
    <cellStyle name="Remarque 7 20" xfId="12875" xr:uid="{00000000-0005-0000-0000-000013E90000}"/>
    <cellStyle name="Remarque 7 20 2" xfId="24187" xr:uid="{00000000-0005-0000-0000-000014E90000}"/>
    <cellStyle name="Remarque 7 20 3" xfId="48147" xr:uid="{00000000-0005-0000-0000-000015E90000}"/>
    <cellStyle name="Remarque 7 21" xfId="1644" xr:uid="{00000000-0005-0000-0000-000016E90000}"/>
    <cellStyle name="Remarque 7 21 2" xfId="25658" xr:uid="{00000000-0005-0000-0000-000017E90000}"/>
    <cellStyle name="Remarque 7 21 3" xfId="49618" xr:uid="{00000000-0005-0000-0000-000018E90000}"/>
    <cellStyle name="Remarque 7 22" xfId="21463" xr:uid="{00000000-0005-0000-0000-000019E90000}"/>
    <cellStyle name="Remarque 7 22 2" xfId="45423" xr:uid="{00000000-0005-0000-0000-00001AE90000}"/>
    <cellStyle name="Remarque 7 23" xfId="36043" xr:uid="{00000000-0005-0000-0000-00001BE90000}"/>
    <cellStyle name="Remarque 7 23 2" xfId="60003" xr:uid="{00000000-0005-0000-0000-00001CE90000}"/>
    <cellStyle name="Remarque 7 24" xfId="12924" xr:uid="{00000000-0005-0000-0000-00001DE90000}"/>
    <cellStyle name="Remarque 7 25" xfId="36865" xr:uid="{00000000-0005-0000-0000-00001EE90000}"/>
    <cellStyle name="Remarque 7 26" xfId="180" xr:uid="{00000000-0005-0000-0000-00001FE90000}"/>
    <cellStyle name="Remarque 7 3" xfId="140" xr:uid="{00000000-0005-0000-0000-000020E90000}"/>
    <cellStyle name="Remarque 7 3 10" xfId="6136" xr:uid="{00000000-0005-0000-0000-000021E90000}"/>
    <cellStyle name="Remarque 7 3 10 2" xfId="30150" xr:uid="{00000000-0005-0000-0000-000022E90000}"/>
    <cellStyle name="Remarque 7 3 10 2 2" xfId="54110" xr:uid="{00000000-0005-0000-0000-000023E90000}"/>
    <cellStyle name="Remarque 7 3 10 3" xfId="17397" xr:uid="{00000000-0005-0000-0000-000024E90000}"/>
    <cellStyle name="Remarque 7 3 10 4" xfId="41357" xr:uid="{00000000-0005-0000-0000-000025E90000}"/>
    <cellStyle name="Remarque 7 3 11" xfId="7524" xr:uid="{00000000-0005-0000-0000-000026E90000}"/>
    <cellStyle name="Remarque 7 3 11 2" xfId="31538" xr:uid="{00000000-0005-0000-0000-000027E90000}"/>
    <cellStyle name="Remarque 7 3 11 2 2" xfId="55498" xr:uid="{00000000-0005-0000-0000-000028E90000}"/>
    <cellStyle name="Remarque 7 3 11 3" xfId="18785" xr:uid="{00000000-0005-0000-0000-000029E90000}"/>
    <cellStyle name="Remarque 7 3 11 4" xfId="42745" xr:uid="{00000000-0005-0000-0000-00002AE90000}"/>
    <cellStyle name="Remarque 7 3 12" xfId="8909" xr:uid="{00000000-0005-0000-0000-00002BE90000}"/>
    <cellStyle name="Remarque 7 3 12 2" xfId="32923" xr:uid="{00000000-0005-0000-0000-00002CE90000}"/>
    <cellStyle name="Remarque 7 3 12 2 2" xfId="56883" xr:uid="{00000000-0005-0000-0000-00002DE90000}"/>
    <cellStyle name="Remarque 7 3 12 3" xfId="20170" xr:uid="{00000000-0005-0000-0000-00002EE90000}"/>
    <cellStyle name="Remarque 7 3 12 4" xfId="44130" xr:uid="{00000000-0005-0000-0000-00002FE90000}"/>
    <cellStyle name="Remarque 7 3 13" xfId="10366" xr:uid="{00000000-0005-0000-0000-000030E90000}"/>
    <cellStyle name="Remarque 7 3 13 2" xfId="34376" xr:uid="{00000000-0005-0000-0000-000031E90000}"/>
    <cellStyle name="Remarque 7 3 13 2 2" xfId="58336" xr:uid="{00000000-0005-0000-0000-000032E90000}"/>
    <cellStyle name="Remarque 7 3 13 3" xfId="21633" xr:uid="{00000000-0005-0000-0000-000033E90000}"/>
    <cellStyle name="Remarque 7 3 13 4" xfId="45593" xr:uid="{00000000-0005-0000-0000-000034E90000}"/>
    <cellStyle name="Remarque 7 3 14" xfId="12119" xr:uid="{00000000-0005-0000-0000-000035E90000}"/>
    <cellStyle name="Remarque 7 3 14 2" xfId="23402" xr:uid="{00000000-0005-0000-0000-000036E90000}"/>
    <cellStyle name="Remarque 7 3 14 3" xfId="47362" xr:uid="{00000000-0005-0000-0000-000037E90000}"/>
    <cellStyle name="Remarque 7 3 15" xfId="1838" xr:uid="{00000000-0005-0000-0000-000038E90000}"/>
    <cellStyle name="Remarque 7 3 15 2" xfId="25852" xr:uid="{00000000-0005-0000-0000-000039E90000}"/>
    <cellStyle name="Remarque 7 3 15 3" xfId="49812" xr:uid="{00000000-0005-0000-0000-00003AE90000}"/>
    <cellStyle name="Remarque 7 3 16" xfId="24434" xr:uid="{00000000-0005-0000-0000-00003BE90000}"/>
    <cellStyle name="Remarque 7 3 16 2" xfId="48394" xr:uid="{00000000-0005-0000-0000-00003CE90000}"/>
    <cellStyle name="Remarque 7 3 17" xfId="35881" xr:uid="{00000000-0005-0000-0000-00003DE90000}"/>
    <cellStyle name="Remarque 7 3 17 2" xfId="59841" xr:uid="{00000000-0005-0000-0000-00003EE90000}"/>
    <cellStyle name="Remarque 7 3 18" xfId="13099" xr:uid="{00000000-0005-0000-0000-00003FE90000}"/>
    <cellStyle name="Remarque 7 3 19" xfId="37059" xr:uid="{00000000-0005-0000-0000-000040E90000}"/>
    <cellStyle name="Remarque 7 3 2" xfId="538" xr:uid="{00000000-0005-0000-0000-000041E90000}"/>
    <cellStyle name="Remarque 7 3 2 10" xfId="24570" xr:uid="{00000000-0005-0000-0000-000042E90000}"/>
    <cellStyle name="Remarque 7 3 2 10 2" xfId="48530" xr:uid="{00000000-0005-0000-0000-000043E90000}"/>
    <cellStyle name="Remarque 7 3 2 11" xfId="36087" xr:uid="{00000000-0005-0000-0000-000044E90000}"/>
    <cellStyle name="Remarque 7 3 2 11 2" xfId="60047" xr:uid="{00000000-0005-0000-0000-000045E90000}"/>
    <cellStyle name="Remarque 7 3 2 12" xfId="13235" xr:uid="{00000000-0005-0000-0000-000046E90000}"/>
    <cellStyle name="Remarque 7 3 2 13" xfId="37195" xr:uid="{00000000-0005-0000-0000-000047E90000}"/>
    <cellStyle name="Remarque 7 3 2 2" xfId="3444" xr:uid="{00000000-0005-0000-0000-000048E90000}"/>
    <cellStyle name="Remarque 7 3 2 2 2" xfId="27458" xr:uid="{00000000-0005-0000-0000-000049E90000}"/>
    <cellStyle name="Remarque 7 3 2 2 2 2" xfId="51418" xr:uid="{00000000-0005-0000-0000-00004AE90000}"/>
    <cellStyle name="Remarque 7 3 2 2 3" xfId="14705" xr:uid="{00000000-0005-0000-0000-00004BE90000}"/>
    <cellStyle name="Remarque 7 3 2 2 4" xfId="38665" xr:uid="{00000000-0005-0000-0000-00004CE90000}"/>
    <cellStyle name="Remarque 7 3 2 3" xfId="4878" xr:uid="{00000000-0005-0000-0000-00004DE90000}"/>
    <cellStyle name="Remarque 7 3 2 3 2" xfId="28892" xr:uid="{00000000-0005-0000-0000-00004EE90000}"/>
    <cellStyle name="Remarque 7 3 2 3 2 2" xfId="52852" xr:uid="{00000000-0005-0000-0000-00004FE90000}"/>
    <cellStyle name="Remarque 7 3 2 3 3" xfId="16139" xr:uid="{00000000-0005-0000-0000-000050E90000}"/>
    <cellStyle name="Remarque 7 3 2 3 4" xfId="40099" xr:uid="{00000000-0005-0000-0000-000051E90000}"/>
    <cellStyle name="Remarque 7 3 2 4" xfId="6272" xr:uid="{00000000-0005-0000-0000-000052E90000}"/>
    <cellStyle name="Remarque 7 3 2 4 2" xfId="30286" xr:uid="{00000000-0005-0000-0000-000053E90000}"/>
    <cellStyle name="Remarque 7 3 2 4 2 2" xfId="54246" xr:uid="{00000000-0005-0000-0000-000054E90000}"/>
    <cellStyle name="Remarque 7 3 2 4 3" xfId="17533" xr:uid="{00000000-0005-0000-0000-000055E90000}"/>
    <cellStyle name="Remarque 7 3 2 4 4" xfId="41493" xr:uid="{00000000-0005-0000-0000-000056E90000}"/>
    <cellStyle name="Remarque 7 3 2 5" xfId="7660" xr:uid="{00000000-0005-0000-0000-000057E90000}"/>
    <cellStyle name="Remarque 7 3 2 5 2" xfId="31674" xr:uid="{00000000-0005-0000-0000-000058E90000}"/>
    <cellStyle name="Remarque 7 3 2 5 2 2" xfId="55634" xr:uid="{00000000-0005-0000-0000-000059E90000}"/>
    <cellStyle name="Remarque 7 3 2 5 3" xfId="18921" xr:uid="{00000000-0005-0000-0000-00005AE90000}"/>
    <cellStyle name="Remarque 7 3 2 5 4" xfId="42881" xr:uid="{00000000-0005-0000-0000-00005BE90000}"/>
    <cellStyle name="Remarque 7 3 2 6" xfId="9045" xr:uid="{00000000-0005-0000-0000-00005CE90000}"/>
    <cellStyle name="Remarque 7 3 2 6 2" xfId="33059" xr:uid="{00000000-0005-0000-0000-00005DE90000}"/>
    <cellStyle name="Remarque 7 3 2 6 2 2" xfId="57019" xr:uid="{00000000-0005-0000-0000-00005EE90000}"/>
    <cellStyle name="Remarque 7 3 2 6 3" xfId="20306" xr:uid="{00000000-0005-0000-0000-00005FE90000}"/>
    <cellStyle name="Remarque 7 3 2 6 4" xfId="44266" xr:uid="{00000000-0005-0000-0000-000060E90000}"/>
    <cellStyle name="Remarque 7 3 2 7" xfId="10502" xr:uid="{00000000-0005-0000-0000-000061E90000}"/>
    <cellStyle name="Remarque 7 3 2 7 2" xfId="34512" xr:uid="{00000000-0005-0000-0000-000062E90000}"/>
    <cellStyle name="Remarque 7 3 2 7 2 2" xfId="58472" xr:uid="{00000000-0005-0000-0000-000063E90000}"/>
    <cellStyle name="Remarque 7 3 2 7 3" xfId="21769" xr:uid="{00000000-0005-0000-0000-000064E90000}"/>
    <cellStyle name="Remarque 7 3 2 7 4" xfId="45729" xr:uid="{00000000-0005-0000-0000-000065E90000}"/>
    <cellStyle name="Remarque 7 3 2 8" xfId="12648" xr:uid="{00000000-0005-0000-0000-000066E90000}"/>
    <cellStyle name="Remarque 7 3 2 8 2" xfId="23953" xr:uid="{00000000-0005-0000-0000-000067E90000}"/>
    <cellStyle name="Remarque 7 3 2 8 3" xfId="47913" xr:uid="{00000000-0005-0000-0000-000068E90000}"/>
    <cellStyle name="Remarque 7 3 2 9" xfId="1974" xr:uid="{00000000-0005-0000-0000-000069E90000}"/>
    <cellStyle name="Remarque 7 3 2 9 2" xfId="25988" xr:uid="{00000000-0005-0000-0000-00006AE90000}"/>
    <cellStyle name="Remarque 7 3 2 9 3" xfId="49948" xr:uid="{00000000-0005-0000-0000-00006BE90000}"/>
    <cellStyle name="Remarque 7 3 20" xfId="402" xr:uid="{00000000-0005-0000-0000-00006CE90000}"/>
    <cellStyle name="Remarque 7 3 3" xfId="730" xr:uid="{00000000-0005-0000-0000-00006DE90000}"/>
    <cellStyle name="Remarque 7 3 3 10" xfId="24762" xr:uid="{00000000-0005-0000-0000-00006EE90000}"/>
    <cellStyle name="Remarque 7 3 3 10 2" xfId="48722" xr:uid="{00000000-0005-0000-0000-00006FE90000}"/>
    <cellStyle name="Remarque 7 3 3 11" xfId="36159" xr:uid="{00000000-0005-0000-0000-000070E90000}"/>
    <cellStyle name="Remarque 7 3 3 11 2" xfId="60119" xr:uid="{00000000-0005-0000-0000-000071E90000}"/>
    <cellStyle name="Remarque 7 3 3 12" xfId="13427" xr:uid="{00000000-0005-0000-0000-000072E90000}"/>
    <cellStyle name="Remarque 7 3 3 13" xfId="37387" xr:uid="{00000000-0005-0000-0000-000073E90000}"/>
    <cellStyle name="Remarque 7 3 3 2" xfId="3636" xr:uid="{00000000-0005-0000-0000-000074E90000}"/>
    <cellStyle name="Remarque 7 3 3 2 2" xfId="27650" xr:uid="{00000000-0005-0000-0000-000075E90000}"/>
    <cellStyle name="Remarque 7 3 3 2 2 2" xfId="51610" xr:uid="{00000000-0005-0000-0000-000076E90000}"/>
    <cellStyle name="Remarque 7 3 3 2 3" xfId="14897" xr:uid="{00000000-0005-0000-0000-000077E90000}"/>
    <cellStyle name="Remarque 7 3 3 2 4" xfId="38857" xr:uid="{00000000-0005-0000-0000-000078E90000}"/>
    <cellStyle name="Remarque 7 3 3 3" xfId="5070" xr:uid="{00000000-0005-0000-0000-000079E90000}"/>
    <cellStyle name="Remarque 7 3 3 3 2" xfId="29084" xr:uid="{00000000-0005-0000-0000-00007AE90000}"/>
    <cellStyle name="Remarque 7 3 3 3 2 2" xfId="53044" xr:uid="{00000000-0005-0000-0000-00007BE90000}"/>
    <cellStyle name="Remarque 7 3 3 3 3" xfId="16331" xr:uid="{00000000-0005-0000-0000-00007CE90000}"/>
    <cellStyle name="Remarque 7 3 3 3 4" xfId="40291" xr:uid="{00000000-0005-0000-0000-00007DE90000}"/>
    <cellStyle name="Remarque 7 3 3 4" xfId="6464" xr:uid="{00000000-0005-0000-0000-00007EE90000}"/>
    <cellStyle name="Remarque 7 3 3 4 2" xfId="30478" xr:uid="{00000000-0005-0000-0000-00007FE90000}"/>
    <cellStyle name="Remarque 7 3 3 4 2 2" xfId="54438" xr:uid="{00000000-0005-0000-0000-000080E90000}"/>
    <cellStyle name="Remarque 7 3 3 4 3" xfId="17725" xr:uid="{00000000-0005-0000-0000-000081E90000}"/>
    <cellStyle name="Remarque 7 3 3 4 4" xfId="41685" xr:uid="{00000000-0005-0000-0000-000082E90000}"/>
    <cellStyle name="Remarque 7 3 3 5" xfId="7852" xr:uid="{00000000-0005-0000-0000-000083E90000}"/>
    <cellStyle name="Remarque 7 3 3 5 2" xfId="31866" xr:uid="{00000000-0005-0000-0000-000084E90000}"/>
    <cellStyle name="Remarque 7 3 3 5 2 2" xfId="55826" xr:uid="{00000000-0005-0000-0000-000085E90000}"/>
    <cellStyle name="Remarque 7 3 3 5 3" xfId="19113" xr:uid="{00000000-0005-0000-0000-000086E90000}"/>
    <cellStyle name="Remarque 7 3 3 5 4" xfId="43073" xr:uid="{00000000-0005-0000-0000-000087E90000}"/>
    <cellStyle name="Remarque 7 3 3 6" xfId="9237" xr:uid="{00000000-0005-0000-0000-000088E90000}"/>
    <cellStyle name="Remarque 7 3 3 6 2" xfId="33251" xr:uid="{00000000-0005-0000-0000-000089E90000}"/>
    <cellStyle name="Remarque 7 3 3 6 2 2" xfId="57211" xr:uid="{00000000-0005-0000-0000-00008AE90000}"/>
    <cellStyle name="Remarque 7 3 3 6 3" xfId="20498" xr:uid="{00000000-0005-0000-0000-00008BE90000}"/>
    <cellStyle name="Remarque 7 3 3 6 4" xfId="44458" xr:uid="{00000000-0005-0000-0000-00008CE90000}"/>
    <cellStyle name="Remarque 7 3 3 7" xfId="10694" xr:uid="{00000000-0005-0000-0000-00008DE90000}"/>
    <cellStyle name="Remarque 7 3 3 7 2" xfId="34704" xr:uid="{00000000-0005-0000-0000-00008EE90000}"/>
    <cellStyle name="Remarque 7 3 3 7 2 2" xfId="58664" xr:uid="{00000000-0005-0000-0000-00008FE90000}"/>
    <cellStyle name="Remarque 7 3 3 7 3" xfId="21961" xr:uid="{00000000-0005-0000-0000-000090E90000}"/>
    <cellStyle name="Remarque 7 3 3 7 4" xfId="45921" xr:uid="{00000000-0005-0000-0000-000091E90000}"/>
    <cellStyle name="Remarque 7 3 3 8" xfId="12282" xr:uid="{00000000-0005-0000-0000-000092E90000}"/>
    <cellStyle name="Remarque 7 3 3 8 2" xfId="23569" xr:uid="{00000000-0005-0000-0000-000093E90000}"/>
    <cellStyle name="Remarque 7 3 3 8 3" xfId="47529" xr:uid="{00000000-0005-0000-0000-000094E90000}"/>
    <cellStyle name="Remarque 7 3 3 9" xfId="2166" xr:uid="{00000000-0005-0000-0000-000095E90000}"/>
    <cellStyle name="Remarque 7 3 3 9 2" xfId="26180" xr:uid="{00000000-0005-0000-0000-000096E90000}"/>
    <cellStyle name="Remarque 7 3 3 9 3" xfId="50140" xr:uid="{00000000-0005-0000-0000-000097E90000}"/>
    <cellStyle name="Remarque 7 3 4" xfId="924" xr:uid="{00000000-0005-0000-0000-000098E90000}"/>
    <cellStyle name="Remarque 7 3 4 10" xfId="24956" xr:uid="{00000000-0005-0000-0000-000099E90000}"/>
    <cellStyle name="Remarque 7 3 4 10 2" xfId="48916" xr:uid="{00000000-0005-0000-0000-00009AE90000}"/>
    <cellStyle name="Remarque 7 3 4 11" xfId="36674" xr:uid="{00000000-0005-0000-0000-00009BE90000}"/>
    <cellStyle name="Remarque 7 3 4 11 2" xfId="60634" xr:uid="{00000000-0005-0000-0000-00009CE90000}"/>
    <cellStyle name="Remarque 7 3 4 12" xfId="13621" xr:uid="{00000000-0005-0000-0000-00009DE90000}"/>
    <cellStyle name="Remarque 7 3 4 13" xfId="37581" xr:uid="{00000000-0005-0000-0000-00009EE90000}"/>
    <cellStyle name="Remarque 7 3 4 2" xfId="3830" xr:uid="{00000000-0005-0000-0000-00009FE90000}"/>
    <cellStyle name="Remarque 7 3 4 2 2" xfId="27844" xr:uid="{00000000-0005-0000-0000-0000A0E90000}"/>
    <cellStyle name="Remarque 7 3 4 2 2 2" xfId="51804" xr:uid="{00000000-0005-0000-0000-0000A1E90000}"/>
    <cellStyle name="Remarque 7 3 4 2 3" xfId="15091" xr:uid="{00000000-0005-0000-0000-0000A2E90000}"/>
    <cellStyle name="Remarque 7 3 4 2 4" xfId="39051" xr:uid="{00000000-0005-0000-0000-0000A3E90000}"/>
    <cellStyle name="Remarque 7 3 4 3" xfId="5264" xr:uid="{00000000-0005-0000-0000-0000A4E90000}"/>
    <cellStyle name="Remarque 7 3 4 3 2" xfId="29278" xr:uid="{00000000-0005-0000-0000-0000A5E90000}"/>
    <cellStyle name="Remarque 7 3 4 3 2 2" xfId="53238" xr:uid="{00000000-0005-0000-0000-0000A6E90000}"/>
    <cellStyle name="Remarque 7 3 4 3 3" xfId="16525" xr:uid="{00000000-0005-0000-0000-0000A7E90000}"/>
    <cellStyle name="Remarque 7 3 4 3 4" xfId="40485" xr:uid="{00000000-0005-0000-0000-0000A8E90000}"/>
    <cellStyle name="Remarque 7 3 4 4" xfId="6658" xr:uid="{00000000-0005-0000-0000-0000A9E90000}"/>
    <cellStyle name="Remarque 7 3 4 4 2" xfId="30672" xr:uid="{00000000-0005-0000-0000-0000AAE90000}"/>
    <cellStyle name="Remarque 7 3 4 4 2 2" xfId="54632" xr:uid="{00000000-0005-0000-0000-0000ABE90000}"/>
    <cellStyle name="Remarque 7 3 4 4 3" xfId="17919" xr:uid="{00000000-0005-0000-0000-0000ACE90000}"/>
    <cellStyle name="Remarque 7 3 4 4 4" xfId="41879" xr:uid="{00000000-0005-0000-0000-0000ADE90000}"/>
    <cellStyle name="Remarque 7 3 4 5" xfId="8046" xr:uid="{00000000-0005-0000-0000-0000AEE90000}"/>
    <cellStyle name="Remarque 7 3 4 5 2" xfId="32060" xr:uid="{00000000-0005-0000-0000-0000AFE90000}"/>
    <cellStyle name="Remarque 7 3 4 5 2 2" xfId="56020" xr:uid="{00000000-0005-0000-0000-0000B0E90000}"/>
    <cellStyle name="Remarque 7 3 4 5 3" xfId="19307" xr:uid="{00000000-0005-0000-0000-0000B1E90000}"/>
    <cellStyle name="Remarque 7 3 4 5 4" xfId="43267" xr:uid="{00000000-0005-0000-0000-0000B2E90000}"/>
    <cellStyle name="Remarque 7 3 4 6" xfId="9431" xr:uid="{00000000-0005-0000-0000-0000B3E90000}"/>
    <cellStyle name="Remarque 7 3 4 6 2" xfId="33445" xr:uid="{00000000-0005-0000-0000-0000B4E90000}"/>
    <cellStyle name="Remarque 7 3 4 6 2 2" xfId="57405" xr:uid="{00000000-0005-0000-0000-0000B5E90000}"/>
    <cellStyle name="Remarque 7 3 4 6 3" xfId="20692" xr:uid="{00000000-0005-0000-0000-0000B6E90000}"/>
    <cellStyle name="Remarque 7 3 4 6 4" xfId="44652" xr:uid="{00000000-0005-0000-0000-0000B7E90000}"/>
    <cellStyle name="Remarque 7 3 4 7" xfId="10888" xr:uid="{00000000-0005-0000-0000-0000B8E90000}"/>
    <cellStyle name="Remarque 7 3 4 7 2" xfId="34898" xr:uid="{00000000-0005-0000-0000-0000B9E90000}"/>
    <cellStyle name="Remarque 7 3 4 7 2 2" xfId="58858" xr:uid="{00000000-0005-0000-0000-0000BAE90000}"/>
    <cellStyle name="Remarque 7 3 4 7 3" xfId="22155" xr:uid="{00000000-0005-0000-0000-0000BBE90000}"/>
    <cellStyle name="Remarque 7 3 4 7 4" xfId="46115" xr:uid="{00000000-0005-0000-0000-0000BCE90000}"/>
    <cellStyle name="Remarque 7 3 4 8" xfId="12470" xr:uid="{00000000-0005-0000-0000-0000BDE90000}"/>
    <cellStyle name="Remarque 7 3 4 8 2" xfId="23766" xr:uid="{00000000-0005-0000-0000-0000BEE90000}"/>
    <cellStyle name="Remarque 7 3 4 8 3" xfId="47726" xr:uid="{00000000-0005-0000-0000-0000BFE90000}"/>
    <cellStyle name="Remarque 7 3 4 9" xfId="2360" xr:uid="{00000000-0005-0000-0000-0000C0E90000}"/>
    <cellStyle name="Remarque 7 3 4 9 2" xfId="26374" xr:uid="{00000000-0005-0000-0000-0000C1E90000}"/>
    <cellStyle name="Remarque 7 3 4 9 3" xfId="50334" xr:uid="{00000000-0005-0000-0000-0000C2E90000}"/>
    <cellStyle name="Remarque 7 3 5" xfId="1117" xr:uid="{00000000-0005-0000-0000-0000C3E90000}"/>
    <cellStyle name="Remarque 7 3 5 10" xfId="25149" xr:uid="{00000000-0005-0000-0000-0000C4E90000}"/>
    <cellStyle name="Remarque 7 3 5 10 2" xfId="49109" xr:uid="{00000000-0005-0000-0000-0000C5E90000}"/>
    <cellStyle name="Remarque 7 3 5 11" xfId="36106" xr:uid="{00000000-0005-0000-0000-0000C6E90000}"/>
    <cellStyle name="Remarque 7 3 5 11 2" xfId="60066" xr:uid="{00000000-0005-0000-0000-0000C7E90000}"/>
    <cellStyle name="Remarque 7 3 5 12" xfId="13814" xr:uid="{00000000-0005-0000-0000-0000C8E90000}"/>
    <cellStyle name="Remarque 7 3 5 13" xfId="37774" xr:uid="{00000000-0005-0000-0000-0000C9E90000}"/>
    <cellStyle name="Remarque 7 3 5 2" xfId="4023" xr:uid="{00000000-0005-0000-0000-0000CAE90000}"/>
    <cellStyle name="Remarque 7 3 5 2 2" xfId="28037" xr:uid="{00000000-0005-0000-0000-0000CBE90000}"/>
    <cellStyle name="Remarque 7 3 5 2 2 2" xfId="51997" xr:uid="{00000000-0005-0000-0000-0000CCE90000}"/>
    <cellStyle name="Remarque 7 3 5 2 3" xfId="15284" xr:uid="{00000000-0005-0000-0000-0000CDE90000}"/>
    <cellStyle name="Remarque 7 3 5 2 4" xfId="39244" xr:uid="{00000000-0005-0000-0000-0000CEE90000}"/>
    <cellStyle name="Remarque 7 3 5 3" xfId="5457" xr:uid="{00000000-0005-0000-0000-0000CFE90000}"/>
    <cellStyle name="Remarque 7 3 5 3 2" xfId="29471" xr:uid="{00000000-0005-0000-0000-0000D0E90000}"/>
    <cellStyle name="Remarque 7 3 5 3 2 2" xfId="53431" xr:uid="{00000000-0005-0000-0000-0000D1E90000}"/>
    <cellStyle name="Remarque 7 3 5 3 3" xfId="16718" xr:uid="{00000000-0005-0000-0000-0000D2E90000}"/>
    <cellStyle name="Remarque 7 3 5 3 4" xfId="40678" xr:uid="{00000000-0005-0000-0000-0000D3E90000}"/>
    <cellStyle name="Remarque 7 3 5 4" xfId="6851" xr:uid="{00000000-0005-0000-0000-0000D4E90000}"/>
    <cellStyle name="Remarque 7 3 5 4 2" xfId="30865" xr:uid="{00000000-0005-0000-0000-0000D5E90000}"/>
    <cellStyle name="Remarque 7 3 5 4 2 2" xfId="54825" xr:uid="{00000000-0005-0000-0000-0000D6E90000}"/>
    <cellStyle name="Remarque 7 3 5 4 3" xfId="18112" xr:uid="{00000000-0005-0000-0000-0000D7E90000}"/>
    <cellStyle name="Remarque 7 3 5 4 4" xfId="42072" xr:uid="{00000000-0005-0000-0000-0000D8E90000}"/>
    <cellStyle name="Remarque 7 3 5 5" xfId="8239" xr:uid="{00000000-0005-0000-0000-0000D9E90000}"/>
    <cellStyle name="Remarque 7 3 5 5 2" xfId="32253" xr:uid="{00000000-0005-0000-0000-0000DAE90000}"/>
    <cellStyle name="Remarque 7 3 5 5 2 2" xfId="56213" xr:uid="{00000000-0005-0000-0000-0000DBE90000}"/>
    <cellStyle name="Remarque 7 3 5 5 3" xfId="19500" xr:uid="{00000000-0005-0000-0000-0000DCE90000}"/>
    <cellStyle name="Remarque 7 3 5 5 4" xfId="43460" xr:uid="{00000000-0005-0000-0000-0000DDE90000}"/>
    <cellStyle name="Remarque 7 3 5 6" xfId="9624" xr:uid="{00000000-0005-0000-0000-0000DEE90000}"/>
    <cellStyle name="Remarque 7 3 5 6 2" xfId="33638" xr:uid="{00000000-0005-0000-0000-0000DFE90000}"/>
    <cellStyle name="Remarque 7 3 5 6 2 2" xfId="57598" xr:uid="{00000000-0005-0000-0000-0000E0E90000}"/>
    <cellStyle name="Remarque 7 3 5 6 3" xfId="20885" xr:uid="{00000000-0005-0000-0000-0000E1E90000}"/>
    <cellStyle name="Remarque 7 3 5 6 4" xfId="44845" xr:uid="{00000000-0005-0000-0000-0000E2E90000}"/>
    <cellStyle name="Remarque 7 3 5 7" xfId="11081" xr:uid="{00000000-0005-0000-0000-0000E3E90000}"/>
    <cellStyle name="Remarque 7 3 5 7 2" xfId="35091" xr:uid="{00000000-0005-0000-0000-0000E4E90000}"/>
    <cellStyle name="Remarque 7 3 5 7 2 2" xfId="59051" xr:uid="{00000000-0005-0000-0000-0000E5E90000}"/>
    <cellStyle name="Remarque 7 3 5 7 3" xfId="22348" xr:uid="{00000000-0005-0000-0000-0000E6E90000}"/>
    <cellStyle name="Remarque 7 3 5 7 4" xfId="46308" xr:uid="{00000000-0005-0000-0000-0000E7E90000}"/>
    <cellStyle name="Remarque 7 3 5 8" xfId="12337" xr:uid="{00000000-0005-0000-0000-0000E8E90000}"/>
    <cellStyle name="Remarque 7 3 5 8 2" xfId="23625" xr:uid="{00000000-0005-0000-0000-0000E9E90000}"/>
    <cellStyle name="Remarque 7 3 5 8 3" xfId="47585" xr:uid="{00000000-0005-0000-0000-0000EAE90000}"/>
    <cellStyle name="Remarque 7 3 5 9" xfId="2553" xr:uid="{00000000-0005-0000-0000-0000EBE90000}"/>
    <cellStyle name="Remarque 7 3 5 9 2" xfId="26567" xr:uid="{00000000-0005-0000-0000-0000ECE90000}"/>
    <cellStyle name="Remarque 7 3 5 9 3" xfId="50527" xr:uid="{00000000-0005-0000-0000-0000EDE90000}"/>
    <cellStyle name="Remarque 7 3 6" xfId="1284" xr:uid="{00000000-0005-0000-0000-0000EEE90000}"/>
    <cellStyle name="Remarque 7 3 6 10" xfId="25316" xr:uid="{00000000-0005-0000-0000-0000EFE90000}"/>
    <cellStyle name="Remarque 7 3 6 10 2" xfId="49276" xr:uid="{00000000-0005-0000-0000-0000F0E90000}"/>
    <cellStyle name="Remarque 7 3 6 11" xfId="36149" xr:uid="{00000000-0005-0000-0000-0000F1E90000}"/>
    <cellStyle name="Remarque 7 3 6 11 2" xfId="60109" xr:uid="{00000000-0005-0000-0000-0000F2E90000}"/>
    <cellStyle name="Remarque 7 3 6 12" xfId="13981" xr:uid="{00000000-0005-0000-0000-0000F3E90000}"/>
    <cellStyle name="Remarque 7 3 6 13" xfId="37941" xr:uid="{00000000-0005-0000-0000-0000F4E90000}"/>
    <cellStyle name="Remarque 7 3 6 2" xfId="4190" xr:uid="{00000000-0005-0000-0000-0000F5E90000}"/>
    <cellStyle name="Remarque 7 3 6 2 2" xfId="28204" xr:uid="{00000000-0005-0000-0000-0000F6E90000}"/>
    <cellStyle name="Remarque 7 3 6 2 2 2" xfId="52164" xr:uid="{00000000-0005-0000-0000-0000F7E90000}"/>
    <cellStyle name="Remarque 7 3 6 2 3" xfId="15451" xr:uid="{00000000-0005-0000-0000-0000F8E90000}"/>
    <cellStyle name="Remarque 7 3 6 2 4" xfId="39411" xr:uid="{00000000-0005-0000-0000-0000F9E90000}"/>
    <cellStyle name="Remarque 7 3 6 3" xfId="5624" xr:uid="{00000000-0005-0000-0000-0000FAE90000}"/>
    <cellStyle name="Remarque 7 3 6 3 2" xfId="29638" xr:uid="{00000000-0005-0000-0000-0000FBE90000}"/>
    <cellStyle name="Remarque 7 3 6 3 2 2" xfId="53598" xr:uid="{00000000-0005-0000-0000-0000FCE90000}"/>
    <cellStyle name="Remarque 7 3 6 3 3" xfId="16885" xr:uid="{00000000-0005-0000-0000-0000FDE90000}"/>
    <cellStyle name="Remarque 7 3 6 3 4" xfId="40845" xr:uid="{00000000-0005-0000-0000-0000FEE90000}"/>
    <cellStyle name="Remarque 7 3 6 4" xfId="7018" xr:uid="{00000000-0005-0000-0000-0000FFE90000}"/>
    <cellStyle name="Remarque 7 3 6 4 2" xfId="31032" xr:uid="{00000000-0005-0000-0000-000000EA0000}"/>
    <cellStyle name="Remarque 7 3 6 4 2 2" xfId="54992" xr:uid="{00000000-0005-0000-0000-000001EA0000}"/>
    <cellStyle name="Remarque 7 3 6 4 3" xfId="18279" xr:uid="{00000000-0005-0000-0000-000002EA0000}"/>
    <cellStyle name="Remarque 7 3 6 4 4" xfId="42239" xr:uid="{00000000-0005-0000-0000-000003EA0000}"/>
    <cellStyle name="Remarque 7 3 6 5" xfId="8406" xr:uid="{00000000-0005-0000-0000-000004EA0000}"/>
    <cellStyle name="Remarque 7 3 6 5 2" xfId="32420" xr:uid="{00000000-0005-0000-0000-000005EA0000}"/>
    <cellStyle name="Remarque 7 3 6 5 2 2" xfId="56380" xr:uid="{00000000-0005-0000-0000-000006EA0000}"/>
    <cellStyle name="Remarque 7 3 6 5 3" xfId="19667" xr:uid="{00000000-0005-0000-0000-000007EA0000}"/>
    <cellStyle name="Remarque 7 3 6 5 4" xfId="43627" xr:uid="{00000000-0005-0000-0000-000008EA0000}"/>
    <cellStyle name="Remarque 7 3 6 6" xfId="9791" xr:uid="{00000000-0005-0000-0000-000009EA0000}"/>
    <cellStyle name="Remarque 7 3 6 6 2" xfId="33805" xr:uid="{00000000-0005-0000-0000-00000AEA0000}"/>
    <cellStyle name="Remarque 7 3 6 6 2 2" xfId="57765" xr:uid="{00000000-0005-0000-0000-00000BEA0000}"/>
    <cellStyle name="Remarque 7 3 6 6 3" xfId="21052" xr:uid="{00000000-0005-0000-0000-00000CEA0000}"/>
    <cellStyle name="Remarque 7 3 6 6 4" xfId="45012" xr:uid="{00000000-0005-0000-0000-00000DEA0000}"/>
    <cellStyle name="Remarque 7 3 6 7" xfId="11248" xr:uid="{00000000-0005-0000-0000-00000EEA0000}"/>
    <cellStyle name="Remarque 7 3 6 7 2" xfId="35258" xr:uid="{00000000-0005-0000-0000-00000FEA0000}"/>
    <cellStyle name="Remarque 7 3 6 7 2 2" xfId="59218" xr:uid="{00000000-0005-0000-0000-000010EA0000}"/>
    <cellStyle name="Remarque 7 3 6 7 3" xfId="22515" xr:uid="{00000000-0005-0000-0000-000011EA0000}"/>
    <cellStyle name="Remarque 7 3 6 7 4" xfId="46475" xr:uid="{00000000-0005-0000-0000-000012EA0000}"/>
    <cellStyle name="Remarque 7 3 6 8" xfId="12325" xr:uid="{00000000-0005-0000-0000-000013EA0000}"/>
    <cellStyle name="Remarque 7 3 6 8 2" xfId="23613" xr:uid="{00000000-0005-0000-0000-000014EA0000}"/>
    <cellStyle name="Remarque 7 3 6 8 3" xfId="47573" xr:uid="{00000000-0005-0000-0000-000015EA0000}"/>
    <cellStyle name="Remarque 7 3 6 9" xfId="2720" xr:uid="{00000000-0005-0000-0000-000016EA0000}"/>
    <cellStyle name="Remarque 7 3 6 9 2" xfId="26734" xr:uid="{00000000-0005-0000-0000-000017EA0000}"/>
    <cellStyle name="Remarque 7 3 6 9 3" xfId="50694" xr:uid="{00000000-0005-0000-0000-000018EA0000}"/>
    <cellStyle name="Remarque 7 3 7" xfId="1453" xr:uid="{00000000-0005-0000-0000-000019EA0000}"/>
    <cellStyle name="Remarque 7 3 7 10" xfId="25485" xr:uid="{00000000-0005-0000-0000-00001AEA0000}"/>
    <cellStyle name="Remarque 7 3 7 10 2" xfId="49445" xr:uid="{00000000-0005-0000-0000-00001BEA0000}"/>
    <cellStyle name="Remarque 7 3 7 11" xfId="36288" xr:uid="{00000000-0005-0000-0000-00001CEA0000}"/>
    <cellStyle name="Remarque 7 3 7 11 2" xfId="60248" xr:uid="{00000000-0005-0000-0000-00001DEA0000}"/>
    <cellStyle name="Remarque 7 3 7 12" xfId="14150" xr:uid="{00000000-0005-0000-0000-00001EEA0000}"/>
    <cellStyle name="Remarque 7 3 7 13" xfId="38110" xr:uid="{00000000-0005-0000-0000-00001FEA0000}"/>
    <cellStyle name="Remarque 7 3 7 2" xfId="4359" xr:uid="{00000000-0005-0000-0000-000020EA0000}"/>
    <cellStyle name="Remarque 7 3 7 2 2" xfId="28373" xr:uid="{00000000-0005-0000-0000-000021EA0000}"/>
    <cellStyle name="Remarque 7 3 7 2 2 2" xfId="52333" xr:uid="{00000000-0005-0000-0000-000022EA0000}"/>
    <cellStyle name="Remarque 7 3 7 2 3" xfId="15620" xr:uid="{00000000-0005-0000-0000-000023EA0000}"/>
    <cellStyle name="Remarque 7 3 7 2 4" xfId="39580" xr:uid="{00000000-0005-0000-0000-000024EA0000}"/>
    <cellStyle name="Remarque 7 3 7 3" xfId="5793" xr:uid="{00000000-0005-0000-0000-000025EA0000}"/>
    <cellStyle name="Remarque 7 3 7 3 2" xfId="29807" xr:uid="{00000000-0005-0000-0000-000026EA0000}"/>
    <cellStyle name="Remarque 7 3 7 3 2 2" xfId="53767" xr:uid="{00000000-0005-0000-0000-000027EA0000}"/>
    <cellStyle name="Remarque 7 3 7 3 3" xfId="17054" xr:uid="{00000000-0005-0000-0000-000028EA0000}"/>
    <cellStyle name="Remarque 7 3 7 3 4" xfId="41014" xr:uid="{00000000-0005-0000-0000-000029EA0000}"/>
    <cellStyle name="Remarque 7 3 7 4" xfId="7187" xr:uid="{00000000-0005-0000-0000-00002AEA0000}"/>
    <cellStyle name="Remarque 7 3 7 4 2" xfId="31201" xr:uid="{00000000-0005-0000-0000-00002BEA0000}"/>
    <cellStyle name="Remarque 7 3 7 4 2 2" xfId="55161" xr:uid="{00000000-0005-0000-0000-00002CEA0000}"/>
    <cellStyle name="Remarque 7 3 7 4 3" xfId="18448" xr:uid="{00000000-0005-0000-0000-00002DEA0000}"/>
    <cellStyle name="Remarque 7 3 7 4 4" xfId="42408" xr:uid="{00000000-0005-0000-0000-00002EEA0000}"/>
    <cellStyle name="Remarque 7 3 7 5" xfId="8575" xr:uid="{00000000-0005-0000-0000-00002FEA0000}"/>
    <cellStyle name="Remarque 7 3 7 5 2" xfId="32589" xr:uid="{00000000-0005-0000-0000-000030EA0000}"/>
    <cellStyle name="Remarque 7 3 7 5 2 2" xfId="56549" xr:uid="{00000000-0005-0000-0000-000031EA0000}"/>
    <cellStyle name="Remarque 7 3 7 5 3" xfId="19836" xr:uid="{00000000-0005-0000-0000-000032EA0000}"/>
    <cellStyle name="Remarque 7 3 7 5 4" xfId="43796" xr:uid="{00000000-0005-0000-0000-000033EA0000}"/>
    <cellStyle name="Remarque 7 3 7 6" xfId="9960" xr:uid="{00000000-0005-0000-0000-000034EA0000}"/>
    <cellStyle name="Remarque 7 3 7 6 2" xfId="33974" xr:uid="{00000000-0005-0000-0000-000035EA0000}"/>
    <cellStyle name="Remarque 7 3 7 6 2 2" xfId="57934" xr:uid="{00000000-0005-0000-0000-000036EA0000}"/>
    <cellStyle name="Remarque 7 3 7 6 3" xfId="21221" xr:uid="{00000000-0005-0000-0000-000037EA0000}"/>
    <cellStyle name="Remarque 7 3 7 6 4" xfId="45181" xr:uid="{00000000-0005-0000-0000-000038EA0000}"/>
    <cellStyle name="Remarque 7 3 7 7" xfId="11417" xr:uid="{00000000-0005-0000-0000-000039EA0000}"/>
    <cellStyle name="Remarque 7 3 7 7 2" xfId="35427" xr:uid="{00000000-0005-0000-0000-00003AEA0000}"/>
    <cellStyle name="Remarque 7 3 7 7 2 2" xfId="59387" xr:uid="{00000000-0005-0000-0000-00003BEA0000}"/>
    <cellStyle name="Remarque 7 3 7 7 3" xfId="22684" xr:uid="{00000000-0005-0000-0000-00003CEA0000}"/>
    <cellStyle name="Remarque 7 3 7 7 4" xfId="46644" xr:uid="{00000000-0005-0000-0000-00003DEA0000}"/>
    <cellStyle name="Remarque 7 3 7 8" xfId="12339" xr:uid="{00000000-0005-0000-0000-00003EEA0000}"/>
    <cellStyle name="Remarque 7 3 7 8 2" xfId="23627" xr:uid="{00000000-0005-0000-0000-00003FEA0000}"/>
    <cellStyle name="Remarque 7 3 7 8 3" xfId="47587" xr:uid="{00000000-0005-0000-0000-000040EA0000}"/>
    <cellStyle name="Remarque 7 3 7 9" xfId="2889" xr:uid="{00000000-0005-0000-0000-000041EA0000}"/>
    <cellStyle name="Remarque 7 3 7 9 2" xfId="26903" xr:uid="{00000000-0005-0000-0000-000042EA0000}"/>
    <cellStyle name="Remarque 7 3 7 9 3" xfId="50863" xr:uid="{00000000-0005-0000-0000-000043EA0000}"/>
    <cellStyle name="Remarque 7 3 8" xfId="3308" xr:uid="{00000000-0005-0000-0000-000044EA0000}"/>
    <cellStyle name="Remarque 7 3 8 2" xfId="27322" xr:uid="{00000000-0005-0000-0000-000045EA0000}"/>
    <cellStyle name="Remarque 7 3 8 2 2" xfId="51282" xr:uid="{00000000-0005-0000-0000-000046EA0000}"/>
    <cellStyle name="Remarque 7 3 8 3" xfId="14569" xr:uid="{00000000-0005-0000-0000-000047EA0000}"/>
    <cellStyle name="Remarque 7 3 8 4" xfId="38529" xr:uid="{00000000-0005-0000-0000-000048EA0000}"/>
    <cellStyle name="Remarque 7 3 9" xfId="4742" xr:uid="{00000000-0005-0000-0000-000049EA0000}"/>
    <cellStyle name="Remarque 7 3 9 2" xfId="28756" xr:uid="{00000000-0005-0000-0000-00004AEA0000}"/>
    <cellStyle name="Remarque 7 3 9 2 2" xfId="52716" xr:uid="{00000000-0005-0000-0000-00004BEA0000}"/>
    <cellStyle name="Remarque 7 3 9 3" xfId="16003" xr:uid="{00000000-0005-0000-0000-00004CEA0000}"/>
    <cellStyle name="Remarque 7 3 9 4" xfId="39963" xr:uid="{00000000-0005-0000-0000-00004DEA0000}"/>
    <cellStyle name="Remarque 7 4" xfId="442" xr:uid="{00000000-0005-0000-0000-00004EEA0000}"/>
    <cellStyle name="Remarque 7 4 10" xfId="6176" xr:uid="{00000000-0005-0000-0000-00004FEA0000}"/>
    <cellStyle name="Remarque 7 4 10 2" xfId="30190" xr:uid="{00000000-0005-0000-0000-000050EA0000}"/>
    <cellStyle name="Remarque 7 4 10 2 2" xfId="54150" xr:uid="{00000000-0005-0000-0000-000051EA0000}"/>
    <cellStyle name="Remarque 7 4 10 3" xfId="17437" xr:uid="{00000000-0005-0000-0000-000052EA0000}"/>
    <cellStyle name="Remarque 7 4 10 4" xfId="41397" xr:uid="{00000000-0005-0000-0000-000053EA0000}"/>
    <cellStyle name="Remarque 7 4 11" xfId="7564" xr:uid="{00000000-0005-0000-0000-000054EA0000}"/>
    <cellStyle name="Remarque 7 4 11 2" xfId="31578" xr:uid="{00000000-0005-0000-0000-000055EA0000}"/>
    <cellStyle name="Remarque 7 4 11 2 2" xfId="55538" xr:uid="{00000000-0005-0000-0000-000056EA0000}"/>
    <cellStyle name="Remarque 7 4 11 3" xfId="18825" xr:uid="{00000000-0005-0000-0000-000057EA0000}"/>
    <cellStyle name="Remarque 7 4 11 4" xfId="42785" xr:uid="{00000000-0005-0000-0000-000058EA0000}"/>
    <cellStyle name="Remarque 7 4 12" xfId="8949" xr:uid="{00000000-0005-0000-0000-000059EA0000}"/>
    <cellStyle name="Remarque 7 4 12 2" xfId="32963" xr:uid="{00000000-0005-0000-0000-00005AEA0000}"/>
    <cellStyle name="Remarque 7 4 12 2 2" xfId="56923" xr:uid="{00000000-0005-0000-0000-00005BEA0000}"/>
    <cellStyle name="Remarque 7 4 12 3" xfId="20210" xr:uid="{00000000-0005-0000-0000-00005CEA0000}"/>
    <cellStyle name="Remarque 7 4 12 4" xfId="44170" xr:uid="{00000000-0005-0000-0000-00005DEA0000}"/>
    <cellStyle name="Remarque 7 4 13" xfId="10406" xr:uid="{00000000-0005-0000-0000-00005EEA0000}"/>
    <cellStyle name="Remarque 7 4 13 2" xfId="34416" xr:uid="{00000000-0005-0000-0000-00005FEA0000}"/>
    <cellStyle name="Remarque 7 4 13 2 2" xfId="58376" xr:uid="{00000000-0005-0000-0000-000060EA0000}"/>
    <cellStyle name="Remarque 7 4 13 3" xfId="21673" xr:uid="{00000000-0005-0000-0000-000061EA0000}"/>
    <cellStyle name="Remarque 7 4 13 4" xfId="45633" xr:uid="{00000000-0005-0000-0000-000062EA0000}"/>
    <cellStyle name="Remarque 7 4 14" xfId="12748" xr:uid="{00000000-0005-0000-0000-000063EA0000}"/>
    <cellStyle name="Remarque 7 4 14 2" xfId="24055" xr:uid="{00000000-0005-0000-0000-000064EA0000}"/>
    <cellStyle name="Remarque 7 4 14 3" xfId="48015" xr:uid="{00000000-0005-0000-0000-000065EA0000}"/>
    <cellStyle name="Remarque 7 4 15" xfId="1878" xr:uid="{00000000-0005-0000-0000-000066EA0000}"/>
    <cellStyle name="Remarque 7 4 15 2" xfId="25892" xr:uid="{00000000-0005-0000-0000-000067EA0000}"/>
    <cellStyle name="Remarque 7 4 15 3" xfId="49852" xr:uid="{00000000-0005-0000-0000-000068EA0000}"/>
    <cellStyle name="Remarque 7 4 16" xfId="24474" xr:uid="{00000000-0005-0000-0000-000069EA0000}"/>
    <cellStyle name="Remarque 7 4 16 2" xfId="48434" xr:uid="{00000000-0005-0000-0000-00006AEA0000}"/>
    <cellStyle name="Remarque 7 4 17" xfId="36417" xr:uid="{00000000-0005-0000-0000-00006BEA0000}"/>
    <cellStyle name="Remarque 7 4 17 2" xfId="60377" xr:uid="{00000000-0005-0000-0000-00006CEA0000}"/>
    <cellStyle name="Remarque 7 4 18" xfId="13139" xr:uid="{00000000-0005-0000-0000-00006DEA0000}"/>
    <cellStyle name="Remarque 7 4 19" xfId="37099" xr:uid="{00000000-0005-0000-0000-00006EEA0000}"/>
    <cellStyle name="Remarque 7 4 2" xfId="578" xr:uid="{00000000-0005-0000-0000-00006FEA0000}"/>
    <cellStyle name="Remarque 7 4 2 10" xfId="24610" xr:uid="{00000000-0005-0000-0000-000070EA0000}"/>
    <cellStyle name="Remarque 7 4 2 10 2" xfId="48570" xr:uid="{00000000-0005-0000-0000-000071EA0000}"/>
    <cellStyle name="Remarque 7 4 2 11" xfId="36166" xr:uid="{00000000-0005-0000-0000-000072EA0000}"/>
    <cellStyle name="Remarque 7 4 2 11 2" xfId="60126" xr:uid="{00000000-0005-0000-0000-000073EA0000}"/>
    <cellStyle name="Remarque 7 4 2 12" xfId="13275" xr:uid="{00000000-0005-0000-0000-000074EA0000}"/>
    <cellStyle name="Remarque 7 4 2 13" xfId="37235" xr:uid="{00000000-0005-0000-0000-000075EA0000}"/>
    <cellStyle name="Remarque 7 4 2 2" xfId="3484" xr:uid="{00000000-0005-0000-0000-000076EA0000}"/>
    <cellStyle name="Remarque 7 4 2 2 2" xfId="27498" xr:uid="{00000000-0005-0000-0000-000077EA0000}"/>
    <cellStyle name="Remarque 7 4 2 2 2 2" xfId="51458" xr:uid="{00000000-0005-0000-0000-000078EA0000}"/>
    <cellStyle name="Remarque 7 4 2 2 3" xfId="14745" xr:uid="{00000000-0005-0000-0000-000079EA0000}"/>
    <cellStyle name="Remarque 7 4 2 2 4" xfId="38705" xr:uid="{00000000-0005-0000-0000-00007AEA0000}"/>
    <cellStyle name="Remarque 7 4 2 3" xfId="4918" xr:uid="{00000000-0005-0000-0000-00007BEA0000}"/>
    <cellStyle name="Remarque 7 4 2 3 2" xfId="28932" xr:uid="{00000000-0005-0000-0000-00007CEA0000}"/>
    <cellStyle name="Remarque 7 4 2 3 2 2" xfId="52892" xr:uid="{00000000-0005-0000-0000-00007DEA0000}"/>
    <cellStyle name="Remarque 7 4 2 3 3" xfId="16179" xr:uid="{00000000-0005-0000-0000-00007EEA0000}"/>
    <cellStyle name="Remarque 7 4 2 3 4" xfId="40139" xr:uid="{00000000-0005-0000-0000-00007FEA0000}"/>
    <cellStyle name="Remarque 7 4 2 4" xfId="6312" xr:uid="{00000000-0005-0000-0000-000080EA0000}"/>
    <cellStyle name="Remarque 7 4 2 4 2" xfId="30326" xr:uid="{00000000-0005-0000-0000-000081EA0000}"/>
    <cellStyle name="Remarque 7 4 2 4 2 2" xfId="54286" xr:uid="{00000000-0005-0000-0000-000082EA0000}"/>
    <cellStyle name="Remarque 7 4 2 4 3" xfId="17573" xr:uid="{00000000-0005-0000-0000-000083EA0000}"/>
    <cellStyle name="Remarque 7 4 2 4 4" xfId="41533" xr:uid="{00000000-0005-0000-0000-000084EA0000}"/>
    <cellStyle name="Remarque 7 4 2 5" xfId="7700" xr:uid="{00000000-0005-0000-0000-000085EA0000}"/>
    <cellStyle name="Remarque 7 4 2 5 2" xfId="31714" xr:uid="{00000000-0005-0000-0000-000086EA0000}"/>
    <cellStyle name="Remarque 7 4 2 5 2 2" xfId="55674" xr:uid="{00000000-0005-0000-0000-000087EA0000}"/>
    <cellStyle name="Remarque 7 4 2 5 3" xfId="18961" xr:uid="{00000000-0005-0000-0000-000088EA0000}"/>
    <cellStyle name="Remarque 7 4 2 5 4" xfId="42921" xr:uid="{00000000-0005-0000-0000-000089EA0000}"/>
    <cellStyle name="Remarque 7 4 2 6" xfId="9085" xr:uid="{00000000-0005-0000-0000-00008AEA0000}"/>
    <cellStyle name="Remarque 7 4 2 6 2" xfId="33099" xr:uid="{00000000-0005-0000-0000-00008BEA0000}"/>
    <cellStyle name="Remarque 7 4 2 6 2 2" xfId="57059" xr:uid="{00000000-0005-0000-0000-00008CEA0000}"/>
    <cellStyle name="Remarque 7 4 2 6 3" xfId="20346" xr:uid="{00000000-0005-0000-0000-00008DEA0000}"/>
    <cellStyle name="Remarque 7 4 2 6 4" xfId="44306" xr:uid="{00000000-0005-0000-0000-00008EEA0000}"/>
    <cellStyle name="Remarque 7 4 2 7" xfId="10542" xr:uid="{00000000-0005-0000-0000-00008FEA0000}"/>
    <cellStyle name="Remarque 7 4 2 7 2" xfId="34552" xr:uid="{00000000-0005-0000-0000-000090EA0000}"/>
    <cellStyle name="Remarque 7 4 2 7 2 2" xfId="58512" xr:uid="{00000000-0005-0000-0000-000091EA0000}"/>
    <cellStyle name="Remarque 7 4 2 7 3" xfId="21809" xr:uid="{00000000-0005-0000-0000-000092EA0000}"/>
    <cellStyle name="Remarque 7 4 2 7 4" xfId="45769" xr:uid="{00000000-0005-0000-0000-000093EA0000}"/>
    <cellStyle name="Remarque 7 4 2 8" xfId="12155" xr:uid="{00000000-0005-0000-0000-000094EA0000}"/>
    <cellStyle name="Remarque 7 4 2 8 2" xfId="23438" xr:uid="{00000000-0005-0000-0000-000095EA0000}"/>
    <cellStyle name="Remarque 7 4 2 8 3" xfId="47398" xr:uid="{00000000-0005-0000-0000-000096EA0000}"/>
    <cellStyle name="Remarque 7 4 2 9" xfId="2014" xr:uid="{00000000-0005-0000-0000-000097EA0000}"/>
    <cellStyle name="Remarque 7 4 2 9 2" xfId="26028" xr:uid="{00000000-0005-0000-0000-000098EA0000}"/>
    <cellStyle name="Remarque 7 4 2 9 3" xfId="49988" xr:uid="{00000000-0005-0000-0000-000099EA0000}"/>
    <cellStyle name="Remarque 7 4 3" xfId="770" xr:uid="{00000000-0005-0000-0000-00009AEA0000}"/>
    <cellStyle name="Remarque 7 4 3 10" xfId="24802" xr:uid="{00000000-0005-0000-0000-00009BEA0000}"/>
    <cellStyle name="Remarque 7 4 3 10 2" xfId="48762" xr:uid="{00000000-0005-0000-0000-00009CEA0000}"/>
    <cellStyle name="Remarque 7 4 3 11" xfId="36823" xr:uid="{00000000-0005-0000-0000-00009DEA0000}"/>
    <cellStyle name="Remarque 7 4 3 11 2" xfId="60783" xr:uid="{00000000-0005-0000-0000-00009EEA0000}"/>
    <cellStyle name="Remarque 7 4 3 12" xfId="13467" xr:uid="{00000000-0005-0000-0000-00009FEA0000}"/>
    <cellStyle name="Remarque 7 4 3 13" xfId="37427" xr:uid="{00000000-0005-0000-0000-0000A0EA0000}"/>
    <cellStyle name="Remarque 7 4 3 2" xfId="3676" xr:uid="{00000000-0005-0000-0000-0000A1EA0000}"/>
    <cellStyle name="Remarque 7 4 3 2 2" xfId="27690" xr:uid="{00000000-0005-0000-0000-0000A2EA0000}"/>
    <cellStyle name="Remarque 7 4 3 2 2 2" xfId="51650" xr:uid="{00000000-0005-0000-0000-0000A3EA0000}"/>
    <cellStyle name="Remarque 7 4 3 2 3" xfId="14937" xr:uid="{00000000-0005-0000-0000-0000A4EA0000}"/>
    <cellStyle name="Remarque 7 4 3 2 4" xfId="38897" xr:uid="{00000000-0005-0000-0000-0000A5EA0000}"/>
    <cellStyle name="Remarque 7 4 3 3" xfId="5110" xr:uid="{00000000-0005-0000-0000-0000A6EA0000}"/>
    <cellStyle name="Remarque 7 4 3 3 2" xfId="29124" xr:uid="{00000000-0005-0000-0000-0000A7EA0000}"/>
    <cellStyle name="Remarque 7 4 3 3 2 2" xfId="53084" xr:uid="{00000000-0005-0000-0000-0000A8EA0000}"/>
    <cellStyle name="Remarque 7 4 3 3 3" xfId="16371" xr:uid="{00000000-0005-0000-0000-0000A9EA0000}"/>
    <cellStyle name="Remarque 7 4 3 3 4" xfId="40331" xr:uid="{00000000-0005-0000-0000-0000AAEA0000}"/>
    <cellStyle name="Remarque 7 4 3 4" xfId="6504" xr:uid="{00000000-0005-0000-0000-0000ABEA0000}"/>
    <cellStyle name="Remarque 7 4 3 4 2" xfId="30518" xr:uid="{00000000-0005-0000-0000-0000ACEA0000}"/>
    <cellStyle name="Remarque 7 4 3 4 2 2" xfId="54478" xr:uid="{00000000-0005-0000-0000-0000ADEA0000}"/>
    <cellStyle name="Remarque 7 4 3 4 3" xfId="17765" xr:uid="{00000000-0005-0000-0000-0000AEEA0000}"/>
    <cellStyle name="Remarque 7 4 3 4 4" xfId="41725" xr:uid="{00000000-0005-0000-0000-0000AFEA0000}"/>
    <cellStyle name="Remarque 7 4 3 5" xfId="7892" xr:uid="{00000000-0005-0000-0000-0000B0EA0000}"/>
    <cellStyle name="Remarque 7 4 3 5 2" xfId="31906" xr:uid="{00000000-0005-0000-0000-0000B1EA0000}"/>
    <cellStyle name="Remarque 7 4 3 5 2 2" xfId="55866" xr:uid="{00000000-0005-0000-0000-0000B2EA0000}"/>
    <cellStyle name="Remarque 7 4 3 5 3" xfId="19153" xr:uid="{00000000-0005-0000-0000-0000B3EA0000}"/>
    <cellStyle name="Remarque 7 4 3 5 4" xfId="43113" xr:uid="{00000000-0005-0000-0000-0000B4EA0000}"/>
    <cellStyle name="Remarque 7 4 3 6" xfId="9277" xr:uid="{00000000-0005-0000-0000-0000B5EA0000}"/>
    <cellStyle name="Remarque 7 4 3 6 2" xfId="33291" xr:uid="{00000000-0005-0000-0000-0000B6EA0000}"/>
    <cellStyle name="Remarque 7 4 3 6 2 2" xfId="57251" xr:uid="{00000000-0005-0000-0000-0000B7EA0000}"/>
    <cellStyle name="Remarque 7 4 3 6 3" xfId="20538" xr:uid="{00000000-0005-0000-0000-0000B8EA0000}"/>
    <cellStyle name="Remarque 7 4 3 6 4" xfId="44498" xr:uid="{00000000-0005-0000-0000-0000B9EA0000}"/>
    <cellStyle name="Remarque 7 4 3 7" xfId="10734" xr:uid="{00000000-0005-0000-0000-0000BAEA0000}"/>
    <cellStyle name="Remarque 7 4 3 7 2" xfId="34744" xr:uid="{00000000-0005-0000-0000-0000BBEA0000}"/>
    <cellStyle name="Remarque 7 4 3 7 2 2" xfId="58704" xr:uid="{00000000-0005-0000-0000-0000BCEA0000}"/>
    <cellStyle name="Remarque 7 4 3 7 3" xfId="22001" xr:uid="{00000000-0005-0000-0000-0000BDEA0000}"/>
    <cellStyle name="Remarque 7 4 3 7 4" xfId="45961" xr:uid="{00000000-0005-0000-0000-0000BEEA0000}"/>
    <cellStyle name="Remarque 7 4 3 8" xfId="11662" xr:uid="{00000000-0005-0000-0000-0000BFEA0000}"/>
    <cellStyle name="Remarque 7 4 3 8 2" xfId="22930" xr:uid="{00000000-0005-0000-0000-0000C0EA0000}"/>
    <cellStyle name="Remarque 7 4 3 8 3" xfId="46890" xr:uid="{00000000-0005-0000-0000-0000C1EA0000}"/>
    <cellStyle name="Remarque 7 4 3 9" xfId="2206" xr:uid="{00000000-0005-0000-0000-0000C2EA0000}"/>
    <cellStyle name="Remarque 7 4 3 9 2" xfId="26220" xr:uid="{00000000-0005-0000-0000-0000C3EA0000}"/>
    <cellStyle name="Remarque 7 4 3 9 3" xfId="50180" xr:uid="{00000000-0005-0000-0000-0000C4EA0000}"/>
    <cellStyle name="Remarque 7 4 4" xfId="964" xr:uid="{00000000-0005-0000-0000-0000C5EA0000}"/>
    <cellStyle name="Remarque 7 4 4 10" xfId="24996" xr:uid="{00000000-0005-0000-0000-0000C6EA0000}"/>
    <cellStyle name="Remarque 7 4 4 10 2" xfId="48956" xr:uid="{00000000-0005-0000-0000-0000C7EA0000}"/>
    <cellStyle name="Remarque 7 4 4 11" xfId="36487" xr:uid="{00000000-0005-0000-0000-0000C8EA0000}"/>
    <cellStyle name="Remarque 7 4 4 11 2" xfId="60447" xr:uid="{00000000-0005-0000-0000-0000C9EA0000}"/>
    <cellStyle name="Remarque 7 4 4 12" xfId="13661" xr:uid="{00000000-0005-0000-0000-0000CAEA0000}"/>
    <cellStyle name="Remarque 7 4 4 13" xfId="37621" xr:uid="{00000000-0005-0000-0000-0000CBEA0000}"/>
    <cellStyle name="Remarque 7 4 4 2" xfId="3870" xr:uid="{00000000-0005-0000-0000-0000CCEA0000}"/>
    <cellStyle name="Remarque 7 4 4 2 2" xfId="27884" xr:uid="{00000000-0005-0000-0000-0000CDEA0000}"/>
    <cellStyle name="Remarque 7 4 4 2 2 2" xfId="51844" xr:uid="{00000000-0005-0000-0000-0000CEEA0000}"/>
    <cellStyle name="Remarque 7 4 4 2 3" xfId="15131" xr:uid="{00000000-0005-0000-0000-0000CFEA0000}"/>
    <cellStyle name="Remarque 7 4 4 2 4" xfId="39091" xr:uid="{00000000-0005-0000-0000-0000D0EA0000}"/>
    <cellStyle name="Remarque 7 4 4 3" xfId="5304" xr:uid="{00000000-0005-0000-0000-0000D1EA0000}"/>
    <cellStyle name="Remarque 7 4 4 3 2" xfId="29318" xr:uid="{00000000-0005-0000-0000-0000D2EA0000}"/>
    <cellStyle name="Remarque 7 4 4 3 2 2" xfId="53278" xr:uid="{00000000-0005-0000-0000-0000D3EA0000}"/>
    <cellStyle name="Remarque 7 4 4 3 3" xfId="16565" xr:uid="{00000000-0005-0000-0000-0000D4EA0000}"/>
    <cellStyle name="Remarque 7 4 4 3 4" xfId="40525" xr:uid="{00000000-0005-0000-0000-0000D5EA0000}"/>
    <cellStyle name="Remarque 7 4 4 4" xfId="6698" xr:uid="{00000000-0005-0000-0000-0000D6EA0000}"/>
    <cellStyle name="Remarque 7 4 4 4 2" xfId="30712" xr:uid="{00000000-0005-0000-0000-0000D7EA0000}"/>
    <cellStyle name="Remarque 7 4 4 4 2 2" xfId="54672" xr:uid="{00000000-0005-0000-0000-0000D8EA0000}"/>
    <cellStyle name="Remarque 7 4 4 4 3" xfId="17959" xr:uid="{00000000-0005-0000-0000-0000D9EA0000}"/>
    <cellStyle name="Remarque 7 4 4 4 4" xfId="41919" xr:uid="{00000000-0005-0000-0000-0000DAEA0000}"/>
    <cellStyle name="Remarque 7 4 4 5" xfId="8086" xr:uid="{00000000-0005-0000-0000-0000DBEA0000}"/>
    <cellStyle name="Remarque 7 4 4 5 2" xfId="32100" xr:uid="{00000000-0005-0000-0000-0000DCEA0000}"/>
    <cellStyle name="Remarque 7 4 4 5 2 2" xfId="56060" xr:uid="{00000000-0005-0000-0000-0000DDEA0000}"/>
    <cellStyle name="Remarque 7 4 4 5 3" xfId="19347" xr:uid="{00000000-0005-0000-0000-0000DEEA0000}"/>
    <cellStyle name="Remarque 7 4 4 5 4" xfId="43307" xr:uid="{00000000-0005-0000-0000-0000DFEA0000}"/>
    <cellStyle name="Remarque 7 4 4 6" xfId="9471" xr:uid="{00000000-0005-0000-0000-0000E0EA0000}"/>
    <cellStyle name="Remarque 7 4 4 6 2" xfId="33485" xr:uid="{00000000-0005-0000-0000-0000E1EA0000}"/>
    <cellStyle name="Remarque 7 4 4 6 2 2" xfId="57445" xr:uid="{00000000-0005-0000-0000-0000E2EA0000}"/>
    <cellStyle name="Remarque 7 4 4 6 3" xfId="20732" xr:uid="{00000000-0005-0000-0000-0000E3EA0000}"/>
    <cellStyle name="Remarque 7 4 4 6 4" xfId="44692" xr:uid="{00000000-0005-0000-0000-0000E4EA0000}"/>
    <cellStyle name="Remarque 7 4 4 7" xfId="10928" xr:uid="{00000000-0005-0000-0000-0000E5EA0000}"/>
    <cellStyle name="Remarque 7 4 4 7 2" xfId="34938" xr:uid="{00000000-0005-0000-0000-0000E6EA0000}"/>
    <cellStyle name="Remarque 7 4 4 7 2 2" xfId="58898" xr:uid="{00000000-0005-0000-0000-0000E7EA0000}"/>
    <cellStyle name="Remarque 7 4 4 7 3" xfId="22195" xr:uid="{00000000-0005-0000-0000-0000E8EA0000}"/>
    <cellStyle name="Remarque 7 4 4 7 4" xfId="46155" xr:uid="{00000000-0005-0000-0000-0000E9EA0000}"/>
    <cellStyle name="Remarque 7 4 4 8" xfId="12827" xr:uid="{00000000-0005-0000-0000-0000EAEA0000}"/>
    <cellStyle name="Remarque 7 4 4 8 2" xfId="24138" xr:uid="{00000000-0005-0000-0000-0000EBEA0000}"/>
    <cellStyle name="Remarque 7 4 4 8 3" xfId="48098" xr:uid="{00000000-0005-0000-0000-0000ECEA0000}"/>
    <cellStyle name="Remarque 7 4 4 9" xfId="2400" xr:uid="{00000000-0005-0000-0000-0000EDEA0000}"/>
    <cellStyle name="Remarque 7 4 4 9 2" xfId="26414" xr:uid="{00000000-0005-0000-0000-0000EEEA0000}"/>
    <cellStyle name="Remarque 7 4 4 9 3" xfId="50374" xr:uid="{00000000-0005-0000-0000-0000EFEA0000}"/>
    <cellStyle name="Remarque 7 4 5" xfId="1157" xr:uid="{00000000-0005-0000-0000-0000F0EA0000}"/>
    <cellStyle name="Remarque 7 4 5 10" xfId="25189" xr:uid="{00000000-0005-0000-0000-0000F1EA0000}"/>
    <cellStyle name="Remarque 7 4 5 10 2" xfId="49149" xr:uid="{00000000-0005-0000-0000-0000F2EA0000}"/>
    <cellStyle name="Remarque 7 4 5 11" xfId="34208" xr:uid="{00000000-0005-0000-0000-0000F3EA0000}"/>
    <cellStyle name="Remarque 7 4 5 11 2" xfId="58168" xr:uid="{00000000-0005-0000-0000-0000F4EA0000}"/>
    <cellStyle name="Remarque 7 4 5 12" xfId="13854" xr:uid="{00000000-0005-0000-0000-0000F5EA0000}"/>
    <cellStyle name="Remarque 7 4 5 13" xfId="37814" xr:uid="{00000000-0005-0000-0000-0000F6EA0000}"/>
    <cellStyle name="Remarque 7 4 5 2" xfId="4063" xr:uid="{00000000-0005-0000-0000-0000F7EA0000}"/>
    <cellStyle name="Remarque 7 4 5 2 2" xfId="28077" xr:uid="{00000000-0005-0000-0000-0000F8EA0000}"/>
    <cellStyle name="Remarque 7 4 5 2 2 2" xfId="52037" xr:uid="{00000000-0005-0000-0000-0000F9EA0000}"/>
    <cellStyle name="Remarque 7 4 5 2 3" xfId="15324" xr:uid="{00000000-0005-0000-0000-0000FAEA0000}"/>
    <cellStyle name="Remarque 7 4 5 2 4" xfId="39284" xr:uid="{00000000-0005-0000-0000-0000FBEA0000}"/>
    <cellStyle name="Remarque 7 4 5 3" xfId="5497" xr:uid="{00000000-0005-0000-0000-0000FCEA0000}"/>
    <cellStyle name="Remarque 7 4 5 3 2" xfId="29511" xr:uid="{00000000-0005-0000-0000-0000FDEA0000}"/>
    <cellStyle name="Remarque 7 4 5 3 2 2" xfId="53471" xr:uid="{00000000-0005-0000-0000-0000FEEA0000}"/>
    <cellStyle name="Remarque 7 4 5 3 3" xfId="16758" xr:uid="{00000000-0005-0000-0000-0000FFEA0000}"/>
    <cellStyle name="Remarque 7 4 5 3 4" xfId="40718" xr:uid="{00000000-0005-0000-0000-000000EB0000}"/>
    <cellStyle name="Remarque 7 4 5 4" xfId="6891" xr:uid="{00000000-0005-0000-0000-000001EB0000}"/>
    <cellStyle name="Remarque 7 4 5 4 2" xfId="30905" xr:uid="{00000000-0005-0000-0000-000002EB0000}"/>
    <cellStyle name="Remarque 7 4 5 4 2 2" xfId="54865" xr:uid="{00000000-0005-0000-0000-000003EB0000}"/>
    <cellStyle name="Remarque 7 4 5 4 3" xfId="18152" xr:uid="{00000000-0005-0000-0000-000004EB0000}"/>
    <cellStyle name="Remarque 7 4 5 4 4" xfId="42112" xr:uid="{00000000-0005-0000-0000-000005EB0000}"/>
    <cellStyle name="Remarque 7 4 5 5" xfId="8279" xr:uid="{00000000-0005-0000-0000-000006EB0000}"/>
    <cellStyle name="Remarque 7 4 5 5 2" xfId="32293" xr:uid="{00000000-0005-0000-0000-000007EB0000}"/>
    <cellStyle name="Remarque 7 4 5 5 2 2" xfId="56253" xr:uid="{00000000-0005-0000-0000-000008EB0000}"/>
    <cellStyle name="Remarque 7 4 5 5 3" xfId="19540" xr:uid="{00000000-0005-0000-0000-000009EB0000}"/>
    <cellStyle name="Remarque 7 4 5 5 4" xfId="43500" xr:uid="{00000000-0005-0000-0000-00000AEB0000}"/>
    <cellStyle name="Remarque 7 4 5 6" xfId="9664" xr:uid="{00000000-0005-0000-0000-00000BEB0000}"/>
    <cellStyle name="Remarque 7 4 5 6 2" xfId="33678" xr:uid="{00000000-0005-0000-0000-00000CEB0000}"/>
    <cellStyle name="Remarque 7 4 5 6 2 2" xfId="57638" xr:uid="{00000000-0005-0000-0000-00000DEB0000}"/>
    <cellStyle name="Remarque 7 4 5 6 3" xfId="20925" xr:uid="{00000000-0005-0000-0000-00000EEB0000}"/>
    <cellStyle name="Remarque 7 4 5 6 4" xfId="44885" xr:uid="{00000000-0005-0000-0000-00000FEB0000}"/>
    <cellStyle name="Remarque 7 4 5 7" xfId="11121" xr:uid="{00000000-0005-0000-0000-000010EB0000}"/>
    <cellStyle name="Remarque 7 4 5 7 2" xfId="35131" xr:uid="{00000000-0005-0000-0000-000011EB0000}"/>
    <cellStyle name="Remarque 7 4 5 7 2 2" xfId="59091" xr:uid="{00000000-0005-0000-0000-000012EB0000}"/>
    <cellStyle name="Remarque 7 4 5 7 3" xfId="22388" xr:uid="{00000000-0005-0000-0000-000013EB0000}"/>
    <cellStyle name="Remarque 7 4 5 7 4" xfId="46348" xr:uid="{00000000-0005-0000-0000-000014EB0000}"/>
    <cellStyle name="Remarque 7 4 5 8" xfId="12459" xr:uid="{00000000-0005-0000-0000-000015EB0000}"/>
    <cellStyle name="Remarque 7 4 5 8 2" xfId="23753" xr:uid="{00000000-0005-0000-0000-000016EB0000}"/>
    <cellStyle name="Remarque 7 4 5 8 3" xfId="47713" xr:uid="{00000000-0005-0000-0000-000017EB0000}"/>
    <cellStyle name="Remarque 7 4 5 9" xfId="2593" xr:uid="{00000000-0005-0000-0000-000018EB0000}"/>
    <cellStyle name="Remarque 7 4 5 9 2" xfId="26607" xr:uid="{00000000-0005-0000-0000-000019EB0000}"/>
    <cellStyle name="Remarque 7 4 5 9 3" xfId="50567" xr:uid="{00000000-0005-0000-0000-00001AEB0000}"/>
    <cellStyle name="Remarque 7 4 6" xfId="1324" xr:uid="{00000000-0005-0000-0000-00001BEB0000}"/>
    <cellStyle name="Remarque 7 4 6 10" xfId="25356" xr:uid="{00000000-0005-0000-0000-00001CEB0000}"/>
    <cellStyle name="Remarque 7 4 6 10 2" xfId="49316" xr:uid="{00000000-0005-0000-0000-00001DEB0000}"/>
    <cellStyle name="Remarque 7 4 6 11" xfId="36684" xr:uid="{00000000-0005-0000-0000-00001EEB0000}"/>
    <cellStyle name="Remarque 7 4 6 11 2" xfId="60644" xr:uid="{00000000-0005-0000-0000-00001FEB0000}"/>
    <cellStyle name="Remarque 7 4 6 12" xfId="14021" xr:uid="{00000000-0005-0000-0000-000020EB0000}"/>
    <cellStyle name="Remarque 7 4 6 13" xfId="37981" xr:uid="{00000000-0005-0000-0000-000021EB0000}"/>
    <cellStyle name="Remarque 7 4 6 2" xfId="4230" xr:uid="{00000000-0005-0000-0000-000022EB0000}"/>
    <cellStyle name="Remarque 7 4 6 2 2" xfId="28244" xr:uid="{00000000-0005-0000-0000-000023EB0000}"/>
    <cellStyle name="Remarque 7 4 6 2 2 2" xfId="52204" xr:uid="{00000000-0005-0000-0000-000024EB0000}"/>
    <cellStyle name="Remarque 7 4 6 2 3" xfId="15491" xr:uid="{00000000-0005-0000-0000-000025EB0000}"/>
    <cellStyle name="Remarque 7 4 6 2 4" xfId="39451" xr:uid="{00000000-0005-0000-0000-000026EB0000}"/>
    <cellStyle name="Remarque 7 4 6 3" xfId="5664" xr:uid="{00000000-0005-0000-0000-000027EB0000}"/>
    <cellStyle name="Remarque 7 4 6 3 2" xfId="29678" xr:uid="{00000000-0005-0000-0000-000028EB0000}"/>
    <cellStyle name="Remarque 7 4 6 3 2 2" xfId="53638" xr:uid="{00000000-0005-0000-0000-000029EB0000}"/>
    <cellStyle name="Remarque 7 4 6 3 3" xfId="16925" xr:uid="{00000000-0005-0000-0000-00002AEB0000}"/>
    <cellStyle name="Remarque 7 4 6 3 4" xfId="40885" xr:uid="{00000000-0005-0000-0000-00002BEB0000}"/>
    <cellStyle name="Remarque 7 4 6 4" xfId="7058" xr:uid="{00000000-0005-0000-0000-00002CEB0000}"/>
    <cellStyle name="Remarque 7 4 6 4 2" xfId="31072" xr:uid="{00000000-0005-0000-0000-00002DEB0000}"/>
    <cellStyle name="Remarque 7 4 6 4 2 2" xfId="55032" xr:uid="{00000000-0005-0000-0000-00002EEB0000}"/>
    <cellStyle name="Remarque 7 4 6 4 3" xfId="18319" xr:uid="{00000000-0005-0000-0000-00002FEB0000}"/>
    <cellStyle name="Remarque 7 4 6 4 4" xfId="42279" xr:uid="{00000000-0005-0000-0000-000030EB0000}"/>
    <cellStyle name="Remarque 7 4 6 5" xfId="8446" xr:uid="{00000000-0005-0000-0000-000031EB0000}"/>
    <cellStyle name="Remarque 7 4 6 5 2" xfId="32460" xr:uid="{00000000-0005-0000-0000-000032EB0000}"/>
    <cellStyle name="Remarque 7 4 6 5 2 2" xfId="56420" xr:uid="{00000000-0005-0000-0000-000033EB0000}"/>
    <cellStyle name="Remarque 7 4 6 5 3" xfId="19707" xr:uid="{00000000-0005-0000-0000-000034EB0000}"/>
    <cellStyle name="Remarque 7 4 6 5 4" xfId="43667" xr:uid="{00000000-0005-0000-0000-000035EB0000}"/>
    <cellStyle name="Remarque 7 4 6 6" xfId="9831" xr:uid="{00000000-0005-0000-0000-000036EB0000}"/>
    <cellStyle name="Remarque 7 4 6 6 2" xfId="33845" xr:uid="{00000000-0005-0000-0000-000037EB0000}"/>
    <cellStyle name="Remarque 7 4 6 6 2 2" xfId="57805" xr:uid="{00000000-0005-0000-0000-000038EB0000}"/>
    <cellStyle name="Remarque 7 4 6 6 3" xfId="21092" xr:uid="{00000000-0005-0000-0000-000039EB0000}"/>
    <cellStyle name="Remarque 7 4 6 6 4" xfId="45052" xr:uid="{00000000-0005-0000-0000-00003AEB0000}"/>
    <cellStyle name="Remarque 7 4 6 7" xfId="11288" xr:uid="{00000000-0005-0000-0000-00003BEB0000}"/>
    <cellStyle name="Remarque 7 4 6 7 2" xfId="35298" xr:uid="{00000000-0005-0000-0000-00003CEB0000}"/>
    <cellStyle name="Remarque 7 4 6 7 2 2" xfId="59258" xr:uid="{00000000-0005-0000-0000-00003DEB0000}"/>
    <cellStyle name="Remarque 7 4 6 7 3" xfId="22555" xr:uid="{00000000-0005-0000-0000-00003EEB0000}"/>
    <cellStyle name="Remarque 7 4 6 7 4" xfId="46515" xr:uid="{00000000-0005-0000-0000-00003FEB0000}"/>
    <cellStyle name="Remarque 7 4 6 8" xfId="12897" xr:uid="{00000000-0005-0000-0000-000040EB0000}"/>
    <cellStyle name="Remarque 7 4 6 8 2" xfId="24210" xr:uid="{00000000-0005-0000-0000-000041EB0000}"/>
    <cellStyle name="Remarque 7 4 6 8 3" xfId="48170" xr:uid="{00000000-0005-0000-0000-000042EB0000}"/>
    <cellStyle name="Remarque 7 4 6 9" xfId="2760" xr:uid="{00000000-0005-0000-0000-000043EB0000}"/>
    <cellStyle name="Remarque 7 4 6 9 2" xfId="26774" xr:uid="{00000000-0005-0000-0000-000044EB0000}"/>
    <cellStyle name="Remarque 7 4 6 9 3" xfId="50734" xr:uid="{00000000-0005-0000-0000-000045EB0000}"/>
    <cellStyle name="Remarque 7 4 7" xfId="1493" xr:uid="{00000000-0005-0000-0000-000046EB0000}"/>
    <cellStyle name="Remarque 7 4 7 10" xfId="25525" xr:uid="{00000000-0005-0000-0000-000047EB0000}"/>
    <cellStyle name="Remarque 7 4 7 10 2" xfId="49485" xr:uid="{00000000-0005-0000-0000-000048EB0000}"/>
    <cellStyle name="Remarque 7 4 7 11" xfId="36124" xr:uid="{00000000-0005-0000-0000-000049EB0000}"/>
    <cellStyle name="Remarque 7 4 7 11 2" xfId="60084" xr:uid="{00000000-0005-0000-0000-00004AEB0000}"/>
    <cellStyle name="Remarque 7 4 7 12" xfId="14190" xr:uid="{00000000-0005-0000-0000-00004BEB0000}"/>
    <cellStyle name="Remarque 7 4 7 13" xfId="38150" xr:uid="{00000000-0005-0000-0000-00004CEB0000}"/>
    <cellStyle name="Remarque 7 4 7 2" xfId="4399" xr:uid="{00000000-0005-0000-0000-00004DEB0000}"/>
    <cellStyle name="Remarque 7 4 7 2 2" xfId="28413" xr:uid="{00000000-0005-0000-0000-00004EEB0000}"/>
    <cellStyle name="Remarque 7 4 7 2 2 2" xfId="52373" xr:uid="{00000000-0005-0000-0000-00004FEB0000}"/>
    <cellStyle name="Remarque 7 4 7 2 3" xfId="15660" xr:uid="{00000000-0005-0000-0000-000050EB0000}"/>
    <cellStyle name="Remarque 7 4 7 2 4" xfId="39620" xr:uid="{00000000-0005-0000-0000-000051EB0000}"/>
    <cellStyle name="Remarque 7 4 7 3" xfId="5833" xr:uid="{00000000-0005-0000-0000-000052EB0000}"/>
    <cellStyle name="Remarque 7 4 7 3 2" xfId="29847" xr:uid="{00000000-0005-0000-0000-000053EB0000}"/>
    <cellStyle name="Remarque 7 4 7 3 2 2" xfId="53807" xr:uid="{00000000-0005-0000-0000-000054EB0000}"/>
    <cellStyle name="Remarque 7 4 7 3 3" xfId="17094" xr:uid="{00000000-0005-0000-0000-000055EB0000}"/>
    <cellStyle name="Remarque 7 4 7 3 4" xfId="41054" xr:uid="{00000000-0005-0000-0000-000056EB0000}"/>
    <cellStyle name="Remarque 7 4 7 4" xfId="7227" xr:uid="{00000000-0005-0000-0000-000057EB0000}"/>
    <cellStyle name="Remarque 7 4 7 4 2" xfId="31241" xr:uid="{00000000-0005-0000-0000-000058EB0000}"/>
    <cellStyle name="Remarque 7 4 7 4 2 2" xfId="55201" xr:uid="{00000000-0005-0000-0000-000059EB0000}"/>
    <cellStyle name="Remarque 7 4 7 4 3" xfId="18488" xr:uid="{00000000-0005-0000-0000-00005AEB0000}"/>
    <cellStyle name="Remarque 7 4 7 4 4" xfId="42448" xr:uid="{00000000-0005-0000-0000-00005BEB0000}"/>
    <cellStyle name="Remarque 7 4 7 5" xfId="8615" xr:uid="{00000000-0005-0000-0000-00005CEB0000}"/>
    <cellStyle name="Remarque 7 4 7 5 2" xfId="32629" xr:uid="{00000000-0005-0000-0000-00005DEB0000}"/>
    <cellStyle name="Remarque 7 4 7 5 2 2" xfId="56589" xr:uid="{00000000-0005-0000-0000-00005EEB0000}"/>
    <cellStyle name="Remarque 7 4 7 5 3" xfId="19876" xr:uid="{00000000-0005-0000-0000-00005FEB0000}"/>
    <cellStyle name="Remarque 7 4 7 5 4" xfId="43836" xr:uid="{00000000-0005-0000-0000-000060EB0000}"/>
    <cellStyle name="Remarque 7 4 7 6" xfId="10000" xr:uid="{00000000-0005-0000-0000-000061EB0000}"/>
    <cellStyle name="Remarque 7 4 7 6 2" xfId="34014" xr:uid="{00000000-0005-0000-0000-000062EB0000}"/>
    <cellStyle name="Remarque 7 4 7 6 2 2" xfId="57974" xr:uid="{00000000-0005-0000-0000-000063EB0000}"/>
    <cellStyle name="Remarque 7 4 7 6 3" xfId="21261" xr:uid="{00000000-0005-0000-0000-000064EB0000}"/>
    <cellStyle name="Remarque 7 4 7 6 4" xfId="45221" xr:uid="{00000000-0005-0000-0000-000065EB0000}"/>
    <cellStyle name="Remarque 7 4 7 7" xfId="11457" xr:uid="{00000000-0005-0000-0000-000066EB0000}"/>
    <cellStyle name="Remarque 7 4 7 7 2" xfId="35467" xr:uid="{00000000-0005-0000-0000-000067EB0000}"/>
    <cellStyle name="Remarque 7 4 7 7 2 2" xfId="59427" xr:uid="{00000000-0005-0000-0000-000068EB0000}"/>
    <cellStyle name="Remarque 7 4 7 7 3" xfId="22724" xr:uid="{00000000-0005-0000-0000-000069EB0000}"/>
    <cellStyle name="Remarque 7 4 7 7 4" xfId="46684" xr:uid="{00000000-0005-0000-0000-00006AEB0000}"/>
    <cellStyle name="Remarque 7 4 7 8" xfId="12168" xr:uid="{00000000-0005-0000-0000-00006BEB0000}"/>
    <cellStyle name="Remarque 7 4 7 8 2" xfId="23451" xr:uid="{00000000-0005-0000-0000-00006CEB0000}"/>
    <cellStyle name="Remarque 7 4 7 8 3" xfId="47411" xr:uid="{00000000-0005-0000-0000-00006DEB0000}"/>
    <cellStyle name="Remarque 7 4 7 9" xfId="2929" xr:uid="{00000000-0005-0000-0000-00006EEB0000}"/>
    <cellStyle name="Remarque 7 4 7 9 2" xfId="26943" xr:uid="{00000000-0005-0000-0000-00006FEB0000}"/>
    <cellStyle name="Remarque 7 4 7 9 3" xfId="50903" xr:uid="{00000000-0005-0000-0000-000070EB0000}"/>
    <cellStyle name="Remarque 7 4 8" xfId="3348" xr:uid="{00000000-0005-0000-0000-000071EB0000}"/>
    <cellStyle name="Remarque 7 4 8 2" xfId="27362" xr:uid="{00000000-0005-0000-0000-000072EB0000}"/>
    <cellStyle name="Remarque 7 4 8 2 2" xfId="51322" xr:uid="{00000000-0005-0000-0000-000073EB0000}"/>
    <cellStyle name="Remarque 7 4 8 3" xfId="14609" xr:uid="{00000000-0005-0000-0000-000074EB0000}"/>
    <cellStyle name="Remarque 7 4 8 4" xfId="38569" xr:uid="{00000000-0005-0000-0000-000075EB0000}"/>
    <cellStyle name="Remarque 7 4 9" xfId="4782" xr:uid="{00000000-0005-0000-0000-000076EB0000}"/>
    <cellStyle name="Remarque 7 4 9 2" xfId="28796" xr:uid="{00000000-0005-0000-0000-000077EB0000}"/>
    <cellStyle name="Remarque 7 4 9 2 2" xfId="52756" xr:uid="{00000000-0005-0000-0000-000078EB0000}"/>
    <cellStyle name="Remarque 7 4 9 3" xfId="16043" xr:uid="{00000000-0005-0000-0000-000079EB0000}"/>
    <cellStyle name="Remarque 7 4 9 4" xfId="40003" xr:uid="{00000000-0005-0000-0000-00007AEB0000}"/>
    <cellStyle name="Remarque 7 5" xfId="342" xr:uid="{00000000-0005-0000-0000-00007BEB0000}"/>
    <cellStyle name="Remarque 7 5 10" xfId="24374" xr:uid="{00000000-0005-0000-0000-00007CEB0000}"/>
    <cellStyle name="Remarque 7 5 10 2" xfId="48334" xr:uid="{00000000-0005-0000-0000-00007DEB0000}"/>
    <cellStyle name="Remarque 7 5 11" xfId="36220" xr:uid="{00000000-0005-0000-0000-00007EEB0000}"/>
    <cellStyle name="Remarque 7 5 11 2" xfId="60180" xr:uid="{00000000-0005-0000-0000-00007FEB0000}"/>
    <cellStyle name="Remarque 7 5 12" xfId="13039" xr:uid="{00000000-0005-0000-0000-000080EB0000}"/>
    <cellStyle name="Remarque 7 5 13" xfId="36999" xr:uid="{00000000-0005-0000-0000-000081EB0000}"/>
    <cellStyle name="Remarque 7 5 2" xfId="3248" xr:uid="{00000000-0005-0000-0000-000082EB0000}"/>
    <cellStyle name="Remarque 7 5 2 2" xfId="27262" xr:uid="{00000000-0005-0000-0000-000083EB0000}"/>
    <cellStyle name="Remarque 7 5 2 2 2" xfId="51222" xr:uid="{00000000-0005-0000-0000-000084EB0000}"/>
    <cellStyle name="Remarque 7 5 2 3" xfId="14509" xr:uid="{00000000-0005-0000-0000-000085EB0000}"/>
    <cellStyle name="Remarque 7 5 2 4" xfId="38469" xr:uid="{00000000-0005-0000-0000-000086EB0000}"/>
    <cellStyle name="Remarque 7 5 3" xfId="4682" xr:uid="{00000000-0005-0000-0000-000087EB0000}"/>
    <cellStyle name="Remarque 7 5 3 2" xfId="28696" xr:uid="{00000000-0005-0000-0000-000088EB0000}"/>
    <cellStyle name="Remarque 7 5 3 2 2" xfId="52656" xr:uid="{00000000-0005-0000-0000-000089EB0000}"/>
    <cellStyle name="Remarque 7 5 3 3" xfId="15943" xr:uid="{00000000-0005-0000-0000-00008AEB0000}"/>
    <cellStyle name="Remarque 7 5 3 4" xfId="39903" xr:uid="{00000000-0005-0000-0000-00008BEB0000}"/>
    <cellStyle name="Remarque 7 5 4" xfId="6076" xr:uid="{00000000-0005-0000-0000-00008CEB0000}"/>
    <cellStyle name="Remarque 7 5 4 2" xfId="30090" xr:uid="{00000000-0005-0000-0000-00008DEB0000}"/>
    <cellStyle name="Remarque 7 5 4 2 2" xfId="54050" xr:uid="{00000000-0005-0000-0000-00008EEB0000}"/>
    <cellStyle name="Remarque 7 5 4 3" xfId="17337" xr:uid="{00000000-0005-0000-0000-00008FEB0000}"/>
    <cellStyle name="Remarque 7 5 4 4" xfId="41297" xr:uid="{00000000-0005-0000-0000-000090EB0000}"/>
    <cellStyle name="Remarque 7 5 5" xfId="7464" xr:uid="{00000000-0005-0000-0000-000091EB0000}"/>
    <cellStyle name="Remarque 7 5 5 2" xfId="31478" xr:uid="{00000000-0005-0000-0000-000092EB0000}"/>
    <cellStyle name="Remarque 7 5 5 2 2" xfId="55438" xr:uid="{00000000-0005-0000-0000-000093EB0000}"/>
    <cellStyle name="Remarque 7 5 5 3" xfId="18725" xr:uid="{00000000-0005-0000-0000-000094EB0000}"/>
    <cellStyle name="Remarque 7 5 5 4" xfId="42685" xr:uid="{00000000-0005-0000-0000-000095EB0000}"/>
    <cellStyle name="Remarque 7 5 6" xfId="8849" xr:uid="{00000000-0005-0000-0000-000096EB0000}"/>
    <cellStyle name="Remarque 7 5 6 2" xfId="32863" xr:uid="{00000000-0005-0000-0000-000097EB0000}"/>
    <cellStyle name="Remarque 7 5 6 2 2" xfId="56823" xr:uid="{00000000-0005-0000-0000-000098EB0000}"/>
    <cellStyle name="Remarque 7 5 6 3" xfId="20110" xr:uid="{00000000-0005-0000-0000-000099EB0000}"/>
    <cellStyle name="Remarque 7 5 6 4" xfId="44070" xr:uid="{00000000-0005-0000-0000-00009AEB0000}"/>
    <cellStyle name="Remarque 7 5 7" xfId="10306" xr:uid="{00000000-0005-0000-0000-00009BEB0000}"/>
    <cellStyle name="Remarque 7 5 7 2" xfId="34316" xr:uid="{00000000-0005-0000-0000-00009CEB0000}"/>
    <cellStyle name="Remarque 7 5 7 2 2" xfId="58276" xr:uid="{00000000-0005-0000-0000-00009DEB0000}"/>
    <cellStyle name="Remarque 7 5 7 3" xfId="21573" xr:uid="{00000000-0005-0000-0000-00009EEB0000}"/>
    <cellStyle name="Remarque 7 5 7 4" xfId="45533" xr:uid="{00000000-0005-0000-0000-00009FEB0000}"/>
    <cellStyle name="Remarque 7 5 8" xfId="12426" xr:uid="{00000000-0005-0000-0000-0000A0EB0000}"/>
    <cellStyle name="Remarque 7 5 8 2" xfId="23717" xr:uid="{00000000-0005-0000-0000-0000A1EB0000}"/>
    <cellStyle name="Remarque 7 5 8 3" xfId="47677" xr:uid="{00000000-0005-0000-0000-0000A2EB0000}"/>
    <cellStyle name="Remarque 7 5 9" xfId="1778" xr:uid="{00000000-0005-0000-0000-0000A3EB0000}"/>
    <cellStyle name="Remarque 7 5 9 2" xfId="25792" xr:uid="{00000000-0005-0000-0000-0000A4EB0000}"/>
    <cellStyle name="Remarque 7 5 9 3" xfId="49752" xr:uid="{00000000-0005-0000-0000-0000A5EB0000}"/>
    <cellStyle name="Remarque 7 6" xfId="635" xr:uid="{00000000-0005-0000-0000-0000A6EB0000}"/>
    <cellStyle name="Remarque 7 6 10" xfId="24667" xr:uid="{00000000-0005-0000-0000-0000A7EB0000}"/>
    <cellStyle name="Remarque 7 6 10 2" xfId="48627" xr:uid="{00000000-0005-0000-0000-0000A8EB0000}"/>
    <cellStyle name="Remarque 7 6 11" xfId="36075" xr:uid="{00000000-0005-0000-0000-0000A9EB0000}"/>
    <cellStyle name="Remarque 7 6 11 2" xfId="60035" xr:uid="{00000000-0005-0000-0000-0000AAEB0000}"/>
    <cellStyle name="Remarque 7 6 12" xfId="13332" xr:uid="{00000000-0005-0000-0000-0000ABEB0000}"/>
    <cellStyle name="Remarque 7 6 13" xfId="37292" xr:uid="{00000000-0005-0000-0000-0000ACEB0000}"/>
    <cellStyle name="Remarque 7 6 2" xfId="3541" xr:uid="{00000000-0005-0000-0000-0000ADEB0000}"/>
    <cellStyle name="Remarque 7 6 2 2" xfId="27555" xr:uid="{00000000-0005-0000-0000-0000AEEB0000}"/>
    <cellStyle name="Remarque 7 6 2 2 2" xfId="51515" xr:uid="{00000000-0005-0000-0000-0000AFEB0000}"/>
    <cellStyle name="Remarque 7 6 2 3" xfId="14802" xr:uid="{00000000-0005-0000-0000-0000B0EB0000}"/>
    <cellStyle name="Remarque 7 6 2 4" xfId="38762" xr:uid="{00000000-0005-0000-0000-0000B1EB0000}"/>
    <cellStyle name="Remarque 7 6 3" xfId="4975" xr:uid="{00000000-0005-0000-0000-0000B2EB0000}"/>
    <cellStyle name="Remarque 7 6 3 2" xfId="28989" xr:uid="{00000000-0005-0000-0000-0000B3EB0000}"/>
    <cellStyle name="Remarque 7 6 3 2 2" xfId="52949" xr:uid="{00000000-0005-0000-0000-0000B4EB0000}"/>
    <cellStyle name="Remarque 7 6 3 3" xfId="16236" xr:uid="{00000000-0005-0000-0000-0000B5EB0000}"/>
    <cellStyle name="Remarque 7 6 3 4" xfId="40196" xr:uid="{00000000-0005-0000-0000-0000B6EB0000}"/>
    <cellStyle name="Remarque 7 6 4" xfId="6369" xr:uid="{00000000-0005-0000-0000-0000B7EB0000}"/>
    <cellStyle name="Remarque 7 6 4 2" xfId="30383" xr:uid="{00000000-0005-0000-0000-0000B8EB0000}"/>
    <cellStyle name="Remarque 7 6 4 2 2" xfId="54343" xr:uid="{00000000-0005-0000-0000-0000B9EB0000}"/>
    <cellStyle name="Remarque 7 6 4 3" xfId="17630" xr:uid="{00000000-0005-0000-0000-0000BAEB0000}"/>
    <cellStyle name="Remarque 7 6 4 4" xfId="41590" xr:uid="{00000000-0005-0000-0000-0000BBEB0000}"/>
    <cellStyle name="Remarque 7 6 5" xfId="7757" xr:uid="{00000000-0005-0000-0000-0000BCEB0000}"/>
    <cellStyle name="Remarque 7 6 5 2" xfId="31771" xr:uid="{00000000-0005-0000-0000-0000BDEB0000}"/>
    <cellStyle name="Remarque 7 6 5 2 2" xfId="55731" xr:uid="{00000000-0005-0000-0000-0000BEEB0000}"/>
    <cellStyle name="Remarque 7 6 5 3" xfId="19018" xr:uid="{00000000-0005-0000-0000-0000BFEB0000}"/>
    <cellStyle name="Remarque 7 6 5 4" xfId="42978" xr:uid="{00000000-0005-0000-0000-0000C0EB0000}"/>
    <cellStyle name="Remarque 7 6 6" xfId="9142" xr:uid="{00000000-0005-0000-0000-0000C1EB0000}"/>
    <cellStyle name="Remarque 7 6 6 2" xfId="33156" xr:uid="{00000000-0005-0000-0000-0000C2EB0000}"/>
    <cellStyle name="Remarque 7 6 6 2 2" xfId="57116" xr:uid="{00000000-0005-0000-0000-0000C3EB0000}"/>
    <cellStyle name="Remarque 7 6 6 3" xfId="20403" xr:uid="{00000000-0005-0000-0000-0000C4EB0000}"/>
    <cellStyle name="Remarque 7 6 6 4" xfId="44363" xr:uid="{00000000-0005-0000-0000-0000C5EB0000}"/>
    <cellStyle name="Remarque 7 6 7" xfId="10599" xr:uid="{00000000-0005-0000-0000-0000C6EB0000}"/>
    <cellStyle name="Remarque 7 6 7 2" xfId="34609" xr:uid="{00000000-0005-0000-0000-0000C7EB0000}"/>
    <cellStyle name="Remarque 7 6 7 2 2" xfId="58569" xr:uid="{00000000-0005-0000-0000-0000C8EB0000}"/>
    <cellStyle name="Remarque 7 6 7 3" xfId="21866" xr:uid="{00000000-0005-0000-0000-0000C9EB0000}"/>
    <cellStyle name="Remarque 7 6 7 4" xfId="45826" xr:uid="{00000000-0005-0000-0000-0000CAEB0000}"/>
    <cellStyle name="Remarque 7 6 8" xfId="12388" xr:uid="{00000000-0005-0000-0000-0000CBEB0000}"/>
    <cellStyle name="Remarque 7 6 8 2" xfId="23677" xr:uid="{00000000-0005-0000-0000-0000CCEB0000}"/>
    <cellStyle name="Remarque 7 6 8 3" xfId="47637" xr:uid="{00000000-0005-0000-0000-0000CDEB0000}"/>
    <cellStyle name="Remarque 7 6 9" xfId="2071" xr:uid="{00000000-0005-0000-0000-0000CEEB0000}"/>
    <cellStyle name="Remarque 7 6 9 2" xfId="26085" xr:uid="{00000000-0005-0000-0000-0000CFEB0000}"/>
    <cellStyle name="Remarque 7 6 9 3" xfId="50045" xr:uid="{00000000-0005-0000-0000-0000D0EB0000}"/>
    <cellStyle name="Remarque 7 7" xfId="829" xr:uid="{00000000-0005-0000-0000-0000D1EB0000}"/>
    <cellStyle name="Remarque 7 7 10" xfId="24861" xr:uid="{00000000-0005-0000-0000-0000D2EB0000}"/>
    <cellStyle name="Remarque 7 7 10 2" xfId="48821" xr:uid="{00000000-0005-0000-0000-0000D3EB0000}"/>
    <cellStyle name="Remarque 7 7 11" xfId="35730" xr:uid="{00000000-0005-0000-0000-0000D4EB0000}"/>
    <cellStyle name="Remarque 7 7 11 2" xfId="59690" xr:uid="{00000000-0005-0000-0000-0000D5EB0000}"/>
    <cellStyle name="Remarque 7 7 12" xfId="13526" xr:uid="{00000000-0005-0000-0000-0000D6EB0000}"/>
    <cellStyle name="Remarque 7 7 13" xfId="37486" xr:uid="{00000000-0005-0000-0000-0000D7EB0000}"/>
    <cellStyle name="Remarque 7 7 2" xfId="3735" xr:uid="{00000000-0005-0000-0000-0000D8EB0000}"/>
    <cellStyle name="Remarque 7 7 2 2" xfId="27749" xr:uid="{00000000-0005-0000-0000-0000D9EB0000}"/>
    <cellStyle name="Remarque 7 7 2 2 2" xfId="51709" xr:uid="{00000000-0005-0000-0000-0000DAEB0000}"/>
    <cellStyle name="Remarque 7 7 2 3" xfId="14996" xr:uid="{00000000-0005-0000-0000-0000DBEB0000}"/>
    <cellStyle name="Remarque 7 7 2 4" xfId="38956" xr:uid="{00000000-0005-0000-0000-0000DCEB0000}"/>
    <cellStyle name="Remarque 7 7 3" xfId="5169" xr:uid="{00000000-0005-0000-0000-0000DDEB0000}"/>
    <cellStyle name="Remarque 7 7 3 2" xfId="29183" xr:uid="{00000000-0005-0000-0000-0000DEEB0000}"/>
    <cellStyle name="Remarque 7 7 3 2 2" xfId="53143" xr:uid="{00000000-0005-0000-0000-0000DFEB0000}"/>
    <cellStyle name="Remarque 7 7 3 3" xfId="16430" xr:uid="{00000000-0005-0000-0000-0000E0EB0000}"/>
    <cellStyle name="Remarque 7 7 3 4" xfId="40390" xr:uid="{00000000-0005-0000-0000-0000E1EB0000}"/>
    <cellStyle name="Remarque 7 7 4" xfId="6563" xr:uid="{00000000-0005-0000-0000-0000E2EB0000}"/>
    <cellStyle name="Remarque 7 7 4 2" xfId="30577" xr:uid="{00000000-0005-0000-0000-0000E3EB0000}"/>
    <cellStyle name="Remarque 7 7 4 2 2" xfId="54537" xr:uid="{00000000-0005-0000-0000-0000E4EB0000}"/>
    <cellStyle name="Remarque 7 7 4 3" xfId="17824" xr:uid="{00000000-0005-0000-0000-0000E5EB0000}"/>
    <cellStyle name="Remarque 7 7 4 4" xfId="41784" xr:uid="{00000000-0005-0000-0000-0000E6EB0000}"/>
    <cellStyle name="Remarque 7 7 5" xfId="7951" xr:uid="{00000000-0005-0000-0000-0000E7EB0000}"/>
    <cellStyle name="Remarque 7 7 5 2" xfId="31965" xr:uid="{00000000-0005-0000-0000-0000E8EB0000}"/>
    <cellStyle name="Remarque 7 7 5 2 2" xfId="55925" xr:uid="{00000000-0005-0000-0000-0000E9EB0000}"/>
    <cellStyle name="Remarque 7 7 5 3" xfId="19212" xr:uid="{00000000-0005-0000-0000-0000EAEB0000}"/>
    <cellStyle name="Remarque 7 7 5 4" xfId="43172" xr:uid="{00000000-0005-0000-0000-0000EBEB0000}"/>
    <cellStyle name="Remarque 7 7 6" xfId="9336" xr:uid="{00000000-0005-0000-0000-0000ECEB0000}"/>
    <cellStyle name="Remarque 7 7 6 2" xfId="33350" xr:uid="{00000000-0005-0000-0000-0000EDEB0000}"/>
    <cellStyle name="Remarque 7 7 6 2 2" xfId="57310" xr:uid="{00000000-0005-0000-0000-0000EEEB0000}"/>
    <cellStyle name="Remarque 7 7 6 3" xfId="20597" xr:uid="{00000000-0005-0000-0000-0000EFEB0000}"/>
    <cellStyle name="Remarque 7 7 6 4" xfId="44557" xr:uid="{00000000-0005-0000-0000-0000F0EB0000}"/>
    <cellStyle name="Remarque 7 7 7" xfId="10793" xr:uid="{00000000-0005-0000-0000-0000F1EB0000}"/>
    <cellStyle name="Remarque 7 7 7 2" xfId="34803" xr:uid="{00000000-0005-0000-0000-0000F2EB0000}"/>
    <cellStyle name="Remarque 7 7 7 2 2" xfId="58763" xr:uid="{00000000-0005-0000-0000-0000F3EB0000}"/>
    <cellStyle name="Remarque 7 7 7 3" xfId="22060" xr:uid="{00000000-0005-0000-0000-0000F4EB0000}"/>
    <cellStyle name="Remarque 7 7 7 4" xfId="46020" xr:uid="{00000000-0005-0000-0000-0000F5EB0000}"/>
    <cellStyle name="Remarque 7 7 8" xfId="11998" xr:uid="{00000000-0005-0000-0000-0000F6EB0000}"/>
    <cellStyle name="Remarque 7 7 8 2" xfId="23277" xr:uid="{00000000-0005-0000-0000-0000F7EB0000}"/>
    <cellStyle name="Remarque 7 7 8 3" xfId="47237" xr:uid="{00000000-0005-0000-0000-0000F8EB0000}"/>
    <cellStyle name="Remarque 7 7 9" xfId="2265" xr:uid="{00000000-0005-0000-0000-0000F9EB0000}"/>
    <cellStyle name="Remarque 7 7 9 2" xfId="26279" xr:uid="{00000000-0005-0000-0000-0000FAEB0000}"/>
    <cellStyle name="Remarque 7 7 9 3" xfId="50239" xr:uid="{00000000-0005-0000-0000-0000FBEB0000}"/>
    <cellStyle name="Remarque 7 8" xfId="1022" xr:uid="{00000000-0005-0000-0000-0000FCEB0000}"/>
    <cellStyle name="Remarque 7 8 10" xfId="25054" xr:uid="{00000000-0005-0000-0000-0000FDEB0000}"/>
    <cellStyle name="Remarque 7 8 10 2" xfId="49014" xr:uid="{00000000-0005-0000-0000-0000FEEB0000}"/>
    <cellStyle name="Remarque 7 8 11" xfId="35588" xr:uid="{00000000-0005-0000-0000-0000FFEB0000}"/>
    <cellStyle name="Remarque 7 8 11 2" xfId="59548" xr:uid="{00000000-0005-0000-0000-000000EC0000}"/>
    <cellStyle name="Remarque 7 8 12" xfId="13719" xr:uid="{00000000-0005-0000-0000-000001EC0000}"/>
    <cellStyle name="Remarque 7 8 13" xfId="37679" xr:uid="{00000000-0005-0000-0000-000002EC0000}"/>
    <cellStyle name="Remarque 7 8 2" xfId="3928" xr:uid="{00000000-0005-0000-0000-000003EC0000}"/>
    <cellStyle name="Remarque 7 8 2 2" xfId="27942" xr:uid="{00000000-0005-0000-0000-000004EC0000}"/>
    <cellStyle name="Remarque 7 8 2 2 2" xfId="51902" xr:uid="{00000000-0005-0000-0000-000005EC0000}"/>
    <cellStyle name="Remarque 7 8 2 3" xfId="15189" xr:uid="{00000000-0005-0000-0000-000006EC0000}"/>
    <cellStyle name="Remarque 7 8 2 4" xfId="39149" xr:uid="{00000000-0005-0000-0000-000007EC0000}"/>
    <cellStyle name="Remarque 7 8 3" xfId="5362" xr:uid="{00000000-0005-0000-0000-000008EC0000}"/>
    <cellStyle name="Remarque 7 8 3 2" xfId="29376" xr:uid="{00000000-0005-0000-0000-000009EC0000}"/>
    <cellStyle name="Remarque 7 8 3 2 2" xfId="53336" xr:uid="{00000000-0005-0000-0000-00000AEC0000}"/>
    <cellStyle name="Remarque 7 8 3 3" xfId="16623" xr:uid="{00000000-0005-0000-0000-00000BEC0000}"/>
    <cellStyle name="Remarque 7 8 3 4" xfId="40583" xr:uid="{00000000-0005-0000-0000-00000CEC0000}"/>
    <cellStyle name="Remarque 7 8 4" xfId="6756" xr:uid="{00000000-0005-0000-0000-00000DEC0000}"/>
    <cellStyle name="Remarque 7 8 4 2" xfId="30770" xr:uid="{00000000-0005-0000-0000-00000EEC0000}"/>
    <cellStyle name="Remarque 7 8 4 2 2" xfId="54730" xr:uid="{00000000-0005-0000-0000-00000FEC0000}"/>
    <cellStyle name="Remarque 7 8 4 3" xfId="18017" xr:uid="{00000000-0005-0000-0000-000010EC0000}"/>
    <cellStyle name="Remarque 7 8 4 4" xfId="41977" xr:uid="{00000000-0005-0000-0000-000011EC0000}"/>
    <cellStyle name="Remarque 7 8 5" xfId="8144" xr:uid="{00000000-0005-0000-0000-000012EC0000}"/>
    <cellStyle name="Remarque 7 8 5 2" xfId="32158" xr:uid="{00000000-0005-0000-0000-000013EC0000}"/>
    <cellStyle name="Remarque 7 8 5 2 2" xfId="56118" xr:uid="{00000000-0005-0000-0000-000014EC0000}"/>
    <cellStyle name="Remarque 7 8 5 3" xfId="19405" xr:uid="{00000000-0005-0000-0000-000015EC0000}"/>
    <cellStyle name="Remarque 7 8 5 4" xfId="43365" xr:uid="{00000000-0005-0000-0000-000016EC0000}"/>
    <cellStyle name="Remarque 7 8 6" xfId="9529" xr:uid="{00000000-0005-0000-0000-000017EC0000}"/>
    <cellStyle name="Remarque 7 8 6 2" xfId="33543" xr:uid="{00000000-0005-0000-0000-000018EC0000}"/>
    <cellStyle name="Remarque 7 8 6 2 2" xfId="57503" xr:uid="{00000000-0005-0000-0000-000019EC0000}"/>
    <cellStyle name="Remarque 7 8 6 3" xfId="20790" xr:uid="{00000000-0005-0000-0000-00001AEC0000}"/>
    <cellStyle name="Remarque 7 8 6 4" xfId="44750" xr:uid="{00000000-0005-0000-0000-00001BEC0000}"/>
    <cellStyle name="Remarque 7 8 7" xfId="10986" xr:uid="{00000000-0005-0000-0000-00001CEC0000}"/>
    <cellStyle name="Remarque 7 8 7 2" xfId="34996" xr:uid="{00000000-0005-0000-0000-00001DEC0000}"/>
    <cellStyle name="Remarque 7 8 7 2 2" xfId="58956" xr:uid="{00000000-0005-0000-0000-00001EEC0000}"/>
    <cellStyle name="Remarque 7 8 7 3" xfId="22253" xr:uid="{00000000-0005-0000-0000-00001FEC0000}"/>
    <cellStyle name="Remarque 7 8 7 4" xfId="46213" xr:uid="{00000000-0005-0000-0000-000020EC0000}"/>
    <cellStyle name="Remarque 7 8 8" xfId="12739" xr:uid="{00000000-0005-0000-0000-000021EC0000}"/>
    <cellStyle name="Remarque 7 8 8 2" xfId="24045" xr:uid="{00000000-0005-0000-0000-000022EC0000}"/>
    <cellStyle name="Remarque 7 8 8 3" xfId="48005" xr:uid="{00000000-0005-0000-0000-000023EC0000}"/>
    <cellStyle name="Remarque 7 8 9" xfId="2458" xr:uid="{00000000-0005-0000-0000-000024EC0000}"/>
    <cellStyle name="Remarque 7 8 9 2" xfId="26472" xr:uid="{00000000-0005-0000-0000-000025EC0000}"/>
    <cellStyle name="Remarque 7 8 9 3" xfId="50432" xr:uid="{00000000-0005-0000-0000-000026EC0000}"/>
    <cellStyle name="Remarque 7 9" xfId="1208" xr:uid="{00000000-0005-0000-0000-000027EC0000}"/>
    <cellStyle name="Remarque 7 9 10" xfId="25240" xr:uid="{00000000-0005-0000-0000-000028EC0000}"/>
    <cellStyle name="Remarque 7 9 10 2" xfId="49200" xr:uid="{00000000-0005-0000-0000-000029EC0000}"/>
    <cellStyle name="Remarque 7 9 11" xfId="35786" xr:uid="{00000000-0005-0000-0000-00002AEC0000}"/>
    <cellStyle name="Remarque 7 9 11 2" xfId="59746" xr:uid="{00000000-0005-0000-0000-00002BEC0000}"/>
    <cellStyle name="Remarque 7 9 12" xfId="13905" xr:uid="{00000000-0005-0000-0000-00002CEC0000}"/>
    <cellStyle name="Remarque 7 9 13" xfId="37865" xr:uid="{00000000-0005-0000-0000-00002DEC0000}"/>
    <cellStyle name="Remarque 7 9 2" xfId="4114" xr:uid="{00000000-0005-0000-0000-00002EEC0000}"/>
    <cellStyle name="Remarque 7 9 2 2" xfId="28128" xr:uid="{00000000-0005-0000-0000-00002FEC0000}"/>
    <cellStyle name="Remarque 7 9 2 2 2" xfId="52088" xr:uid="{00000000-0005-0000-0000-000030EC0000}"/>
    <cellStyle name="Remarque 7 9 2 3" xfId="15375" xr:uid="{00000000-0005-0000-0000-000031EC0000}"/>
    <cellStyle name="Remarque 7 9 2 4" xfId="39335" xr:uid="{00000000-0005-0000-0000-000032EC0000}"/>
    <cellStyle name="Remarque 7 9 3" xfId="5548" xr:uid="{00000000-0005-0000-0000-000033EC0000}"/>
    <cellStyle name="Remarque 7 9 3 2" xfId="29562" xr:uid="{00000000-0005-0000-0000-000034EC0000}"/>
    <cellStyle name="Remarque 7 9 3 2 2" xfId="53522" xr:uid="{00000000-0005-0000-0000-000035EC0000}"/>
    <cellStyle name="Remarque 7 9 3 3" xfId="16809" xr:uid="{00000000-0005-0000-0000-000036EC0000}"/>
    <cellStyle name="Remarque 7 9 3 4" xfId="40769" xr:uid="{00000000-0005-0000-0000-000037EC0000}"/>
    <cellStyle name="Remarque 7 9 4" xfId="6942" xr:uid="{00000000-0005-0000-0000-000038EC0000}"/>
    <cellStyle name="Remarque 7 9 4 2" xfId="30956" xr:uid="{00000000-0005-0000-0000-000039EC0000}"/>
    <cellStyle name="Remarque 7 9 4 2 2" xfId="54916" xr:uid="{00000000-0005-0000-0000-00003AEC0000}"/>
    <cellStyle name="Remarque 7 9 4 3" xfId="18203" xr:uid="{00000000-0005-0000-0000-00003BEC0000}"/>
    <cellStyle name="Remarque 7 9 4 4" xfId="42163" xr:uid="{00000000-0005-0000-0000-00003CEC0000}"/>
    <cellStyle name="Remarque 7 9 5" xfId="8330" xr:uid="{00000000-0005-0000-0000-00003DEC0000}"/>
    <cellStyle name="Remarque 7 9 5 2" xfId="32344" xr:uid="{00000000-0005-0000-0000-00003EEC0000}"/>
    <cellStyle name="Remarque 7 9 5 2 2" xfId="56304" xr:uid="{00000000-0005-0000-0000-00003FEC0000}"/>
    <cellStyle name="Remarque 7 9 5 3" xfId="19591" xr:uid="{00000000-0005-0000-0000-000040EC0000}"/>
    <cellStyle name="Remarque 7 9 5 4" xfId="43551" xr:uid="{00000000-0005-0000-0000-000041EC0000}"/>
    <cellStyle name="Remarque 7 9 6" xfId="9715" xr:uid="{00000000-0005-0000-0000-000042EC0000}"/>
    <cellStyle name="Remarque 7 9 6 2" xfId="33729" xr:uid="{00000000-0005-0000-0000-000043EC0000}"/>
    <cellStyle name="Remarque 7 9 6 2 2" xfId="57689" xr:uid="{00000000-0005-0000-0000-000044EC0000}"/>
    <cellStyle name="Remarque 7 9 6 3" xfId="20976" xr:uid="{00000000-0005-0000-0000-000045EC0000}"/>
    <cellStyle name="Remarque 7 9 6 4" xfId="44936" xr:uid="{00000000-0005-0000-0000-000046EC0000}"/>
    <cellStyle name="Remarque 7 9 7" xfId="11172" xr:uid="{00000000-0005-0000-0000-000047EC0000}"/>
    <cellStyle name="Remarque 7 9 7 2" xfId="35182" xr:uid="{00000000-0005-0000-0000-000048EC0000}"/>
    <cellStyle name="Remarque 7 9 7 2 2" xfId="59142" xr:uid="{00000000-0005-0000-0000-000049EC0000}"/>
    <cellStyle name="Remarque 7 9 7 3" xfId="22439" xr:uid="{00000000-0005-0000-0000-00004AEC0000}"/>
    <cellStyle name="Remarque 7 9 7 4" xfId="46399" xr:uid="{00000000-0005-0000-0000-00004BEC0000}"/>
    <cellStyle name="Remarque 7 9 8" xfId="12322" xr:uid="{00000000-0005-0000-0000-00004CEC0000}"/>
    <cellStyle name="Remarque 7 9 8 2" xfId="23610" xr:uid="{00000000-0005-0000-0000-00004DEC0000}"/>
    <cellStyle name="Remarque 7 9 8 3" xfId="47570" xr:uid="{00000000-0005-0000-0000-00004EEC0000}"/>
    <cellStyle name="Remarque 7 9 9" xfId="2644" xr:uid="{00000000-0005-0000-0000-00004FEC0000}"/>
    <cellStyle name="Remarque 7 9 9 2" xfId="26658" xr:uid="{00000000-0005-0000-0000-000050EC0000}"/>
    <cellStyle name="Remarque 7 9 9 3" xfId="50618" xr:uid="{00000000-0005-0000-0000-000051EC0000}"/>
    <cellStyle name="Remarque 8" xfId="41" xr:uid="{00000000-0005-0000-0000-000052EC0000}"/>
    <cellStyle name="Remarque 8 10" xfId="6116" xr:uid="{00000000-0005-0000-0000-000053EC0000}"/>
    <cellStyle name="Remarque 8 10 2" xfId="30130" xr:uid="{00000000-0005-0000-0000-000054EC0000}"/>
    <cellStyle name="Remarque 8 10 2 2" xfId="54090" xr:uid="{00000000-0005-0000-0000-000055EC0000}"/>
    <cellStyle name="Remarque 8 10 3" xfId="17377" xr:uid="{00000000-0005-0000-0000-000056EC0000}"/>
    <cellStyle name="Remarque 8 10 4" xfId="41337" xr:uid="{00000000-0005-0000-0000-000057EC0000}"/>
    <cellStyle name="Remarque 8 11" xfId="7504" xr:uid="{00000000-0005-0000-0000-000058EC0000}"/>
    <cellStyle name="Remarque 8 11 2" xfId="31518" xr:uid="{00000000-0005-0000-0000-000059EC0000}"/>
    <cellStyle name="Remarque 8 11 2 2" xfId="55478" xr:uid="{00000000-0005-0000-0000-00005AEC0000}"/>
    <cellStyle name="Remarque 8 11 3" xfId="18765" xr:uid="{00000000-0005-0000-0000-00005BEC0000}"/>
    <cellStyle name="Remarque 8 11 4" xfId="42725" xr:uid="{00000000-0005-0000-0000-00005CEC0000}"/>
    <cellStyle name="Remarque 8 12" xfId="8889" xr:uid="{00000000-0005-0000-0000-00005DEC0000}"/>
    <cellStyle name="Remarque 8 12 2" xfId="32903" xr:uid="{00000000-0005-0000-0000-00005EEC0000}"/>
    <cellStyle name="Remarque 8 12 2 2" xfId="56863" xr:uid="{00000000-0005-0000-0000-00005FEC0000}"/>
    <cellStyle name="Remarque 8 12 3" xfId="20150" xr:uid="{00000000-0005-0000-0000-000060EC0000}"/>
    <cellStyle name="Remarque 8 12 4" xfId="44110" xr:uid="{00000000-0005-0000-0000-000061EC0000}"/>
    <cellStyle name="Remarque 8 13" xfId="10346" xr:uid="{00000000-0005-0000-0000-000062EC0000}"/>
    <cellStyle name="Remarque 8 13 2" xfId="34356" xr:uid="{00000000-0005-0000-0000-000063EC0000}"/>
    <cellStyle name="Remarque 8 13 2 2" xfId="58316" xr:uid="{00000000-0005-0000-0000-000064EC0000}"/>
    <cellStyle name="Remarque 8 13 3" xfId="21613" xr:uid="{00000000-0005-0000-0000-000065EC0000}"/>
    <cellStyle name="Remarque 8 13 4" xfId="45573" xr:uid="{00000000-0005-0000-0000-000066EC0000}"/>
    <cellStyle name="Remarque 8 14" xfId="12199" xr:uid="{00000000-0005-0000-0000-000067EC0000}"/>
    <cellStyle name="Remarque 8 14 2" xfId="23482" xr:uid="{00000000-0005-0000-0000-000068EC0000}"/>
    <cellStyle name="Remarque 8 14 3" xfId="47442" xr:uid="{00000000-0005-0000-0000-000069EC0000}"/>
    <cellStyle name="Remarque 8 15" xfId="1818" xr:uid="{00000000-0005-0000-0000-00006AEC0000}"/>
    <cellStyle name="Remarque 8 15 2" xfId="25832" xr:uid="{00000000-0005-0000-0000-00006BEC0000}"/>
    <cellStyle name="Remarque 8 15 3" xfId="49792" xr:uid="{00000000-0005-0000-0000-00006CEC0000}"/>
    <cellStyle name="Remarque 8 16" xfId="24414" xr:uid="{00000000-0005-0000-0000-00006DEC0000}"/>
    <cellStyle name="Remarque 8 16 2" xfId="48374" xr:uid="{00000000-0005-0000-0000-00006EEC0000}"/>
    <cellStyle name="Remarque 8 17" xfId="36051" xr:uid="{00000000-0005-0000-0000-00006FEC0000}"/>
    <cellStyle name="Remarque 8 17 2" xfId="60011" xr:uid="{00000000-0005-0000-0000-000070EC0000}"/>
    <cellStyle name="Remarque 8 18" xfId="13079" xr:uid="{00000000-0005-0000-0000-000071EC0000}"/>
    <cellStyle name="Remarque 8 19" xfId="37039" xr:uid="{00000000-0005-0000-0000-000072EC0000}"/>
    <cellStyle name="Remarque 8 2" xfId="518" xr:uid="{00000000-0005-0000-0000-000073EC0000}"/>
    <cellStyle name="Remarque 8 2 10" xfId="24550" xr:uid="{00000000-0005-0000-0000-000074EC0000}"/>
    <cellStyle name="Remarque 8 2 10 2" xfId="48510" xr:uid="{00000000-0005-0000-0000-000075EC0000}"/>
    <cellStyle name="Remarque 8 2 11" xfId="36014" xr:uid="{00000000-0005-0000-0000-000076EC0000}"/>
    <cellStyle name="Remarque 8 2 11 2" xfId="59974" xr:uid="{00000000-0005-0000-0000-000077EC0000}"/>
    <cellStyle name="Remarque 8 2 12" xfId="13215" xr:uid="{00000000-0005-0000-0000-000078EC0000}"/>
    <cellStyle name="Remarque 8 2 13" xfId="37175" xr:uid="{00000000-0005-0000-0000-000079EC0000}"/>
    <cellStyle name="Remarque 8 2 2" xfId="3424" xr:uid="{00000000-0005-0000-0000-00007AEC0000}"/>
    <cellStyle name="Remarque 8 2 2 2" xfId="27438" xr:uid="{00000000-0005-0000-0000-00007BEC0000}"/>
    <cellStyle name="Remarque 8 2 2 2 2" xfId="51398" xr:uid="{00000000-0005-0000-0000-00007CEC0000}"/>
    <cellStyle name="Remarque 8 2 2 3" xfId="14685" xr:uid="{00000000-0005-0000-0000-00007DEC0000}"/>
    <cellStyle name="Remarque 8 2 2 4" xfId="38645" xr:uid="{00000000-0005-0000-0000-00007EEC0000}"/>
    <cellStyle name="Remarque 8 2 3" xfId="4858" xr:uid="{00000000-0005-0000-0000-00007FEC0000}"/>
    <cellStyle name="Remarque 8 2 3 2" xfId="28872" xr:uid="{00000000-0005-0000-0000-000080EC0000}"/>
    <cellStyle name="Remarque 8 2 3 2 2" xfId="52832" xr:uid="{00000000-0005-0000-0000-000081EC0000}"/>
    <cellStyle name="Remarque 8 2 3 3" xfId="16119" xr:uid="{00000000-0005-0000-0000-000082EC0000}"/>
    <cellStyle name="Remarque 8 2 3 4" xfId="40079" xr:uid="{00000000-0005-0000-0000-000083EC0000}"/>
    <cellStyle name="Remarque 8 2 4" xfId="6252" xr:uid="{00000000-0005-0000-0000-000084EC0000}"/>
    <cellStyle name="Remarque 8 2 4 2" xfId="30266" xr:uid="{00000000-0005-0000-0000-000085EC0000}"/>
    <cellStyle name="Remarque 8 2 4 2 2" xfId="54226" xr:uid="{00000000-0005-0000-0000-000086EC0000}"/>
    <cellStyle name="Remarque 8 2 4 3" xfId="17513" xr:uid="{00000000-0005-0000-0000-000087EC0000}"/>
    <cellStyle name="Remarque 8 2 4 4" xfId="41473" xr:uid="{00000000-0005-0000-0000-000088EC0000}"/>
    <cellStyle name="Remarque 8 2 5" xfId="7640" xr:uid="{00000000-0005-0000-0000-000089EC0000}"/>
    <cellStyle name="Remarque 8 2 5 2" xfId="31654" xr:uid="{00000000-0005-0000-0000-00008AEC0000}"/>
    <cellStyle name="Remarque 8 2 5 2 2" xfId="55614" xr:uid="{00000000-0005-0000-0000-00008BEC0000}"/>
    <cellStyle name="Remarque 8 2 5 3" xfId="18901" xr:uid="{00000000-0005-0000-0000-00008CEC0000}"/>
    <cellStyle name="Remarque 8 2 5 4" xfId="42861" xr:uid="{00000000-0005-0000-0000-00008DEC0000}"/>
    <cellStyle name="Remarque 8 2 6" xfId="9025" xr:uid="{00000000-0005-0000-0000-00008EEC0000}"/>
    <cellStyle name="Remarque 8 2 6 2" xfId="33039" xr:uid="{00000000-0005-0000-0000-00008FEC0000}"/>
    <cellStyle name="Remarque 8 2 6 2 2" xfId="56999" xr:uid="{00000000-0005-0000-0000-000090EC0000}"/>
    <cellStyle name="Remarque 8 2 6 3" xfId="20286" xr:uid="{00000000-0005-0000-0000-000091EC0000}"/>
    <cellStyle name="Remarque 8 2 6 4" xfId="44246" xr:uid="{00000000-0005-0000-0000-000092EC0000}"/>
    <cellStyle name="Remarque 8 2 7" xfId="10482" xr:uid="{00000000-0005-0000-0000-000093EC0000}"/>
    <cellStyle name="Remarque 8 2 7 2" xfId="34492" xr:uid="{00000000-0005-0000-0000-000094EC0000}"/>
    <cellStyle name="Remarque 8 2 7 2 2" xfId="58452" xr:uid="{00000000-0005-0000-0000-000095EC0000}"/>
    <cellStyle name="Remarque 8 2 7 3" xfId="21749" xr:uid="{00000000-0005-0000-0000-000096EC0000}"/>
    <cellStyle name="Remarque 8 2 7 4" xfId="45709" xr:uid="{00000000-0005-0000-0000-000097EC0000}"/>
    <cellStyle name="Remarque 8 2 8" xfId="11759" xr:uid="{00000000-0005-0000-0000-000098EC0000}"/>
    <cellStyle name="Remarque 8 2 8 2" xfId="23031" xr:uid="{00000000-0005-0000-0000-000099EC0000}"/>
    <cellStyle name="Remarque 8 2 8 3" xfId="46991" xr:uid="{00000000-0005-0000-0000-00009AEC0000}"/>
    <cellStyle name="Remarque 8 2 9" xfId="1954" xr:uid="{00000000-0005-0000-0000-00009BEC0000}"/>
    <cellStyle name="Remarque 8 2 9 2" xfId="25968" xr:uid="{00000000-0005-0000-0000-00009CEC0000}"/>
    <cellStyle name="Remarque 8 2 9 3" xfId="49928" xr:uid="{00000000-0005-0000-0000-00009DEC0000}"/>
    <cellStyle name="Remarque 8 20" xfId="382" xr:uid="{00000000-0005-0000-0000-00009EEC0000}"/>
    <cellStyle name="Remarque 8 3" xfId="710" xr:uid="{00000000-0005-0000-0000-00009FEC0000}"/>
    <cellStyle name="Remarque 8 3 10" xfId="24742" xr:uid="{00000000-0005-0000-0000-0000A0EC0000}"/>
    <cellStyle name="Remarque 8 3 10 2" xfId="48702" xr:uid="{00000000-0005-0000-0000-0000A1EC0000}"/>
    <cellStyle name="Remarque 8 3 11" xfId="36650" xr:uid="{00000000-0005-0000-0000-0000A2EC0000}"/>
    <cellStyle name="Remarque 8 3 11 2" xfId="60610" xr:uid="{00000000-0005-0000-0000-0000A3EC0000}"/>
    <cellStyle name="Remarque 8 3 12" xfId="13407" xr:uid="{00000000-0005-0000-0000-0000A4EC0000}"/>
    <cellStyle name="Remarque 8 3 13" xfId="37367" xr:uid="{00000000-0005-0000-0000-0000A5EC0000}"/>
    <cellStyle name="Remarque 8 3 2" xfId="3616" xr:uid="{00000000-0005-0000-0000-0000A6EC0000}"/>
    <cellStyle name="Remarque 8 3 2 2" xfId="27630" xr:uid="{00000000-0005-0000-0000-0000A7EC0000}"/>
    <cellStyle name="Remarque 8 3 2 2 2" xfId="51590" xr:uid="{00000000-0005-0000-0000-0000A8EC0000}"/>
    <cellStyle name="Remarque 8 3 2 3" xfId="14877" xr:uid="{00000000-0005-0000-0000-0000A9EC0000}"/>
    <cellStyle name="Remarque 8 3 2 4" xfId="38837" xr:uid="{00000000-0005-0000-0000-0000AAEC0000}"/>
    <cellStyle name="Remarque 8 3 3" xfId="5050" xr:uid="{00000000-0005-0000-0000-0000ABEC0000}"/>
    <cellStyle name="Remarque 8 3 3 2" xfId="29064" xr:uid="{00000000-0005-0000-0000-0000ACEC0000}"/>
    <cellStyle name="Remarque 8 3 3 2 2" xfId="53024" xr:uid="{00000000-0005-0000-0000-0000ADEC0000}"/>
    <cellStyle name="Remarque 8 3 3 3" xfId="16311" xr:uid="{00000000-0005-0000-0000-0000AEEC0000}"/>
    <cellStyle name="Remarque 8 3 3 4" xfId="40271" xr:uid="{00000000-0005-0000-0000-0000AFEC0000}"/>
    <cellStyle name="Remarque 8 3 4" xfId="6444" xr:uid="{00000000-0005-0000-0000-0000B0EC0000}"/>
    <cellStyle name="Remarque 8 3 4 2" xfId="30458" xr:uid="{00000000-0005-0000-0000-0000B1EC0000}"/>
    <cellStyle name="Remarque 8 3 4 2 2" xfId="54418" xr:uid="{00000000-0005-0000-0000-0000B2EC0000}"/>
    <cellStyle name="Remarque 8 3 4 3" xfId="17705" xr:uid="{00000000-0005-0000-0000-0000B3EC0000}"/>
    <cellStyle name="Remarque 8 3 4 4" xfId="41665" xr:uid="{00000000-0005-0000-0000-0000B4EC0000}"/>
    <cellStyle name="Remarque 8 3 5" xfId="7832" xr:uid="{00000000-0005-0000-0000-0000B5EC0000}"/>
    <cellStyle name="Remarque 8 3 5 2" xfId="31846" xr:uid="{00000000-0005-0000-0000-0000B6EC0000}"/>
    <cellStyle name="Remarque 8 3 5 2 2" xfId="55806" xr:uid="{00000000-0005-0000-0000-0000B7EC0000}"/>
    <cellStyle name="Remarque 8 3 5 3" xfId="19093" xr:uid="{00000000-0005-0000-0000-0000B8EC0000}"/>
    <cellStyle name="Remarque 8 3 5 4" xfId="43053" xr:uid="{00000000-0005-0000-0000-0000B9EC0000}"/>
    <cellStyle name="Remarque 8 3 6" xfId="9217" xr:uid="{00000000-0005-0000-0000-0000BAEC0000}"/>
    <cellStyle name="Remarque 8 3 6 2" xfId="33231" xr:uid="{00000000-0005-0000-0000-0000BBEC0000}"/>
    <cellStyle name="Remarque 8 3 6 2 2" xfId="57191" xr:uid="{00000000-0005-0000-0000-0000BCEC0000}"/>
    <cellStyle name="Remarque 8 3 6 3" xfId="20478" xr:uid="{00000000-0005-0000-0000-0000BDEC0000}"/>
    <cellStyle name="Remarque 8 3 6 4" xfId="44438" xr:uid="{00000000-0005-0000-0000-0000BEEC0000}"/>
    <cellStyle name="Remarque 8 3 7" xfId="10674" xr:uid="{00000000-0005-0000-0000-0000BFEC0000}"/>
    <cellStyle name="Remarque 8 3 7 2" xfId="34684" xr:uid="{00000000-0005-0000-0000-0000C0EC0000}"/>
    <cellStyle name="Remarque 8 3 7 2 2" xfId="58644" xr:uid="{00000000-0005-0000-0000-0000C1EC0000}"/>
    <cellStyle name="Remarque 8 3 7 3" xfId="21941" xr:uid="{00000000-0005-0000-0000-0000C2EC0000}"/>
    <cellStyle name="Remarque 8 3 7 4" xfId="45901" xr:uid="{00000000-0005-0000-0000-0000C3EC0000}"/>
    <cellStyle name="Remarque 8 3 8" xfId="12005" xr:uid="{00000000-0005-0000-0000-0000C4EC0000}"/>
    <cellStyle name="Remarque 8 3 8 2" xfId="23284" xr:uid="{00000000-0005-0000-0000-0000C5EC0000}"/>
    <cellStyle name="Remarque 8 3 8 3" xfId="47244" xr:uid="{00000000-0005-0000-0000-0000C6EC0000}"/>
    <cellStyle name="Remarque 8 3 9" xfId="2146" xr:uid="{00000000-0005-0000-0000-0000C7EC0000}"/>
    <cellStyle name="Remarque 8 3 9 2" xfId="26160" xr:uid="{00000000-0005-0000-0000-0000C8EC0000}"/>
    <cellStyle name="Remarque 8 3 9 3" xfId="50120" xr:uid="{00000000-0005-0000-0000-0000C9EC0000}"/>
    <cellStyle name="Remarque 8 4" xfId="904" xr:uid="{00000000-0005-0000-0000-0000CAEC0000}"/>
    <cellStyle name="Remarque 8 4 10" xfId="24936" xr:uid="{00000000-0005-0000-0000-0000CBEC0000}"/>
    <cellStyle name="Remarque 8 4 10 2" xfId="48896" xr:uid="{00000000-0005-0000-0000-0000CCEC0000}"/>
    <cellStyle name="Remarque 8 4 11" xfId="36165" xr:uid="{00000000-0005-0000-0000-0000CDEC0000}"/>
    <cellStyle name="Remarque 8 4 11 2" xfId="60125" xr:uid="{00000000-0005-0000-0000-0000CEEC0000}"/>
    <cellStyle name="Remarque 8 4 12" xfId="13601" xr:uid="{00000000-0005-0000-0000-0000CFEC0000}"/>
    <cellStyle name="Remarque 8 4 13" xfId="37561" xr:uid="{00000000-0005-0000-0000-0000D0EC0000}"/>
    <cellStyle name="Remarque 8 4 2" xfId="3810" xr:uid="{00000000-0005-0000-0000-0000D1EC0000}"/>
    <cellStyle name="Remarque 8 4 2 2" xfId="27824" xr:uid="{00000000-0005-0000-0000-0000D2EC0000}"/>
    <cellStyle name="Remarque 8 4 2 2 2" xfId="51784" xr:uid="{00000000-0005-0000-0000-0000D3EC0000}"/>
    <cellStyle name="Remarque 8 4 2 3" xfId="15071" xr:uid="{00000000-0005-0000-0000-0000D4EC0000}"/>
    <cellStyle name="Remarque 8 4 2 4" xfId="39031" xr:uid="{00000000-0005-0000-0000-0000D5EC0000}"/>
    <cellStyle name="Remarque 8 4 3" xfId="5244" xr:uid="{00000000-0005-0000-0000-0000D6EC0000}"/>
    <cellStyle name="Remarque 8 4 3 2" xfId="29258" xr:uid="{00000000-0005-0000-0000-0000D7EC0000}"/>
    <cellStyle name="Remarque 8 4 3 2 2" xfId="53218" xr:uid="{00000000-0005-0000-0000-0000D8EC0000}"/>
    <cellStyle name="Remarque 8 4 3 3" xfId="16505" xr:uid="{00000000-0005-0000-0000-0000D9EC0000}"/>
    <cellStyle name="Remarque 8 4 3 4" xfId="40465" xr:uid="{00000000-0005-0000-0000-0000DAEC0000}"/>
    <cellStyle name="Remarque 8 4 4" xfId="6638" xr:uid="{00000000-0005-0000-0000-0000DBEC0000}"/>
    <cellStyle name="Remarque 8 4 4 2" xfId="30652" xr:uid="{00000000-0005-0000-0000-0000DCEC0000}"/>
    <cellStyle name="Remarque 8 4 4 2 2" xfId="54612" xr:uid="{00000000-0005-0000-0000-0000DDEC0000}"/>
    <cellStyle name="Remarque 8 4 4 3" xfId="17899" xr:uid="{00000000-0005-0000-0000-0000DEEC0000}"/>
    <cellStyle name="Remarque 8 4 4 4" xfId="41859" xr:uid="{00000000-0005-0000-0000-0000DFEC0000}"/>
    <cellStyle name="Remarque 8 4 5" xfId="8026" xr:uid="{00000000-0005-0000-0000-0000E0EC0000}"/>
    <cellStyle name="Remarque 8 4 5 2" xfId="32040" xr:uid="{00000000-0005-0000-0000-0000E1EC0000}"/>
    <cellStyle name="Remarque 8 4 5 2 2" xfId="56000" xr:uid="{00000000-0005-0000-0000-0000E2EC0000}"/>
    <cellStyle name="Remarque 8 4 5 3" xfId="19287" xr:uid="{00000000-0005-0000-0000-0000E3EC0000}"/>
    <cellStyle name="Remarque 8 4 5 4" xfId="43247" xr:uid="{00000000-0005-0000-0000-0000E4EC0000}"/>
    <cellStyle name="Remarque 8 4 6" xfId="9411" xr:uid="{00000000-0005-0000-0000-0000E5EC0000}"/>
    <cellStyle name="Remarque 8 4 6 2" xfId="33425" xr:uid="{00000000-0005-0000-0000-0000E6EC0000}"/>
    <cellStyle name="Remarque 8 4 6 2 2" xfId="57385" xr:uid="{00000000-0005-0000-0000-0000E7EC0000}"/>
    <cellStyle name="Remarque 8 4 6 3" xfId="20672" xr:uid="{00000000-0005-0000-0000-0000E8EC0000}"/>
    <cellStyle name="Remarque 8 4 6 4" xfId="44632" xr:uid="{00000000-0005-0000-0000-0000E9EC0000}"/>
    <cellStyle name="Remarque 8 4 7" xfId="10868" xr:uid="{00000000-0005-0000-0000-0000EAEC0000}"/>
    <cellStyle name="Remarque 8 4 7 2" xfId="34878" xr:uid="{00000000-0005-0000-0000-0000EBEC0000}"/>
    <cellStyle name="Remarque 8 4 7 2 2" xfId="58838" xr:uid="{00000000-0005-0000-0000-0000ECEC0000}"/>
    <cellStyle name="Remarque 8 4 7 3" xfId="22135" xr:uid="{00000000-0005-0000-0000-0000EDEC0000}"/>
    <cellStyle name="Remarque 8 4 7 4" xfId="46095" xr:uid="{00000000-0005-0000-0000-0000EEEC0000}"/>
    <cellStyle name="Remarque 8 4 8" xfId="12299" xr:uid="{00000000-0005-0000-0000-0000EFEC0000}"/>
    <cellStyle name="Remarque 8 4 8 2" xfId="23587" xr:uid="{00000000-0005-0000-0000-0000F0EC0000}"/>
    <cellStyle name="Remarque 8 4 8 3" xfId="47547" xr:uid="{00000000-0005-0000-0000-0000F1EC0000}"/>
    <cellStyle name="Remarque 8 4 9" xfId="2340" xr:uid="{00000000-0005-0000-0000-0000F2EC0000}"/>
    <cellStyle name="Remarque 8 4 9 2" xfId="26354" xr:uid="{00000000-0005-0000-0000-0000F3EC0000}"/>
    <cellStyle name="Remarque 8 4 9 3" xfId="50314" xr:uid="{00000000-0005-0000-0000-0000F4EC0000}"/>
    <cellStyle name="Remarque 8 5" xfId="1097" xr:uid="{00000000-0005-0000-0000-0000F5EC0000}"/>
    <cellStyle name="Remarque 8 5 10" xfId="25129" xr:uid="{00000000-0005-0000-0000-0000F6EC0000}"/>
    <cellStyle name="Remarque 8 5 10 2" xfId="49089" xr:uid="{00000000-0005-0000-0000-0000F7EC0000}"/>
    <cellStyle name="Remarque 8 5 11" xfId="36175" xr:uid="{00000000-0005-0000-0000-0000F8EC0000}"/>
    <cellStyle name="Remarque 8 5 11 2" xfId="60135" xr:uid="{00000000-0005-0000-0000-0000F9EC0000}"/>
    <cellStyle name="Remarque 8 5 12" xfId="13794" xr:uid="{00000000-0005-0000-0000-0000FAEC0000}"/>
    <cellStyle name="Remarque 8 5 13" xfId="37754" xr:uid="{00000000-0005-0000-0000-0000FBEC0000}"/>
    <cellStyle name="Remarque 8 5 2" xfId="4003" xr:uid="{00000000-0005-0000-0000-0000FCEC0000}"/>
    <cellStyle name="Remarque 8 5 2 2" xfId="28017" xr:uid="{00000000-0005-0000-0000-0000FDEC0000}"/>
    <cellStyle name="Remarque 8 5 2 2 2" xfId="51977" xr:uid="{00000000-0005-0000-0000-0000FEEC0000}"/>
    <cellStyle name="Remarque 8 5 2 3" xfId="15264" xr:uid="{00000000-0005-0000-0000-0000FFEC0000}"/>
    <cellStyle name="Remarque 8 5 2 4" xfId="39224" xr:uid="{00000000-0005-0000-0000-000000ED0000}"/>
    <cellStyle name="Remarque 8 5 3" xfId="5437" xr:uid="{00000000-0005-0000-0000-000001ED0000}"/>
    <cellStyle name="Remarque 8 5 3 2" xfId="29451" xr:uid="{00000000-0005-0000-0000-000002ED0000}"/>
    <cellStyle name="Remarque 8 5 3 2 2" xfId="53411" xr:uid="{00000000-0005-0000-0000-000003ED0000}"/>
    <cellStyle name="Remarque 8 5 3 3" xfId="16698" xr:uid="{00000000-0005-0000-0000-000004ED0000}"/>
    <cellStyle name="Remarque 8 5 3 4" xfId="40658" xr:uid="{00000000-0005-0000-0000-000005ED0000}"/>
    <cellStyle name="Remarque 8 5 4" xfId="6831" xr:uid="{00000000-0005-0000-0000-000006ED0000}"/>
    <cellStyle name="Remarque 8 5 4 2" xfId="30845" xr:uid="{00000000-0005-0000-0000-000007ED0000}"/>
    <cellStyle name="Remarque 8 5 4 2 2" xfId="54805" xr:uid="{00000000-0005-0000-0000-000008ED0000}"/>
    <cellStyle name="Remarque 8 5 4 3" xfId="18092" xr:uid="{00000000-0005-0000-0000-000009ED0000}"/>
    <cellStyle name="Remarque 8 5 4 4" xfId="42052" xr:uid="{00000000-0005-0000-0000-00000AED0000}"/>
    <cellStyle name="Remarque 8 5 5" xfId="8219" xr:uid="{00000000-0005-0000-0000-00000BED0000}"/>
    <cellStyle name="Remarque 8 5 5 2" xfId="32233" xr:uid="{00000000-0005-0000-0000-00000CED0000}"/>
    <cellStyle name="Remarque 8 5 5 2 2" xfId="56193" xr:uid="{00000000-0005-0000-0000-00000DED0000}"/>
    <cellStyle name="Remarque 8 5 5 3" xfId="19480" xr:uid="{00000000-0005-0000-0000-00000EED0000}"/>
    <cellStyle name="Remarque 8 5 5 4" xfId="43440" xr:uid="{00000000-0005-0000-0000-00000FED0000}"/>
    <cellStyle name="Remarque 8 5 6" xfId="9604" xr:uid="{00000000-0005-0000-0000-000010ED0000}"/>
    <cellStyle name="Remarque 8 5 6 2" xfId="33618" xr:uid="{00000000-0005-0000-0000-000011ED0000}"/>
    <cellStyle name="Remarque 8 5 6 2 2" xfId="57578" xr:uid="{00000000-0005-0000-0000-000012ED0000}"/>
    <cellStyle name="Remarque 8 5 6 3" xfId="20865" xr:uid="{00000000-0005-0000-0000-000013ED0000}"/>
    <cellStyle name="Remarque 8 5 6 4" xfId="44825" xr:uid="{00000000-0005-0000-0000-000014ED0000}"/>
    <cellStyle name="Remarque 8 5 7" xfId="11061" xr:uid="{00000000-0005-0000-0000-000015ED0000}"/>
    <cellStyle name="Remarque 8 5 7 2" xfId="35071" xr:uid="{00000000-0005-0000-0000-000016ED0000}"/>
    <cellStyle name="Remarque 8 5 7 2 2" xfId="59031" xr:uid="{00000000-0005-0000-0000-000017ED0000}"/>
    <cellStyle name="Remarque 8 5 7 3" xfId="22328" xr:uid="{00000000-0005-0000-0000-000018ED0000}"/>
    <cellStyle name="Remarque 8 5 7 4" xfId="46288" xr:uid="{00000000-0005-0000-0000-000019ED0000}"/>
    <cellStyle name="Remarque 8 5 8" xfId="12221" xr:uid="{00000000-0005-0000-0000-00001AED0000}"/>
    <cellStyle name="Remarque 8 5 8 2" xfId="23505" xr:uid="{00000000-0005-0000-0000-00001BED0000}"/>
    <cellStyle name="Remarque 8 5 8 3" xfId="47465" xr:uid="{00000000-0005-0000-0000-00001CED0000}"/>
    <cellStyle name="Remarque 8 5 9" xfId="2533" xr:uid="{00000000-0005-0000-0000-00001DED0000}"/>
    <cellStyle name="Remarque 8 5 9 2" xfId="26547" xr:uid="{00000000-0005-0000-0000-00001EED0000}"/>
    <cellStyle name="Remarque 8 5 9 3" xfId="50507" xr:uid="{00000000-0005-0000-0000-00001FED0000}"/>
    <cellStyle name="Remarque 8 6" xfId="1264" xr:uid="{00000000-0005-0000-0000-000020ED0000}"/>
    <cellStyle name="Remarque 8 6 10" xfId="25296" xr:uid="{00000000-0005-0000-0000-000021ED0000}"/>
    <cellStyle name="Remarque 8 6 10 2" xfId="49256" xr:uid="{00000000-0005-0000-0000-000022ED0000}"/>
    <cellStyle name="Remarque 8 6 11" xfId="35799" xr:uid="{00000000-0005-0000-0000-000023ED0000}"/>
    <cellStyle name="Remarque 8 6 11 2" xfId="59759" xr:uid="{00000000-0005-0000-0000-000024ED0000}"/>
    <cellStyle name="Remarque 8 6 12" xfId="13961" xr:uid="{00000000-0005-0000-0000-000025ED0000}"/>
    <cellStyle name="Remarque 8 6 13" xfId="37921" xr:uid="{00000000-0005-0000-0000-000026ED0000}"/>
    <cellStyle name="Remarque 8 6 2" xfId="4170" xr:uid="{00000000-0005-0000-0000-000027ED0000}"/>
    <cellStyle name="Remarque 8 6 2 2" xfId="28184" xr:uid="{00000000-0005-0000-0000-000028ED0000}"/>
    <cellStyle name="Remarque 8 6 2 2 2" xfId="52144" xr:uid="{00000000-0005-0000-0000-000029ED0000}"/>
    <cellStyle name="Remarque 8 6 2 3" xfId="15431" xr:uid="{00000000-0005-0000-0000-00002AED0000}"/>
    <cellStyle name="Remarque 8 6 2 4" xfId="39391" xr:uid="{00000000-0005-0000-0000-00002BED0000}"/>
    <cellStyle name="Remarque 8 6 3" xfId="5604" xr:uid="{00000000-0005-0000-0000-00002CED0000}"/>
    <cellStyle name="Remarque 8 6 3 2" xfId="29618" xr:uid="{00000000-0005-0000-0000-00002DED0000}"/>
    <cellStyle name="Remarque 8 6 3 2 2" xfId="53578" xr:uid="{00000000-0005-0000-0000-00002EED0000}"/>
    <cellStyle name="Remarque 8 6 3 3" xfId="16865" xr:uid="{00000000-0005-0000-0000-00002FED0000}"/>
    <cellStyle name="Remarque 8 6 3 4" xfId="40825" xr:uid="{00000000-0005-0000-0000-000030ED0000}"/>
    <cellStyle name="Remarque 8 6 4" xfId="6998" xr:uid="{00000000-0005-0000-0000-000031ED0000}"/>
    <cellStyle name="Remarque 8 6 4 2" xfId="31012" xr:uid="{00000000-0005-0000-0000-000032ED0000}"/>
    <cellStyle name="Remarque 8 6 4 2 2" xfId="54972" xr:uid="{00000000-0005-0000-0000-000033ED0000}"/>
    <cellStyle name="Remarque 8 6 4 3" xfId="18259" xr:uid="{00000000-0005-0000-0000-000034ED0000}"/>
    <cellStyle name="Remarque 8 6 4 4" xfId="42219" xr:uid="{00000000-0005-0000-0000-000035ED0000}"/>
    <cellStyle name="Remarque 8 6 5" xfId="8386" xr:uid="{00000000-0005-0000-0000-000036ED0000}"/>
    <cellStyle name="Remarque 8 6 5 2" xfId="32400" xr:uid="{00000000-0005-0000-0000-000037ED0000}"/>
    <cellStyle name="Remarque 8 6 5 2 2" xfId="56360" xr:uid="{00000000-0005-0000-0000-000038ED0000}"/>
    <cellStyle name="Remarque 8 6 5 3" xfId="19647" xr:uid="{00000000-0005-0000-0000-000039ED0000}"/>
    <cellStyle name="Remarque 8 6 5 4" xfId="43607" xr:uid="{00000000-0005-0000-0000-00003AED0000}"/>
    <cellStyle name="Remarque 8 6 6" xfId="9771" xr:uid="{00000000-0005-0000-0000-00003BED0000}"/>
    <cellStyle name="Remarque 8 6 6 2" xfId="33785" xr:uid="{00000000-0005-0000-0000-00003CED0000}"/>
    <cellStyle name="Remarque 8 6 6 2 2" xfId="57745" xr:uid="{00000000-0005-0000-0000-00003DED0000}"/>
    <cellStyle name="Remarque 8 6 6 3" xfId="21032" xr:uid="{00000000-0005-0000-0000-00003EED0000}"/>
    <cellStyle name="Remarque 8 6 6 4" xfId="44992" xr:uid="{00000000-0005-0000-0000-00003FED0000}"/>
    <cellStyle name="Remarque 8 6 7" xfId="11228" xr:uid="{00000000-0005-0000-0000-000040ED0000}"/>
    <cellStyle name="Remarque 8 6 7 2" xfId="35238" xr:uid="{00000000-0005-0000-0000-000041ED0000}"/>
    <cellStyle name="Remarque 8 6 7 2 2" xfId="59198" xr:uid="{00000000-0005-0000-0000-000042ED0000}"/>
    <cellStyle name="Remarque 8 6 7 3" xfId="22495" xr:uid="{00000000-0005-0000-0000-000043ED0000}"/>
    <cellStyle name="Remarque 8 6 7 4" xfId="46455" xr:uid="{00000000-0005-0000-0000-000044ED0000}"/>
    <cellStyle name="Remarque 8 6 8" xfId="12415" xr:uid="{00000000-0005-0000-0000-000045ED0000}"/>
    <cellStyle name="Remarque 8 6 8 2" xfId="23706" xr:uid="{00000000-0005-0000-0000-000046ED0000}"/>
    <cellStyle name="Remarque 8 6 8 3" xfId="47666" xr:uid="{00000000-0005-0000-0000-000047ED0000}"/>
    <cellStyle name="Remarque 8 6 9" xfId="2700" xr:uid="{00000000-0005-0000-0000-000048ED0000}"/>
    <cellStyle name="Remarque 8 6 9 2" xfId="26714" xr:uid="{00000000-0005-0000-0000-000049ED0000}"/>
    <cellStyle name="Remarque 8 6 9 3" xfId="50674" xr:uid="{00000000-0005-0000-0000-00004AED0000}"/>
    <cellStyle name="Remarque 8 7" xfId="1433" xr:uid="{00000000-0005-0000-0000-00004BED0000}"/>
    <cellStyle name="Remarque 8 7 10" xfId="25465" xr:uid="{00000000-0005-0000-0000-00004CED0000}"/>
    <cellStyle name="Remarque 8 7 10 2" xfId="49425" xr:uid="{00000000-0005-0000-0000-00004DED0000}"/>
    <cellStyle name="Remarque 8 7 11" xfId="35671" xr:uid="{00000000-0005-0000-0000-00004EED0000}"/>
    <cellStyle name="Remarque 8 7 11 2" xfId="59631" xr:uid="{00000000-0005-0000-0000-00004FED0000}"/>
    <cellStyle name="Remarque 8 7 12" xfId="14130" xr:uid="{00000000-0005-0000-0000-000050ED0000}"/>
    <cellStyle name="Remarque 8 7 13" xfId="38090" xr:uid="{00000000-0005-0000-0000-000051ED0000}"/>
    <cellStyle name="Remarque 8 7 2" xfId="4339" xr:uid="{00000000-0005-0000-0000-000052ED0000}"/>
    <cellStyle name="Remarque 8 7 2 2" xfId="28353" xr:uid="{00000000-0005-0000-0000-000053ED0000}"/>
    <cellStyle name="Remarque 8 7 2 2 2" xfId="52313" xr:uid="{00000000-0005-0000-0000-000054ED0000}"/>
    <cellStyle name="Remarque 8 7 2 3" xfId="15600" xr:uid="{00000000-0005-0000-0000-000055ED0000}"/>
    <cellStyle name="Remarque 8 7 2 4" xfId="39560" xr:uid="{00000000-0005-0000-0000-000056ED0000}"/>
    <cellStyle name="Remarque 8 7 3" xfId="5773" xr:uid="{00000000-0005-0000-0000-000057ED0000}"/>
    <cellStyle name="Remarque 8 7 3 2" xfId="29787" xr:uid="{00000000-0005-0000-0000-000058ED0000}"/>
    <cellStyle name="Remarque 8 7 3 2 2" xfId="53747" xr:uid="{00000000-0005-0000-0000-000059ED0000}"/>
    <cellStyle name="Remarque 8 7 3 3" xfId="17034" xr:uid="{00000000-0005-0000-0000-00005AED0000}"/>
    <cellStyle name="Remarque 8 7 3 4" xfId="40994" xr:uid="{00000000-0005-0000-0000-00005BED0000}"/>
    <cellStyle name="Remarque 8 7 4" xfId="7167" xr:uid="{00000000-0005-0000-0000-00005CED0000}"/>
    <cellStyle name="Remarque 8 7 4 2" xfId="31181" xr:uid="{00000000-0005-0000-0000-00005DED0000}"/>
    <cellStyle name="Remarque 8 7 4 2 2" xfId="55141" xr:uid="{00000000-0005-0000-0000-00005EED0000}"/>
    <cellStyle name="Remarque 8 7 4 3" xfId="18428" xr:uid="{00000000-0005-0000-0000-00005FED0000}"/>
    <cellStyle name="Remarque 8 7 4 4" xfId="42388" xr:uid="{00000000-0005-0000-0000-000060ED0000}"/>
    <cellStyle name="Remarque 8 7 5" xfId="8555" xr:uid="{00000000-0005-0000-0000-000061ED0000}"/>
    <cellStyle name="Remarque 8 7 5 2" xfId="32569" xr:uid="{00000000-0005-0000-0000-000062ED0000}"/>
    <cellStyle name="Remarque 8 7 5 2 2" xfId="56529" xr:uid="{00000000-0005-0000-0000-000063ED0000}"/>
    <cellStyle name="Remarque 8 7 5 3" xfId="19816" xr:uid="{00000000-0005-0000-0000-000064ED0000}"/>
    <cellStyle name="Remarque 8 7 5 4" xfId="43776" xr:uid="{00000000-0005-0000-0000-000065ED0000}"/>
    <cellStyle name="Remarque 8 7 6" xfId="9940" xr:uid="{00000000-0005-0000-0000-000066ED0000}"/>
    <cellStyle name="Remarque 8 7 6 2" xfId="33954" xr:uid="{00000000-0005-0000-0000-000067ED0000}"/>
    <cellStyle name="Remarque 8 7 6 2 2" xfId="57914" xr:uid="{00000000-0005-0000-0000-000068ED0000}"/>
    <cellStyle name="Remarque 8 7 6 3" xfId="21201" xr:uid="{00000000-0005-0000-0000-000069ED0000}"/>
    <cellStyle name="Remarque 8 7 6 4" xfId="45161" xr:uid="{00000000-0005-0000-0000-00006AED0000}"/>
    <cellStyle name="Remarque 8 7 7" xfId="11397" xr:uid="{00000000-0005-0000-0000-00006BED0000}"/>
    <cellStyle name="Remarque 8 7 7 2" xfId="35407" xr:uid="{00000000-0005-0000-0000-00006CED0000}"/>
    <cellStyle name="Remarque 8 7 7 2 2" xfId="59367" xr:uid="{00000000-0005-0000-0000-00006DED0000}"/>
    <cellStyle name="Remarque 8 7 7 3" xfId="22664" xr:uid="{00000000-0005-0000-0000-00006EED0000}"/>
    <cellStyle name="Remarque 8 7 7 4" xfId="46624" xr:uid="{00000000-0005-0000-0000-00006FED0000}"/>
    <cellStyle name="Remarque 8 7 8" xfId="12297" xr:uid="{00000000-0005-0000-0000-000070ED0000}"/>
    <cellStyle name="Remarque 8 7 8 2" xfId="23585" xr:uid="{00000000-0005-0000-0000-000071ED0000}"/>
    <cellStyle name="Remarque 8 7 8 3" xfId="47545" xr:uid="{00000000-0005-0000-0000-000072ED0000}"/>
    <cellStyle name="Remarque 8 7 9" xfId="2869" xr:uid="{00000000-0005-0000-0000-000073ED0000}"/>
    <cellStyle name="Remarque 8 7 9 2" xfId="26883" xr:uid="{00000000-0005-0000-0000-000074ED0000}"/>
    <cellStyle name="Remarque 8 7 9 3" xfId="50843" xr:uid="{00000000-0005-0000-0000-000075ED0000}"/>
    <cellStyle name="Remarque 8 8" xfId="3288" xr:uid="{00000000-0005-0000-0000-000076ED0000}"/>
    <cellStyle name="Remarque 8 8 2" xfId="27302" xr:uid="{00000000-0005-0000-0000-000077ED0000}"/>
    <cellStyle name="Remarque 8 8 2 2" xfId="51262" xr:uid="{00000000-0005-0000-0000-000078ED0000}"/>
    <cellStyle name="Remarque 8 8 3" xfId="14549" xr:uid="{00000000-0005-0000-0000-000079ED0000}"/>
    <cellStyle name="Remarque 8 8 4" xfId="38509" xr:uid="{00000000-0005-0000-0000-00007AED0000}"/>
    <cellStyle name="Remarque 8 9" xfId="4722" xr:uid="{00000000-0005-0000-0000-00007BED0000}"/>
    <cellStyle name="Remarque 8 9 2" xfId="28736" xr:uid="{00000000-0005-0000-0000-00007CED0000}"/>
    <cellStyle name="Remarque 8 9 2 2" xfId="52696" xr:uid="{00000000-0005-0000-0000-00007DED0000}"/>
    <cellStyle name="Remarque 8 9 3" xfId="15983" xr:uid="{00000000-0005-0000-0000-00007EED0000}"/>
    <cellStyle name="Remarque 8 9 4" xfId="39943" xr:uid="{00000000-0005-0000-0000-00007FED0000}"/>
    <cellStyle name="Remarque 9" xfId="117" xr:uid="{00000000-0005-0000-0000-000080ED0000}"/>
    <cellStyle name="Remarque 9 10" xfId="24336" xr:uid="{00000000-0005-0000-0000-000081ED0000}"/>
    <cellStyle name="Remarque 9 10 2" xfId="48296" xr:uid="{00000000-0005-0000-0000-000082ED0000}"/>
    <cellStyle name="Remarque 9 11" xfId="36316" xr:uid="{00000000-0005-0000-0000-000083ED0000}"/>
    <cellStyle name="Remarque 9 11 2" xfId="60276" xr:uid="{00000000-0005-0000-0000-000084ED0000}"/>
    <cellStyle name="Remarque 9 12" xfId="13001" xr:uid="{00000000-0005-0000-0000-000085ED0000}"/>
    <cellStyle name="Remarque 9 13" xfId="36961" xr:uid="{00000000-0005-0000-0000-000086ED0000}"/>
    <cellStyle name="Remarque 9 14" xfId="304" xr:uid="{00000000-0005-0000-0000-000087ED0000}"/>
    <cellStyle name="Remarque 9 2" xfId="3210" xr:uid="{00000000-0005-0000-0000-000088ED0000}"/>
    <cellStyle name="Remarque 9 2 2" xfId="27224" xr:uid="{00000000-0005-0000-0000-000089ED0000}"/>
    <cellStyle name="Remarque 9 2 2 2" xfId="51184" xr:uid="{00000000-0005-0000-0000-00008AED0000}"/>
    <cellStyle name="Remarque 9 2 3" xfId="14471" xr:uid="{00000000-0005-0000-0000-00008BED0000}"/>
    <cellStyle name="Remarque 9 2 4" xfId="38431" xr:uid="{00000000-0005-0000-0000-00008CED0000}"/>
    <cellStyle name="Remarque 9 3" xfId="4644" xr:uid="{00000000-0005-0000-0000-00008DED0000}"/>
    <cellStyle name="Remarque 9 3 2" xfId="28658" xr:uid="{00000000-0005-0000-0000-00008EED0000}"/>
    <cellStyle name="Remarque 9 3 2 2" xfId="52618" xr:uid="{00000000-0005-0000-0000-00008FED0000}"/>
    <cellStyle name="Remarque 9 3 3" xfId="15905" xr:uid="{00000000-0005-0000-0000-000090ED0000}"/>
    <cellStyle name="Remarque 9 3 4" xfId="39865" xr:uid="{00000000-0005-0000-0000-000091ED0000}"/>
    <cellStyle name="Remarque 9 4" xfId="6038" xr:uid="{00000000-0005-0000-0000-000092ED0000}"/>
    <cellStyle name="Remarque 9 4 2" xfId="30052" xr:uid="{00000000-0005-0000-0000-000093ED0000}"/>
    <cellStyle name="Remarque 9 4 2 2" xfId="54012" xr:uid="{00000000-0005-0000-0000-000094ED0000}"/>
    <cellStyle name="Remarque 9 4 3" xfId="17299" xr:uid="{00000000-0005-0000-0000-000095ED0000}"/>
    <cellStyle name="Remarque 9 4 4" xfId="41259" xr:uid="{00000000-0005-0000-0000-000096ED0000}"/>
    <cellStyle name="Remarque 9 5" xfId="7426" xr:uid="{00000000-0005-0000-0000-000097ED0000}"/>
    <cellStyle name="Remarque 9 5 2" xfId="31440" xr:uid="{00000000-0005-0000-0000-000098ED0000}"/>
    <cellStyle name="Remarque 9 5 2 2" xfId="55400" xr:uid="{00000000-0005-0000-0000-000099ED0000}"/>
    <cellStyle name="Remarque 9 5 3" xfId="18687" xr:uid="{00000000-0005-0000-0000-00009AED0000}"/>
    <cellStyle name="Remarque 9 5 4" xfId="42647" xr:uid="{00000000-0005-0000-0000-00009BED0000}"/>
    <cellStyle name="Remarque 9 6" xfId="8811" xr:uid="{00000000-0005-0000-0000-00009CED0000}"/>
    <cellStyle name="Remarque 9 6 2" xfId="32825" xr:uid="{00000000-0005-0000-0000-00009DED0000}"/>
    <cellStyle name="Remarque 9 6 2 2" xfId="56785" xr:uid="{00000000-0005-0000-0000-00009EED0000}"/>
    <cellStyle name="Remarque 9 6 3" xfId="20072" xr:uid="{00000000-0005-0000-0000-00009FED0000}"/>
    <cellStyle name="Remarque 9 6 4" xfId="44032" xr:uid="{00000000-0005-0000-0000-0000A0ED0000}"/>
    <cellStyle name="Remarque 9 7" xfId="10268" xr:uid="{00000000-0005-0000-0000-0000A1ED0000}"/>
    <cellStyle name="Remarque 9 7 2" xfId="34278" xr:uid="{00000000-0005-0000-0000-0000A2ED0000}"/>
    <cellStyle name="Remarque 9 7 2 2" xfId="58238" xr:uid="{00000000-0005-0000-0000-0000A3ED0000}"/>
    <cellStyle name="Remarque 9 7 3" xfId="21535" xr:uid="{00000000-0005-0000-0000-0000A4ED0000}"/>
    <cellStyle name="Remarque 9 7 4" xfId="45495" xr:uid="{00000000-0005-0000-0000-0000A5ED0000}"/>
    <cellStyle name="Remarque 9 8" xfId="12448" xr:uid="{00000000-0005-0000-0000-0000A6ED0000}"/>
    <cellStyle name="Remarque 9 8 2" xfId="23742" xr:uid="{00000000-0005-0000-0000-0000A7ED0000}"/>
    <cellStyle name="Remarque 9 8 3" xfId="47702" xr:uid="{00000000-0005-0000-0000-0000A8ED0000}"/>
    <cellStyle name="Remarque 9 9" xfId="1740" xr:uid="{00000000-0005-0000-0000-0000A9ED0000}"/>
    <cellStyle name="Remarque 9 9 2" xfId="25754" xr:uid="{00000000-0005-0000-0000-0000AAED0000}"/>
    <cellStyle name="Remarque 9 9 3" xfId="49714" xr:uid="{00000000-0005-0000-0000-0000ABED0000}"/>
    <cellStyle name="Satisfaisant 2" xfId="60845" xr:uid="{00000000-0005-0000-0000-0000ACED0000}"/>
    <cellStyle name="Sortie 2" xfId="60838" xr:uid="{00000000-0005-0000-0000-0000ADED0000}"/>
    <cellStyle name="Titre 1" xfId="23" xr:uid="{00000000-0005-0000-0000-0000AEED0000}"/>
    <cellStyle name="Titre 2" xfId="24" xr:uid="{00000000-0005-0000-0000-0000AFED0000}"/>
    <cellStyle name="Titre 3" xfId="25" xr:uid="{00000000-0005-0000-0000-0000B0ED0000}"/>
    <cellStyle name="Titre 4" xfId="26" xr:uid="{00000000-0005-0000-0000-0000B1ED0000}"/>
    <cellStyle name="Titre " xfId="27" xr:uid="{00000000-0005-0000-0000-0000B2ED0000}"/>
    <cellStyle name="Titre 1 2" xfId="17" xr:uid="{00000000-0005-0000-0000-0000B3ED0000}"/>
    <cellStyle name="Titre 1 3" xfId="60844" xr:uid="{00000000-0005-0000-0000-0000B4ED0000}"/>
    <cellStyle name="Vérification de cellule" xfId="28" xr:uid="{00000000-0005-0000-0000-0000B5ED0000}"/>
    <cellStyle name="千位分隔 4" xfId="60829" xr:uid="{00000000-0005-0000-0000-0000B6ED0000}"/>
    <cellStyle name="常规 2" xfId="60833" xr:uid="{00000000-0005-0000-0000-0000B7ED0000}"/>
    <cellStyle name="常规 2 2" xfId="60839" xr:uid="{00000000-0005-0000-0000-0000B8ED0000}"/>
    <cellStyle name="常规 6" xfId="60824" xr:uid="{00000000-0005-0000-0000-0000B9ED0000}"/>
    <cellStyle name="百分比 2 2" xfId="60825" xr:uid="{00000000-0005-0000-0000-0000BAED0000}"/>
    <cellStyle name="货币 4" xfId="60826" xr:uid="{00000000-0005-0000-0000-0000BBED0000}"/>
  </cellStyles>
  <dxfs count="2">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00000000-0011-0000-FFFF-FFFF00000000}">
      <tableStyleElement type="headerRow" dxfId="1"/>
      <tableStyleElement type="firstRowStripe" dxfId="0"/>
    </tableStyle>
  </tableStyles>
  <colors>
    <mruColors>
      <color rgb="FFFF66FF"/>
      <color rgb="FFFF0000"/>
      <color rgb="FF97E4FF"/>
      <color rgb="FFBDEEFF"/>
      <color rgb="FFA885D8"/>
      <color rgb="FFFF6600"/>
      <color rgb="FFFFD200"/>
      <color rgb="FFFFFF99"/>
      <color rgb="FF4BB4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QuoteTool EUROPE'!A1"/><Relationship Id="rId7"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QuoteTool EUROPE'!Zone_d_impression"/><Relationship Id="rId5" Type="http://schemas.openxmlformats.org/officeDocument/2006/relationships/hyperlink" Target="#'QuoteTool Atlanta'!A1"/><Relationship Id="rId4" Type="http://schemas.openxmlformats.org/officeDocument/2006/relationships/hyperlink" Target="#'Deviseur EUROPE'!A1"/></Relationships>
</file>

<file path=xl/drawings/_rels/drawing2.xml.rels><?xml version="1.0" encoding="UTF-8" standalone="yes"?>
<Relationships xmlns="http://schemas.openxmlformats.org/package/2006/relationships"><Relationship Id="rId2" Type="http://schemas.openxmlformats.org/officeDocument/2006/relationships/hyperlink" Target="https://jira.corp.cloudwatt.com/browse/HONEY-12880" TargetMode="External"/><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hyperlink" Target="https://jira.corp.cloudwatt.com/browse/HONEY-12880"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Devis EUROPE'!A1"/></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Quote EUROPE'!A1"/></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496358</xdr:colOff>
      <xdr:row>31</xdr:row>
      <xdr:rowOff>91601</xdr:rowOff>
    </xdr:from>
    <xdr:to>
      <xdr:col>3</xdr:col>
      <xdr:colOff>391583</xdr:colOff>
      <xdr:row>34</xdr:row>
      <xdr:rowOff>119934</xdr:rowOff>
    </xdr:to>
    <xdr:grpSp>
      <xdr:nvGrpSpPr>
        <xdr:cNvPr id="6" name="Groupe 5" descr=" +[@$%sD!%]">
          <a:extLst>
            <a:ext uri="{FF2B5EF4-FFF2-40B4-BE49-F238E27FC236}">
              <a16:creationId xmlns:a16="http://schemas.microsoft.com/office/drawing/2014/main" id="{00000000-0008-0000-0000-000006000000}"/>
            </a:ext>
          </a:extLst>
        </xdr:cNvPr>
        <xdr:cNvGrpSpPr/>
      </xdr:nvGrpSpPr>
      <xdr:grpSpPr>
        <a:xfrm>
          <a:off x="496358" y="6881974"/>
          <a:ext cx="1694974" cy="1752834"/>
          <a:chOff x="7537450" y="3044351"/>
          <a:chExt cx="1764000" cy="1764000"/>
        </a:xfrm>
      </xdr:grpSpPr>
      <xdr:pic>
        <xdr:nvPicPr>
          <xdr:cNvPr id="2" name="Picture 26">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37450" y="3044351"/>
            <a:ext cx="1764000" cy="1764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3" name="ZoneTexte 11">
            <a:extLst>
              <a:ext uri="{FF2B5EF4-FFF2-40B4-BE49-F238E27FC236}">
                <a16:creationId xmlns:a16="http://schemas.microsoft.com/office/drawing/2014/main" id="{00000000-0008-0000-0000-000003000000}"/>
              </a:ext>
            </a:extLst>
          </xdr:cNvPr>
          <xdr:cNvSpPr txBox="1">
            <a:spLocks noChangeArrowheads="1"/>
          </xdr:cNvSpPr>
        </xdr:nvSpPr>
        <xdr:spPr bwMode="auto">
          <a:xfrm>
            <a:off x="7670056" y="3608365"/>
            <a:ext cx="1470025" cy="65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9569" tIns="49785" rIns="99569" bIns="49785">
            <a:spAutoFit/>
          </a:bodyPr>
          <a:lstStyle>
            <a:defPPr>
              <a:defRPr lang="en-GB"/>
            </a:defPPr>
            <a:lvl1pPr algn="l" defTabSz="712788" rtl="0" fontAlgn="base">
              <a:spcBef>
                <a:spcPct val="0"/>
              </a:spcBef>
              <a:spcAft>
                <a:spcPct val="0"/>
              </a:spcAft>
              <a:defRPr sz="1400" kern="1200">
                <a:solidFill>
                  <a:schemeClr val="tx1"/>
                </a:solidFill>
                <a:latin typeface="Helvetica 75" pitchFamily="34" charset="0"/>
                <a:ea typeface="ＭＳ Ｐゴシック" pitchFamily="34" charset="-128"/>
                <a:cs typeface="+mn-cs"/>
              </a:defRPr>
            </a:lvl1pPr>
            <a:lvl2pPr marL="355600" indent="101600" algn="l" defTabSz="712788" rtl="0" fontAlgn="base">
              <a:spcBef>
                <a:spcPct val="0"/>
              </a:spcBef>
              <a:spcAft>
                <a:spcPct val="0"/>
              </a:spcAft>
              <a:defRPr sz="1400" kern="1200">
                <a:solidFill>
                  <a:schemeClr val="tx1"/>
                </a:solidFill>
                <a:latin typeface="Helvetica 75" pitchFamily="34" charset="0"/>
                <a:ea typeface="ＭＳ Ｐゴシック" pitchFamily="34" charset="-128"/>
                <a:cs typeface="+mn-cs"/>
              </a:defRPr>
            </a:lvl2pPr>
            <a:lvl3pPr marL="712788" indent="201613" algn="l" defTabSz="712788" rtl="0" fontAlgn="base">
              <a:spcBef>
                <a:spcPct val="0"/>
              </a:spcBef>
              <a:spcAft>
                <a:spcPct val="0"/>
              </a:spcAft>
              <a:defRPr sz="1400" kern="1200">
                <a:solidFill>
                  <a:schemeClr val="tx1"/>
                </a:solidFill>
                <a:latin typeface="Helvetica 75" pitchFamily="34" charset="0"/>
                <a:ea typeface="ＭＳ Ｐゴシック" pitchFamily="34" charset="-128"/>
                <a:cs typeface="+mn-cs"/>
              </a:defRPr>
            </a:lvl3pPr>
            <a:lvl4pPr marL="1068388" indent="303213" algn="l" defTabSz="712788" rtl="0" fontAlgn="base">
              <a:spcBef>
                <a:spcPct val="0"/>
              </a:spcBef>
              <a:spcAft>
                <a:spcPct val="0"/>
              </a:spcAft>
              <a:defRPr sz="1400" kern="1200">
                <a:solidFill>
                  <a:schemeClr val="tx1"/>
                </a:solidFill>
                <a:latin typeface="Helvetica 75" pitchFamily="34" charset="0"/>
                <a:ea typeface="ＭＳ Ｐゴシック" pitchFamily="34" charset="-128"/>
                <a:cs typeface="+mn-cs"/>
              </a:defRPr>
            </a:lvl4pPr>
            <a:lvl5pPr marL="1425575" indent="403225" algn="l" defTabSz="712788" rtl="0" fontAlgn="base">
              <a:spcBef>
                <a:spcPct val="0"/>
              </a:spcBef>
              <a:spcAft>
                <a:spcPct val="0"/>
              </a:spcAft>
              <a:defRPr sz="1400" kern="1200">
                <a:solidFill>
                  <a:schemeClr val="tx1"/>
                </a:solidFill>
                <a:latin typeface="Helvetica 75" pitchFamily="34" charset="0"/>
                <a:ea typeface="ＭＳ Ｐゴシック" pitchFamily="34" charset="-128"/>
                <a:cs typeface="+mn-cs"/>
              </a:defRPr>
            </a:lvl5pPr>
            <a:lvl6pPr marL="2286000" algn="l" defTabSz="914400" rtl="0" eaLnBrk="1" latinLnBrk="0" hangingPunct="1">
              <a:defRPr sz="1400" kern="1200">
                <a:solidFill>
                  <a:schemeClr val="tx1"/>
                </a:solidFill>
                <a:latin typeface="Helvetica 75" pitchFamily="34" charset="0"/>
                <a:ea typeface="ＭＳ Ｐゴシック" pitchFamily="34" charset="-128"/>
                <a:cs typeface="+mn-cs"/>
              </a:defRPr>
            </a:lvl6pPr>
            <a:lvl7pPr marL="2743200" algn="l" defTabSz="914400" rtl="0" eaLnBrk="1" latinLnBrk="0" hangingPunct="1">
              <a:defRPr sz="1400" kern="1200">
                <a:solidFill>
                  <a:schemeClr val="tx1"/>
                </a:solidFill>
                <a:latin typeface="Helvetica 75" pitchFamily="34" charset="0"/>
                <a:ea typeface="ＭＳ Ｐゴシック" pitchFamily="34" charset="-128"/>
                <a:cs typeface="+mn-cs"/>
              </a:defRPr>
            </a:lvl7pPr>
            <a:lvl8pPr marL="3200400" algn="l" defTabSz="914400" rtl="0" eaLnBrk="1" latinLnBrk="0" hangingPunct="1">
              <a:defRPr sz="1400" kern="1200">
                <a:solidFill>
                  <a:schemeClr val="tx1"/>
                </a:solidFill>
                <a:latin typeface="Helvetica 75" pitchFamily="34" charset="0"/>
                <a:ea typeface="ＭＳ Ｐゴシック" pitchFamily="34" charset="-128"/>
                <a:cs typeface="+mn-cs"/>
              </a:defRPr>
            </a:lvl8pPr>
            <a:lvl9pPr marL="3657600" algn="l" defTabSz="914400" rtl="0" eaLnBrk="1" latinLnBrk="0" hangingPunct="1">
              <a:defRPr sz="1400" kern="1200">
                <a:solidFill>
                  <a:schemeClr val="tx1"/>
                </a:solidFill>
                <a:latin typeface="Helvetica 75" pitchFamily="34" charset="0"/>
                <a:ea typeface="ＭＳ Ｐゴシック" pitchFamily="34" charset="-128"/>
                <a:cs typeface="+mn-cs"/>
              </a:defRPr>
            </a:lvl9pPr>
          </a:lstStyle>
          <a:p>
            <a:pPr algn="ctr" eaLnBrk="1" hangingPunct="1"/>
            <a:r>
              <a:rPr lang="fr-FR" altLang="fr-FR" sz="1800">
                <a:solidFill>
                  <a:srgbClr val="000000"/>
                </a:solidFill>
                <a:latin typeface="Helvetica 75 Bold" pitchFamily="34" charset="0"/>
              </a:rPr>
              <a:t>Flexible Engine</a:t>
            </a:r>
          </a:p>
        </xdr:txBody>
      </xdr:sp>
    </xdr:grpSp>
    <xdr:clientData/>
  </xdr:twoCellAnchor>
  <xdr:twoCellAnchor editAs="oneCell">
    <xdr:from>
      <xdr:col>10</xdr:col>
      <xdr:colOff>755650</xdr:colOff>
      <xdr:row>31</xdr:row>
      <xdr:rowOff>147110</xdr:rowOff>
    </xdr:from>
    <xdr:to>
      <xdr:col>13</xdr:col>
      <xdr:colOff>233650</xdr:colOff>
      <xdr:row>34</xdr:row>
      <xdr:rowOff>177560</xdr:rowOff>
    </xdr:to>
    <xdr:pic>
      <xdr:nvPicPr>
        <xdr:cNvPr id="4" name="Picture 5" descr=" +[@$%sD!&amp;]">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1067" y="337610"/>
          <a:ext cx="1764000" cy="176611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4</xdr:col>
      <xdr:colOff>553134</xdr:colOff>
      <xdr:row>47</xdr:row>
      <xdr:rowOff>59765</xdr:rowOff>
    </xdr:from>
    <xdr:to>
      <xdr:col>6</xdr:col>
      <xdr:colOff>109134</xdr:colOff>
      <xdr:row>52</xdr:row>
      <xdr:rowOff>7265</xdr:rowOff>
    </xdr:to>
    <xdr:sp macro="" textlink="">
      <xdr:nvSpPr>
        <xdr:cNvPr id="5" name="Rectangle 4" descr=" +[@$%sD!']">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2574551" y="2747932"/>
          <a:ext cx="1080000" cy="900000"/>
        </a:xfrm>
        <a:prstGeom prst="rect">
          <a:avLst/>
        </a:prstGeom>
        <a:solidFill>
          <a:schemeClr val="tx1"/>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latin typeface="Helvetica 55 Roman" panose="020B0604020202020204" pitchFamily="34" charset="0"/>
            </a:rPr>
            <a:t>Datacenters France</a:t>
          </a:r>
          <a:r>
            <a:rPr lang="fr-FR" sz="1100" baseline="0">
              <a:latin typeface="Helvetica 55 Roman" panose="020B0604020202020204" pitchFamily="34" charset="0"/>
            </a:rPr>
            <a:t> (EN)</a:t>
          </a:r>
          <a:endParaRPr lang="fr-FR" sz="1100">
            <a:latin typeface="Helvetica 55 Roman" panose="020B0604020202020204" pitchFamily="34" charset="0"/>
          </a:endParaRPr>
        </a:p>
      </xdr:txBody>
    </xdr:sp>
    <xdr:clientData/>
  </xdr:twoCellAnchor>
  <xdr:twoCellAnchor>
    <xdr:from>
      <xdr:col>2</xdr:col>
      <xdr:colOff>393480</xdr:colOff>
      <xdr:row>47</xdr:row>
      <xdr:rowOff>59765</xdr:rowOff>
    </xdr:from>
    <xdr:to>
      <xdr:col>3</xdr:col>
      <xdr:colOff>711480</xdr:colOff>
      <xdr:row>52</xdr:row>
      <xdr:rowOff>7265</xdr:rowOff>
    </xdr:to>
    <xdr:sp macro="" textlink="">
      <xdr:nvSpPr>
        <xdr:cNvPr id="8" name="Rectangle 7" descr=" +[@$%sD!(]">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890897" y="2747932"/>
          <a:ext cx="1080000" cy="900000"/>
        </a:xfrm>
        <a:prstGeom prst="rect">
          <a:avLst/>
        </a:prstGeom>
        <a:solidFill>
          <a:schemeClr val="tx1"/>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latin typeface="Helvetica 55 Roman" panose="020B0604020202020204" pitchFamily="34" charset="0"/>
            </a:rPr>
            <a:t>Datacenters France</a:t>
          </a:r>
          <a:r>
            <a:rPr lang="fr-FR" sz="1100" baseline="0">
              <a:latin typeface="Helvetica 55 Roman" panose="020B0604020202020204" pitchFamily="34" charset="0"/>
            </a:rPr>
            <a:t> (FR)</a:t>
          </a:r>
          <a:endParaRPr lang="fr-FR" sz="1100">
            <a:latin typeface="Helvetica 55 Roman" panose="020B0604020202020204" pitchFamily="34" charset="0"/>
          </a:endParaRPr>
        </a:p>
      </xdr:txBody>
    </xdr:sp>
    <xdr:clientData/>
  </xdr:twoCellAnchor>
  <xdr:twoCellAnchor>
    <xdr:from>
      <xdr:col>9</xdr:col>
      <xdr:colOff>110442</xdr:colOff>
      <xdr:row>47</xdr:row>
      <xdr:rowOff>59765</xdr:rowOff>
    </xdr:from>
    <xdr:to>
      <xdr:col>10</xdr:col>
      <xdr:colOff>428442</xdr:colOff>
      <xdr:row>52</xdr:row>
      <xdr:rowOff>7265</xdr:rowOff>
    </xdr:to>
    <xdr:sp macro="" textlink="">
      <xdr:nvSpPr>
        <xdr:cNvPr id="10" name="Rectangle 9" descr=" +[@$%sD!)]">
          <a:hlinkClick xmlns:r="http://schemas.openxmlformats.org/officeDocument/2006/relationships" r:id="rId5"/>
          <a:extLst>
            <a:ext uri="{FF2B5EF4-FFF2-40B4-BE49-F238E27FC236}">
              <a16:creationId xmlns:a16="http://schemas.microsoft.com/office/drawing/2014/main" id="{00000000-0008-0000-0000-00000A000000}"/>
            </a:ext>
          </a:extLst>
        </xdr:cNvPr>
        <xdr:cNvSpPr/>
      </xdr:nvSpPr>
      <xdr:spPr>
        <a:xfrm>
          <a:off x="5941859" y="2747932"/>
          <a:ext cx="1080000" cy="900000"/>
        </a:xfrm>
        <a:prstGeom prst="rect">
          <a:avLst/>
        </a:prstGeom>
        <a:solidFill>
          <a:schemeClr val="tx1"/>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latin typeface="Helvetica 55 Roman" panose="020B0604020202020204" pitchFamily="34" charset="0"/>
            </a:rPr>
            <a:t>Datacenter Atlanta</a:t>
          </a:r>
        </a:p>
      </xdr:txBody>
    </xdr:sp>
    <xdr:clientData/>
  </xdr:twoCellAnchor>
  <xdr:twoCellAnchor>
    <xdr:from>
      <xdr:col>6</xdr:col>
      <xdr:colOff>712788</xdr:colOff>
      <xdr:row>47</xdr:row>
      <xdr:rowOff>59765</xdr:rowOff>
    </xdr:from>
    <xdr:to>
      <xdr:col>8</xdr:col>
      <xdr:colOff>268788</xdr:colOff>
      <xdr:row>52</xdr:row>
      <xdr:rowOff>7265</xdr:rowOff>
    </xdr:to>
    <xdr:sp macro="" textlink="">
      <xdr:nvSpPr>
        <xdr:cNvPr id="12" name="Rectangle 11" descr=" +[@$%sD!.]">
          <a:hlinkClick xmlns:r="http://schemas.openxmlformats.org/officeDocument/2006/relationships" r:id="rId6"/>
          <a:extLst>
            <a:ext uri="{FF2B5EF4-FFF2-40B4-BE49-F238E27FC236}">
              <a16:creationId xmlns:a16="http://schemas.microsoft.com/office/drawing/2014/main" id="{00000000-0008-0000-0000-00000C000000}"/>
            </a:ext>
          </a:extLst>
        </xdr:cNvPr>
        <xdr:cNvSpPr/>
      </xdr:nvSpPr>
      <xdr:spPr>
        <a:xfrm>
          <a:off x="4258205" y="2747932"/>
          <a:ext cx="1080000" cy="900000"/>
        </a:xfrm>
        <a:prstGeom prst="rect">
          <a:avLst/>
        </a:prstGeom>
        <a:solidFill>
          <a:schemeClr val="tx1"/>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latin typeface="Helvetica 55 Roman" panose="020B0604020202020204" pitchFamily="34" charset="0"/>
            </a:rPr>
            <a:t>Datacenter Amsterdam</a:t>
          </a:r>
        </a:p>
      </xdr:txBody>
    </xdr:sp>
    <xdr:clientData/>
  </xdr:twoCellAnchor>
  <xdr:twoCellAnchor>
    <xdr:from>
      <xdr:col>0</xdr:col>
      <xdr:colOff>496358</xdr:colOff>
      <xdr:row>1</xdr:row>
      <xdr:rowOff>91601</xdr:rowOff>
    </xdr:from>
    <xdr:to>
      <xdr:col>3</xdr:col>
      <xdr:colOff>391583</xdr:colOff>
      <xdr:row>4</xdr:row>
      <xdr:rowOff>119934</xdr:rowOff>
    </xdr:to>
    <xdr:grpSp>
      <xdr:nvGrpSpPr>
        <xdr:cNvPr id="11" name="Groupe 10" descr=" +[@$%sD!/]">
          <a:extLst>
            <a:ext uri="{FF2B5EF4-FFF2-40B4-BE49-F238E27FC236}">
              <a16:creationId xmlns:a16="http://schemas.microsoft.com/office/drawing/2014/main" id="{00000000-0008-0000-0000-00000B000000}"/>
            </a:ext>
          </a:extLst>
        </xdr:cNvPr>
        <xdr:cNvGrpSpPr/>
      </xdr:nvGrpSpPr>
      <xdr:grpSpPr>
        <a:xfrm>
          <a:off x="496358" y="274005"/>
          <a:ext cx="1694974" cy="1752834"/>
          <a:chOff x="7537450" y="3044351"/>
          <a:chExt cx="1764000" cy="1764000"/>
        </a:xfrm>
      </xdr:grpSpPr>
      <xdr:pic>
        <xdr:nvPicPr>
          <xdr:cNvPr id="13" name="Picture 26">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37450" y="3044351"/>
            <a:ext cx="1764000" cy="1764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14" name="ZoneTexte 11">
            <a:extLst>
              <a:ext uri="{FF2B5EF4-FFF2-40B4-BE49-F238E27FC236}">
                <a16:creationId xmlns:a16="http://schemas.microsoft.com/office/drawing/2014/main" id="{00000000-0008-0000-0000-00000E000000}"/>
              </a:ext>
            </a:extLst>
          </xdr:cNvPr>
          <xdr:cNvSpPr txBox="1">
            <a:spLocks noChangeArrowheads="1"/>
          </xdr:cNvSpPr>
        </xdr:nvSpPr>
        <xdr:spPr bwMode="auto">
          <a:xfrm>
            <a:off x="7670056" y="3608365"/>
            <a:ext cx="1470025" cy="65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9569" tIns="49785" rIns="99569" bIns="49785">
            <a:spAutoFit/>
          </a:bodyPr>
          <a:lstStyle>
            <a:defPPr>
              <a:defRPr lang="en-GB"/>
            </a:defPPr>
            <a:lvl1pPr algn="l" defTabSz="712788" rtl="0" fontAlgn="base">
              <a:spcBef>
                <a:spcPct val="0"/>
              </a:spcBef>
              <a:spcAft>
                <a:spcPct val="0"/>
              </a:spcAft>
              <a:defRPr sz="1400" kern="1200">
                <a:solidFill>
                  <a:schemeClr val="tx1"/>
                </a:solidFill>
                <a:latin typeface="Helvetica 75" pitchFamily="34" charset="0"/>
                <a:ea typeface="ＭＳ Ｐゴシック" pitchFamily="34" charset="-128"/>
                <a:cs typeface="+mn-cs"/>
              </a:defRPr>
            </a:lvl1pPr>
            <a:lvl2pPr marL="355600" indent="101600" algn="l" defTabSz="712788" rtl="0" fontAlgn="base">
              <a:spcBef>
                <a:spcPct val="0"/>
              </a:spcBef>
              <a:spcAft>
                <a:spcPct val="0"/>
              </a:spcAft>
              <a:defRPr sz="1400" kern="1200">
                <a:solidFill>
                  <a:schemeClr val="tx1"/>
                </a:solidFill>
                <a:latin typeface="Helvetica 75" pitchFamily="34" charset="0"/>
                <a:ea typeface="ＭＳ Ｐゴシック" pitchFamily="34" charset="-128"/>
                <a:cs typeface="+mn-cs"/>
              </a:defRPr>
            </a:lvl2pPr>
            <a:lvl3pPr marL="712788" indent="201613" algn="l" defTabSz="712788" rtl="0" fontAlgn="base">
              <a:spcBef>
                <a:spcPct val="0"/>
              </a:spcBef>
              <a:spcAft>
                <a:spcPct val="0"/>
              </a:spcAft>
              <a:defRPr sz="1400" kern="1200">
                <a:solidFill>
                  <a:schemeClr val="tx1"/>
                </a:solidFill>
                <a:latin typeface="Helvetica 75" pitchFamily="34" charset="0"/>
                <a:ea typeface="ＭＳ Ｐゴシック" pitchFamily="34" charset="-128"/>
                <a:cs typeface="+mn-cs"/>
              </a:defRPr>
            </a:lvl3pPr>
            <a:lvl4pPr marL="1068388" indent="303213" algn="l" defTabSz="712788" rtl="0" fontAlgn="base">
              <a:spcBef>
                <a:spcPct val="0"/>
              </a:spcBef>
              <a:spcAft>
                <a:spcPct val="0"/>
              </a:spcAft>
              <a:defRPr sz="1400" kern="1200">
                <a:solidFill>
                  <a:schemeClr val="tx1"/>
                </a:solidFill>
                <a:latin typeface="Helvetica 75" pitchFamily="34" charset="0"/>
                <a:ea typeface="ＭＳ Ｐゴシック" pitchFamily="34" charset="-128"/>
                <a:cs typeface="+mn-cs"/>
              </a:defRPr>
            </a:lvl4pPr>
            <a:lvl5pPr marL="1425575" indent="403225" algn="l" defTabSz="712788" rtl="0" fontAlgn="base">
              <a:spcBef>
                <a:spcPct val="0"/>
              </a:spcBef>
              <a:spcAft>
                <a:spcPct val="0"/>
              </a:spcAft>
              <a:defRPr sz="1400" kern="1200">
                <a:solidFill>
                  <a:schemeClr val="tx1"/>
                </a:solidFill>
                <a:latin typeface="Helvetica 75" pitchFamily="34" charset="0"/>
                <a:ea typeface="ＭＳ Ｐゴシック" pitchFamily="34" charset="-128"/>
                <a:cs typeface="+mn-cs"/>
              </a:defRPr>
            </a:lvl5pPr>
            <a:lvl6pPr marL="2286000" algn="l" defTabSz="914400" rtl="0" eaLnBrk="1" latinLnBrk="0" hangingPunct="1">
              <a:defRPr sz="1400" kern="1200">
                <a:solidFill>
                  <a:schemeClr val="tx1"/>
                </a:solidFill>
                <a:latin typeface="Helvetica 75" pitchFamily="34" charset="0"/>
                <a:ea typeface="ＭＳ Ｐゴシック" pitchFamily="34" charset="-128"/>
                <a:cs typeface="+mn-cs"/>
              </a:defRPr>
            </a:lvl6pPr>
            <a:lvl7pPr marL="2743200" algn="l" defTabSz="914400" rtl="0" eaLnBrk="1" latinLnBrk="0" hangingPunct="1">
              <a:defRPr sz="1400" kern="1200">
                <a:solidFill>
                  <a:schemeClr val="tx1"/>
                </a:solidFill>
                <a:latin typeface="Helvetica 75" pitchFamily="34" charset="0"/>
                <a:ea typeface="ＭＳ Ｐゴシック" pitchFamily="34" charset="-128"/>
                <a:cs typeface="+mn-cs"/>
              </a:defRPr>
            </a:lvl7pPr>
            <a:lvl8pPr marL="3200400" algn="l" defTabSz="914400" rtl="0" eaLnBrk="1" latinLnBrk="0" hangingPunct="1">
              <a:defRPr sz="1400" kern="1200">
                <a:solidFill>
                  <a:schemeClr val="tx1"/>
                </a:solidFill>
                <a:latin typeface="Helvetica 75" pitchFamily="34" charset="0"/>
                <a:ea typeface="ＭＳ Ｐゴシック" pitchFamily="34" charset="-128"/>
                <a:cs typeface="+mn-cs"/>
              </a:defRPr>
            </a:lvl8pPr>
            <a:lvl9pPr marL="3657600" algn="l" defTabSz="914400" rtl="0" eaLnBrk="1" latinLnBrk="0" hangingPunct="1">
              <a:defRPr sz="1400" kern="1200">
                <a:solidFill>
                  <a:schemeClr val="tx1"/>
                </a:solidFill>
                <a:latin typeface="Helvetica 75" pitchFamily="34" charset="0"/>
                <a:ea typeface="ＭＳ Ｐゴシック" pitchFamily="34" charset="-128"/>
                <a:cs typeface="+mn-cs"/>
              </a:defRPr>
            </a:lvl9pPr>
          </a:lstStyle>
          <a:p>
            <a:pPr algn="ctr" eaLnBrk="1" hangingPunct="1"/>
            <a:r>
              <a:rPr lang="fr-FR" altLang="fr-FR" sz="1800">
                <a:solidFill>
                  <a:srgbClr val="000000"/>
                </a:solidFill>
                <a:latin typeface="Helvetica 75 Bold" pitchFamily="34" charset="0"/>
              </a:rPr>
              <a:t>Flexible Engine</a:t>
            </a:r>
          </a:p>
        </xdr:txBody>
      </xdr:sp>
    </xdr:grpSp>
    <xdr:clientData/>
  </xdr:twoCellAnchor>
  <xdr:oneCellAnchor>
    <xdr:from>
      <xdr:col>10</xdr:col>
      <xdr:colOff>755650</xdr:colOff>
      <xdr:row>1</xdr:row>
      <xdr:rowOff>147110</xdr:rowOff>
    </xdr:from>
    <xdr:ext cx="1764000" cy="1766117"/>
    <xdr:pic>
      <xdr:nvPicPr>
        <xdr:cNvPr id="15" name="Picture 5" descr=" +[@$%sD!0]">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25317" y="6444193"/>
          <a:ext cx="1764000" cy="176611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xdr:from>
      <xdr:col>4</xdr:col>
      <xdr:colOff>553134</xdr:colOff>
      <xdr:row>17</xdr:row>
      <xdr:rowOff>59765</xdr:rowOff>
    </xdr:from>
    <xdr:to>
      <xdr:col>6</xdr:col>
      <xdr:colOff>109134</xdr:colOff>
      <xdr:row>22</xdr:row>
      <xdr:rowOff>7265</xdr:rowOff>
    </xdr:to>
    <xdr:sp macro="" textlink="">
      <xdr:nvSpPr>
        <xdr:cNvPr id="16" name="Rectangle 15" descr=" +[@$%sD!1]">
          <a:hlinkClick xmlns:r="http://schemas.openxmlformats.org/officeDocument/2006/relationships" r:id="rId3"/>
          <a:extLst>
            <a:ext uri="{FF2B5EF4-FFF2-40B4-BE49-F238E27FC236}">
              <a16:creationId xmlns:a16="http://schemas.microsoft.com/office/drawing/2014/main" id="{00000000-0008-0000-0000-000010000000}"/>
            </a:ext>
          </a:extLst>
        </xdr:cNvPr>
        <xdr:cNvSpPr/>
      </xdr:nvSpPr>
      <xdr:spPr>
        <a:xfrm>
          <a:off x="3061384" y="10569015"/>
          <a:ext cx="1080000" cy="900000"/>
        </a:xfrm>
        <a:prstGeom prst="rect">
          <a:avLst/>
        </a:prstGeom>
        <a:solidFill>
          <a:schemeClr val="tx1"/>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latin typeface="Helvetica 55 Roman" panose="020B0604020202020204" pitchFamily="34" charset="0"/>
            </a:rPr>
            <a:t>Datacenters France</a:t>
          </a:r>
          <a:r>
            <a:rPr lang="fr-FR" sz="1100" baseline="0">
              <a:latin typeface="Helvetica 55 Roman" panose="020B0604020202020204" pitchFamily="34" charset="0"/>
            </a:rPr>
            <a:t> (EN)</a:t>
          </a:r>
          <a:endParaRPr lang="fr-FR" sz="1100">
            <a:latin typeface="Helvetica 55 Roman" panose="020B0604020202020204" pitchFamily="34" charset="0"/>
          </a:endParaRPr>
        </a:p>
      </xdr:txBody>
    </xdr:sp>
    <xdr:clientData/>
  </xdr:twoCellAnchor>
  <xdr:twoCellAnchor>
    <xdr:from>
      <xdr:col>2</xdr:col>
      <xdr:colOff>393480</xdr:colOff>
      <xdr:row>17</xdr:row>
      <xdr:rowOff>59765</xdr:rowOff>
    </xdr:from>
    <xdr:to>
      <xdr:col>3</xdr:col>
      <xdr:colOff>711480</xdr:colOff>
      <xdr:row>22</xdr:row>
      <xdr:rowOff>7265</xdr:rowOff>
    </xdr:to>
    <xdr:sp macro="" textlink="">
      <xdr:nvSpPr>
        <xdr:cNvPr id="17" name="Rectangle 16" descr=" +[@$%sD!2]">
          <a:hlinkClick xmlns:r="http://schemas.openxmlformats.org/officeDocument/2006/relationships" r:id="rId4"/>
          <a:extLst>
            <a:ext uri="{FF2B5EF4-FFF2-40B4-BE49-F238E27FC236}">
              <a16:creationId xmlns:a16="http://schemas.microsoft.com/office/drawing/2014/main" id="{00000000-0008-0000-0000-000011000000}"/>
            </a:ext>
          </a:extLst>
        </xdr:cNvPr>
        <xdr:cNvSpPr/>
      </xdr:nvSpPr>
      <xdr:spPr>
        <a:xfrm>
          <a:off x="1377730" y="10569015"/>
          <a:ext cx="1080000" cy="900000"/>
        </a:xfrm>
        <a:prstGeom prst="rect">
          <a:avLst/>
        </a:prstGeom>
        <a:solidFill>
          <a:schemeClr val="tx1"/>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latin typeface="Helvetica 55 Roman" panose="020B0604020202020204" pitchFamily="34" charset="0"/>
            </a:rPr>
            <a:t>Datacenters France</a:t>
          </a:r>
          <a:r>
            <a:rPr lang="fr-FR" sz="1100" baseline="0">
              <a:latin typeface="Helvetica 55 Roman" panose="020B0604020202020204" pitchFamily="34" charset="0"/>
            </a:rPr>
            <a:t> (FR)</a:t>
          </a:r>
          <a:endParaRPr lang="fr-FR" sz="1100">
            <a:latin typeface="Helvetica 55 Roman" panose="020B0604020202020204" pitchFamily="34" charset="0"/>
          </a:endParaRPr>
        </a:p>
      </xdr:txBody>
    </xdr:sp>
    <xdr:clientData/>
  </xdr:twoCellAnchor>
  <xdr:twoCellAnchor>
    <xdr:from>
      <xdr:col>9</xdr:col>
      <xdr:colOff>110442</xdr:colOff>
      <xdr:row>17</xdr:row>
      <xdr:rowOff>59765</xdr:rowOff>
    </xdr:from>
    <xdr:to>
      <xdr:col>10</xdr:col>
      <xdr:colOff>428442</xdr:colOff>
      <xdr:row>22</xdr:row>
      <xdr:rowOff>7265</xdr:rowOff>
    </xdr:to>
    <xdr:sp macro="" textlink="">
      <xdr:nvSpPr>
        <xdr:cNvPr id="18" name="Rectangle 17" descr=" +[@$%sD!3]">
          <a:hlinkClick xmlns:r="http://schemas.openxmlformats.org/officeDocument/2006/relationships" r:id="rId5"/>
          <a:extLst>
            <a:ext uri="{FF2B5EF4-FFF2-40B4-BE49-F238E27FC236}">
              <a16:creationId xmlns:a16="http://schemas.microsoft.com/office/drawing/2014/main" id="{00000000-0008-0000-0000-000012000000}"/>
            </a:ext>
          </a:extLst>
        </xdr:cNvPr>
        <xdr:cNvSpPr/>
      </xdr:nvSpPr>
      <xdr:spPr>
        <a:xfrm>
          <a:off x="6418109" y="10569015"/>
          <a:ext cx="1080000" cy="900000"/>
        </a:xfrm>
        <a:prstGeom prst="rect">
          <a:avLst/>
        </a:prstGeom>
        <a:solidFill>
          <a:schemeClr val="tx1"/>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latin typeface="Helvetica 55 Roman" panose="020B0604020202020204" pitchFamily="34" charset="0"/>
            </a:rPr>
            <a:t>Datacenter Atlanta</a:t>
          </a:r>
        </a:p>
      </xdr:txBody>
    </xdr:sp>
    <xdr:clientData/>
  </xdr:twoCellAnchor>
  <xdr:twoCellAnchor>
    <xdr:from>
      <xdr:col>6</xdr:col>
      <xdr:colOff>712788</xdr:colOff>
      <xdr:row>17</xdr:row>
      <xdr:rowOff>59765</xdr:rowOff>
    </xdr:from>
    <xdr:to>
      <xdr:col>8</xdr:col>
      <xdr:colOff>268788</xdr:colOff>
      <xdr:row>22</xdr:row>
      <xdr:rowOff>7265</xdr:rowOff>
    </xdr:to>
    <xdr:sp macro="" textlink="">
      <xdr:nvSpPr>
        <xdr:cNvPr id="19" name="Rectangle 18" descr=" +[@$%sD!4]">
          <a:hlinkClick xmlns:r="http://schemas.openxmlformats.org/officeDocument/2006/relationships" r:id="rId6"/>
          <a:extLst>
            <a:ext uri="{FF2B5EF4-FFF2-40B4-BE49-F238E27FC236}">
              <a16:creationId xmlns:a16="http://schemas.microsoft.com/office/drawing/2014/main" id="{00000000-0008-0000-0000-000013000000}"/>
            </a:ext>
          </a:extLst>
        </xdr:cNvPr>
        <xdr:cNvSpPr/>
      </xdr:nvSpPr>
      <xdr:spPr>
        <a:xfrm>
          <a:off x="4745038" y="10569015"/>
          <a:ext cx="1069417" cy="900000"/>
        </a:xfrm>
        <a:prstGeom prst="rect">
          <a:avLst/>
        </a:prstGeom>
        <a:solidFill>
          <a:schemeClr val="tx1"/>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latin typeface="Helvetica 55 Roman" panose="020B0604020202020204" pitchFamily="34" charset="0"/>
            </a:rPr>
            <a:t>Datacenter Amsterdam</a:t>
          </a:r>
        </a:p>
      </xdr:txBody>
    </xdr:sp>
    <xdr:clientData/>
  </xdr:twoCellAnchor>
  <xdr:twoCellAnchor editAs="oneCell">
    <xdr:from>
      <xdr:col>11</xdr:col>
      <xdr:colOff>560918</xdr:colOff>
      <xdr:row>6</xdr:row>
      <xdr:rowOff>42333</xdr:rowOff>
    </xdr:from>
    <xdr:to>
      <xdr:col>12</xdr:col>
      <xdr:colOff>420607</xdr:colOff>
      <xdr:row>9</xdr:row>
      <xdr:rowOff>81939</xdr:rowOff>
    </xdr:to>
    <xdr:pic>
      <xdr:nvPicPr>
        <xdr:cNvPr id="7" name="Image 6" descr=" +[@$%sD!5]">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392585" y="2349500"/>
          <a:ext cx="621689" cy="621689"/>
        </a:xfrm>
        <a:prstGeom prst="rect">
          <a:avLst/>
        </a:prstGeom>
      </xdr:spPr>
    </xdr:pic>
    <xdr:clientData/>
  </xdr:twoCellAnchor>
  <xdr:twoCellAnchor editAs="oneCell">
    <xdr:from>
      <xdr:col>11</xdr:col>
      <xdr:colOff>624416</xdr:colOff>
      <xdr:row>36</xdr:row>
      <xdr:rowOff>137581</xdr:rowOff>
    </xdr:from>
    <xdr:to>
      <xdr:col>12</xdr:col>
      <xdr:colOff>412752</xdr:colOff>
      <xdr:row>39</xdr:row>
      <xdr:rowOff>116417</xdr:rowOff>
    </xdr:to>
    <xdr:pic>
      <xdr:nvPicPr>
        <xdr:cNvPr id="9" name="Image 8" descr=" +[@$%sD!6]">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456083" y="9726081"/>
          <a:ext cx="550336" cy="5503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25</xdr:col>
      <xdr:colOff>40821</xdr:colOff>
      <xdr:row>1995</xdr:row>
      <xdr:rowOff>95250</xdr:rowOff>
    </xdr:from>
    <xdr:to>
      <xdr:col>61</xdr:col>
      <xdr:colOff>539799</xdr:colOff>
      <xdr:row>2001</xdr:row>
      <xdr:rowOff>130411</xdr:rowOff>
    </xdr:to>
    <xdr:pic>
      <xdr:nvPicPr>
        <xdr:cNvPr id="2" name="Image 1" descr=" +[@$%sD!%d6]">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4043821" y="186948536"/>
          <a:ext cx="6517822" cy="1185782"/>
        </a:xfrm>
        <a:prstGeom prst="rect">
          <a:avLst/>
        </a:prstGeom>
      </xdr:spPr>
    </xdr:pic>
    <xdr:clientData/>
  </xdr:twoCellAnchor>
  <xdr:twoCellAnchor editAs="oneCell">
    <xdr:from>
      <xdr:col>6</xdr:col>
      <xdr:colOff>0</xdr:colOff>
      <xdr:row>525</xdr:row>
      <xdr:rowOff>0</xdr:rowOff>
    </xdr:from>
    <xdr:to>
      <xdr:col>53</xdr:col>
      <xdr:colOff>304800</xdr:colOff>
      <xdr:row>526</xdr:row>
      <xdr:rowOff>133349</xdr:rowOff>
    </xdr:to>
    <xdr:sp macro="" textlink="">
      <xdr:nvSpPr>
        <xdr:cNvPr id="3" name="AutoShape 1">
          <a:hlinkClick xmlns:r="http://schemas.openxmlformats.org/officeDocument/2006/relationships" r:id="rId2"/>
          <a:extLst>
            <a:ext uri="{FF2B5EF4-FFF2-40B4-BE49-F238E27FC236}">
              <a16:creationId xmlns:a16="http://schemas.microsoft.com/office/drawing/2014/main" id="{2CF05311-7887-475A-B20E-990B318A0CEF}"/>
            </a:ext>
          </a:extLst>
        </xdr:cNvPr>
        <xdr:cNvSpPr>
          <a:spLocks noChangeAspect="1" noChangeArrowheads="1"/>
        </xdr:cNvSpPr>
      </xdr:nvSpPr>
      <xdr:spPr bwMode="auto">
        <a:xfrm>
          <a:off x="11277600" y="3924300"/>
          <a:ext cx="304800" cy="3111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525</xdr:row>
      <xdr:rowOff>0</xdr:rowOff>
    </xdr:from>
    <xdr:to>
      <xdr:col>53</xdr:col>
      <xdr:colOff>304800</xdr:colOff>
      <xdr:row>526</xdr:row>
      <xdr:rowOff>116838</xdr:rowOff>
    </xdr:to>
    <xdr:sp macro="" textlink="">
      <xdr:nvSpPr>
        <xdr:cNvPr id="4" name="AutoShape 1">
          <a:hlinkClick xmlns:r="http://schemas.openxmlformats.org/officeDocument/2006/relationships" r:id="rId2"/>
          <a:extLst>
            <a:ext uri="{FF2B5EF4-FFF2-40B4-BE49-F238E27FC236}">
              <a16:creationId xmlns:a16="http://schemas.microsoft.com/office/drawing/2014/main" id="{CE927377-D2CD-484C-8FBB-BCA2502464AC}"/>
            </a:ext>
          </a:extLst>
        </xdr:cNvPr>
        <xdr:cNvSpPr>
          <a:spLocks noChangeAspect="1" noChangeArrowheads="1"/>
        </xdr:cNvSpPr>
      </xdr:nvSpPr>
      <xdr:spPr bwMode="auto">
        <a:xfrm>
          <a:off x="6540500" y="23202900"/>
          <a:ext cx="304800" cy="3009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2781</xdr:row>
      <xdr:rowOff>0</xdr:rowOff>
    </xdr:from>
    <xdr:to>
      <xdr:col>53</xdr:col>
      <xdr:colOff>304800</xdr:colOff>
      <xdr:row>2782</xdr:row>
      <xdr:rowOff>132713</xdr:rowOff>
    </xdr:to>
    <xdr:sp macro="" textlink="">
      <xdr:nvSpPr>
        <xdr:cNvPr id="5" name="AutoShape 1">
          <a:hlinkClick xmlns:r="http://schemas.openxmlformats.org/officeDocument/2006/relationships" r:id="rId2"/>
          <a:extLst>
            <a:ext uri="{FF2B5EF4-FFF2-40B4-BE49-F238E27FC236}">
              <a16:creationId xmlns:a16="http://schemas.microsoft.com/office/drawing/2014/main" id="{C7289E9C-5E06-44A8-8896-0E592BA29F05}"/>
            </a:ext>
          </a:extLst>
        </xdr:cNvPr>
        <xdr:cNvSpPr>
          <a:spLocks noChangeAspect="1" noChangeArrowheads="1"/>
        </xdr:cNvSpPr>
      </xdr:nvSpPr>
      <xdr:spPr bwMode="auto">
        <a:xfrm>
          <a:off x="4572000" y="26431875"/>
          <a:ext cx="304800" cy="307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2781</xdr:row>
      <xdr:rowOff>0</xdr:rowOff>
    </xdr:from>
    <xdr:to>
      <xdr:col>53</xdr:col>
      <xdr:colOff>304800</xdr:colOff>
      <xdr:row>2782</xdr:row>
      <xdr:rowOff>113662</xdr:rowOff>
    </xdr:to>
    <xdr:sp macro="" textlink="">
      <xdr:nvSpPr>
        <xdr:cNvPr id="6" name="AutoShape 1">
          <a:hlinkClick xmlns:r="http://schemas.openxmlformats.org/officeDocument/2006/relationships" r:id="rId2"/>
          <a:extLst>
            <a:ext uri="{FF2B5EF4-FFF2-40B4-BE49-F238E27FC236}">
              <a16:creationId xmlns:a16="http://schemas.microsoft.com/office/drawing/2014/main" id="{4555B77B-60AC-4453-9B74-C3AF10EC4A96}"/>
            </a:ext>
          </a:extLst>
        </xdr:cNvPr>
        <xdr:cNvSpPr>
          <a:spLocks noChangeAspect="1" noChangeArrowheads="1"/>
        </xdr:cNvSpPr>
      </xdr:nvSpPr>
      <xdr:spPr bwMode="auto">
        <a:xfrm>
          <a:off x="4572000" y="26431875"/>
          <a:ext cx="304800" cy="2978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227</xdr:row>
      <xdr:rowOff>0</xdr:rowOff>
    </xdr:from>
    <xdr:to>
      <xdr:col>16</xdr:col>
      <xdr:colOff>304800</xdr:colOff>
      <xdr:row>228</xdr:row>
      <xdr:rowOff>136522</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3152DB40-E815-4538-82FD-77816AA8B155}"/>
            </a:ext>
          </a:extLst>
        </xdr:cNvPr>
        <xdr:cNvSpPr>
          <a:spLocks noChangeAspect="1" noChangeArrowheads="1"/>
        </xdr:cNvSpPr>
      </xdr:nvSpPr>
      <xdr:spPr bwMode="auto">
        <a:xfrm>
          <a:off x="6256020" y="539396940"/>
          <a:ext cx="304800" cy="3232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227</xdr:row>
      <xdr:rowOff>0</xdr:rowOff>
    </xdr:from>
    <xdr:to>
      <xdr:col>16</xdr:col>
      <xdr:colOff>304800</xdr:colOff>
      <xdr:row>228</xdr:row>
      <xdr:rowOff>113661</xdr:rowOff>
    </xdr:to>
    <xdr:sp macro="" textlink="">
      <xdr:nvSpPr>
        <xdr:cNvPr id="3" name="AutoShape 1">
          <a:hlinkClick xmlns:r="http://schemas.openxmlformats.org/officeDocument/2006/relationships" r:id="rId1"/>
          <a:extLst>
            <a:ext uri="{FF2B5EF4-FFF2-40B4-BE49-F238E27FC236}">
              <a16:creationId xmlns:a16="http://schemas.microsoft.com/office/drawing/2014/main" id="{5C92C4E6-A11A-48D8-9ACB-6CE82E1EC3F1}"/>
            </a:ext>
          </a:extLst>
        </xdr:cNvPr>
        <xdr:cNvSpPr>
          <a:spLocks noChangeAspect="1" noChangeArrowheads="1"/>
        </xdr:cNvSpPr>
      </xdr:nvSpPr>
      <xdr:spPr bwMode="auto">
        <a:xfrm>
          <a:off x="6256020" y="539396940"/>
          <a:ext cx="304800" cy="29654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505387</xdr:colOff>
      <xdr:row>8</xdr:row>
      <xdr:rowOff>23111</xdr:rowOff>
    </xdr:from>
    <xdr:to>
      <xdr:col>5</xdr:col>
      <xdr:colOff>819151</xdr:colOff>
      <xdr:row>11</xdr:row>
      <xdr:rowOff>90714</xdr:rowOff>
    </xdr:to>
    <xdr:sp macro="" textlink="">
      <xdr:nvSpPr>
        <xdr:cNvPr id="4" name="ZoneTexte 3" descr=" +[@$6A&gt;!%=H]">
          <a:extLst>
            <a:ext uri="{FF2B5EF4-FFF2-40B4-BE49-F238E27FC236}">
              <a16:creationId xmlns:a16="http://schemas.microsoft.com/office/drawing/2014/main" id="{00000000-0008-0000-0C00-000004000000}"/>
            </a:ext>
          </a:extLst>
        </xdr:cNvPr>
        <xdr:cNvSpPr txBox="1"/>
      </xdr:nvSpPr>
      <xdr:spPr>
        <a:xfrm>
          <a:off x="6571905" y="1712665"/>
          <a:ext cx="3919657" cy="645906"/>
        </a:xfrm>
        <a:prstGeom prst="rect">
          <a:avLst/>
        </a:prstGeom>
        <a:solidFill>
          <a:schemeClr val="bg1">
            <a:lumMod val="95000"/>
          </a:schemeClr>
        </a:solidFill>
        <a:ln w="9525" cmpd="sng">
          <a:solidFill>
            <a:schemeClr val="bg1">
              <a:lumMod val="9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50" b="1" baseline="0"/>
            <a:t>Coût total basé sur des estimations de consommation de ressources selon scenario conjoint</a:t>
          </a:r>
        </a:p>
      </xdr:txBody>
    </xdr:sp>
    <xdr:clientData/>
  </xdr:twoCellAnchor>
  <xdr:twoCellAnchor>
    <xdr:from>
      <xdr:col>3</xdr:col>
      <xdr:colOff>457200</xdr:colOff>
      <xdr:row>583</xdr:row>
      <xdr:rowOff>133349</xdr:rowOff>
    </xdr:from>
    <xdr:to>
      <xdr:col>8</xdr:col>
      <xdr:colOff>1311088</xdr:colOff>
      <xdr:row>589</xdr:row>
      <xdr:rowOff>9524</xdr:rowOff>
    </xdr:to>
    <xdr:sp macro="" textlink="">
      <xdr:nvSpPr>
        <xdr:cNvPr id="15" name="ZoneTexte 14" descr=" +[@$6A&gt;!%=J]">
          <a:extLst>
            <a:ext uri="{FF2B5EF4-FFF2-40B4-BE49-F238E27FC236}">
              <a16:creationId xmlns:a16="http://schemas.microsoft.com/office/drawing/2014/main" id="{00000000-0008-0000-0C00-00000F000000}"/>
            </a:ext>
          </a:extLst>
        </xdr:cNvPr>
        <xdr:cNvSpPr txBox="1"/>
      </xdr:nvSpPr>
      <xdr:spPr>
        <a:xfrm>
          <a:off x="7079876" y="60902849"/>
          <a:ext cx="5269006" cy="1019175"/>
        </a:xfrm>
        <a:prstGeom prst="rect">
          <a:avLst/>
        </a:prstGeom>
        <a:solidFill>
          <a:schemeClr val="bg1">
            <a:lumMod val="95000"/>
          </a:schemeClr>
        </a:solidFill>
        <a:ln w="9525" cmpd="sng">
          <a:solidFill>
            <a:schemeClr val="bg1">
              <a:lumMod val="9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1050" b="1"/>
            <a:t>Evaluation du Volume IO</a:t>
          </a:r>
          <a:r>
            <a:rPr lang="fr-FR" sz="1050" b="1" baseline="0"/>
            <a:t> sortant </a:t>
          </a:r>
        </a:p>
        <a:p>
          <a:pPr algn="l"/>
          <a:r>
            <a:rPr lang="fr-FR" sz="1050" baseline="0"/>
            <a:t>- selon l'évaluation en Go sortant</a:t>
          </a:r>
        </a:p>
        <a:p>
          <a:r>
            <a:rPr lang="fr-FR" sz="1050" baseline="0"/>
            <a:t>- ou selon un taux d'usage de la Bande Passante (</a:t>
          </a:r>
          <a:r>
            <a:rPr lang="fr-FR" sz="1100">
              <a:solidFill>
                <a:schemeClr val="dk1"/>
              </a:solidFill>
              <a:effectLst/>
              <a:latin typeface="+mn-lt"/>
              <a:ea typeface="+mn-ea"/>
              <a:cs typeface="+mn-cs"/>
            </a:rPr>
            <a:t>Usage permant d'un lien de  </a:t>
          </a:r>
          <a:r>
            <a:rPr lang="fr-FR" sz="1100" b="1">
              <a:solidFill>
                <a:schemeClr val="dk1"/>
              </a:solidFill>
              <a:effectLst/>
              <a:latin typeface="+mn-lt"/>
              <a:ea typeface="+mn-ea"/>
              <a:cs typeface="+mn-cs"/>
            </a:rPr>
            <a:t>XXX</a:t>
          </a:r>
          <a:r>
            <a:rPr lang="fr-FR" sz="1100">
              <a:solidFill>
                <a:schemeClr val="dk1"/>
              </a:solidFill>
              <a:effectLst/>
              <a:latin typeface="+mn-lt"/>
              <a:ea typeface="+mn-ea"/>
              <a:cs typeface="+mn-cs"/>
            </a:rPr>
            <a:t>Mps à </a:t>
          </a:r>
          <a:r>
            <a:rPr lang="fr-FR" sz="1100" baseline="0">
              <a:solidFill>
                <a:schemeClr val="dk1"/>
              </a:solidFill>
              <a:effectLst/>
              <a:latin typeface="+mn-lt"/>
              <a:ea typeface="+mn-ea"/>
              <a:cs typeface="+mn-cs"/>
            </a:rPr>
            <a:t> </a:t>
          </a:r>
          <a:r>
            <a:rPr lang="fr-FR" sz="1100" b="1" baseline="0">
              <a:solidFill>
                <a:schemeClr val="dk1"/>
              </a:solidFill>
              <a:effectLst/>
              <a:latin typeface="+mn-lt"/>
              <a:ea typeface="+mn-ea"/>
              <a:cs typeface="+mn-cs"/>
            </a:rPr>
            <a:t>XX</a:t>
          </a:r>
          <a:r>
            <a:rPr lang="fr-FR" sz="1100">
              <a:solidFill>
                <a:schemeClr val="dk1"/>
              </a:solidFill>
              <a:effectLst/>
              <a:latin typeface="+mn-lt"/>
              <a:ea typeface="+mn-ea"/>
              <a:cs typeface="+mn-cs"/>
            </a:rPr>
            <a:t>% dédié pour le traffic sortant, soit un volume  généré d'environ </a:t>
          </a:r>
          <a:r>
            <a:rPr lang="fr-FR" sz="1100" b="1">
              <a:solidFill>
                <a:schemeClr val="dk1"/>
              </a:solidFill>
              <a:effectLst/>
              <a:latin typeface="+mn-lt"/>
              <a:ea typeface="+mn-ea"/>
              <a:cs typeface="+mn-cs"/>
            </a:rPr>
            <a:t>XX</a:t>
          </a:r>
          <a:r>
            <a:rPr lang="fr-FR" sz="1100" b="0">
              <a:solidFill>
                <a:schemeClr val="dk1"/>
              </a:solidFill>
              <a:effectLst/>
              <a:latin typeface="+mn-lt"/>
              <a:ea typeface="+mn-ea"/>
              <a:cs typeface="+mn-cs"/>
            </a:rPr>
            <a:t>G</a:t>
          </a:r>
          <a:r>
            <a:rPr lang="fr-FR" sz="1100">
              <a:solidFill>
                <a:schemeClr val="dk1"/>
              </a:solidFill>
              <a:effectLst/>
              <a:latin typeface="+mn-lt"/>
              <a:ea typeface="+mn-ea"/>
              <a:cs typeface="+mn-cs"/>
            </a:rPr>
            <a:t>o/mois)</a:t>
          </a:r>
        </a:p>
      </xdr:txBody>
    </xdr:sp>
    <xdr:clientData/>
  </xdr:twoCellAnchor>
  <xdr:twoCellAnchor>
    <xdr:from>
      <xdr:col>0</xdr:col>
      <xdr:colOff>265440</xdr:colOff>
      <xdr:row>35</xdr:row>
      <xdr:rowOff>120372</xdr:rowOff>
    </xdr:from>
    <xdr:to>
      <xdr:col>2</xdr:col>
      <xdr:colOff>0</xdr:colOff>
      <xdr:row>38</xdr:row>
      <xdr:rowOff>158750</xdr:rowOff>
    </xdr:to>
    <xdr:sp macro="" textlink="">
      <xdr:nvSpPr>
        <xdr:cNvPr id="23" name="ZoneTexte 22" descr=" +[@$6A&gt;!%=L]">
          <a:extLst>
            <a:ext uri="{FF2B5EF4-FFF2-40B4-BE49-F238E27FC236}">
              <a16:creationId xmlns:a16="http://schemas.microsoft.com/office/drawing/2014/main" id="{00000000-0008-0000-0C00-000017000000}"/>
            </a:ext>
          </a:extLst>
        </xdr:cNvPr>
        <xdr:cNvSpPr txBox="1"/>
      </xdr:nvSpPr>
      <xdr:spPr>
        <a:xfrm>
          <a:off x="265440" y="6988955"/>
          <a:ext cx="4687560" cy="609878"/>
        </a:xfrm>
        <a:prstGeom prst="rect">
          <a:avLst/>
        </a:prstGeom>
        <a:solidFill>
          <a:schemeClr val="bg1">
            <a:lumMod val="95000"/>
          </a:schemeClr>
        </a:solidFill>
        <a:ln w="9525" cmpd="sng">
          <a:solidFill>
            <a:schemeClr val="bg1">
              <a:lumMod val="9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1050" b="0"/>
            <a:t>*Estimation basée</a:t>
          </a:r>
          <a:r>
            <a:rPr lang="fr-FR" sz="1050" b="0" baseline="0"/>
            <a:t> </a:t>
          </a:r>
          <a:r>
            <a:rPr lang="fr-FR" sz="1050" b="0"/>
            <a:t>sur l'architecture applicative souhaitée, avec licence OS incluse. </a:t>
          </a:r>
        </a:p>
        <a:p>
          <a:pPr algn="l"/>
          <a:r>
            <a:rPr lang="fr-FR" sz="1050" b="0"/>
            <a:t>Hadoop</a:t>
          </a:r>
          <a:r>
            <a:rPr lang="fr-FR" sz="1050" b="0" baseline="0"/>
            <a:t> et DBaaS MySQL sont dans ce cas considérés comme un OS. </a:t>
          </a:r>
        </a:p>
        <a:p>
          <a:pPr algn="l"/>
          <a:r>
            <a:rPr lang="fr-FR" sz="1050" b="0" baseline="0"/>
            <a:t>Les instances GPU supportent uniquement Windows</a:t>
          </a:r>
        </a:p>
      </xdr:txBody>
    </xdr:sp>
    <xdr:clientData/>
  </xdr:twoCellAnchor>
  <xdr:twoCellAnchor>
    <xdr:from>
      <xdr:col>3</xdr:col>
      <xdr:colOff>171458</xdr:colOff>
      <xdr:row>14</xdr:row>
      <xdr:rowOff>57149</xdr:rowOff>
    </xdr:from>
    <xdr:to>
      <xdr:col>4</xdr:col>
      <xdr:colOff>542930</xdr:colOff>
      <xdr:row>16</xdr:row>
      <xdr:rowOff>152400</xdr:rowOff>
    </xdr:to>
    <xdr:sp macro="" textlink="">
      <xdr:nvSpPr>
        <xdr:cNvPr id="19" name="Flèche angle droit à deux pointes 18" descr=" +[@$6A&gt;!%=M]">
          <a:extLst>
            <a:ext uri="{FF2B5EF4-FFF2-40B4-BE49-F238E27FC236}">
              <a16:creationId xmlns:a16="http://schemas.microsoft.com/office/drawing/2014/main" id="{00000000-0008-0000-0C00-000013000000}"/>
            </a:ext>
          </a:extLst>
        </xdr:cNvPr>
        <xdr:cNvSpPr/>
      </xdr:nvSpPr>
      <xdr:spPr>
        <a:xfrm rot="16200000">
          <a:off x="6291268" y="6405564"/>
          <a:ext cx="438151" cy="1190622"/>
        </a:xfrm>
        <a:prstGeom prst="leftUpArrow">
          <a:avLst>
            <a:gd name="adj1" fmla="val 27596"/>
            <a:gd name="adj2" fmla="val 25000"/>
            <a:gd name="adj3" fmla="val 25000"/>
          </a:avLst>
        </a:prstGeom>
        <a:solidFill>
          <a:schemeClr val="accent1">
            <a:lumMod val="40000"/>
            <a:lumOff val="60000"/>
          </a:schemeClr>
        </a:solidFill>
        <a:ln w="12700">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4</xdr:col>
      <xdr:colOff>695185</xdr:colOff>
      <xdr:row>14</xdr:row>
      <xdr:rowOff>57150</xdr:rowOff>
    </xdr:from>
    <xdr:to>
      <xdr:col>8</xdr:col>
      <xdr:colOff>885825</xdr:colOff>
      <xdr:row>15</xdr:row>
      <xdr:rowOff>152400</xdr:rowOff>
    </xdr:to>
    <xdr:sp macro="" textlink="">
      <xdr:nvSpPr>
        <xdr:cNvPr id="28" name="ZoneTexte 27" descr=" +[@$6A&gt;!%=N]">
          <a:extLst>
            <a:ext uri="{FF2B5EF4-FFF2-40B4-BE49-F238E27FC236}">
              <a16:creationId xmlns:a16="http://schemas.microsoft.com/office/drawing/2014/main" id="{00000000-0008-0000-0C00-00001C000000}"/>
            </a:ext>
          </a:extLst>
        </xdr:cNvPr>
        <xdr:cNvSpPr txBox="1"/>
      </xdr:nvSpPr>
      <xdr:spPr>
        <a:xfrm>
          <a:off x="8019910" y="2981325"/>
          <a:ext cx="2276615" cy="266700"/>
        </a:xfrm>
        <a:prstGeom prst="rect">
          <a:avLst/>
        </a:prstGeom>
        <a:solidFill>
          <a:schemeClr val="bg1">
            <a:lumMod val="95000"/>
          </a:schemeClr>
        </a:solidFill>
        <a:ln w="9525" cmpd="sng">
          <a:solidFill>
            <a:schemeClr val="bg1">
              <a:lumMod val="9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a:t>Report du nombre d' @IP supplémentaires</a:t>
          </a:r>
          <a:endParaRPr lang="fr-FR" sz="1100" b="0" baseline="0"/>
        </a:p>
      </xdr:txBody>
    </xdr:sp>
    <xdr:clientData/>
  </xdr:twoCellAnchor>
  <xdr:twoCellAnchor>
    <xdr:from>
      <xdr:col>3</xdr:col>
      <xdr:colOff>128310</xdr:colOff>
      <xdr:row>264</xdr:row>
      <xdr:rowOff>166968</xdr:rowOff>
    </xdr:from>
    <xdr:to>
      <xdr:col>8</xdr:col>
      <xdr:colOff>781051</xdr:colOff>
      <xdr:row>276</xdr:row>
      <xdr:rowOff>76200</xdr:rowOff>
    </xdr:to>
    <xdr:sp macro="" textlink="">
      <xdr:nvSpPr>
        <xdr:cNvPr id="13" name="ZoneTexte 12" descr=" +[@$6A&gt;!%=P]">
          <a:extLst>
            <a:ext uri="{FF2B5EF4-FFF2-40B4-BE49-F238E27FC236}">
              <a16:creationId xmlns:a16="http://schemas.microsoft.com/office/drawing/2014/main" id="{00000000-0008-0000-0C00-00000D000000}"/>
            </a:ext>
          </a:extLst>
        </xdr:cNvPr>
        <xdr:cNvSpPr txBox="1"/>
      </xdr:nvSpPr>
      <xdr:spPr>
        <a:xfrm>
          <a:off x="6329085" y="16283268"/>
          <a:ext cx="3862666" cy="1137957"/>
        </a:xfrm>
        <a:prstGeom prst="rect">
          <a:avLst/>
        </a:prstGeom>
        <a:solidFill>
          <a:schemeClr val="bg1">
            <a:lumMod val="95000"/>
          </a:schemeClr>
        </a:solidFill>
        <a:ln w="9525" cmpd="sng">
          <a:solidFill>
            <a:schemeClr val="bg1">
              <a:lumMod val="9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50" baseline="0">
              <a:solidFill>
                <a:sysClr val="windowText" lastClr="000000"/>
              </a:solidFill>
            </a:rPr>
            <a:t>Un convertisseur trafic IO / trafic bande passante est disponible en bas de page</a:t>
          </a:r>
        </a:p>
        <a:p>
          <a:pPr marL="0" marR="0" indent="0" defTabSz="914400" eaLnBrk="1" fontAlgn="auto" latinLnBrk="0" hangingPunct="1">
            <a:lnSpc>
              <a:spcPct val="100000"/>
            </a:lnSpc>
            <a:spcBef>
              <a:spcPts val="0"/>
            </a:spcBef>
            <a:spcAft>
              <a:spcPts val="0"/>
            </a:spcAft>
            <a:buClrTx/>
            <a:buSzTx/>
            <a:buFontTx/>
            <a:buNone/>
            <a:tabLst/>
            <a:defRPr/>
          </a:pPr>
          <a:r>
            <a:rPr lang="fr-FR" sz="1100" baseline="0">
              <a:solidFill>
                <a:schemeClr val="dk1"/>
              </a:solidFill>
              <a:effectLst/>
              <a:latin typeface="+mn-lt"/>
              <a:ea typeface="+mn-ea"/>
              <a:cs typeface="+mn-cs"/>
            </a:rPr>
            <a:t>Pour vos calculs, vous pouvez estimez que la consomation de la bande passante  mensuelle est en général entre </a:t>
          </a:r>
          <a:r>
            <a:rPr lang="fr-FR" sz="1100" b="1" baseline="0">
              <a:solidFill>
                <a:srgbClr val="00B050"/>
              </a:solidFill>
              <a:effectLst/>
              <a:latin typeface="+mn-lt"/>
              <a:ea typeface="+mn-ea"/>
              <a:cs typeface="+mn-cs"/>
            </a:rPr>
            <a:t>10 et 15% </a:t>
          </a:r>
          <a:r>
            <a:rPr lang="fr-FR" sz="1100" baseline="0">
              <a:solidFill>
                <a:schemeClr val="dk1"/>
              </a:solidFill>
              <a:effectLst/>
              <a:latin typeface="+mn-lt"/>
              <a:ea typeface="+mn-ea"/>
              <a:cs typeface="+mn-cs"/>
            </a:rPr>
            <a:t>de la taille de la bande passante allouée. Pour des usages plus spécifiques, n'hésitez pas à contactervotre avant-vente.</a:t>
          </a:r>
          <a:endParaRPr lang="fr-FR" sz="1050">
            <a:effectLst/>
          </a:endParaRPr>
        </a:p>
        <a:p>
          <a:endParaRPr lang="fr-FR" sz="1050" baseline="0">
            <a:solidFill>
              <a:srgbClr val="FF0000"/>
            </a:solidFill>
          </a:endParaRPr>
        </a:p>
        <a:p>
          <a:endParaRPr lang="fr-FR" sz="1050" baseline="0">
            <a:solidFill>
              <a:srgbClr val="FF0000"/>
            </a:solidFill>
          </a:endParaRPr>
        </a:p>
        <a:p>
          <a:endParaRPr lang="fr-FR" sz="1050" baseline="0">
            <a:solidFill>
              <a:srgbClr val="FF0000"/>
            </a:solidFill>
          </a:endParaRPr>
        </a:p>
        <a:p>
          <a:endParaRPr lang="fr-FR" sz="1050" baseline="0">
            <a:solidFill>
              <a:srgbClr val="FF0000"/>
            </a:solidFill>
          </a:endParaRPr>
        </a:p>
      </xdr:txBody>
    </xdr:sp>
    <xdr:clientData/>
  </xdr:twoCellAnchor>
  <xdr:twoCellAnchor>
    <xdr:from>
      <xdr:col>3</xdr:col>
      <xdr:colOff>210111</xdr:colOff>
      <xdr:row>203</xdr:row>
      <xdr:rowOff>171449</xdr:rowOff>
    </xdr:from>
    <xdr:to>
      <xdr:col>8</xdr:col>
      <xdr:colOff>714375</xdr:colOff>
      <xdr:row>209</xdr:row>
      <xdr:rowOff>26194</xdr:rowOff>
    </xdr:to>
    <xdr:sp macro="" textlink="">
      <xdr:nvSpPr>
        <xdr:cNvPr id="11" name="ZoneTexte 10" descr=" +[@$6A&gt;!%=H]">
          <a:extLst>
            <a:ext uri="{FF2B5EF4-FFF2-40B4-BE49-F238E27FC236}">
              <a16:creationId xmlns:a16="http://schemas.microsoft.com/office/drawing/2014/main" id="{00000000-0008-0000-0C00-00000B000000}"/>
            </a:ext>
          </a:extLst>
        </xdr:cNvPr>
        <xdr:cNvSpPr txBox="1"/>
      </xdr:nvSpPr>
      <xdr:spPr>
        <a:xfrm>
          <a:off x="6515661" y="17402174"/>
          <a:ext cx="3714189" cy="816770"/>
        </a:xfrm>
        <a:prstGeom prst="rect">
          <a:avLst/>
        </a:prstGeom>
        <a:solidFill>
          <a:schemeClr val="bg1">
            <a:lumMod val="95000"/>
          </a:schemeClr>
        </a:solidFill>
        <a:ln w="9525" cmpd="sng">
          <a:solidFill>
            <a:schemeClr val="bg1">
              <a:lumMod val="9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50" b="0" baseline="0"/>
            <a:t>Cette valorisation  à la requête correspond à un cas d'usage très spécifique du stockage objet qui utiliserai un très fort volume de requêtes. La valeur par défaut de ces cellules est 0.</a:t>
          </a:r>
        </a:p>
      </xdr:txBody>
    </xdr:sp>
    <xdr:clientData/>
  </xdr:twoCellAnchor>
  <xdr:twoCellAnchor>
    <xdr:from>
      <xdr:col>4</xdr:col>
      <xdr:colOff>557212</xdr:colOff>
      <xdr:row>286</xdr:row>
      <xdr:rowOff>42862</xdr:rowOff>
    </xdr:from>
    <xdr:to>
      <xdr:col>8</xdr:col>
      <xdr:colOff>1226344</xdr:colOff>
      <xdr:row>291</xdr:row>
      <xdr:rowOff>33337</xdr:rowOff>
    </xdr:to>
    <xdr:sp macro="" textlink="">
      <xdr:nvSpPr>
        <xdr:cNvPr id="20" name="ZoneTexte 19" descr=" +[@$6A&gt;!%=O]">
          <a:extLst>
            <a:ext uri="{FF2B5EF4-FFF2-40B4-BE49-F238E27FC236}">
              <a16:creationId xmlns:a16="http://schemas.microsoft.com/office/drawing/2014/main" id="{00000000-0008-0000-0C00-000014000000}"/>
            </a:ext>
          </a:extLst>
        </xdr:cNvPr>
        <xdr:cNvSpPr txBox="1"/>
      </xdr:nvSpPr>
      <xdr:spPr>
        <a:xfrm>
          <a:off x="7820025" y="18985706"/>
          <a:ext cx="2752725" cy="942975"/>
        </a:xfrm>
        <a:prstGeom prst="rect">
          <a:avLst/>
        </a:prstGeom>
        <a:solidFill>
          <a:schemeClr val="bg1">
            <a:lumMod val="95000"/>
          </a:schemeClr>
        </a:solidFill>
        <a:ln w="9525" cmpd="sng">
          <a:solidFill>
            <a:schemeClr val="bg1">
              <a:lumMod val="9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50" b="0"/>
            <a:t>Pour la connexion VPN Galerie, l'entreprise doit disposer au préalable d'une connexion Business VPN Galerie.</a:t>
          </a:r>
        </a:p>
        <a:p>
          <a:r>
            <a:rPr lang="fr-FR" sz="1050" b="0" baseline="0"/>
            <a:t>Les connexions supérieures à 1Gbps ne sont pas éligibles à l'offre VPN Galerie</a:t>
          </a:r>
        </a:p>
      </xdr:txBody>
    </xdr:sp>
    <xdr:clientData/>
  </xdr:twoCellAnchor>
  <xdr:twoCellAnchor>
    <xdr:from>
      <xdr:col>2</xdr:col>
      <xdr:colOff>267262</xdr:colOff>
      <xdr:row>575</xdr:row>
      <xdr:rowOff>118361</xdr:rowOff>
    </xdr:from>
    <xdr:to>
      <xdr:col>5</xdr:col>
      <xdr:colOff>581026</xdr:colOff>
      <xdr:row>577</xdr:row>
      <xdr:rowOff>180974</xdr:rowOff>
    </xdr:to>
    <xdr:sp macro="" textlink="">
      <xdr:nvSpPr>
        <xdr:cNvPr id="24" name="ZoneTexte 23" descr=" +[@$6A&gt;!%=H]">
          <a:extLst>
            <a:ext uri="{FF2B5EF4-FFF2-40B4-BE49-F238E27FC236}">
              <a16:creationId xmlns:a16="http://schemas.microsoft.com/office/drawing/2014/main" id="{00000000-0008-0000-0C00-000018000000}"/>
            </a:ext>
          </a:extLst>
        </xdr:cNvPr>
        <xdr:cNvSpPr txBox="1"/>
      </xdr:nvSpPr>
      <xdr:spPr>
        <a:xfrm>
          <a:off x="5115487" y="21787736"/>
          <a:ext cx="3780864" cy="443613"/>
        </a:xfrm>
        <a:prstGeom prst="rect">
          <a:avLst/>
        </a:prstGeom>
        <a:solidFill>
          <a:schemeClr val="bg1">
            <a:lumMod val="95000"/>
          </a:schemeClr>
        </a:solidFill>
        <a:ln w="9525" cmpd="sng">
          <a:solidFill>
            <a:schemeClr val="bg1">
              <a:lumMod val="9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50" b="1" baseline="0"/>
            <a:t>Coût total basé sur des estimations de consommation de ressources selon scenario conjoint</a:t>
          </a:r>
        </a:p>
      </xdr:txBody>
    </xdr:sp>
    <xdr:clientData/>
  </xdr:twoCellAnchor>
  <xdr:twoCellAnchor>
    <xdr:from>
      <xdr:col>4</xdr:col>
      <xdr:colOff>885825</xdr:colOff>
      <xdr:row>578</xdr:row>
      <xdr:rowOff>76200</xdr:rowOff>
    </xdr:from>
    <xdr:to>
      <xdr:col>8</xdr:col>
      <xdr:colOff>914400</xdr:colOff>
      <xdr:row>580</xdr:row>
      <xdr:rowOff>85725</xdr:rowOff>
    </xdr:to>
    <xdr:sp macro="" textlink="">
      <xdr:nvSpPr>
        <xdr:cNvPr id="2" name="Rectangle 1" descr=" +[@$%sD!6R5]">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8210550" y="22317075"/>
          <a:ext cx="2114550" cy="390525"/>
        </a:xfrm>
        <a:prstGeom prst="rect">
          <a:avLst/>
        </a:prstGeom>
        <a:solidFill>
          <a:srgbClr val="FF6600"/>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latin typeface="Helvetica 75 Bold" panose="020B0804020202020204" pitchFamily="34" charset="0"/>
            </a:rPr>
            <a:t>Générer le Devis</a:t>
          </a:r>
        </a:p>
      </xdr:txBody>
    </xdr:sp>
    <xdr:clientData fLocksWithSheet="0"/>
  </xdr:twoCellAnchor>
  <xdr:twoCellAnchor editAs="oneCell">
    <xdr:from>
      <xdr:col>0</xdr:col>
      <xdr:colOff>0</xdr:colOff>
      <xdr:row>0</xdr:row>
      <xdr:rowOff>0</xdr:rowOff>
    </xdr:from>
    <xdr:to>
      <xdr:col>0</xdr:col>
      <xdr:colOff>535517</xdr:colOff>
      <xdr:row>2</xdr:row>
      <xdr:rowOff>60600</xdr:rowOff>
    </xdr:to>
    <xdr:pic>
      <xdr:nvPicPr>
        <xdr:cNvPr id="3" name="Image 2" descr=" +[@$%sD!6R6]">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35517" cy="537908"/>
        </a:xfrm>
        <a:prstGeom prst="rect">
          <a:avLst/>
        </a:prstGeom>
      </xdr:spPr>
    </xdr:pic>
    <xdr:clientData/>
  </xdr:twoCellAnchor>
  <xdr:twoCellAnchor editAs="oneCell">
    <xdr:from>
      <xdr:col>0</xdr:col>
      <xdr:colOff>0</xdr:colOff>
      <xdr:row>596</xdr:row>
      <xdr:rowOff>47625</xdr:rowOff>
    </xdr:from>
    <xdr:to>
      <xdr:col>2</xdr:col>
      <xdr:colOff>213273</xdr:colOff>
      <xdr:row>606</xdr:row>
      <xdr:rowOff>93741</xdr:rowOff>
    </xdr:to>
    <xdr:pic>
      <xdr:nvPicPr>
        <xdr:cNvPr id="5" name="Image 4" descr=" +[@$%sD!6R7]">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3"/>
        <a:stretch>
          <a:fillRect/>
        </a:stretch>
      </xdr:blipFill>
      <xdr:spPr>
        <a:xfrm>
          <a:off x="0" y="48034575"/>
          <a:ext cx="6276190" cy="1942857"/>
        </a:xfrm>
        <a:prstGeom prst="rect">
          <a:avLst/>
        </a:prstGeom>
      </xdr:spPr>
    </xdr:pic>
    <xdr:clientData/>
  </xdr:twoCellAnchor>
  <xdr:twoCellAnchor>
    <xdr:from>
      <xdr:col>7</xdr:col>
      <xdr:colOff>131235</xdr:colOff>
      <xdr:row>82</xdr:row>
      <xdr:rowOff>14537</xdr:rowOff>
    </xdr:from>
    <xdr:to>
      <xdr:col>8</xdr:col>
      <xdr:colOff>1065743</xdr:colOff>
      <xdr:row>93</xdr:row>
      <xdr:rowOff>113242</xdr:rowOff>
    </xdr:to>
    <xdr:sp macro="" textlink="">
      <xdr:nvSpPr>
        <xdr:cNvPr id="6" name="ZoneTexte 5" descr=" +[@$6A&gt;!%=L]">
          <a:extLst>
            <a:ext uri="{FF2B5EF4-FFF2-40B4-BE49-F238E27FC236}">
              <a16:creationId xmlns:a16="http://schemas.microsoft.com/office/drawing/2014/main" id="{01411FD0-BE35-4983-B2AF-FB72E7C87FEE}"/>
            </a:ext>
          </a:extLst>
        </xdr:cNvPr>
        <xdr:cNvSpPr txBox="1"/>
      </xdr:nvSpPr>
      <xdr:spPr>
        <a:xfrm>
          <a:off x="15815735" y="9666537"/>
          <a:ext cx="2320925" cy="2077788"/>
        </a:xfrm>
        <a:prstGeom prst="rect">
          <a:avLst/>
        </a:prstGeom>
        <a:solidFill>
          <a:srgbClr val="BDEEFF"/>
        </a:solidFill>
        <a:ln w="9525" cmpd="sng">
          <a:solidFill>
            <a:schemeClr val="bg1">
              <a:lumMod val="9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1050" b="1"/>
            <a:t>Programme S3/S6 booster</a:t>
          </a:r>
          <a:r>
            <a:rPr lang="fr-FR" sz="1050" b="1" baseline="0"/>
            <a:t> </a:t>
          </a:r>
          <a:br>
            <a:rPr lang="fr-FR" sz="1050" b="0" baseline="0"/>
          </a:br>
          <a:r>
            <a:rPr lang="fr-FR" sz="1050" b="1" baseline="0"/>
            <a:t>Du 01/07/2023 au  31/12/2023 </a:t>
          </a:r>
          <a:br>
            <a:rPr lang="fr-FR" sz="1050" b="1" baseline="0"/>
          </a:br>
          <a:endParaRPr lang="fr-FR" sz="1050" b="0" baseline="0"/>
        </a:p>
        <a:p>
          <a:pPr algn="l"/>
          <a:r>
            <a:rPr lang="fr-FR" sz="1050" b="0" baseline="0"/>
            <a:t>Vous pouvez réserver des ECS S3 ou S6 sur une durée d'engagement de 1 mois ou 6 mois pour bénéficier de 20 à 30% de réduction sur le prix PAYGO. </a:t>
          </a:r>
          <a:br>
            <a:rPr lang="fr-FR" sz="1050" b="0" baseline="0"/>
          </a:br>
          <a:br>
            <a:rPr lang="fr-FR" sz="1050" b="0" baseline="0"/>
          </a:br>
          <a:r>
            <a:rPr lang="fr-FR" sz="1050" b="0" baseline="0"/>
            <a:t>Ces plans de souscription sont uniquement applicables au Instances Réservées dès modèles S3 et S6</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1057836</xdr:colOff>
      <xdr:row>7</xdr:row>
      <xdr:rowOff>190499</xdr:rowOff>
    </xdr:from>
    <xdr:to>
      <xdr:col>7</xdr:col>
      <xdr:colOff>400050</xdr:colOff>
      <xdr:row>12</xdr:row>
      <xdr:rowOff>95250</xdr:rowOff>
    </xdr:to>
    <xdr:sp macro="" textlink="">
      <xdr:nvSpPr>
        <xdr:cNvPr id="2" name="ZoneTexte 1" descr=" +[@$6A&gt;!%=H]">
          <a:extLst>
            <a:ext uri="{FF2B5EF4-FFF2-40B4-BE49-F238E27FC236}">
              <a16:creationId xmlns:a16="http://schemas.microsoft.com/office/drawing/2014/main" id="{00000000-0008-0000-0D00-000002000000}"/>
            </a:ext>
          </a:extLst>
        </xdr:cNvPr>
        <xdr:cNvSpPr txBox="1"/>
      </xdr:nvSpPr>
      <xdr:spPr>
        <a:xfrm>
          <a:off x="6719919" y="1545166"/>
          <a:ext cx="5099548" cy="476251"/>
        </a:xfrm>
        <a:prstGeom prst="rect">
          <a:avLst/>
        </a:prstGeom>
        <a:solidFill>
          <a:schemeClr val="bg1">
            <a:lumMod val="95000"/>
          </a:schemeClr>
        </a:solidFill>
        <a:ln w="9525" cmpd="sng">
          <a:solidFill>
            <a:schemeClr val="bg1">
              <a:lumMod val="9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a:solidFill>
                <a:schemeClr val="dk1"/>
              </a:solidFill>
              <a:effectLst/>
              <a:latin typeface="+mn-lt"/>
              <a:ea typeface="+mn-ea"/>
              <a:cs typeface="+mn-cs"/>
            </a:rPr>
            <a:t>Total cost based on estimates of declared  resource consumption according to the joint scenario</a:t>
          </a:r>
          <a:endParaRPr lang="fr-FR" sz="1050">
            <a:effectLst/>
          </a:endParaRPr>
        </a:p>
      </xdr:txBody>
    </xdr:sp>
    <xdr:clientData/>
  </xdr:twoCellAnchor>
  <xdr:twoCellAnchor>
    <xdr:from>
      <xdr:col>0</xdr:col>
      <xdr:colOff>198765</xdr:colOff>
      <xdr:row>37</xdr:row>
      <xdr:rowOff>63223</xdr:rowOff>
    </xdr:from>
    <xdr:to>
      <xdr:col>2</xdr:col>
      <xdr:colOff>819151</xdr:colOff>
      <xdr:row>40</xdr:row>
      <xdr:rowOff>123825</xdr:rowOff>
    </xdr:to>
    <xdr:sp macro="" textlink="">
      <xdr:nvSpPr>
        <xdr:cNvPr id="6" name="ZoneTexte 5" descr=" +[@$6A&gt;!%=L]">
          <a:extLst>
            <a:ext uri="{FF2B5EF4-FFF2-40B4-BE49-F238E27FC236}">
              <a16:creationId xmlns:a16="http://schemas.microsoft.com/office/drawing/2014/main" id="{00000000-0008-0000-0D00-000006000000}"/>
            </a:ext>
          </a:extLst>
        </xdr:cNvPr>
        <xdr:cNvSpPr txBox="1"/>
      </xdr:nvSpPr>
      <xdr:spPr>
        <a:xfrm>
          <a:off x="198765" y="7406998"/>
          <a:ext cx="5144761" cy="632102"/>
        </a:xfrm>
        <a:prstGeom prst="rect">
          <a:avLst/>
        </a:prstGeom>
        <a:solidFill>
          <a:schemeClr val="bg1">
            <a:lumMod val="95000"/>
          </a:schemeClr>
        </a:solidFill>
        <a:ln w="9525" cmpd="sng">
          <a:solidFill>
            <a:schemeClr val="bg1">
              <a:lumMod val="9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i="0">
              <a:solidFill>
                <a:schemeClr val="dk1"/>
              </a:solidFill>
              <a:effectLst/>
              <a:latin typeface="+mn-lt"/>
              <a:ea typeface="+mn-ea"/>
              <a:cs typeface="+mn-cs"/>
            </a:rPr>
            <a:t>* Estimates based on the desired application architecture, with OS license included. </a:t>
          </a:r>
          <a:endParaRPr lang="fr-FR" sz="1050">
            <a:effectLst/>
          </a:endParaRPr>
        </a:p>
        <a:p>
          <a:r>
            <a:rPr lang="fr-FR" sz="1100" b="0" i="0">
              <a:solidFill>
                <a:schemeClr val="dk1"/>
              </a:solidFill>
              <a:effectLst/>
              <a:latin typeface="+mn-lt"/>
              <a:ea typeface="+mn-ea"/>
              <a:cs typeface="+mn-cs"/>
            </a:rPr>
            <a:t>Hadoop and DBaaS MySQL are in this case considered as an OS.</a:t>
          </a:r>
        </a:p>
        <a:p>
          <a:pPr marL="0" marR="0" indent="0" defTabSz="914400" eaLnBrk="1" fontAlgn="auto" latinLnBrk="0" hangingPunct="1">
            <a:lnSpc>
              <a:spcPct val="100000"/>
            </a:lnSpc>
            <a:spcBef>
              <a:spcPts val="0"/>
            </a:spcBef>
            <a:spcAft>
              <a:spcPts val="0"/>
            </a:spcAft>
            <a:buClrTx/>
            <a:buSzTx/>
            <a:buFontTx/>
            <a:buNone/>
            <a:tabLst/>
            <a:defRPr/>
          </a:pPr>
          <a:r>
            <a:rPr lang="fr-FR" sz="1100" b="0" baseline="0">
              <a:solidFill>
                <a:schemeClr val="dk1"/>
              </a:solidFill>
              <a:effectLst/>
              <a:latin typeface="+mn-lt"/>
              <a:ea typeface="+mn-ea"/>
              <a:cs typeface="+mn-cs"/>
            </a:rPr>
            <a:t>GPU instances supported only Windows (except p2)</a:t>
          </a:r>
          <a:endParaRPr lang="fr-FR" sz="1050">
            <a:effectLst/>
          </a:endParaRPr>
        </a:p>
        <a:p>
          <a:endParaRPr lang="fr-FR" sz="1050">
            <a:effectLst/>
          </a:endParaRPr>
        </a:p>
      </xdr:txBody>
    </xdr:sp>
    <xdr:clientData/>
  </xdr:twoCellAnchor>
  <xdr:twoCellAnchor>
    <xdr:from>
      <xdr:col>3</xdr:col>
      <xdr:colOff>171458</xdr:colOff>
      <xdr:row>14</xdr:row>
      <xdr:rowOff>57149</xdr:rowOff>
    </xdr:from>
    <xdr:to>
      <xdr:col>4</xdr:col>
      <xdr:colOff>542930</xdr:colOff>
      <xdr:row>16</xdr:row>
      <xdr:rowOff>152400</xdr:rowOff>
    </xdr:to>
    <xdr:sp macro="" textlink="">
      <xdr:nvSpPr>
        <xdr:cNvPr id="7" name="Flèche angle droit à deux pointes 6" descr=" +[@$6A&gt;!%=M]">
          <a:extLst>
            <a:ext uri="{FF2B5EF4-FFF2-40B4-BE49-F238E27FC236}">
              <a16:creationId xmlns:a16="http://schemas.microsoft.com/office/drawing/2014/main" id="{00000000-0008-0000-0D00-000007000000}"/>
            </a:ext>
          </a:extLst>
        </xdr:cNvPr>
        <xdr:cNvSpPr/>
      </xdr:nvSpPr>
      <xdr:spPr>
        <a:xfrm rot="16200000">
          <a:off x="6872293" y="7281864"/>
          <a:ext cx="438151" cy="1495422"/>
        </a:xfrm>
        <a:prstGeom prst="leftUpArrow">
          <a:avLst>
            <a:gd name="adj1" fmla="val 27596"/>
            <a:gd name="adj2" fmla="val 25000"/>
            <a:gd name="adj3" fmla="val 25000"/>
          </a:avLst>
        </a:prstGeom>
        <a:solidFill>
          <a:schemeClr val="accent1">
            <a:lumMod val="40000"/>
            <a:lumOff val="60000"/>
          </a:schemeClr>
        </a:solidFill>
        <a:ln w="12700">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4</xdr:col>
      <xdr:colOff>695185</xdr:colOff>
      <xdr:row>14</xdr:row>
      <xdr:rowOff>57150</xdr:rowOff>
    </xdr:from>
    <xdr:to>
      <xdr:col>7</xdr:col>
      <xdr:colOff>876300</xdr:colOff>
      <xdr:row>15</xdr:row>
      <xdr:rowOff>152400</xdr:rowOff>
    </xdr:to>
    <xdr:sp macro="" textlink="">
      <xdr:nvSpPr>
        <xdr:cNvPr id="8" name="ZoneTexte 7" descr=" +[@$6A&gt;!%=N]">
          <a:extLst>
            <a:ext uri="{FF2B5EF4-FFF2-40B4-BE49-F238E27FC236}">
              <a16:creationId xmlns:a16="http://schemas.microsoft.com/office/drawing/2014/main" id="{00000000-0008-0000-0D00-000008000000}"/>
            </a:ext>
          </a:extLst>
        </xdr:cNvPr>
        <xdr:cNvSpPr txBox="1"/>
      </xdr:nvSpPr>
      <xdr:spPr>
        <a:xfrm>
          <a:off x="7991335" y="3076575"/>
          <a:ext cx="2267090" cy="266700"/>
        </a:xfrm>
        <a:prstGeom prst="rect">
          <a:avLst/>
        </a:prstGeom>
        <a:solidFill>
          <a:schemeClr val="bg1">
            <a:lumMod val="95000"/>
          </a:schemeClr>
        </a:solidFill>
        <a:ln w="9525" cmpd="sng">
          <a:solidFill>
            <a:schemeClr val="bg1">
              <a:lumMod val="9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a:solidFill>
                <a:schemeClr val="dk1"/>
              </a:solidFill>
              <a:effectLst/>
              <a:latin typeface="+mn-lt"/>
              <a:ea typeface="+mn-ea"/>
              <a:cs typeface="+mn-cs"/>
            </a:rPr>
            <a:t>Sum-up of additional @IPs</a:t>
          </a:r>
          <a:endParaRPr lang="fr-FR">
            <a:effectLst/>
          </a:endParaRPr>
        </a:p>
      </xdr:txBody>
    </xdr:sp>
    <xdr:clientData/>
  </xdr:twoCellAnchor>
  <xdr:twoCellAnchor>
    <xdr:from>
      <xdr:col>3</xdr:col>
      <xdr:colOff>123825</xdr:colOff>
      <xdr:row>184</xdr:row>
      <xdr:rowOff>28575</xdr:rowOff>
    </xdr:from>
    <xdr:to>
      <xdr:col>7</xdr:col>
      <xdr:colOff>895350</xdr:colOff>
      <xdr:row>187</xdr:row>
      <xdr:rowOff>85725</xdr:rowOff>
    </xdr:to>
    <xdr:sp macro="" textlink="">
      <xdr:nvSpPr>
        <xdr:cNvPr id="11" name="ZoneTexte 10" descr=" +[@$6A&gt;!%=H]">
          <a:extLst>
            <a:ext uri="{FF2B5EF4-FFF2-40B4-BE49-F238E27FC236}">
              <a16:creationId xmlns:a16="http://schemas.microsoft.com/office/drawing/2014/main" id="{00000000-0008-0000-0D00-00000B000000}"/>
            </a:ext>
          </a:extLst>
        </xdr:cNvPr>
        <xdr:cNvSpPr txBox="1"/>
      </xdr:nvSpPr>
      <xdr:spPr>
        <a:xfrm>
          <a:off x="6296025" y="15459075"/>
          <a:ext cx="3981450" cy="638175"/>
        </a:xfrm>
        <a:prstGeom prst="rect">
          <a:avLst/>
        </a:prstGeom>
        <a:solidFill>
          <a:schemeClr val="bg1">
            <a:lumMod val="95000"/>
          </a:schemeClr>
        </a:solidFill>
        <a:ln w="9525" cmpd="sng">
          <a:solidFill>
            <a:schemeClr val="bg1">
              <a:lumMod val="9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50" b="1" baseline="0"/>
            <a:t>"HTTP Requests" correspond to a very specific use of object storage which would require a very high volume of reansaction. default value of these lines is 0.</a:t>
          </a:r>
        </a:p>
      </xdr:txBody>
    </xdr:sp>
    <xdr:clientData/>
  </xdr:twoCellAnchor>
  <xdr:twoCellAnchor>
    <xdr:from>
      <xdr:col>3</xdr:col>
      <xdr:colOff>266699</xdr:colOff>
      <xdr:row>236</xdr:row>
      <xdr:rowOff>104775</xdr:rowOff>
    </xdr:from>
    <xdr:to>
      <xdr:col>7</xdr:col>
      <xdr:colOff>904875</xdr:colOff>
      <xdr:row>246</xdr:row>
      <xdr:rowOff>38100</xdr:rowOff>
    </xdr:to>
    <xdr:sp macro="" textlink="">
      <xdr:nvSpPr>
        <xdr:cNvPr id="13" name="ZoneTexte 12" descr=" +[@$6A&gt;!%^&lt;]">
          <a:extLst>
            <a:ext uri="{FF2B5EF4-FFF2-40B4-BE49-F238E27FC236}">
              <a16:creationId xmlns:a16="http://schemas.microsoft.com/office/drawing/2014/main" id="{00000000-0008-0000-0D00-00000D000000}"/>
            </a:ext>
          </a:extLst>
        </xdr:cNvPr>
        <xdr:cNvSpPr txBox="1"/>
      </xdr:nvSpPr>
      <xdr:spPr>
        <a:xfrm>
          <a:off x="6438899" y="16602075"/>
          <a:ext cx="3848101" cy="1038225"/>
        </a:xfrm>
        <a:prstGeom prst="rect">
          <a:avLst/>
        </a:prstGeom>
        <a:solidFill>
          <a:schemeClr val="bg1">
            <a:lumMod val="95000"/>
          </a:schemeClr>
        </a:solidFill>
        <a:ln w="9525" cmpd="sng">
          <a:solidFill>
            <a:schemeClr val="bg1">
              <a:lumMod val="9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50" baseline="0">
              <a:solidFill>
                <a:sysClr val="windowText" lastClr="000000"/>
              </a:solidFill>
            </a:rPr>
            <a:t>A traffic IO / bandwidth traffic converter is available at the bottom of the page</a:t>
          </a:r>
        </a:p>
        <a:p>
          <a:r>
            <a:rPr lang="fr-FR" sz="1050" baseline="0">
              <a:solidFill>
                <a:sysClr val="windowText" lastClr="000000"/>
              </a:solidFill>
            </a:rPr>
            <a:t>for calculation, keep in mind % bandwith usage is usually between </a:t>
          </a:r>
          <a:r>
            <a:rPr lang="fr-FR" sz="1050" b="1" baseline="0">
              <a:solidFill>
                <a:srgbClr val="00B050"/>
              </a:solidFill>
            </a:rPr>
            <a:t>10 and 15% </a:t>
          </a:r>
          <a:r>
            <a:rPr lang="fr-FR" sz="1050" baseline="0">
              <a:solidFill>
                <a:sysClr val="windowText" lastClr="000000"/>
              </a:solidFill>
            </a:rPr>
            <a:t>of bandwith throughput. For very specific use case, please check with your presales</a:t>
          </a:r>
        </a:p>
      </xdr:txBody>
    </xdr:sp>
    <xdr:clientData/>
  </xdr:twoCellAnchor>
  <xdr:twoCellAnchor>
    <xdr:from>
      <xdr:col>4</xdr:col>
      <xdr:colOff>266700</xdr:colOff>
      <xdr:row>258</xdr:row>
      <xdr:rowOff>22411</xdr:rowOff>
    </xdr:from>
    <xdr:to>
      <xdr:col>7</xdr:col>
      <xdr:colOff>857250</xdr:colOff>
      <xdr:row>263</xdr:row>
      <xdr:rowOff>38101</xdr:rowOff>
    </xdr:to>
    <xdr:sp macro="" textlink="">
      <xdr:nvSpPr>
        <xdr:cNvPr id="20" name="ZoneTexte 19" descr=" +[@$6A&gt;!%=O]">
          <a:extLst>
            <a:ext uri="{FF2B5EF4-FFF2-40B4-BE49-F238E27FC236}">
              <a16:creationId xmlns:a16="http://schemas.microsoft.com/office/drawing/2014/main" id="{00000000-0008-0000-0D00-000014000000}"/>
            </a:ext>
          </a:extLst>
        </xdr:cNvPr>
        <xdr:cNvSpPr txBox="1"/>
      </xdr:nvSpPr>
      <xdr:spPr>
        <a:xfrm>
          <a:off x="7315200" y="39870529"/>
          <a:ext cx="3773021" cy="968190"/>
        </a:xfrm>
        <a:prstGeom prst="rect">
          <a:avLst/>
        </a:prstGeom>
        <a:solidFill>
          <a:schemeClr val="bg1">
            <a:lumMod val="95000"/>
          </a:schemeClr>
        </a:solidFill>
        <a:ln w="9525" cmpd="sng">
          <a:solidFill>
            <a:schemeClr val="bg1">
              <a:lumMod val="9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50" b="0" baseline="0">
              <a:solidFill>
                <a:schemeClr val="dk1"/>
              </a:solidFill>
              <a:latin typeface="+mn-lt"/>
              <a:ea typeface="+mn-ea"/>
              <a:cs typeface="+mn-cs"/>
            </a:rPr>
            <a:t>For the VPN Galerie option, the companie have to already have a Business VPN Galerie connexion on its side.</a:t>
          </a:r>
        </a:p>
        <a:p>
          <a:r>
            <a:rPr lang="fr-FR" sz="1050" b="0" baseline="0">
              <a:solidFill>
                <a:schemeClr val="dk1"/>
              </a:solidFill>
              <a:latin typeface="+mn-lt"/>
              <a:ea typeface="+mn-ea"/>
              <a:cs typeface="+mn-cs"/>
            </a:rPr>
            <a:t>VPN Galerie option is not elligible to bandwith above 1Gbps</a:t>
          </a:r>
          <a:r>
            <a:rPr lang="fr-FR" sz="1050" b="0" baseline="0"/>
            <a:t>.</a:t>
          </a:r>
        </a:p>
      </xdr:txBody>
    </xdr:sp>
    <xdr:clientData/>
  </xdr:twoCellAnchor>
  <xdr:twoCellAnchor>
    <xdr:from>
      <xdr:col>2</xdr:col>
      <xdr:colOff>1057836</xdr:colOff>
      <xdr:row>542</xdr:row>
      <xdr:rowOff>0</xdr:rowOff>
    </xdr:from>
    <xdr:to>
      <xdr:col>7</xdr:col>
      <xdr:colOff>400050</xdr:colOff>
      <xdr:row>544</xdr:row>
      <xdr:rowOff>76200</xdr:rowOff>
    </xdr:to>
    <xdr:sp macro="" textlink="">
      <xdr:nvSpPr>
        <xdr:cNvPr id="18" name="ZoneTexte 17" descr=" +[@$6A&gt;!%=H]">
          <a:extLst>
            <a:ext uri="{FF2B5EF4-FFF2-40B4-BE49-F238E27FC236}">
              <a16:creationId xmlns:a16="http://schemas.microsoft.com/office/drawing/2014/main" id="{00000000-0008-0000-0D00-000012000000}"/>
            </a:ext>
          </a:extLst>
        </xdr:cNvPr>
        <xdr:cNvSpPr txBox="1"/>
      </xdr:nvSpPr>
      <xdr:spPr>
        <a:xfrm>
          <a:off x="5877486" y="22164675"/>
          <a:ext cx="3904689" cy="552450"/>
        </a:xfrm>
        <a:prstGeom prst="rect">
          <a:avLst/>
        </a:prstGeom>
        <a:solidFill>
          <a:schemeClr val="bg1">
            <a:lumMod val="95000"/>
          </a:schemeClr>
        </a:solidFill>
        <a:ln w="9525" cmpd="sng">
          <a:solidFill>
            <a:schemeClr val="bg1">
              <a:lumMod val="9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a:solidFill>
                <a:schemeClr val="dk1"/>
              </a:solidFill>
              <a:effectLst/>
              <a:latin typeface="+mn-lt"/>
              <a:ea typeface="+mn-ea"/>
              <a:cs typeface="+mn-cs"/>
            </a:rPr>
            <a:t>Total cost based on estimates of declared  resource consumption according to the joint scenario</a:t>
          </a:r>
          <a:endParaRPr lang="fr-FR" sz="1050">
            <a:effectLst/>
          </a:endParaRPr>
        </a:p>
      </xdr:txBody>
    </xdr:sp>
    <xdr:clientData/>
  </xdr:twoCellAnchor>
  <xdr:twoCellAnchor>
    <xdr:from>
      <xdr:col>4</xdr:col>
      <xdr:colOff>809625</xdr:colOff>
      <xdr:row>544</xdr:row>
      <xdr:rowOff>209550</xdr:rowOff>
    </xdr:from>
    <xdr:to>
      <xdr:col>7</xdr:col>
      <xdr:colOff>838200</xdr:colOff>
      <xdr:row>546</xdr:row>
      <xdr:rowOff>123825</xdr:rowOff>
    </xdr:to>
    <xdr:sp macro="" textlink="">
      <xdr:nvSpPr>
        <xdr:cNvPr id="19" name="Rectangle 18" descr=" +[@$%sD!76g]">
          <a:hlinkClick xmlns:r="http://schemas.openxmlformats.org/officeDocument/2006/relationships" r:id="rId1"/>
          <a:extLst>
            <a:ext uri="{FF2B5EF4-FFF2-40B4-BE49-F238E27FC236}">
              <a16:creationId xmlns:a16="http://schemas.microsoft.com/office/drawing/2014/main" id="{00000000-0008-0000-0D00-000013000000}"/>
            </a:ext>
          </a:extLst>
        </xdr:cNvPr>
        <xdr:cNvSpPr/>
      </xdr:nvSpPr>
      <xdr:spPr>
        <a:xfrm>
          <a:off x="8105775" y="22993350"/>
          <a:ext cx="2114550" cy="390525"/>
        </a:xfrm>
        <a:prstGeom prst="rect">
          <a:avLst/>
        </a:prstGeom>
        <a:solidFill>
          <a:srgbClr val="FF6600"/>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latin typeface="Helvetica 75 Bold" panose="020B0804020202020204" pitchFamily="34" charset="0"/>
            </a:rPr>
            <a:t>Go</a:t>
          </a:r>
          <a:r>
            <a:rPr lang="fr-FR" sz="1100" b="0" baseline="0">
              <a:latin typeface="Helvetica 75 Bold" panose="020B0804020202020204" pitchFamily="34" charset="0"/>
            </a:rPr>
            <a:t> to the Quote</a:t>
          </a:r>
          <a:endParaRPr lang="fr-FR" sz="1100" b="0">
            <a:latin typeface="Helvetica 75 Bold" panose="020B0804020202020204" pitchFamily="34" charset="0"/>
          </a:endParaRPr>
        </a:p>
      </xdr:txBody>
    </xdr:sp>
    <xdr:clientData fLocksWithSheet="0"/>
  </xdr:twoCellAnchor>
  <xdr:twoCellAnchor editAs="oneCell">
    <xdr:from>
      <xdr:col>0</xdr:col>
      <xdr:colOff>0</xdr:colOff>
      <xdr:row>0</xdr:row>
      <xdr:rowOff>0</xdr:rowOff>
    </xdr:from>
    <xdr:to>
      <xdr:col>0</xdr:col>
      <xdr:colOff>535517</xdr:colOff>
      <xdr:row>2</xdr:row>
      <xdr:rowOff>57213</xdr:rowOff>
    </xdr:to>
    <xdr:pic>
      <xdr:nvPicPr>
        <xdr:cNvPr id="12" name="Image 11" descr=" +[@$%sD!76h]">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35517" cy="537908"/>
        </a:xfrm>
        <a:prstGeom prst="rect">
          <a:avLst/>
        </a:prstGeom>
      </xdr:spPr>
    </xdr:pic>
    <xdr:clientData/>
  </xdr:twoCellAnchor>
  <xdr:twoCellAnchor>
    <xdr:from>
      <xdr:col>7</xdr:col>
      <xdr:colOff>123825</xdr:colOff>
      <xdr:row>58</xdr:row>
      <xdr:rowOff>19050</xdr:rowOff>
    </xdr:from>
    <xdr:to>
      <xdr:col>7</xdr:col>
      <xdr:colOff>1828801</xdr:colOff>
      <xdr:row>75</xdr:row>
      <xdr:rowOff>76200</xdr:rowOff>
    </xdr:to>
    <xdr:sp macro="" textlink="">
      <xdr:nvSpPr>
        <xdr:cNvPr id="3" name="ZoneTexte 2" descr=" +[@$6A&gt;!%=L]">
          <a:extLst>
            <a:ext uri="{FF2B5EF4-FFF2-40B4-BE49-F238E27FC236}">
              <a16:creationId xmlns:a16="http://schemas.microsoft.com/office/drawing/2014/main" id="{1D4A96B3-0988-4E20-8433-D8EA5FE286C7}"/>
            </a:ext>
          </a:extLst>
        </xdr:cNvPr>
        <xdr:cNvSpPr txBox="1"/>
      </xdr:nvSpPr>
      <xdr:spPr>
        <a:xfrm>
          <a:off x="13239750" y="9505950"/>
          <a:ext cx="1704976" cy="3114675"/>
        </a:xfrm>
        <a:prstGeom prst="rect">
          <a:avLst/>
        </a:prstGeom>
        <a:solidFill>
          <a:srgbClr val="BDEEFF"/>
        </a:solidFill>
        <a:ln w="9525" cmpd="sng">
          <a:solidFill>
            <a:schemeClr val="bg1">
              <a:lumMod val="9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1050" b="1"/>
            <a:t>S3/S6 booster program </a:t>
          </a:r>
          <a:br>
            <a:rPr lang="fr-FR" sz="1050" b="1"/>
          </a:br>
          <a:br>
            <a:rPr lang="fr-FR" sz="1050" b="1"/>
          </a:br>
          <a:r>
            <a:rPr lang="fr-FR" sz="1050" b="1"/>
            <a:t>From 01/07/2023 to 31/12/2023 </a:t>
          </a:r>
          <a:br>
            <a:rPr lang="fr-FR" sz="1050" b="1"/>
          </a:br>
          <a:endParaRPr lang="fr-FR" sz="1050" b="1"/>
        </a:p>
        <a:p>
          <a:pPr algn="l"/>
          <a:r>
            <a:rPr lang="fr-FR" sz="1050" b="0"/>
            <a:t>You can subscribe</a:t>
          </a:r>
          <a:r>
            <a:rPr lang="fr-FR" sz="1050" b="0" baseline="0"/>
            <a:t> to </a:t>
          </a:r>
          <a:r>
            <a:rPr lang="fr-FR" sz="1050" b="0"/>
            <a:t>ECS S3 or S6 Reserved Instances over a commitment period of 1 month or 6 months to benefit from 20 to 30% discount on the PAYGO price. </a:t>
          </a:r>
          <a:br>
            <a:rPr lang="fr-FR" sz="1050" b="0"/>
          </a:br>
          <a:br>
            <a:rPr lang="fr-FR" sz="1050" b="0"/>
          </a:br>
          <a:r>
            <a:rPr lang="fr-FR" sz="1050" b="0"/>
            <a:t>These subscription plans are only applicable to Reserved Instances for S3 and S6 models</a:t>
          </a:r>
          <a:endParaRPr lang="fr-FR" sz="1050" b="0" baseline="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123826</xdr:colOff>
      <xdr:row>0</xdr:row>
      <xdr:rowOff>141379</xdr:rowOff>
    </xdr:from>
    <xdr:to>
      <xdr:col>1</xdr:col>
      <xdr:colOff>284657</xdr:colOff>
      <xdr:row>2</xdr:row>
      <xdr:rowOff>77696</xdr:rowOff>
    </xdr:to>
    <xdr:pic>
      <xdr:nvPicPr>
        <xdr:cNvPr id="3" name="Image 1" descr=" +[@$%sD!8Cf]">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3826" y="141379"/>
          <a:ext cx="1546542" cy="560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123826</xdr:colOff>
      <xdr:row>0</xdr:row>
      <xdr:rowOff>144121</xdr:rowOff>
    </xdr:from>
    <xdr:to>
      <xdr:col>1</xdr:col>
      <xdr:colOff>1142260</xdr:colOff>
      <xdr:row>2</xdr:row>
      <xdr:rowOff>78124</xdr:rowOff>
    </xdr:to>
    <xdr:pic>
      <xdr:nvPicPr>
        <xdr:cNvPr id="2" name="Image 1" descr=" +[@$%sD!8e9]">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3826" y="144121"/>
          <a:ext cx="1551834" cy="562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BUGAULT Nicolas OBS/OCB" id="{31FE41B4-0871-4B05-9333-17DA2C2A4C10}" userId="S::nicolas.bugault@orange.com::0d252abc-cb84-405f-8dc3-c959b38f9f22"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39" dT="2022-06-30T17:23:13.49" personId="{31FE41B4-0871-4B05-9333-17DA2C2A4C10}" id="{1798F631-068E-4FEC-AB10-464E8A2D5C07}">
    <text>j'ai corrigé les tailles RAM</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cloud.orange-business.com/offres/infrastructure-iaas/flexible-engine/elastic-cloud-server/" TargetMode="External"/><Relationship Id="rId13" Type="http://schemas.openxmlformats.org/officeDocument/2006/relationships/hyperlink" Target="https://cloud.orange-business.com/en/offers/infrastructure-iaas/public-cloud/assistance-flexible-engine/understand-your-invoice-flexible-engine" TargetMode="External"/><Relationship Id="rId3" Type="http://schemas.openxmlformats.org/officeDocument/2006/relationships/hyperlink" Target="http://cloud.orange-business.com/en/cloud-infrastructure-services" TargetMode="External"/><Relationship Id="rId7" Type="http://schemas.openxmlformats.org/officeDocument/2006/relationships/hyperlink" Target="https://cloud.orange-business.com/wp-content/uploads/2021/01/Flexible-Engine-Guide-dutilisation-du-deviseur.pdf" TargetMode="External"/><Relationship Id="rId12" Type="http://schemas.openxmlformats.org/officeDocument/2006/relationships/hyperlink" Target="https://cloud.orange-business.com/nos-tarifs/elastic-cloud-server/" TargetMode="External"/><Relationship Id="rId17" Type="http://schemas.openxmlformats.org/officeDocument/2006/relationships/drawing" Target="../drawings/drawing1.xml"/><Relationship Id="rId2" Type="http://schemas.openxmlformats.org/officeDocument/2006/relationships/hyperlink" Target="http://cloud.orange-business.com/fr/cloud-infrastructure-services-iaas/cloud-public-openstack/services-de-support/webinar-cloud-openstack-orange" TargetMode="External"/><Relationship Id="rId16" Type="http://schemas.openxmlformats.org/officeDocument/2006/relationships/customProperty" Target="../customProperty1.bin"/><Relationship Id="rId1" Type="http://schemas.openxmlformats.org/officeDocument/2006/relationships/hyperlink" Target="http://cloud.orange-business.com/fr/cloud-infrastructure-services-iaas/cloud-public-openstack/services-de-support/help-center" TargetMode="External"/><Relationship Id="rId6" Type="http://schemas.openxmlformats.org/officeDocument/2006/relationships/hyperlink" Target="http://cloud.orange-business.com/fr/cloud-infrastructure-services-iaas/cloud-public-openstack/services-de-support/webinar-cloud-openstack-orange" TargetMode="External"/><Relationship Id="rId11" Type="http://schemas.openxmlformats.org/officeDocument/2006/relationships/hyperlink" Target="https://cloud.orange-business.com/en/offers/infrastructure-iaas/public-cloud/features/" TargetMode="External"/><Relationship Id="rId5" Type="http://schemas.openxmlformats.org/officeDocument/2006/relationships/hyperlink" Target="http://cloud.orange-business.com/fr/cloud-infrastructure-services-iaas/cloud-public-openstack/services-de-support/help-center" TargetMode="External"/><Relationship Id="rId15" Type="http://schemas.openxmlformats.org/officeDocument/2006/relationships/printerSettings" Target="../printerSettings/printerSettings1.bin"/><Relationship Id="rId10" Type="http://schemas.openxmlformats.org/officeDocument/2006/relationships/hyperlink" Target="https://cloud.orange-business.com/wp-content/uploads/2021/01/Flexible-Engine-How-to-use-the-quotation-tool.pdf" TargetMode="External"/><Relationship Id="rId4" Type="http://schemas.openxmlformats.org/officeDocument/2006/relationships/hyperlink" Target="http://cloud.orange-business.com/fr/cloud-infrastructure-services-iaas/cloud-public-openstack" TargetMode="External"/><Relationship Id="rId9" Type="http://schemas.openxmlformats.org/officeDocument/2006/relationships/hyperlink" Target="https://cloud.orange-business.com/offres/infrastructure-iaas/flexible-engine/assistance-flexible-engine/comprendre-sa-facture" TargetMode="External"/><Relationship Id="rId14" Type="http://schemas.openxmlformats.org/officeDocument/2006/relationships/hyperlink" Target="https://cloud.orange-business.com/offres/infrastructure-iaas/flexible-engine/fonctionnalite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7" Type="http://schemas.microsoft.com/office/2017/10/relationships/threadedComment" Target="../threadedComments/threadedComment1.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3.bin"/><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4.bin"/><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5.bin"/><Relationship Id="rId1" Type="http://schemas.openxmlformats.org/officeDocument/2006/relationships/printerSettings" Target="../printerSettings/printerSettings6.bin"/><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6.bin"/><Relationship Id="rId1" Type="http://schemas.openxmlformats.org/officeDocument/2006/relationships/printerSettings" Target="../printerSettings/printerSettings7.bin"/><Relationship Id="rId5" Type="http://schemas.openxmlformats.org/officeDocument/2006/relationships/comments" Target="../comments6.xm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N62"/>
  <sheetViews>
    <sheetView showGridLines="0" tabSelected="1" zoomScale="80" zoomScaleNormal="80" workbookViewId="0">
      <selection activeCell="B2" sqref="B2:M2"/>
    </sheetView>
  </sheetViews>
  <sheetFormatPr baseColWidth="10" defaultColWidth="11.44140625" defaultRowHeight="14.4"/>
  <cols>
    <col min="1" max="1" width="7.44140625" style="937" customWidth="1"/>
    <col min="2" max="2" width="7.21875" style="937" customWidth="1"/>
    <col min="3" max="3" width="11.44140625" style="937"/>
    <col min="4" max="4" width="11.44140625" style="937" customWidth="1"/>
    <col min="5" max="7" width="11.44140625" style="937"/>
    <col min="8" max="8" width="11.21875" style="937" customWidth="1"/>
    <col min="9" max="13" width="11.44140625" style="937"/>
    <col min="14" max="14" width="11.44140625" style="1011" customWidth="1"/>
    <col min="15" max="16384" width="11.44140625" style="937"/>
  </cols>
  <sheetData>
    <row r="1" spans="1:14">
      <c r="A1" s="935"/>
      <c r="B1" s="935"/>
      <c r="C1" s="935"/>
      <c r="D1" s="935"/>
      <c r="E1" s="935"/>
      <c r="F1" s="935"/>
      <c r="G1" s="935"/>
      <c r="H1" s="935"/>
      <c r="I1" s="935"/>
      <c r="J1" s="935"/>
      <c r="K1" s="935"/>
      <c r="L1" s="935"/>
      <c r="M1" s="935"/>
      <c r="N1" s="936"/>
    </row>
    <row r="2" spans="1:14" ht="60.6">
      <c r="A2" s="935"/>
      <c r="B2" s="1905" t="s">
        <v>343</v>
      </c>
      <c r="C2" s="1905"/>
      <c r="D2" s="1905"/>
      <c r="E2" s="1905"/>
      <c r="F2" s="1905"/>
      <c r="G2" s="1905"/>
      <c r="H2" s="1905"/>
      <c r="I2" s="1905"/>
      <c r="J2" s="1905"/>
      <c r="K2" s="1905"/>
      <c r="L2" s="1905"/>
      <c r="M2" s="1905"/>
      <c r="N2" s="936"/>
    </row>
    <row r="3" spans="1:14" ht="60.6">
      <c r="A3" s="935"/>
      <c r="B3" s="1903" t="s">
        <v>1192</v>
      </c>
      <c r="C3" s="1903"/>
      <c r="D3" s="1903"/>
      <c r="E3" s="1903"/>
      <c r="F3" s="1903"/>
      <c r="G3" s="1903"/>
      <c r="H3" s="1903"/>
      <c r="I3" s="1903"/>
      <c r="J3" s="1903"/>
      <c r="K3" s="1903"/>
      <c r="L3" s="1903"/>
      <c r="M3" s="1903"/>
      <c r="N3" s="936"/>
    </row>
    <row r="4" spans="1:14">
      <c r="A4" s="935"/>
      <c r="B4" s="1904" t="s">
        <v>1191</v>
      </c>
      <c r="C4" s="1904"/>
      <c r="D4" s="1904"/>
      <c r="E4" s="1904"/>
      <c r="F4" s="1904"/>
      <c r="G4" s="1904"/>
      <c r="H4" s="1904"/>
      <c r="I4" s="1904"/>
      <c r="J4" s="1904"/>
      <c r="K4" s="1904"/>
      <c r="L4" s="1904"/>
      <c r="M4" s="1904"/>
      <c r="N4" s="936"/>
    </row>
    <row r="5" spans="1:14">
      <c r="A5" s="935"/>
      <c r="B5" s="935"/>
      <c r="C5" s="935"/>
      <c r="D5" s="935"/>
      <c r="E5" s="935"/>
      <c r="F5" s="935"/>
      <c r="G5" s="935"/>
      <c r="H5" s="935"/>
      <c r="I5" s="935"/>
      <c r="J5" s="935"/>
      <c r="K5" s="935"/>
      <c r="L5" s="935"/>
      <c r="M5" s="935"/>
      <c r="N5" s="936"/>
    </row>
    <row r="6" spans="1:14">
      <c r="A6" s="935"/>
      <c r="B6" s="935"/>
      <c r="C6" s="935"/>
      <c r="D6" s="935"/>
      <c r="E6" s="935"/>
      <c r="F6" s="935"/>
      <c r="G6" s="935"/>
      <c r="H6" s="935"/>
      <c r="I6" s="935"/>
      <c r="J6" s="935"/>
      <c r="K6" s="935"/>
      <c r="L6" s="935"/>
      <c r="M6" s="935"/>
      <c r="N6" s="936"/>
    </row>
    <row r="7" spans="1:14">
      <c r="A7" s="613"/>
      <c r="B7" s="500"/>
      <c r="C7" s="500"/>
      <c r="D7" s="500"/>
      <c r="E7" s="500"/>
      <c r="F7" s="500"/>
      <c r="G7" s="500"/>
      <c r="H7" s="500"/>
      <c r="I7" s="500"/>
      <c r="J7" s="500"/>
      <c r="K7" s="500"/>
      <c r="L7" s="500"/>
      <c r="M7" s="500"/>
      <c r="N7" s="1013"/>
    </row>
    <row r="8" spans="1:14" ht="15" customHeight="1">
      <c r="A8" s="613"/>
      <c r="B8" s="1014"/>
      <c r="C8" s="1029" t="s">
        <v>1193</v>
      </c>
      <c r="D8" s="1030"/>
      <c r="E8" s="1030"/>
      <c r="F8" s="1030"/>
      <c r="G8" s="500"/>
      <c r="H8" s="500"/>
      <c r="I8" s="500"/>
      <c r="J8" s="500"/>
      <c r="K8" s="500"/>
      <c r="L8" s="1014"/>
      <c r="M8" s="1014"/>
      <c r="N8" s="1016"/>
    </row>
    <row r="9" spans="1:14" ht="15.75" customHeight="1">
      <c r="A9" s="613"/>
      <c r="B9" s="1014"/>
      <c r="C9" s="1015"/>
      <c r="D9" s="500"/>
      <c r="E9" s="500"/>
      <c r="F9" s="500"/>
      <c r="G9" s="500"/>
      <c r="H9" s="500"/>
      <c r="I9" s="500"/>
      <c r="J9" s="500"/>
      <c r="K9" s="500"/>
      <c r="L9" s="1014"/>
      <c r="M9" s="1014"/>
      <c r="N9" s="1016"/>
    </row>
    <row r="10" spans="1:14" ht="15" customHeight="1">
      <c r="A10" s="613"/>
      <c r="B10" s="1014"/>
      <c r="C10" s="500" t="s">
        <v>1195</v>
      </c>
      <c r="D10" s="500"/>
      <c r="E10" s="500"/>
      <c r="F10" s="500"/>
      <c r="G10" s="1051" t="s">
        <v>1262</v>
      </c>
      <c r="H10" s="500"/>
      <c r="I10" s="500"/>
      <c r="J10" s="500"/>
      <c r="K10" s="500"/>
      <c r="L10" s="1035" t="s">
        <v>1204</v>
      </c>
      <c r="M10" s="1012"/>
      <c r="N10" s="1031"/>
    </row>
    <row r="11" spans="1:14">
      <c r="A11" s="613"/>
      <c r="B11" s="1014"/>
      <c r="C11" s="500" t="s">
        <v>1194</v>
      </c>
      <c r="D11" s="500"/>
      <c r="E11" s="500"/>
      <c r="F11" s="500"/>
      <c r="G11" s="1051" t="s">
        <v>1262</v>
      </c>
      <c r="H11" s="500"/>
      <c r="I11" s="500"/>
      <c r="J11" s="500"/>
      <c r="K11" s="500"/>
      <c r="L11" s="500"/>
      <c r="M11" s="500"/>
      <c r="N11" s="1013"/>
    </row>
    <row r="12" spans="1:14">
      <c r="A12" s="613"/>
      <c r="B12" s="1014"/>
      <c r="C12" s="500" t="s">
        <v>1187</v>
      </c>
      <c r="D12" s="500"/>
      <c r="E12" s="500"/>
      <c r="F12" s="500"/>
      <c r="G12" s="1051" t="s">
        <v>1262</v>
      </c>
      <c r="H12" s="500"/>
      <c r="I12" s="500"/>
      <c r="J12" s="500"/>
      <c r="K12" s="500"/>
      <c r="L12" s="500"/>
      <c r="M12" s="500"/>
      <c r="N12" s="1013"/>
    </row>
    <row r="13" spans="1:14">
      <c r="A13" s="613"/>
      <c r="B13" s="1014"/>
      <c r="C13" s="500" t="s">
        <v>1189</v>
      </c>
      <c r="D13" s="500"/>
      <c r="E13" s="500"/>
      <c r="F13" s="500"/>
      <c r="G13" s="1051" t="s">
        <v>1262</v>
      </c>
      <c r="H13" s="500"/>
      <c r="I13" s="500"/>
      <c r="J13" s="500"/>
      <c r="K13" s="500"/>
      <c r="L13" s="500"/>
      <c r="M13" s="500"/>
      <c r="N13" s="1013"/>
    </row>
    <row r="14" spans="1:14">
      <c r="A14" s="613"/>
      <c r="B14" s="1014"/>
      <c r="C14" s="500"/>
      <c r="D14" s="500"/>
      <c r="E14" s="500"/>
      <c r="F14" s="500"/>
      <c r="G14" s="500"/>
      <c r="H14" s="500"/>
      <c r="I14" s="500"/>
      <c r="J14" s="500"/>
      <c r="K14" s="500"/>
      <c r="L14" s="500"/>
      <c r="M14" s="500"/>
      <c r="N14" s="1013"/>
    </row>
    <row r="15" spans="1:14">
      <c r="A15" s="613"/>
      <c r="B15" s="1014"/>
      <c r="C15" s="500"/>
      <c r="D15" s="500"/>
      <c r="E15" s="500"/>
      <c r="F15" s="500"/>
      <c r="G15" s="500"/>
      <c r="H15" s="500"/>
      <c r="I15" s="500"/>
      <c r="J15" s="500"/>
      <c r="K15" s="500"/>
      <c r="L15" s="500"/>
      <c r="M15" s="500"/>
      <c r="N15" s="1013"/>
    </row>
    <row r="16" spans="1:14">
      <c r="A16" s="685"/>
      <c r="B16" s="1014"/>
      <c r="C16" s="1029" t="s">
        <v>1196</v>
      </c>
      <c r="D16" s="1032"/>
      <c r="E16" s="1032"/>
      <c r="F16" s="1032"/>
      <c r="G16" s="1033"/>
      <c r="H16" s="1033"/>
      <c r="I16" s="1033"/>
      <c r="J16" s="1033"/>
      <c r="K16" s="1014"/>
      <c r="L16" s="500"/>
      <c r="M16" s="500"/>
      <c r="N16" s="1013"/>
    </row>
    <row r="17" spans="1:14">
      <c r="A17" s="685"/>
      <c r="B17" s="1014"/>
      <c r="C17" s="1015"/>
      <c r="D17" s="1017"/>
      <c r="E17" s="1017"/>
      <c r="F17" s="1017"/>
      <c r="G17" s="1014"/>
      <c r="H17" s="1014"/>
      <c r="I17" s="1014"/>
      <c r="J17" s="1014"/>
      <c r="K17" s="1014"/>
      <c r="L17" s="500"/>
      <c r="M17" s="500"/>
      <c r="N17" s="1013"/>
    </row>
    <row r="18" spans="1:14">
      <c r="A18" s="613"/>
      <c r="B18" s="1014"/>
      <c r="C18" s="500"/>
      <c r="D18" s="500"/>
      <c r="E18" s="500"/>
      <c r="F18" s="500"/>
      <c r="G18" s="500"/>
      <c r="H18" s="500"/>
      <c r="I18" s="500"/>
      <c r="J18" s="500"/>
      <c r="K18" s="500"/>
      <c r="L18" s="500"/>
      <c r="M18" s="500"/>
      <c r="N18" s="1013"/>
    </row>
    <row r="19" spans="1:14">
      <c r="A19" s="613"/>
      <c r="B19" s="1014"/>
      <c r="C19" s="500"/>
      <c r="D19" s="500"/>
      <c r="E19" s="500"/>
      <c r="F19" s="500"/>
      <c r="G19" s="500"/>
      <c r="H19" s="500"/>
      <c r="I19" s="500"/>
      <c r="J19" s="500"/>
      <c r="K19" s="500"/>
      <c r="L19" s="500"/>
      <c r="M19" s="500"/>
      <c r="N19" s="1013"/>
    </row>
    <row r="20" spans="1:14">
      <c r="A20" s="613"/>
      <c r="B20" s="1014"/>
      <c r="C20" s="500"/>
      <c r="D20" s="500"/>
      <c r="E20" s="500"/>
      <c r="F20" s="500"/>
      <c r="G20" s="500"/>
      <c r="H20" s="500"/>
      <c r="I20" s="500"/>
      <c r="J20" s="500"/>
      <c r="K20" s="500"/>
      <c r="L20" s="500"/>
      <c r="M20" s="500"/>
      <c r="N20" s="1013"/>
    </row>
    <row r="21" spans="1:14">
      <c r="A21" s="613"/>
      <c r="B21" s="1014"/>
      <c r="C21" s="500"/>
      <c r="D21" s="500"/>
      <c r="E21" s="500"/>
      <c r="F21" s="500"/>
      <c r="G21" s="500"/>
      <c r="H21" s="500"/>
      <c r="I21" s="500"/>
      <c r="J21" s="500"/>
      <c r="K21" s="500"/>
      <c r="L21" s="500"/>
      <c r="M21" s="500"/>
      <c r="N21" s="1013"/>
    </row>
    <row r="22" spans="1:14">
      <c r="A22" s="613"/>
      <c r="B22" s="1014"/>
      <c r="C22" s="500"/>
      <c r="D22" s="500"/>
      <c r="E22" s="500"/>
      <c r="F22" s="500"/>
      <c r="G22" s="500"/>
      <c r="H22" s="500"/>
      <c r="I22" s="500"/>
      <c r="J22" s="500"/>
      <c r="K22" s="500"/>
      <c r="L22" s="500"/>
      <c r="M22" s="500"/>
      <c r="N22" s="1013"/>
    </row>
    <row r="23" spans="1:14">
      <c r="A23" s="613"/>
      <c r="B23" s="1014"/>
      <c r="C23" s="500"/>
      <c r="D23" s="500"/>
      <c r="E23" s="500"/>
      <c r="F23" s="500"/>
      <c r="G23" s="500"/>
      <c r="H23" s="500"/>
      <c r="I23" s="500"/>
      <c r="J23" s="500"/>
      <c r="K23" s="500"/>
      <c r="L23" s="500"/>
      <c r="M23" s="500"/>
      <c r="N23" s="1013"/>
    </row>
    <row r="24" spans="1:14">
      <c r="A24" s="613"/>
      <c r="B24" s="1014"/>
      <c r="C24" s="500"/>
      <c r="D24" s="500"/>
      <c r="E24" s="500"/>
      <c r="F24" s="500"/>
      <c r="G24" s="500"/>
      <c r="H24" s="500"/>
      <c r="I24" s="500"/>
      <c r="J24" s="500"/>
      <c r="K24" s="500"/>
      <c r="L24" s="500"/>
      <c r="M24" s="500"/>
      <c r="N24" s="1013"/>
    </row>
    <row r="25" spans="1:14">
      <c r="A25" s="613"/>
      <c r="B25" s="1014"/>
      <c r="C25" s="1034" t="s">
        <v>1199</v>
      </c>
      <c r="D25" s="1034"/>
      <c r="E25" s="1034"/>
      <c r="F25" s="1034"/>
      <c r="G25" s="500"/>
      <c r="H25" s="500"/>
      <c r="I25" s="500"/>
      <c r="J25" s="500"/>
      <c r="K25" s="500"/>
      <c r="L25" s="500"/>
      <c r="M25" s="500"/>
      <c r="N25" s="1013"/>
    </row>
    <row r="26" spans="1:14">
      <c r="A26" s="613"/>
      <c r="B26" s="1014"/>
      <c r="C26" s="1019"/>
      <c r="D26" s="1019"/>
      <c r="E26" s="1019"/>
      <c r="F26" s="1019"/>
      <c r="G26" s="500"/>
      <c r="H26" s="500"/>
      <c r="I26" s="500"/>
      <c r="J26" s="500"/>
      <c r="K26" s="500"/>
      <c r="L26" s="500"/>
      <c r="M26" s="500"/>
      <c r="N26" s="1013"/>
    </row>
    <row r="27" spans="1:14">
      <c r="A27" s="613"/>
      <c r="B27" s="1014"/>
      <c r="C27" s="500"/>
      <c r="D27" s="1018" t="s">
        <v>1201</v>
      </c>
      <c r="E27" s="1018"/>
      <c r="F27" s="1018"/>
      <c r="G27" s="1018" t="s">
        <v>1203</v>
      </c>
      <c r="H27" s="500"/>
      <c r="I27" s="500"/>
      <c r="J27" s="500"/>
      <c r="K27" s="500"/>
      <c r="L27" s="500"/>
      <c r="M27" s="500"/>
      <c r="N27" s="1013"/>
    </row>
    <row r="28" spans="1:14">
      <c r="A28" s="613"/>
      <c r="B28" s="1014"/>
      <c r="C28" s="500"/>
      <c r="D28" s="1018" t="s">
        <v>1202</v>
      </c>
      <c r="E28" s="1018"/>
      <c r="F28" s="1018"/>
      <c r="G28" s="500"/>
      <c r="H28" s="500"/>
      <c r="I28" s="500"/>
      <c r="J28" s="500"/>
      <c r="K28" s="500"/>
      <c r="L28" s="500"/>
      <c r="M28" s="500"/>
      <c r="N28" s="1013"/>
    </row>
    <row r="29" spans="1:14">
      <c r="A29" s="593"/>
      <c r="B29" s="1014"/>
      <c r="C29" s="1014"/>
      <c r="D29" s="1014"/>
      <c r="E29" s="1014"/>
      <c r="F29" s="1014"/>
      <c r="G29" s="1014"/>
      <c r="H29" s="1014"/>
      <c r="I29" s="1014"/>
      <c r="J29" s="1014"/>
      <c r="K29" s="1014"/>
      <c r="L29" s="1014"/>
      <c r="M29" s="1014"/>
      <c r="N29" s="1016"/>
    </row>
    <row r="30" spans="1:14" ht="15" thickBot="1">
      <c r="A30" s="724"/>
      <c r="B30" s="1020"/>
      <c r="C30" s="1020"/>
      <c r="D30" s="1020"/>
      <c r="E30" s="1020"/>
      <c r="F30" s="1020"/>
      <c r="G30" s="1020"/>
      <c r="H30" s="1020"/>
      <c r="I30" s="1020"/>
      <c r="J30" s="1020"/>
      <c r="K30" s="1020"/>
      <c r="L30" s="1020"/>
      <c r="M30" s="1020"/>
      <c r="N30" s="1021"/>
    </row>
    <row r="31" spans="1:14">
      <c r="A31" s="935"/>
      <c r="B31" s="1022"/>
      <c r="C31" s="1022"/>
      <c r="D31" s="1022"/>
      <c r="E31" s="1022"/>
      <c r="F31" s="1022"/>
      <c r="G31" s="1022"/>
      <c r="H31" s="1022"/>
      <c r="I31" s="1022"/>
      <c r="J31" s="1022"/>
      <c r="K31" s="1022"/>
      <c r="L31" s="1022"/>
      <c r="M31" s="1022"/>
      <c r="N31" s="1023"/>
    </row>
    <row r="32" spans="1:14" ht="60.6">
      <c r="A32" s="935"/>
      <c r="B32" s="1903" t="s">
        <v>343</v>
      </c>
      <c r="C32" s="1903"/>
      <c r="D32" s="1903"/>
      <c r="E32" s="1903"/>
      <c r="F32" s="1903"/>
      <c r="G32" s="1903"/>
      <c r="H32" s="1903"/>
      <c r="I32" s="1903"/>
      <c r="J32" s="1903"/>
      <c r="K32" s="1903"/>
      <c r="L32" s="1903"/>
      <c r="M32" s="1903"/>
      <c r="N32" s="1023"/>
    </row>
    <row r="33" spans="1:14" ht="60.6">
      <c r="A33" s="935"/>
      <c r="B33" s="1903" t="s">
        <v>344</v>
      </c>
      <c r="C33" s="1903"/>
      <c r="D33" s="1903"/>
      <c r="E33" s="1903"/>
      <c r="F33" s="1903"/>
      <c r="G33" s="1903"/>
      <c r="H33" s="1903"/>
      <c r="I33" s="1903"/>
      <c r="J33" s="1903"/>
      <c r="K33" s="1903"/>
      <c r="L33" s="1903"/>
      <c r="M33" s="1903"/>
      <c r="N33" s="1023"/>
    </row>
    <row r="34" spans="1:14">
      <c r="A34" s="935"/>
      <c r="B34" s="1904" t="s">
        <v>345</v>
      </c>
      <c r="C34" s="1904"/>
      <c r="D34" s="1904"/>
      <c r="E34" s="1904"/>
      <c r="F34" s="1904"/>
      <c r="G34" s="1904"/>
      <c r="H34" s="1904"/>
      <c r="I34" s="1904"/>
      <c r="J34" s="1904"/>
      <c r="K34" s="1904"/>
      <c r="L34" s="1904"/>
      <c r="M34" s="1904"/>
      <c r="N34" s="1023"/>
    </row>
    <row r="35" spans="1:14">
      <c r="A35" s="935"/>
      <c r="B35" s="1022"/>
      <c r="C35" s="1022"/>
      <c r="D35" s="1022"/>
      <c r="E35" s="1022"/>
      <c r="F35" s="1022"/>
      <c r="G35" s="1022"/>
      <c r="H35" s="1022"/>
      <c r="I35" s="1022"/>
      <c r="J35" s="1022"/>
      <c r="K35" s="1022"/>
      <c r="L35" s="1022"/>
      <c r="M35" s="1022"/>
      <c r="N35" s="1023"/>
    </row>
    <row r="36" spans="1:14">
      <c r="A36" s="935"/>
      <c r="B36" s="1022"/>
      <c r="C36" s="1022"/>
      <c r="D36" s="1022"/>
      <c r="E36" s="1022"/>
      <c r="F36" s="1022"/>
      <c r="G36" s="1022"/>
      <c r="H36" s="1022"/>
      <c r="I36" s="1022"/>
      <c r="J36" s="1022"/>
      <c r="K36" s="1022"/>
      <c r="L36" s="1022"/>
      <c r="M36" s="1022"/>
      <c r="N36" s="1023"/>
    </row>
    <row r="37" spans="1:14">
      <c r="A37" s="613"/>
      <c r="B37" s="500"/>
      <c r="C37" s="500"/>
      <c r="D37" s="500"/>
      <c r="E37" s="500"/>
      <c r="F37" s="500"/>
      <c r="G37" s="500"/>
      <c r="H37" s="500"/>
      <c r="I37" s="500"/>
      <c r="J37" s="500"/>
      <c r="K37" s="500"/>
      <c r="L37" s="500"/>
      <c r="M37" s="500"/>
      <c r="N37" s="1013"/>
    </row>
    <row r="38" spans="1:14">
      <c r="A38" s="613"/>
      <c r="B38" s="1033"/>
      <c r="C38" s="1029" t="s">
        <v>1197</v>
      </c>
      <c r="D38" s="1030"/>
      <c r="E38" s="1030"/>
      <c r="F38" s="1030"/>
      <c r="G38" s="500"/>
      <c r="H38" s="500"/>
      <c r="I38" s="500"/>
      <c r="J38" s="500"/>
      <c r="K38" s="500"/>
      <c r="L38" s="1014"/>
      <c r="M38" s="1014"/>
      <c r="N38" s="1016"/>
    </row>
    <row r="39" spans="1:14">
      <c r="A39" s="613"/>
      <c r="B39" s="1014"/>
      <c r="C39" s="1015"/>
      <c r="D39" s="500"/>
      <c r="E39" s="500"/>
      <c r="F39" s="500"/>
      <c r="G39" s="500"/>
      <c r="H39" s="500"/>
      <c r="I39" s="500"/>
      <c r="J39" s="500"/>
      <c r="K39" s="500"/>
      <c r="L39" s="1014"/>
      <c r="M39" s="1014"/>
      <c r="N39" s="1016"/>
    </row>
    <row r="40" spans="1:14">
      <c r="A40" s="613"/>
      <c r="B40" s="1014"/>
      <c r="C40" s="500" t="s">
        <v>1185</v>
      </c>
      <c r="D40" s="500"/>
      <c r="E40" s="500"/>
      <c r="F40" s="1051" t="s">
        <v>1263</v>
      </c>
      <c r="G40" s="500"/>
      <c r="H40" s="500"/>
      <c r="I40" s="500"/>
      <c r="J40" s="500"/>
      <c r="K40" s="500"/>
      <c r="L40" s="500"/>
      <c r="M40" s="500"/>
      <c r="N40" s="1013"/>
    </row>
    <row r="41" spans="1:14">
      <c r="A41" s="613"/>
      <c r="B41" s="1014"/>
      <c r="C41" s="500" t="s">
        <v>1186</v>
      </c>
      <c r="D41" s="500"/>
      <c r="E41" s="500"/>
      <c r="F41" s="1051" t="s">
        <v>1263</v>
      </c>
      <c r="G41" s="500"/>
      <c r="H41" s="500"/>
      <c r="I41" s="500"/>
      <c r="J41" s="500"/>
      <c r="K41" s="500"/>
      <c r="L41" s="500"/>
      <c r="M41" s="500"/>
      <c r="N41" s="1013"/>
    </row>
    <row r="42" spans="1:14">
      <c r="A42" s="613"/>
      <c r="B42" s="1014"/>
      <c r="C42" s="500" t="s">
        <v>1188</v>
      </c>
      <c r="D42" s="500"/>
      <c r="E42" s="500"/>
      <c r="F42" s="1051" t="s">
        <v>1263</v>
      </c>
      <c r="G42" s="500"/>
      <c r="H42" s="500"/>
      <c r="I42" s="500"/>
      <c r="J42" s="500"/>
      <c r="K42" s="500"/>
      <c r="L42" s="500"/>
      <c r="M42" s="500"/>
      <c r="N42" s="1013"/>
    </row>
    <row r="43" spans="1:14">
      <c r="A43" s="613"/>
      <c r="B43" s="1014"/>
      <c r="C43" s="500" t="s">
        <v>1190</v>
      </c>
      <c r="D43" s="500"/>
      <c r="E43" s="500"/>
      <c r="F43" s="1051" t="s">
        <v>1263</v>
      </c>
      <c r="G43" s="500"/>
      <c r="H43" s="500"/>
      <c r="I43" s="500"/>
      <c r="J43" s="500"/>
      <c r="K43" s="500"/>
      <c r="L43" s="500"/>
      <c r="M43" s="500"/>
      <c r="N43" s="1013"/>
    </row>
    <row r="44" spans="1:14">
      <c r="A44" s="613"/>
      <c r="B44" s="1014"/>
      <c r="C44" s="500"/>
      <c r="D44" s="500"/>
      <c r="E44" s="500"/>
      <c r="F44" s="500"/>
      <c r="G44" s="500"/>
      <c r="H44" s="500"/>
      <c r="I44" s="500"/>
      <c r="J44" s="500"/>
      <c r="K44" s="500"/>
      <c r="L44" s="500"/>
      <c r="M44" s="500"/>
      <c r="N44" s="1013"/>
    </row>
    <row r="45" spans="1:14">
      <c r="A45" s="333"/>
      <c r="B45" s="1014"/>
      <c r="C45" s="500"/>
      <c r="D45" s="500"/>
      <c r="E45" s="500"/>
      <c r="F45" s="500"/>
      <c r="G45" s="500"/>
      <c r="H45" s="500"/>
      <c r="I45" s="500"/>
      <c r="J45" s="500"/>
      <c r="K45" s="500"/>
      <c r="L45" s="500"/>
      <c r="M45" s="500"/>
      <c r="N45" s="1013"/>
    </row>
    <row r="46" spans="1:14">
      <c r="A46" s="685"/>
      <c r="B46" s="1033"/>
      <c r="C46" s="1029" t="s">
        <v>1198</v>
      </c>
      <c r="D46" s="1032"/>
      <c r="E46" s="1032"/>
      <c r="F46" s="1032"/>
      <c r="G46" s="1033"/>
      <c r="H46" s="1033"/>
      <c r="I46" s="1014"/>
      <c r="J46" s="1014"/>
      <c r="K46" s="1014"/>
      <c r="L46" s="500"/>
      <c r="M46" s="500"/>
      <c r="N46" s="1013"/>
    </row>
    <row r="47" spans="1:14">
      <c r="A47" s="685"/>
      <c r="B47" s="1033"/>
      <c r="C47" s="1029"/>
      <c r="D47" s="1032"/>
      <c r="E47" s="1032"/>
      <c r="F47" s="1032"/>
      <c r="G47" s="1033"/>
      <c r="H47" s="1033"/>
      <c r="I47" s="1014"/>
      <c r="J47" s="1014"/>
      <c r="K47" s="1014"/>
      <c r="L47" s="500"/>
      <c r="M47" s="500"/>
      <c r="N47" s="1013"/>
    </row>
    <row r="48" spans="1:14">
      <c r="A48" s="333"/>
      <c r="B48" s="1014"/>
      <c r="C48" s="500"/>
      <c r="D48" s="500"/>
      <c r="E48" s="500"/>
      <c r="F48" s="500"/>
      <c r="G48" s="500"/>
      <c r="H48" s="500"/>
      <c r="I48" s="500"/>
      <c r="J48" s="500"/>
      <c r="K48" s="500"/>
      <c r="L48" s="500"/>
      <c r="M48" s="500"/>
      <c r="N48" s="1013"/>
    </row>
    <row r="49" spans="1:14">
      <c r="A49" s="333"/>
      <c r="B49" s="1014"/>
      <c r="C49" s="500"/>
      <c r="D49" s="500"/>
      <c r="E49" s="500"/>
      <c r="F49" s="500"/>
      <c r="G49" s="500"/>
      <c r="H49" s="500"/>
      <c r="I49" s="500"/>
      <c r="J49" s="500"/>
      <c r="K49" s="500"/>
      <c r="L49" s="500"/>
      <c r="M49" s="500"/>
      <c r="N49" s="1013"/>
    </row>
    <row r="50" spans="1:14">
      <c r="A50" s="333"/>
      <c r="B50" s="1014"/>
      <c r="C50" s="500"/>
      <c r="D50" s="500"/>
      <c r="E50" s="500"/>
      <c r="F50" s="500"/>
      <c r="G50" s="500"/>
      <c r="H50" s="500"/>
      <c r="I50" s="500"/>
      <c r="J50" s="500"/>
      <c r="K50" s="500"/>
      <c r="L50" s="500"/>
      <c r="M50" s="500"/>
      <c r="N50" s="1013"/>
    </row>
    <row r="51" spans="1:14">
      <c r="A51" s="333"/>
      <c r="B51" s="1014"/>
      <c r="C51" s="500"/>
      <c r="D51" s="500"/>
      <c r="E51" s="500"/>
      <c r="F51" s="500"/>
      <c r="G51" s="500"/>
      <c r="H51" s="500"/>
      <c r="I51" s="500"/>
      <c r="J51" s="500"/>
      <c r="K51" s="500"/>
      <c r="L51" s="500"/>
      <c r="M51" s="500"/>
      <c r="N51" s="1013"/>
    </row>
    <row r="52" spans="1:14">
      <c r="A52" s="333"/>
      <c r="B52" s="1014"/>
      <c r="C52" s="500"/>
      <c r="D52" s="500"/>
      <c r="E52" s="500"/>
      <c r="F52" s="500"/>
      <c r="G52" s="500"/>
      <c r="H52" s="500"/>
      <c r="I52" s="500"/>
      <c r="J52" s="500"/>
      <c r="K52" s="500"/>
      <c r="L52" s="500"/>
      <c r="M52" s="500"/>
      <c r="N52" s="1013"/>
    </row>
    <row r="53" spans="1:14">
      <c r="A53" s="333"/>
      <c r="B53" s="1014"/>
      <c r="C53" s="500"/>
      <c r="D53" s="500"/>
      <c r="E53" s="500"/>
      <c r="F53" s="500"/>
      <c r="G53" s="500"/>
      <c r="H53" s="500"/>
      <c r="I53" s="500"/>
      <c r="J53" s="500"/>
      <c r="K53" s="500"/>
      <c r="L53" s="500"/>
      <c r="M53" s="500"/>
      <c r="N53" s="1013"/>
    </row>
    <row r="54" spans="1:14">
      <c r="A54" s="613"/>
      <c r="B54" s="1014"/>
      <c r="C54" s="500"/>
      <c r="D54" s="500"/>
      <c r="E54" s="500"/>
      <c r="F54" s="500"/>
      <c r="G54" s="500"/>
      <c r="H54" s="500"/>
      <c r="I54" s="500"/>
      <c r="J54" s="500"/>
      <c r="K54" s="500"/>
      <c r="L54" s="500"/>
      <c r="M54" s="500"/>
      <c r="N54" s="1013"/>
    </row>
    <row r="55" spans="1:14">
      <c r="A55" s="613"/>
      <c r="B55" s="1033"/>
      <c r="C55" s="1034" t="s">
        <v>1200</v>
      </c>
      <c r="D55" s="1034"/>
      <c r="E55" s="1034"/>
      <c r="F55" s="1034"/>
      <c r="G55" s="500"/>
      <c r="H55" s="500"/>
      <c r="I55" s="500"/>
      <c r="J55" s="500"/>
      <c r="K55" s="500"/>
      <c r="L55" s="500"/>
      <c r="M55" s="500"/>
      <c r="N55" s="1013"/>
    </row>
    <row r="56" spans="1:14">
      <c r="A56" s="613"/>
      <c r="B56" s="1014"/>
      <c r="C56" s="1019"/>
      <c r="D56" s="1019"/>
      <c r="E56" s="1019"/>
      <c r="F56" s="1019"/>
      <c r="G56" s="500"/>
      <c r="H56" s="500"/>
      <c r="I56" s="500"/>
      <c r="J56" s="500"/>
      <c r="K56" s="500"/>
      <c r="L56" s="500"/>
      <c r="M56" s="500"/>
      <c r="N56" s="1013"/>
    </row>
    <row r="57" spans="1:14">
      <c r="A57" s="613"/>
      <c r="B57" s="1014"/>
      <c r="C57" s="500"/>
      <c r="D57" s="1018" t="s">
        <v>346</v>
      </c>
      <c r="E57" s="1018"/>
      <c r="F57" s="1018"/>
      <c r="G57" s="1018" t="s">
        <v>348</v>
      </c>
      <c r="H57" s="500"/>
      <c r="I57" s="500"/>
      <c r="J57" s="500"/>
      <c r="K57" s="500"/>
      <c r="L57" s="500"/>
      <c r="M57" s="500"/>
      <c r="N57" s="1013"/>
    </row>
    <row r="58" spans="1:14">
      <c r="A58" s="613"/>
      <c r="B58" s="1014"/>
      <c r="C58" s="500"/>
      <c r="D58" s="1018" t="s">
        <v>347</v>
      </c>
      <c r="E58" s="1018"/>
      <c r="F58" s="1018"/>
      <c r="G58" s="1014"/>
      <c r="H58" s="500"/>
      <c r="I58" s="500"/>
      <c r="J58" s="500"/>
      <c r="K58" s="500"/>
      <c r="L58" s="500"/>
      <c r="M58" s="500"/>
      <c r="N58" s="1013"/>
    </row>
    <row r="59" spans="1:14">
      <c r="A59" s="613"/>
      <c r="B59" s="1014"/>
      <c r="C59" s="500"/>
      <c r="D59" s="1018"/>
      <c r="E59" s="1018"/>
      <c r="F59" s="1018"/>
      <c r="G59" s="1018"/>
      <c r="H59" s="500"/>
      <c r="I59" s="500"/>
      <c r="J59" s="500"/>
      <c r="K59" s="500"/>
      <c r="L59" s="500"/>
      <c r="M59" s="500"/>
      <c r="N59" s="1013"/>
    </row>
    <row r="60" spans="1:14" ht="15" thickBot="1">
      <c r="A60" s="603"/>
      <c r="B60" s="1024"/>
      <c r="C60" s="1024"/>
      <c r="D60" s="1024"/>
      <c r="E60" s="1024"/>
      <c r="F60" s="1024"/>
      <c r="G60" s="1024"/>
      <c r="H60" s="1024"/>
      <c r="I60" s="1024"/>
      <c r="J60" s="1024"/>
      <c r="K60" s="1024"/>
      <c r="L60" s="1024"/>
      <c r="M60" s="1024"/>
      <c r="N60" s="1025"/>
    </row>
    <row r="61" spans="1:14">
      <c r="B61" s="1026"/>
      <c r="C61" s="1026"/>
      <c r="D61" s="1026"/>
      <c r="E61" s="1026"/>
      <c r="F61" s="1026"/>
      <c r="G61" s="1026"/>
      <c r="H61" s="1026"/>
      <c r="I61" s="1026"/>
      <c r="J61" s="1026"/>
      <c r="K61" s="1026"/>
      <c r="L61" s="1026"/>
      <c r="M61" s="1026"/>
      <c r="N61" s="1027"/>
    </row>
    <row r="62" spans="1:14">
      <c r="B62" s="1026"/>
      <c r="C62" s="1026"/>
      <c r="D62" s="1026"/>
      <c r="E62" s="1026"/>
      <c r="F62" s="1026"/>
      <c r="G62" s="1026"/>
      <c r="H62" s="1026"/>
      <c r="I62" s="1026"/>
      <c r="J62" s="1026"/>
      <c r="K62" s="1026"/>
      <c r="L62" s="1026"/>
      <c r="M62" s="1026"/>
      <c r="N62" s="1028"/>
    </row>
  </sheetData>
  <sheetProtection algorithmName="SHA-512" hashValue="RbpH+TpTYjpAFHaN0jyWNTYVmWW7CnLNBg2ACHTg7lpauS97gvT7vnhbzwqCj08MUVKEXehc/aWq9LVq83Z6QA==" saltValue="VlAJctQk2OEW8QGU42sVuw==" spinCount="100000" sheet="1" objects="1" scenarios="1"/>
  <mergeCells count="6">
    <mergeCell ref="B32:M32"/>
    <mergeCell ref="B33:M33"/>
    <mergeCell ref="B34:M34"/>
    <mergeCell ref="B2:M2"/>
    <mergeCell ref="B3:M3"/>
    <mergeCell ref="B4:M4"/>
  </mergeCells>
  <hyperlinks>
    <hyperlink ref="D57" r:id="rId1" xr:uid="{00000000-0004-0000-0000-000000000000}"/>
    <hyperlink ref="D58" r:id="rId2" xr:uid="{00000000-0004-0000-0000-000001000000}"/>
    <hyperlink ref="G57" r:id="rId3" xr:uid="{00000000-0004-0000-0000-000002000000}"/>
    <hyperlink ref="G27" r:id="rId4" xr:uid="{00000000-0004-0000-0000-000003000000}"/>
    <hyperlink ref="D27" r:id="rId5" xr:uid="{00000000-0004-0000-0000-000004000000}"/>
    <hyperlink ref="D28" r:id="rId6" xr:uid="{00000000-0004-0000-0000-000005000000}"/>
    <hyperlink ref="G10" r:id="rId7" xr:uid="{00000000-0004-0000-0000-000006000000}"/>
    <hyperlink ref="G12" r:id="rId8" xr:uid="{00000000-0004-0000-0000-000007000000}"/>
    <hyperlink ref="G13" r:id="rId9" xr:uid="{00000000-0004-0000-0000-000008000000}"/>
    <hyperlink ref="F40" r:id="rId10" xr:uid="{00000000-0004-0000-0000-000009000000}"/>
    <hyperlink ref="F41" r:id="rId11" xr:uid="{00000000-0004-0000-0000-00000A000000}"/>
    <hyperlink ref="F42" r:id="rId12" xr:uid="{00000000-0004-0000-0000-00000B000000}"/>
    <hyperlink ref="F43" r:id="rId13" xr:uid="{00000000-0004-0000-0000-00000C000000}"/>
    <hyperlink ref="G11" r:id="rId14" xr:uid="{00000000-0004-0000-0000-00000D000000}"/>
  </hyperlinks>
  <pageMargins left="0.7" right="0.7" top="0.75" bottom="0.75" header="0.3" footer="0.3"/>
  <pageSetup paperSize="9" orientation="portrait" r:id="rId15"/>
  <headerFooter>
    <oddFooter>&amp;C_x000D_&amp;1#&amp;"Helvetica 75 Bold"&amp;8&amp;KED7D31 Orange Restricted</oddFooter>
  </headerFooter>
  <customProperties>
    <customPr name="Guid" r:id="rId16"/>
  </customProperties>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41"/>
  <sheetViews>
    <sheetView topLeftCell="J1" workbookViewId="0">
      <selection activeCell="I1" sqref="A1:I1048576"/>
    </sheetView>
  </sheetViews>
  <sheetFormatPr baseColWidth="10" defaultColWidth="9.21875" defaultRowHeight="14.4"/>
  <cols>
    <col min="1" max="1" width="22.21875" style="1185" hidden="1" customWidth="1"/>
    <col min="2" max="2" width="19.77734375" style="1185" hidden="1" customWidth="1"/>
    <col min="3" max="3" width="42.77734375" style="1185" hidden="1" customWidth="1"/>
    <col min="4" max="4" width="18.44140625" style="1185" hidden="1" customWidth="1"/>
    <col min="5" max="5" width="10.77734375" style="1185" hidden="1" customWidth="1"/>
    <col min="6" max="6" width="9.77734375" style="1185" hidden="1" customWidth="1"/>
    <col min="7" max="7" width="14.21875" style="1185" hidden="1" customWidth="1"/>
    <col min="8" max="8" width="16.77734375" style="1185" hidden="1" customWidth="1"/>
    <col min="9" max="9" width="9.21875" style="1185" hidden="1" customWidth="1"/>
    <col min="10" max="11" width="9.21875" style="1185" customWidth="1"/>
    <col min="12" max="16384" width="9.21875" style="1185"/>
  </cols>
  <sheetData>
    <row r="1" spans="1:8" ht="30.6" customHeight="1">
      <c r="A1" s="1338" t="s">
        <v>1785</v>
      </c>
      <c r="B1" s="1338" t="s">
        <v>1723</v>
      </c>
      <c r="C1" s="1338" t="s">
        <v>1773</v>
      </c>
      <c r="D1" s="1338" t="s">
        <v>1784</v>
      </c>
      <c r="E1" s="1338" t="s">
        <v>1783</v>
      </c>
      <c r="F1" s="1337" t="s">
        <v>1782</v>
      </c>
      <c r="G1" s="1337" t="s">
        <v>1772</v>
      </c>
      <c r="H1" s="1337" t="s">
        <v>1781</v>
      </c>
    </row>
    <row r="2" spans="1:8" ht="26.4">
      <c r="A2" s="1331" t="s">
        <v>1719</v>
      </c>
      <c r="B2" s="1336" t="s">
        <v>1780</v>
      </c>
      <c r="C2" s="1336" t="s">
        <v>1779</v>
      </c>
      <c r="D2" s="1335" t="s">
        <v>1778</v>
      </c>
      <c r="E2" s="1330">
        <v>264</v>
      </c>
      <c r="F2" s="1330">
        <v>516</v>
      </c>
      <c r="G2" s="1328">
        <v>17091</v>
      </c>
      <c r="H2" s="1328"/>
    </row>
    <row r="3" spans="1:8" ht="26.4">
      <c r="A3" s="1331" t="s">
        <v>1718</v>
      </c>
      <c r="B3" s="1336" t="s">
        <v>1777</v>
      </c>
      <c r="C3" s="1331" t="s">
        <v>1776</v>
      </c>
      <c r="D3" s="1335" t="s">
        <v>1775</v>
      </c>
      <c r="E3" s="1330">
        <v>74</v>
      </c>
      <c r="F3" s="1330">
        <v>332</v>
      </c>
      <c r="G3" s="1328">
        <v>12489</v>
      </c>
      <c r="H3" s="1328"/>
    </row>
    <row r="4" spans="1:8">
      <c r="A4" s="1331"/>
      <c r="B4" s="1331"/>
      <c r="C4" s="1331"/>
      <c r="D4" s="1331"/>
      <c r="E4" s="1292"/>
      <c r="F4" s="1292"/>
      <c r="G4" s="1334"/>
      <c r="H4" s="1334"/>
    </row>
    <row r="5" spans="1:8">
      <c r="A5" s="1331"/>
      <c r="B5" s="1331"/>
      <c r="C5" s="1331"/>
      <c r="D5" s="1331"/>
      <c r="E5" s="1292"/>
      <c r="F5" s="1292"/>
      <c r="G5" s="1334"/>
      <c r="H5" s="1334"/>
    </row>
    <row r="6" spans="1:8">
      <c r="A6" s="1331"/>
      <c r="B6" s="1331"/>
      <c r="C6" s="1331"/>
      <c r="D6" s="1331"/>
      <c r="E6" s="1292"/>
      <c r="F6" s="1292"/>
      <c r="G6" s="1334"/>
      <c r="H6" s="1334"/>
    </row>
    <row r="7" spans="1:8">
      <c r="A7" s="1331"/>
      <c r="B7" s="1331"/>
      <c r="C7" s="1331"/>
      <c r="D7" s="1331"/>
      <c r="E7" s="1292"/>
      <c r="F7" s="1292"/>
      <c r="G7" s="1334"/>
      <c r="H7" s="1334"/>
    </row>
    <row r="8" spans="1:8">
      <c r="A8" s="1331"/>
      <c r="B8" s="1331"/>
      <c r="C8" s="1331"/>
      <c r="D8" s="1331"/>
      <c r="E8" s="1292"/>
      <c r="F8" s="1292"/>
      <c r="G8" s="1334"/>
      <c r="H8" s="1334"/>
    </row>
    <row r="9" spans="1:8">
      <c r="A9" s="1298" t="s">
        <v>1774</v>
      </c>
      <c r="B9" s="2230" t="s">
        <v>1773</v>
      </c>
      <c r="C9" s="2231"/>
      <c r="D9" s="1298" t="s">
        <v>1772</v>
      </c>
      <c r="E9" s="2232" t="s">
        <v>1771</v>
      </c>
      <c r="F9" s="2232"/>
      <c r="G9" s="1294"/>
      <c r="H9" s="1294"/>
    </row>
    <row r="10" spans="1:8" ht="14.25" customHeight="1">
      <c r="A10" s="1333" t="s">
        <v>1713</v>
      </c>
      <c r="B10" s="2233" t="s">
        <v>1770</v>
      </c>
      <c r="C10" s="2234"/>
      <c r="D10" s="1332">
        <v>7580</v>
      </c>
      <c r="E10" s="2235"/>
      <c r="F10" s="2235"/>
      <c r="G10" s="1294"/>
      <c r="H10" s="1294"/>
    </row>
    <row r="11" spans="1:8" ht="18" customHeight="1">
      <c r="A11" s="1331" t="s">
        <v>1769</v>
      </c>
      <c r="B11" s="2236" t="s">
        <v>1768</v>
      </c>
      <c r="C11" s="2236"/>
      <c r="D11" s="1328">
        <v>17980</v>
      </c>
      <c r="E11" s="2237"/>
      <c r="F11" s="2237"/>
      <c r="G11" s="1294"/>
      <c r="H11" s="1294"/>
    </row>
    <row r="12" spans="1:8">
      <c r="A12" s="1331" t="s">
        <v>1712</v>
      </c>
      <c r="B12" s="2238" t="s">
        <v>1767</v>
      </c>
      <c r="C12" s="2238"/>
      <c r="D12" s="1328">
        <v>10346</v>
      </c>
      <c r="E12" s="2237"/>
      <c r="F12" s="2237"/>
      <c r="G12" s="1294"/>
      <c r="H12" s="1294"/>
    </row>
    <row r="13" spans="1:8">
      <c r="A13" s="1331" t="s">
        <v>1766</v>
      </c>
      <c r="B13" s="2238" t="s">
        <v>1765</v>
      </c>
      <c r="C13" s="2238"/>
      <c r="D13" s="1328">
        <v>40430</v>
      </c>
      <c r="E13" s="2237"/>
      <c r="F13" s="2237"/>
      <c r="G13" s="1294"/>
      <c r="H13" s="1294"/>
    </row>
    <row r="14" spans="1:8">
      <c r="A14" s="1331" t="s">
        <v>1764</v>
      </c>
      <c r="B14" s="2238" t="s">
        <v>1763</v>
      </c>
      <c r="C14" s="2238"/>
      <c r="D14" s="1328">
        <v>7617</v>
      </c>
      <c r="E14" s="2237"/>
      <c r="F14" s="2237"/>
      <c r="G14" s="1294"/>
      <c r="H14" s="1294"/>
    </row>
    <row r="15" spans="1:8">
      <c r="A15" s="1331" t="s">
        <v>1762</v>
      </c>
      <c r="B15" s="2238"/>
      <c r="C15" s="2238"/>
      <c r="D15" s="1328">
        <v>7315</v>
      </c>
      <c r="E15" s="2237"/>
      <c r="F15" s="2237"/>
      <c r="G15" s="1294"/>
      <c r="H15" s="1294"/>
    </row>
    <row r="16" spans="1:8">
      <c r="A16" s="1305"/>
      <c r="B16" s="1305"/>
      <c r="C16" s="1305"/>
      <c r="D16" s="1305"/>
      <c r="E16" s="1294"/>
      <c r="F16" s="1294"/>
      <c r="G16" s="1294"/>
      <c r="H16" s="1294"/>
    </row>
    <row r="17" spans="1:4" ht="17.850000000000001" customHeight="1">
      <c r="A17" s="1298" t="s">
        <v>1761</v>
      </c>
      <c r="B17" s="1298" t="s">
        <v>1760</v>
      </c>
      <c r="C17" s="1298" t="s">
        <v>1759</v>
      </c>
      <c r="D17" s="1298" t="s">
        <v>1759</v>
      </c>
    </row>
    <row r="18" spans="1:4">
      <c r="A18" s="1331" t="s">
        <v>1732</v>
      </c>
      <c r="B18" s="2236" t="s">
        <v>1758</v>
      </c>
      <c r="C18" s="2236"/>
      <c r="D18" s="2239">
        <v>200000</v>
      </c>
    </row>
    <row r="19" spans="1:4">
      <c r="A19" s="1331" t="s">
        <v>1699</v>
      </c>
      <c r="B19" s="2238" t="s">
        <v>1757</v>
      </c>
      <c r="C19" s="2238"/>
      <c r="D19" s="2240"/>
    </row>
    <row r="20" spans="1:4">
      <c r="A20" s="1331" t="s">
        <v>1731</v>
      </c>
      <c r="B20" s="2238" t="s">
        <v>1755</v>
      </c>
      <c r="C20" s="2238"/>
      <c r="D20" s="2240"/>
    </row>
    <row r="21" spans="1:4">
      <c r="A21" s="1331" t="s">
        <v>1730</v>
      </c>
      <c r="B21" s="2238" t="s">
        <v>1755</v>
      </c>
      <c r="C21" s="2238"/>
      <c r="D21" s="2240"/>
    </row>
    <row r="22" spans="1:4">
      <c r="A22" s="1331" t="s">
        <v>1729</v>
      </c>
      <c r="B22" s="2238" t="s">
        <v>1753</v>
      </c>
      <c r="C22" s="2238"/>
      <c r="D22" s="2240"/>
    </row>
    <row r="23" spans="1:4">
      <c r="A23" s="1331" t="s">
        <v>1728</v>
      </c>
      <c r="B23" s="2238" t="s">
        <v>1756</v>
      </c>
      <c r="C23" s="2238"/>
      <c r="D23" s="2240"/>
    </row>
    <row r="24" spans="1:4">
      <c r="A24" s="1331" t="s">
        <v>1727</v>
      </c>
      <c r="B24" s="2238" t="s">
        <v>1755</v>
      </c>
      <c r="C24" s="2238"/>
      <c r="D24" s="2240"/>
    </row>
    <row r="25" spans="1:4">
      <c r="A25" s="1331" t="s">
        <v>1726</v>
      </c>
      <c r="B25" s="2238" t="s">
        <v>1754</v>
      </c>
      <c r="C25" s="2238"/>
      <c r="D25" s="2240"/>
    </row>
    <row r="26" spans="1:4">
      <c r="A26" s="1331" t="s">
        <v>1725</v>
      </c>
      <c r="B26" s="2238"/>
      <c r="C26" s="2238"/>
      <c r="D26" s="2240"/>
    </row>
    <row r="27" spans="1:4">
      <c r="A27" s="1331" t="s">
        <v>1724</v>
      </c>
      <c r="B27" s="2238" t="s">
        <v>1753</v>
      </c>
      <c r="C27" s="2238"/>
      <c r="D27" s="2241"/>
    </row>
    <row r="28" spans="1:4">
      <c r="A28" s="1305"/>
      <c r="B28" s="1305"/>
      <c r="C28" s="1305"/>
      <c r="D28" s="1305"/>
    </row>
    <row r="29" spans="1:4" ht="19.2" customHeight="1">
      <c r="A29" s="1330" t="s">
        <v>1752</v>
      </c>
      <c r="B29" s="1330" t="s">
        <v>1751</v>
      </c>
      <c r="C29" s="1330" t="s">
        <v>1750</v>
      </c>
      <c r="D29" s="1305"/>
    </row>
    <row r="30" spans="1:4">
      <c r="A30" s="1330" t="s">
        <v>1737</v>
      </c>
      <c r="B30" s="1329" t="s">
        <v>1749</v>
      </c>
      <c r="C30" s="1328">
        <v>13747</v>
      </c>
      <c r="D30" s="1305"/>
    </row>
    <row r="31" spans="1:4">
      <c r="A31" s="1305"/>
      <c r="B31" s="1305"/>
      <c r="C31" s="1305"/>
      <c r="D31" s="1305"/>
    </row>
    <row r="32" spans="1:4" ht="15" thickBot="1">
      <c r="A32" s="1305"/>
      <c r="B32" s="1305"/>
      <c r="C32" s="1305"/>
      <c r="D32" s="1305"/>
    </row>
    <row r="33" spans="1:2" ht="15" thickBot="1">
      <c r="A33" s="1327" t="s">
        <v>1748</v>
      </c>
      <c r="B33" s="1326" t="s">
        <v>1747</v>
      </c>
    </row>
    <row r="34" spans="1:2" ht="15" thickBot="1">
      <c r="A34" s="1325" t="s">
        <v>1746</v>
      </c>
      <c r="B34" s="1324">
        <v>2</v>
      </c>
    </row>
    <row r="35" spans="1:2" ht="15" thickBot="1">
      <c r="A35" s="1325" t="s">
        <v>1745</v>
      </c>
      <c r="B35" s="1324">
        <v>3</v>
      </c>
    </row>
    <row r="36" spans="1:2" ht="15" thickBot="1">
      <c r="A36" s="1325" t="s">
        <v>1744</v>
      </c>
      <c r="B36" s="1324">
        <v>5</v>
      </c>
    </row>
    <row r="37" spans="1:2" ht="15" thickBot="1">
      <c r="A37" s="1325" t="s">
        <v>1743</v>
      </c>
      <c r="B37" s="1324">
        <v>6</v>
      </c>
    </row>
    <row r="38" spans="1:2" ht="15" thickBot="1">
      <c r="A38" s="1325" t="s">
        <v>1742</v>
      </c>
      <c r="B38" s="1324">
        <v>8</v>
      </c>
    </row>
    <row r="40" spans="1:2" hidden="1">
      <c r="A40" s="1323" t="s">
        <v>1741</v>
      </c>
      <c r="B40" s="1294">
        <f>1-0.2</f>
        <v>0.8</v>
      </c>
    </row>
    <row r="41" spans="1:2">
      <c r="A41" s="1294"/>
      <c r="B41" s="1294"/>
    </row>
  </sheetData>
  <sheetProtection algorithmName="SHA-512" hashValue="+EGnaXY83obZL1dOgcBdT1RzvIFLHHALHhXn0ZH/rMrb7aE1G2OINKWdPxXAdy1TdYShUIavMXTTUfMXNLMWIw==" saltValue="IsEaglCBtW/Dq6SIWY9fiA==" spinCount="100000" sheet="1" objects="1" scenarios="1"/>
  <mergeCells count="25">
    <mergeCell ref="B15:C15"/>
    <mergeCell ref="E15:F15"/>
    <mergeCell ref="B18:C18"/>
    <mergeCell ref="D18:D27"/>
    <mergeCell ref="B19:C19"/>
    <mergeCell ref="B20:C20"/>
    <mergeCell ref="B21:C21"/>
    <mergeCell ref="B22:C22"/>
    <mergeCell ref="B23:C23"/>
    <mergeCell ref="B24:C24"/>
    <mergeCell ref="B25:C25"/>
    <mergeCell ref="B26:C26"/>
    <mergeCell ref="B27:C27"/>
    <mergeCell ref="B12:C12"/>
    <mergeCell ref="E12:F12"/>
    <mergeCell ref="B13:C13"/>
    <mergeCell ref="E13:F13"/>
    <mergeCell ref="B14:C14"/>
    <mergeCell ref="E14:F14"/>
    <mergeCell ref="B9:C9"/>
    <mergeCell ref="E9:F9"/>
    <mergeCell ref="B10:C10"/>
    <mergeCell ref="E10:F10"/>
    <mergeCell ref="B11:C11"/>
    <mergeCell ref="E11:F11"/>
  </mergeCells>
  <pageMargins left="0.7" right="0.7" top="0.75" bottom="0.75" header="0.3" footer="0.3"/>
  <pageSetup paperSize="9" orientation="portrait" r:id="rId1"/>
  <headerFooter>
    <oddFooter>&amp;C_x000D_&amp;1#&amp;"Helvetica 75 Bold"&amp;8&amp;KED7D31 Orange Restricted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5">
    <tabColor rgb="FF97E4FF"/>
    <pageSetUpPr fitToPage="1"/>
  </sheetPr>
  <dimension ref="A1:BA2808"/>
  <sheetViews>
    <sheetView showGridLines="0" topLeftCell="BB1" zoomScale="56" zoomScaleNormal="70" zoomScalePageLayoutView="80" workbookViewId="0">
      <selection activeCell="BB1" sqref="BB1:BB1048576"/>
    </sheetView>
  </sheetViews>
  <sheetFormatPr baseColWidth="10" defaultColWidth="10.77734375" defaultRowHeight="14.4"/>
  <cols>
    <col min="1" max="1" width="1.77734375" style="39" hidden="1" customWidth="1"/>
    <col min="2" max="2" width="87.77734375" style="4" hidden="1" customWidth="1"/>
    <col min="3" max="3" width="28.109375" style="4" hidden="1" customWidth="1"/>
    <col min="4" max="4" width="24" style="4" hidden="1" customWidth="1"/>
    <col min="5" max="5" width="26.44140625" style="4" hidden="1" customWidth="1"/>
    <col min="6" max="6" width="22.77734375" style="4" hidden="1" customWidth="1"/>
    <col min="7" max="7" width="26.21875" style="4" hidden="1" customWidth="1"/>
    <col min="8" max="8" width="18.5546875" style="4" hidden="1" customWidth="1"/>
    <col min="9" max="9" width="27.44140625" style="4" hidden="1" customWidth="1"/>
    <col min="10" max="10" width="18.5546875" style="4" hidden="1" customWidth="1"/>
    <col min="11" max="11" width="22.21875" style="4" hidden="1" customWidth="1"/>
    <col min="12" max="13" width="20.77734375" style="4" hidden="1" customWidth="1"/>
    <col min="14" max="14" width="16.6640625" style="4" hidden="1" customWidth="1"/>
    <col min="15" max="15" width="18.44140625" style="4" hidden="1" customWidth="1"/>
    <col min="16" max="16" width="16.6640625" style="4" hidden="1" customWidth="1"/>
    <col min="17" max="17" width="19" style="4" hidden="1" customWidth="1"/>
    <col min="18" max="18" width="17.21875" style="4" hidden="1" customWidth="1"/>
    <col min="19" max="19" width="17.6640625" style="4" hidden="1" customWidth="1"/>
    <col min="20" max="20" width="17.109375" style="4" hidden="1" customWidth="1"/>
    <col min="21" max="21" width="16.88671875" style="4" hidden="1" customWidth="1"/>
    <col min="22" max="22" width="13.77734375" style="4" hidden="1" customWidth="1"/>
    <col min="23" max="23" width="18.5546875" style="89" hidden="1" customWidth="1"/>
    <col min="24" max="24" width="20.109375" style="4" hidden="1" customWidth="1"/>
    <col min="25" max="25" width="2.77734375" style="39" hidden="1" customWidth="1"/>
    <col min="26" max="26" width="17.21875" style="39" hidden="1" customWidth="1"/>
    <col min="27" max="27" width="122.77734375" style="39" hidden="1" customWidth="1"/>
    <col min="28" max="30" width="10.77734375" style="33" hidden="1" customWidth="1"/>
    <col min="31" max="31" width="71.44140625" style="33" hidden="1" customWidth="1"/>
    <col min="32" max="37" width="10.77734375" style="33" hidden="1" customWidth="1"/>
    <col min="38" max="40" width="16" style="33" hidden="1" customWidth="1"/>
    <col min="41" max="53" width="10.77734375" style="33" hidden="1" customWidth="1"/>
    <col min="54" max="57" width="10.77734375" style="33" customWidth="1"/>
    <col min="58" max="16384" width="10.77734375" style="33"/>
  </cols>
  <sheetData>
    <row r="1" spans="1:50" ht="15" customHeight="1">
      <c r="AC1" s="4"/>
      <c r="AD1" s="39"/>
      <c r="AE1" s="39"/>
      <c r="AF1" s="39"/>
    </row>
    <row r="2" spans="1:50" ht="15" customHeight="1">
      <c r="A2" s="1977" t="s">
        <v>2903</v>
      </c>
      <c r="B2" s="1978"/>
      <c r="C2" s="1978"/>
      <c r="D2" s="1978"/>
      <c r="E2" s="1978"/>
      <c r="F2" s="1978"/>
      <c r="G2" s="1978"/>
      <c r="H2" s="1978"/>
      <c r="I2" s="1979"/>
      <c r="J2" s="32"/>
      <c r="K2" s="32"/>
      <c r="L2" s="27" t="s">
        <v>1</v>
      </c>
      <c r="M2" s="258">
        <v>45261</v>
      </c>
      <c r="O2" s="34"/>
      <c r="P2" s="34"/>
      <c r="Q2" s="34"/>
      <c r="R2" s="34"/>
      <c r="S2" s="34"/>
      <c r="T2" s="34"/>
      <c r="U2" s="34"/>
      <c r="V2" s="34"/>
      <c r="W2" s="144"/>
      <c r="AC2" s="100"/>
      <c r="AD2" s="32"/>
      <c r="AE2" s="128"/>
      <c r="AF2" s="39"/>
    </row>
    <row r="3" spans="1:50" ht="15" customHeight="1">
      <c r="A3" s="1980"/>
      <c r="B3" s="1981"/>
      <c r="C3" s="1981"/>
      <c r="D3" s="1981"/>
      <c r="E3" s="1981"/>
      <c r="F3" s="1981"/>
      <c r="G3" s="1981"/>
      <c r="H3" s="1981"/>
      <c r="I3" s="1982"/>
      <c r="J3" s="829" t="e">
        <f>(I23-H23)/H23</f>
        <v>#VALUE!</v>
      </c>
      <c r="K3" s="829">
        <f>(L22-H22)/H22</f>
        <v>-0.63505355404089581</v>
      </c>
      <c r="L3" s="27" t="s">
        <v>25</v>
      </c>
      <c r="M3" s="258">
        <v>45291</v>
      </c>
      <c r="O3" s="830">
        <f>(O22-H22)/H22</f>
        <v>6.4128529698149936</v>
      </c>
      <c r="P3" s="830">
        <f>(P22-H22)/H22</f>
        <v>-0.69113924050632913</v>
      </c>
      <c r="Q3" s="827"/>
      <c r="R3" s="827"/>
      <c r="S3" s="830">
        <f>(S22-H22)/H22</f>
        <v>8.0975657254138262</v>
      </c>
      <c r="T3" s="830"/>
      <c r="U3" s="830"/>
      <c r="V3" s="830"/>
      <c r="W3" s="828"/>
      <c r="AC3" s="100"/>
      <c r="AD3" s="32"/>
      <c r="AE3" s="129"/>
      <c r="AF3" s="39"/>
      <c r="AH3" s="1405"/>
      <c r="AI3" s="1405"/>
      <c r="AJ3" s="1405"/>
      <c r="AK3" s="1405"/>
      <c r="AL3" s="1405"/>
      <c r="AM3" s="1405"/>
      <c r="AN3" s="1405"/>
      <c r="AO3" s="1405"/>
      <c r="AP3" s="1405"/>
      <c r="AQ3" s="1405"/>
      <c r="AR3" s="1405"/>
      <c r="AS3" s="1405"/>
      <c r="AT3" s="1405"/>
      <c r="AU3" s="1405"/>
      <c r="AV3" s="1405"/>
      <c r="AW3" s="1405"/>
      <c r="AX3" s="1405"/>
    </row>
    <row r="4" spans="1:50" ht="15" thickBot="1">
      <c r="B4" s="33"/>
      <c r="C4" s="33"/>
      <c r="D4" s="33"/>
      <c r="E4" s="33"/>
      <c r="F4" s="39"/>
      <c r="G4" s="33"/>
      <c r="H4" s="34"/>
      <c r="I4" s="34"/>
      <c r="J4" s="34"/>
      <c r="K4" s="34"/>
      <c r="N4" s="27"/>
      <c r="O4" s="34"/>
      <c r="P4" s="34"/>
      <c r="Q4" s="34"/>
      <c r="R4" s="34"/>
      <c r="S4" s="34"/>
      <c r="T4" s="34"/>
      <c r="U4" s="34"/>
      <c r="V4" s="34"/>
      <c r="W4" s="90"/>
      <c r="AC4" s="4"/>
      <c r="AD4" s="39"/>
      <c r="AE4" s="34"/>
      <c r="AF4" s="39"/>
      <c r="AH4" s="1405"/>
      <c r="AI4" s="1405"/>
      <c r="AJ4" s="1405"/>
      <c r="AK4" s="1405"/>
      <c r="AL4" s="1405"/>
      <c r="AM4" s="1405"/>
      <c r="AN4" s="1405"/>
      <c r="AO4" s="1405"/>
      <c r="AP4" s="1405"/>
      <c r="AQ4" s="1405"/>
      <c r="AR4" s="1405"/>
      <c r="AS4" s="1405"/>
      <c r="AT4" s="1405"/>
      <c r="AU4" s="1405"/>
      <c r="AV4" s="1405"/>
      <c r="AW4" s="1405"/>
      <c r="AX4" s="1405"/>
    </row>
    <row r="5" spans="1:50" s="122" customFormat="1" ht="18.600000000000001" thickBot="1">
      <c r="A5" s="142"/>
      <c r="B5" s="133" t="s">
        <v>38</v>
      </c>
      <c r="C5" s="119"/>
      <c r="D5" s="119"/>
      <c r="E5" s="119"/>
      <c r="F5" s="119"/>
      <c r="G5" s="119"/>
      <c r="H5" s="119"/>
      <c r="I5" s="119"/>
      <c r="J5" s="119"/>
      <c r="K5" s="119"/>
      <c r="L5" s="119"/>
      <c r="M5" s="119"/>
      <c r="N5" s="119"/>
      <c r="O5" s="119"/>
      <c r="P5" s="119"/>
      <c r="Q5" s="119"/>
      <c r="R5" s="119"/>
      <c r="S5" s="119"/>
      <c r="T5" s="119"/>
      <c r="U5" s="119"/>
      <c r="V5" s="119"/>
      <c r="W5" s="119"/>
      <c r="X5" s="120"/>
      <c r="Z5" s="131"/>
      <c r="AA5" s="133" t="s">
        <v>33</v>
      </c>
      <c r="AB5" s="123"/>
      <c r="AC5" s="121"/>
      <c r="AH5" s="1405"/>
      <c r="AI5" s="1405"/>
      <c r="AJ5" s="1405"/>
      <c r="AK5" s="1405"/>
      <c r="AL5" s="1405"/>
      <c r="AM5" s="1405"/>
      <c r="AN5" s="1405"/>
      <c r="AO5" s="1405"/>
      <c r="AP5" s="1405"/>
      <c r="AQ5" s="1405"/>
      <c r="AR5" s="1405"/>
      <c r="AS5" s="1405"/>
      <c r="AT5" s="1405"/>
      <c r="AU5" s="1405"/>
      <c r="AV5" s="1405"/>
      <c r="AW5" s="1405"/>
      <c r="AX5" s="1405"/>
    </row>
    <row r="6" spans="1:50">
      <c r="A6" s="53"/>
      <c r="B6" s="5"/>
      <c r="C6" s="5"/>
      <c r="D6" s="5"/>
      <c r="E6" s="5"/>
      <c r="F6" s="535"/>
      <c r="G6" s="536"/>
      <c r="H6" s="547" t="s">
        <v>552</v>
      </c>
      <c r="I6" s="5"/>
      <c r="J6" s="5"/>
      <c r="K6" s="5"/>
      <c r="L6" s="5"/>
      <c r="M6" s="5"/>
      <c r="N6" s="5"/>
      <c r="O6" s="555"/>
      <c r="P6" s="555"/>
      <c r="Q6" s="547"/>
      <c r="R6" s="547"/>
      <c r="S6" s="547"/>
      <c r="T6" s="555"/>
      <c r="U6" s="555"/>
      <c r="V6" s="555"/>
      <c r="W6" s="2067" t="s">
        <v>2493</v>
      </c>
      <c r="X6" s="2068"/>
      <c r="Z6" s="40"/>
      <c r="AA6" s="5"/>
      <c r="AB6" s="9"/>
      <c r="AC6" s="4"/>
      <c r="AH6" s="1405"/>
      <c r="AI6" s="1405"/>
      <c r="AJ6" s="1405"/>
      <c r="AK6" s="1405"/>
      <c r="AL6" s="1405"/>
      <c r="AM6" s="1405"/>
      <c r="AN6" s="1405"/>
      <c r="AO6" s="1405"/>
      <c r="AP6" s="1405"/>
      <c r="AQ6" s="1405"/>
      <c r="AR6" s="1405"/>
      <c r="AS6" s="1405"/>
      <c r="AT6" s="1405"/>
      <c r="AU6" s="1405"/>
      <c r="AV6" s="1405"/>
      <c r="AW6" s="1405"/>
      <c r="AX6" s="1405"/>
    </row>
    <row r="7" spans="1:50">
      <c r="A7" s="53"/>
      <c r="B7" s="1464" t="s">
        <v>821</v>
      </c>
      <c r="C7" s="682" t="s">
        <v>251</v>
      </c>
      <c r="D7" s="1405"/>
      <c r="E7" s="1405"/>
      <c r="F7" s="1405"/>
      <c r="G7" s="1465"/>
      <c r="H7" s="1405"/>
      <c r="I7" s="682" t="s">
        <v>248</v>
      </c>
      <c r="J7" s="1405"/>
      <c r="K7" s="1405"/>
      <c r="L7" s="1405"/>
      <c r="M7" s="1405"/>
      <c r="N7" s="1405"/>
      <c r="O7" s="1405"/>
      <c r="P7" s="1405"/>
      <c r="Q7" s="1405"/>
      <c r="R7" s="1405"/>
      <c r="S7" s="1405"/>
      <c r="T7" s="1405"/>
      <c r="U7" s="1405"/>
      <c r="V7" s="1405"/>
      <c r="W7" s="2069"/>
      <c r="X7" s="2070"/>
      <c r="Z7" s="40"/>
      <c r="AA7" s="5"/>
      <c r="AB7" s="9"/>
      <c r="AC7" s="4"/>
      <c r="AH7" s="1405"/>
      <c r="AI7" s="1405"/>
      <c r="AJ7" s="1405"/>
      <c r="AK7" s="1405"/>
      <c r="AL7" s="1405"/>
      <c r="AM7" s="1405"/>
      <c r="AN7" s="1405"/>
      <c r="AO7" s="1405"/>
      <c r="AP7" s="1405"/>
      <c r="AQ7" s="1405"/>
      <c r="AR7" s="1405"/>
      <c r="AS7" s="1405"/>
      <c r="AT7" s="1405"/>
      <c r="AU7" s="1405"/>
      <c r="AV7" s="1405"/>
      <c r="AW7" s="1405"/>
      <c r="AX7" s="1405"/>
    </row>
    <row r="8" spans="1:50" ht="99" customHeight="1">
      <c r="A8" s="53"/>
      <c r="B8" s="548" t="s">
        <v>2</v>
      </c>
      <c r="C8" s="1466" t="s">
        <v>3</v>
      </c>
      <c r="D8" s="1466" t="s">
        <v>37</v>
      </c>
      <c r="E8" s="1466" t="s">
        <v>261</v>
      </c>
      <c r="F8" s="1466" t="s">
        <v>904</v>
      </c>
      <c r="G8" s="1466" t="s">
        <v>43</v>
      </c>
      <c r="H8" s="1467" t="s">
        <v>157</v>
      </c>
      <c r="I8" s="1468" t="s">
        <v>1289</v>
      </c>
      <c r="J8" s="1468" t="s">
        <v>123</v>
      </c>
      <c r="K8" s="1467" t="s">
        <v>130</v>
      </c>
      <c r="L8" s="1467" t="s">
        <v>124</v>
      </c>
      <c r="M8" s="1469" t="s">
        <v>127</v>
      </c>
      <c r="N8" s="1468" t="s">
        <v>1167</v>
      </c>
      <c r="O8" s="1467" t="s">
        <v>126</v>
      </c>
      <c r="P8" s="1467" t="s">
        <v>144</v>
      </c>
      <c r="Q8" s="1469" t="s">
        <v>128</v>
      </c>
      <c r="R8" s="1468" t="s">
        <v>884</v>
      </c>
      <c r="S8" s="1467" t="s">
        <v>125</v>
      </c>
      <c r="T8" s="1467" t="s">
        <v>145</v>
      </c>
      <c r="U8" s="1469" t="s">
        <v>129</v>
      </c>
      <c r="V8" s="1727" t="s">
        <v>919</v>
      </c>
      <c r="W8" s="1776" t="s">
        <v>2495</v>
      </c>
      <c r="X8" s="1777" t="s">
        <v>2494</v>
      </c>
      <c r="Z8" s="40"/>
      <c r="AA8" s="218" t="s">
        <v>131</v>
      </c>
      <c r="AB8" s="7"/>
      <c r="AC8" s="2"/>
      <c r="AH8" s="1405"/>
      <c r="AI8" s="1405"/>
      <c r="AJ8" s="1405"/>
      <c r="AK8" s="1405"/>
      <c r="AL8" s="1405"/>
      <c r="AM8" s="1405"/>
      <c r="AN8" s="1405"/>
      <c r="AO8" s="1405"/>
      <c r="AP8" s="1405"/>
      <c r="AQ8" s="1405"/>
      <c r="AR8" s="1405"/>
      <c r="AS8" s="1405"/>
      <c r="AT8" s="1405"/>
      <c r="AU8" s="1405"/>
      <c r="AV8" s="1405"/>
      <c r="AW8" s="1405"/>
      <c r="AX8" s="1405"/>
    </row>
    <row r="9" spans="1:50" ht="15" customHeight="1">
      <c r="A9" s="53"/>
      <c r="B9" s="1841" t="s">
        <v>2593</v>
      </c>
      <c r="C9" s="1842">
        <v>1</v>
      </c>
      <c r="D9" s="1842">
        <v>1</v>
      </c>
      <c r="E9" s="1842" t="s">
        <v>102</v>
      </c>
      <c r="F9" s="1842" t="s">
        <v>102</v>
      </c>
      <c r="G9" s="1843">
        <v>1.6E-2</v>
      </c>
      <c r="H9" s="1843">
        <v>10.39</v>
      </c>
      <c r="I9" s="1778" t="s">
        <v>634</v>
      </c>
      <c r="J9" s="1778">
        <v>7.93</v>
      </c>
      <c r="K9" s="1778">
        <v>45.51</v>
      </c>
      <c r="L9" s="1778">
        <v>3.79</v>
      </c>
      <c r="M9" s="1778">
        <v>7.58</v>
      </c>
      <c r="N9" s="1778">
        <v>6.77</v>
      </c>
      <c r="O9" s="1778">
        <v>77.02</v>
      </c>
      <c r="P9" s="1778">
        <v>3.21</v>
      </c>
      <c r="Q9" s="1778">
        <v>6.42</v>
      </c>
      <c r="R9" s="1778">
        <v>5.72</v>
      </c>
      <c r="S9" s="1778">
        <v>94.52</v>
      </c>
      <c r="T9" s="1778">
        <v>2.63</v>
      </c>
      <c r="U9" s="1778">
        <v>5.25</v>
      </c>
      <c r="V9" s="1778">
        <v>4.55</v>
      </c>
      <c r="W9" s="1775">
        <v>9.3439999999999994</v>
      </c>
      <c r="X9" s="1775">
        <v>8.1760000000000002</v>
      </c>
      <c r="Z9" s="71"/>
      <c r="AA9" s="1951" t="s">
        <v>918</v>
      </c>
      <c r="AB9" s="7"/>
      <c r="AH9" s="1405"/>
      <c r="AI9" s="1405"/>
      <c r="AJ9" s="1405"/>
      <c r="AK9" s="1405"/>
      <c r="AL9" s="1405"/>
      <c r="AM9" s="1405"/>
      <c r="AN9" s="1405"/>
      <c r="AO9" s="1405"/>
      <c r="AP9" s="1405"/>
      <c r="AQ9" s="1405"/>
      <c r="AR9" s="1405"/>
      <c r="AS9" s="1405"/>
      <c r="AT9" s="1405"/>
      <c r="AU9" s="1405"/>
      <c r="AV9" s="1405"/>
      <c r="AW9" s="1405"/>
      <c r="AX9" s="1405"/>
    </row>
    <row r="10" spans="1:50" ht="15" customHeight="1">
      <c r="A10" s="53"/>
      <c r="B10" s="1841" t="s">
        <v>2594</v>
      </c>
      <c r="C10" s="1842">
        <v>1</v>
      </c>
      <c r="D10" s="1842">
        <v>2</v>
      </c>
      <c r="E10" s="1842" t="s">
        <v>102</v>
      </c>
      <c r="F10" s="1842" t="s">
        <v>102</v>
      </c>
      <c r="G10" s="1843">
        <v>3.1899999999999998E-2</v>
      </c>
      <c r="H10" s="1843">
        <v>20.71</v>
      </c>
      <c r="I10" s="1778" t="s">
        <v>634</v>
      </c>
      <c r="J10" s="1778">
        <v>15.81</v>
      </c>
      <c r="K10" s="1778">
        <v>90.69</v>
      </c>
      <c r="L10" s="1778">
        <v>7.56</v>
      </c>
      <c r="M10" s="1778">
        <v>15.12</v>
      </c>
      <c r="N10" s="1778">
        <v>13.49</v>
      </c>
      <c r="O10" s="1778">
        <v>153.47999999999999</v>
      </c>
      <c r="P10" s="1778">
        <v>6.39</v>
      </c>
      <c r="Q10" s="1778">
        <v>12.79</v>
      </c>
      <c r="R10" s="1778">
        <v>11.39</v>
      </c>
      <c r="S10" s="1778">
        <v>188.36</v>
      </c>
      <c r="T10" s="1778">
        <v>5.23</v>
      </c>
      <c r="U10" s="1778">
        <v>10.46</v>
      </c>
      <c r="V10" s="1778">
        <v>9.07</v>
      </c>
      <c r="W10" s="1775">
        <v>18.6296</v>
      </c>
      <c r="X10" s="1775">
        <v>16.300899999999999</v>
      </c>
      <c r="Z10" s="40"/>
      <c r="AA10" s="1951"/>
      <c r="AB10" s="7"/>
      <c r="AH10" s="1405"/>
      <c r="AI10" s="1405"/>
      <c r="AJ10" s="1405"/>
      <c r="AK10" s="1405"/>
      <c r="AL10" s="1405"/>
      <c r="AM10" s="1405"/>
      <c r="AN10" s="1405"/>
      <c r="AO10" s="1405"/>
      <c r="AP10" s="1405"/>
      <c r="AQ10" s="1405"/>
      <c r="AR10" s="1405"/>
      <c r="AS10" s="1405"/>
      <c r="AT10" s="1405"/>
      <c r="AU10" s="1405"/>
      <c r="AV10" s="1405"/>
      <c r="AW10" s="1405"/>
      <c r="AX10" s="1405"/>
    </row>
    <row r="11" spans="1:50" s="613" customFormat="1" ht="15" customHeight="1">
      <c r="A11" s="53"/>
      <c r="B11" s="1841" t="s">
        <v>2595</v>
      </c>
      <c r="C11" s="1842">
        <v>2</v>
      </c>
      <c r="D11" s="1842">
        <v>4</v>
      </c>
      <c r="E11" s="1842" t="s">
        <v>102</v>
      </c>
      <c r="F11" s="1842" t="s">
        <v>102</v>
      </c>
      <c r="G11" s="1843">
        <v>8.2500000000000004E-2</v>
      </c>
      <c r="H11" s="1843">
        <v>53.6</v>
      </c>
      <c r="I11" s="1778" t="s">
        <v>634</v>
      </c>
      <c r="J11" s="1778">
        <v>40.93</v>
      </c>
      <c r="K11" s="1778">
        <v>234.75</v>
      </c>
      <c r="L11" s="1778">
        <v>19.559999999999999</v>
      </c>
      <c r="M11" s="1778">
        <v>39.119999999999997</v>
      </c>
      <c r="N11" s="1778">
        <v>34.909999999999997</v>
      </c>
      <c r="O11" s="1778">
        <v>397.27</v>
      </c>
      <c r="P11" s="1778">
        <v>16.55</v>
      </c>
      <c r="Q11" s="1778">
        <v>33.11</v>
      </c>
      <c r="R11" s="1778">
        <v>29.49</v>
      </c>
      <c r="S11" s="1778">
        <v>487.56</v>
      </c>
      <c r="T11" s="1778">
        <v>13.54</v>
      </c>
      <c r="U11" s="1778">
        <v>27.09</v>
      </c>
      <c r="V11" s="1778">
        <v>23.47</v>
      </c>
      <c r="W11" s="1775">
        <v>48.180000000000007</v>
      </c>
      <c r="X11" s="1775">
        <v>42.157499999999999</v>
      </c>
      <c r="Z11" s="40"/>
      <c r="AA11" s="838"/>
      <c r="AB11" s="7"/>
      <c r="AH11" s="1405"/>
      <c r="AI11" s="1405"/>
      <c r="AJ11" s="1405"/>
      <c r="AK11" s="1405"/>
      <c r="AL11" s="1405"/>
      <c r="AM11" s="1405"/>
      <c r="AN11" s="1405"/>
      <c r="AO11" s="1405"/>
      <c r="AP11" s="1405"/>
      <c r="AQ11" s="1405"/>
      <c r="AR11" s="1405"/>
      <c r="AS11" s="1405"/>
      <c r="AT11" s="1405"/>
      <c r="AU11" s="1405"/>
      <c r="AV11" s="1405"/>
      <c r="AW11" s="1405"/>
      <c r="AX11" s="1405"/>
    </row>
    <row r="12" spans="1:50" s="613" customFormat="1" ht="15" customHeight="1">
      <c r="A12" s="53"/>
      <c r="B12" s="1841" t="s">
        <v>2596</v>
      </c>
      <c r="C12" s="1842">
        <v>4</v>
      </c>
      <c r="D12" s="1842">
        <v>8</v>
      </c>
      <c r="E12" s="1842" t="s">
        <v>102</v>
      </c>
      <c r="F12" s="1842" t="s">
        <v>102</v>
      </c>
      <c r="G12" s="1843">
        <v>0.16489999999999999</v>
      </c>
      <c r="H12" s="1843">
        <v>107.19</v>
      </c>
      <c r="I12" s="1778" t="s">
        <v>634</v>
      </c>
      <c r="J12" s="1778">
        <v>81.86</v>
      </c>
      <c r="K12" s="1778">
        <v>469.5</v>
      </c>
      <c r="L12" s="1778">
        <v>39.119999999999997</v>
      </c>
      <c r="M12" s="1778">
        <v>78.25</v>
      </c>
      <c r="N12" s="1778">
        <v>69.819999999999993</v>
      </c>
      <c r="O12" s="1778">
        <v>794.54</v>
      </c>
      <c r="P12" s="1778">
        <v>33.11</v>
      </c>
      <c r="Q12" s="1778">
        <v>66.209999999999994</v>
      </c>
      <c r="R12" s="1778">
        <v>58.99</v>
      </c>
      <c r="S12" s="1778">
        <v>975.11</v>
      </c>
      <c r="T12" s="1778">
        <v>27.09</v>
      </c>
      <c r="U12" s="1778">
        <v>54.17</v>
      </c>
      <c r="V12" s="1778">
        <v>46.95</v>
      </c>
      <c r="W12" s="1775">
        <v>96.301600000000008</v>
      </c>
      <c r="X12" s="1775">
        <v>84.263899999999992</v>
      </c>
      <c r="Z12" s="40"/>
      <c r="AA12" s="838"/>
      <c r="AB12" s="7"/>
      <c r="AH12" s="1405"/>
      <c r="AI12" s="1405"/>
      <c r="AJ12" s="1405"/>
      <c r="AK12" s="1405"/>
      <c r="AL12" s="1405"/>
      <c r="AM12" s="1405"/>
      <c r="AN12" s="1405"/>
      <c r="AO12" s="1405"/>
      <c r="AP12" s="1405"/>
      <c r="AQ12" s="1405"/>
      <c r="AR12" s="1405"/>
      <c r="AS12" s="1405"/>
      <c r="AT12" s="1405"/>
      <c r="AU12" s="1405"/>
      <c r="AV12" s="1405"/>
      <c r="AW12" s="1405"/>
      <c r="AX12" s="1405"/>
    </row>
    <row r="13" spans="1:50" s="613" customFormat="1" ht="15" customHeight="1">
      <c r="A13" s="53"/>
      <c r="B13" s="1841" t="s">
        <v>2597</v>
      </c>
      <c r="C13" s="1842">
        <v>8</v>
      </c>
      <c r="D13" s="1842">
        <v>16</v>
      </c>
      <c r="E13" s="1842" t="s">
        <v>102</v>
      </c>
      <c r="F13" s="1842" t="s">
        <v>102</v>
      </c>
      <c r="G13" s="1843">
        <v>0.32979999999999998</v>
      </c>
      <c r="H13" s="1843">
        <v>214.38</v>
      </c>
      <c r="I13" s="1778" t="s">
        <v>634</v>
      </c>
      <c r="J13" s="1778">
        <v>163.72</v>
      </c>
      <c r="K13" s="1778">
        <v>939</v>
      </c>
      <c r="L13" s="1778">
        <v>78.25</v>
      </c>
      <c r="M13" s="1778">
        <v>156.5</v>
      </c>
      <c r="N13" s="1778">
        <v>139.65</v>
      </c>
      <c r="O13" s="1778">
        <v>1589.07</v>
      </c>
      <c r="P13" s="1778">
        <v>66.209999999999994</v>
      </c>
      <c r="Q13" s="1778">
        <v>132.41999999999999</v>
      </c>
      <c r="R13" s="1778">
        <v>117.98</v>
      </c>
      <c r="S13" s="1778">
        <v>1950.23</v>
      </c>
      <c r="T13" s="1778">
        <v>54.17</v>
      </c>
      <c r="U13" s="1778">
        <v>108.35</v>
      </c>
      <c r="V13" s="1778">
        <v>93.9</v>
      </c>
      <c r="W13" s="1775">
        <v>192.60320000000002</v>
      </c>
      <c r="X13" s="1775">
        <v>168.52779999999998</v>
      </c>
      <c r="Z13" s="40"/>
      <c r="AA13" s="633"/>
      <c r="AB13" s="7"/>
      <c r="AH13" s="1405"/>
      <c r="AI13" s="1405"/>
      <c r="AJ13" s="1405"/>
      <c r="AK13" s="1405"/>
      <c r="AL13" s="1405"/>
      <c r="AM13" s="1405"/>
      <c r="AN13" s="1405"/>
      <c r="AO13" s="1405"/>
      <c r="AP13" s="1405"/>
      <c r="AQ13" s="1405"/>
      <c r="AR13" s="1405"/>
      <c r="AS13" s="1405"/>
      <c r="AT13" s="1405"/>
      <c r="AU13" s="1405"/>
      <c r="AV13" s="1405"/>
      <c r="AW13" s="1405"/>
      <c r="AX13" s="1405"/>
    </row>
    <row r="14" spans="1:50" s="613" customFormat="1" ht="15" customHeight="1">
      <c r="A14" s="53"/>
      <c r="B14" s="1841" t="s">
        <v>2598</v>
      </c>
      <c r="C14" s="1842">
        <v>16</v>
      </c>
      <c r="D14" s="1842">
        <v>32</v>
      </c>
      <c r="E14" s="1842" t="s">
        <v>102</v>
      </c>
      <c r="F14" s="1842" t="s">
        <v>102</v>
      </c>
      <c r="G14" s="1843">
        <v>0.65959999999999996</v>
      </c>
      <c r="H14" s="1843">
        <v>428.77</v>
      </c>
      <c r="I14" s="1778" t="s">
        <v>634</v>
      </c>
      <c r="J14" s="1778">
        <v>327.45</v>
      </c>
      <c r="K14" s="1778">
        <v>1878</v>
      </c>
      <c r="L14" s="1778">
        <v>156.5</v>
      </c>
      <c r="M14" s="1778">
        <v>313</v>
      </c>
      <c r="N14" s="1778">
        <v>279.29000000000002</v>
      </c>
      <c r="O14" s="1778">
        <v>3178.15</v>
      </c>
      <c r="P14" s="1778">
        <v>132.41999999999999</v>
      </c>
      <c r="Q14" s="1778">
        <v>264.85000000000002</v>
      </c>
      <c r="R14" s="1778">
        <v>235.95</v>
      </c>
      <c r="S14" s="1778">
        <v>3900.45</v>
      </c>
      <c r="T14" s="1778">
        <v>108.35</v>
      </c>
      <c r="U14" s="1778">
        <v>216.69</v>
      </c>
      <c r="V14" s="1778">
        <v>187.8</v>
      </c>
      <c r="W14" s="1775">
        <v>385.20640000000003</v>
      </c>
      <c r="X14" s="1775">
        <v>337.05559999999997</v>
      </c>
      <c r="Z14" s="40"/>
      <c r="AA14" s="633"/>
      <c r="AB14" s="7"/>
      <c r="AH14" s="1405"/>
      <c r="AI14" s="1405"/>
      <c r="AJ14" s="1405"/>
      <c r="AK14" s="1405"/>
      <c r="AL14" s="1405"/>
      <c r="AM14" s="1405"/>
      <c r="AN14" s="1405"/>
      <c r="AO14" s="1405"/>
      <c r="AP14" s="1405"/>
      <c r="AQ14" s="1405"/>
      <c r="AR14" s="1405"/>
      <c r="AS14" s="1405"/>
      <c r="AT14" s="1405"/>
      <c r="AU14" s="1405"/>
      <c r="AV14" s="1405"/>
      <c r="AW14" s="1405"/>
      <c r="AX14" s="1405"/>
    </row>
    <row r="15" spans="1:50" s="613" customFormat="1" ht="15" customHeight="1">
      <c r="A15" s="53"/>
      <c r="B15" s="1841" t="s">
        <v>2599</v>
      </c>
      <c r="C15" s="1842">
        <v>1</v>
      </c>
      <c r="D15" s="1842">
        <v>4</v>
      </c>
      <c r="E15" s="1842" t="s">
        <v>102</v>
      </c>
      <c r="F15" s="1842" t="s">
        <v>102</v>
      </c>
      <c r="G15" s="1843">
        <v>3.8899999999999997E-2</v>
      </c>
      <c r="H15" s="1843">
        <v>25.27</v>
      </c>
      <c r="I15" s="1778" t="s">
        <v>634</v>
      </c>
      <c r="J15" s="1778">
        <v>19.3</v>
      </c>
      <c r="K15" s="1778">
        <v>110.66</v>
      </c>
      <c r="L15" s="1778">
        <v>9.2200000000000006</v>
      </c>
      <c r="M15" s="1778">
        <v>18.440000000000001</v>
      </c>
      <c r="N15" s="1778">
        <v>16.46</v>
      </c>
      <c r="O15" s="1778">
        <v>187.28</v>
      </c>
      <c r="P15" s="1778">
        <v>7.8</v>
      </c>
      <c r="Q15" s="1778">
        <v>15.61</v>
      </c>
      <c r="R15" s="1778">
        <v>13.9</v>
      </c>
      <c r="S15" s="1778">
        <v>229.84</v>
      </c>
      <c r="T15" s="1778">
        <v>6.38</v>
      </c>
      <c r="U15" s="1778">
        <v>12.77</v>
      </c>
      <c r="V15" s="1778">
        <v>11.07</v>
      </c>
      <c r="W15" s="1775">
        <v>22.717600000000001</v>
      </c>
      <c r="X15" s="1775">
        <v>19.877899999999997</v>
      </c>
      <c r="Z15" s="40"/>
      <c r="AA15" s="633"/>
      <c r="AB15" s="7"/>
      <c r="AH15" s="1405"/>
      <c r="AI15" s="1405"/>
      <c r="AJ15" s="1405"/>
      <c r="AK15" s="1405"/>
      <c r="AL15" s="1405"/>
      <c r="AM15" s="1405"/>
      <c r="AN15" s="1405"/>
      <c r="AO15" s="1405"/>
      <c r="AP15" s="1405"/>
      <c r="AQ15" s="1405"/>
      <c r="AR15" s="1405"/>
      <c r="AS15" s="1405"/>
      <c r="AT15" s="1405"/>
      <c r="AU15" s="1405"/>
      <c r="AV15" s="1405"/>
      <c r="AW15" s="1405"/>
      <c r="AX15" s="1405"/>
    </row>
    <row r="16" spans="1:50" s="613" customFormat="1" ht="15" customHeight="1">
      <c r="A16" s="53"/>
      <c r="B16" s="1841" t="s">
        <v>2600</v>
      </c>
      <c r="C16" s="1842">
        <v>2</v>
      </c>
      <c r="D16" s="1842">
        <v>8</v>
      </c>
      <c r="E16" s="1842" t="s">
        <v>102</v>
      </c>
      <c r="F16" s="1842" t="s">
        <v>102</v>
      </c>
      <c r="G16" s="1843">
        <v>9.1499999999999998E-2</v>
      </c>
      <c r="H16" s="1843">
        <v>59.5</v>
      </c>
      <c r="I16" s="1778" t="s">
        <v>634</v>
      </c>
      <c r="J16" s="1778">
        <v>45.44</v>
      </c>
      <c r="K16" s="1778">
        <v>260.61</v>
      </c>
      <c r="L16" s="1778">
        <v>21.72</v>
      </c>
      <c r="M16" s="1778">
        <v>43.44</v>
      </c>
      <c r="N16" s="1778">
        <v>38.76</v>
      </c>
      <c r="O16" s="1778">
        <v>441.04</v>
      </c>
      <c r="P16" s="1778">
        <v>18.38</v>
      </c>
      <c r="Q16" s="1778">
        <v>36.75</v>
      </c>
      <c r="R16" s="1778">
        <v>32.74</v>
      </c>
      <c r="S16" s="1778">
        <v>541.28</v>
      </c>
      <c r="T16" s="1778">
        <v>15.04</v>
      </c>
      <c r="U16" s="1778">
        <v>30.07</v>
      </c>
      <c r="V16" s="1778">
        <v>26.06</v>
      </c>
      <c r="W16" s="1775">
        <v>53.436000000000007</v>
      </c>
      <c r="X16" s="1775">
        <v>46.756499999999996</v>
      </c>
      <c r="Z16" s="40"/>
      <c r="AA16" s="633"/>
      <c r="AB16" s="7"/>
      <c r="AH16" s="1405"/>
      <c r="AI16" s="1405"/>
      <c r="AJ16" s="1405"/>
      <c r="AK16" s="1405"/>
      <c r="AL16" s="1405"/>
      <c r="AM16" s="1405"/>
      <c r="AN16" s="1405"/>
      <c r="AO16" s="1405"/>
      <c r="AP16" s="1405"/>
      <c r="AQ16" s="1405"/>
      <c r="AR16" s="1405"/>
      <c r="AS16" s="1405"/>
      <c r="AT16" s="1405"/>
      <c r="AU16" s="1405"/>
      <c r="AV16" s="1405"/>
      <c r="AW16" s="1405"/>
      <c r="AX16" s="1405"/>
    </row>
    <row r="17" spans="1:50" s="613" customFormat="1" ht="15" customHeight="1">
      <c r="A17" s="53"/>
      <c r="B17" s="1841" t="s">
        <v>2601</v>
      </c>
      <c r="C17" s="1842">
        <v>4</v>
      </c>
      <c r="D17" s="1842">
        <v>16</v>
      </c>
      <c r="E17" s="1842" t="s">
        <v>102</v>
      </c>
      <c r="F17" s="1842" t="s">
        <v>102</v>
      </c>
      <c r="G17" s="1843">
        <v>0.18310000000000001</v>
      </c>
      <c r="H17" s="1843">
        <v>119</v>
      </c>
      <c r="I17" s="1778" t="s">
        <v>634</v>
      </c>
      <c r="J17" s="1778">
        <v>90.88</v>
      </c>
      <c r="K17" s="1778">
        <v>521.23</v>
      </c>
      <c r="L17" s="1778">
        <v>43.44</v>
      </c>
      <c r="M17" s="1778">
        <v>86.87</v>
      </c>
      <c r="N17" s="1778">
        <v>77.52</v>
      </c>
      <c r="O17" s="1778">
        <v>882.08</v>
      </c>
      <c r="P17" s="1778">
        <v>36.75</v>
      </c>
      <c r="Q17" s="1778">
        <v>73.510000000000005</v>
      </c>
      <c r="R17" s="1778">
        <v>65.489999999999995</v>
      </c>
      <c r="S17" s="1778">
        <v>1082.55</v>
      </c>
      <c r="T17" s="1778">
        <v>30.07</v>
      </c>
      <c r="U17" s="1778">
        <v>60.14</v>
      </c>
      <c r="V17" s="1778">
        <v>52.12</v>
      </c>
      <c r="W17" s="1775">
        <v>106.93040000000002</v>
      </c>
      <c r="X17" s="1775">
        <v>93.564099999999996</v>
      </c>
      <c r="Z17" s="40"/>
      <c r="AA17" s="633"/>
      <c r="AB17" s="7"/>
      <c r="AH17" s="1405"/>
      <c r="AI17" s="1405"/>
      <c r="AJ17" s="1405"/>
      <c r="AK17" s="1405"/>
      <c r="AL17" s="1405"/>
      <c r="AM17" s="1405"/>
      <c r="AN17" s="1405"/>
      <c r="AO17" s="1405"/>
      <c r="AP17" s="1405"/>
      <c r="AQ17" s="1405"/>
      <c r="AR17" s="1405"/>
      <c r="AS17" s="1405"/>
      <c r="AT17" s="1405"/>
      <c r="AU17" s="1405"/>
      <c r="AV17" s="1405"/>
      <c r="AW17" s="1405"/>
      <c r="AX17" s="1405"/>
    </row>
    <row r="18" spans="1:50" s="613" customFormat="1" ht="15" customHeight="1">
      <c r="A18" s="53"/>
      <c r="B18" s="1841" t="s">
        <v>2602</v>
      </c>
      <c r="C18" s="1842">
        <v>8</v>
      </c>
      <c r="D18" s="1842">
        <v>32</v>
      </c>
      <c r="E18" s="1842" t="s">
        <v>102</v>
      </c>
      <c r="F18" s="1842" t="s">
        <v>102</v>
      </c>
      <c r="G18" s="1843">
        <v>0.36620000000000003</v>
      </c>
      <c r="H18" s="1843">
        <v>238</v>
      </c>
      <c r="I18" s="1778" t="s">
        <v>634</v>
      </c>
      <c r="J18" s="1778">
        <v>181.76</v>
      </c>
      <c r="K18" s="1778">
        <v>1042.46</v>
      </c>
      <c r="L18" s="1778">
        <v>86.87</v>
      </c>
      <c r="M18" s="1778">
        <v>173.74</v>
      </c>
      <c r="N18" s="1778">
        <v>155.03</v>
      </c>
      <c r="O18" s="1778">
        <v>1764.16</v>
      </c>
      <c r="P18" s="1778">
        <v>73.510000000000005</v>
      </c>
      <c r="Q18" s="1778">
        <v>147.01</v>
      </c>
      <c r="R18" s="1778">
        <v>130.97999999999999</v>
      </c>
      <c r="S18" s="1778">
        <v>2165.1</v>
      </c>
      <c r="T18" s="1778">
        <v>60.14</v>
      </c>
      <c r="U18" s="1778">
        <v>120.28</v>
      </c>
      <c r="V18" s="1778">
        <v>104.25</v>
      </c>
      <c r="W18" s="1775">
        <v>213.86080000000004</v>
      </c>
      <c r="X18" s="1775">
        <v>187.12819999999999</v>
      </c>
      <c r="Z18" s="40"/>
      <c r="AA18" s="633"/>
      <c r="AB18" s="7"/>
      <c r="AH18" s="1405"/>
      <c r="AI18" s="1405"/>
      <c r="AJ18" s="1405"/>
      <c r="AK18" s="1405"/>
      <c r="AL18" s="1405"/>
      <c r="AM18" s="1405"/>
      <c r="AN18" s="1405"/>
      <c r="AO18" s="1405"/>
      <c r="AP18" s="1405"/>
      <c r="AQ18" s="1405"/>
      <c r="AR18" s="1405"/>
      <c r="AS18" s="1405"/>
      <c r="AT18" s="1405"/>
      <c r="AU18" s="1405"/>
      <c r="AV18" s="1405"/>
      <c r="AW18" s="1405"/>
      <c r="AX18" s="1405"/>
    </row>
    <row r="19" spans="1:50" s="613" customFormat="1" ht="15" customHeight="1">
      <c r="A19" s="53"/>
      <c r="B19" s="1841" t="s">
        <v>2603</v>
      </c>
      <c r="C19" s="1842">
        <v>16</v>
      </c>
      <c r="D19" s="1842">
        <v>64</v>
      </c>
      <c r="E19" s="1842" t="s">
        <v>102</v>
      </c>
      <c r="F19" s="1842" t="s">
        <v>102</v>
      </c>
      <c r="G19" s="1843">
        <v>0.73229999999999995</v>
      </c>
      <c r="H19" s="1843">
        <v>476.01</v>
      </c>
      <c r="I19" s="1778" t="s">
        <v>634</v>
      </c>
      <c r="J19" s="1778">
        <v>363.52</v>
      </c>
      <c r="K19" s="1778">
        <v>2084.92</v>
      </c>
      <c r="L19" s="1778">
        <v>173.74</v>
      </c>
      <c r="M19" s="1778">
        <v>347.49</v>
      </c>
      <c r="N19" s="1778">
        <v>310.06</v>
      </c>
      <c r="O19" s="1778">
        <v>3528.32</v>
      </c>
      <c r="P19" s="1778">
        <v>147.01</v>
      </c>
      <c r="Q19" s="1778">
        <v>294.02999999999997</v>
      </c>
      <c r="R19" s="1778">
        <v>261.95</v>
      </c>
      <c r="S19" s="1778">
        <v>4330.21</v>
      </c>
      <c r="T19" s="1778">
        <v>120.28</v>
      </c>
      <c r="U19" s="1778">
        <v>240.57</v>
      </c>
      <c r="V19" s="1778">
        <v>208.49</v>
      </c>
      <c r="W19" s="1775">
        <v>427.66319999999996</v>
      </c>
      <c r="X19" s="1775">
        <v>374.20529999999997</v>
      </c>
      <c r="Z19" s="40"/>
      <c r="AA19" s="633"/>
      <c r="AB19" s="7"/>
      <c r="AH19" s="1405"/>
      <c r="AI19" s="1405"/>
      <c r="AJ19" s="1405"/>
      <c r="AK19" s="1405"/>
      <c r="AL19" s="1405"/>
      <c r="AM19" s="1405"/>
      <c r="AN19" s="1405"/>
      <c r="AO19" s="1405"/>
      <c r="AP19" s="1405"/>
      <c r="AQ19" s="1405"/>
      <c r="AR19" s="1405"/>
      <c r="AS19" s="1405"/>
      <c r="AT19" s="1405"/>
      <c r="AU19" s="1405"/>
      <c r="AV19" s="1405"/>
      <c r="AW19" s="1405"/>
      <c r="AX19" s="1405"/>
    </row>
    <row r="20" spans="1:50" s="613" customFormat="1" ht="15" customHeight="1">
      <c r="A20" s="53"/>
      <c r="B20" s="1841" t="s">
        <v>2604</v>
      </c>
      <c r="C20" s="1842">
        <v>1</v>
      </c>
      <c r="D20" s="1842">
        <v>1</v>
      </c>
      <c r="E20" s="1842" t="s">
        <v>102</v>
      </c>
      <c r="F20" s="1842" t="s">
        <v>102</v>
      </c>
      <c r="G20" s="1843">
        <v>1.5299999999999999E-2</v>
      </c>
      <c r="H20" s="1843">
        <v>9.94</v>
      </c>
      <c r="I20" s="1778" t="s">
        <v>634</v>
      </c>
      <c r="J20" s="1778">
        <v>7.59</v>
      </c>
      <c r="K20" s="1778">
        <v>43.54</v>
      </c>
      <c r="L20" s="1778">
        <v>3.63</v>
      </c>
      <c r="M20" s="1778">
        <v>7.26</v>
      </c>
      <c r="N20" s="1778">
        <v>6.48</v>
      </c>
      <c r="O20" s="1778">
        <v>73.69</v>
      </c>
      <c r="P20" s="1778">
        <v>3.07</v>
      </c>
      <c r="Q20" s="1778">
        <v>6.14</v>
      </c>
      <c r="R20" s="1778">
        <v>5.47</v>
      </c>
      <c r="S20" s="1778">
        <v>90.44</v>
      </c>
      <c r="T20" s="1778">
        <v>2.5099999999999998</v>
      </c>
      <c r="U20" s="1778">
        <v>5.0199999999999996</v>
      </c>
      <c r="V20" s="1778">
        <v>4.3499999999999996</v>
      </c>
      <c r="W20" s="1775">
        <v>8.9352</v>
      </c>
      <c r="X20" s="1775">
        <v>7.8182999999999989</v>
      </c>
      <c r="Z20" s="40"/>
      <c r="AA20" s="633"/>
      <c r="AB20" s="7"/>
      <c r="AH20" s="1405"/>
      <c r="AI20" s="1405"/>
      <c r="AJ20" s="1405"/>
      <c r="AK20" s="1405"/>
      <c r="AL20" s="1405"/>
      <c r="AM20" s="1405"/>
      <c r="AN20" s="1405"/>
      <c r="AO20" s="1405"/>
      <c r="AP20" s="1405"/>
      <c r="AQ20" s="1405"/>
      <c r="AR20" s="1405"/>
      <c r="AS20" s="1405"/>
      <c r="AT20" s="1405"/>
      <c r="AU20" s="1405"/>
      <c r="AV20" s="1405"/>
      <c r="AW20" s="1405"/>
      <c r="AX20" s="1405"/>
    </row>
    <row r="21" spans="1:50" s="613" customFormat="1" ht="15" customHeight="1">
      <c r="A21" s="53"/>
      <c r="B21" s="1841" t="s">
        <v>2605</v>
      </c>
      <c r="C21" s="1842">
        <v>1</v>
      </c>
      <c r="D21" s="1842">
        <v>2</v>
      </c>
      <c r="E21" s="1842" t="s">
        <v>102</v>
      </c>
      <c r="F21" s="1842" t="s">
        <v>102</v>
      </c>
      <c r="G21" s="1843">
        <v>3.0599999999999999E-2</v>
      </c>
      <c r="H21" s="1843">
        <v>19.88</v>
      </c>
      <c r="I21" s="1778" t="s">
        <v>634</v>
      </c>
      <c r="J21" s="1778">
        <v>15.18</v>
      </c>
      <c r="K21" s="1778">
        <v>87.09</v>
      </c>
      <c r="L21" s="1778">
        <v>7.26</v>
      </c>
      <c r="M21" s="1778">
        <v>14.51</v>
      </c>
      <c r="N21" s="1778">
        <v>12.95</v>
      </c>
      <c r="O21" s="1778">
        <v>147.38</v>
      </c>
      <c r="P21" s="1778">
        <v>6.14</v>
      </c>
      <c r="Q21" s="1778">
        <v>12.28</v>
      </c>
      <c r="R21" s="1778">
        <v>10.94</v>
      </c>
      <c r="S21" s="1778">
        <v>180.88</v>
      </c>
      <c r="T21" s="1778">
        <v>5.0199999999999996</v>
      </c>
      <c r="U21" s="1778">
        <v>10.050000000000001</v>
      </c>
      <c r="V21" s="1778">
        <v>8.7100000000000009</v>
      </c>
      <c r="W21" s="1775">
        <v>17.8704</v>
      </c>
      <c r="X21" s="1775">
        <v>15.636599999999998</v>
      </c>
      <c r="Z21" s="40"/>
      <c r="AA21" s="633"/>
      <c r="AB21" s="7"/>
      <c r="AH21" s="1405"/>
      <c r="AI21" s="1405"/>
      <c r="AJ21" s="1405"/>
      <c r="AK21" s="1405"/>
      <c r="AL21" s="1405"/>
      <c r="AM21" s="1405"/>
      <c r="AN21" s="1405"/>
      <c r="AO21" s="1405"/>
      <c r="AP21" s="1405"/>
      <c r="AQ21" s="1405"/>
      <c r="AR21" s="1405"/>
      <c r="AS21" s="1405"/>
      <c r="AT21" s="1405"/>
      <c r="AU21" s="1405"/>
      <c r="AV21" s="1405"/>
      <c r="AW21" s="1405"/>
      <c r="AX21" s="1405"/>
    </row>
    <row r="22" spans="1:50" s="613" customFormat="1">
      <c r="A22" s="53"/>
      <c r="B22" s="1841" t="s">
        <v>2394</v>
      </c>
      <c r="C22" s="1842">
        <v>2</v>
      </c>
      <c r="D22" s="1842">
        <v>4</v>
      </c>
      <c r="E22" s="1842" t="s">
        <v>102</v>
      </c>
      <c r="F22" s="1842" t="s">
        <v>102</v>
      </c>
      <c r="G22" s="1843">
        <v>7.9000000000000001E-2</v>
      </c>
      <c r="H22" s="1843">
        <v>51.35</v>
      </c>
      <c r="I22" s="1778" t="s">
        <v>634</v>
      </c>
      <c r="J22" s="1778">
        <v>39.22</v>
      </c>
      <c r="K22" s="1778">
        <v>224.93</v>
      </c>
      <c r="L22" s="1778">
        <v>18.739999999999998</v>
      </c>
      <c r="M22" s="1778">
        <v>37.49</v>
      </c>
      <c r="N22" s="1778">
        <v>33.450000000000003</v>
      </c>
      <c r="O22" s="1778">
        <v>380.65</v>
      </c>
      <c r="P22" s="1778">
        <v>15.86</v>
      </c>
      <c r="Q22" s="1778">
        <v>31.72</v>
      </c>
      <c r="R22" s="1778">
        <v>28.26</v>
      </c>
      <c r="S22" s="1778">
        <v>467.16</v>
      </c>
      <c r="T22" s="1778">
        <v>12.98</v>
      </c>
      <c r="U22" s="1778">
        <v>25.95</v>
      </c>
      <c r="V22" s="1778">
        <v>22.49</v>
      </c>
      <c r="W22" s="1775">
        <v>46.136000000000003</v>
      </c>
      <c r="X22" s="1775">
        <v>40.369</v>
      </c>
      <c r="Z22" s="40"/>
      <c r="AA22" s="218"/>
      <c r="AB22" s="7"/>
      <c r="AH22" s="1405"/>
      <c r="AI22" s="1405"/>
      <c r="AJ22" s="1405"/>
      <c r="AK22" s="1405"/>
      <c r="AL22" s="1405"/>
      <c r="AM22" s="1405"/>
      <c r="AN22" s="1405"/>
      <c r="AO22" s="1405"/>
      <c r="AP22" s="1405"/>
      <c r="AQ22" s="1405"/>
      <c r="AR22" s="1405"/>
      <c r="AS22" s="1405"/>
      <c r="AT22" s="1405"/>
      <c r="AU22" s="1405"/>
      <c r="AV22" s="1405"/>
      <c r="AW22" s="1405"/>
      <c r="AX22" s="1405"/>
    </row>
    <row r="23" spans="1:50" s="613" customFormat="1">
      <c r="A23" s="53"/>
      <c r="B23" s="1841" t="s">
        <v>2395</v>
      </c>
      <c r="C23" s="1842">
        <v>4</v>
      </c>
      <c r="D23" s="1842">
        <v>8</v>
      </c>
      <c r="E23" s="1842" t="s">
        <v>102</v>
      </c>
      <c r="F23" s="1842" t="s">
        <v>102</v>
      </c>
      <c r="G23" s="1843">
        <v>0.15809999999999999</v>
      </c>
      <c r="H23" s="1843">
        <v>102.78</v>
      </c>
      <c r="I23" s="1778" t="s">
        <v>634</v>
      </c>
      <c r="J23" s="1778">
        <v>78.489999999999995</v>
      </c>
      <c r="K23" s="1778">
        <v>450.18</v>
      </c>
      <c r="L23" s="1778">
        <v>37.520000000000003</v>
      </c>
      <c r="M23" s="1778">
        <v>75.03</v>
      </c>
      <c r="N23" s="1778">
        <v>66.95</v>
      </c>
      <c r="O23" s="1778">
        <v>761.85</v>
      </c>
      <c r="P23" s="1778">
        <v>31.74</v>
      </c>
      <c r="Q23" s="1778">
        <v>63.49</v>
      </c>
      <c r="R23" s="1778">
        <v>56.56</v>
      </c>
      <c r="S23" s="1778">
        <v>934.99</v>
      </c>
      <c r="T23" s="1778">
        <v>25.97</v>
      </c>
      <c r="U23" s="1778">
        <v>51.94</v>
      </c>
      <c r="V23" s="1778">
        <v>45.02</v>
      </c>
      <c r="W23" s="1775">
        <v>92.330399999999997</v>
      </c>
      <c r="X23" s="1775">
        <v>80.789099999999991</v>
      </c>
      <c r="Z23" s="40"/>
      <c r="AA23" s="218"/>
      <c r="AB23" s="7"/>
      <c r="AH23" s="1405"/>
      <c r="AI23" s="1405"/>
      <c r="AJ23" s="1405"/>
      <c r="AK23" s="1405"/>
      <c r="AL23" s="1405"/>
      <c r="AM23" s="1405"/>
      <c r="AN23" s="1405"/>
      <c r="AO23" s="1405"/>
      <c r="AP23" s="1405"/>
      <c r="AQ23" s="1405"/>
      <c r="AR23" s="1405"/>
      <c r="AS23" s="1405"/>
      <c r="AT23" s="1405"/>
      <c r="AU23" s="1405"/>
      <c r="AV23" s="1405"/>
      <c r="AW23" s="1405"/>
      <c r="AX23" s="1405"/>
    </row>
    <row r="24" spans="1:50" s="613" customFormat="1">
      <c r="A24" s="53"/>
      <c r="B24" s="1841" t="s">
        <v>2396</v>
      </c>
      <c r="C24" s="1842">
        <v>8</v>
      </c>
      <c r="D24" s="1842">
        <v>16</v>
      </c>
      <c r="E24" s="1842" t="s">
        <v>102</v>
      </c>
      <c r="F24" s="1842" t="s">
        <v>102</v>
      </c>
      <c r="G24" s="1843">
        <v>0.31640000000000001</v>
      </c>
      <c r="H24" s="1843">
        <v>205.64</v>
      </c>
      <c r="I24" s="1778" t="s">
        <v>634</v>
      </c>
      <c r="J24" s="1778">
        <v>157.04</v>
      </c>
      <c r="K24" s="1778">
        <v>900.69</v>
      </c>
      <c r="L24" s="1778">
        <v>75.06</v>
      </c>
      <c r="M24" s="1778">
        <v>150.12</v>
      </c>
      <c r="N24" s="1778">
        <v>133.94999999999999</v>
      </c>
      <c r="O24" s="1778">
        <v>1524.25</v>
      </c>
      <c r="P24" s="1778">
        <v>63.51</v>
      </c>
      <c r="Q24" s="1778">
        <v>127.02</v>
      </c>
      <c r="R24" s="1778">
        <v>113.16</v>
      </c>
      <c r="S24" s="1778">
        <v>1870.67</v>
      </c>
      <c r="T24" s="1778">
        <v>51.96</v>
      </c>
      <c r="U24" s="1778">
        <v>103.93</v>
      </c>
      <c r="V24" s="1778">
        <v>90.07</v>
      </c>
      <c r="W24" s="1775">
        <v>184.77760000000001</v>
      </c>
      <c r="X24" s="1775">
        <v>161.68039999999999</v>
      </c>
      <c r="Z24" s="40"/>
      <c r="AA24" s="218"/>
      <c r="AB24" s="7"/>
      <c r="AH24" s="1405"/>
      <c r="AI24" s="1405"/>
      <c r="AJ24" s="1405"/>
      <c r="AK24" s="1405"/>
      <c r="AL24" s="1405"/>
      <c r="AM24" s="1405"/>
      <c r="AN24" s="1405"/>
      <c r="AO24" s="1405"/>
      <c r="AP24" s="1405"/>
      <c r="AQ24" s="1405"/>
      <c r="AR24" s="1405"/>
      <c r="AS24" s="1405"/>
      <c r="AT24" s="1405"/>
      <c r="AU24" s="1405"/>
      <c r="AV24" s="1405"/>
      <c r="AW24" s="1405"/>
      <c r="AX24" s="1405"/>
    </row>
    <row r="25" spans="1:50" s="613" customFormat="1">
      <c r="A25" s="53"/>
      <c r="B25" s="1841" t="s">
        <v>2393</v>
      </c>
      <c r="C25" s="1842">
        <v>16</v>
      </c>
      <c r="D25" s="1842">
        <v>32</v>
      </c>
      <c r="E25" s="1842" t="s">
        <v>102</v>
      </c>
      <c r="F25" s="1842" t="s">
        <v>102</v>
      </c>
      <c r="G25" s="1843">
        <v>0.63280000000000003</v>
      </c>
      <c r="H25" s="1843">
        <v>411.35</v>
      </c>
      <c r="I25" s="1778" t="s">
        <v>634</v>
      </c>
      <c r="J25" s="1778">
        <v>314.14</v>
      </c>
      <c r="K25" s="1778">
        <v>1801.71</v>
      </c>
      <c r="L25" s="1778">
        <v>150.13999999999999</v>
      </c>
      <c r="M25" s="1778">
        <v>300.27999999999997</v>
      </c>
      <c r="N25" s="1778">
        <v>267.95</v>
      </c>
      <c r="O25" s="1778">
        <v>3049.05</v>
      </c>
      <c r="P25" s="1778">
        <v>127.04</v>
      </c>
      <c r="Q25" s="1778">
        <v>254.09</v>
      </c>
      <c r="R25" s="1778">
        <v>226.37</v>
      </c>
      <c r="S25" s="1778">
        <v>3742.01</v>
      </c>
      <c r="T25" s="1778">
        <v>103.94</v>
      </c>
      <c r="U25" s="1778">
        <v>207.89</v>
      </c>
      <c r="V25" s="1778">
        <v>180.17</v>
      </c>
      <c r="W25" s="1775">
        <v>369.55520000000001</v>
      </c>
      <c r="X25" s="1775">
        <v>323.36079999999998</v>
      </c>
      <c r="Z25" s="40"/>
      <c r="AA25" s="218"/>
      <c r="AB25" s="7"/>
      <c r="AH25" s="1405"/>
      <c r="AI25" s="1405"/>
      <c r="AJ25" s="1405"/>
      <c r="AK25" s="1405"/>
      <c r="AL25" s="1405"/>
      <c r="AM25" s="1405"/>
      <c r="AN25" s="1405"/>
      <c r="AO25" s="1405"/>
      <c r="AP25" s="1405"/>
      <c r="AQ25" s="1405"/>
      <c r="AR25" s="1405"/>
      <c r="AS25" s="1405"/>
      <c r="AT25" s="1405"/>
      <c r="AU25" s="1405"/>
      <c r="AV25" s="1405"/>
      <c r="AW25" s="1405"/>
      <c r="AX25" s="1405"/>
    </row>
    <row r="26" spans="1:50" s="613" customFormat="1">
      <c r="A26" s="53"/>
      <c r="B26" s="1841" t="s">
        <v>2606</v>
      </c>
      <c r="C26" s="1842">
        <v>1</v>
      </c>
      <c r="D26" s="1842">
        <v>4</v>
      </c>
      <c r="E26" s="1842" t="s">
        <v>102</v>
      </c>
      <c r="F26" s="1842" t="s">
        <v>102</v>
      </c>
      <c r="G26" s="1843">
        <v>3.9399999999999998E-2</v>
      </c>
      <c r="H26" s="1843">
        <v>25.64</v>
      </c>
      <c r="I26" s="1778" t="s">
        <v>634</v>
      </c>
      <c r="J26" s="1778">
        <v>19.579999999999998</v>
      </c>
      <c r="K26" s="1778">
        <v>112.3</v>
      </c>
      <c r="L26" s="1778">
        <v>9.36</v>
      </c>
      <c r="M26" s="1778">
        <v>18.72</v>
      </c>
      <c r="N26" s="1778">
        <v>16.7</v>
      </c>
      <c r="O26" s="1778">
        <v>190.05</v>
      </c>
      <c r="P26" s="1778">
        <v>7.92</v>
      </c>
      <c r="Q26" s="1778">
        <v>15.84</v>
      </c>
      <c r="R26" s="1778">
        <v>14.11</v>
      </c>
      <c r="S26" s="1778">
        <v>233.24</v>
      </c>
      <c r="T26" s="1778">
        <v>6.48</v>
      </c>
      <c r="U26" s="1778">
        <v>12.96</v>
      </c>
      <c r="V26" s="1778">
        <v>11.23</v>
      </c>
      <c r="W26" s="1775">
        <v>23.009599999999999</v>
      </c>
      <c r="X26" s="1775">
        <v>20.133399999999998</v>
      </c>
      <c r="Z26" s="40"/>
      <c r="AA26" s="218"/>
      <c r="AB26" s="7"/>
      <c r="AH26" s="1405"/>
      <c r="AI26" s="1405"/>
      <c r="AJ26" s="1405"/>
      <c r="AK26" s="1405"/>
      <c r="AL26" s="1405"/>
      <c r="AM26" s="1405"/>
      <c r="AN26" s="1405"/>
      <c r="AO26" s="1405"/>
      <c r="AP26" s="1405"/>
      <c r="AQ26" s="1405"/>
      <c r="AR26" s="1405"/>
      <c r="AS26" s="1405"/>
      <c r="AT26" s="1405"/>
      <c r="AU26" s="1405"/>
      <c r="AV26" s="1405"/>
      <c r="AW26" s="1405"/>
      <c r="AX26" s="1405"/>
    </row>
    <row r="27" spans="1:50" s="613" customFormat="1">
      <c r="A27" s="53"/>
      <c r="B27" s="1841" t="s">
        <v>2607</v>
      </c>
      <c r="C27" s="1842">
        <v>2</v>
      </c>
      <c r="D27" s="1842">
        <v>8</v>
      </c>
      <c r="E27" s="1842" t="s">
        <v>102</v>
      </c>
      <c r="F27" s="1842" t="s">
        <v>102</v>
      </c>
      <c r="G27" s="1843">
        <v>8.7900000000000006E-2</v>
      </c>
      <c r="H27" s="1843">
        <v>57.11</v>
      </c>
      <c r="I27" s="1778" t="s">
        <v>634</v>
      </c>
      <c r="J27" s="1778">
        <v>43.61</v>
      </c>
      <c r="K27" s="1778">
        <v>250.14</v>
      </c>
      <c r="L27" s="1778">
        <v>20.84</v>
      </c>
      <c r="M27" s="1778">
        <v>41.69</v>
      </c>
      <c r="N27" s="1778">
        <v>37.200000000000003</v>
      </c>
      <c r="O27" s="1778">
        <v>423.31</v>
      </c>
      <c r="P27" s="1778">
        <v>17.64</v>
      </c>
      <c r="Q27" s="1778">
        <v>35.28</v>
      </c>
      <c r="R27" s="1778">
        <v>31.43</v>
      </c>
      <c r="S27" s="1778">
        <v>519.52</v>
      </c>
      <c r="T27" s="1778">
        <v>14.43</v>
      </c>
      <c r="U27" s="1778">
        <v>28.86</v>
      </c>
      <c r="V27" s="1778">
        <v>25.01</v>
      </c>
      <c r="W27" s="1775">
        <v>51.333600000000004</v>
      </c>
      <c r="X27" s="1775">
        <v>44.916899999999998</v>
      </c>
      <c r="Z27" s="40"/>
      <c r="AA27" s="645"/>
      <c r="AB27" s="7"/>
      <c r="AH27" s="1405"/>
      <c r="AI27" s="1405"/>
      <c r="AJ27" s="1405"/>
      <c r="AK27" s="1405"/>
      <c r="AL27" s="1405"/>
      <c r="AM27" s="1405"/>
      <c r="AN27" s="1405"/>
      <c r="AO27" s="1405"/>
      <c r="AP27" s="1405"/>
      <c r="AQ27" s="1405"/>
      <c r="AR27" s="1405"/>
      <c r="AS27" s="1405"/>
      <c r="AT27" s="1405"/>
      <c r="AU27" s="1405"/>
      <c r="AV27" s="1405"/>
      <c r="AW27" s="1405"/>
      <c r="AX27" s="1405"/>
    </row>
    <row r="28" spans="1:50" s="613" customFormat="1">
      <c r="A28" s="53"/>
      <c r="B28" s="1841" t="s">
        <v>2366</v>
      </c>
      <c r="C28" s="1842">
        <v>4</v>
      </c>
      <c r="D28" s="1842">
        <v>16</v>
      </c>
      <c r="E28" s="1842" t="s">
        <v>102</v>
      </c>
      <c r="F28" s="1842" t="s">
        <v>102</v>
      </c>
      <c r="G28" s="1843">
        <v>0.17580000000000001</v>
      </c>
      <c r="H28" s="1843">
        <v>114.29</v>
      </c>
      <c r="I28" s="1778" t="s">
        <v>634</v>
      </c>
      <c r="J28" s="1778">
        <v>87.28</v>
      </c>
      <c r="K28" s="1778">
        <v>500.6</v>
      </c>
      <c r="L28" s="1778">
        <v>41.72</v>
      </c>
      <c r="M28" s="1778">
        <v>83.43</v>
      </c>
      <c r="N28" s="1778">
        <v>74.45</v>
      </c>
      <c r="O28" s="1778">
        <v>847.17</v>
      </c>
      <c r="P28" s="1778">
        <v>35.299999999999997</v>
      </c>
      <c r="Q28" s="1778">
        <v>70.599999999999994</v>
      </c>
      <c r="R28" s="1778">
        <v>62.9</v>
      </c>
      <c r="S28" s="1778">
        <v>1039.71</v>
      </c>
      <c r="T28" s="1778">
        <v>28.88</v>
      </c>
      <c r="U28" s="1778">
        <v>57.76</v>
      </c>
      <c r="V28" s="1778">
        <v>50.06</v>
      </c>
      <c r="W28" s="1775">
        <v>102.66720000000001</v>
      </c>
      <c r="X28" s="1775">
        <v>89.833799999999997</v>
      </c>
      <c r="Z28" s="40"/>
      <c r="AA28" s="645"/>
      <c r="AB28" s="7"/>
      <c r="AH28" s="1405"/>
      <c r="AI28" s="1405"/>
      <c r="AJ28" s="1405"/>
      <c r="AK28" s="1405"/>
      <c r="AL28" s="1405"/>
      <c r="AM28" s="1405"/>
      <c r="AN28" s="1405"/>
      <c r="AO28" s="1405"/>
      <c r="AP28" s="1405"/>
      <c r="AQ28" s="1405"/>
      <c r="AR28" s="1405"/>
      <c r="AS28" s="1405"/>
      <c r="AT28" s="1405"/>
      <c r="AU28" s="1405"/>
      <c r="AV28" s="1405"/>
      <c r="AW28" s="1405"/>
      <c r="AX28" s="1405"/>
    </row>
    <row r="29" spans="1:50" s="613" customFormat="1">
      <c r="A29" s="53"/>
      <c r="B29" s="1841" t="s">
        <v>2367</v>
      </c>
      <c r="C29" s="1842">
        <v>8</v>
      </c>
      <c r="D29" s="1842">
        <v>32</v>
      </c>
      <c r="E29" s="1842" t="s">
        <v>102</v>
      </c>
      <c r="F29" s="1842" t="s">
        <v>102</v>
      </c>
      <c r="G29" s="1843">
        <v>0.35170000000000001</v>
      </c>
      <c r="H29" s="1843">
        <v>228.59</v>
      </c>
      <c r="I29" s="1778" t="s">
        <v>634</v>
      </c>
      <c r="J29" s="1778">
        <v>174.57</v>
      </c>
      <c r="K29" s="1778">
        <v>1001.2</v>
      </c>
      <c r="L29" s="1778">
        <v>83.43</v>
      </c>
      <c r="M29" s="1778">
        <v>166.87</v>
      </c>
      <c r="N29" s="1778">
        <v>148.9</v>
      </c>
      <c r="O29" s="1778">
        <v>1694.35</v>
      </c>
      <c r="P29" s="1778">
        <v>70.599999999999994</v>
      </c>
      <c r="Q29" s="1778">
        <v>141.19999999999999</v>
      </c>
      <c r="R29" s="1778">
        <v>125.79</v>
      </c>
      <c r="S29" s="1778">
        <v>2079.42</v>
      </c>
      <c r="T29" s="1778">
        <v>57.76</v>
      </c>
      <c r="U29" s="1778">
        <v>115.52</v>
      </c>
      <c r="V29" s="1778">
        <v>100.12</v>
      </c>
      <c r="W29" s="1775">
        <v>205.39279999999999</v>
      </c>
      <c r="X29" s="1775">
        <v>179.71869999999998</v>
      </c>
      <c r="Z29" s="40"/>
      <c r="AA29" s="645"/>
      <c r="AB29" s="7"/>
      <c r="AH29" s="1405"/>
      <c r="AI29" s="1405"/>
      <c r="AJ29" s="1405"/>
      <c r="AK29" s="1405"/>
      <c r="AL29" s="1405"/>
      <c r="AM29" s="1405"/>
      <c r="AN29" s="1405"/>
      <c r="AO29" s="1405"/>
      <c r="AP29" s="1405"/>
      <c r="AQ29" s="1405"/>
      <c r="AR29" s="1405"/>
      <c r="AS29" s="1405"/>
      <c r="AT29" s="1405"/>
      <c r="AU29" s="1405"/>
      <c r="AV29" s="1405"/>
      <c r="AW29" s="1405"/>
      <c r="AX29" s="1405"/>
    </row>
    <row r="30" spans="1:50" s="613" customFormat="1">
      <c r="A30" s="53"/>
      <c r="B30" s="1841" t="s">
        <v>2368</v>
      </c>
      <c r="C30" s="1842">
        <v>16</v>
      </c>
      <c r="D30" s="1842">
        <v>64</v>
      </c>
      <c r="E30" s="1842" t="s">
        <v>102</v>
      </c>
      <c r="F30" s="1842" t="s">
        <v>102</v>
      </c>
      <c r="G30" s="1843">
        <v>0.70320000000000005</v>
      </c>
      <c r="H30" s="1843">
        <v>457.1</v>
      </c>
      <c r="I30" s="1778" t="s">
        <v>634</v>
      </c>
      <c r="J30" s="1778">
        <v>349.08</v>
      </c>
      <c r="K30" s="1778">
        <v>2002.08</v>
      </c>
      <c r="L30" s="1778">
        <v>166.84</v>
      </c>
      <c r="M30" s="1778">
        <v>333.68</v>
      </c>
      <c r="N30" s="1778">
        <v>297.75</v>
      </c>
      <c r="O30" s="1778">
        <v>3388.14</v>
      </c>
      <c r="P30" s="1778">
        <v>141.16999999999999</v>
      </c>
      <c r="Q30" s="1778">
        <v>282.33999999999997</v>
      </c>
      <c r="R30" s="1778">
        <v>251.54</v>
      </c>
      <c r="S30" s="1778">
        <v>4158.17</v>
      </c>
      <c r="T30" s="1778">
        <v>115.5</v>
      </c>
      <c r="U30" s="1778">
        <v>231.01</v>
      </c>
      <c r="V30" s="1778">
        <v>200.21</v>
      </c>
      <c r="W30" s="1775">
        <v>410.66880000000003</v>
      </c>
      <c r="X30" s="1775">
        <v>359.33519999999999</v>
      </c>
      <c r="Z30" s="40"/>
      <c r="AA30" s="645"/>
      <c r="AB30" s="7"/>
      <c r="AH30" s="1405"/>
      <c r="AI30" s="1405"/>
      <c r="AJ30" s="1405"/>
      <c r="AK30" s="1405"/>
      <c r="AL30" s="1405"/>
      <c r="AM30" s="1405"/>
      <c r="AN30" s="1405"/>
      <c r="AO30" s="1405"/>
      <c r="AP30" s="1405"/>
      <c r="AQ30" s="1405"/>
      <c r="AR30" s="1405"/>
      <c r="AS30" s="1405"/>
      <c r="AT30" s="1405"/>
      <c r="AU30" s="1405"/>
      <c r="AV30" s="1405"/>
      <c r="AW30" s="1405"/>
      <c r="AX30" s="1405"/>
    </row>
    <row r="31" spans="1:50" s="613" customFormat="1">
      <c r="A31" s="53"/>
      <c r="B31" s="1841" t="s">
        <v>2608</v>
      </c>
      <c r="C31" s="1842">
        <v>1</v>
      </c>
      <c r="D31" s="1842">
        <v>1</v>
      </c>
      <c r="E31" s="1842" t="s">
        <v>102</v>
      </c>
      <c r="F31" s="1842" t="s">
        <v>102</v>
      </c>
      <c r="G31" s="1843">
        <v>1.1299999999999999E-2</v>
      </c>
      <c r="H31" s="1843">
        <v>7.35</v>
      </c>
      <c r="I31" s="1778" t="s">
        <v>634</v>
      </c>
      <c r="J31" s="1778">
        <v>5.61</v>
      </c>
      <c r="K31" s="1778">
        <v>32.17</v>
      </c>
      <c r="L31" s="1778">
        <v>2.68</v>
      </c>
      <c r="M31" s="1778">
        <v>5.36</v>
      </c>
      <c r="N31" s="1778">
        <v>4.78</v>
      </c>
      <c r="O31" s="1778">
        <v>54.44</v>
      </c>
      <c r="P31" s="1778">
        <v>2.27</v>
      </c>
      <c r="Q31" s="1778">
        <v>4.54</v>
      </c>
      <c r="R31" s="1778">
        <v>4.04</v>
      </c>
      <c r="S31" s="1778">
        <v>66.819999999999993</v>
      </c>
      <c r="T31" s="1778">
        <v>1.86</v>
      </c>
      <c r="U31" s="1778">
        <v>3.71</v>
      </c>
      <c r="V31" s="1778">
        <v>3.22</v>
      </c>
      <c r="W31" s="1190"/>
      <c r="X31" s="1190"/>
      <c r="Z31" s="40"/>
      <c r="AA31" s="645"/>
      <c r="AB31" s="7"/>
      <c r="AH31" s="1405"/>
      <c r="AI31" s="1405"/>
      <c r="AJ31" s="1405"/>
      <c r="AK31" s="1405"/>
      <c r="AL31" s="1405"/>
      <c r="AM31" s="1405"/>
      <c r="AN31" s="1405"/>
      <c r="AO31" s="1405"/>
      <c r="AP31" s="1405"/>
      <c r="AQ31" s="1405"/>
      <c r="AR31" s="1405"/>
      <c r="AS31" s="1405"/>
      <c r="AT31" s="1405"/>
      <c r="AU31" s="1405"/>
      <c r="AV31" s="1405"/>
      <c r="AW31" s="1405"/>
      <c r="AX31" s="1405"/>
    </row>
    <row r="32" spans="1:50" s="613" customFormat="1">
      <c r="A32" s="53"/>
      <c r="B32" s="1841" t="s">
        <v>2609</v>
      </c>
      <c r="C32" s="1842">
        <v>1</v>
      </c>
      <c r="D32" s="1842">
        <v>2</v>
      </c>
      <c r="E32" s="1842" t="s">
        <v>102</v>
      </c>
      <c r="F32" s="1842" t="s">
        <v>102</v>
      </c>
      <c r="G32" s="1843">
        <v>2.2800000000000001E-2</v>
      </c>
      <c r="H32" s="1843">
        <v>14.82</v>
      </c>
      <c r="I32" s="1778" t="s">
        <v>634</v>
      </c>
      <c r="J32" s="1778">
        <v>11.32</v>
      </c>
      <c r="K32" s="1778">
        <v>64.91</v>
      </c>
      <c r="L32" s="1778">
        <v>5.41</v>
      </c>
      <c r="M32" s="1778">
        <v>10.82</v>
      </c>
      <c r="N32" s="1778">
        <v>9.65</v>
      </c>
      <c r="O32" s="1778">
        <v>109.85</v>
      </c>
      <c r="P32" s="1778">
        <v>4.58</v>
      </c>
      <c r="Q32" s="1778">
        <v>9.15</v>
      </c>
      <c r="R32" s="1778">
        <v>8.16</v>
      </c>
      <c r="S32" s="1778">
        <v>134.82</v>
      </c>
      <c r="T32" s="1778">
        <v>3.74</v>
      </c>
      <c r="U32" s="1778">
        <v>7.49</v>
      </c>
      <c r="V32" s="1778">
        <v>6.49</v>
      </c>
      <c r="W32" s="1190"/>
      <c r="X32" s="1190"/>
      <c r="Z32" s="40"/>
      <c r="AA32" s="645"/>
      <c r="AB32" s="7"/>
      <c r="AH32" s="1405"/>
      <c r="AI32" s="1405"/>
      <c r="AJ32" s="1405"/>
      <c r="AK32" s="1405"/>
      <c r="AL32" s="1405"/>
      <c r="AM32" s="1405"/>
      <c r="AN32" s="1405"/>
      <c r="AO32" s="1405"/>
      <c r="AP32" s="1405"/>
      <c r="AQ32" s="1405"/>
      <c r="AR32" s="1405"/>
      <c r="AS32" s="1405"/>
      <c r="AT32" s="1405"/>
      <c r="AU32" s="1405"/>
      <c r="AV32" s="1405"/>
      <c r="AW32" s="1405"/>
      <c r="AX32" s="1405"/>
    </row>
    <row r="33" spans="1:50" s="613" customFormat="1">
      <c r="A33" s="53"/>
      <c r="B33" s="1841" t="s">
        <v>2610</v>
      </c>
      <c r="C33" s="1842">
        <v>2</v>
      </c>
      <c r="D33" s="1842">
        <v>4</v>
      </c>
      <c r="E33" s="1842" t="s">
        <v>102</v>
      </c>
      <c r="F33" s="1842" t="s">
        <v>102</v>
      </c>
      <c r="G33" s="1843">
        <v>4.7199999999999999E-2</v>
      </c>
      <c r="H33" s="1843">
        <v>30.68</v>
      </c>
      <c r="I33" s="1778" t="s">
        <v>634</v>
      </c>
      <c r="J33" s="1778" t="s">
        <v>634</v>
      </c>
      <c r="K33" s="1778" t="s">
        <v>634</v>
      </c>
      <c r="L33" s="1778" t="s">
        <v>634</v>
      </c>
      <c r="M33" s="1778" t="s">
        <v>634</v>
      </c>
      <c r="N33" s="1778" t="s">
        <v>634</v>
      </c>
      <c r="O33" s="1778" t="s">
        <v>634</v>
      </c>
      <c r="P33" s="1778" t="s">
        <v>634</v>
      </c>
      <c r="Q33" s="1778" t="s">
        <v>634</v>
      </c>
      <c r="R33" s="1778" t="s">
        <v>634</v>
      </c>
      <c r="S33" s="1778" t="s">
        <v>634</v>
      </c>
      <c r="T33" s="1778" t="s">
        <v>634</v>
      </c>
      <c r="U33" s="1778" t="s">
        <v>634</v>
      </c>
      <c r="V33" s="1778" t="s">
        <v>634</v>
      </c>
      <c r="W33" s="1190"/>
      <c r="X33" s="1190"/>
      <c r="Z33" s="40"/>
      <c r="AA33" s="938"/>
      <c r="AB33" s="7"/>
      <c r="AH33" s="1405"/>
      <c r="AI33" s="1405"/>
      <c r="AJ33" s="1405"/>
      <c r="AK33" s="1405"/>
      <c r="AL33" s="1405"/>
      <c r="AM33" s="1405"/>
      <c r="AN33" s="1405"/>
      <c r="AO33" s="1405"/>
      <c r="AP33" s="1405"/>
      <c r="AQ33" s="1405"/>
      <c r="AR33" s="1405"/>
      <c r="AS33" s="1405"/>
      <c r="AT33" s="1405"/>
      <c r="AU33" s="1405"/>
      <c r="AV33" s="1405"/>
      <c r="AW33" s="1405"/>
      <c r="AX33" s="1405"/>
    </row>
    <row r="34" spans="1:50" s="613" customFormat="1">
      <c r="A34" s="53"/>
      <c r="B34" s="1841" t="s">
        <v>2611</v>
      </c>
      <c r="C34" s="1842">
        <v>4</v>
      </c>
      <c r="D34" s="1842">
        <v>8</v>
      </c>
      <c r="E34" s="1842" t="s">
        <v>102</v>
      </c>
      <c r="F34" s="1842" t="s">
        <v>102</v>
      </c>
      <c r="G34" s="1843">
        <v>0.13439999999999999</v>
      </c>
      <c r="H34" s="1843">
        <v>87.36</v>
      </c>
      <c r="I34" s="1778" t="s">
        <v>634</v>
      </c>
      <c r="J34" s="1778" t="s">
        <v>634</v>
      </c>
      <c r="K34" s="1778" t="s">
        <v>634</v>
      </c>
      <c r="L34" s="1778" t="s">
        <v>634</v>
      </c>
      <c r="M34" s="1778" t="s">
        <v>634</v>
      </c>
      <c r="N34" s="1778" t="s">
        <v>634</v>
      </c>
      <c r="O34" s="1778" t="s">
        <v>634</v>
      </c>
      <c r="P34" s="1778" t="s">
        <v>634</v>
      </c>
      <c r="Q34" s="1778" t="s">
        <v>634</v>
      </c>
      <c r="R34" s="1778" t="s">
        <v>634</v>
      </c>
      <c r="S34" s="1778" t="s">
        <v>634</v>
      </c>
      <c r="T34" s="1778" t="s">
        <v>634</v>
      </c>
      <c r="U34" s="1778" t="s">
        <v>634</v>
      </c>
      <c r="V34" s="1778" t="s">
        <v>634</v>
      </c>
      <c r="W34" s="1190"/>
      <c r="X34" s="1190"/>
      <c r="Z34" s="40"/>
      <c r="AA34" s="938"/>
      <c r="AB34" s="7"/>
      <c r="AH34" s="1405"/>
      <c r="AI34" s="1405"/>
      <c r="AJ34" s="1405"/>
      <c r="AK34" s="1405"/>
      <c r="AL34" s="1405"/>
      <c r="AM34" s="1405"/>
      <c r="AN34" s="1405"/>
      <c r="AO34" s="1405"/>
      <c r="AP34" s="1405"/>
      <c r="AQ34" s="1405"/>
      <c r="AR34" s="1405"/>
      <c r="AS34" s="1405"/>
      <c r="AT34" s="1405"/>
      <c r="AU34" s="1405"/>
      <c r="AV34" s="1405"/>
      <c r="AW34" s="1405"/>
      <c r="AX34" s="1405"/>
    </row>
    <row r="35" spans="1:50" s="613" customFormat="1">
      <c r="A35" s="53"/>
      <c r="B35" s="1841" t="s">
        <v>2612</v>
      </c>
      <c r="C35" s="1842">
        <v>8</v>
      </c>
      <c r="D35" s="1842">
        <v>16</v>
      </c>
      <c r="E35" s="1842" t="s">
        <v>102</v>
      </c>
      <c r="F35" s="1842" t="s">
        <v>102</v>
      </c>
      <c r="G35" s="1843">
        <v>0.27239999999999998</v>
      </c>
      <c r="H35" s="1843">
        <v>177.06</v>
      </c>
      <c r="I35" s="1778" t="s">
        <v>634</v>
      </c>
      <c r="J35" s="1778" t="s">
        <v>634</v>
      </c>
      <c r="K35" s="1778" t="s">
        <v>634</v>
      </c>
      <c r="L35" s="1778" t="s">
        <v>634</v>
      </c>
      <c r="M35" s="1778" t="s">
        <v>634</v>
      </c>
      <c r="N35" s="1778" t="s">
        <v>634</v>
      </c>
      <c r="O35" s="1778" t="s">
        <v>634</v>
      </c>
      <c r="P35" s="1778" t="s">
        <v>634</v>
      </c>
      <c r="Q35" s="1778" t="s">
        <v>634</v>
      </c>
      <c r="R35" s="1778" t="s">
        <v>634</v>
      </c>
      <c r="S35" s="1778" t="s">
        <v>634</v>
      </c>
      <c r="T35" s="1778" t="s">
        <v>634</v>
      </c>
      <c r="U35" s="1778" t="s">
        <v>634</v>
      </c>
      <c r="V35" s="1778" t="s">
        <v>634</v>
      </c>
      <c r="W35" s="1190"/>
      <c r="X35" s="1190"/>
      <c r="Z35" s="40"/>
      <c r="AA35" s="938"/>
      <c r="AB35" s="7"/>
      <c r="AH35" s="1405"/>
      <c r="AI35" s="1405"/>
      <c r="AJ35" s="1405"/>
      <c r="AK35" s="1405"/>
      <c r="AL35" s="1405"/>
      <c r="AM35" s="1405"/>
      <c r="AN35" s="1405"/>
      <c r="AO35" s="1405"/>
      <c r="AP35" s="1405"/>
      <c r="AQ35" s="1405"/>
      <c r="AR35" s="1405"/>
      <c r="AS35" s="1405"/>
      <c r="AT35" s="1405"/>
      <c r="AU35" s="1405"/>
      <c r="AV35" s="1405"/>
      <c r="AW35" s="1405"/>
      <c r="AX35" s="1405"/>
    </row>
    <row r="36" spans="1:50" s="613" customFormat="1">
      <c r="A36" s="53"/>
      <c r="B36" s="1841" t="s">
        <v>2613</v>
      </c>
      <c r="C36" s="1842">
        <v>1</v>
      </c>
      <c r="D36" s="1842">
        <v>4</v>
      </c>
      <c r="E36" s="1842" t="s">
        <v>102</v>
      </c>
      <c r="F36" s="1842" t="s">
        <v>102</v>
      </c>
      <c r="G36" s="1843">
        <v>6.1600000000000002E-2</v>
      </c>
      <c r="H36" s="1843">
        <v>40.07</v>
      </c>
      <c r="I36" s="1778" t="s">
        <v>634</v>
      </c>
      <c r="J36" s="1778" t="s">
        <v>634</v>
      </c>
      <c r="K36" s="1778" t="s">
        <v>634</v>
      </c>
      <c r="L36" s="1778" t="s">
        <v>634</v>
      </c>
      <c r="M36" s="1778" t="s">
        <v>634</v>
      </c>
      <c r="N36" s="1778" t="s">
        <v>634</v>
      </c>
      <c r="O36" s="1778" t="s">
        <v>634</v>
      </c>
      <c r="P36" s="1778" t="s">
        <v>634</v>
      </c>
      <c r="Q36" s="1778" t="s">
        <v>634</v>
      </c>
      <c r="R36" s="1778" t="s">
        <v>634</v>
      </c>
      <c r="S36" s="1778" t="s">
        <v>634</v>
      </c>
      <c r="T36" s="1778" t="s">
        <v>634</v>
      </c>
      <c r="U36" s="1778" t="s">
        <v>634</v>
      </c>
      <c r="V36" s="1778" t="s">
        <v>634</v>
      </c>
      <c r="W36" s="1190"/>
      <c r="X36" s="1190"/>
      <c r="Z36" s="40"/>
      <c r="AA36" s="938"/>
      <c r="AB36" s="7"/>
      <c r="AH36" s="1405"/>
      <c r="AI36" s="1405"/>
      <c r="AJ36" s="1405"/>
      <c r="AK36" s="1405"/>
      <c r="AL36" s="1405"/>
      <c r="AM36" s="1405"/>
      <c r="AN36" s="1405"/>
      <c r="AO36" s="1405"/>
      <c r="AP36" s="1405"/>
      <c r="AQ36" s="1405"/>
      <c r="AR36" s="1405"/>
      <c r="AS36" s="1405"/>
      <c r="AT36" s="1405"/>
      <c r="AU36" s="1405"/>
      <c r="AV36" s="1405"/>
      <c r="AW36" s="1405"/>
      <c r="AX36" s="1405"/>
    </row>
    <row r="37" spans="1:50" s="613" customFormat="1">
      <c r="A37" s="53"/>
      <c r="B37" s="1841" t="s">
        <v>2614</v>
      </c>
      <c r="C37" s="1842">
        <v>2</v>
      </c>
      <c r="D37" s="1842">
        <v>8</v>
      </c>
      <c r="E37" s="1842" t="s">
        <v>102</v>
      </c>
      <c r="F37" s="1842" t="s">
        <v>102</v>
      </c>
      <c r="G37" s="1843">
        <v>0.1234</v>
      </c>
      <c r="H37" s="1843">
        <v>80.209999999999994</v>
      </c>
      <c r="I37" s="1778" t="s">
        <v>634</v>
      </c>
      <c r="J37" s="1778" t="s">
        <v>634</v>
      </c>
      <c r="K37" s="1778" t="s">
        <v>634</v>
      </c>
      <c r="L37" s="1778" t="s">
        <v>634</v>
      </c>
      <c r="M37" s="1778" t="s">
        <v>634</v>
      </c>
      <c r="N37" s="1778" t="s">
        <v>634</v>
      </c>
      <c r="O37" s="1778" t="s">
        <v>634</v>
      </c>
      <c r="P37" s="1778" t="s">
        <v>634</v>
      </c>
      <c r="Q37" s="1778" t="s">
        <v>634</v>
      </c>
      <c r="R37" s="1778" t="s">
        <v>634</v>
      </c>
      <c r="S37" s="1778" t="s">
        <v>634</v>
      </c>
      <c r="T37" s="1778" t="s">
        <v>634</v>
      </c>
      <c r="U37" s="1778" t="s">
        <v>634</v>
      </c>
      <c r="V37" s="1778" t="s">
        <v>634</v>
      </c>
      <c r="W37" s="1190"/>
      <c r="X37" s="1190"/>
      <c r="Z37" s="40"/>
      <c r="AA37" s="938"/>
      <c r="AB37" s="7"/>
      <c r="AH37" s="1405"/>
      <c r="AI37" s="1405"/>
      <c r="AJ37" s="1405"/>
      <c r="AK37" s="1405"/>
      <c r="AL37" s="1405"/>
      <c r="AM37" s="1405"/>
      <c r="AN37" s="1405"/>
      <c r="AO37" s="1405"/>
      <c r="AP37" s="1405"/>
      <c r="AQ37" s="1405"/>
      <c r="AR37" s="1405"/>
      <c r="AS37" s="1405"/>
      <c r="AT37" s="1405"/>
      <c r="AU37" s="1405"/>
      <c r="AV37" s="1405"/>
      <c r="AW37" s="1405"/>
      <c r="AX37" s="1405"/>
    </row>
    <row r="38" spans="1:50" s="613" customFormat="1">
      <c r="A38" s="53"/>
      <c r="B38" s="1842" t="s">
        <v>2615</v>
      </c>
      <c r="C38" s="1842">
        <v>4</v>
      </c>
      <c r="D38" s="1842">
        <v>16</v>
      </c>
      <c r="E38" s="1842" t="s">
        <v>102</v>
      </c>
      <c r="F38" s="1842" t="s">
        <v>102</v>
      </c>
      <c r="G38" s="1843">
        <v>0.24679999999999999</v>
      </c>
      <c r="H38" s="1843">
        <v>160.41</v>
      </c>
      <c r="I38" s="1778" t="s">
        <v>634</v>
      </c>
      <c r="J38" s="1778" t="s">
        <v>634</v>
      </c>
      <c r="K38" s="1778" t="s">
        <v>634</v>
      </c>
      <c r="L38" s="1778" t="s">
        <v>634</v>
      </c>
      <c r="M38" s="1778" t="s">
        <v>634</v>
      </c>
      <c r="N38" s="1778" t="s">
        <v>634</v>
      </c>
      <c r="O38" s="1778" t="s">
        <v>634</v>
      </c>
      <c r="P38" s="1778" t="s">
        <v>634</v>
      </c>
      <c r="Q38" s="1778" t="s">
        <v>634</v>
      </c>
      <c r="R38" s="1778" t="s">
        <v>634</v>
      </c>
      <c r="S38" s="1778" t="s">
        <v>634</v>
      </c>
      <c r="T38" s="1778" t="s">
        <v>634</v>
      </c>
      <c r="U38" s="1778" t="s">
        <v>634</v>
      </c>
      <c r="V38" s="1778" t="s">
        <v>634</v>
      </c>
      <c r="W38" s="1190"/>
      <c r="X38" s="1190"/>
      <c r="Z38" s="40"/>
      <c r="AA38" s="938"/>
      <c r="AB38" s="7"/>
      <c r="AH38" s="1405"/>
      <c r="AI38" s="1405"/>
      <c r="AJ38" s="1405"/>
      <c r="AK38" s="1405"/>
      <c r="AL38" s="1405"/>
      <c r="AM38" s="1405"/>
      <c r="AN38" s="1405"/>
      <c r="AO38" s="1405"/>
      <c r="AP38" s="1405"/>
      <c r="AQ38" s="1405"/>
      <c r="AR38" s="1405"/>
      <c r="AS38" s="1405"/>
      <c r="AT38" s="1405"/>
      <c r="AU38" s="1405"/>
      <c r="AV38" s="1405"/>
      <c r="AW38" s="1405"/>
      <c r="AX38" s="1405"/>
    </row>
    <row r="39" spans="1:50" s="613" customFormat="1">
      <c r="A39" s="53"/>
      <c r="B39" s="1842" t="s">
        <v>2616</v>
      </c>
      <c r="C39" s="1842">
        <v>8</v>
      </c>
      <c r="D39" s="1842">
        <v>32</v>
      </c>
      <c r="E39" s="1842" t="s">
        <v>102</v>
      </c>
      <c r="F39" s="1842" t="s">
        <v>102</v>
      </c>
      <c r="G39" s="1843">
        <v>0.49370000000000003</v>
      </c>
      <c r="H39" s="1843">
        <v>320.89999999999998</v>
      </c>
      <c r="I39" s="1778" t="s">
        <v>634</v>
      </c>
      <c r="J39" s="1778" t="s">
        <v>634</v>
      </c>
      <c r="K39" s="1778" t="s">
        <v>634</v>
      </c>
      <c r="L39" s="1778" t="s">
        <v>634</v>
      </c>
      <c r="M39" s="1778" t="s">
        <v>634</v>
      </c>
      <c r="N39" s="1778" t="s">
        <v>634</v>
      </c>
      <c r="O39" s="1778" t="s">
        <v>634</v>
      </c>
      <c r="P39" s="1778" t="s">
        <v>634</v>
      </c>
      <c r="Q39" s="1778" t="s">
        <v>634</v>
      </c>
      <c r="R39" s="1778" t="s">
        <v>634</v>
      </c>
      <c r="S39" s="1778" t="s">
        <v>634</v>
      </c>
      <c r="T39" s="1778" t="s">
        <v>634</v>
      </c>
      <c r="U39" s="1778" t="s">
        <v>634</v>
      </c>
      <c r="V39" s="1778" t="s">
        <v>634</v>
      </c>
      <c r="W39" s="1190"/>
      <c r="X39" s="1190"/>
      <c r="Z39" s="40"/>
      <c r="AA39" s="938"/>
      <c r="AB39" s="7"/>
      <c r="AH39" s="1405"/>
      <c r="AI39" s="1405"/>
      <c r="AJ39" s="1405"/>
      <c r="AK39" s="1405"/>
      <c r="AL39" s="1405"/>
      <c r="AM39" s="1405"/>
      <c r="AN39" s="1405"/>
      <c r="AO39" s="1405"/>
      <c r="AP39" s="1405"/>
      <c r="AQ39" s="1405"/>
      <c r="AR39" s="1405"/>
      <c r="AS39" s="1405"/>
      <c r="AT39" s="1405"/>
      <c r="AU39" s="1405"/>
      <c r="AV39" s="1405"/>
      <c r="AW39" s="1405"/>
      <c r="AX39" s="1405"/>
    </row>
    <row r="40" spans="1:50" s="593" customFormat="1">
      <c r="A40" s="679"/>
      <c r="B40" s="1842" t="s">
        <v>2617</v>
      </c>
      <c r="C40" s="1842">
        <v>16</v>
      </c>
      <c r="D40" s="1842">
        <v>64</v>
      </c>
      <c r="E40" s="1842" t="s">
        <v>102</v>
      </c>
      <c r="F40" s="1842" t="s">
        <v>102</v>
      </c>
      <c r="G40" s="1843">
        <v>0.98740000000000006</v>
      </c>
      <c r="H40" s="1843">
        <v>641.79999999999995</v>
      </c>
      <c r="I40" s="1778" t="s">
        <v>634</v>
      </c>
      <c r="J40" s="1778" t="s">
        <v>634</v>
      </c>
      <c r="K40" s="1778" t="s">
        <v>634</v>
      </c>
      <c r="L40" s="1778" t="s">
        <v>634</v>
      </c>
      <c r="M40" s="1778" t="s">
        <v>634</v>
      </c>
      <c r="N40" s="1778" t="s">
        <v>634</v>
      </c>
      <c r="O40" s="1778" t="s">
        <v>634</v>
      </c>
      <c r="P40" s="1778" t="s">
        <v>634</v>
      </c>
      <c r="Q40" s="1778" t="s">
        <v>634</v>
      </c>
      <c r="R40" s="1778" t="s">
        <v>634</v>
      </c>
      <c r="S40" s="1778" t="s">
        <v>634</v>
      </c>
      <c r="T40" s="1778" t="s">
        <v>634</v>
      </c>
      <c r="U40" s="1778" t="s">
        <v>634</v>
      </c>
      <c r="V40" s="1778" t="s">
        <v>634</v>
      </c>
      <c r="W40" s="1190"/>
      <c r="X40" s="1190"/>
      <c r="Z40" s="759"/>
      <c r="AA40" s="760"/>
      <c r="AB40" s="678"/>
      <c r="AH40" s="1405"/>
      <c r="AI40" s="1405"/>
      <c r="AJ40" s="1405"/>
      <c r="AK40" s="1405"/>
      <c r="AL40" s="1405"/>
      <c r="AM40" s="1405"/>
      <c r="AN40" s="1405"/>
      <c r="AO40" s="1405"/>
      <c r="AP40" s="1405"/>
      <c r="AQ40" s="1405"/>
      <c r="AR40" s="1405"/>
      <c r="AS40" s="1405"/>
      <c r="AT40" s="1405"/>
      <c r="AU40" s="1405"/>
      <c r="AV40" s="1405"/>
      <c r="AW40" s="1405"/>
      <c r="AX40" s="1405"/>
    </row>
    <row r="41" spans="1:50" s="593" customFormat="1">
      <c r="A41" s="679"/>
      <c r="B41" s="1842" t="s">
        <v>2618</v>
      </c>
      <c r="C41" s="1842">
        <v>32</v>
      </c>
      <c r="D41" s="1842">
        <v>128</v>
      </c>
      <c r="E41" s="1842" t="s">
        <v>102</v>
      </c>
      <c r="F41" s="1842" t="s">
        <v>102</v>
      </c>
      <c r="G41" s="1843">
        <v>1.7826</v>
      </c>
      <c r="H41" s="1843">
        <v>1158.7</v>
      </c>
      <c r="I41" s="1778" t="s">
        <v>634</v>
      </c>
      <c r="J41" s="1778" t="s">
        <v>634</v>
      </c>
      <c r="K41" s="1778" t="s">
        <v>634</v>
      </c>
      <c r="L41" s="1778" t="s">
        <v>634</v>
      </c>
      <c r="M41" s="1778" t="s">
        <v>634</v>
      </c>
      <c r="N41" s="1778" t="s">
        <v>634</v>
      </c>
      <c r="O41" s="1778" t="s">
        <v>634</v>
      </c>
      <c r="P41" s="1778" t="s">
        <v>634</v>
      </c>
      <c r="Q41" s="1778" t="s">
        <v>634</v>
      </c>
      <c r="R41" s="1778" t="s">
        <v>634</v>
      </c>
      <c r="S41" s="1778" t="s">
        <v>634</v>
      </c>
      <c r="T41" s="1778" t="s">
        <v>634</v>
      </c>
      <c r="U41" s="1778" t="s">
        <v>634</v>
      </c>
      <c r="V41" s="1778" t="s">
        <v>634</v>
      </c>
      <c r="W41" s="1190"/>
      <c r="X41" s="1190"/>
      <c r="Z41" s="759"/>
      <c r="AA41" s="760"/>
      <c r="AB41" s="678"/>
      <c r="AH41" s="1405"/>
      <c r="AI41" s="1405"/>
      <c r="AJ41" s="1405"/>
      <c r="AK41" s="1405"/>
      <c r="AL41" s="1405"/>
      <c r="AM41" s="1405"/>
      <c r="AN41" s="1405"/>
      <c r="AO41" s="1405"/>
      <c r="AP41" s="1405"/>
      <c r="AQ41" s="1405"/>
      <c r="AR41" s="1405"/>
      <c r="AS41" s="1405"/>
      <c r="AT41" s="1405"/>
      <c r="AU41" s="1405"/>
      <c r="AV41" s="1405"/>
      <c r="AW41" s="1405"/>
      <c r="AX41" s="1405"/>
    </row>
    <row r="42" spans="1:50" s="593" customFormat="1">
      <c r="A42" s="679"/>
      <c r="B42" s="1842" t="s">
        <v>2619</v>
      </c>
      <c r="C42" s="1842">
        <v>2</v>
      </c>
      <c r="D42" s="1842">
        <v>2</v>
      </c>
      <c r="E42" s="1842" t="s">
        <v>102</v>
      </c>
      <c r="F42" s="1842" t="s">
        <v>102</v>
      </c>
      <c r="G42" s="1843">
        <v>0.111</v>
      </c>
      <c r="H42" s="1843">
        <v>72.13</v>
      </c>
      <c r="I42" s="1778" t="s">
        <v>634</v>
      </c>
      <c r="J42" s="1778" t="s">
        <v>634</v>
      </c>
      <c r="K42" s="1778" t="s">
        <v>634</v>
      </c>
      <c r="L42" s="1778" t="s">
        <v>634</v>
      </c>
      <c r="M42" s="1778" t="s">
        <v>634</v>
      </c>
      <c r="N42" s="1778" t="s">
        <v>634</v>
      </c>
      <c r="O42" s="1778" t="s">
        <v>634</v>
      </c>
      <c r="P42" s="1778" t="s">
        <v>634</v>
      </c>
      <c r="Q42" s="1778" t="s">
        <v>634</v>
      </c>
      <c r="R42" s="1778" t="s">
        <v>634</v>
      </c>
      <c r="S42" s="1778" t="s">
        <v>634</v>
      </c>
      <c r="T42" s="1778" t="s">
        <v>634</v>
      </c>
      <c r="U42" s="1778" t="s">
        <v>634</v>
      </c>
      <c r="V42" s="1778" t="s">
        <v>634</v>
      </c>
      <c r="W42" s="1190"/>
      <c r="X42" s="1190"/>
      <c r="Z42" s="759"/>
      <c r="AA42" s="760"/>
      <c r="AB42" s="678"/>
      <c r="AH42" s="1405"/>
      <c r="AI42" s="1405"/>
      <c r="AJ42" s="1405"/>
      <c r="AK42" s="1405"/>
      <c r="AL42" s="1405"/>
      <c r="AM42" s="1405"/>
      <c r="AN42" s="1405"/>
      <c r="AO42" s="1405"/>
      <c r="AP42" s="1405"/>
      <c r="AQ42" s="1405"/>
      <c r="AR42" s="1405"/>
      <c r="AS42" s="1405"/>
      <c r="AT42" s="1405"/>
      <c r="AU42" s="1405"/>
      <c r="AV42" s="1405"/>
      <c r="AW42" s="1405"/>
      <c r="AX42" s="1405"/>
    </row>
    <row r="43" spans="1:50" s="593" customFormat="1">
      <c r="A43" s="679"/>
      <c r="B43" s="1842" t="s">
        <v>2620</v>
      </c>
      <c r="C43" s="1842">
        <v>4</v>
      </c>
      <c r="D43" s="1842">
        <v>4</v>
      </c>
      <c r="E43" s="1842" t="s">
        <v>102</v>
      </c>
      <c r="F43" s="1842" t="s">
        <v>102</v>
      </c>
      <c r="G43" s="1843">
        <v>0.22090000000000001</v>
      </c>
      <c r="H43" s="1843">
        <v>143.59</v>
      </c>
      <c r="I43" s="1778" t="s">
        <v>634</v>
      </c>
      <c r="J43" s="1778" t="s">
        <v>634</v>
      </c>
      <c r="K43" s="1778" t="s">
        <v>634</v>
      </c>
      <c r="L43" s="1778" t="s">
        <v>634</v>
      </c>
      <c r="M43" s="1778" t="s">
        <v>634</v>
      </c>
      <c r="N43" s="1778" t="s">
        <v>634</v>
      </c>
      <c r="O43" s="1778" t="s">
        <v>634</v>
      </c>
      <c r="P43" s="1778" t="s">
        <v>634</v>
      </c>
      <c r="Q43" s="1778" t="s">
        <v>634</v>
      </c>
      <c r="R43" s="1778" t="s">
        <v>634</v>
      </c>
      <c r="S43" s="1778" t="s">
        <v>634</v>
      </c>
      <c r="T43" s="1778" t="s">
        <v>634</v>
      </c>
      <c r="U43" s="1778" t="s">
        <v>634</v>
      </c>
      <c r="V43" s="1778" t="s">
        <v>634</v>
      </c>
      <c r="W43" s="1190"/>
      <c r="X43" s="1190"/>
      <c r="Z43" s="759"/>
      <c r="AA43" s="1052"/>
      <c r="AB43" s="678"/>
      <c r="AH43" s="1405"/>
      <c r="AI43" s="1405"/>
      <c r="AJ43" s="1405"/>
      <c r="AK43" s="1405"/>
      <c r="AL43" s="1405"/>
      <c r="AM43" s="1405"/>
      <c r="AN43" s="1405"/>
      <c r="AO43" s="1405"/>
      <c r="AP43" s="1405"/>
      <c r="AQ43" s="1405"/>
      <c r="AR43" s="1405"/>
      <c r="AS43" s="1405"/>
      <c r="AT43" s="1405"/>
      <c r="AU43" s="1405"/>
      <c r="AV43" s="1405"/>
      <c r="AW43" s="1405"/>
      <c r="AX43" s="1405"/>
    </row>
    <row r="44" spans="1:50" s="593" customFormat="1">
      <c r="A44" s="679"/>
      <c r="B44" s="1842" t="s">
        <v>2621</v>
      </c>
      <c r="C44" s="1842">
        <v>8</v>
      </c>
      <c r="D44" s="1842">
        <v>8</v>
      </c>
      <c r="E44" s="1842" t="s">
        <v>102</v>
      </c>
      <c r="F44" s="1842" t="s">
        <v>102</v>
      </c>
      <c r="G44" s="1843">
        <v>0.44180000000000003</v>
      </c>
      <c r="H44" s="1843">
        <v>287.19</v>
      </c>
      <c r="I44" s="1778" t="s">
        <v>634</v>
      </c>
      <c r="J44" s="1778" t="s">
        <v>634</v>
      </c>
      <c r="K44" s="1778" t="s">
        <v>634</v>
      </c>
      <c r="L44" s="1778" t="s">
        <v>634</v>
      </c>
      <c r="M44" s="1778" t="s">
        <v>634</v>
      </c>
      <c r="N44" s="1778" t="s">
        <v>634</v>
      </c>
      <c r="O44" s="1778" t="s">
        <v>634</v>
      </c>
      <c r="P44" s="1778" t="s">
        <v>634</v>
      </c>
      <c r="Q44" s="1778" t="s">
        <v>634</v>
      </c>
      <c r="R44" s="1778" t="s">
        <v>634</v>
      </c>
      <c r="S44" s="1778" t="s">
        <v>634</v>
      </c>
      <c r="T44" s="1778" t="s">
        <v>634</v>
      </c>
      <c r="U44" s="1778" t="s">
        <v>634</v>
      </c>
      <c r="V44" s="1778" t="s">
        <v>634</v>
      </c>
      <c r="W44" s="1190"/>
      <c r="X44" s="1190"/>
      <c r="Z44" s="759"/>
      <c r="AA44" s="1052"/>
      <c r="AB44" s="678"/>
      <c r="AH44" s="1405"/>
      <c r="AI44" s="1405"/>
      <c r="AJ44" s="1405"/>
      <c r="AK44" s="1405"/>
      <c r="AL44" s="1405"/>
      <c r="AM44" s="1405"/>
      <c r="AN44" s="1405"/>
      <c r="AO44" s="1405"/>
      <c r="AP44" s="1405"/>
      <c r="AQ44" s="1405"/>
      <c r="AR44" s="1405"/>
      <c r="AS44" s="1405"/>
      <c r="AT44" s="1405"/>
      <c r="AU44" s="1405"/>
      <c r="AV44" s="1405"/>
      <c r="AW44" s="1405"/>
      <c r="AX44" s="1405"/>
    </row>
    <row r="45" spans="1:50" s="593" customFormat="1">
      <c r="A45" s="679"/>
      <c r="B45" s="1842" t="s">
        <v>2622</v>
      </c>
      <c r="C45" s="1842">
        <v>16</v>
      </c>
      <c r="D45" s="1842">
        <v>16</v>
      </c>
      <c r="E45" s="1842" t="s">
        <v>102</v>
      </c>
      <c r="F45" s="1842" t="s">
        <v>102</v>
      </c>
      <c r="G45" s="1843">
        <v>0.88380000000000003</v>
      </c>
      <c r="H45" s="1843">
        <v>574.45000000000005</v>
      </c>
      <c r="I45" s="1778" t="s">
        <v>634</v>
      </c>
      <c r="J45" s="1778" t="s">
        <v>634</v>
      </c>
      <c r="K45" s="1778" t="s">
        <v>634</v>
      </c>
      <c r="L45" s="1778" t="s">
        <v>634</v>
      </c>
      <c r="M45" s="1778" t="s">
        <v>634</v>
      </c>
      <c r="N45" s="1778" t="s">
        <v>634</v>
      </c>
      <c r="O45" s="1778" t="s">
        <v>634</v>
      </c>
      <c r="P45" s="1778" t="s">
        <v>634</v>
      </c>
      <c r="Q45" s="1778" t="s">
        <v>634</v>
      </c>
      <c r="R45" s="1778" t="s">
        <v>634</v>
      </c>
      <c r="S45" s="1778" t="s">
        <v>634</v>
      </c>
      <c r="T45" s="1778" t="s">
        <v>634</v>
      </c>
      <c r="U45" s="1778" t="s">
        <v>634</v>
      </c>
      <c r="V45" s="1778" t="s">
        <v>634</v>
      </c>
      <c r="W45" s="1190"/>
      <c r="X45" s="1190"/>
      <c r="Z45" s="759"/>
      <c r="AA45" s="1052"/>
      <c r="AB45" s="678"/>
      <c r="AH45" s="1405"/>
      <c r="AI45" s="1405"/>
      <c r="AJ45" s="1405"/>
      <c r="AK45" s="1405"/>
      <c r="AL45" s="1405"/>
      <c r="AM45" s="1405"/>
      <c r="AN45" s="1405"/>
      <c r="AO45" s="1405"/>
      <c r="AP45" s="1405"/>
      <c r="AQ45" s="1405"/>
      <c r="AR45" s="1405"/>
      <c r="AS45" s="1405"/>
      <c r="AT45" s="1405"/>
      <c r="AU45" s="1405"/>
      <c r="AV45" s="1405"/>
      <c r="AW45" s="1405"/>
      <c r="AX45" s="1405"/>
    </row>
    <row r="46" spans="1:50" s="593" customFormat="1">
      <c r="A46" s="679"/>
      <c r="B46" s="1842" t="s">
        <v>2623</v>
      </c>
      <c r="C46" s="1842">
        <v>2</v>
      </c>
      <c r="D46" s="1842">
        <v>4</v>
      </c>
      <c r="E46" s="1842" t="s">
        <v>102</v>
      </c>
      <c r="F46" s="1842" t="s">
        <v>102</v>
      </c>
      <c r="G46" s="1843">
        <v>0.11119999999999999</v>
      </c>
      <c r="H46" s="1843">
        <v>72.28</v>
      </c>
      <c r="I46" s="1778" t="s">
        <v>634</v>
      </c>
      <c r="J46" s="1778" t="s">
        <v>634</v>
      </c>
      <c r="K46" s="1778" t="s">
        <v>634</v>
      </c>
      <c r="L46" s="1778" t="s">
        <v>634</v>
      </c>
      <c r="M46" s="1778" t="s">
        <v>634</v>
      </c>
      <c r="N46" s="1778" t="s">
        <v>634</v>
      </c>
      <c r="O46" s="1778" t="s">
        <v>634</v>
      </c>
      <c r="P46" s="1778" t="s">
        <v>634</v>
      </c>
      <c r="Q46" s="1778" t="s">
        <v>634</v>
      </c>
      <c r="R46" s="1778" t="s">
        <v>634</v>
      </c>
      <c r="S46" s="1778" t="s">
        <v>634</v>
      </c>
      <c r="T46" s="1778" t="s">
        <v>634</v>
      </c>
      <c r="U46" s="1778" t="s">
        <v>634</v>
      </c>
      <c r="V46" s="1778" t="s">
        <v>634</v>
      </c>
      <c r="W46" s="1190"/>
      <c r="X46" s="1190"/>
      <c r="Z46" s="759"/>
      <c r="AA46" s="1052"/>
      <c r="AB46" s="678"/>
      <c r="AH46" s="1405"/>
      <c r="AI46" s="1405"/>
      <c r="AJ46" s="1405"/>
      <c r="AK46" s="1405"/>
      <c r="AL46" s="1405"/>
      <c r="AM46" s="1405"/>
      <c r="AN46" s="1405"/>
      <c r="AO46" s="1405"/>
      <c r="AP46" s="1405"/>
      <c r="AQ46" s="1405"/>
      <c r="AR46" s="1405"/>
      <c r="AS46" s="1405"/>
      <c r="AT46" s="1405"/>
      <c r="AU46" s="1405"/>
      <c r="AV46" s="1405"/>
      <c r="AW46" s="1405"/>
      <c r="AX46" s="1405"/>
    </row>
    <row r="47" spans="1:50" s="593" customFormat="1">
      <c r="A47" s="679"/>
      <c r="B47" s="1842" t="s">
        <v>2624</v>
      </c>
      <c r="C47" s="1842">
        <v>4</v>
      </c>
      <c r="D47" s="1842">
        <v>8</v>
      </c>
      <c r="E47" s="1842" t="s">
        <v>102</v>
      </c>
      <c r="F47" s="1842" t="s">
        <v>102</v>
      </c>
      <c r="G47" s="1843">
        <v>0.2225</v>
      </c>
      <c r="H47" s="1843">
        <v>144.63999999999999</v>
      </c>
      <c r="I47" s="1778" t="s">
        <v>634</v>
      </c>
      <c r="J47" s="1778" t="s">
        <v>634</v>
      </c>
      <c r="K47" s="1778" t="s">
        <v>634</v>
      </c>
      <c r="L47" s="1778" t="s">
        <v>634</v>
      </c>
      <c r="M47" s="1778" t="s">
        <v>634</v>
      </c>
      <c r="N47" s="1778" t="s">
        <v>634</v>
      </c>
      <c r="O47" s="1778" t="s">
        <v>634</v>
      </c>
      <c r="P47" s="1778" t="s">
        <v>634</v>
      </c>
      <c r="Q47" s="1778" t="s">
        <v>634</v>
      </c>
      <c r="R47" s="1778" t="s">
        <v>634</v>
      </c>
      <c r="S47" s="1778" t="s">
        <v>634</v>
      </c>
      <c r="T47" s="1778" t="s">
        <v>634</v>
      </c>
      <c r="U47" s="1778" t="s">
        <v>634</v>
      </c>
      <c r="V47" s="1778" t="s">
        <v>634</v>
      </c>
      <c r="W47" s="1190"/>
      <c r="X47" s="1190"/>
      <c r="Z47" s="759"/>
      <c r="AA47" s="1067"/>
      <c r="AB47" s="678"/>
      <c r="AH47" s="1405"/>
      <c r="AI47" s="1405"/>
      <c r="AJ47" s="1405"/>
      <c r="AK47" s="1405"/>
      <c r="AL47" s="1405"/>
      <c r="AM47" s="1405"/>
      <c r="AN47" s="1405"/>
      <c r="AO47" s="1405"/>
      <c r="AP47" s="1405"/>
      <c r="AQ47" s="1405"/>
      <c r="AR47" s="1405"/>
      <c r="AS47" s="1405"/>
      <c r="AT47" s="1405"/>
      <c r="AU47" s="1405"/>
      <c r="AV47" s="1405"/>
      <c r="AW47" s="1405"/>
      <c r="AX47" s="1405"/>
    </row>
    <row r="48" spans="1:50" s="593" customFormat="1">
      <c r="A48" s="679"/>
      <c r="B48" s="1842" t="s">
        <v>2625</v>
      </c>
      <c r="C48" s="1842">
        <v>8</v>
      </c>
      <c r="D48" s="1842">
        <v>16</v>
      </c>
      <c r="E48" s="1842" t="s">
        <v>102</v>
      </c>
      <c r="F48" s="1842" t="s">
        <v>102</v>
      </c>
      <c r="G48" s="1843">
        <v>0.44519999999999998</v>
      </c>
      <c r="H48" s="1843">
        <v>289.36</v>
      </c>
      <c r="I48" s="1778" t="s">
        <v>634</v>
      </c>
      <c r="J48" s="1778" t="s">
        <v>634</v>
      </c>
      <c r="K48" s="1778" t="s">
        <v>634</v>
      </c>
      <c r="L48" s="1778" t="s">
        <v>634</v>
      </c>
      <c r="M48" s="1778" t="s">
        <v>634</v>
      </c>
      <c r="N48" s="1778" t="s">
        <v>634</v>
      </c>
      <c r="O48" s="1778" t="s">
        <v>634</v>
      </c>
      <c r="P48" s="1778" t="s">
        <v>634</v>
      </c>
      <c r="Q48" s="1778" t="s">
        <v>634</v>
      </c>
      <c r="R48" s="1778" t="s">
        <v>634</v>
      </c>
      <c r="S48" s="1778" t="s">
        <v>634</v>
      </c>
      <c r="T48" s="1778" t="s">
        <v>634</v>
      </c>
      <c r="U48" s="1778" t="s">
        <v>634</v>
      </c>
      <c r="V48" s="1778" t="s">
        <v>634</v>
      </c>
      <c r="W48" s="1190"/>
      <c r="X48" s="1190"/>
      <c r="Z48" s="759"/>
      <c r="AA48" s="1067"/>
      <c r="AB48" s="678"/>
      <c r="AH48" s="1405"/>
      <c r="AI48" s="1405"/>
      <c r="AJ48" s="1405"/>
      <c r="AK48" s="1405"/>
      <c r="AL48" s="1405"/>
      <c r="AM48" s="1405"/>
      <c r="AN48" s="1405"/>
      <c r="AO48" s="1405"/>
      <c r="AP48" s="1405"/>
      <c r="AQ48" s="1405"/>
      <c r="AR48" s="1405"/>
      <c r="AS48" s="1405"/>
      <c r="AT48" s="1405"/>
      <c r="AU48" s="1405"/>
      <c r="AV48" s="1405"/>
      <c r="AW48" s="1405"/>
      <c r="AX48" s="1405"/>
    </row>
    <row r="49" spans="1:50" s="593" customFormat="1">
      <c r="A49" s="679"/>
      <c r="B49" s="1841" t="s">
        <v>2626</v>
      </c>
      <c r="C49" s="1842">
        <v>2</v>
      </c>
      <c r="D49" s="1842">
        <v>4</v>
      </c>
      <c r="E49" s="1842" t="s">
        <v>102</v>
      </c>
      <c r="F49" s="1842" t="s">
        <v>102</v>
      </c>
      <c r="G49" s="1843">
        <v>0.10100000000000001</v>
      </c>
      <c r="H49" s="1843">
        <v>65.67</v>
      </c>
      <c r="I49" s="1778" t="s">
        <v>634</v>
      </c>
      <c r="J49" s="1778">
        <v>46.46</v>
      </c>
      <c r="K49" s="1778">
        <v>265.49</v>
      </c>
      <c r="L49" s="1778">
        <v>22.12</v>
      </c>
      <c r="M49" s="1778">
        <v>44.25</v>
      </c>
      <c r="N49" s="1778">
        <v>40.56</v>
      </c>
      <c r="O49" s="1778">
        <v>460.18</v>
      </c>
      <c r="P49" s="1778">
        <v>19.170000000000002</v>
      </c>
      <c r="Q49" s="1778">
        <v>38.35</v>
      </c>
      <c r="R49" s="1778">
        <v>31.71</v>
      </c>
      <c r="S49" s="1778">
        <v>530.98</v>
      </c>
      <c r="T49" s="1778">
        <v>14.75</v>
      </c>
      <c r="U49" s="1778">
        <v>29.5</v>
      </c>
      <c r="V49" s="1778">
        <v>28.02</v>
      </c>
      <c r="W49" s="1190"/>
      <c r="X49" s="1190"/>
      <c r="Z49" s="759"/>
      <c r="AA49" s="1067"/>
      <c r="AB49" s="678"/>
      <c r="AH49" s="1405"/>
      <c r="AI49" s="1405"/>
      <c r="AJ49" s="1405"/>
      <c r="AK49" s="1405"/>
      <c r="AL49" s="1405"/>
      <c r="AM49" s="1405"/>
      <c r="AN49" s="1405"/>
      <c r="AO49" s="1405"/>
      <c r="AP49" s="1405"/>
      <c r="AQ49" s="1405"/>
      <c r="AR49" s="1405"/>
      <c r="AS49" s="1405"/>
      <c r="AT49" s="1405"/>
      <c r="AU49" s="1405"/>
      <c r="AV49" s="1405"/>
      <c r="AW49" s="1405"/>
      <c r="AX49" s="1405"/>
    </row>
    <row r="50" spans="1:50" s="613" customFormat="1">
      <c r="A50" s="53"/>
      <c r="B50" s="1841" t="s">
        <v>2627</v>
      </c>
      <c r="C50" s="1842">
        <v>4</v>
      </c>
      <c r="D50" s="1842">
        <v>8</v>
      </c>
      <c r="E50" s="1842" t="s">
        <v>102</v>
      </c>
      <c r="F50" s="1842" t="s">
        <v>102</v>
      </c>
      <c r="G50" s="1843">
        <v>0.20200000000000001</v>
      </c>
      <c r="H50" s="1843">
        <v>131.33000000000001</v>
      </c>
      <c r="I50" s="1778" t="s">
        <v>634</v>
      </c>
      <c r="J50" s="1778">
        <v>92.92</v>
      </c>
      <c r="K50" s="1778">
        <v>530.98</v>
      </c>
      <c r="L50" s="1778">
        <v>44.25</v>
      </c>
      <c r="M50" s="1778">
        <v>88.5</v>
      </c>
      <c r="N50" s="1778">
        <v>81.12</v>
      </c>
      <c r="O50" s="1778">
        <v>920.37</v>
      </c>
      <c r="P50" s="1778">
        <v>38.35</v>
      </c>
      <c r="Q50" s="1778">
        <v>76.7</v>
      </c>
      <c r="R50" s="1778">
        <v>63.42</v>
      </c>
      <c r="S50" s="1778">
        <v>1061.96</v>
      </c>
      <c r="T50" s="1778">
        <v>29.5</v>
      </c>
      <c r="U50" s="1778">
        <v>59</v>
      </c>
      <c r="V50" s="1778">
        <v>56.05</v>
      </c>
      <c r="W50" s="1190"/>
      <c r="X50" s="1190"/>
      <c r="Z50" s="40"/>
      <c r="AA50" s="633"/>
      <c r="AB50" s="7"/>
      <c r="AH50" s="1405"/>
      <c r="AI50" s="1405"/>
      <c r="AJ50" s="1405"/>
      <c r="AK50" s="1405"/>
      <c r="AL50" s="1405"/>
      <c r="AM50" s="1405"/>
      <c r="AN50" s="1405"/>
      <c r="AO50" s="1405"/>
      <c r="AP50" s="1405"/>
      <c r="AQ50" s="1405"/>
      <c r="AR50" s="1405"/>
      <c r="AS50" s="1405"/>
      <c r="AT50" s="1405"/>
      <c r="AU50" s="1405"/>
      <c r="AV50" s="1405"/>
      <c r="AW50" s="1405"/>
      <c r="AX50" s="1405"/>
    </row>
    <row r="51" spans="1:50" s="613" customFormat="1">
      <c r="A51" s="53"/>
      <c r="B51" s="1841" t="s">
        <v>2628</v>
      </c>
      <c r="C51" s="1842">
        <v>8</v>
      </c>
      <c r="D51" s="1842">
        <v>16</v>
      </c>
      <c r="E51" s="1842" t="s">
        <v>102</v>
      </c>
      <c r="F51" s="1842" t="s">
        <v>102</v>
      </c>
      <c r="G51" s="1843">
        <v>0.40410000000000001</v>
      </c>
      <c r="H51" s="1843">
        <v>262.66000000000003</v>
      </c>
      <c r="I51" s="1778" t="s">
        <v>634</v>
      </c>
      <c r="J51" s="1778">
        <v>185.84</v>
      </c>
      <c r="K51" s="1778">
        <v>1061.96</v>
      </c>
      <c r="L51" s="1778">
        <v>88.5</v>
      </c>
      <c r="M51" s="1778">
        <v>176.99</v>
      </c>
      <c r="N51" s="1778">
        <v>162.24</v>
      </c>
      <c r="O51" s="1778">
        <v>1840.74</v>
      </c>
      <c r="P51" s="1778">
        <v>76.7</v>
      </c>
      <c r="Q51" s="1778">
        <v>153.38999999999999</v>
      </c>
      <c r="R51" s="1778">
        <v>126.85</v>
      </c>
      <c r="S51" s="1778">
        <v>2123.9299999999998</v>
      </c>
      <c r="T51" s="1778">
        <v>59</v>
      </c>
      <c r="U51" s="1778">
        <v>118</v>
      </c>
      <c r="V51" s="1778">
        <v>112.1</v>
      </c>
      <c r="W51" s="1190"/>
      <c r="X51" s="1190"/>
      <c r="Z51" s="40"/>
      <c r="AA51" s="633"/>
      <c r="AB51" s="7"/>
      <c r="AH51" s="1405"/>
      <c r="AI51" s="1405"/>
      <c r="AJ51" s="1405"/>
      <c r="AK51" s="1405"/>
      <c r="AL51" s="1405"/>
      <c r="AM51" s="1405"/>
      <c r="AN51" s="1405"/>
      <c r="AO51" s="1405"/>
      <c r="AP51" s="1405"/>
      <c r="AQ51" s="1405"/>
      <c r="AR51" s="1405"/>
      <c r="AS51" s="1405"/>
      <c r="AT51" s="1405"/>
      <c r="AU51" s="1405"/>
      <c r="AV51" s="1405"/>
      <c r="AW51" s="1405"/>
      <c r="AX51" s="1405"/>
    </row>
    <row r="52" spans="1:50" s="613" customFormat="1">
      <c r="A52" s="53"/>
      <c r="B52" s="1841" t="s">
        <v>2629</v>
      </c>
      <c r="C52" s="1842">
        <v>12</v>
      </c>
      <c r="D52" s="1842">
        <v>24</v>
      </c>
      <c r="E52" s="1842" t="s">
        <v>102</v>
      </c>
      <c r="F52" s="1842" t="s">
        <v>102</v>
      </c>
      <c r="G52" s="1843">
        <v>0.60629999999999995</v>
      </c>
      <c r="H52" s="1843">
        <v>394.07</v>
      </c>
      <c r="I52" s="1778" t="s">
        <v>634</v>
      </c>
      <c r="J52" s="1778">
        <v>278.82</v>
      </c>
      <c r="K52" s="1778">
        <v>1593.24</v>
      </c>
      <c r="L52" s="1778">
        <v>132.77000000000001</v>
      </c>
      <c r="M52" s="1778">
        <v>265.54000000000002</v>
      </c>
      <c r="N52" s="1778">
        <v>243.41</v>
      </c>
      <c r="O52" s="1778">
        <v>2761.62</v>
      </c>
      <c r="P52" s="1778">
        <v>115.07</v>
      </c>
      <c r="Q52" s="1778">
        <v>230.13</v>
      </c>
      <c r="R52" s="1778">
        <v>190.3</v>
      </c>
      <c r="S52" s="1778">
        <v>3186.48</v>
      </c>
      <c r="T52" s="1778">
        <v>88.51</v>
      </c>
      <c r="U52" s="1778">
        <v>177.03</v>
      </c>
      <c r="V52" s="1778">
        <v>168.18</v>
      </c>
      <c r="W52" s="1190"/>
      <c r="X52" s="1190"/>
      <c r="Z52" s="40"/>
      <c r="AA52" s="633"/>
      <c r="AB52" s="7"/>
      <c r="AH52" s="1405"/>
      <c r="AI52" s="1405"/>
      <c r="AJ52" s="1405"/>
      <c r="AK52" s="1405"/>
      <c r="AL52" s="1405"/>
      <c r="AM52" s="1405"/>
      <c r="AN52" s="1405"/>
      <c r="AO52" s="1405"/>
      <c r="AP52" s="1405"/>
      <c r="AQ52" s="1405"/>
      <c r="AR52" s="1405"/>
      <c r="AS52" s="1405"/>
      <c r="AT52" s="1405"/>
      <c r="AU52" s="1405"/>
      <c r="AV52" s="1405"/>
      <c r="AW52" s="1405"/>
      <c r="AX52" s="1405"/>
    </row>
    <row r="53" spans="1:50" s="613" customFormat="1">
      <c r="A53" s="53"/>
      <c r="B53" s="1841" t="s">
        <v>2388</v>
      </c>
      <c r="C53" s="1842">
        <v>16</v>
      </c>
      <c r="D53" s="1842">
        <v>32</v>
      </c>
      <c r="E53" s="1842" t="s">
        <v>102</v>
      </c>
      <c r="F53" s="1842" t="s">
        <v>102</v>
      </c>
      <c r="G53" s="1843">
        <v>0.80830000000000002</v>
      </c>
      <c r="H53" s="1843">
        <v>525.4</v>
      </c>
      <c r="I53" s="1778" t="s">
        <v>634</v>
      </c>
      <c r="J53" s="1778">
        <v>371.74</v>
      </c>
      <c r="K53" s="1778">
        <v>2124.2199999999998</v>
      </c>
      <c r="L53" s="1778">
        <v>177.02</v>
      </c>
      <c r="M53" s="1778">
        <v>354.04</v>
      </c>
      <c r="N53" s="1778">
        <v>324.52999999999997</v>
      </c>
      <c r="O53" s="1778">
        <v>3681.99</v>
      </c>
      <c r="P53" s="1778">
        <v>153.41999999999999</v>
      </c>
      <c r="Q53" s="1778">
        <v>306.83</v>
      </c>
      <c r="R53" s="1778">
        <v>253.73</v>
      </c>
      <c r="S53" s="1778">
        <v>4248.45</v>
      </c>
      <c r="T53" s="1778">
        <v>118.01</v>
      </c>
      <c r="U53" s="1778">
        <v>236.02</v>
      </c>
      <c r="V53" s="1778">
        <v>224.22</v>
      </c>
      <c r="W53" s="1190"/>
      <c r="X53" s="1190"/>
      <c r="Z53" s="40"/>
      <c r="AA53" s="633"/>
      <c r="AB53" s="7"/>
      <c r="AH53" s="1405"/>
      <c r="AI53" s="1405"/>
      <c r="AJ53" s="1405"/>
      <c r="AK53" s="1405"/>
      <c r="AL53" s="1405"/>
      <c r="AM53" s="1405"/>
      <c r="AN53" s="1405"/>
      <c r="AO53" s="1405"/>
      <c r="AP53" s="1405"/>
      <c r="AQ53" s="1405"/>
      <c r="AR53" s="1405"/>
      <c r="AS53" s="1405"/>
      <c r="AT53" s="1405"/>
      <c r="AU53" s="1405"/>
      <c r="AV53" s="1405"/>
      <c r="AW53" s="1405"/>
      <c r="AX53" s="1405"/>
    </row>
    <row r="54" spans="1:50" s="613" customFormat="1" ht="14.25" customHeight="1">
      <c r="A54" s="53"/>
      <c r="B54" s="1841" t="s">
        <v>2630</v>
      </c>
      <c r="C54" s="1842">
        <v>24</v>
      </c>
      <c r="D54" s="1842">
        <v>48</v>
      </c>
      <c r="E54" s="1842" t="s">
        <v>102</v>
      </c>
      <c r="F54" s="1842" t="s">
        <v>102</v>
      </c>
      <c r="G54" s="1843">
        <v>1.2124999999999999</v>
      </c>
      <c r="H54" s="1843">
        <v>788.13</v>
      </c>
      <c r="I54" s="1778" t="s">
        <v>634</v>
      </c>
      <c r="J54" s="1778">
        <v>557.63</v>
      </c>
      <c r="K54" s="1778">
        <v>3186.48</v>
      </c>
      <c r="L54" s="1778">
        <v>265.54000000000002</v>
      </c>
      <c r="M54" s="1778">
        <v>531.08000000000004</v>
      </c>
      <c r="N54" s="1778">
        <v>486.82</v>
      </c>
      <c r="O54" s="1778">
        <v>5523.23</v>
      </c>
      <c r="P54" s="1778">
        <v>230.13</v>
      </c>
      <c r="Q54" s="1778">
        <v>460.27</v>
      </c>
      <c r="R54" s="1778">
        <v>380.61</v>
      </c>
      <c r="S54" s="1778">
        <v>6372.96</v>
      </c>
      <c r="T54" s="1778">
        <v>177.03</v>
      </c>
      <c r="U54" s="1778">
        <v>354.05</v>
      </c>
      <c r="V54" s="1778">
        <v>336.35</v>
      </c>
      <c r="W54" s="1190"/>
      <c r="X54" s="1190"/>
      <c r="Z54" s="40"/>
      <c r="AA54" s="633"/>
      <c r="AB54" s="7"/>
      <c r="AH54" s="1405"/>
      <c r="AI54" s="1405"/>
      <c r="AJ54" s="1405"/>
      <c r="AK54" s="1405"/>
      <c r="AL54" s="1405"/>
      <c r="AM54" s="1405"/>
      <c r="AN54" s="1405"/>
      <c r="AO54" s="1405"/>
      <c r="AP54" s="1405"/>
      <c r="AQ54" s="1405"/>
      <c r="AR54" s="1405"/>
      <c r="AS54" s="1405"/>
      <c r="AT54" s="1405"/>
      <c r="AU54" s="1405"/>
      <c r="AV54" s="1405"/>
      <c r="AW54" s="1405"/>
      <c r="AX54" s="1405"/>
    </row>
    <row r="55" spans="1:50" s="613" customFormat="1" ht="14.25" customHeight="1">
      <c r="A55" s="53"/>
      <c r="B55" s="1841" t="s">
        <v>2442</v>
      </c>
      <c r="C55" s="1842">
        <v>32</v>
      </c>
      <c r="D55" s="1842">
        <v>64</v>
      </c>
      <c r="E55" s="1842" t="s">
        <v>102</v>
      </c>
      <c r="F55" s="1842" t="s">
        <v>102</v>
      </c>
      <c r="G55" s="1843">
        <v>1.6167</v>
      </c>
      <c r="H55" s="1843">
        <v>1050.8699999999999</v>
      </c>
      <c r="I55" s="1778" t="s">
        <v>634</v>
      </c>
      <c r="J55" s="1778">
        <v>743.53</v>
      </c>
      <c r="K55" s="1778">
        <v>4248.74</v>
      </c>
      <c r="L55" s="1778">
        <v>354.06</v>
      </c>
      <c r="M55" s="1778">
        <v>708.12</v>
      </c>
      <c r="N55" s="1778">
        <v>649.11</v>
      </c>
      <c r="O55" s="1778">
        <v>7364.48</v>
      </c>
      <c r="P55" s="1778">
        <v>306.85000000000002</v>
      </c>
      <c r="Q55" s="1778">
        <v>613.71</v>
      </c>
      <c r="R55" s="1778">
        <v>507.49</v>
      </c>
      <c r="S55" s="1778">
        <v>8497.48</v>
      </c>
      <c r="T55" s="1778">
        <v>236.04</v>
      </c>
      <c r="U55" s="1778">
        <v>472.08</v>
      </c>
      <c r="V55" s="1778">
        <v>448.48</v>
      </c>
      <c r="W55" s="1190"/>
      <c r="X55" s="1190"/>
      <c r="Z55" s="40"/>
      <c r="AA55" s="758"/>
      <c r="AB55" s="7"/>
      <c r="AH55" s="1405"/>
      <c r="AI55" s="1405"/>
      <c r="AJ55" s="1405"/>
      <c r="AK55" s="1405"/>
      <c r="AL55" s="1405"/>
      <c r="AM55" s="1405"/>
      <c r="AN55" s="1405"/>
      <c r="AO55" s="1405"/>
      <c r="AP55" s="1405"/>
      <c r="AQ55" s="1405"/>
      <c r="AR55" s="1405"/>
      <c r="AS55" s="1405"/>
      <c r="AT55" s="1405"/>
      <c r="AU55" s="1405"/>
      <c r="AV55" s="1405"/>
      <c r="AW55" s="1405"/>
      <c r="AX55" s="1405"/>
    </row>
    <row r="56" spans="1:50" s="613" customFormat="1">
      <c r="A56" s="53" t="s">
        <v>356</v>
      </c>
      <c r="B56" s="1841" t="s">
        <v>2443</v>
      </c>
      <c r="C56" s="1842">
        <v>64</v>
      </c>
      <c r="D56" s="1842">
        <v>128</v>
      </c>
      <c r="E56" s="1842" t="s">
        <v>102</v>
      </c>
      <c r="F56" s="1842" t="s">
        <v>102</v>
      </c>
      <c r="G56" s="1843">
        <v>3.2336999999999998</v>
      </c>
      <c r="H56" s="1843">
        <v>2101.88</v>
      </c>
      <c r="I56" s="1778" t="s">
        <v>634</v>
      </c>
      <c r="J56" s="1778">
        <v>1487.16</v>
      </c>
      <c r="K56" s="1778">
        <v>8498.07</v>
      </c>
      <c r="L56" s="1778">
        <v>708.17</v>
      </c>
      <c r="M56" s="1778">
        <v>1416.34</v>
      </c>
      <c r="N56" s="1778">
        <v>1298.32</v>
      </c>
      <c r="O56" s="1778">
        <v>14729.99</v>
      </c>
      <c r="P56" s="1778">
        <v>613.75</v>
      </c>
      <c r="Q56" s="1778">
        <v>1227.5</v>
      </c>
      <c r="R56" s="1778">
        <v>1015.05</v>
      </c>
      <c r="S56" s="1778">
        <v>16996.14</v>
      </c>
      <c r="T56" s="1778">
        <v>472.11</v>
      </c>
      <c r="U56" s="1778">
        <v>944.23</v>
      </c>
      <c r="V56" s="1778">
        <v>897.02</v>
      </c>
      <c r="W56" s="1190"/>
      <c r="X56" s="1190"/>
      <c r="Z56" s="40"/>
      <c r="AA56" s="633"/>
      <c r="AB56" s="7"/>
      <c r="AH56" s="1405"/>
      <c r="AI56" s="1405"/>
      <c r="AJ56" s="1405"/>
      <c r="AK56" s="1405"/>
      <c r="AL56" s="1405"/>
      <c r="AM56" s="1405"/>
      <c r="AN56" s="1405"/>
      <c r="AO56" s="1405"/>
      <c r="AP56" s="1405"/>
      <c r="AQ56" s="1405"/>
      <c r="AR56" s="1405"/>
      <c r="AS56" s="1405"/>
      <c r="AT56" s="1405"/>
      <c r="AU56" s="1405"/>
      <c r="AV56" s="1405"/>
      <c r="AW56" s="1405"/>
      <c r="AX56" s="1405"/>
    </row>
    <row r="57" spans="1:50" s="613" customFormat="1">
      <c r="A57" s="53"/>
      <c r="B57" s="1841" t="s">
        <v>2631</v>
      </c>
      <c r="C57" s="1842">
        <v>2</v>
      </c>
      <c r="D57" s="1842">
        <v>8</v>
      </c>
      <c r="E57" s="1842" t="s">
        <v>102</v>
      </c>
      <c r="F57" s="1842" t="s">
        <v>102</v>
      </c>
      <c r="G57" s="1843">
        <v>0.1119</v>
      </c>
      <c r="H57" s="1843">
        <v>72.73</v>
      </c>
      <c r="I57" s="1778" t="s">
        <v>634</v>
      </c>
      <c r="J57" s="1778">
        <v>51.46</v>
      </c>
      <c r="K57" s="1778">
        <v>294.04000000000002</v>
      </c>
      <c r="L57" s="1778">
        <v>24.5</v>
      </c>
      <c r="M57" s="1778">
        <v>49.01</v>
      </c>
      <c r="N57" s="1778">
        <v>44.92</v>
      </c>
      <c r="O57" s="1778">
        <v>509.67</v>
      </c>
      <c r="P57" s="1778">
        <v>21.24</v>
      </c>
      <c r="Q57" s="1778">
        <v>42.47</v>
      </c>
      <c r="R57" s="1778">
        <v>35.119999999999997</v>
      </c>
      <c r="S57" s="1778">
        <v>588.08000000000004</v>
      </c>
      <c r="T57" s="1778">
        <v>16.34</v>
      </c>
      <c r="U57" s="1778">
        <v>32.67</v>
      </c>
      <c r="V57" s="1778">
        <v>31.04</v>
      </c>
      <c r="W57" s="1190"/>
      <c r="X57" s="1190"/>
      <c r="Z57" s="40"/>
      <c r="AA57" s="633"/>
      <c r="AB57" s="7"/>
      <c r="AH57" s="1405"/>
      <c r="AI57" s="1405"/>
      <c r="AJ57" s="1405"/>
      <c r="AK57" s="1405"/>
      <c r="AL57" s="1405"/>
      <c r="AM57" s="1405"/>
      <c r="AN57" s="1405"/>
      <c r="AO57" s="1405"/>
      <c r="AP57" s="1405"/>
      <c r="AQ57" s="1405"/>
      <c r="AR57" s="1405"/>
      <c r="AS57" s="1405"/>
      <c r="AT57" s="1405"/>
      <c r="AU57" s="1405"/>
      <c r="AV57" s="1405"/>
      <c r="AW57" s="1405"/>
      <c r="AX57" s="1405"/>
    </row>
    <row r="58" spans="1:50" s="613" customFormat="1">
      <c r="A58" s="53"/>
      <c r="B58" s="1841" t="s">
        <v>2632</v>
      </c>
      <c r="C58" s="1842">
        <v>4</v>
      </c>
      <c r="D58" s="1842">
        <v>16</v>
      </c>
      <c r="E58" s="1842" t="s">
        <v>102</v>
      </c>
      <c r="F58" s="1842" t="s">
        <v>102</v>
      </c>
      <c r="G58" s="1843">
        <v>0.2238</v>
      </c>
      <c r="H58" s="1843">
        <v>145.44999999999999</v>
      </c>
      <c r="I58" s="1778" t="s">
        <v>634</v>
      </c>
      <c r="J58" s="1778">
        <v>102.91</v>
      </c>
      <c r="K58" s="1778">
        <v>588.08000000000004</v>
      </c>
      <c r="L58" s="1778">
        <v>49.01</v>
      </c>
      <c r="M58" s="1778">
        <v>98.01</v>
      </c>
      <c r="N58" s="1778">
        <v>89.85</v>
      </c>
      <c r="O58" s="1778">
        <v>1019.34</v>
      </c>
      <c r="P58" s="1778">
        <v>42.47</v>
      </c>
      <c r="Q58" s="1778">
        <v>84.95</v>
      </c>
      <c r="R58" s="1778">
        <v>70.239999999999995</v>
      </c>
      <c r="S58" s="1778">
        <v>1176.17</v>
      </c>
      <c r="T58" s="1778">
        <v>32.67</v>
      </c>
      <c r="U58" s="1778">
        <v>65.34</v>
      </c>
      <c r="V58" s="1778">
        <v>62.08</v>
      </c>
      <c r="W58" s="1190"/>
      <c r="X58" s="1190"/>
      <c r="Z58" s="40"/>
      <c r="AA58" s="633"/>
      <c r="AB58" s="7"/>
      <c r="AH58" s="1405"/>
      <c r="AI58" s="1405"/>
      <c r="AJ58" s="1405"/>
      <c r="AK58" s="1405"/>
      <c r="AL58" s="1405"/>
      <c r="AM58" s="1405"/>
      <c r="AN58" s="1405"/>
      <c r="AO58" s="1405"/>
      <c r="AP58" s="1405"/>
      <c r="AQ58" s="1405"/>
      <c r="AR58" s="1405"/>
      <c r="AS58" s="1405"/>
      <c r="AT58" s="1405"/>
      <c r="AU58" s="1405"/>
      <c r="AV58" s="1405"/>
      <c r="AW58" s="1405"/>
      <c r="AX58" s="1405"/>
    </row>
    <row r="59" spans="1:50" s="613" customFormat="1">
      <c r="A59" s="53"/>
      <c r="B59" s="1841" t="s">
        <v>2633</v>
      </c>
      <c r="C59" s="1842">
        <v>8</v>
      </c>
      <c r="D59" s="1842">
        <v>32</v>
      </c>
      <c r="E59" s="1842" t="s">
        <v>102</v>
      </c>
      <c r="F59" s="1842" t="s">
        <v>102</v>
      </c>
      <c r="G59" s="1843">
        <v>0.4476</v>
      </c>
      <c r="H59" s="1843">
        <v>290.91000000000003</v>
      </c>
      <c r="I59" s="1778" t="s">
        <v>634</v>
      </c>
      <c r="J59" s="1778">
        <v>205.83</v>
      </c>
      <c r="K59" s="1778">
        <v>1176.17</v>
      </c>
      <c r="L59" s="1778">
        <v>98.01</v>
      </c>
      <c r="M59" s="1778">
        <v>196.03</v>
      </c>
      <c r="N59" s="1778">
        <v>179.69</v>
      </c>
      <c r="O59" s="1778">
        <v>2038.69</v>
      </c>
      <c r="P59" s="1778">
        <v>84.95</v>
      </c>
      <c r="Q59" s="1778">
        <v>169.89</v>
      </c>
      <c r="R59" s="1778">
        <v>140.49</v>
      </c>
      <c r="S59" s="1778">
        <v>2352.33</v>
      </c>
      <c r="T59" s="1778">
        <v>65.34</v>
      </c>
      <c r="U59" s="1778">
        <v>130.69</v>
      </c>
      <c r="V59" s="1778">
        <v>124.15</v>
      </c>
      <c r="W59" s="1190"/>
      <c r="X59" s="1190"/>
      <c r="Z59" s="40"/>
      <c r="AA59" s="633"/>
      <c r="AB59" s="7"/>
      <c r="AH59" s="1405"/>
      <c r="AI59" s="1405"/>
      <c r="AJ59" s="1405"/>
      <c r="AK59" s="1405"/>
      <c r="AL59" s="1405"/>
      <c r="AM59" s="1405"/>
      <c r="AN59" s="1405"/>
      <c r="AO59" s="1405"/>
      <c r="AP59" s="1405"/>
      <c r="AQ59" s="1405"/>
      <c r="AR59" s="1405"/>
      <c r="AS59" s="1405"/>
      <c r="AT59" s="1405"/>
      <c r="AU59" s="1405"/>
      <c r="AV59" s="1405"/>
      <c r="AW59" s="1405"/>
      <c r="AX59" s="1405"/>
    </row>
    <row r="60" spans="1:50" s="613" customFormat="1">
      <c r="A60" s="53"/>
      <c r="B60" s="1841" t="s">
        <v>2634</v>
      </c>
      <c r="C60" s="1842">
        <v>12</v>
      </c>
      <c r="D60" s="1842">
        <v>48</v>
      </c>
      <c r="E60" s="1842" t="s">
        <v>102</v>
      </c>
      <c r="F60" s="1842" t="s">
        <v>102</v>
      </c>
      <c r="G60" s="1843">
        <v>0.67130000000000001</v>
      </c>
      <c r="H60" s="1843">
        <v>436.36</v>
      </c>
      <c r="I60" s="1778" t="s">
        <v>634</v>
      </c>
      <c r="J60" s="1778">
        <v>308.74</v>
      </c>
      <c r="K60" s="1778">
        <v>1764.25</v>
      </c>
      <c r="L60" s="1778">
        <v>147.02000000000001</v>
      </c>
      <c r="M60" s="1778">
        <v>294.04000000000002</v>
      </c>
      <c r="N60" s="1778">
        <v>269.54000000000002</v>
      </c>
      <c r="O60" s="1778">
        <v>3058.03</v>
      </c>
      <c r="P60" s="1778">
        <v>127.42</v>
      </c>
      <c r="Q60" s="1778">
        <v>254.84</v>
      </c>
      <c r="R60" s="1778">
        <v>210.73</v>
      </c>
      <c r="S60" s="1778">
        <v>3528.5</v>
      </c>
      <c r="T60" s="1778">
        <v>98.01</v>
      </c>
      <c r="U60" s="1778">
        <v>196.03</v>
      </c>
      <c r="V60" s="1778">
        <v>186.23</v>
      </c>
      <c r="W60" s="1190"/>
      <c r="X60" s="1190"/>
      <c r="Z60" s="40"/>
      <c r="AA60" s="633"/>
      <c r="AB60" s="7"/>
      <c r="AH60" s="1405"/>
      <c r="AI60" s="1405"/>
      <c r="AJ60" s="1405"/>
      <c r="AK60" s="1405"/>
      <c r="AL60" s="1405"/>
      <c r="AM60" s="1405"/>
      <c r="AN60" s="1405"/>
      <c r="AO60" s="1405"/>
      <c r="AP60" s="1405"/>
      <c r="AQ60" s="1405"/>
      <c r="AR60" s="1405"/>
      <c r="AS60" s="1405"/>
      <c r="AT60" s="1405"/>
      <c r="AU60" s="1405"/>
      <c r="AV60" s="1405"/>
      <c r="AW60" s="1405"/>
      <c r="AX60" s="1405"/>
    </row>
    <row r="61" spans="1:50" s="613" customFormat="1">
      <c r="A61" s="53"/>
      <c r="B61" s="1841" t="s">
        <v>2389</v>
      </c>
      <c r="C61" s="1842">
        <v>16</v>
      </c>
      <c r="D61" s="1842">
        <v>64</v>
      </c>
      <c r="E61" s="1842" t="s">
        <v>102</v>
      </c>
      <c r="F61" s="1842" t="s">
        <v>102</v>
      </c>
      <c r="G61" s="1843">
        <v>0.89500000000000002</v>
      </c>
      <c r="H61" s="1843">
        <v>581.74</v>
      </c>
      <c r="I61" s="1778" t="s">
        <v>634</v>
      </c>
      <c r="J61" s="1778">
        <v>411.61</v>
      </c>
      <c r="K61" s="1778">
        <v>2352.04</v>
      </c>
      <c r="L61" s="1778">
        <v>196</v>
      </c>
      <c r="M61" s="1778">
        <v>392.01</v>
      </c>
      <c r="N61" s="1778">
        <v>359.34</v>
      </c>
      <c r="O61" s="1778">
        <v>4076.87</v>
      </c>
      <c r="P61" s="1778">
        <v>169.87</v>
      </c>
      <c r="Q61" s="1778">
        <v>339.74</v>
      </c>
      <c r="R61" s="1778">
        <v>280.94</v>
      </c>
      <c r="S61" s="1778">
        <v>4704.08</v>
      </c>
      <c r="T61" s="1778">
        <v>130.66999999999999</v>
      </c>
      <c r="U61" s="1778">
        <v>261.33999999999997</v>
      </c>
      <c r="V61" s="1778">
        <v>248.27</v>
      </c>
      <c r="W61" s="1190"/>
      <c r="X61" s="1190"/>
      <c r="Z61" s="40"/>
      <c r="AA61" s="633"/>
      <c r="AB61" s="7"/>
      <c r="AH61" s="1405"/>
      <c r="AI61" s="1405"/>
      <c r="AJ61" s="1405"/>
      <c r="AK61" s="1405"/>
      <c r="AL61" s="1405"/>
      <c r="AM61" s="1405"/>
      <c r="AN61" s="1405"/>
      <c r="AO61" s="1405"/>
      <c r="AP61" s="1405"/>
      <c r="AQ61" s="1405"/>
      <c r="AR61" s="1405"/>
      <c r="AS61" s="1405"/>
      <c r="AT61" s="1405"/>
      <c r="AU61" s="1405"/>
      <c r="AV61" s="1405"/>
      <c r="AW61" s="1405"/>
      <c r="AX61" s="1405"/>
    </row>
    <row r="62" spans="1:50" s="613" customFormat="1">
      <c r="A62" s="53"/>
      <c r="B62" s="1841" t="s">
        <v>2390</v>
      </c>
      <c r="C62" s="1842">
        <v>24</v>
      </c>
      <c r="D62" s="1842">
        <v>96</v>
      </c>
      <c r="E62" s="1842" t="s">
        <v>102</v>
      </c>
      <c r="F62" s="1842" t="s">
        <v>102</v>
      </c>
      <c r="G62" s="1843">
        <v>1.3425</v>
      </c>
      <c r="H62" s="1843">
        <v>872.65</v>
      </c>
      <c r="I62" s="1778" t="s">
        <v>634</v>
      </c>
      <c r="J62" s="1778">
        <v>617.44000000000005</v>
      </c>
      <c r="K62" s="1778">
        <v>3528.21</v>
      </c>
      <c r="L62" s="1778">
        <v>294.02</v>
      </c>
      <c r="M62" s="1778">
        <v>588.03</v>
      </c>
      <c r="N62" s="1778">
        <v>539.03</v>
      </c>
      <c r="O62" s="1778">
        <v>6115.56</v>
      </c>
      <c r="P62" s="1778">
        <v>254.81</v>
      </c>
      <c r="Q62" s="1778">
        <v>509.63</v>
      </c>
      <c r="R62" s="1778">
        <v>421.42</v>
      </c>
      <c r="S62" s="1778">
        <v>7056.41</v>
      </c>
      <c r="T62" s="1778">
        <v>196.01</v>
      </c>
      <c r="U62" s="1778">
        <v>392.02</v>
      </c>
      <c r="V62" s="1778">
        <v>372.42</v>
      </c>
      <c r="W62" s="1190"/>
      <c r="X62" s="1190"/>
      <c r="Z62" s="40"/>
      <c r="AA62" s="633"/>
      <c r="AB62" s="7"/>
      <c r="AH62" s="1405"/>
      <c r="AI62" s="1405"/>
      <c r="AJ62" s="1405"/>
      <c r="AK62" s="1405"/>
      <c r="AL62" s="1405"/>
      <c r="AM62" s="1405"/>
      <c r="AN62" s="1405"/>
      <c r="AO62" s="1405"/>
      <c r="AP62" s="1405"/>
      <c r="AQ62" s="1405"/>
      <c r="AR62" s="1405"/>
      <c r="AS62" s="1405"/>
      <c r="AT62" s="1405"/>
      <c r="AU62" s="1405"/>
      <c r="AV62" s="1405"/>
      <c r="AW62" s="1405"/>
      <c r="AX62" s="1405"/>
    </row>
    <row r="63" spans="1:50" s="333" customFormat="1">
      <c r="A63" s="53"/>
      <c r="B63" s="1841" t="s">
        <v>2391</v>
      </c>
      <c r="C63" s="1842">
        <v>32</v>
      </c>
      <c r="D63" s="1842">
        <v>128</v>
      </c>
      <c r="E63" s="1842" t="s">
        <v>102</v>
      </c>
      <c r="F63" s="1842" t="s">
        <v>102</v>
      </c>
      <c r="G63" s="1843">
        <v>1.79</v>
      </c>
      <c r="H63" s="1843">
        <v>1163.49</v>
      </c>
      <c r="I63" s="1778" t="s">
        <v>634</v>
      </c>
      <c r="J63" s="1778">
        <v>823.21</v>
      </c>
      <c r="K63" s="1778">
        <v>4704.08</v>
      </c>
      <c r="L63" s="1778">
        <v>392.01</v>
      </c>
      <c r="M63" s="1778">
        <v>784.01</v>
      </c>
      <c r="N63" s="1778">
        <v>718.68</v>
      </c>
      <c r="O63" s="1778">
        <v>8153.74</v>
      </c>
      <c r="P63" s="1778">
        <v>339.74</v>
      </c>
      <c r="Q63" s="1778">
        <v>679.48</v>
      </c>
      <c r="R63" s="1778">
        <v>561.88</v>
      </c>
      <c r="S63" s="1778">
        <v>9408.16</v>
      </c>
      <c r="T63" s="1778">
        <v>261.33999999999997</v>
      </c>
      <c r="U63" s="1778">
        <v>522.67999999999995</v>
      </c>
      <c r="V63" s="1778">
        <v>496.54</v>
      </c>
      <c r="W63" s="1190"/>
      <c r="X63" s="1190"/>
      <c r="Z63" s="40"/>
      <c r="AA63" s="509"/>
      <c r="AB63" s="7"/>
      <c r="AH63" s="1405"/>
      <c r="AI63" s="1405"/>
      <c r="AJ63" s="1405"/>
      <c r="AK63" s="1405"/>
      <c r="AL63" s="1405"/>
      <c r="AM63" s="1405"/>
      <c r="AN63" s="1405"/>
      <c r="AO63" s="1405"/>
      <c r="AP63" s="1405"/>
      <c r="AQ63" s="1405"/>
      <c r="AR63" s="1405"/>
      <c r="AS63" s="1405"/>
      <c r="AT63" s="1405"/>
      <c r="AU63" s="1405"/>
      <c r="AV63" s="1405"/>
      <c r="AW63" s="1405"/>
      <c r="AX63" s="1405"/>
    </row>
    <row r="64" spans="1:50" s="333" customFormat="1">
      <c r="A64" s="53"/>
      <c r="B64" s="1841" t="s">
        <v>2392</v>
      </c>
      <c r="C64" s="1842">
        <v>64</v>
      </c>
      <c r="D64" s="1842">
        <v>256</v>
      </c>
      <c r="E64" s="1842" t="s">
        <v>102</v>
      </c>
      <c r="F64" s="1842" t="s">
        <v>102</v>
      </c>
      <c r="G64" s="1843">
        <v>3.58</v>
      </c>
      <c r="H64" s="1843">
        <v>2326.98</v>
      </c>
      <c r="I64" s="1778" t="s">
        <v>634</v>
      </c>
      <c r="J64" s="1778">
        <v>1646.43</v>
      </c>
      <c r="K64" s="1778">
        <v>9408.16</v>
      </c>
      <c r="L64" s="1778">
        <v>784.01</v>
      </c>
      <c r="M64" s="1778">
        <v>1568.03</v>
      </c>
      <c r="N64" s="1778">
        <v>1437.36</v>
      </c>
      <c r="O64" s="1778">
        <v>16307.47</v>
      </c>
      <c r="P64" s="1778">
        <v>679.48</v>
      </c>
      <c r="Q64" s="1778">
        <v>1358.96</v>
      </c>
      <c r="R64" s="1778">
        <v>1123.75</v>
      </c>
      <c r="S64" s="1778">
        <v>18816.310000000001</v>
      </c>
      <c r="T64" s="1778">
        <v>522.67999999999995</v>
      </c>
      <c r="U64" s="1778">
        <v>1045.3499999999999</v>
      </c>
      <c r="V64" s="1778">
        <v>993.08</v>
      </c>
      <c r="W64" s="1190"/>
      <c r="X64" s="1190"/>
      <c r="Z64" s="40"/>
      <c r="AA64" s="509"/>
      <c r="AB64" s="7"/>
      <c r="AH64" s="1405"/>
      <c r="AI64" s="1405"/>
      <c r="AJ64" s="1405"/>
      <c r="AK64" s="1405"/>
      <c r="AL64" s="1405"/>
      <c r="AM64" s="1405"/>
      <c r="AN64" s="1405"/>
      <c r="AO64" s="1405"/>
      <c r="AP64" s="1405"/>
      <c r="AQ64" s="1405"/>
      <c r="AR64" s="1405"/>
      <c r="AS64" s="1405"/>
      <c r="AT64" s="1405"/>
      <c r="AU64" s="1405"/>
      <c r="AV64" s="1405"/>
      <c r="AW64" s="1405"/>
      <c r="AX64" s="1405"/>
    </row>
    <row r="65" spans="1:50" s="333" customFormat="1">
      <c r="A65" s="53"/>
      <c r="B65" s="1841" t="s">
        <v>2635</v>
      </c>
      <c r="C65" s="1842">
        <v>2</v>
      </c>
      <c r="D65" s="1842">
        <v>4</v>
      </c>
      <c r="E65" s="1842" t="s">
        <v>102</v>
      </c>
      <c r="F65" s="1842" t="s">
        <v>102</v>
      </c>
      <c r="G65" s="1843">
        <v>9.74E-2</v>
      </c>
      <c r="H65" s="1843">
        <v>63.28</v>
      </c>
      <c r="I65" s="1778" t="s">
        <v>634</v>
      </c>
      <c r="J65" s="1778">
        <v>44.77</v>
      </c>
      <c r="K65" s="1778">
        <v>255.84</v>
      </c>
      <c r="L65" s="1778">
        <v>21.32</v>
      </c>
      <c r="M65" s="1778">
        <v>42.64</v>
      </c>
      <c r="N65" s="1778">
        <v>39.090000000000003</v>
      </c>
      <c r="O65" s="1778">
        <v>443.45</v>
      </c>
      <c r="P65" s="1778">
        <v>18.48</v>
      </c>
      <c r="Q65" s="1778">
        <v>36.950000000000003</v>
      </c>
      <c r="R65" s="1778">
        <v>30.56</v>
      </c>
      <c r="S65" s="1778">
        <v>511.67</v>
      </c>
      <c r="T65" s="1778">
        <v>14.21</v>
      </c>
      <c r="U65" s="1778">
        <v>28.43</v>
      </c>
      <c r="V65" s="1778">
        <v>27</v>
      </c>
      <c r="W65" s="1190"/>
      <c r="X65" s="1190"/>
      <c r="Z65" s="40"/>
      <c r="AA65" s="509"/>
      <c r="AB65" s="7"/>
      <c r="AH65" s="1405"/>
      <c r="AI65" s="1405"/>
      <c r="AJ65" s="1405"/>
      <c r="AK65" s="1405"/>
      <c r="AL65" s="1405"/>
      <c r="AM65" s="1405"/>
      <c r="AN65" s="1405"/>
      <c r="AO65" s="1405"/>
      <c r="AP65" s="1405"/>
      <c r="AQ65" s="1405"/>
      <c r="AR65" s="1405"/>
      <c r="AS65" s="1405"/>
      <c r="AT65" s="1405"/>
      <c r="AU65" s="1405"/>
      <c r="AV65" s="1405"/>
      <c r="AW65" s="1405"/>
      <c r="AX65" s="1405"/>
    </row>
    <row r="66" spans="1:50" s="333" customFormat="1">
      <c r="A66" s="53"/>
      <c r="B66" s="1841" t="s">
        <v>2636</v>
      </c>
      <c r="C66" s="1842">
        <v>4</v>
      </c>
      <c r="D66" s="1842">
        <v>8</v>
      </c>
      <c r="E66" s="1842" t="s">
        <v>102</v>
      </c>
      <c r="F66" s="1842" t="s">
        <v>102</v>
      </c>
      <c r="G66" s="1843">
        <v>0.19470000000000001</v>
      </c>
      <c r="H66" s="1843">
        <v>126.56</v>
      </c>
      <c r="I66" s="1778" t="s">
        <v>634</v>
      </c>
      <c r="J66" s="1778">
        <v>89.54</v>
      </c>
      <c r="K66" s="1778">
        <v>511.67</v>
      </c>
      <c r="L66" s="1778">
        <v>42.64</v>
      </c>
      <c r="M66" s="1778">
        <v>85.28</v>
      </c>
      <c r="N66" s="1778">
        <v>78.17</v>
      </c>
      <c r="O66" s="1778">
        <v>886.9</v>
      </c>
      <c r="P66" s="1778">
        <v>36.950000000000003</v>
      </c>
      <c r="Q66" s="1778">
        <v>73.91</v>
      </c>
      <c r="R66" s="1778">
        <v>61.12</v>
      </c>
      <c r="S66" s="1778">
        <v>1023.34</v>
      </c>
      <c r="T66" s="1778">
        <v>28.43</v>
      </c>
      <c r="U66" s="1778">
        <v>56.85</v>
      </c>
      <c r="V66" s="1778">
        <v>54.01</v>
      </c>
      <c r="W66" s="1190"/>
      <c r="X66" s="1190"/>
      <c r="Z66" s="40"/>
      <c r="AA66" s="509"/>
      <c r="AB66" s="7"/>
      <c r="AH66" s="1405"/>
      <c r="AI66" s="1405"/>
      <c r="AJ66" s="1405"/>
      <c r="AK66" s="1405"/>
      <c r="AL66" s="1405"/>
      <c r="AM66" s="1405"/>
      <c r="AN66" s="1405"/>
      <c r="AO66" s="1405"/>
      <c r="AP66" s="1405"/>
      <c r="AQ66" s="1405"/>
      <c r="AR66" s="1405"/>
      <c r="AS66" s="1405"/>
      <c r="AT66" s="1405"/>
      <c r="AU66" s="1405"/>
      <c r="AV66" s="1405"/>
      <c r="AW66" s="1405"/>
      <c r="AX66" s="1405"/>
    </row>
    <row r="67" spans="1:50" s="333" customFormat="1">
      <c r="A67" s="53"/>
      <c r="B67" s="1841" t="s">
        <v>2409</v>
      </c>
      <c r="C67" s="1842">
        <v>8</v>
      </c>
      <c r="D67" s="1842">
        <v>16</v>
      </c>
      <c r="E67" s="1842" t="s">
        <v>102</v>
      </c>
      <c r="F67" s="1842" t="s">
        <v>102</v>
      </c>
      <c r="G67" s="1843">
        <v>0.38929999999999998</v>
      </c>
      <c r="H67" s="1843">
        <v>253.04</v>
      </c>
      <c r="I67" s="1778" t="s">
        <v>634</v>
      </c>
      <c r="J67" s="1778">
        <v>179.03</v>
      </c>
      <c r="K67" s="1778">
        <v>1023.05</v>
      </c>
      <c r="L67" s="1778">
        <v>85.25</v>
      </c>
      <c r="M67" s="1778">
        <v>170.51</v>
      </c>
      <c r="N67" s="1778">
        <v>156.30000000000001</v>
      </c>
      <c r="O67" s="1778">
        <v>1773.29</v>
      </c>
      <c r="P67" s="1778">
        <v>73.89</v>
      </c>
      <c r="Q67" s="1778">
        <v>147.77000000000001</v>
      </c>
      <c r="R67" s="1778">
        <v>122.2</v>
      </c>
      <c r="S67" s="1778">
        <v>2046.11</v>
      </c>
      <c r="T67" s="1778">
        <v>56.84</v>
      </c>
      <c r="U67" s="1778">
        <v>113.67</v>
      </c>
      <c r="V67" s="1778">
        <v>107.99</v>
      </c>
      <c r="W67" s="1190"/>
      <c r="X67" s="1190"/>
      <c r="Z67" s="40"/>
      <c r="AA67" s="509"/>
      <c r="AB67" s="7"/>
      <c r="AH67" s="1405"/>
      <c r="AI67" s="1405"/>
      <c r="AJ67" s="1405"/>
      <c r="AK67" s="1405"/>
      <c r="AL67" s="1405"/>
      <c r="AM67" s="1405"/>
      <c r="AN67" s="1405"/>
      <c r="AO67" s="1405"/>
      <c r="AP67" s="1405"/>
      <c r="AQ67" s="1405"/>
      <c r="AR67" s="1405"/>
      <c r="AS67" s="1405"/>
      <c r="AT67" s="1405"/>
      <c r="AU67" s="1405"/>
      <c r="AV67" s="1405"/>
      <c r="AW67" s="1405"/>
      <c r="AX67" s="1405"/>
    </row>
    <row r="68" spans="1:50" s="333" customFormat="1">
      <c r="A68" s="53"/>
      <c r="B68" s="1841" t="s">
        <v>2387</v>
      </c>
      <c r="C68" s="1842">
        <v>16</v>
      </c>
      <c r="D68" s="1842">
        <v>32</v>
      </c>
      <c r="E68" s="1842" t="s">
        <v>102</v>
      </c>
      <c r="F68" s="1842" t="s">
        <v>102</v>
      </c>
      <c r="G68" s="1843">
        <v>0.77859999999999996</v>
      </c>
      <c r="H68" s="1843">
        <v>506.08</v>
      </c>
      <c r="I68" s="1778" t="s">
        <v>634</v>
      </c>
      <c r="J68" s="1778">
        <v>358.07</v>
      </c>
      <c r="K68" s="1778">
        <v>2046.11</v>
      </c>
      <c r="L68" s="1778">
        <v>170.51</v>
      </c>
      <c r="M68" s="1778">
        <v>341.02</v>
      </c>
      <c r="N68" s="1778">
        <v>312.60000000000002</v>
      </c>
      <c r="O68" s="1778">
        <v>3546.59</v>
      </c>
      <c r="P68" s="1778">
        <v>147.77000000000001</v>
      </c>
      <c r="Q68" s="1778">
        <v>295.55</v>
      </c>
      <c r="R68" s="1778">
        <v>244.4</v>
      </c>
      <c r="S68" s="1778">
        <v>4092.22</v>
      </c>
      <c r="T68" s="1778">
        <v>113.67</v>
      </c>
      <c r="U68" s="1778">
        <v>227.35</v>
      </c>
      <c r="V68" s="1778">
        <v>215.98</v>
      </c>
      <c r="W68" s="1190"/>
      <c r="X68" s="1190"/>
      <c r="Z68" s="40"/>
      <c r="AA68" s="509"/>
      <c r="AB68" s="7"/>
      <c r="AH68" s="1405"/>
      <c r="AI68" s="1405"/>
      <c r="AJ68" s="1405"/>
      <c r="AK68" s="1405"/>
      <c r="AL68" s="1405"/>
      <c r="AM68" s="1405"/>
      <c r="AN68" s="1405"/>
      <c r="AO68" s="1405"/>
      <c r="AP68" s="1405"/>
      <c r="AQ68" s="1405"/>
      <c r="AR68" s="1405"/>
      <c r="AS68" s="1405"/>
      <c r="AT68" s="1405"/>
      <c r="AU68" s="1405"/>
      <c r="AV68" s="1405"/>
      <c r="AW68" s="1405"/>
      <c r="AX68" s="1405"/>
    </row>
    <row r="69" spans="1:50" s="333" customFormat="1">
      <c r="A69" s="53"/>
      <c r="B69" s="1841" t="s">
        <v>2637</v>
      </c>
      <c r="C69" s="1842">
        <v>32</v>
      </c>
      <c r="D69" s="1842">
        <v>64</v>
      </c>
      <c r="E69" s="1842" t="s">
        <v>102</v>
      </c>
      <c r="F69" s="1842" t="s">
        <v>102</v>
      </c>
      <c r="G69" s="1843">
        <v>1.5570999999999999</v>
      </c>
      <c r="H69" s="1843">
        <v>1012.08</v>
      </c>
      <c r="I69" s="1778" t="s">
        <v>634</v>
      </c>
      <c r="J69" s="1778">
        <v>716.09</v>
      </c>
      <c r="K69" s="1778">
        <v>4091.93</v>
      </c>
      <c r="L69" s="1778">
        <v>340.99</v>
      </c>
      <c r="M69" s="1778">
        <v>681.99</v>
      </c>
      <c r="N69" s="1778">
        <v>625.16</v>
      </c>
      <c r="O69" s="1778">
        <v>7092.67</v>
      </c>
      <c r="P69" s="1778">
        <v>295.52999999999997</v>
      </c>
      <c r="Q69" s="1778">
        <v>591.05999999999995</v>
      </c>
      <c r="R69" s="1778">
        <v>488.76</v>
      </c>
      <c r="S69" s="1778">
        <v>8183.85</v>
      </c>
      <c r="T69" s="1778">
        <v>227.33</v>
      </c>
      <c r="U69" s="1778">
        <v>454.66</v>
      </c>
      <c r="V69" s="1778">
        <v>431.93</v>
      </c>
      <c r="W69" s="1190"/>
      <c r="X69" s="1190"/>
      <c r="Z69" s="40"/>
      <c r="AA69" s="509"/>
      <c r="AB69" s="7"/>
      <c r="AH69" s="1405"/>
      <c r="AI69" s="1405"/>
      <c r="AJ69" s="1405"/>
      <c r="AK69" s="1405"/>
      <c r="AL69" s="1405"/>
      <c r="AM69" s="1405"/>
      <c r="AN69" s="1405"/>
      <c r="AO69" s="1405"/>
      <c r="AP69" s="1405"/>
      <c r="AQ69" s="1405"/>
      <c r="AR69" s="1405"/>
      <c r="AS69" s="1405"/>
      <c r="AT69" s="1405"/>
      <c r="AU69" s="1405"/>
      <c r="AV69" s="1405"/>
      <c r="AW69" s="1405"/>
      <c r="AX69" s="1405"/>
    </row>
    <row r="70" spans="1:50" s="333" customFormat="1">
      <c r="A70" s="53"/>
      <c r="B70" s="1841" t="s">
        <v>2638</v>
      </c>
      <c r="C70" s="1842">
        <v>60</v>
      </c>
      <c r="D70" s="1842">
        <v>128</v>
      </c>
      <c r="E70" s="1842" t="s">
        <v>102</v>
      </c>
      <c r="F70" s="1842" t="s">
        <v>102</v>
      </c>
      <c r="G70" s="1843">
        <v>2.9196</v>
      </c>
      <c r="H70" s="1843">
        <v>1897.75</v>
      </c>
      <c r="I70" s="1778" t="s">
        <v>634</v>
      </c>
      <c r="J70" s="1778">
        <v>1342.73</v>
      </c>
      <c r="K70" s="1778">
        <v>7672.76</v>
      </c>
      <c r="L70" s="1778">
        <v>639.4</v>
      </c>
      <c r="M70" s="1778">
        <v>1278.79</v>
      </c>
      <c r="N70" s="1778">
        <v>1172.23</v>
      </c>
      <c r="O70" s="1778">
        <v>13299.45</v>
      </c>
      <c r="P70" s="1778">
        <v>554.14</v>
      </c>
      <c r="Q70" s="1778">
        <v>1108.29</v>
      </c>
      <c r="R70" s="1778">
        <v>916.47</v>
      </c>
      <c r="S70" s="1778">
        <v>15345.52</v>
      </c>
      <c r="T70" s="1778">
        <v>426.26</v>
      </c>
      <c r="U70" s="1778">
        <v>852.53</v>
      </c>
      <c r="V70" s="1778">
        <v>809.9</v>
      </c>
      <c r="W70" s="1190"/>
      <c r="X70" s="1190"/>
      <c r="Z70" s="40"/>
      <c r="AA70" s="509"/>
      <c r="AB70" s="7"/>
      <c r="AH70" s="1405"/>
      <c r="AI70" s="1405"/>
      <c r="AJ70" s="1405"/>
      <c r="AK70" s="1405"/>
      <c r="AL70" s="1405"/>
      <c r="AM70" s="1405"/>
      <c r="AN70" s="1405"/>
      <c r="AO70" s="1405"/>
      <c r="AP70" s="1405"/>
      <c r="AQ70" s="1405"/>
      <c r="AR70" s="1405"/>
      <c r="AS70" s="1405"/>
      <c r="AT70" s="1405"/>
      <c r="AU70" s="1405"/>
      <c r="AV70" s="1405"/>
      <c r="AW70" s="1405"/>
      <c r="AX70" s="1405"/>
    </row>
    <row r="71" spans="1:50" s="333" customFormat="1">
      <c r="A71" s="53"/>
      <c r="B71" s="1841" t="s">
        <v>2639</v>
      </c>
      <c r="C71" s="1842">
        <v>2</v>
      </c>
      <c r="D71" s="1842">
        <v>8</v>
      </c>
      <c r="E71" s="1842" t="s">
        <v>102</v>
      </c>
      <c r="F71" s="1842" t="s">
        <v>102</v>
      </c>
      <c r="G71" s="1843">
        <v>0.1077</v>
      </c>
      <c r="H71" s="1843">
        <v>70</v>
      </c>
      <c r="I71" s="1778" t="s">
        <v>634</v>
      </c>
      <c r="J71" s="1778">
        <v>49.53</v>
      </c>
      <c r="K71" s="1778">
        <v>283.01</v>
      </c>
      <c r="L71" s="1778">
        <v>23.58</v>
      </c>
      <c r="M71" s="1778">
        <v>47.17</v>
      </c>
      <c r="N71" s="1778">
        <v>43.24</v>
      </c>
      <c r="O71" s="1778">
        <v>490.55</v>
      </c>
      <c r="P71" s="1778">
        <v>20.440000000000001</v>
      </c>
      <c r="Q71" s="1778">
        <v>40.880000000000003</v>
      </c>
      <c r="R71" s="1778">
        <v>33.799999999999997</v>
      </c>
      <c r="S71" s="1778">
        <v>566.02</v>
      </c>
      <c r="T71" s="1778">
        <v>15.72</v>
      </c>
      <c r="U71" s="1778">
        <v>31.45</v>
      </c>
      <c r="V71" s="1778">
        <v>29.87</v>
      </c>
      <c r="W71" s="1190"/>
      <c r="X71" s="1190"/>
      <c r="Z71" s="40"/>
      <c r="AA71" s="509"/>
      <c r="AB71" s="7"/>
      <c r="AH71" s="1405"/>
      <c r="AI71" s="1405"/>
      <c r="AJ71" s="1405"/>
      <c r="AK71" s="1405"/>
      <c r="AL71" s="1405"/>
      <c r="AM71" s="1405"/>
      <c r="AN71" s="1405"/>
      <c r="AO71" s="1405"/>
      <c r="AP71" s="1405"/>
      <c r="AQ71" s="1405"/>
      <c r="AR71" s="1405"/>
      <c r="AS71" s="1405"/>
      <c r="AT71" s="1405"/>
      <c r="AU71" s="1405"/>
      <c r="AV71" s="1405"/>
      <c r="AW71" s="1405"/>
      <c r="AX71" s="1405"/>
    </row>
    <row r="72" spans="1:50" s="333" customFormat="1">
      <c r="A72" s="53"/>
      <c r="B72" s="1841" t="s">
        <v>2375</v>
      </c>
      <c r="C72" s="1842">
        <v>4</v>
      </c>
      <c r="D72" s="1842">
        <v>16</v>
      </c>
      <c r="E72" s="1842" t="s">
        <v>102</v>
      </c>
      <c r="F72" s="1842" t="s">
        <v>102</v>
      </c>
      <c r="G72" s="1843">
        <v>0.2155</v>
      </c>
      <c r="H72" s="1843">
        <v>140.07</v>
      </c>
      <c r="I72" s="1778" t="s">
        <v>634</v>
      </c>
      <c r="J72" s="1778">
        <v>99.1</v>
      </c>
      <c r="K72" s="1778">
        <v>566.30999999999995</v>
      </c>
      <c r="L72" s="1778">
        <v>47.19</v>
      </c>
      <c r="M72" s="1778">
        <v>94.38</v>
      </c>
      <c r="N72" s="1778">
        <v>86.52</v>
      </c>
      <c r="O72" s="1778">
        <v>981.6</v>
      </c>
      <c r="P72" s="1778">
        <v>40.9</v>
      </c>
      <c r="Q72" s="1778">
        <v>81.8</v>
      </c>
      <c r="R72" s="1778">
        <v>67.64</v>
      </c>
      <c r="S72" s="1778">
        <v>1132.6199999999999</v>
      </c>
      <c r="T72" s="1778">
        <v>31.46</v>
      </c>
      <c r="U72" s="1778">
        <v>62.92</v>
      </c>
      <c r="V72" s="1778">
        <v>59.78</v>
      </c>
      <c r="W72" s="1190"/>
      <c r="X72" s="1190"/>
      <c r="Z72" s="40"/>
      <c r="AA72" s="509"/>
      <c r="AB72" s="7"/>
      <c r="AH72" s="1405"/>
      <c r="AI72" s="1405"/>
      <c r="AJ72" s="1405"/>
      <c r="AK72" s="1405"/>
      <c r="AL72" s="1405"/>
      <c r="AM72" s="1405"/>
      <c r="AN72" s="1405"/>
      <c r="AO72" s="1405"/>
      <c r="AP72" s="1405"/>
      <c r="AQ72" s="1405"/>
      <c r="AR72" s="1405"/>
      <c r="AS72" s="1405"/>
      <c r="AT72" s="1405"/>
      <c r="AU72" s="1405"/>
      <c r="AV72" s="1405"/>
      <c r="AW72" s="1405"/>
      <c r="AX72" s="1405"/>
    </row>
    <row r="73" spans="1:50" s="331" customFormat="1">
      <c r="A73" s="141"/>
      <c r="B73" s="1841" t="s">
        <v>2376</v>
      </c>
      <c r="C73" s="1842">
        <v>8</v>
      </c>
      <c r="D73" s="1842">
        <v>32</v>
      </c>
      <c r="E73" s="1842" t="s">
        <v>102</v>
      </c>
      <c r="F73" s="1842" t="s">
        <v>102</v>
      </c>
      <c r="G73" s="1843">
        <v>0.43099999999999999</v>
      </c>
      <c r="H73" s="1843">
        <v>280.14</v>
      </c>
      <c r="I73" s="1778" t="s">
        <v>634</v>
      </c>
      <c r="J73" s="1778">
        <v>198.21</v>
      </c>
      <c r="K73" s="1778">
        <v>1132.6199999999999</v>
      </c>
      <c r="L73" s="1778">
        <v>94.38</v>
      </c>
      <c r="M73" s="1778">
        <v>188.77</v>
      </c>
      <c r="N73" s="1778">
        <v>173.04</v>
      </c>
      <c r="O73" s="1778">
        <v>1963.2</v>
      </c>
      <c r="P73" s="1778">
        <v>81.8</v>
      </c>
      <c r="Q73" s="1778">
        <v>163.6</v>
      </c>
      <c r="R73" s="1778">
        <v>135.28</v>
      </c>
      <c r="S73" s="1778">
        <v>2265.23</v>
      </c>
      <c r="T73" s="1778">
        <v>62.92</v>
      </c>
      <c r="U73" s="1778">
        <v>125.85</v>
      </c>
      <c r="V73" s="1778">
        <v>119.55</v>
      </c>
      <c r="W73" s="1190"/>
      <c r="X73" s="1190"/>
      <c r="Z73" s="280"/>
      <c r="AA73" s="1152"/>
      <c r="AB73" s="66"/>
      <c r="AH73" s="1405"/>
      <c r="AI73" s="1405"/>
      <c r="AJ73" s="1405"/>
      <c r="AK73" s="1405"/>
      <c r="AL73" s="1405"/>
      <c r="AM73" s="1405"/>
      <c r="AN73" s="1405"/>
      <c r="AO73" s="1405"/>
      <c r="AP73" s="1405"/>
      <c r="AQ73" s="1405"/>
      <c r="AR73" s="1405"/>
      <c r="AS73" s="1405"/>
      <c r="AT73" s="1405"/>
      <c r="AU73" s="1405"/>
      <c r="AV73" s="1405"/>
      <c r="AW73" s="1405"/>
      <c r="AX73" s="1405"/>
    </row>
    <row r="74" spans="1:50" s="331" customFormat="1">
      <c r="A74" s="141"/>
      <c r="B74" s="1841" t="s">
        <v>2377</v>
      </c>
      <c r="C74" s="1842">
        <v>16</v>
      </c>
      <c r="D74" s="1842">
        <v>64</v>
      </c>
      <c r="E74" s="1842" t="s">
        <v>102</v>
      </c>
      <c r="F74" s="1842" t="s">
        <v>102</v>
      </c>
      <c r="G74" s="1843">
        <v>0.86199999999999999</v>
      </c>
      <c r="H74" s="1843">
        <v>560.27</v>
      </c>
      <c r="I74" s="1778" t="s">
        <v>634</v>
      </c>
      <c r="J74" s="1778">
        <v>396.42</v>
      </c>
      <c r="K74" s="1778">
        <v>2265.23</v>
      </c>
      <c r="L74" s="1778">
        <v>188.77</v>
      </c>
      <c r="M74" s="1778">
        <v>377.54</v>
      </c>
      <c r="N74" s="1778">
        <v>346.08</v>
      </c>
      <c r="O74" s="1778">
        <v>3926.4</v>
      </c>
      <c r="P74" s="1778">
        <v>163.6</v>
      </c>
      <c r="Q74" s="1778">
        <v>327.2</v>
      </c>
      <c r="R74" s="1778">
        <v>270.57</v>
      </c>
      <c r="S74" s="1778">
        <v>4530.46</v>
      </c>
      <c r="T74" s="1778">
        <v>125.85</v>
      </c>
      <c r="U74" s="1778">
        <v>251.69</v>
      </c>
      <c r="V74" s="1778">
        <v>239.11</v>
      </c>
      <c r="W74" s="1190"/>
      <c r="X74" s="1190"/>
      <c r="Z74" s="280"/>
      <c r="AA74" s="1152"/>
      <c r="AB74" s="66"/>
      <c r="AH74" s="1405"/>
      <c r="AI74" s="1405"/>
      <c r="AJ74" s="1405"/>
      <c r="AK74" s="1405"/>
      <c r="AL74" s="1405"/>
      <c r="AM74" s="1405"/>
      <c r="AN74" s="1405"/>
      <c r="AO74" s="1405"/>
      <c r="AP74" s="1405"/>
      <c r="AQ74" s="1405"/>
      <c r="AR74" s="1405"/>
      <c r="AS74" s="1405"/>
      <c r="AT74" s="1405"/>
      <c r="AU74" s="1405"/>
      <c r="AV74" s="1405"/>
      <c r="AW74" s="1405"/>
      <c r="AX74" s="1405"/>
    </row>
    <row r="75" spans="1:50" s="331" customFormat="1">
      <c r="A75" s="141"/>
      <c r="B75" s="1841" t="s">
        <v>2378</v>
      </c>
      <c r="C75" s="1842">
        <v>32</v>
      </c>
      <c r="D75" s="1842">
        <v>128</v>
      </c>
      <c r="E75" s="1842" t="s">
        <v>102</v>
      </c>
      <c r="F75" s="1842" t="s">
        <v>102</v>
      </c>
      <c r="G75" s="1843">
        <v>1.7238</v>
      </c>
      <c r="H75" s="1843">
        <v>1120.48</v>
      </c>
      <c r="I75" s="1778" t="s">
        <v>634</v>
      </c>
      <c r="J75" s="1778">
        <v>792.78</v>
      </c>
      <c r="K75" s="1778">
        <v>4530.17</v>
      </c>
      <c r="L75" s="1778">
        <v>377.51</v>
      </c>
      <c r="M75" s="1778">
        <v>755.03</v>
      </c>
      <c r="N75" s="1778">
        <v>692.11</v>
      </c>
      <c r="O75" s="1778">
        <v>7852.3</v>
      </c>
      <c r="P75" s="1778">
        <v>327.18</v>
      </c>
      <c r="Q75" s="1778">
        <v>654.36</v>
      </c>
      <c r="R75" s="1778">
        <v>541.1</v>
      </c>
      <c r="S75" s="1778">
        <v>9060.35</v>
      </c>
      <c r="T75" s="1778">
        <v>251.68</v>
      </c>
      <c r="U75" s="1778">
        <v>503.35</v>
      </c>
      <c r="V75" s="1778">
        <v>478.18</v>
      </c>
      <c r="W75" s="1190"/>
      <c r="X75" s="1190"/>
      <c r="Z75" s="280"/>
      <c r="AA75" s="1152"/>
      <c r="AB75" s="66"/>
      <c r="AH75" s="1405"/>
      <c r="AI75" s="1405"/>
      <c r="AJ75" s="1405"/>
      <c r="AK75" s="1405"/>
      <c r="AL75" s="1405"/>
      <c r="AM75" s="1405"/>
      <c r="AN75" s="1405"/>
      <c r="AO75" s="1405"/>
      <c r="AP75" s="1405"/>
      <c r="AQ75" s="1405"/>
      <c r="AR75" s="1405"/>
      <c r="AS75" s="1405"/>
      <c r="AT75" s="1405"/>
      <c r="AU75" s="1405"/>
      <c r="AV75" s="1405"/>
      <c r="AW75" s="1405"/>
      <c r="AX75" s="1405"/>
    </row>
    <row r="76" spans="1:50" s="613" customFormat="1" ht="15" thickBot="1">
      <c r="A76" s="53"/>
      <c r="B76" s="1841" t="s">
        <v>2640</v>
      </c>
      <c r="C76" s="1842">
        <v>76</v>
      </c>
      <c r="D76" s="1842">
        <v>304</v>
      </c>
      <c r="E76" s="1842" t="s">
        <v>102</v>
      </c>
      <c r="F76" s="1842" t="s">
        <v>102</v>
      </c>
      <c r="G76" s="1843">
        <v>4.0941000000000001</v>
      </c>
      <c r="H76" s="1843">
        <v>2661.16</v>
      </c>
      <c r="I76" s="1778" t="s">
        <v>634</v>
      </c>
      <c r="J76" s="1778">
        <v>1882.87</v>
      </c>
      <c r="K76" s="1778">
        <v>10759.27</v>
      </c>
      <c r="L76" s="1778">
        <v>896.61</v>
      </c>
      <c r="M76" s="1778">
        <v>1793.21</v>
      </c>
      <c r="N76" s="1778">
        <v>1643.78</v>
      </c>
      <c r="O76" s="1778">
        <v>18649.400000000001</v>
      </c>
      <c r="P76" s="1778">
        <v>777.06</v>
      </c>
      <c r="Q76" s="1778">
        <v>1554.12</v>
      </c>
      <c r="R76" s="1778">
        <v>1285.1300000000001</v>
      </c>
      <c r="S76" s="1778">
        <v>21518.54</v>
      </c>
      <c r="T76" s="1778">
        <v>597.74</v>
      </c>
      <c r="U76" s="1778">
        <v>1195.47</v>
      </c>
      <c r="V76" s="1778">
        <v>1135.7</v>
      </c>
      <c r="W76" s="1190"/>
      <c r="X76" s="1190"/>
      <c r="Z76" s="40"/>
      <c r="AA76" s="823" t="s">
        <v>895</v>
      </c>
      <c r="AB76" s="7"/>
      <c r="AH76" s="1405"/>
      <c r="AI76" s="1405"/>
      <c r="AJ76" s="1405"/>
      <c r="AK76" s="1405"/>
      <c r="AL76" s="1405"/>
      <c r="AM76" s="1405"/>
      <c r="AN76" s="1405"/>
      <c r="AO76" s="1405"/>
      <c r="AP76" s="1405"/>
      <c r="AQ76" s="1405"/>
      <c r="AR76" s="1405"/>
      <c r="AS76" s="1405"/>
      <c r="AT76" s="1405"/>
      <c r="AU76" s="1405"/>
      <c r="AV76" s="1405"/>
      <c r="AW76" s="1405"/>
      <c r="AX76" s="1405"/>
    </row>
    <row r="77" spans="1:50" s="613" customFormat="1" ht="15" thickBot="1">
      <c r="A77" s="53"/>
      <c r="B77" s="1841" t="s">
        <v>2641</v>
      </c>
      <c r="C77" s="1842">
        <v>76</v>
      </c>
      <c r="D77" s="1842">
        <v>304</v>
      </c>
      <c r="E77" s="1842" t="s">
        <v>102</v>
      </c>
      <c r="F77" s="1842" t="s">
        <v>102</v>
      </c>
      <c r="G77" s="1843">
        <v>4.0941000000000001</v>
      </c>
      <c r="H77" s="1843">
        <v>2661.16</v>
      </c>
      <c r="I77" s="1778" t="s">
        <v>634</v>
      </c>
      <c r="J77" s="1778">
        <v>1882.87</v>
      </c>
      <c r="K77" s="1778">
        <v>10759.27</v>
      </c>
      <c r="L77" s="1778">
        <v>896.61</v>
      </c>
      <c r="M77" s="1778">
        <v>1793.21</v>
      </c>
      <c r="N77" s="1778">
        <v>1643.78</v>
      </c>
      <c r="O77" s="1778">
        <v>18649.400000000001</v>
      </c>
      <c r="P77" s="1778">
        <v>777.06</v>
      </c>
      <c r="Q77" s="1778">
        <v>1554.12</v>
      </c>
      <c r="R77" s="1778">
        <v>1285.1300000000001</v>
      </c>
      <c r="S77" s="1778">
        <v>21518.54</v>
      </c>
      <c r="T77" s="1778">
        <v>597.74</v>
      </c>
      <c r="U77" s="1778">
        <v>1195.47</v>
      </c>
      <c r="V77" s="1778">
        <v>1135.7</v>
      </c>
      <c r="W77" s="1190"/>
      <c r="X77" s="1190"/>
      <c r="Z77" s="40"/>
      <c r="AA77" s="824">
        <v>0.15</v>
      </c>
      <c r="AB77" s="7"/>
      <c r="AH77" s="1405"/>
      <c r="AI77" s="1405"/>
      <c r="AJ77" s="1405"/>
      <c r="AK77" s="1405"/>
      <c r="AL77" s="1405"/>
      <c r="AM77" s="1405"/>
      <c r="AN77" s="1405"/>
      <c r="AO77" s="1405"/>
      <c r="AP77" s="1405"/>
      <c r="AQ77" s="1405"/>
      <c r="AR77" s="1405"/>
      <c r="AS77" s="1405"/>
      <c r="AT77" s="1405"/>
      <c r="AU77" s="1405"/>
      <c r="AV77" s="1405"/>
      <c r="AW77" s="1405"/>
      <c r="AX77" s="1405"/>
    </row>
    <row r="78" spans="1:50" s="613" customFormat="1">
      <c r="A78" s="53"/>
      <c r="B78" s="1841" t="s">
        <v>2642</v>
      </c>
      <c r="C78" s="1842">
        <v>2</v>
      </c>
      <c r="D78" s="1842">
        <v>16</v>
      </c>
      <c r="E78" s="1842" t="s">
        <v>102</v>
      </c>
      <c r="F78" s="1842" t="s">
        <v>102</v>
      </c>
      <c r="G78" s="1843">
        <v>0.14729999999999999</v>
      </c>
      <c r="H78" s="1843">
        <v>95.73</v>
      </c>
      <c r="I78" s="1778" t="s">
        <v>634</v>
      </c>
      <c r="J78" s="1778">
        <v>67.73</v>
      </c>
      <c r="K78" s="1778">
        <v>387.05</v>
      </c>
      <c r="L78" s="1778">
        <v>32.25</v>
      </c>
      <c r="M78" s="1778">
        <v>64.510000000000005</v>
      </c>
      <c r="N78" s="1778">
        <v>59.13</v>
      </c>
      <c r="O78" s="1778">
        <v>670.89</v>
      </c>
      <c r="P78" s="1778">
        <v>27.95</v>
      </c>
      <c r="Q78" s="1778">
        <v>55.91</v>
      </c>
      <c r="R78" s="1778">
        <v>46.23</v>
      </c>
      <c r="S78" s="1778">
        <v>774.1</v>
      </c>
      <c r="T78" s="1778">
        <v>21.5</v>
      </c>
      <c r="U78" s="1778">
        <v>43.01</v>
      </c>
      <c r="V78" s="1778">
        <v>40.86</v>
      </c>
      <c r="W78" s="1190"/>
      <c r="X78" s="1190"/>
      <c r="Z78" s="40"/>
      <c r="AA78" s="821"/>
      <c r="AB78" s="7"/>
      <c r="AH78" s="1405"/>
      <c r="AI78" s="1405"/>
      <c r="AJ78" s="1405"/>
      <c r="AK78" s="1405"/>
      <c r="AL78" s="1405"/>
      <c r="AM78" s="1405"/>
      <c r="AN78" s="1405"/>
      <c r="AO78" s="1405"/>
      <c r="AP78" s="1405"/>
      <c r="AQ78" s="1405"/>
      <c r="AR78" s="1405"/>
      <c r="AS78" s="1405"/>
      <c r="AT78" s="1405"/>
      <c r="AU78" s="1405"/>
      <c r="AV78" s="1405"/>
      <c r="AW78" s="1405"/>
      <c r="AX78" s="1405"/>
    </row>
    <row r="79" spans="1:50" s="613" customFormat="1">
      <c r="A79" s="53"/>
      <c r="B79" s="1841" t="s">
        <v>2643</v>
      </c>
      <c r="C79" s="1842">
        <v>4</v>
      </c>
      <c r="D79" s="1842">
        <v>32</v>
      </c>
      <c r="E79" s="1842" t="s">
        <v>102</v>
      </c>
      <c r="F79" s="1842" t="s">
        <v>102</v>
      </c>
      <c r="G79" s="1843">
        <v>0.29480000000000001</v>
      </c>
      <c r="H79" s="1843">
        <v>191.61</v>
      </c>
      <c r="I79" s="1778" t="s">
        <v>634</v>
      </c>
      <c r="J79" s="1778">
        <v>135.57</v>
      </c>
      <c r="K79" s="1778">
        <v>774.69</v>
      </c>
      <c r="L79" s="1778">
        <v>64.56</v>
      </c>
      <c r="M79" s="1778">
        <v>129.12</v>
      </c>
      <c r="N79" s="1778">
        <v>118.36</v>
      </c>
      <c r="O79" s="1778">
        <v>1342.8</v>
      </c>
      <c r="P79" s="1778">
        <v>55.95</v>
      </c>
      <c r="Q79" s="1778">
        <v>111.9</v>
      </c>
      <c r="R79" s="1778">
        <v>92.53</v>
      </c>
      <c r="S79" s="1778">
        <v>1549.38</v>
      </c>
      <c r="T79" s="1778">
        <v>43.04</v>
      </c>
      <c r="U79" s="1778">
        <v>86.08</v>
      </c>
      <c r="V79" s="1778">
        <v>81.77</v>
      </c>
      <c r="W79" s="1190"/>
      <c r="X79" s="1190"/>
      <c r="Z79" s="40"/>
      <c r="AA79" s="821"/>
      <c r="AB79" s="7"/>
      <c r="AH79" s="1405"/>
      <c r="AI79" s="1405"/>
      <c r="AJ79" s="1405"/>
      <c r="AK79" s="1405"/>
      <c r="AL79" s="1405"/>
      <c r="AM79" s="1405"/>
      <c r="AN79" s="1405"/>
      <c r="AO79" s="1405"/>
      <c r="AP79" s="1405"/>
      <c r="AQ79" s="1405"/>
      <c r="AR79" s="1405"/>
      <c r="AS79" s="1405"/>
      <c r="AT79" s="1405"/>
      <c r="AU79" s="1405"/>
      <c r="AV79" s="1405"/>
      <c r="AW79" s="1405"/>
      <c r="AX79" s="1405"/>
    </row>
    <row r="80" spans="1:50" s="613" customFormat="1">
      <c r="A80" s="53"/>
      <c r="B80" s="1841" t="s">
        <v>2383</v>
      </c>
      <c r="C80" s="1842">
        <v>8</v>
      </c>
      <c r="D80" s="1842">
        <v>64</v>
      </c>
      <c r="E80" s="1842" t="s">
        <v>102</v>
      </c>
      <c r="F80" s="1842" t="s">
        <v>102</v>
      </c>
      <c r="G80" s="1843">
        <v>0.58950000000000002</v>
      </c>
      <c r="H80" s="1843">
        <v>383.15</v>
      </c>
      <c r="I80" s="1778" t="s">
        <v>634</v>
      </c>
      <c r="J80" s="1778">
        <v>271.08999999999997</v>
      </c>
      <c r="K80" s="1778">
        <v>1549.09</v>
      </c>
      <c r="L80" s="1778">
        <v>129.09</v>
      </c>
      <c r="M80" s="1778">
        <v>258.18</v>
      </c>
      <c r="N80" s="1778">
        <v>236.67</v>
      </c>
      <c r="O80" s="1778">
        <v>2685.09</v>
      </c>
      <c r="P80" s="1778">
        <v>111.88</v>
      </c>
      <c r="Q80" s="1778">
        <v>223.76</v>
      </c>
      <c r="R80" s="1778">
        <v>185.03</v>
      </c>
      <c r="S80" s="1778">
        <v>3098.18</v>
      </c>
      <c r="T80" s="1778">
        <v>86.06</v>
      </c>
      <c r="U80" s="1778">
        <v>172.12</v>
      </c>
      <c r="V80" s="1778">
        <v>163.52000000000001</v>
      </c>
      <c r="W80" s="1190"/>
      <c r="X80" s="1190"/>
      <c r="Z80" s="40"/>
      <c r="AA80" s="821"/>
      <c r="AB80" s="7"/>
      <c r="AH80" s="1405"/>
      <c r="AI80" s="1405"/>
      <c r="AJ80" s="1405"/>
      <c r="AK80" s="1405"/>
      <c r="AL80" s="1405"/>
      <c r="AM80" s="1405"/>
      <c r="AN80" s="1405"/>
      <c r="AO80" s="1405"/>
      <c r="AP80" s="1405"/>
      <c r="AQ80" s="1405"/>
      <c r="AR80" s="1405"/>
      <c r="AS80" s="1405"/>
      <c r="AT80" s="1405"/>
      <c r="AU80" s="1405"/>
      <c r="AV80" s="1405"/>
      <c r="AW80" s="1405"/>
      <c r="AX80" s="1405"/>
    </row>
    <row r="81" spans="1:50" s="613" customFormat="1">
      <c r="A81" s="53"/>
      <c r="B81" s="1841" t="s">
        <v>2440</v>
      </c>
      <c r="C81" s="1842">
        <v>12</v>
      </c>
      <c r="D81" s="1842">
        <v>96</v>
      </c>
      <c r="E81" s="1842" t="s">
        <v>102</v>
      </c>
      <c r="F81" s="1842" t="s">
        <v>102</v>
      </c>
      <c r="G81" s="1843">
        <v>0.88419999999999999</v>
      </c>
      <c r="H81" s="1843">
        <v>574.76</v>
      </c>
      <c r="I81" s="1778" t="s">
        <v>634</v>
      </c>
      <c r="J81" s="1778">
        <v>406.66</v>
      </c>
      <c r="K81" s="1778">
        <v>2323.7800000000002</v>
      </c>
      <c r="L81" s="1778">
        <v>193.65</v>
      </c>
      <c r="M81" s="1778">
        <v>387.3</v>
      </c>
      <c r="N81" s="1778">
        <v>355.02</v>
      </c>
      <c r="O81" s="1778">
        <v>4027.89</v>
      </c>
      <c r="P81" s="1778">
        <v>167.83</v>
      </c>
      <c r="Q81" s="1778">
        <v>335.66</v>
      </c>
      <c r="R81" s="1778">
        <v>277.56</v>
      </c>
      <c r="S81" s="1778">
        <v>4647.57</v>
      </c>
      <c r="T81" s="1778">
        <v>129.1</v>
      </c>
      <c r="U81" s="1778">
        <v>258.2</v>
      </c>
      <c r="V81" s="1778">
        <v>245.29</v>
      </c>
      <c r="W81" s="1190"/>
      <c r="X81" s="1190"/>
      <c r="Z81" s="40"/>
      <c r="AA81" s="821"/>
      <c r="AB81" s="7"/>
      <c r="AH81" s="1405"/>
      <c r="AI81" s="1405"/>
      <c r="AJ81" s="1405"/>
      <c r="AK81" s="1405"/>
      <c r="AL81" s="1405"/>
      <c r="AM81" s="1405"/>
      <c r="AN81" s="1405"/>
      <c r="AO81" s="1405"/>
      <c r="AP81" s="1405"/>
      <c r="AQ81" s="1405"/>
      <c r="AR81" s="1405"/>
      <c r="AS81" s="1405"/>
      <c r="AT81" s="1405"/>
      <c r="AU81" s="1405"/>
      <c r="AV81" s="1405"/>
      <c r="AW81" s="1405"/>
      <c r="AX81" s="1405"/>
    </row>
    <row r="82" spans="1:50" s="613" customFormat="1">
      <c r="A82" s="53"/>
      <c r="B82" s="1841" t="s">
        <v>2384</v>
      </c>
      <c r="C82" s="1842">
        <v>16</v>
      </c>
      <c r="D82" s="1842">
        <v>128</v>
      </c>
      <c r="E82" s="1842" t="s">
        <v>102</v>
      </c>
      <c r="F82" s="1842" t="s">
        <v>102</v>
      </c>
      <c r="G82" s="1843">
        <v>1.1789000000000001</v>
      </c>
      <c r="H82" s="1843">
        <v>766.29</v>
      </c>
      <c r="I82" s="1778" t="s">
        <v>634</v>
      </c>
      <c r="J82" s="1778">
        <v>542.17999999999995</v>
      </c>
      <c r="K82" s="1778">
        <v>3098.18</v>
      </c>
      <c r="L82" s="1778">
        <v>258.18</v>
      </c>
      <c r="M82" s="1778">
        <v>516.36</v>
      </c>
      <c r="N82" s="1778">
        <v>473.33</v>
      </c>
      <c r="O82" s="1778">
        <v>5370.18</v>
      </c>
      <c r="P82" s="1778">
        <v>223.76</v>
      </c>
      <c r="Q82" s="1778">
        <v>447.51</v>
      </c>
      <c r="R82" s="1778">
        <v>370.06</v>
      </c>
      <c r="S82" s="1778">
        <v>6196.36</v>
      </c>
      <c r="T82" s="1778">
        <v>172.12</v>
      </c>
      <c r="U82" s="1778">
        <v>344.24</v>
      </c>
      <c r="V82" s="1778">
        <v>327.02999999999997</v>
      </c>
      <c r="W82" s="1190"/>
      <c r="X82" s="1190"/>
      <c r="Z82" s="40"/>
      <c r="AA82" s="821"/>
      <c r="AB82" s="7"/>
      <c r="AH82" s="1405"/>
      <c r="AI82" s="1405"/>
      <c r="AJ82" s="1405"/>
      <c r="AK82" s="1405"/>
      <c r="AL82" s="1405"/>
      <c r="AM82" s="1405"/>
      <c r="AN82" s="1405"/>
      <c r="AO82" s="1405"/>
      <c r="AP82" s="1405"/>
      <c r="AQ82" s="1405"/>
      <c r="AR82" s="1405"/>
      <c r="AS82" s="1405"/>
      <c r="AT82" s="1405"/>
      <c r="AU82" s="1405"/>
      <c r="AV82" s="1405"/>
      <c r="AW82" s="1405"/>
      <c r="AX82" s="1405"/>
    </row>
    <row r="83" spans="1:50" s="613" customFormat="1">
      <c r="A83" s="53"/>
      <c r="B83" s="1841" t="s">
        <v>2441</v>
      </c>
      <c r="C83" s="1842">
        <v>24</v>
      </c>
      <c r="D83" s="1842">
        <v>192</v>
      </c>
      <c r="E83" s="1842" t="s">
        <v>102</v>
      </c>
      <c r="F83" s="1842" t="s">
        <v>102</v>
      </c>
      <c r="G83" s="1843">
        <v>1.7685</v>
      </c>
      <c r="H83" s="1843">
        <v>1149.51</v>
      </c>
      <c r="I83" s="1778" t="s">
        <v>634</v>
      </c>
      <c r="J83" s="1778">
        <v>813.32</v>
      </c>
      <c r="K83" s="1778">
        <v>4647.57</v>
      </c>
      <c r="L83" s="1778">
        <v>387.3</v>
      </c>
      <c r="M83" s="1778">
        <v>774.59</v>
      </c>
      <c r="N83" s="1778">
        <v>710.04</v>
      </c>
      <c r="O83" s="1778">
        <v>8055.78</v>
      </c>
      <c r="P83" s="1778">
        <v>335.66</v>
      </c>
      <c r="Q83" s="1778">
        <v>671.32</v>
      </c>
      <c r="R83" s="1778">
        <v>555.13</v>
      </c>
      <c r="S83" s="1778">
        <v>9295.1299999999992</v>
      </c>
      <c r="T83" s="1778">
        <v>258.2</v>
      </c>
      <c r="U83" s="1778">
        <v>516.4</v>
      </c>
      <c r="V83" s="1778">
        <v>490.58</v>
      </c>
      <c r="W83" s="1190"/>
      <c r="X83" s="1190"/>
      <c r="Z83" s="40"/>
      <c r="AA83" s="821"/>
      <c r="AB83" s="7"/>
      <c r="AH83" s="1405"/>
      <c r="AI83" s="1405"/>
      <c r="AJ83" s="1405"/>
      <c r="AK83" s="1405"/>
      <c r="AL83" s="1405"/>
      <c r="AM83" s="1405"/>
      <c r="AN83" s="1405"/>
      <c r="AO83" s="1405"/>
      <c r="AP83" s="1405"/>
      <c r="AQ83" s="1405"/>
      <c r="AR83" s="1405"/>
      <c r="AS83" s="1405"/>
      <c r="AT83" s="1405"/>
      <c r="AU83" s="1405"/>
      <c r="AV83" s="1405"/>
      <c r="AW83" s="1405"/>
      <c r="AX83" s="1405"/>
    </row>
    <row r="84" spans="1:50" s="613" customFormat="1">
      <c r="A84" s="53"/>
      <c r="B84" s="1841" t="s">
        <v>2385</v>
      </c>
      <c r="C84" s="1842">
        <v>32</v>
      </c>
      <c r="D84" s="1842">
        <v>256</v>
      </c>
      <c r="E84" s="1842" t="s">
        <v>102</v>
      </c>
      <c r="F84" s="1842" t="s">
        <v>102</v>
      </c>
      <c r="G84" s="1843">
        <v>2.3578999999999999</v>
      </c>
      <c r="H84" s="1843">
        <v>1532.66</v>
      </c>
      <c r="I84" s="1778" t="s">
        <v>634</v>
      </c>
      <c r="J84" s="1778">
        <v>1084.4100000000001</v>
      </c>
      <c r="K84" s="1778">
        <v>6196.66</v>
      </c>
      <c r="L84" s="1778">
        <v>516.39</v>
      </c>
      <c r="M84" s="1778">
        <v>1032.78</v>
      </c>
      <c r="N84" s="1778">
        <v>946.71</v>
      </c>
      <c r="O84" s="1778">
        <v>10740.87</v>
      </c>
      <c r="P84" s="1778">
        <v>447.54</v>
      </c>
      <c r="Q84" s="1778">
        <v>895.07</v>
      </c>
      <c r="R84" s="1778">
        <v>740.16</v>
      </c>
      <c r="S84" s="1778">
        <v>12393.31</v>
      </c>
      <c r="T84" s="1778">
        <v>344.26</v>
      </c>
      <c r="U84" s="1778">
        <v>688.52</v>
      </c>
      <c r="V84" s="1778">
        <v>654.09</v>
      </c>
      <c r="W84" s="1190"/>
      <c r="X84" s="1190"/>
      <c r="Z84" s="40"/>
      <c r="AA84" s="821"/>
      <c r="AB84" s="7"/>
      <c r="AH84" s="1405"/>
      <c r="AI84" s="1405"/>
      <c r="AJ84" s="1405"/>
      <c r="AK84" s="1405"/>
      <c r="AL84" s="1405"/>
      <c r="AM84" s="1405"/>
      <c r="AN84" s="1405"/>
      <c r="AO84" s="1405"/>
      <c r="AP84" s="1405"/>
      <c r="AQ84" s="1405"/>
      <c r="AR84" s="1405"/>
      <c r="AS84" s="1405"/>
      <c r="AT84" s="1405"/>
      <c r="AU84" s="1405"/>
      <c r="AV84" s="1405"/>
      <c r="AW84" s="1405"/>
      <c r="AX84" s="1405"/>
    </row>
    <row r="85" spans="1:50" s="613" customFormat="1">
      <c r="A85" s="53"/>
      <c r="B85" s="1841" t="s">
        <v>2386</v>
      </c>
      <c r="C85" s="1842">
        <v>64</v>
      </c>
      <c r="D85" s="1842">
        <v>512</v>
      </c>
      <c r="E85" s="1842" t="s">
        <v>102</v>
      </c>
      <c r="F85" s="1842" t="s">
        <v>102</v>
      </c>
      <c r="G85" s="1843">
        <v>4.7159000000000004</v>
      </c>
      <c r="H85" s="1843">
        <v>3065.32</v>
      </c>
      <c r="I85" s="1778" t="s">
        <v>634</v>
      </c>
      <c r="J85" s="1778">
        <v>2168.83</v>
      </c>
      <c r="K85" s="1778">
        <v>12393.31</v>
      </c>
      <c r="L85" s="1778">
        <v>1032.78</v>
      </c>
      <c r="M85" s="1778">
        <v>2065.5500000000002</v>
      </c>
      <c r="N85" s="1778">
        <v>1893.42</v>
      </c>
      <c r="O85" s="1778">
        <v>21481.74</v>
      </c>
      <c r="P85" s="1778">
        <v>895.07</v>
      </c>
      <c r="Q85" s="1778">
        <v>1790.15</v>
      </c>
      <c r="R85" s="1778">
        <v>1480.31</v>
      </c>
      <c r="S85" s="1778">
        <v>24786.62</v>
      </c>
      <c r="T85" s="1778">
        <v>688.52</v>
      </c>
      <c r="U85" s="1778">
        <v>1377.03</v>
      </c>
      <c r="V85" s="1778">
        <v>1308.18</v>
      </c>
      <c r="W85" s="1190"/>
      <c r="X85" s="1190"/>
      <c r="Z85" s="40"/>
      <c r="AA85" s="821"/>
      <c r="AB85" s="7"/>
      <c r="AH85" s="1405"/>
      <c r="AI85" s="1405"/>
      <c r="AJ85" s="1405"/>
      <c r="AK85" s="1405"/>
      <c r="AL85" s="1405"/>
      <c r="AM85" s="1405"/>
      <c r="AN85" s="1405"/>
      <c r="AO85" s="1405"/>
      <c r="AP85" s="1405"/>
      <c r="AQ85" s="1405"/>
      <c r="AR85" s="1405"/>
      <c r="AS85" s="1405"/>
      <c r="AT85" s="1405"/>
      <c r="AU85" s="1405"/>
      <c r="AV85" s="1405"/>
      <c r="AW85" s="1405"/>
      <c r="AX85" s="1405"/>
    </row>
    <row r="86" spans="1:50" s="1489" customFormat="1">
      <c r="A86" s="1491"/>
      <c r="B86" s="1841" t="s">
        <v>2795</v>
      </c>
      <c r="C86" s="1842">
        <v>2</v>
      </c>
      <c r="D86" s="1842">
        <v>32</v>
      </c>
      <c r="E86" s="1842" t="s">
        <v>102</v>
      </c>
      <c r="F86" s="1842" t="s">
        <v>102</v>
      </c>
      <c r="G86" s="1843">
        <v>0.22094999999999998</v>
      </c>
      <c r="H86" s="1843">
        <v>143.595</v>
      </c>
      <c r="I86" s="1778" t="s">
        <v>634</v>
      </c>
      <c r="J86" s="1778">
        <v>101.595</v>
      </c>
      <c r="K86" s="1778">
        <v>580.57500000000005</v>
      </c>
      <c r="L86" s="1778">
        <v>48.375</v>
      </c>
      <c r="M86" s="1778">
        <v>96.765000000000015</v>
      </c>
      <c r="N86" s="1778">
        <v>88.695000000000007</v>
      </c>
      <c r="O86" s="1778">
        <v>1006.335</v>
      </c>
      <c r="P86" s="1778">
        <v>41.924999999999997</v>
      </c>
      <c r="Q86" s="1778">
        <v>83.864999999999995</v>
      </c>
      <c r="R86" s="1778">
        <v>69.344999999999999</v>
      </c>
      <c r="S86" s="1778">
        <v>1161.1500000000001</v>
      </c>
      <c r="T86" s="1778">
        <v>32.25</v>
      </c>
      <c r="U86" s="1778">
        <v>64.515000000000001</v>
      </c>
      <c r="V86" s="1778">
        <v>61.29</v>
      </c>
      <c r="W86" s="1190"/>
      <c r="X86" s="1190"/>
      <c r="Z86" s="40"/>
      <c r="AA86" s="1785"/>
      <c r="AB86" s="1493"/>
    </row>
    <row r="87" spans="1:50" s="1489" customFormat="1">
      <c r="A87" s="1491"/>
      <c r="B87" s="1841" t="s">
        <v>2796</v>
      </c>
      <c r="C87" s="1842">
        <v>4</v>
      </c>
      <c r="D87" s="1842">
        <v>64</v>
      </c>
      <c r="E87" s="1842" t="s">
        <v>102</v>
      </c>
      <c r="F87" s="1842" t="s">
        <v>102</v>
      </c>
      <c r="G87" s="1843">
        <v>0.44220000000000004</v>
      </c>
      <c r="H87" s="1843">
        <v>287.41500000000002</v>
      </c>
      <c r="I87" s="1778" t="s">
        <v>634</v>
      </c>
      <c r="J87" s="1778">
        <v>203.35499999999999</v>
      </c>
      <c r="K87" s="1778">
        <v>1162.0350000000001</v>
      </c>
      <c r="L87" s="1778">
        <v>96.84</v>
      </c>
      <c r="M87" s="1778">
        <v>193.68</v>
      </c>
      <c r="N87" s="1778">
        <v>177.54</v>
      </c>
      <c r="O87" s="1778">
        <v>2014.1999999999998</v>
      </c>
      <c r="P87" s="1778">
        <v>83.925000000000011</v>
      </c>
      <c r="Q87" s="1778">
        <v>167.85000000000002</v>
      </c>
      <c r="R87" s="1778">
        <v>138.79500000000002</v>
      </c>
      <c r="S87" s="1778">
        <v>2324.0700000000002</v>
      </c>
      <c r="T87" s="1778">
        <v>64.56</v>
      </c>
      <c r="U87" s="1778">
        <v>129.12</v>
      </c>
      <c r="V87" s="1778">
        <v>122.655</v>
      </c>
      <c r="W87" s="1190"/>
      <c r="X87" s="1190"/>
      <c r="Z87" s="40"/>
      <c r="AA87" s="1785"/>
      <c r="AB87" s="1493"/>
    </row>
    <row r="88" spans="1:50" s="1489" customFormat="1">
      <c r="A88" s="1491"/>
      <c r="B88" s="1841" t="s">
        <v>2797</v>
      </c>
      <c r="C88" s="1842">
        <v>8</v>
      </c>
      <c r="D88" s="1842">
        <v>128</v>
      </c>
      <c r="E88" s="1842" t="s">
        <v>102</v>
      </c>
      <c r="F88" s="1842" t="s">
        <v>102</v>
      </c>
      <c r="G88" s="1843">
        <v>0.88424999999999998</v>
      </c>
      <c r="H88" s="1843">
        <v>574.72499999999991</v>
      </c>
      <c r="I88" s="1778" t="s">
        <v>634</v>
      </c>
      <c r="J88" s="1778">
        <v>406.63499999999999</v>
      </c>
      <c r="K88" s="1778">
        <v>2323.6349999999998</v>
      </c>
      <c r="L88" s="1778">
        <v>193.63499999999999</v>
      </c>
      <c r="M88" s="1778">
        <v>387.27</v>
      </c>
      <c r="N88" s="1778">
        <v>355.005</v>
      </c>
      <c r="O88" s="1778">
        <v>4027.6350000000002</v>
      </c>
      <c r="P88" s="1778">
        <v>167.82</v>
      </c>
      <c r="Q88" s="1778">
        <v>335.64</v>
      </c>
      <c r="R88" s="1778">
        <v>277.54500000000002</v>
      </c>
      <c r="S88" s="1778">
        <v>4647.2699999999995</v>
      </c>
      <c r="T88" s="1778">
        <v>129.09</v>
      </c>
      <c r="U88" s="1778">
        <v>258.18</v>
      </c>
      <c r="V88" s="1778">
        <v>245.28000000000003</v>
      </c>
      <c r="W88" s="1190"/>
      <c r="X88" s="1190"/>
      <c r="Z88" s="40"/>
      <c r="AA88" s="1785"/>
      <c r="AB88" s="1493"/>
    </row>
    <row r="89" spans="1:50" s="1489" customFormat="1">
      <c r="A89" s="1491"/>
      <c r="B89" s="1841" t="s">
        <v>2798</v>
      </c>
      <c r="C89" s="1842">
        <v>12</v>
      </c>
      <c r="D89" s="1842">
        <v>192</v>
      </c>
      <c r="E89" s="1842" t="s">
        <v>102</v>
      </c>
      <c r="F89" s="1842" t="s">
        <v>102</v>
      </c>
      <c r="G89" s="1843">
        <v>1.3263</v>
      </c>
      <c r="H89" s="1843">
        <v>862.14</v>
      </c>
      <c r="I89" s="1778" t="s">
        <v>634</v>
      </c>
      <c r="J89" s="1778">
        <v>609.99</v>
      </c>
      <c r="K89" s="1778">
        <v>3485.67</v>
      </c>
      <c r="L89" s="1778">
        <v>290.47500000000002</v>
      </c>
      <c r="M89" s="1778">
        <v>580.95000000000005</v>
      </c>
      <c r="N89" s="1778">
        <v>532.53</v>
      </c>
      <c r="O89" s="1778">
        <v>6041.835</v>
      </c>
      <c r="P89" s="1778">
        <v>251.745</v>
      </c>
      <c r="Q89" s="1778">
        <v>503.49</v>
      </c>
      <c r="R89" s="1778">
        <v>416.34000000000003</v>
      </c>
      <c r="S89" s="1778">
        <v>6971.3549999999996</v>
      </c>
      <c r="T89" s="1778">
        <v>193.64999999999998</v>
      </c>
      <c r="U89" s="1778">
        <v>387.29999999999995</v>
      </c>
      <c r="V89" s="1778">
        <v>367.935</v>
      </c>
      <c r="W89" s="1190"/>
      <c r="X89" s="1190"/>
      <c r="Z89" s="40"/>
      <c r="AA89" s="1785"/>
      <c r="AB89" s="1493"/>
    </row>
    <row r="90" spans="1:50" s="1489" customFormat="1">
      <c r="A90" s="1491"/>
      <c r="B90" s="1841" t="s">
        <v>2799</v>
      </c>
      <c r="C90" s="1842">
        <v>16</v>
      </c>
      <c r="D90" s="1842">
        <v>256</v>
      </c>
      <c r="E90" s="1842" t="s">
        <v>102</v>
      </c>
      <c r="F90" s="1842" t="s">
        <v>102</v>
      </c>
      <c r="G90" s="1843">
        <v>1.7683500000000001</v>
      </c>
      <c r="H90" s="1843">
        <v>1149.4349999999999</v>
      </c>
      <c r="I90" s="1778" t="s">
        <v>634</v>
      </c>
      <c r="J90" s="1778">
        <v>813.27</v>
      </c>
      <c r="K90" s="1778">
        <v>4647.2699999999995</v>
      </c>
      <c r="L90" s="1778">
        <v>387.27</v>
      </c>
      <c r="M90" s="1778">
        <v>774.54</v>
      </c>
      <c r="N90" s="1778">
        <v>709.995</v>
      </c>
      <c r="O90" s="1778">
        <v>8055.27</v>
      </c>
      <c r="P90" s="1778">
        <v>335.64</v>
      </c>
      <c r="Q90" s="1778">
        <v>671.26499999999999</v>
      </c>
      <c r="R90" s="1778">
        <v>555.09</v>
      </c>
      <c r="S90" s="1778">
        <v>9294.5399999999991</v>
      </c>
      <c r="T90" s="1778">
        <v>258.18</v>
      </c>
      <c r="U90" s="1778">
        <v>516.36</v>
      </c>
      <c r="V90" s="1778">
        <v>490.54499999999996</v>
      </c>
      <c r="W90" s="1190"/>
      <c r="X90" s="1190"/>
      <c r="Z90" s="40"/>
      <c r="AA90" s="1785"/>
      <c r="AB90" s="1493"/>
    </row>
    <row r="91" spans="1:50" s="1489" customFormat="1">
      <c r="A91" s="1491"/>
      <c r="B91" s="1841" t="s">
        <v>2800</v>
      </c>
      <c r="C91" s="1842">
        <v>24</v>
      </c>
      <c r="D91" s="1842">
        <v>384</v>
      </c>
      <c r="E91" s="1842" t="s">
        <v>102</v>
      </c>
      <c r="F91" s="1842" t="s">
        <v>102</v>
      </c>
      <c r="G91" s="1843">
        <v>2.6527500000000002</v>
      </c>
      <c r="H91" s="1843">
        <v>1724.2649999999999</v>
      </c>
      <c r="I91" s="1778" t="s">
        <v>634</v>
      </c>
      <c r="J91" s="1778">
        <v>1219.98</v>
      </c>
      <c r="K91" s="1778">
        <v>6971.3549999999996</v>
      </c>
      <c r="L91" s="1778">
        <v>580.95000000000005</v>
      </c>
      <c r="M91" s="1778">
        <v>1161.885</v>
      </c>
      <c r="N91" s="1778">
        <v>1065.06</v>
      </c>
      <c r="O91" s="1778">
        <v>12083.67</v>
      </c>
      <c r="P91" s="1778">
        <v>503.49</v>
      </c>
      <c r="Q91" s="1778">
        <v>1006.98</v>
      </c>
      <c r="R91" s="1778">
        <v>832.69499999999994</v>
      </c>
      <c r="S91" s="1778">
        <v>13942.695</v>
      </c>
      <c r="T91" s="1778">
        <v>387.29999999999995</v>
      </c>
      <c r="U91" s="1778">
        <v>774.59999999999991</v>
      </c>
      <c r="V91" s="1778">
        <v>735.87</v>
      </c>
      <c r="W91" s="1190"/>
      <c r="X91" s="1190"/>
      <c r="Z91" s="40"/>
      <c r="AA91" s="1785"/>
      <c r="AB91" s="1493"/>
    </row>
    <row r="92" spans="1:50" s="1489" customFormat="1">
      <c r="A92" s="1491"/>
      <c r="B92" s="1841" t="s">
        <v>2801</v>
      </c>
      <c r="C92" s="1842">
        <v>32</v>
      </c>
      <c r="D92" s="1842">
        <v>512</v>
      </c>
      <c r="E92" s="1842" t="s">
        <v>102</v>
      </c>
      <c r="F92" s="1842" t="s">
        <v>102</v>
      </c>
      <c r="G92" s="1843">
        <v>3.5368499999999998</v>
      </c>
      <c r="H92" s="1843">
        <v>2298.9900000000002</v>
      </c>
      <c r="I92" s="1778" t="s">
        <v>634</v>
      </c>
      <c r="J92" s="1778">
        <v>1626.6150000000002</v>
      </c>
      <c r="K92" s="1778">
        <v>9294.99</v>
      </c>
      <c r="L92" s="1778">
        <v>774.58500000000004</v>
      </c>
      <c r="M92" s="1778">
        <v>1549.17</v>
      </c>
      <c r="N92" s="1778">
        <v>1420.0650000000001</v>
      </c>
      <c r="O92" s="1778">
        <v>16111.305</v>
      </c>
      <c r="P92" s="1778">
        <v>671.31000000000006</v>
      </c>
      <c r="Q92" s="1778">
        <v>1342.605</v>
      </c>
      <c r="R92" s="1778">
        <v>1110.24</v>
      </c>
      <c r="S92" s="1778">
        <v>18589.965</v>
      </c>
      <c r="T92" s="1778">
        <v>516.39</v>
      </c>
      <c r="U92" s="1778">
        <v>1032.78</v>
      </c>
      <c r="V92" s="1778">
        <v>981.13499999999999</v>
      </c>
      <c r="W92" s="1190"/>
      <c r="X92" s="1190"/>
      <c r="Z92" s="40"/>
      <c r="AA92" s="1785"/>
      <c r="AB92" s="1493"/>
    </row>
    <row r="93" spans="1:50" s="613" customFormat="1">
      <c r="A93" s="53"/>
      <c r="B93" s="1841" t="s">
        <v>2644</v>
      </c>
      <c r="C93" s="1842">
        <v>2</v>
      </c>
      <c r="D93" s="1842">
        <v>16</v>
      </c>
      <c r="E93" s="1842" t="s">
        <v>102</v>
      </c>
      <c r="F93" s="1842" t="s">
        <v>102</v>
      </c>
      <c r="G93" s="1843">
        <v>0.17929999999999999</v>
      </c>
      <c r="H93" s="1843">
        <v>116.54</v>
      </c>
      <c r="I93" s="1778" t="s">
        <v>634</v>
      </c>
      <c r="J93" s="1778">
        <v>82.45</v>
      </c>
      <c r="K93" s="1778">
        <v>471.16</v>
      </c>
      <c r="L93" s="1778">
        <v>39.26</v>
      </c>
      <c r="M93" s="1778">
        <v>78.53</v>
      </c>
      <c r="N93" s="1778">
        <v>71.98</v>
      </c>
      <c r="O93" s="1778">
        <v>816.68</v>
      </c>
      <c r="P93" s="1778">
        <v>34.03</v>
      </c>
      <c r="Q93" s="1778">
        <v>68.06</v>
      </c>
      <c r="R93" s="1778">
        <v>56.28</v>
      </c>
      <c r="S93" s="1778">
        <v>942.32</v>
      </c>
      <c r="T93" s="1778">
        <v>26.18</v>
      </c>
      <c r="U93" s="1778">
        <v>52.35</v>
      </c>
      <c r="V93" s="1778">
        <v>49.73</v>
      </c>
      <c r="W93" s="1190"/>
      <c r="X93" s="1190"/>
      <c r="Z93" s="40"/>
      <c r="AA93" s="821"/>
      <c r="AB93" s="7"/>
      <c r="AH93" s="1405"/>
      <c r="AI93" s="1405"/>
      <c r="AJ93" s="1405"/>
      <c r="AK93" s="1405"/>
      <c r="AL93" s="1405"/>
      <c r="AM93" s="1405"/>
      <c r="AN93" s="1405"/>
      <c r="AO93" s="1405"/>
      <c r="AP93" s="1405"/>
      <c r="AQ93" s="1405"/>
      <c r="AR93" s="1405"/>
      <c r="AS93" s="1405"/>
      <c r="AT93" s="1405"/>
      <c r="AU93" s="1405"/>
      <c r="AV93" s="1405"/>
      <c r="AW93" s="1405"/>
      <c r="AX93" s="1405"/>
    </row>
    <row r="94" spans="1:50" s="613" customFormat="1">
      <c r="A94" s="53"/>
      <c r="B94" s="1841" t="s">
        <v>2645</v>
      </c>
      <c r="C94" s="1842">
        <v>4</v>
      </c>
      <c r="D94" s="1842">
        <v>32</v>
      </c>
      <c r="E94" s="1842" t="s">
        <v>102</v>
      </c>
      <c r="F94" s="1842" t="s">
        <v>102</v>
      </c>
      <c r="G94" s="1843">
        <v>0.35880000000000001</v>
      </c>
      <c r="H94" s="1843">
        <v>233.22</v>
      </c>
      <c r="I94" s="1778" t="s">
        <v>634</v>
      </c>
      <c r="J94" s="1778">
        <v>165.01</v>
      </c>
      <c r="K94" s="1778">
        <v>942.93</v>
      </c>
      <c r="L94" s="1778">
        <v>78.58</v>
      </c>
      <c r="M94" s="1778">
        <v>157.15</v>
      </c>
      <c r="N94" s="1778">
        <v>144.06</v>
      </c>
      <c r="O94" s="1778">
        <v>1634.41</v>
      </c>
      <c r="P94" s="1778">
        <v>68.099999999999994</v>
      </c>
      <c r="Q94" s="1778">
        <v>136.19999999999999</v>
      </c>
      <c r="R94" s="1778">
        <v>112.63</v>
      </c>
      <c r="S94" s="1778">
        <v>1885.85</v>
      </c>
      <c r="T94" s="1778">
        <v>52.38</v>
      </c>
      <c r="U94" s="1778">
        <v>104.77</v>
      </c>
      <c r="V94" s="1778">
        <v>99.53</v>
      </c>
      <c r="W94" s="1190"/>
      <c r="X94" s="1190"/>
      <c r="Z94" s="40"/>
      <c r="AA94" s="821"/>
      <c r="AB94" s="7"/>
      <c r="AH94" s="1405"/>
      <c r="AI94" s="1405"/>
      <c r="AJ94" s="1405"/>
      <c r="AK94" s="1405"/>
      <c r="AL94" s="1405"/>
      <c r="AM94" s="1405"/>
      <c r="AN94" s="1405"/>
      <c r="AO94" s="1405"/>
      <c r="AP94" s="1405"/>
      <c r="AQ94" s="1405"/>
      <c r="AR94" s="1405"/>
      <c r="AS94" s="1405"/>
      <c r="AT94" s="1405"/>
      <c r="AU94" s="1405"/>
      <c r="AV94" s="1405"/>
      <c r="AW94" s="1405"/>
      <c r="AX94" s="1405"/>
    </row>
    <row r="95" spans="1:50" s="613" customFormat="1">
      <c r="A95" s="53"/>
      <c r="B95" s="1841" t="s">
        <v>2646</v>
      </c>
      <c r="C95" s="1842">
        <v>8</v>
      </c>
      <c r="D95" s="1842">
        <v>64</v>
      </c>
      <c r="E95" s="1842" t="s">
        <v>102</v>
      </c>
      <c r="F95" s="1842" t="s">
        <v>102</v>
      </c>
      <c r="G95" s="1843">
        <v>0.71760000000000002</v>
      </c>
      <c r="H95" s="1843">
        <v>466.44</v>
      </c>
      <c r="I95" s="1778" t="s">
        <v>634</v>
      </c>
      <c r="J95" s="1778">
        <v>330.02</v>
      </c>
      <c r="K95" s="1778">
        <v>1885.85</v>
      </c>
      <c r="L95" s="1778">
        <v>157.15</v>
      </c>
      <c r="M95" s="1778">
        <v>314.31</v>
      </c>
      <c r="N95" s="1778">
        <v>288.12</v>
      </c>
      <c r="O95" s="1778">
        <v>3268.81</v>
      </c>
      <c r="P95" s="1778">
        <v>136.19999999999999</v>
      </c>
      <c r="Q95" s="1778">
        <v>272.39999999999998</v>
      </c>
      <c r="R95" s="1778">
        <v>225.25</v>
      </c>
      <c r="S95" s="1778">
        <v>3771.71</v>
      </c>
      <c r="T95" s="1778">
        <v>104.77</v>
      </c>
      <c r="U95" s="1778">
        <v>209.54</v>
      </c>
      <c r="V95" s="1778">
        <v>199.06</v>
      </c>
      <c r="W95" s="1190"/>
      <c r="X95" s="1190"/>
      <c r="Z95" s="40"/>
      <c r="AA95" s="821"/>
      <c r="AB95" s="7"/>
      <c r="AH95" s="1405"/>
      <c r="AI95" s="1405"/>
      <c r="AJ95" s="1405"/>
      <c r="AK95" s="1405"/>
      <c r="AL95" s="1405"/>
      <c r="AM95" s="1405"/>
      <c r="AN95" s="1405"/>
      <c r="AO95" s="1405"/>
      <c r="AP95" s="1405"/>
      <c r="AQ95" s="1405"/>
      <c r="AR95" s="1405"/>
      <c r="AS95" s="1405"/>
      <c r="AT95" s="1405"/>
      <c r="AU95" s="1405"/>
      <c r="AV95" s="1405"/>
      <c r="AW95" s="1405"/>
      <c r="AX95" s="1405"/>
    </row>
    <row r="96" spans="1:50" s="613" customFormat="1">
      <c r="A96" s="53"/>
      <c r="B96" s="1841" t="s">
        <v>2647</v>
      </c>
      <c r="C96" s="1842">
        <v>16</v>
      </c>
      <c r="D96" s="1842">
        <v>128</v>
      </c>
      <c r="E96" s="1842" t="s">
        <v>102</v>
      </c>
      <c r="F96" s="1842" t="s">
        <v>102</v>
      </c>
      <c r="G96" s="1843">
        <v>1.4352</v>
      </c>
      <c r="H96" s="1843">
        <v>932.88</v>
      </c>
      <c r="I96" s="1778" t="s">
        <v>634</v>
      </c>
      <c r="J96" s="1778">
        <v>660.05</v>
      </c>
      <c r="K96" s="1778">
        <v>3771.71</v>
      </c>
      <c r="L96" s="1778">
        <v>314.31</v>
      </c>
      <c r="M96" s="1778">
        <v>628.62</v>
      </c>
      <c r="N96" s="1778">
        <v>576.23</v>
      </c>
      <c r="O96" s="1778">
        <v>6537.62</v>
      </c>
      <c r="P96" s="1778">
        <v>272.39999999999998</v>
      </c>
      <c r="Q96" s="1778">
        <v>544.79999999999995</v>
      </c>
      <c r="R96" s="1778">
        <v>450.51</v>
      </c>
      <c r="S96" s="1778">
        <v>7543.41</v>
      </c>
      <c r="T96" s="1778">
        <v>209.54</v>
      </c>
      <c r="U96" s="1778">
        <v>419.08</v>
      </c>
      <c r="V96" s="1778">
        <v>398.12</v>
      </c>
      <c r="W96" s="1190"/>
      <c r="X96" s="1190"/>
      <c r="Z96" s="40"/>
      <c r="AA96" s="821"/>
      <c r="AB96" s="7"/>
      <c r="AH96" s="1405"/>
      <c r="AI96" s="1405"/>
      <c r="AJ96" s="1405"/>
      <c r="AK96" s="1405"/>
      <c r="AL96" s="1405"/>
      <c r="AM96" s="1405"/>
      <c r="AN96" s="1405"/>
      <c r="AO96" s="1405"/>
      <c r="AP96" s="1405"/>
      <c r="AQ96" s="1405"/>
      <c r="AR96" s="1405"/>
      <c r="AS96" s="1405"/>
      <c r="AT96" s="1405"/>
      <c r="AU96" s="1405"/>
      <c r="AV96" s="1405"/>
      <c r="AW96" s="1405"/>
      <c r="AX96" s="1405"/>
    </row>
    <row r="97" spans="1:50" s="613" customFormat="1">
      <c r="A97" s="53"/>
      <c r="B97" s="1841" t="s">
        <v>2648</v>
      </c>
      <c r="C97" s="1842">
        <v>32</v>
      </c>
      <c r="D97" s="1842">
        <v>256</v>
      </c>
      <c r="E97" s="1842" t="s">
        <v>102</v>
      </c>
      <c r="F97" s="1842" t="s">
        <v>102</v>
      </c>
      <c r="G97" s="1843">
        <v>2.8704000000000001</v>
      </c>
      <c r="H97" s="1843">
        <v>1865.76</v>
      </c>
      <c r="I97" s="1778" t="s">
        <v>634</v>
      </c>
      <c r="J97" s="1778">
        <v>1320.1</v>
      </c>
      <c r="K97" s="1778">
        <v>7543.41</v>
      </c>
      <c r="L97" s="1778">
        <v>628.62</v>
      </c>
      <c r="M97" s="1778">
        <v>1257.24</v>
      </c>
      <c r="N97" s="1778">
        <v>1152.47</v>
      </c>
      <c r="O97" s="1778">
        <v>13075.25</v>
      </c>
      <c r="P97" s="1778">
        <v>544.79999999999995</v>
      </c>
      <c r="Q97" s="1778">
        <v>1089.5999999999999</v>
      </c>
      <c r="R97" s="1778">
        <v>901.02</v>
      </c>
      <c r="S97" s="1778">
        <v>15086.82</v>
      </c>
      <c r="T97" s="1778">
        <v>419.08</v>
      </c>
      <c r="U97" s="1778">
        <v>838.16</v>
      </c>
      <c r="V97" s="1778">
        <v>796.25</v>
      </c>
      <c r="W97" s="1190"/>
      <c r="X97" s="1190"/>
      <c r="Z97" s="40"/>
      <c r="AA97" s="821"/>
      <c r="AB97" s="7"/>
      <c r="AH97" s="1405"/>
      <c r="AI97" s="1405"/>
      <c r="AJ97" s="1405"/>
      <c r="AK97" s="1405"/>
      <c r="AL97" s="1405"/>
      <c r="AM97" s="1405"/>
      <c r="AN97" s="1405"/>
      <c r="AO97" s="1405"/>
      <c r="AP97" s="1405"/>
      <c r="AQ97" s="1405"/>
      <c r="AR97" s="1405"/>
      <c r="AS97" s="1405"/>
      <c r="AT97" s="1405"/>
      <c r="AU97" s="1405"/>
      <c r="AV97" s="1405"/>
      <c r="AW97" s="1405"/>
      <c r="AX97" s="1405"/>
    </row>
    <row r="98" spans="1:50" s="613" customFormat="1">
      <c r="A98" s="53"/>
      <c r="B98" s="1841" t="s">
        <v>2649</v>
      </c>
      <c r="C98" s="1842">
        <v>2</v>
      </c>
      <c r="D98" s="1842">
        <v>16</v>
      </c>
      <c r="E98" s="1842" t="s">
        <v>102</v>
      </c>
      <c r="F98" s="1842" t="s">
        <v>102</v>
      </c>
      <c r="G98" s="1843">
        <v>0.16420000000000001</v>
      </c>
      <c r="H98" s="1843">
        <v>106.74</v>
      </c>
      <c r="I98" s="1778" t="s">
        <v>634</v>
      </c>
      <c r="J98" s="1778" t="s">
        <v>634</v>
      </c>
      <c r="K98" s="1778" t="s">
        <v>634</v>
      </c>
      <c r="L98" s="1778" t="s">
        <v>634</v>
      </c>
      <c r="M98" s="1778" t="s">
        <v>634</v>
      </c>
      <c r="N98" s="1778" t="s">
        <v>634</v>
      </c>
      <c r="O98" s="1778" t="s">
        <v>634</v>
      </c>
      <c r="P98" s="1778" t="s">
        <v>634</v>
      </c>
      <c r="Q98" s="1778" t="s">
        <v>634</v>
      </c>
      <c r="R98" s="1778" t="s">
        <v>634</v>
      </c>
      <c r="S98" s="1778" t="s">
        <v>634</v>
      </c>
      <c r="T98" s="1778" t="s">
        <v>634</v>
      </c>
      <c r="U98" s="1778" t="s">
        <v>634</v>
      </c>
      <c r="V98" s="1778" t="s">
        <v>634</v>
      </c>
      <c r="W98" s="1190"/>
      <c r="X98" s="1190"/>
      <c r="Z98" s="40"/>
      <c r="AA98" s="821"/>
      <c r="AB98" s="7"/>
      <c r="AH98" s="1405"/>
      <c r="AI98" s="1405"/>
      <c r="AJ98" s="1405"/>
      <c r="AK98" s="1405"/>
      <c r="AL98" s="1405"/>
      <c r="AM98" s="1405"/>
      <c r="AN98" s="1405"/>
      <c r="AO98" s="1405"/>
      <c r="AP98" s="1405"/>
      <c r="AQ98" s="1405"/>
      <c r="AR98" s="1405"/>
      <c r="AS98" s="1405"/>
      <c r="AT98" s="1405"/>
      <c r="AU98" s="1405"/>
      <c r="AV98" s="1405"/>
      <c r="AW98" s="1405"/>
      <c r="AX98" s="1405"/>
    </row>
    <row r="99" spans="1:50" s="613" customFormat="1" ht="15" thickBot="1">
      <c r="A99" s="53"/>
      <c r="B99" s="1841" t="s">
        <v>2650</v>
      </c>
      <c r="C99" s="1842">
        <v>4</v>
      </c>
      <c r="D99" s="1842">
        <v>32</v>
      </c>
      <c r="E99" s="1842" t="s">
        <v>102</v>
      </c>
      <c r="F99" s="1842" t="s">
        <v>102</v>
      </c>
      <c r="G99" s="1843">
        <v>0.32869999999999999</v>
      </c>
      <c r="H99" s="1843">
        <v>213.64</v>
      </c>
      <c r="I99" s="1778" t="s">
        <v>634</v>
      </c>
      <c r="J99" s="1778" t="s">
        <v>634</v>
      </c>
      <c r="K99" s="1778" t="s">
        <v>634</v>
      </c>
      <c r="L99" s="1778" t="s">
        <v>634</v>
      </c>
      <c r="M99" s="1778" t="s">
        <v>634</v>
      </c>
      <c r="N99" s="1778" t="s">
        <v>634</v>
      </c>
      <c r="O99" s="1778" t="s">
        <v>634</v>
      </c>
      <c r="P99" s="1778" t="s">
        <v>634</v>
      </c>
      <c r="Q99" s="1778" t="s">
        <v>634</v>
      </c>
      <c r="R99" s="1778" t="s">
        <v>634</v>
      </c>
      <c r="S99" s="1778" t="s">
        <v>634</v>
      </c>
      <c r="T99" s="1778" t="s">
        <v>634</v>
      </c>
      <c r="U99" s="1778" t="s">
        <v>634</v>
      </c>
      <c r="V99" s="1778" t="s">
        <v>634</v>
      </c>
      <c r="W99" s="1190"/>
      <c r="X99" s="1190"/>
      <c r="Z99" s="40"/>
      <c r="AA99" s="825" t="s">
        <v>896</v>
      </c>
      <c r="AB99" s="7"/>
      <c r="AH99" s="1405"/>
      <c r="AI99" s="1405"/>
      <c r="AJ99" s="1405"/>
      <c r="AK99" s="1405"/>
      <c r="AL99" s="1405"/>
      <c r="AM99" s="1405"/>
      <c r="AN99" s="1405"/>
      <c r="AO99" s="1405"/>
      <c r="AP99" s="1405"/>
      <c r="AQ99" s="1405"/>
      <c r="AR99" s="1405"/>
      <c r="AS99" s="1405"/>
      <c r="AT99" s="1405"/>
      <c r="AU99" s="1405"/>
      <c r="AV99" s="1405"/>
      <c r="AW99" s="1405"/>
      <c r="AX99" s="1405"/>
    </row>
    <row r="100" spans="1:50" s="613" customFormat="1" ht="15" thickBot="1">
      <c r="A100" s="53"/>
      <c r="B100" s="1841" t="s">
        <v>2651</v>
      </c>
      <c r="C100" s="1842">
        <v>8</v>
      </c>
      <c r="D100" s="1842">
        <v>64</v>
      </c>
      <c r="E100" s="1842" t="s">
        <v>102</v>
      </c>
      <c r="F100" s="1842" t="s">
        <v>102</v>
      </c>
      <c r="G100" s="1843">
        <v>0.65749999999999997</v>
      </c>
      <c r="H100" s="1843">
        <v>427.35</v>
      </c>
      <c r="I100" s="1778" t="s">
        <v>634</v>
      </c>
      <c r="J100" s="1778" t="s">
        <v>634</v>
      </c>
      <c r="K100" s="1778" t="s">
        <v>634</v>
      </c>
      <c r="L100" s="1778" t="s">
        <v>634</v>
      </c>
      <c r="M100" s="1778" t="s">
        <v>634</v>
      </c>
      <c r="N100" s="1778" t="s">
        <v>634</v>
      </c>
      <c r="O100" s="1778" t="s">
        <v>634</v>
      </c>
      <c r="P100" s="1778" t="s">
        <v>634</v>
      </c>
      <c r="Q100" s="1778" t="s">
        <v>634</v>
      </c>
      <c r="R100" s="1778" t="s">
        <v>634</v>
      </c>
      <c r="S100" s="1778" t="s">
        <v>634</v>
      </c>
      <c r="T100" s="1778" t="s">
        <v>634</v>
      </c>
      <c r="U100" s="1778" t="s">
        <v>634</v>
      </c>
      <c r="V100" s="1778" t="s">
        <v>634</v>
      </c>
      <c r="W100" s="1190"/>
      <c r="X100" s="1190"/>
      <c r="Z100" s="40"/>
      <c r="AA100" s="826">
        <v>0</v>
      </c>
      <c r="AB100" s="7"/>
      <c r="AH100" s="1405"/>
      <c r="AI100" s="1405"/>
      <c r="AJ100" s="1405"/>
      <c r="AK100" s="1405"/>
      <c r="AL100" s="1405"/>
      <c r="AM100" s="1405"/>
      <c r="AN100" s="1405"/>
      <c r="AO100" s="1405"/>
      <c r="AP100" s="1405"/>
      <c r="AQ100" s="1405"/>
      <c r="AR100" s="1405"/>
      <c r="AS100" s="1405"/>
      <c r="AT100" s="1405"/>
      <c r="AU100" s="1405"/>
      <c r="AV100" s="1405"/>
      <c r="AW100" s="1405"/>
      <c r="AX100" s="1405"/>
    </row>
    <row r="101" spans="1:50" s="613" customFormat="1">
      <c r="A101" s="53"/>
      <c r="B101" s="1841" t="s">
        <v>2652</v>
      </c>
      <c r="C101" s="1842">
        <v>16</v>
      </c>
      <c r="D101" s="1842">
        <v>128</v>
      </c>
      <c r="E101" s="1842" t="s">
        <v>102</v>
      </c>
      <c r="F101" s="1842" t="s">
        <v>102</v>
      </c>
      <c r="G101" s="1843">
        <v>1.3148</v>
      </c>
      <c r="H101" s="1843">
        <v>854.62</v>
      </c>
      <c r="I101" s="1778" t="s">
        <v>634</v>
      </c>
      <c r="J101" s="1778" t="s">
        <v>634</v>
      </c>
      <c r="K101" s="1778" t="s">
        <v>634</v>
      </c>
      <c r="L101" s="1778" t="s">
        <v>634</v>
      </c>
      <c r="M101" s="1778" t="s">
        <v>634</v>
      </c>
      <c r="N101" s="1778" t="s">
        <v>634</v>
      </c>
      <c r="O101" s="1778" t="s">
        <v>634</v>
      </c>
      <c r="P101" s="1778" t="s">
        <v>634</v>
      </c>
      <c r="Q101" s="1778" t="s">
        <v>634</v>
      </c>
      <c r="R101" s="1778" t="s">
        <v>634</v>
      </c>
      <c r="S101" s="1778" t="s">
        <v>634</v>
      </c>
      <c r="T101" s="1778" t="s">
        <v>634</v>
      </c>
      <c r="U101" s="1778" t="s">
        <v>634</v>
      </c>
      <c r="V101" s="1778" t="s">
        <v>634</v>
      </c>
      <c r="W101" s="1190"/>
      <c r="X101" s="1190"/>
      <c r="Z101" s="40"/>
      <c r="AA101" s="740"/>
      <c r="AB101" s="7"/>
      <c r="AH101" s="1405"/>
      <c r="AI101" s="1405"/>
      <c r="AJ101" s="1405"/>
      <c r="AK101" s="1405"/>
      <c r="AL101" s="1405"/>
      <c r="AM101" s="1405"/>
      <c r="AN101" s="1405"/>
      <c r="AO101" s="1405"/>
      <c r="AP101" s="1405"/>
      <c r="AQ101" s="1405"/>
      <c r="AR101" s="1405"/>
      <c r="AS101" s="1405"/>
      <c r="AT101" s="1405"/>
      <c r="AU101" s="1405"/>
      <c r="AV101" s="1405"/>
      <c r="AW101" s="1405"/>
      <c r="AX101" s="1405"/>
    </row>
    <row r="102" spans="1:50" s="613" customFormat="1">
      <c r="A102" s="53"/>
      <c r="B102" s="1841" t="s">
        <v>2379</v>
      </c>
      <c r="C102" s="1842">
        <v>4</v>
      </c>
      <c r="D102" s="1842">
        <v>32</v>
      </c>
      <c r="E102" s="1842" t="s">
        <v>102</v>
      </c>
      <c r="F102" s="1842" t="s">
        <v>602</v>
      </c>
      <c r="G102" s="1843">
        <v>0.63270000000000004</v>
      </c>
      <c r="H102" s="1843">
        <v>411.27</v>
      </c>
      <c r="I102" s="1778" t="s">
        <v>634</v>
      </c>
      <c r="J102" s="1778">
        <v>290.99</v>
      </c>
      <c r="K102" s="1778">
        <v>1662.79</v>
      </c>
      <c r="L102" s="1778">
        <v>138.57</v>
      </c>
      <c r="M102" s="1778">
        <v>277.13</v>
      </c>
      <c r="N102" s="1778">
        <v>254.04</v>
      </c>
      <c r="O102" s="1778">
        <v>2882.17</v>
      </c>
      <c r="P102" s="1778">
        <v>120.09</v>
      </c>
      <c r="Q102" s="1778">
        <v>240.18</v>
      </c>
      <c r="R102" s="1778">
        <v>198.61</v>
      </c>
      <c r="S102" s="1778">
        <v>3325.58</v>
      </c>
      <c r="T102" s="1778">
        <v>92.38</v>
      </c>
      <c r="U102" s="1778">
        <v>184.75</v>
      </c>
      <c r="V102" s="1778">
        <v>175.52</v>
      </c>
      <c r="W102" s="1190"/>
      <c r="X102" s="1190"/>
      <c r="Z102" s="40"/>
      <c r="AA102" s="821"/>
      <c r="AB102" s="7"/>
      <c r="AH102" s="1405"/>
      <c r="AI102" s="1405"/>
      <c r="AJ102" s="1405"/>
      <c r="AK102" s="1405"/>
      <c r="AL102" s="1405"/>
      <c r="AM102" s="1405"/>
      <c r="AN102" s="1405"/>
      <c r="AO102" s="1405"/>
      <c r="AP102" s="1405"/>
      <c r="AQ102" s="1405"/>
      <c r="AR102" s="1405"/>
      <c r="AS102" s="1405"/>
      <c r="AT102" s="1405"/>
      <c r="AU102" s="1405"/>
      <c r="AV102" s="1405"/>
      <c r="AW102" s="1405"/>
      <c r="AX102" s="1405"/>
    </row>
    <row r="103" spans="1:50" s="613" customFormat="1">
      <c r="A103" s="53"/>
      <c r="B103" s="1841" t="s">
        <v>2380</v>
      </c>
      <c r="C103" s="1842">
        <v>8</v>
      </c>
      <c r="D103" s="1842">
        <v>64</v>
      </c>
      <c r="E103" s="1842" t="s">
        <v>102</v>
      </c>
      <c r="F103" s="1842" t="s">
        <v>603</v>
      </c>
      <c r="G103" s="1843">
        <v>1.2654000000000001</v>
      </c>
      <c r="H103" s="1843">
        <v>822.54</v>
      </c>
      <c r="I103" s="1778" t="s">
        <v>634</v>
      </c>
      <c r="J103" s="1778">
        <v>581.98</v>
      </c>
      <c r="K103" s="1778">
        <v>3325.58</v>
      </c>
      <c r="L103" s="1778">
        <v>277.13</v>
      </c>
      <c r="M103" s="1778">
        <v>554.26</v>
      </c>
      <c r="N103" s="1778">
        <v>508.07</v>
      </c>
      <c r="O103" s="1778">
        <v>5764.33</v>
      </c>
      <c r="P103" s="1778">
        <v>240.18</v>
      </c>
      <c r="Q103" s="1778">
        <v>480.36</v>
      </c>
      <c r="R103" s="1778">
        <v>397.22</v>
      </c>
      <c r="S103" s="1778">
        <v>6651.15</v>
      </c>
      <c r="T103" s="1778">
        <v>184.75</v>
      </c>
      <c r="U103" s="1778">
        <v>369.51</v>
      </c>
      <c r="V103" s="1778">
        <v>351.03</v>
      </c>
      <c r="W103" s="1190"/>
      <c r="X103" s="1190"/>
      <c r="Z103" s="40"/>
      <c r="AA103" s="821"/>
      <c r="AB103" s="7"/>
      <c r="AH103" s="1405"/>
      <c r="AI103" s="1405"/>
      <c r="AJ103" s="1405"/>
      <c r="AK103" s="1405"/>
      <c r="AL103" s="1405"/>
      <c r="AM103" s="1405"/>
      <c r="AN103" s="1405"/>
      <c r="AO103" s="1405"/>
      <c r="AP103" s="1405"/>
      <c r="AQ103" s="1405"/>
      <c r="AR103" s="1405"/>
      <c r="AS103" s="1405"/>
      <c r="AT103" s="1405"/>
      <c r="AU103" s="1405"/>
      <c r="AV103" s="1405"/>
      <c r="AW103" s="1405"/>
      <c r="AX103" s="1405"/>
    </row>
    <row r="104" spans="1:50" s="613" customFormat="1">
      <c r="A104" s="53"/>
      <c r="B104" s="1841" t="s">
        <v>2399</v>
      </c>
      <c r="C104" s="1842">
        <v>16</v>
      </c>
      <c r="D104" s="1842">
        <v>128</v>
      </c>
      <c r="E104" s="1842" t="s">
        <v>102</v>
      </c>
      <c r="F104" s="1842" t="s">
        <v>604</v>
      </c>
      <c r="G104" s="1843">
        <v>2.5308999999999999</v>
      </c>
      <c r="H104" s="1843">
        <v>1645.07</v>
      </c>
      <c r="I104" s="1778" t="s">
        <v>634</v>
      </c>
      <c r="J104" s="1778">
        <v>1163.95</v>
      </c>
      <c r="K104" s="1778">
        <v>6651.15</v>
      </c>
      <c r="L104" s="1778">
        <v>554.26</v>
      </c>
      <c r="M104" s="1778">
        <v>1108.53</v>
      </c>
      <c r="N104" s="1778">
        <v>1016.15</v>
      </c>
      <c r="O104" s="1778">
        <v>11528.66</v>
      </c>
      <c r="P104" s="1778">
        <v>480.36</v>
      </c>
      <c r="Q104" s="1778">
        <v>960.72</v>
      </c>
      <c r="R104" s="1778">
        <v>794.44</v>
      </c>
      <c r="S104" s="1778">
        <v>13302.31</v>
      </c>
      <c r="T104" s="1778">
        <v>369.51</v>
      </c>
      <c r="U104" s="1778">
        <v>739.02</v>
      </c>
      <c r="V104" s="1778">
        <v>702.07</v>
      </c>
      <c r="W104" s="1190"/>
      <c r="X104" s="1190"/>
      <c r="Z104" s="40"/>
      <c r="AA104" s="821"/>
      <c r="AB104" s="7"/>
      <c r="AH104" s="1405"/>
      <c r="AI104" s="1405"/>
      <c r="AJ104" s="1405"/>
      <c r="AK104" s="1405"/>
      <c r="AL104" s="1405"/>
      <c r="AM104" s="1405"/>
      <c r="AN104" s="1405"/>
      <c r="AO104" s="1405"/>
      <c r="AP104" s="1405"/>
      <c r="AQ104" s="1405"/>
      <c r="AR104" s="1405"/>
      <c r="AS104" s="1405"/>
      <c r="AT104" s="1405"/>
      <c r="AU104" s="1405"/>
      <c r="AV104" s="1405"/>
      <c r="AW104" s="1405"/>
      <c r="AX104" s="1405"/>
    </row>
    <row r="105" spans="1:50" s="613" customFormat="1">
      <c r="A105" s="53"/>
      <c r="B105" s="1841" t="s">
        <v>2400</v>
      </c>
      <c r="C105" s="1842">
        <v>24</v>
      </c>
      <c r="D105" s="1842">
        <v>192</v>
      </c>
      <c r="E105" s="1842" t="s">
        <v>102</v>
      </c>
      <c r="F105" s="1842" t="s">
        <v>605</v>
      </c>
      <c r="G105" s="1843">
        <v>3.7961999999999998</v>
      </c>
      <c r="H105" s="1843">
        <v>2467.54</v>
      </c>
      <c r="I105" s="1778" t="s">
        <v>634</v>
      </c>
      <c r="J105" s="1778">
        <v>1745.88</v>
      </c>
      <c r="K105" s="1778">
        <v>9976.44</v>
      </c>
      <c r="L105" s="1778">
        <v>831.37</v>
      </c>
      <c r="M105" s="1778">
        <v>1662.74</v>
      </c>
      <c r="N105" s="1778">
        <v>1524.18</v>
      </c>
      <c r="O105" s="1778">
        <v>17292.5</v>
      </c>
      <c r="P105" s="1778">
        <v>720.52</v>
      </c>
      <c r="Q105" s="1778">
        <v>1441.04</v>
      </c>
      <c r="R105" s="1778">
        <v>1191.6300000000001</v>
      </c>
      <c r="S105" s="1778">
        <v>19952.88</v>
      </c>
      <c r="T105" s="1778">
        <v>554.25</v>
      </c>
      <c r="U105" s="1778">
        <v>1108.49</v>
      </c>
      <c r="V105" s="1778">
        <v>1053.07</v>
      </c>
      <c r="W105" s="1190"/>
      <c r="X105" s="1190"/>
      <c r="Z105" s="40"/>
      <c r="AA105" s="821"/>
      <c r="AB105" s="7"/>
      <c r="AH105" s="1405"/>
      <c r="AI105" s="1405"/>
      <c r="AJ105" s="1405"/>
      <c r="AK105" s="1405"/>
      <c r="AL105" s="1405"/>
      <c r="AM105" s="1405"/>
      <c r="AN105" s="1405"/>
      <c r="AO105" s="1405"/>
      <c r="AP105" s="1405"/>
      <c r="AQ105" s="1405"/>
      <c r="AR105" s="1405"/>
      <c r="AS105" s="1405"/>
      <c r="AT105" s="1405"/>
      <c r="AU105" s="1405"/>
      <c r="AV105" s="1405"/>
      <c r="AW105" s="1405"/>
      <c r="AX105" s="1405"/>
    </row>
    <row r="106" spans="1:50" s="613" customFormat="1">
      <c r="A106" s="53"/>
      <c r="B106" s="1841" t="s">
        <v>2401</v>
      </c>
      <c r="C106" s="1842">
        <v>32</v>
      </c>
      <c r="D106" s="1842">
        <v>256</v>
      </c>
      <c r="E106" s="1842" t="s">
        <v>102</v>
      </c>
      <c r="F106" s="1842" t="s">
        <v>606</v>
      </c>
      <c r="G106" s="1843">
        <v>5.0617000000000001</v>
      </c>
      <c r="H106" s="1843">
        <v>3290.07</v>
      </c>
      <c r="I106" s="1778" t="s">
        <v>634</v>
      </c>
      <c r="J106" s="1778">
        <v>2327.85</v>
      </c>
      <c r="K106" s="1778">
        <v>13302.02</v>
      </c>
      <c r="L106" s="1778">
        <v>1108.5</v>
      </c>
      <c r="M106" s="1778">
        <v>2217</v>
      </c>
      <c r="N106" s="1778">
        <v>2032.25</v>
      </c>
      <c r="O106" s="1778">
        <v>23056.83</v>
      </c>
      <c r="P106" s="1778">
        <v>960.7</v>
      </c>
      <c r="Q106" s="1778">
        <v>1921.4</v>
      </c>
      <c r="R106" s="1778">
        <v>1588.85</v>
      </c>
      <c r="S106" s="1778">
        <v>26604.03</v>
      </c>
      <c r="T106" s="1778">
        <v>739</v>
      </c>
      <c r="U106" s="1778">
        <v>1478</v>
      </c>
      <c r="V106" s="1778">
        <v>1404.1</v>
      </c>
      <c r="W106" s="1190"/>
      <c r="X106" s="1190"/>
      <c r="Z106" s="40"/>
      <c r="AA106" s="821"/>
      <c r="AB106" s="7"/>
      <c r="AH106" s="1405"/>
      <c r="AI106" s="1405"/>
      <c r="AJ106" s="1405"/>
      <c r="AK106" s="1405"/>
      <c r="AL106" s="1405"/>
      <c r="AM106" s="1405"/>
      <c r="AN106" s="1405"/>
      <c r="AO106" s="1405"/>
      <c r="AP106" s="1405"/>
      <c r="AQ106" s="1405"/>
      <c r="AR106" s="1405"/>
      <c r="AS106" s="1405"/>
      <c r="AT106" s="1405"/>
      <c r="AU106" s="1405"/>
      <c r="AV106" s="1405"/>
      <c r="AW106" s="1405"/>
      <c r="AX106" s="1405"/>
    </row>
    <row r="107" spans="1:50" s="613" customFormat="1">
      <c r="A107" s="53"/>
      <c r="B107" s="1841" t="s">
        <v>2402</v>
      </c>
      <c r="C107" s="1842">
        <v>48</v>
      </c>
      <c r="D107" s="1842">
        <v>384</v>
      </c>
      <c r="E107" s="1842" t="s">
        <v>102</v>
      </c>
      <c r="F107" s="1842" t="s">
        <v>901</v>
      </c>
      <c r="G107" s="1843">
        <v>7.5925000000000002</v>
      </c>
      <c r="H107" s="1843">
        <v>4935.1400000000003</v>
      </c>
      <c r="I107" s="1778" t="s">
        <v>634</v>
      </c>
      <c r="J107" s="1778">
        <v>3491.8</v>
      </c>
      <c r="K107" s="1778">
        <v>19953.169999999998</v>
      </c>
      <c r="L107" s="1778">
        <v>1662.76</v>
      </c>
      <c r="M107" s="1778">
        <v>3325.53</v>
      </c>
      <c r="N107" s="1778">
        <v>3048.4</v>
      </c>
      <c r="O107" s="1778">
        <v>34585.49</v>
      </c>
      <c r="P107" s="1778">
        <v>1441.06</v>
      </c>
      <c r="Q107" s="1778">
        <v>2882.12</v>
      </c>
      <c r="R107" s="1778">
        <v>2383.3000000000002</v>
      </c>
      <c r="S107" s="1778">
        <v>39906.339999999997</v>
      </c>
      <c r="T107" s="1778">
        <v>1108.51</v>
      </c>
      <c r="U107" s="1778">
        <v>2217.02</v>
      </c>
      <c r="V107" s="1778">
        <v>2106.17</v>
      </c>
      <c r="W107" s="1190"/>
      <c r="X107" s="1190"/>
      <c r="Z107" s="40"/>
      <c r="AA107" s="833"/>
      <c r="AB107" s="7"/>
      <c r="AH107" s="1405"/>
      <c r="AI107" s="1405"/>
      <c r="AJ107" s="1405"/>
      <c r="AK107" s="1405"/>
      <c r="AL107" s="1405"/>
      <c r="AM107" s="1405"/>
      <c r="AN107" s="1405"/>
      <c r="AO107" s="1405"/>
      <c r="AP107" s="1405"/>
      <c r="AQ107" s="1405"/>
      <c r="AR107" s="1405"/>
      <c r="AS107" s="1405"/>
      <c r="AT107" s="1405"/>
      <c r="AU107" s="1405"/>
      <c r="AV107" s="1405"/>
      <c r="AW107" s="1405"/>
      <c r="AX107" s="1405"/>
    </row>
    <row r="108" spans="1:50" s="613" customFormat="1">
      <c r="A108" s="53"/>
      <c r="B108" s="1841" t="s">
        <v>2403</v>
      </c>
      <c r="C108" s="1842">
        <v>56</v>
      </c>
      <c r="D108" s="1842">
        <v>560</v>
      </c>
      <c r="E108" s="1842" t="s">
        <v>102</v>
      </c>
      <c r="F108" s="1842" t="s">
        <v>1211</v>
      </c>
      <c r="G108" s="1843">
        <v>8.8580000000000005</v>
      </c>
      <c r="H108" s="1843">
        <v>5757.68</v>
      </c>
      <c r="I108" s="1778" t="s">
        <v>634</v>
      </c>
      <c r="J108" s="1778">
        <v>4073.78</v>
      </c>
      <c r="K108" s="1778">
        <v>23278.75</v>
      </c>
      <c r="L108" s="1778">
        <v>1939.9</v>
      </c>
      <c r="M108" s="1778">
        <v>3879.79</v>
      </c>
      <c r="N108" s="1778">
        <v>3556.47</v>
      </c>
      <c r="O108" s="1778">
        <v>40349.82</v>
      </c>
      <c r="P108" s="1778">
        <v>1681.24</v>
      </c>
      <c r="Q108" s="1778">
        <v>3362.49</v>
      </c>
      <c r="R108" s="1778">
        <v>2780.52</v>
      </c>
      <c r="S108" s="1778">
        <v>46557.49</v>
      </c>
      <c r="T108" s="1778">
        <v>1293.26</v>
      </c>
      <c r="U108" s="1778">
        <v>2586.5300000000002</v>
      </c>
      <c r="V108" s="1778">
        <v>2457.1999999999998</v>
      </c>
      <c r="W108" s="1190"/>
      <c r="X108" s="1190"/>
      <c r="Z108" s="40"/>
      <c r="AA108" s="833"/>
      <c r="AB108" s="7"/>
      <c r="AH108" s="1405"/>
      <c r="AI108" s="1405"/>
      <c r="AJ108" s="1405"/>
      <c r="AK108" s="1405"/>
      <c r="AL108" s="1405"/>
      <c r="AM108" s="1405"/>
      <c r="AN108" s="1405"/>
      <c r="AO108" s="1405"/>
      <c r="AP108" s="1405"/>
      <c r="AQ108" s="1405"/>
      <c r="AR108" s="1405"/>
      <c r="AS108" s="1405"/>
      <c r="AT108" s="1405"/>
      <c r="AU108" s="1405"/>
      <c r="AV108" s="1405"/>
      <c r="AW108" s="1405"/>
      <c r="AX108" s="1405"/>
    </row>
    <row r="109" spans="1:50" s="613" customFormat="1">
      <c r="A109" s="53"/>
      <c r="B109" s="1841" t="s">
        <v>2653</v>
      </c>
      <c r="C109" s="1842">
        <v>4</v>
      </c>
      <c r="D109" s="1842">
        <v>32</v>
      </c>
      <c r="E109" s="1842" t="s">
        <v>102</v>
      </c>
      <c r="F109" s="1842" t="s">
        <v>602</v>
      </c>
      <c r="G109" s="1843">
        <v>0.63270000000000004</v>
      </c>
      <c r="H109" s="1843">
        <v>411.27</v>
      </c>
      <c r="I109" s="1778" t="s">
        <v>634</v>
      </c>
      <c r="J109" s="1778">
        <v>290.99</v>
      </c>
      <c r="K109" s="1778">
        <v>1662.79</v>
      </c>
      <c r="L109" s="1778">
        <v>138.57</v>
      </c>
      <c r="M109" s="1778">
        <v>277.13</v>
      </c>
      <c r="N109" s="1778">
        <v>254.04</v>
      </c>
      <c r="O109" s="1778">
        <v>2882.17</v>
      </c>
      <c r="P109" s="1778">
        <v>120.09</v>
      </c>
      <c r="Q109" s="1778">
        <v>240.18</v>
      </c>
      <c r="R109" s="1778">
        <v>198.61</v>
      </c>
      <c r="S109" s="1778">
        <v>3325.58</v>
      </c>
      <c r="T109" s="1778">
        <v>92.38</v>
      </c>
      <c r="U109" s="1778">
        <v>184.75</v>
      </c>
      <c r="V109" s="1778">
        <v>175.52</v>
      </c>
      <c r="W109" s="1190"/>
      <c r="X109" s="1190"/>
      <c r="Z109" s="40"/>
      <c r="AA109" s="833"/>
      <c r="AB109" s="7"/>
      <c r="AH109" s="1405"/>
      <c r="AI109" s="1405"/>
      <c r="AJ109" s="1405"/>
      <c r="AK109" s="1405"/>
      <c r="AL109" s="1405"/>
      <c r="AM109" s="1405"/>
      <c r="AN109" s="1405"/>
      <c r="AO109" s="1405"/>
      <c r="AP109" s="1405"/>
      <c r="AQ109" s="1405"/>
      <c r="AR109" s="1405"/>
      <c r="AS109" s="1405"/>
      <c r="AT109" s="1405"/>
      <c r="AU109" s="1405"/>
      <c r="AV109" s="1405"/>
      <c r="AW109" s="1405"/>
      <c r="AX109" s="1405"/>
    </row>
    <row r="110" spans="1:50" s="613" customFormat="1">
      <c r="A110" s="53"/>
      <c r="B110" s="1841" t="s">
        <v>2654</v>
      </c>
      <c r="C110" s="1842">
        <v>8</v>
      </c>
      <c r="D110" s="1842">
        <v>64</v>
      </c>
      <c r="E110" s="1842" t="s">
        <v>102</v>
      </c>
      <c r="F110" s="1842" t="s">
        <v>603</v>
      </c>
      <c r="G110" s="1843">
        <v>1.2654000000000001</v>
      </c>
      <c r="H110" s="1843">
        <v>822.54</v>
      </c>
      <c r="I110" s="1778" t="s">
        <v>634</v>
      </c>
      <c r="J110" s="1778">
        <v>581.98</v>
      </c>
      <c r="K110" s="1778">
        <v>3325.58</v>
      </c>
      <c r="L110" s="1778">
        <v>277.13</v>
      </c>
      <c r="M110" s="1778">
        <v>554.26</v>
      </c>
      <c r="N110" s="1778">
        <v>508.07</v>
      </c>
      <c r="O110" s="1778">
        <v>5764.33</v>
      </c>
      <c r="P110" s="1778">
        <v>240.18</v>
      </c>
      <c r="Q110" s="1778">
        <v>480.36</v>
      </c>
      <c r="R110" s="1778">
        <v>397.22</v>
      </c>
      <c r="S110" s="1778">
        <v>6651.15</v>
      </c>
      <c r="T110" s="1778">
        <v>184.75</v>
      </c>
      <c r="U110" s="1778">
        <v>369.51</v>
      </c>
      <c r="V110" s="1778">
        <v>351.03</v>
      </c>
      <c r="W110" s="1190"/>
      <c r="X110" s="1190"/>
      <c r="Z110" s="40"/>
      <c r="AA110" s="833"/>
      <c r="AB110" s="7"/>
      <c r="AH110" s="1405"/>
      <c r="AI110" s="1405"/>
      <c r="AJ110" s="1405"/>
      <c r="AK110" s="1405"/>
      <c r="AL110" s="1405"/>
      <c r="AM110" s="1405"/>
      <c r="AN110" s="1405"/>
      <c r="AO110" s="1405"/>
      <c r="AP110" s="1405"/>
      <c r="AQ110" s="1405"/>
      <c r="AR110" s="1405"/>
      <c r="AS110" s="1405"/>
      <c r="AT110" s="1405"/>
      <c r="AU110" s="1405"/>
      <c r="AV110" s="1405"/>
      <c r="AW110" s="1405"/>
      <c r="AX110" s="1405"/>
    </row>
    <row r="111" spans="1:50" s="613" customFormat="1">
      <c r="A111" s="53"/>
      <c r="B111" s="1841" t="s">
        <v>2655</v>
      </c>
      <c r="C111" s="1842">
        <v>16</v>
      </c>
      <c r="D111" s="1842">
        <v>128</v>
      </c>
      <c r="E111" s="1842" t="s">
        <v>102</v>
      </c>
      <c r="F111" s="1842" t="s">
        <v>604</v>
      </c>
      <c r="G111" s="1843">
        <v>2.5308999999999999</v>
      </c>
      <c r="H111" s="1843">
        <v>1645.07</v>
      </c>
      <c r="I111" s="1778" t="s">
        <v>634</v>
      </c>
      <c r="J111" s="1778">
        <v>1163.95</v>
      </c>
      <c r="K111" s="1778">
        <v>6651.15</v>
      </c>
      <c r="L111" s="1778">
        <v>554.26</v>
      </c>
      <c r="M111" s="1778">
        <v>1108.53</v>
      </c>
      <c r="N111" s="1778">
        <v>1016.15</v>
      </c>
      <c r="O111" s="1778">
        <v>11528.66</v>
      </c>
      <c r="P111" s="1778">
        <v>480.36</v>
      </c>
      <c r="Q111" s="1778">
        <v>960.72</v>
      </c>
      <c r="R111" s="1778">
        <v>794.44</v>
      </c>
      <c r="S111" s="1778">
        <v>13302.31</v>
      </c>
      <c r="T111" s="1778">
        <v>369.51</v>
      </c>
      <c r="U111" s="1778">
        <v>739.02</v>
      </c>
      <c r="V111" s="1778">
        <v>702.07</v>
      </c>
      <c r="W111" s="1190"/>
      <c r="X111" s="1190"/>
      <c r="Z111" s="40"/>
      <c r="AA111" s="833"/>
      <c r="AB111" s="7"/>
      <c r="AH111" s="1405"/>
      <c r="AI111" s="1405"/>
      <c r="AJ111" s="1405"/>
      <c r="AK111" s="1405"/>
      <c r="AL111" s="1405"/>
      <c r="AM111" s="1405"/>
      <c r="AN111" s="1405"/>
      <c r="AO111" s="1405"/>
      <c r="AP111" s="1405"/>
      <c r="AQ111" s="1405"/>
      <c r="AR111" s="1405"/>
      <c r="AS111" s="1405"/>
      <c r="AT111" s="1405"/>
      <c r="AU111" s="1405"/>
      <c r="AV111" s="1405"/>
      <c r="AW111" s="1405"/>
      <c r="AX111" s="1405"/>
    </row>
    <row r="112" spans="1:50" s="1405" customFormat="1">
      <c r="A112" s="1186"/>
      <c r="B112" s="1841" t="s">
        <v>2656</v>
      </c>
      <c r="C112" s="1842">
        <v>24</v>
      </c>
      <c r="D112" s="1842">
        <v>192</v>
      </c>
      <c r="E112" s="1842" t="s">
        <v>102</v>
      </c>
      <c r="F112" s="1842" t="s">
        <v>605</v>
      </c>
      <c r="G112" s="1843">
        <v>3.7961999999999998</v>
      </c>
      <c r="H112" s="1843">
        <v>2467.54</v>
      </c>
      <c r="I112" s="1778" t="s">
        <v>634</v>
      </c>
      <c r="J112" s="1778">
        <v>1745.88</v>
      </c>
      <c r="K112" s="1778">
        <v>9976.44</v>
      </c>
      <c r="L112" s="1778">
        <v>831.37</v>
      </c>
      <c r="M112" s="1778">
        <v>1662.74</v>
      </c>
      <c r="N112" s="1778">
        <v>1524.18</v>
      </c>
      <c r="O112" s="1778">
        <v>17292.5</v>
      </c>
      <c r="P112" s="1778">
        <v>720.52</v>
      </c>
      <c r="Q112" s="1778">
        <v>1441.04</v>
      </c>
      <c r="R112" s="1778">
        <v>1191.6300000000001</v>
      </c>
      <c r="S112" s="1778">
        <v>19952.88</v>
      </c>
      <c r="T112" s="1778">
        <v>554.25</v>
      </c>
      <c r="U112" s="1778">
        <v>1108.49</v>
      </c>
      <c r="V112" s="1778">
        <v>1053.07</v>
      </c>
      <c r="W112" s="1190"/>
      <c r="X112" s="1190"/>
      <c r="Z112" s="40"/>
      <c r="AA112" s="1386"/>
      <c r="AB112" s="1187"/>
    </row>
    <row r="113" spans="1:28" s="1405" customFormat="1">
      <c r="A113" s="1186"/>
      <c r="B113" s="1841" t="s">
        <v>2657</v>
      </c>
      <c r="C113" s="1842">
        <v>32</v>
      </c>
      <c r="D113" s="1842">
        <v>256</v>
      </c>
      <c r="E113" s="1842" t="s">
        <v>102</v>
      </c>
      <c r="F113" s="1842" t="s">
        <v>606</v>
      </c>
      <c r="G113" s="1843">
        <v>5.0617000000000001</v>
      </c>
      <c r="H113" s="1843">
        <v>3290.07</v>
      </c>
      <c r="I113" s="1778" t="s">
        <v>634</v>
      </c>
      <c r="J113" s="1778">
        <v>2327.85</v>
      </c>
      <c r="K113" s="1778">
        <v>13302.02</v>
      </c>
      <c r="L113" s="1778">
        <v>1108.5</v>
      </c>
      <c r="M113" s="1778">
        <v>2217</v>
      </c>
      <c r="N113" s="1778">
        <v>2032.25</v>
      </c>
      <c r="O113" s="1778">
        <v>23056.83</v>
      </c>
      <c r="P113" s="1778">
        <v>960.7</v>
      </c>
      <c r="Q113" s="1778">
        <v>1921.4</v>
      </c>
      <c r="R113" s="1778">
        <v>1588.85</v>
      </c>
      <c r="S113" s="1778">
        <v>26604.03</v>
      </c>
      <c r="T113" s="1778">
        <v>739</v>
      </c>
      <c r="U113" s="1778">
        <v>1478</v>
      </c>
      <c r="V113" s="1778">
        <v>1404.1</v>
      </c>
      <c r="W113" s="1190"/>
      <c r="X113" s="1190"/>
      <c r="Z113" s="40"/>
      <c r="AA113" s="1386"/>
      <c r="AB113" s="1187"/>
    </row>
    <row r="114" spans="1:28" s="1405" customFormat="1">
      <c r="A114" s="1186"/>
      <c r="B114" s="1841" t="s">
        <v>2658</v>
      </c>
      <c r="C114" s="1842">
        <v>56</v>
      </c>
      <c r="D114" s="1842">
        <v>584</v>
      </c>
      <c r="E114" s="1842" t="s">
        <v>102</v>
      </c>
      <c r="F114" s="1842" t="s">
        <v>607</v>
      </c>
      <c r="G114" s="1843">
        <v>7.5925000000000002</v>
      </c>
      <c r="H114" s="1843">
        <v>4935.1400000000003</v>
      </c>
      <c r="I114" s="1778" t="s">
        <v>634</v>
      </c>
      <c r="J114" s="1778">
        <v>3491.8</v>
      </c>
      <c r="K114" s="1778">
        <v>19953.169999999998</v>
      </c>
      <c r="L114" s="1778">
        <v>1662.76</v>
      </c>
      <c r="M114" s="1778">
        <v>3325.53</v>
      </c>
      <c r="N114" s="1778">
        <v>3048.4</v>
      </c>
      <c r="O114" s="1778">
        <v>34585.49</v>
      </c>
      <c r="P114" s="1778">
        <v>1441.06</v>
      </c>
      <c r="Q114" s="1778">
        <v>2882.12</v>
      </c>
      <c r="R114" s="1778">
        <v>2383.3000000000002</v>
      </c>
      <c r="S114" s="1778">
        <v>39906.339999999997</v>
      </c>
      <c r="T114" s="1778">
        <v>1108.51</v>
      </c>
      <c r="U114" s="1778">
        <v>2217.02</v>
      </c>
      <c r="V114" s="1778">
        <v>2106.17</v>
      </c>
      <c r="W114" s="1190"/>
      <c r="X114" s="1190"/>
      <c r="Z114" s="40"/>
      <c r="AA114" s="1386"/>
      <c r="AB114" s="1187"/>
    </row>
    <row r="115" spans="1:28" s="1405" customFormat="1">
      <c r="A115" s="1186"/>
      <c r="B115" s="1842" t="s">
        <v>2373</v>
      </c>
      <c r="C115" s="1842">
        <v>4</v>
      </c>
      <c r="D115" s="1842">
        <v>32</v>
      </c>
      <c r="E115" s="1842" t="s">
        <v>102</v>
      </c>
      <c r="F115" s="1842" t="s">
        <v>602</v>
      </c>
      <c r="G115" s="1843">
        <v>0.72450000000000003</v>
      </c>
      <c r="H115" s="1843">
        <v>470.93</v>
      </c>
      <c r="I115" s="1778" t="s">
        <v>634</v>
      </c>
      <c r="J115" s="1778">
        <v>333.2</v>
      </c>
      <c r="K115" s="1778">
        <v>1903.99</v>
      </c>
      <c r="L115" s="1778">
        <v>158.66999999999999</v>
      </c>
      <c r="M115" s="1778">
        <v>317.33</v>
      </c>
      <c r="N115" s="1778">
        <v>290.89</v>
      </c>
      <c r="O115" s="1778">
        <v>3300.24</v>
      </c>
      <c r="P115" s="1778">
        <v>137.51</v>
      </c>
      <c r="Q115" s="1778">
        <v>275.02</v>
      </c>
      <c r="R115" s="1778">
        <v>227.42</v>
      </c>
      <c r="S115" s="1778">
        <v>3807.97</v>
      </c>
      <c r="T115" s="1778">
        <v>105.78</v>
      </c>
      <c r="U115" s="1778">
        <v>211.55</v>
      </c>
      <c r="V115" s="1778">
        <v>200.98</v>
      </c>
      <c r="W115" s="1190"/>
      <c r="X115" s="1190"/>
      <c r="Z115" s="40"/>
      <c r="AA115" s="1386"/>
      <c r="AB115" s="1187"/>
    </row>
    <row r="116" spans="1:28" s="1405" customFormat="1">
      <c r="A116" s="1186"/>
      <c r="B116" s="1842" t="s">
        <v>2374</v>
      </c>
      <c r="C116" s="1842">
        <v>8</v>
      </c>
      <c r="D116" s="1842">
        <v>64</v>
      </c>
      <c r="E116" s="1842" t="s">
        <v>102</v>
      </c>
      <c r="F116" s="1842" t="s">
        <v>603</v>
      </c>
      <c r="G116" s="1843">
        <v>1.4489000000000001</v>
      </c>
      <c r="H116" s="1843">
        <v>941.78</v>
      </c>
      <c r="I116" s="1778" t="s">
        <v>634</v>
      </c>
      <c r="J116" s="1778">
        <v>666.34</v>
      </c>
      <c r="K116" s="1778">
        <v>3807.67</v>
      </c>
      <c r="L116" s="1778">
        <v>317.31</v>
      </c>
      <c r="M116" s="1778">
        <v>634.61</v>
      </c>
      <c r="N116" s="1778">
        <v>581.73</v>
      </c>
      <c r="O116" s="1778">
        <v>6599.96</v>
      </c>
      <c r="P116" s="1778">
        <v>275</v>
      </c>
      <c r="Q116" s="1778">
        <v>550</v>
      </c>
      <c r="R116" s="1778">
        <v>454.81</v>
      </c>
      <c r="S116" s="1778">
        <v>7615.34</v>
      </c>
      <c r="T116" s="1778">
        <v>211.54</v>
      </c>
      <c r="U116" s="1778">
        <v>423.07</v>
      </c>
      <c r="V116" s="1778">
        <v>401.92</v>
      </c>
      <c r="W116" s="1190"/>
      <c r="X116" s="1190"/>
      <c r="Z116" s="40"/>
      <c r="AA116" s="1386"/>
      <c r="AB116" s="1187"/>
    </row>
    <row r="117" spans="1:28" s="1405" customFormat="1">
      <c r="A117" s="1186"/>
      <c r="B117" s="1842" t="s">
        <v>2397</v>
      </c>
      <c r="C117" s="1842">
        <v>16</v>
      </c>
      <c r="D117" s="1842">
        <v>128</v>
      </c>
      <c r="E117" s="1842" t="s">
        <v>102</v>
      </c>
      <c r="F117" s="1842" t="s">
        <v>604</v>
      </c>
      <c r="G117" s="1843">
        <v>2.8978999999999999</v>
      </c>
      <c r="H117" s="1843">
        <v>1883.63</v>
      </c>
      <c r="I117" s="1778" t="s">
        <v>634</v>
      </c>
      <c r="J117" s="1778">
        <v>1332.74</v>
      </c>
      <c r="K117" s="1778">
        <v>7615.64</v>
      </c>
      <c r="L117" s="1778">
        <v>634.64</v>
      </c>
      <c r="M117" s="1778">
        <v>1269.27</v>
      </c>
      <c r="N117" s="1778">
        <v>1163.5</v>
      </c>
      <c r="O117" s="1778">
        <v>13200.45</v>
      </c>
      <c r="P117" s="1778">
        <v>550.02</v>
      </c>
      <c r="Q117" s="1778">
        <v>1100.04</v>
      </c>
      <c r="R117" s="1778">
        <v>909.65</v>
      </c>
      <c r="S117" s="1778">
        <v>15231.28</v>
      </c>
      <c r="T117" s="1778">
        <v>423.09</v>
      </c>
      <c r="U117" s="1778">
        <v>846.18</v>
      </c>
      <c r="V117" s="1778">
        <v>803.87</v>
      </c>
      <c r="W117" s="1190"/>
      <c r="X117" s="1190"/>
      <c r="Z117" s="40"/>
      <c r="AA117" s="1386"/>
      <c r="AB117" s="1187"/>
    </row>
    <row r="118" spans="1:28" s="1405" customFormat="1">
      <c r="A118" s="1186"/>
      <c r="B118" s="1842" t="s">
        <v>2659</v>
      </c>
      <c r="C118" s="1842">
        <v>24</v>
      </c>
      <c r="D118" s="1842">
        <v>192</v>
      </c>
      <c r="E118" s="1842" t="s">
        <v>102</v>
      </c>
      <c r="F118" s="1842" t="s">
        <v>605</v>
      </c>
      <c r="G118" s="1843">
        <v>4.3468</v>
      </c>
      <c r="H118" s="1843">
        <v>2825.4</v>
      </c>
      <c r="I118" s="1778" t="s">
        <v>634</v>
      </c>
      <c r="J118" s="1778">
        <v>1999.08</v>
      </c>
      <c r="K118" s="1778">
        <v>11423.31</v>
      </c>
      <c r="L118" s="1778">
        <v>951.94</v>
      </c>
      <c r="M118" s="1778">
        <v>1903.89</v>
      </c>
      <c r="N118" s="1778">
        <v>1745.23</v>
      </c>
      <c r="O118" s="1778">
        <v>19800.41</v>
      </c>
      <c r="P118" s="1778">
        <v>825.02</v>
      </c>
      <c r="Q118" s="1778">
        <v>1650.03</v>
      </c>
      <c r="R118" s="1778">
        <v>1364.45</v>
      </c>
      <c r="S118" s="1778">
        <v>22846.62</v>
      </c>
      <c r="T118" s="1778">
        <v>634.63</v>
      </c>
      <c r="U118" s="1778">
        <v>1269.26</v>
      </c>
      <c r="V118" s="1778">
        <v>1205.79</v>
      </c>
      <c r="W118" s="1190"/>
      <c r="X118" s="1190"/>
      <c r="Z118" s="40"/>
      <c r="AA118" s="1386"/>
      <c r="AB118" s="1187"/>
    </row>
    <row r="119" spans="1:28" s="1405" customFormat="1">
      <c r="A119" s="1186"/>
      <c r="B119" s="1842" t="s">
        <v>2398</v>
      </c>
      <c r="C119" s="1842">
        <v>32</v>
      </c>
      <c r="D119" s="1842">
        <v>256</v>
      </c>
      <c r="E119" s="1842" t="s">
        <v>102</v>
      </c>
      <c r="F119" s="1842" t="s">
        <v>606</v>
      </c>
      <c r="G119" s="1843">
        <v>5.7957999999999998</v>
      </c>
      <c r="H119" s="1843">
        <v>3767.25</v>
      </c>
      <c r="I119" s="1778" t="s">
        <v>634</v>
      </c>
      <c r="J119" s="1778">
        <v>2665.47</v>
      </c>
      <c r="K119" s="1778">
        <v>15231.28</v>
      </c>
      <c r="L119" s="1778">
        <v>1269.27</v>
      </c>
      <c r="M119" s="1778">
        <v>2538.5500000000002</v>
      </c>
      <c r="N119" s="1778">
        <v>2327</v>
      </c>
      <c r="O119" s="1778">
        <v>26400.89</v>
      </c>
      <c r="P119" s="1778">
        <v>1100.04</v>
      </c>
      <c r="Q119" s="1778">
        <v>2200.0700000000002</v>
      </c>
      <c r="R119" s="1778">
        <v>1819.29</v>
      </c>
      <c r="S119" s="1778">
        <v>30462.57</v>
      </c>
      <c r="T119" s="1778">
        <v>846.18</v>
      </c>
      <c r="U119" s="1778">
        <v>1692.36</v>
      </c>
      <c r="V119" s="1778">
        <v>1607.75</v>
      </c>
      <c r="W119" s="1190"/>
      <c r="X119" s="1190"/>
      <c r="Z119" s="40"/>
      <c r="AA119" s="1386"/>
      <c r="AB119" s="1187"/>
    </row>
    <row r="120" spans="1:28" s="1405" customFormat="1">
      <c r="A120" s="1186"/>
      <c r="B120" s="1842" t="s">
        <v>2660</v>
      </c>
      <c r="C120" s="1842">
        <v>48</v>
      </c>
      <c r="D120" s="1842">
        <v>384</v>
      </c>
      <c r="E120" s="1842" t="s">
        <v>102</v>
      </c>
      <c r="F120" s="1842" t="s">
        <v>901</v>
      </c>
      <c r="G120" s="1843">
        <v>8.6935000000000002</v>
      </c>
      <c r="H120" s="1843">
        <v>5650.8</v>
      </c>
      <c r="I120" s="1778" t="s">
        <v>634</v>
      </c>
      <c r="J120" s="1778">
        <v>3998.16</v>
      </c>
      <c r="K120" s="1778">
        <v>22846.62</v>
      </c>
      <c r="L120" s="1778">
        <v>1903.89</v>
      </c>
      <c r="M120" s="1778">
        <v>3807.77</v>
      </c>
      <c r="N120" s="1778">
        <v>3490.46</v>
      </c>
      <c r="O120" s="1778">
        <v>39600.81</v>
      </c>
      <c r="P120" s="1778">
        <v>1650.03</v>
      </c>
      <c r="Q120" s="1778">
        <v>3300.07</v>
      </c>
      <c r="R120" s="1778">
        <v>2728.9</v>
      </c>
      <c r="S120" s="1778">
        <v>45693.25</v>
      </c>
      <c r="T120" s="1778">
        <v>1269.26</v>
      </c>
      <c r="U120" s="1778">
        <v>2538.5100000000002</v>
      </c>
      <c r="V120" s="1778">
        <v>2411.59</v>
      </c>
      <c r="W120" s="1190"/>
      <c r="X120" s="1190"/>
      <c r="Z120" s="40"/>
      <c r="AA120" s="1386"/>
      <c r="AB120" s="1187"/>
    </row>
    <row r="121" spans="1:28" s="1489" customFormat="1">
      <c r="A121" s="1491"/>
      <c r="B121" s="1842" t="s">
        <v>2661</v>
      </c>
      <c r="C121" s="1842">
        <v>4</v>
      </c>
      <c r="D121" s="1842">
        <v>16</v>
      </c>
      <c r="E121" s="1842" t="s">
        <v>102</v>
      </c>
      <c r="F121" s="1842" t="s">
        <v>2422</v>
      </c>
      <c r="G121" s="1844">
        <v>0.63270000000000004</v>
      </c>
      <c r="H121" s="1844">
        <v>411.25500000000005</v>
      </c>
      <c r="I121" s="1845"/>
      <c r="J121" s="1845">
        <v>290.97872999999998</v>
      </c>
      <c r="K121" s="1845">
        <v>1662.7356000000002</v>
      </c>
      <c r="L121" s="1845">
        <v>138.56130000000002</v>
      </c>
      <c r="M121" s="1845">
        <v>277.12260000000003</v>
      </c>
      <c r="N121" s="1845">
        <v>254.02905000000004</v>
      </c>
      <c r="O121" s="1845">
        <v>2882.0750400000006</v>
      </c>
      <c r="P121" s="1845">
        <v>120.08646000000003</v>
      </c>
      <c r="Q121" s="1845">
        <v>240.17292000000003</v>
      </c>
      <c r="R121" s="1845">
        <v>198.60453000000004</v>
      </c>
      <c r="S121" s="1845">
        <v>3325.4712000000004</v>
      </c>
      <c r="T121" s="1845">
        <v>92.374200000000016</v>
      </c>
      <c r="U121" s="1845">
        <v>184.74840000000003</v>
      </c>
      <c r="V121" s="1845">
        <v>175.51098000000002</v>
      </c>
      <c r="W121" s="1190"/>
      <c r="X121" s="1190"/>
      <c r="Z121" s="40"/>
      <c r="AA121" s="1667"/>
      <c r="AB121" s="1493"/>
    </row>
    <row r="122" spans="1:28" s="1489" customFormat="1">
      <c r="A122" s="1491"/>
      <c r="B122" s="1842" t="s">
        <v>2662</v>
      </c>
      <c r="C122" s="1842">
        <v>8</v>
      </c>
      <c r="D122" s="1842">
        <v>32</v>
      </c>
      <c r="E122" s="1842" t="s">
        <v>102</v>
      </c>
      <c r="F122" s="1842" t="s">
        <v>2423</v>
      </c>
      <c r="G122" s="1844">
        <v>1.2654000000000001</v>
      </c>
      <c r="H122" s="1844">
        <v>822.5100000000001</v>
      </c>
      <c r="I122" s="1845"/>
      <c r="J122" s="1845">
        <v>581.95745999999997</v>
      </c>
      <c r="K122" s="1845">
        <v>3325.4712000000004</v>
      </c>
      <c r="L122" s="1845">
        <v>277.12260000000003</v>
      </c>
      <c r="M122" s="1845">
        <v>554.24520000000007</v>
      </c>
      <c r="N122" s="1845">
        <v>508.05810000000008</v>
      </c>
      <c r="O122" s="1845">
        <v>5764.1500800000013</v>
      </c>
      <c r="P122" s="1845">
        <v>240.17292000000006</v>
      </c>
      <c r="Q122" s="1845">
        <v>480.34584000000007</v>
      </c>
      <c r="R122" s="1845">
        <v>397.20906000000008</v>
      </c>
      <c r="S122" s="1845">
        <v>6650.9424000000008</v>
      </c>
      <c r="T122" s="1845">
        <v>184.74840000000003</v>
      </c>
      <c r="U122" s="1845">
        <v>369.49680000000006</v>
      </c>
      <c r="V122" s="1845">
        <v>351.02196000000004</v>
      </c>
      <c r="W122" s="1190"/>
      <c r="X122" s="1190"/>
      <c r="Z122" s="40"/>
      <c r="AA122" s="1667"/>
      <c r="AB122" s="1493"/>
    </row>
    <row r="123" spans="1:28" s="1489" customFormat="1">
      <c r="A123" s="1491"/>
      <c r="B123" s="1842" t="s">
        <v>2663</v>
      </c>
      <c r="C123" s="1842">
        <v>16</v>
      </c>
      <c r="D123" s="1842">
        <v>64</v>
      </c>
      <c r="E123" s="1842" t="s">
        <v>102</v>
      </c>
      <c r="F123" s="1842" t="s">
        <v>2424</v>
      </c>
      <c r="G123" s="1844">
        <v>2.5308999999999999</v>
      </c>
      <c r="H123" s="1844">
        <v>1645.085</v>
      </c>
      <c r="I123" s="1845"/>
      <c r="J123" s="1845">
        <v>1163.9609099999998</v>
      </c>
      <c r="K123" s="1845">
        <v>6651.2052000000003</v>
      </c>
      <c r="L123" s="1845">
        <v>554.26710000000003</v>
      </c>
      <c r="M123" s="1845">
        <v>1108.5342000000001</v>
      </c>
      <c r="N123" s="1845">
        <v>1016.1563500000001</v>
      </c>
      <c r="O123" s="1845">
        <v>11528.75568</v>
      </c>
      <c r="P123" s="1845">
        <v>480.36482000000001</v>
      </c>
      <c r="Q123" s="1845">
        <v>960.72964000000002</v>
      </c>
      <c r="R123" s="1845">
        <v>794.44951000000015</v>
      </c>
      <c r="S123" s="1845">
        <v>13302.410400000001</v>
      </c>
      <c r="T123" s="1845">
        <v>369.51140000000004</v>
      </c>
      <c r="U123" s="1845">
        <v>739.02280000000007</v>
      </c>
      <c r="V123" s="1845">
        <v>702.07166000000007</v>
      </c>
      <c r="W123" s="1190"/>
      <c r="X123" s="1190"/>
      <c r="Z123" s="40"/>
      <c r="AA123" s="1667"/>
      <c r="AB123" s="1493"/>
    </row>
    <row r="124" spans="1:28" s="1489" customFormat="1">
      <c r="A124" s="1491"/>
      <c r="B124" s="1842" t="s">
        <v>2664</v>
      </c>
      <c r="C124" s="1842">
        <v>24</v>
      </c>
      <c r="D124" s="1842">
        <v>96</v>
      </c>
      <c r="E124" s="1842" t="s">
        <v>102</v>
      </c>
      <c r="F124" s="1842" t="s">
        <v>2425</v>
      </c>
      <c r="G124" s="1844">
        <v>3.7961999999999998</v>
      </c>
      <c r="H124" s="1844">
        <v>2467.5299999999997</v>
      </c>
      <c r="I124" s="1845"/>
      <c r="J124" s="1845">
        <v>1745.8723799999996</v>
      </c>
      <c r="K124" s="1845">
        <v>9976.413599999998</v>
      </c>
      <c r="L124" s="1845">
        <v>831.36779999999987</v>
      </c>
      <c r="M124" s="1845">
        <v>1662.7355999999997</v>
      </c>
      <c r="N124" s="1845">
        <v>1524.1742999999999</v>
      </c>
      <c r="O124" s="1845">
        <v>17292.450239999998</v>
      </c>
      <c r="P124" s="1845">
        <v>720.51875999999993</v>
      </c>
      <c r="Q124" s="1845">
        <v>1441.0375199999999</v>
      </c>
      <c r="R124" s="1845">
        <v>1191.62718</v>
      </c>
      <c r="S124" s="1845">
        <v>19952.8272</v>
      </c>
      <c r="T124" s="1845">
        <v>554.24519999999995</v>
      </c>
      <c r="U124" s="1845">
        <v>1108.4903999999999</v>
      </c>
      <c r="V124" s="1845">
        <v>1053.0658799999999</v>
      </c>
      <c r="W124" s="1190"/>
      <c r="X124" s="1190"/>
      <c r="Z124" s="40"/>
      <c r="AA124" s="1667"/>
      <c r="AB124" s="1493"/>
    </row>
    <row r="125" spans="1:28" s="1489" customFormat="1">
      <c r="A125" s="1491"/>
      <c r="B125" s="1842" t="s">
        <v>2665</v>
      </c>
      <c r="C125" s="1842">
        <v>32</v>
      </c>
      <c r="D125" s="1842">
        <v>128</v>
      </c>
      <c r="E125" s="1842" t="s">
        <v>102</v>
      </c>
      <c r="F125" s="1842" t="s">
        <v>2426</v>
      </c>
      <c r="G125" s="1844">
        <v>5.0617000000000001</v>
      </c>
      <c r="H125" s="1844">
        <v>3290.105</v>
      </c>
      <c r="I125" s="1845"/>
      <c r="J125" s="1845">
        <v>2327.8758299999995</v>
      </c>
      <c r="K125" s="1845">
        <v>13302.1476</v>
      </c>
      <c r="L125" s="1845">
        <v>1108.5123000000001</v>
      </c>
      <c r="M125" s="1845">
        <v>2217.0246000000002</v>
      </c>
      <c r="N125" s="1845">
        <v>2032.2725500000004</v>
      </c>
      <c r="O125" s="1845">
        <v>23057.055840000001</v>
      </c>
      <c r="P125" s="1845">
        <v>960.71066000000008</v>
      </c>
      <c r="Q125" s="1845">
        <v>1921.4213200000002</v>
      </c>
      <c r="R125" s="1845">
        <v>1588.8676300000002</v>
      </c>
      <c r="S125" s="1845">
        <v>26604.295200000004</v>
      </c>
      <c r="T125" s="1845">
        <v>739.0082000000001</v>
      </c>
      <c r="U125" s="1845">
        <v>1478.0164000000002</v>
      </c>
      <c r="V125" s="1845">
        <v>1404.1155800000001</v>
      </c>
      <c r="W125" s="1190"/>
      <c r="X125" s="1190"/>
      <c r="Z125" s="40"/>
      <c r="AA125" s="1667"/>
      <c r="AB125" s="1493"/>
    </row>
    <row r="126" spans="1:28" s="1489" customFormat="1">
      <c r="A126" s="1491"/>
      <c r="B126" s="1842" t="s">
        <v>2666</v>
      </c>
      <c r="C126" s="1842">
        <v>48</v>
      </c>
      <c r="D126" s="1842">
        <v>192</v>
      </c>
      <c r="E126" s="1842" t="s">
        <v>102</v>
      </c>
      <c r="F126" s="1842" t="s">
        <v>2427</v>
      </c>
      <c r="G126" s="1844">
        <v>7.5925000000000002</v>
      </c>
      <c r="H126" s="1844">
        <v>4935.125</v>
      </c>
      <c r="I126" s="1845"/>
      <c r="J126" s="1845">
        <v>3491.7907499999997</v>
      </c>
      <c r="K126" s="1845">
        <v>19953.090000000004</v>
      </c>
      <c r="L126" s="1845">
        <v>1662.7575000000004</v>
      </c>
      <c r="M126" s="1845">
        <v>3325.5150000000003</v>
      </c>
      <c r="N126" s="1845">
        <v>3048.3887500000005</v>
      </c>
      <c r="O126" s="1845">
        <v>34585.356</v>
      </c>
      <c r="P126" s="1845">
        <v>1441.0564999999999</v>
      </c>
      <c r="Q126" s="1845">
        <v>2882.1130000000003</v>
      </c>
      <c r="R126" s="1845">
        <v>2383.2857500000005</v>
      </c>
      <c r="S126" s="1845">
        <v>39906.180000000008</v>
      </c>
      <c r="T126" s="1845">
        <v>1108.5050000000001</v>
      </c>
      <c r="U126" s="1845">
        <v>2217.0100000000002</v>
      </c>
      <c r="V126" s="1845">
        <v>2106.1595000000002</v>
      </c>
      <c r="W126" s="1190"/>
      <c r="X126" s="1190"/>
      <c r="Z126" s="40"/>
      <c r="AA126" s="1667"/>
      <c r="AB126" s="1493"/>
    </row>
    <row r="127" spans="1:28" s="1489" customFormat="1">
      <c r="A127" s="1491"/>
      <c r="B127" s="1842" t="s">
        <v>2667</v>
      </c>
      <c r="C127" s="1842">
        <v>64</v>
      </c>
      <c r="D127" s="1842">
        <v>256</v>
      </c>
      <c r="E127" s="1842" t="s">
        <v>102</v>
      </c>
      <c r="F127" s="1842" t="s">
        <v>2428</v>
      </c>
      <c r="G127" s="1844">
        <v>10.123428571428573</v>
      </c>
      <c r="H127" s="1844">
        <v>6580.2285714285717</v>
      </c>
      <c r="I127" s="1845"/>
      <c r="J127" s="1845">
        <v>4655.7647999999999</v>
      </c>
      <c r="K127" s="1845">
        <v>26604.370285714285</v>
      </c>
      <c r="L127" s="1845">
        <v>2217.0308571428573</v>
      </c>
      <c r="M127" s="1845">
        <v>4434.0617142857145</v>
      </c>
      <c r="N127" s="1845">
        <v>4064.5565714285722</v>
      </c>
      <c r="O127" s="1845">
        <v>46114.241828571438</v>
      </c>
      <c r="P127" s="1845">
        <v>1921.4267428571432</v>
      </c>
      <c r="Q127" s="1845">
        <v>3842.8534857142863</v>
      </c>
      <c r="R127" s="1845">
        <v>3177.7442285714292</v>
      </c>
      <c r="S127" s="1845">
        <v>53208.740571428578</v>
      </c>
      <c r="T127" s="1845">
        <v>1478.0205714285717</v>
      </c>
      <c r="U127" s="1845">
        <v>2956.0411428571433</v>
      </c>
      <c r="V127" s="1845">
        <v>2808.2390857142859</v>
      </c>
      <c r="W127" s="1190"/>
      <c r="X127" s="1190"/>
      <c r="Z127" s="40"/>
      <c r="AA127" s="1667"/>
      <c r="AB127" s="1493"/>
    </row>
    <row r="128" spans="1:28" s="1489" customFormat="1">
      <c r="A128" s="1491"/>
      <c r="B128" s="1842" t="s">
        <v>2668</v>
      </c>
      <c r="C128" s="1842">
        <v>72</v>
      </c>
      <c r="D128" s="1842">
        <v>288</v>
      </c>
      <c r="E128" s="1842" t="s">
        <v>102</v>
      </c>
      <c r="F128" s="1842" t="s">
        <v>2429</v>
      </c>
      <c r="G128" s="1844">
        <v>11.388857142857145</v>
      </c>
      <c r="H128" s="1844">
        <v>7402.7571428571437</v>
      </c>
      <c r="I128" s="1845"/>
      <c r="J128" s="1845">
        <v>5237.7353999999996</v>
      </c>
      <c r="K128" s="1845">
        <v>29929.916571428574</v>
      </c>
      <c r="L128" s="1845">
        <v>2494.1597142857145</v>
      </c>
      <c r="M128" s="1845">
        <v>4988.3194285714289</v>
      </c>
      <c r="N128" s="1845">
        <v>4572.6261428571443</v>
      </c>
      <c r="O128" s="1845">
        <v>51878.522057142865</v>
      </c>
      <c r="P128" s="1845">
        <v>2161.6050857142859</v>
      </c>
      <c r="Q128" s="1845">
        <v>4323.2101714285718</v>
      </c>
      <c r="R128" s="1845">
        <v>3574.9622571428581</v>
      </c>
      <c r="S128" s="1845">
        <v>59859.833142857155</v>
      </c>
      <c r="T128" s="1845">
        <v>1662.7731428571433</v>
      </c>
      <c r="U128" s="1845">
        <v>3325.5462857142866</v>
      </c>
      <c r="V128" s="1845">
        <v>3159.2689714285721</v>
      </c>
      <c r="W128" s="1190"/>
      <c r="X128" s="1190"/>
      <c r="Z128" s="40"/>
      <c r="AA128" s="1667"/>
      <c r="AB128" s="1493"/>
    </row>
    <row r="129" spans="1:50" s="1405" customFormat="1">
      <c r="A129" s="1186"/>
      <c r="B129" s="1898" t="s">
        <v>2885</v>
      </c>
      <c r="C129" s="1842">
        <v>8</v>
      </c>
      <c r="D129" s="1842">
        <v>64</v>
      </c>
      <c r="E129" s="1842" t="s">
        <v>102</v>
      </c>
      <c r="F129" s="1898" t="s">
        <v>2891</v>
      </c>
      <c r="G129" s="1843">
        <v>0.72</v>
      </c>
      <c r="H129" s="1843">
        <v>467.97</v>
      </c>
      <c r="I129" s="1778" t="s">
        <v>634</v>
      </c>
      <c r="J129" s="1778">
        <v>331.11</v>
      </c>
      <c r="K129" s="1778">
        <v>1892.03</v>
      </c>
      <c r="L129" s="1778">
        <v>157.66999999999999</v>
      </c>
      <c r="M129" s="1778">
        <v>315.33999999999997</v>
      </c>
      <c r="N129" s="1778">
        <v>289.06</v>
      </c>
      <c r="O129" s="1778">
        <v>3279.52</v>
      </c>
      <c r="P129" s="1778">
        <v>136.65</v>
      </c>
      <c r="Q129" s="1778">
        <v>273.29000000000002</v>
      </c>
      <c r="R129" s="1778">
        <v>225.99</v>
      </c>
      <c r="S129" s="1778">
        <v>3784.06</v>
      </c>
      <c r="T129" s="1778">
        <v>105.11</v>
      </c>
      <c r="U129" s="1778">
        <v>210.23</v>
      </c>
      <c r="V129" s="1778">
        <v>199.71</v>
      </c>
      <c r="W129" s="1190"/>
      <c r="X129" s="1190"/>
      <c r="Z129" s="40"/>
      <c r="AA129" s="1462"/>
      <c r="AB129" s="1187"/>
    </row>
    <row r="130" spans="1:50" s="1405" customFormat="1">
      <c r="A130" s="1186"/>
      <c r="B130" s="1898" t="s">
        <v>2886</v>
      </c>
      <c r="C130" s="1842">
        <v>16</v>
      </c>
      <c r="D130" s="1842">
        <v>128</v>
      </c>
      <c r="E130" s="1842" t="s">
        <v>102</v>
      </c>
      <c r="F130" s="1898" t="s">
        <v>2892</v>
      </c>
      <c r="G130" s="1843">
        <v>1.4397</v>
      </c>
      <c r="H130" s="1843">
        <v>935.79</v>
      </c>
      <c r="I130" s="1778" t="s">
        <v>634</v>
      </c>
      <c r="J130" s="1778">
        <v>662.11</v>
      </c>
      <c r="K130" s="1778">
        <v>3783.48</v>
      </c>
      <c r="L130" s="1778">
        <v>315.29000000000002</v>
      </c>
      <c r="M130" s="1778">
        <v>630.58000000000004</v>
      </c>
      <c r="N130" s="1778">
        <v>578.03</v>
      </c>
      <c r="O130" s="1778">
        <v>6558.03</v>
      </c>
      <c r="P130" s="1778">
        <v>273.25</v>
      </c>
      <c r="Q130" s="1778">
        <v>546.5</v>
      </c>
      <c r="R130" s="1778">
        <v>451.92</v>
      </c>
      <c r="S130" s="1778">
        <v>7566.96</v>
      </c>
      <c r="T130" s="1778">
        <v>210.19</v>
      </c>
      <c r="U130" s="1778">
        <v>420.39</v>
      </c>
      <c r="V130" s="1778">
        <v>399.37</v>
      </c>
      <c r="W130" s="1190"/>
      <c r="X130" s="1190"/>
      <c r="Z130" s="40"/>
      <c r="AA130" s="1462"/>
      <c r="AB130" s="1187"/>
    </row>
    <row r="131" spans="1:50" s="1405" customFormat="1">
      <c r="A131" s="1186"/>
      <c r="B131" s="1898" t="s">
        <v>2887</v>
      </c>
      <c r="C131" s="1842">
        <v>32</v>
      </c>
      <c r="D131" s="1842">
        <v>256</v>
      </c>
      <c r="E131" s="1842" t="s">
        <v>102</v>
      </c>
      <c r="F131" s="1898" t="s">
        <v>2893</v>
      </c>
      <c r="G131" s="1843">
        <v>2.8795999999999999</v>
      </c>
      <c r="H131" s="1843">
        <v>1871.73</v>
      </c>
      <c r="I131" s="1778" t="s">
        <v>634</v>
      </c>
      <c r="J131" s="1778">
        <v>1324.32</v>
      </c>
      <c r="K131" s="1778">
        <v>7567.54</v>
      </c>
      <c r="L131" s="1778">
        <v>630.63</v>
      </c>
      <c r="M131" s="1778">
        <v>1261.26</v>
      </c>
      <c r="N131" s="1778">
        <v>1156.1500000000001</v>
      </c>
      <c r="O131" s="1778">
        <v>13117.06</v>
      </c>
      <c r="P131" s="1778">
        <v>546.54</v>
      </c>
      <c r="Q131" s="1778">
        <v>1093.0899999999999</v>
      </c>
      <c r="R131" s="1778">
        <v>903.9</v>
      </c>
      <c r="S131" s="1778">
        <v>15135.07</v>
      </c>
      <c r="T131" s="1778">
        <v>420.42</v>
      </c>
      <c r="U131" s="1778">
        <v>840.84</v>
      </c>
      <c r="V131" s="1778">
        <v>798.8</v>
      </c>
      <c r="W131" s="1190"/>
      <c r="X131" s="1190"/>
      <c r="Z131" s="40"/>
      <c r="AA131" s="1421"/>
      <c r="AB131" s="1187"/>
    </row>
    <row r="132" spans="1:50" s="1489" customFormat="1">
      <c r="A132" s="1491"/>
      <c r="B132" s="1898" t="s">
        <v>2888</v>
      </c>
      <c r="C132" s="1842">
        <v>16</v>
      </c>
      <c r="D132" s="1842">
        <v>256</v>
      </c>
      <c r="E132" s="1842" t="s">
        <v>102</v>
      </c>
      <c r="F132" s="1898" t="s">
        <v>2892</v>
      </c>
      <c r="G132" s="1843">
        <v>2.1595499999999999</v>
      </c>
      <c r="H132" s="1843">
        <v>1403.6849999999999</v>
      </c>
      <c r="I132" s="1778" t="s">
        <v>634</v>
      </c>
      <c r="J132" s="1778">
        <v>993.16499999999996</v>
      </c>
      <c r="K132" s="1778">
        <v>5675.22</v>
      </c>
      <c r="L132" s="1778">
        <v>472.93500000000006</v>
      </c>
      <c r="M132" s="1778">
        <v>945.87000000000012</v>
      </c>
      <c r="N132" s="1778">
        <v>867.04499999999996</v>
      </c>
      <c r="O132" s="1778">
        <v>9837.0450000000001</v>
      </c>
      <c r="P132" s="1778">
        <v>409.875</v>
      </c>
      <c r="Q132" s="1778">
        <v>819.75</v>
      </c>
      <c r="R132" s="1778">
        <v>677.88</v>
      </c>
      <c r="S132" s="1778">
        <v>11350.44</v>
      </c>
      <c r="T132" s="1778">
        <v>315.28499999999997</v>
      </c>
      <c r="U132" s="1778">
        <v>630.58500000000004</v>
      </c>
      <c r="V132" s="1778">
        <v>599.05500000000006</v>
      </c>
      <c r="W132" s="1190"/>
      <c r="X132" s="1190"/>
      <c r="Z132" s="40"/>
      <c r="AA132" s="1530"/>
      <c r="AB132" s="1493"/>
    </row>
    <row r="133" spans="1:50" s="1405" customFormat="1">
      <c r="A133" s="1186"/>
      <c r="B133" s="1898" t="s">
        <v>2889</v>
      </c>
      <c r="C133" s="1842">
        <v>48</v>
      </c>
      <c r="D133" s="1842">
        <v>384</v>
      </c>
      <c r="E133" s="1842" t="s">
        <v>102</v>
      </c>
      <c r="F133" s="1898" t="s">
        <v>2894</v>
      </c>
      <c r="G133" s="1843">
        <v>4.3193000000000001</v>
      </c>
      <c r="H133" s="1843">
        <v>2807.52</v>
      </c>
      <c r="I133" s="1778" t="s">
        <v>634</v>
      </c>
      <c r="J133" s="1778">
        <v>1986.43</v>
      </c>
      <c r="K133" s="1778">
        <v>11351.02</v>
      </c>
      <c r="L133" s="1778">
        <v>945.92</v>
      </c>
      <c r="M133" s="1778">
        <v>1891.84</v>
      </c>
      <c r="N133" s="1778">
        <v>1734.18</v>
      </c>
      <c r="O133" s="1778">
        <v>19675.09</v>
      </c>
      <c r="P133" s="1778">
        <v>819.8</v>
      </c>
      <c r="Q133" s="1778">
        <v>1639.59</v>
      </c>
      <c r="R133" s="1778">
        <v>1355.82</v>
      </c>
      <c r="S133" s="1778">
        <v>22702.03</v>
      </c>
      <c r="T133" s="1778">
        <v>630.61</v>
      </c>
      <c r="U133" s="1778">
        <v>1261.22</v>
      </c>
      <c r="V133" s="1778">
        <v>1198.1600000000001</v>
      </c>
      <c r="W133" s="1190"/>
      <c r="X133" s="1190"/>
      <c r="Z133" s="40"/>
      <c r="AA133" s="1421"/>
      <c r="AB133" s="1187"/>
    </row>
    <row r="134" spans="1:50" s="1405" customFormat="1">
      <c r="A134" s="1186"/>
      <c r="B134" s="1898" t="s">
        <v>2890</v>
      </c>
      <c r="C134" s="1842">
        <v>60</v>
      </c>
      <c r="D134" s="1842">
        <v>512</v>
      </c>
      <c r="E134" s="1842" t="s">
        <v>102</v>
      </c>
      <c r="F134" s="1898" t="s">
        <v>2895</v>
      </c>
      <c r="G134" s="1843">
        <v>5.0391000000000004</v>
      </c>
      <c r="H134" s="1843">
        <v>3275.42</v>
      </c>
      <c r="I134" s="1778" t="s">
        <v>634</v>
      </c>
      <c r="J134" s="1778">
        <v>2317.48</v>
      </c>
      <c r="K134" s="1778">
        <v>13242.75</v>
      </c>
      <c r="L134" s="1778">
        <v>1103.56</v>
      </c>
      <c r="M134" s="1778">
        <v>2207.13</v>
      </c>
      <c r="N134" s="1778">
        <v>2023.2</v>
      </c>
      <c r="O134" s="1778">
        <v>22954.11</v>
      </c>
      <c r="P134" s="1778">
        <v>956.42</v>
      </c>
      <c r="Q134" s="1778">
        <v>1912.84</v>
      </c>
      <c r="R134" s="1778">
        <v>1581.77</v>
      </c>
      <c r="S134" s="1778">
        <v>26485.51</v>
      </c>
      <c r="T134" s="1778">
        <v>735.71</v>
      </c>
      <c r="U134" s="1778">
        <v>1471.42</v>
      </c>
      <c r="V134" s="1778">
        <v>1397.85</v>
      </c>
      <c r="W134" s="1190"/>
      <c r="X134" s="1190"/>
      <c r="Z134" s="40"/>
      <c r="AA134" s="1421"/>
      <c r="AB134" s="1187"/>
    </row>
    <row r="135" spans="1:50" s="1405" customFormat="1">
      <c r="A135" s="1186"/>
      <c r="B135" s="1842" t="s">
        <v>2670</v>
      </c>
      <c r="C135" s="1842">
        <v>8</v>
      </c>
      <c r="D135" s="1842">
        <v>64</v>
      </c>
      <c r="E135" s="1842" t="s">
        <v>102</v>
      </c>
      <c r="F135" s="1842" t="s">
        <v>1271</v>
      </c>
      <c r="G135" s="1843">
        <v>3.8729</v>
      </c>
      <c r="H135" s="1843">
        <v>2517.36</v>
      </c>
      <c r="I135" s="1778" t="s">
        <v>634</v>
      </c>
      <c r="J135" s="1778">
        <v>1781.13</v>
      </c>
      <c r="K135" s="1778">
        <v>10177.86</v>
      </c>
      <c r="L135" s="1778">
        <v>848.16</v>
      </c>
      <c r="M135" s="1778">
        <v>1696.31</v>
      </c>
      <c r="N135" s="1778">
        <v>1554.95</v>
      </c>
      <c r="O135" s="1778">
        <v>17641.63</v>
      </c>
      <c r="P135" s="1778">
        <v>735.07</v>
      </c>
      <c r="Q135" s="1778">
        <v>1470.14</v>
      </c>
      <c r="R135" s="1778">
        <v>1215.69</v>
      </c>
      <c r="S135" s="1778">
        <v>20355.73</v>
      </c>
      <c r="T135" s="1778">
        <v>565.44000000000005</v>
      </c>
      <c r="U135" s="1778">
        <v>1130.8699999999999</v>
      </c>
      <c r="V135" s="1778">
        <v>1074.33</v>
      </c>
      <c r="W135" s="1190"/>
      <c r="X135" s="1190"/>
      <c r="Z135" s="40"/>
      <c r="AA135" s="1421"/>
      <c r="AB135" s="1187"/>
    </row>
    <row r="136" spans="1:50" s="1405" customFormat="1">
      <c r="A136" s="1186"/>
      <c r="B136" s="1842" t="s">
        <v>2671</v>
      </c>
      <c r="C136" s="1842">
        <v>16</v>
      </c>
      <c r="D136" s="1842">
        <v>128</v>
      </c>
      <c r="E136" s="1842" t="s">
        <v>102</v>
      </c>
      <c r="F136" s="1842" t="s">
        <v>1271</v>
      </c>
      <c r="G136" s="1843">
        <v>7.7457000000000003</v>
      </c>
      <c r="H136" s="1843">
        <v>5034.71</v>
      </c>
      <c r="I136" s="1778" t="s">
        <v>634</v>
      </c>
      <c r="J136" s="1778">
        <v>3562.25</v>
      </c>
      <c r="K136" s="1778">
        <v>20355.73</v>
      </c>
      <c r="L136" s="1778">
        <v>1696.31</v>
      </c>
      <c r="M136" s="1778">
        <v>3392.62</v>
      </c>
      <c r="N136" s="1778">
        <v>3109.9</v>
      </c>
      <c r="O136" s="1778">
        <v>35283.26</v>
      </c>
      <c r="P136" s="1778">
        <v>1470.14</v>
      </c>
      <c r="Q136" s="1778">
        <v>2940.27</v>
      </c>
      <c r="R136" s="1778">
        <v>2431.38</v>
      </c>
      <c r="S136" s="1778">
        <v>40711.449999999997</v>
      </c>
      <c r="T136" s="1778">
        <v>1130.8699999999999</v>
      </c>
      <c r="U136" s="1778">
        <v>2261.75</v>
      </c>
      <c r="V136" s="1778">
        <v>2148.66</v>
      </c>
      <c r="W136" s="1190"/>
      <c r="X136" s="1190"/>
      <c r="Z136" s="40"/>
      <c r="AA136" s="1421"/>
      <c r="AB136" s="1187"/>
    </row>
    <row r="137" spans="1:50" s="1405" customFormat="1">
      <c r="A137" s="1186"/>
      <c r="B137" s="1842" t="s">
        <v>2672</v>
      </c>
      <c r="C137" s="1842">
        <v>32</v>
      </c>
      <c r="D137" s="1842">
        <v>256</v>
      </c>
      <c r="E137" s="1842" t="s">
        <v>102</v>
      </c>
      <c r="F137" s="1842" t="s">
        <v>1271</v>
      </c>
      <c r="G137" s="1843">
        <v>15.4922</v>
      </c>
      <c r="H137" s="1843">
        <v>10069.950000000001</v>
      </c>
      <c r="I137" s="1778" t="s">
        <v>634</v>
      </c>
      <c r="J137" s="1778">
        <v>7124.87</v>
      </c>
      <c r="K137" s="1778">
        <v>40713.57</v>
      </c>
      <c r="L137" s="1778">
        <v>3392.8</v>
      </c>
      <c r="M137" s="1778">
        <v>6785.59</v>
      </c>
      <c r="N137" s="1778">
        <v>6220.13</v>
      </c>
      <c r="O137" s="1778">
        <v>70570.179999999993</v>
      </c>
      <c r="P137" s="1778">
        <v>2940.42</v>
      </c>
      <c r="Q137" s="1778">
        <v>5880.85</v>
      </c>
      <c r="R137" s="1778">
        <v>4863.01</v>
      </c>
      <c r="S137" s="1778">
        <v>81427.13</v>
      </c>
      <c r="T137" s="1778">
        <v>2261.86</v>
      </c>
      <c r="U137" s="1778">
        <v>4523.7299999999996</v>
      </c>
      <c r="V137" s="1778">
        <v>4297.54</v>
      </c>
      <c r="W137" s="1190"/>
      <c r="X137" s="1190"/>
      <c r="Z137" s="40"/>
      <c r="AA137" s="1421"/>
      <c r="AB137" s="1187"/>
    </row>
    <row r="138" spans="1:50" s="1405" customFormat="1">
      <c r="A138" s="1186"/>
      <c r="B138" s="1842" t="s">
        <v>2673</v>
      </c>
      <c r="C138" s="1842">
        <v>64</v>
      </c>
      <c r="D138" s="1842">
        <v>512</v>
      </c>
      <c r="E138" s="1842" t="s">
        <v>102</v>
      </c>
      <c r="F138" s="1842" t="s">
        <v>1271</v>
      </c>
      <c r="G138" s="1843">
        <v>30.985299999999999</v>
      </c>
      <c r="H138" s="1843">
        <v>20140.419999999998</v>
      </c>
      <c r="I138" s="1778" t="s">
        <v>634</v>
      </c>
      <c r="J138" s="1778">
        <v>14250.12</v>
      </c>
      <c r="K138" s="1778">
        <v>81429.25</v>
      </c>
      <c r="L138" s="1778">
        <v>6785.77</v>
      </c>
      <c r="M138" s="1778">
        <v>13571.54</v>
      </c>
      <c r="N138" s="1778">
        <v>12440.58</v>
      </c>
      <c r="O138" s="1778">
        <v>141144.03</v>
      </c>
      <c r="P138" s="1778">
        <v>5881</v>
      </c>
      <c r="Q138" s="1778">
        <v>11762</v>
      </c>
      <c r="R138" s="1778">
        <v>9726.27</v>
      </c>
      <c r="S138" s="1778">
        <v>162858.5</v>
      </c>
      <c r="T138" s="1778">
        <v>4523.8500000000004</v>
      </c>
      <c r="U138" s="1778">
        <v>9047.69</v>
      </c>
      <c r="V138" s="1778">
        <v>8595.31</v>
      </c>
      <c r="W138" s="1190"/>
      <c r="X138" s="1190"/>
      <c r="Z138" s="40"/>
      <c r="AA138" s="1462"/>
      <c r="AB138" s="1187"/>
    </row>
    <row r="139" spans="1:50" s="1405" customFormat="1">
      <c r="A139" s="1186"/>
      <c r="B139" s="1842" t="s">
        <v>2674</v>
      </c>
      <c r="C139" s="1842">
        <v>8</v>
      </c>
      <c r="D139" s="1842">
        <v>32</v>
      </c>
      <c r="E139" s="1842" t="s">
        <v>102</v>
      </c>
      <c r="F139" s="1842" t="s">
        <v>1271</v>
      </c>
      <c r="G139" s="1843">
        <v>0.77049999999999996</v>
      </c>
      <c r="H139" s="1843">
        <v>500.83</v>
      </c>
      <c r="I139" s="1778" t="s">
        <v>634</v>
      </c>
      <c r="J139" s="1778">
        <v>354.35</v>
      </c>
      <c r="K139" s="1778">
        <v>2024.87</v>
      </c>
      <c r="L139" s="1778">
        <v>168.74</v>
      </c>
      <c r="M139" s="1778">
        <v>337.48</v>
      </c>
      <c r="N139" s="1778">
        <v>309.36</v>
      </c>
      <c r="O139" s="1778">
        <v>3509.78</v>
      </c>
      <c r="P139" s="1778">
        <v>146.24</v>
      </c>
      <c r="Q139" s="1778">
        <v>292.48</v>
      </c>
      <c r="R139" s="1778">
        <v>241.86</v>
      </c>
      <c r="S139" s="1778">
        <v>4049.75</v>
      </c>
      <c r="T139" s="1778">
        <v>112.49</v>
      </c>
      <c r="U139" s="1778">
        <v>224.99</v>
      </c>
      <c r="V139" s="1778">
        <v>213.74</v>
      </c>
      <c r="W139" s="1190"/>
      <c r="X139" s="1190"/>
      <c r="Z139" s="40"/>
      <c r="AA139" s="1462"/>
      <c r="AB139" s="1187"/>
    </row>
    <row r="140" spans="1:50" s="1405" customFormat="1">
      <c r="A140" s="1186"/>
      <c r="B140" s="1842" t="s">
        <v>2675</v>
      </c>
      <c r="C140" s="1842">
        <v>16</v>
      </c>
      <c r="D140" s="1842">
        <v>64</v>
      </c>
      <c r="E140" s="1842" t="s">
        <v>102</v>
      </c>
      <c r="F140" s="1842" t="s">
        <v>1271</v>
      </c>
      <c r="G140" s="1843">
        <v>1.5409999999999999</v>
      </c>
      <c r="H140" s="1843">
        <v>1001.65</v>
      </c>
      <c r="I140" s="1778" t="s">
        <v>634</v>
      </c>
      <c r="J140" s="1778">
        <v>708.71</v>
      </c>
      <c r="K140" s="1778">
        <v>4049.75</v>
      </c>
      <c r="L140" s="1778">
        <v>337.48</v>
      </c>
      <c r="M140" s="1778">
        <v>674.96</v>
      </c>
      <c r="N140" s="1778">
        <v>618.71</v>
      </c>
      <c r="O140" s="1778">
        <v>7019.56</v>
      </c>
      <c r="P140" s="1778">
        <v>292.48</v>
      </c>
      <c r="Q140" s="1778">
        <v>584.96</v>
      </c>
      <c r="R140" s="1778">
        <v>483.72</v>
      </c>
      <c r="S140" s="1778">
        <v>8099.5</v>
      </c>
      <c r="T140" s="1778">
        <v>224.99</v>
      </c>
      <c r="U140" s="1778">
        <v>449.97</v>
      </c>
      <c r="V140" s="1778">
        <v>427.47</v>
      </c>
      <c r="W140" s="1190"/>
      <c r="X140" s="1190"/>
      <c r="Z140" s="40"/>
      <c r="AA140" s="1462"/>
      <c r="AB140" s="1187"/>
    </row>
    <row r="141" spans="1:50" s="1405" customFormat="1">
      <c r="A141" s="1186"/>
      <c r="B141" s="1842" t="s">
        <v>2676</v>
      </c>
      <c r="C141" s="1842">
        <v>32</v>
      </c>
      <c r="D141" s="1842">
        <v>128</v>
      </c>
      <c r="E141" s="1842" t="s">
        <v>102</v>
      </c>
      <c r="F141" s="1842" t="s">
        <v>1271</v>
      </c>
      <c r="G141" s="1843">
        <v>3.0819999999999999</v>
      </c>
      <c r="H141" s="1843">
        <v>2003.3</v>
      </c>
      <c r="I141" s="1778" t="s">
        <v>634</v>
      </c>
      <c r="J141" s="1778">
        <v>1417.41</v>
      </c>
      <c r="K141" s="1778">
        <v>8099.5</v>
      </c>
      <c r="L141" s="1778">
        <v>674.96</v>
      </c>
      <c r="M141" s="1778">
        <v>1349.92</v>
      </c>
      <c r="N141" s="1778">
        <v>1237.42</v>
      </c>
      <c r="O141" s="1778">
        <v>14039.13</v>
      </c>
      <c r="P141" s="1778">
        <v>584.96</v>
      </c>
      <c r="Q141" s="1778">
        <v>1169.93</v>
      </c>
      <c r="R141" s="1778">
        <v>967.44</v>
      </c>
      <c r="S141" s="1778">
        <v>16198.99</v>
      </c>
      <c r="T141" s="1778">
        <v>449.97</v>
      </c>
      <c r="U141" s="1778">
        <v>899.94</v>
      </c>
      <c r="V141" s="1778">
        <v>854.95</v>
      </c>
      <c r="W141" s="1190"/>
      <c r="X141" s="1190"/>
      <c r="Z141" s="40"/>
      <c r="AA141" s="1462"/>
      <c r="AB141" s="1187"/>
    </row>
    <row r="142" spans="1:50" s="1405" customFormat="1">
      <c r="A142" s="1186"/>
      <c r="B142" s="1842" t="s">
        <v>2677</v>
      </c>
      <c r="C142" s="1842">
        <v>8</v>
      </c>
      <c r="D142" s="1842">
        <v>64</v>
      </c>
      <c r="E142" s="1842" t="s">
        <v>102</v>
      </c>
      <c r="F142" s="1842" t="s">
        <v>902</v>
      </c>
      <c r="G142" s="1843">
        <v>2.6774</v>
      </c>
      <c r="H142" s="1843">
        <v>1740.33</v>
      </c>
      <c r="I142" s="1778" t="s">
        <v>634</v>
      </c>
      <c r="J142" s="1778">
        <v>1231.3499999999999</v>
      </c>
      <c r="K142" s="1778">
        <v>7036.29</v>
      </c>
      <c r="L142" s="1778">
        <v>586.36</v>
      </c>
      <c r="M142" s="1778">
        <v>1172.71</v>
      </c>
      <c r="N142" s="1778">
        <v>1074.99</v>
      </c>
      <c r="O142" s="1778">
        <v>12196.23</v>
      </c>
      <c r="P142" s="1778">
        <v>508.18</v>
      </c>
      <c r="Q142" s="1778">
        <v>1016.35</v>
      </c>
      <c r="R142" s="1778">
        <v>840.45</v>
      </c>
      <c r="S142" s="1778">
        <v>14072.57</v>
      </c>
      <c r="T142" s="1778">
        <v>390.9</v>
      </c>
      <c r="U142" s="1778">
        <v>781.81</v>
      </c>
      <c r="V142" s="1778">
        <v>742.72</v>
      </c>
      <c r="W142" s="1190"/>
      <c r="X142" s="1190"/>
      <c r="Z142" s="40"/>
      <c r="AA142" s="1462"/>
      <c r="AB142" s="1187"/>
    </row>
    <row r="143" spans="1:50" s="613" customFormat="1">
      <c r="A143" s="53"/>
      <c r="B143" s="1842" t="s">
        <v>2678</v>
      </c>
      <c r="C143" s="1842">
        <v>16</v>
      </c>
      <c r="D143" s="1842">
        <v>128</v>
      </c>
      <c r="E143" s="1842" t="s">
        <v>102</v>
      </c>
      <c r="F143" s="1842" t="s">
        <v>903</v>
      </c>
      <c r="G143" s="1843">
        <v>5.3548999999999998</v>
      </c>
      <c r="H143" s="1843">
        <v>3480.66</v>
      </c>
      <c r="I143" s="1778" t="s">
        <v>634</v>
      </c>
      <c r="J143" s="1778">
        <v>2462.6999999999998</v>
      </c>
      <c r="K143" s="1778">
        <v>14072.57</v>
      </c>
      <c r="L143" s="1778">
        <v>1172.71</v>
      </c>
      <c r="M143" s="1778">
        <v>2345.4299999999998</v>
      </c>
      <c r="N143" s="1778">
        <v>2149.98</v>
      </c>
      <c r="O143" s="1778">
        <v>24392.46</v>
      </c>
      <c r="P143" s="1778">
        <v>1016.35</v>
      </c>
      <c r="Q143" s="1778">
        <v>2032.7</v>
      </c>
      <c r="R143" s="1778">
        <v>1680.89</v>
      </c>
      <c r="S143" s="1778">
        <v>28145.14</v>
      </c>
      <c r="T143" s="1778">
        <v>781.81</v>
      </c>
      <c r="U143" s="1778">
        <v>1563.62</v>
      </c>
      <c r="V143" s="1778">
        <v>1485.44</v>
      </c>
      <c r="W143" s="1190"/>
      <c r="X143" s="1190"/>
      <c r="Z143" s="40"/>
      <c r="AA143" s="740"/>
      <c r="AB143" s="7"/>
      <c r="AH143" s="1405"/>
      <c r="AI143" s="1405"/>
      <c r="AJ143" s="1405"/>
      <c r="AK143" s="1405"/>
      <c r="AL143" s="1405"/>
      <c r="AM143" s="1405"/>
      <c r="AN143" s="1405"/>
      <c r="AO143" s="1405"/>
      <c r="AP143" s="1405"/>
      <c r="AQ143" s="1405"/>
      <c r="AR143" s="1405"/>
      <c r="AS143" s="1405"/>
      <c r="AT143" s="1405"/>
      <c r="AU143" s="1405"/>
      <c r="AV143" s="1405"/>
      <c r="AW143" s="1405"/>
      <c r="AX143" s="1405"/>
    </row>
    <row r="144" spans="1:50" s="613" customFormat="1">
      <c r="A144" s="53"/>
      <c r="B144" s="1842" t="s">
        <v>2679</v>
      </c>
      <c r="C144" s="1842">
        <v>32</v>
      </c>
      <c r="D144" s="1842">
        <v>256</v>
      </c>
      <c r="E144" s="1842" t="s">
        <v>102</v>
      </c>
      <c r="F144" s="1842" t="s">
        <v>905</v>
      </c>
      <c r="G144" s="1843">
        <v>10.7097</v>
      </c>
      <c r="H144" s="1843">
        <v>6961.32</v>
      </c>
      <c r="I144" s="1778" t="s">
        <v>634</v>
      </c>
      <c r="J144" s="1778">
        <v>4925.3999999999996</v>
      </c>
      <c r="K144" s="1778">
        <v>28145.14</v>
      </c>
      <c r="L144" s="1778">
        <v>2345.4299999999998</v>
      </c>
      <c r="M144" s="1778">
        <v>4690.8599999999997</v>
      </c>
      <c r="N144" s="1778">
        <v>4299.95</v>
      </c>
      <c r="O144" s="1778">
        <v>48784.92</v>
      </c>
      <c r="P144" s="1778">
        <v>2032.7</v>
      </c>
      <c r="Q144" s="1778">
        <v>4065.41</v>
      </c>
      <c r="R144" s="1778">
        <v>3361.78</v>
      </c>
      <c r="S144" s="1778">
        <v>56290.29</v>
      </c>
      <c r="T144" s="1778">
        <v>1563.62</v>
      </c>
      <c r="U144" s="1778">
        <v>3127.24</v>
      </c>
      <c r="V144" s="1778">
        <v>2970.88</v>
      </c>
      <c r="W144" s="1190"/>
      <c r="X144" s="1190"/>
      <c r="Z144" s="40"/>
      <c r="AA144" s="740"/>
      <c r="AB144" s="7"/>
      <c r="AH144" s="1405"/>
      <c r="AI144" s="1405"/>
      <c r="AJ144" s="1405"/>
      <c r="AK144" s="1405"/>
      <c r="AL144" s="1405"/>
      <c r="AM144" s="1405"/>
      <c r="AN144" s="1405"/>
      <c r="AO144" s="1405"/>
      <c r="AP144" s="1405"/>
      <c r="AQ144" s="1405"/>
      <c r="AR144" s="1405"/>
      <c r="AS144" s="1405"/>
      <c r="AT144" s="1405"/>
      <c r="AU144" s="1405"/>
      <c r="AV144" s="1405"/>
      <c r="AW144" s="1405"/>
      <c r="AX144" s="1405"/>
    </row>
    <row r="145" spans="1:50" s="613" customFormat="1">
      <c r="A145" s="53"/>
      <c r="B145" s="1842" t="s">
        <v>2680</v>
      </c>
      <c r="C145" s="1842">
        <v>4</v>
      </c>
      <c r="D145" s="1842">
        <v>8</v>
      </c>
      <c r="E145" s="1842" t="s">
        <v>102</v>
      </c>
      <c r="F145" s="1842" t="s">
        <v>102</v>
      </c>
      <c r="G145" s="1843">
        <v>0.33410000000000001</v>
      </c>
      <c r="H145" s="1843">
        <v>217.15</v>
      </c>
      <c r="I145" s="1778" t="s">
        <v>634</v>
      </c>
      <c r="J145" s="1778" t="s">
        <v>634</v>
      </c>
      <c r="K145" s="1778" t="s">
        <v>634</v>
      </c>
      <c r="L145" s="1778" t="s">
        <v>634</v>
      </c>
      <c r="M145" s="1778" t="s">
        <v>634</v>
      </c>
      <c r="N145" s="1778" t="s">
        <v>634</v>
      </c>
      <c r="O145" s="1778" t="s">
        <v>634</v>
      </c>
      <c r="P145" s="1778" t="s">
        <v>634</v>
      </c>
      <c r="Q145" s="1778" t="s">
        <v>634</v>
      </c>
      <c r="R145" s="1778" t="s">
        <v>634</v>
      </c>
      <c r="S145" s="1778" t="s">
        <v>634</v>
      </c>
      <c r="T145" s="1778" t="s">
        <v>634</v>
      </c>
      <c r="U145" s="1778" t="s">
        <v>634</v>
      </c>
      <c r="V145" s="1778" t="s">
        <v>634</v>
      </c>
      <c r="W145" s="1190"/>
      <c r="X145" s="1190"/>
      <c r="Z145" s="40"/>
      <c r="AA145" s="740"/>
      <c r="AB145" s="7"/>
      <c r="AH145" s="1405"/>
      <c r="AI145" s="1405"/>
      <c r="AJ145" s="1405"/>
      <c r="AK145" s="1405"/>
      <c r="AL145" s="1405"/>
      <c r="AM145" s="1405"/>
      <c r="AN145" s="1405"/>
      <c r="AO145" s="1405"/>
      <c r="AP145" s="1405"/>
      <c r="AQ145" s="1405"/>
      <c r="AR145" s="1405"/>
      <c r="AS145" s="1405"/>
      <c r="AT145" s="1405"/>
      <c r="AU145" s="1405"/>
      <c r="AV145" s="1405"/>
      <c r="AW145" s="1405"/>
      <c r="AX145" s="1405"/>
    </row>
    <row r="146" spans="1:50" s="613" customFormat="1">
      <c r="A146" s="53"/>
      <c r="B146" s="1842" t="s">
        <v>2681</v>
      </c>
      <c r="C146" s="1842">
        <v>8</v>
      </c>
      <c r="D146" s="1842">
        <v>16</v>
      </c>
      <c r="E146" s="1842" t="s">
        <v>102</v>
      </c>
      <c r="F146" s="1842" t="s">
        <v>102</v>
      </c>
      <c r="G146" s="1843">
        <v>0.66830000000000001</v>
      </c>
      <c r="H146" s="1843">
        <v>434.37</v>
      </c>
      <c r="I146" s="1778" t="s">
        <v>634</v>
      </c>
      <c r="J146" s="1778" t="s">
        <v>634</v>
      </c>
      <c r="K146" s="1778" t="s">
        <v>634</v>
      </c>
      <c r="L146" s="1778" t="s">
        <v>634</v>
      </c>
      <c r="M146" s="1778" t="s">
        <v>634</v>
      </c>
      <c r="N146" s="1778" t="s">
        <v>634</v>
      </c>
      <c r="O146" s="1778" t="s">
        <v>634</v>
      </c>
      <c r="P146" s="1778" t="s">
        <v>634</v>
      </c>
      <c r="Q146" s="1778" t="s">
        <v>634</v>
      </c>
      <c r="R146" s="1778" t="s">
        <v>634</v>
      </c>
      <c r="S146" s="1778" t="s">
        <v>634</v>
      </c>
      <c r="T146" s="1778" t="s">
        <v>634</v>
      </c>
      <c r="U146" s="1778" t="s">
        <v>634</v>
      </c>
      <c r="V146" s="1778" t="s">
        <v>634</v>
      </c>
      <c r="W146" s="1190"/>
      <c r="X146" s="1190"/>
      <c r="Z146" s="40"/>
      <c r="AA146" s="740"/>
      <c r="AB146" s="7"/>
      <c r="AH146" s="1405"/>
      <c r="AI146" s="1405"/>
      <c r="AJ146" s="1405"/>
      <c r="AK146" s="1405"/>
      <c r="AL146" s="1405"/>
      <c r="AM146" s="1405"/>
      <c r="AN146" s="1405"/>
      <c r="AO146" s="1405"/>
      <c r="AP146" s="1405"/>
      <c r="AQ146" s="1405"/>
      <c r="AR146" s="1405"/>
      <c r="AS146" s="1405"/>
      <c r="AT146" s="1405"/>
      <c r="AU146" s="1405"/>
      <c r="AV146" s="1405"/>
      <c r="AW146" s="1405"/>
      <c r="AX146" s="1405"/>
    </row>
    <row r="147" spans="1:50" s="613" customFormat="1">
      <c r="A147" s="53"/>
      <c r="B147" s="1842" t="s">
        <v>2682</v>
      </c>
      <c r="C147" s="1842">
        <v>16</v>
      </c>
      <c r="D147" s="1842">
        <v>32</v>
      </c>
      <c r="E147" s="1842" t="s">
        <v>102</v>
      </c>
      <c r="F147" s="1842" t="s">
        <v>102</v>
      </c>
      <c r="G147" s="1843">
        <v>1.3366</v>
      </c>
      <c r="H147" s="1843">
        <v>868.82</v>
      </c>
      <c r="I147" s="1778" t="s">
        <v>634</v>
      </c>
      <c r="J147" s="1778" t="s">
        <v>634</v>
      </c>
      <c r="K147" s="1778" t="s">
        <v>634</v>
      </c>
      <c r="L147" s="1778" t="s">
        <v>634</v>
      </c>
      <c r="M147" s="1778" t="s">
        <v>634</v>
      </c>
      <c r="N147" s="1778" t="s">
        <v>634</v>
      </c>
      <c r="O147" s="1778" t="s">
        <v>634</v>
      </c>
      <c r="P147" s="1778" t="s">
        <v>634</v>
      </c>
      <c r="Q147" s="1778" t="s">
        <v>634</v>
      </c>
      <c r="R147" s="1778" t="s">
        <v>634</v>
      </c>
      <c r="S147" s="1778" t="s">
        <v>634</v>
      </c>
      <c r="T147" s="1778" t="s">
        <v>634</v>
      </c>
      <c r="U147" s="1778" t="s">
        <v>634</v>
      </c>
      <c r="V147" s="1778" t="s">
        <v>634</v>
      </c>
      <c r="W147" s="1190"/>
      <c r="X147" s="1190"/>
      <c r="Z147" s="40"/>
      <c r="AA147" s="740"/>
      <c r="AB147" s="7"/>
      <c r="AH147" s="1405"/>
      <c r="AI147" s="1405"/>
      <c r="AJ147" s="1405"/>
      <c r="AK147" s="1405"/>
      <c r="AL147" s="1405"/>
      <c r="AM147" s="1405"/>
      <c r="AN147" s="1405"/>
      <c r="AO147" s="1405"/>
      <c r="AP147" s="1405"/>
      <c r="AQ147" s="1405"/>
      <c r="AR147" s="1405"/>
      <c r="AS147" s="1405"/>
      <c r="AT147" s="1405"/>
      <c r="AU147" s="1405"/>
      <c r="AV147" s="1405"/>
      <c r="AW147" s="1405"/>
      <c r="AX147" s="1405"/>
    </row>
    <row r="148" spans="1:50" s="613" customFormat="1">
      <c r="A148" s="53"/>
      <c r="B148" s="1842" t="s">
        <v>2683</v>
      </c>
      <c r="C148" s="1842">
        <v>8</v>
      </c>
      <c r="D148" s="1842">
        <v>64</v>
      </c>
      <c r="E148" s="1842" t="s">
        <v>102</v>
      </c>
      <c r="F148" s="1842" t="s">
        <v>102</v>
      </c>
      <c r="G148" s="1843">
        <v>1.1140000000000001</v>
      </c>
      <c r="H148" s="1843">
        <v>724.1</v>
      </c>
      <c r="I148" s="1778" t="s">
        <v>634</v>
      </c>
      <c r="J148" s="1778" t="s">
        <v>634</v>
      </c>
      <c r="K148" s="1778" t="s">
        <v>634</v>
      </c>
      <c r="L148" s="1778" t="s">
        <v>634</v>
      </c>
      <c r="M148" s="1778" t="s">
        <v>634</v>
      </c>
      <c r="N148" s="1778" t="s">
        <v>634</v>
      </c>
      <c r="O148" s="1778" t="s">
        <v>634</v>
      </c>
      <c r="P148" s="1778" t="s">
        <v>634</v>
      </c>
      <c r="Q148" s="1778" t="s">
        <v>634</v>
      </c>
      <c r="R148" s="1778" t="s">
        <v>634</v>
      </c>
      <c r="S148" s="1778" t="s">
        <v>634</v>
      </c>
      <c r="T148" s="1778" t="s">
        <v>634</v>
      </c>
      <c r="U148" s="1778" t="s">
        <v>634</v>
      </c>
      <c r="V148" s="1778" t="s">
        <v>634</v>
      </c>
      <c r="W148" s="1190"/>
      <c r="X148" s="1190"/>
      <c r="Z148" s="40"/>
      <c r="AA148" s="740"/>
      <c r="AB148" s="7"/>
      <c r="AH148" s="1405"/>
      <c r="AI148" s="1405"/>
      <c r="AJ148" s="1405"/>
      <c r="AK148" s="1405"/>
      <c r="AL148" s="1405"/>
      <c r="AM148" s="1405"/>
      <c r="AN148" s="1405"/>
      <c r="AO148" s="1405"/>
      <c r="AP148" s="1405"/>
      <c r="AQ148" s="1405"/>
      <c r="AR148" s="1405"/>
      <c r="AS148" s="1405"/>
      <c r="AT148" s="1405"/>
      <c r="AU148" s="1405"/>
      <c r="AV148" s="1405"/>
      <c r="AW148" s="1405"/>
      <c r="AX148" s="1405"/>
    </row>
    <row r="149" spans="1:50" s="1489" customFormat="1">
      <c r="A149" s="1491"/>
      <c r="B149" s="817" t="s">
        <v>2700</v>
      </c>
      <c r="C149" s="817">
        <v>4</v>
      </c>
      <c r="D149" s="817">
        <v>16</v>
      </c>
      <c r="E149" s="817" t="s">
        <v>102</v>
      </c>
      <c r="F149" s="817"/>
      <c r="G149" s="817">
        <v>1.5212000000000001</v>
      </c>
      <c r="H149" s="817">
        <v>988.78000000000009</v>
      </c>
      <c r="I149" s="1778" t="s">
        <v>634</v>
      </c>
      <c r="J149" s="1779">
        <v>699.59987999999998</v>
      </c>
      <c r="K149" s="1779">
        <v>3997.7136</v>
      </c>
      <c r="L149" s="1779">
        <v>333.14280000000002</v>
      </c>
      <c r="M149" s="1779">
        <v>666.28560000000004</v>
      </c>
      <c r="N149" s="1779">
        <v>610.76180000000011</v>
      </c>
      <c r="O149" s="1779">
        <v>6929.3702400000002</v>
      </c>
      <c r="P149" s="1779">
        <v>288.72376000000003</v>
      </c>
      <c r="Q149" s="1779">
        <v>577.44752000000005</v>
      </c>
      <c r="R149" s="1779">
        <v>477.50468000000012</v>
      </c>
      <c r="S149" s="1779">
        <v>7995.427200000001</v>
      </c>
      <c r="T149" s="1779">
        <v>222.09520000000003</v>
      </c>
      <c r="U149" s="1779">
        <v>444.19040000000007</v>
      </c>
      <c r="V149" s="1779">
        <v>477.50468000000012</v>
      </c>
      <c r="W149" s="1190"/>
      <c r="X149" s="1190"/>
      <c r="Z149" s="40"/>
      <c r="AA149" s="1740"/>
      <c r="AB149" s="1493"/>
    </row>
    <row r="150" spans="1:50" s="1489" customFormat="1">
      <c r="A150" s="1491"/>
      <c r="B150" s="817" t="s">
        <v>2701</v>
      </c>
      <c r="C150" s="817">
        <v>16</v>
      </c>
      <c r="D150" s="817">
        <v>64</v>
      </c>
      <c r="E150" s="817" t="s">
        <v>102</v>
      </c>
      <c r="F150" s="817"/>
      <c r="G150" s="817">
        <v>3.3792</v>
      </c>
      <c r="H150" s="817">
        <v>2196.48</v>
      </c>
      <c r="I150" s="1778" t="s">
        <v>634</v>
      </c>
      <c r="J150" s="1779">
        <v>1554.0940799999996</v>
      </c>
      <c r="K150" s="1779">
        <v>8880.5375999999997</v>
      </c>
      <c r="L150" s="1779">
        <v>740.04480000000001</v>
      </c>
      <c r="M150" s="1779">
        <v>1480.0895999999998</v>
      </c>
      <c r="N150" s="1779">
        <v>1356.7488000000001</v>
      </c>
      <c r="O150" s="1779">
        <v>15392.931840000001</v>
      </c>
      <c r="P150" s="1779">
        <v>641.37216000000001</v>
      </c>
      <c r="Q150" s="1779">
        <v>1282.74432</v>
      </c>
      <c r="R150" s="1779">
        <v>1060.7308800000001</v>
      </c>
      <c r="S150" s="1779">
        <v>17761.075199999999</v>
      </c>
      <c r="T150" s="1779">
        <v>493.36320000000001</v>
      </c>
      <c r="U150" s="1779">
        <v>986.72640000000001</v>
      </c>
      <c r="V150" s="1779">
        <v>1060.7308800000001</v>
      </c>
      <c r="W150" s="1190"/>
      <c r="X150" s="1190"/>
      <c r="Z150" s="40"/>
      <c r="AA150" s="1740"/>
      <c r="AB150" s="1493"/>
    </row>
    <row r="151" spans="1:50" s="1489" customFormat="1">
      <c r="A151" s="1491"/>
      <c r="B151" s="817" t="s">
        <v>2702</v>
      </c>
      <c r="C151" s="817">
        <v>24</v>
      </c>
      <c r="D151" s="817">
        <v>96</v>
      </c>
      <c r="E151" s="817" t="s">
        <v>102</v>
      </c>
      <c r="F151" s="817"/>
      <c r="G151" s="817">
        <v>3.5711999999999997</v>
      </c>
      <c r="H151" s="817">
        <v>2321.2799999999997</v>
      </c>
      <c r="I151" s="1778" t="s">
        <v>634</v>
      </c>
      <c r="J151" s="1779">
        <v>1642.3948799999996</v>
      </c>
      <c r="K151" s="1779">
        <v>9385.1135999999988</v>
      </c>
      <c r="L151" s="1779">
        <v>782.0927999999999</v>
      </c>
      <c r="M151" s="1779">
        <v>1564.1855999999998</v>
      </c>
      <c r="N151" s="1779">
        <v>1433.8368</v>
      </c>
      <c r="O151" s="1779">
        <v>16267.530239999996</v>
      </c>
      <c r="P151" s="1779">
        <v>677.81375999999989</v>
      </c>
      <c r="Q151" s="1779">
        <v>1355.6275199999998</v>
      </c>
      <c r="R151" s="1779">
        <v>1120.9996799999999</v>
      </c>
      <c r="S151" s="1779">
        <v>18770.227199999998</v>
      </c>
      <c r="T151" s="1779">
        <v>521.39519999999993</v>
      </c>
      <c r="U151" s="1779">
        <v>1042.7903999999999</v>
      </c>
      <c r="V151" s="1779">
        <v>1120.9996799999999</v>
      </c>
      <c r="W151" s="1190"/>
      <c r="X151" s="1190"/>
      <c r="Z151" s="40"/>
      <c r="AA151" s="1740"/>
      <c r="AB151" s="1493"/>
    </row>
    <row r="152" spans="1:50" s="1489" customFormat="1">
      <c r="A152" s="1491"/>
      <c r="B152" s="817" t="s">
        <v>2703</v>
      </c>
      <c r="C152" s="817">
        <v>36</v>
      </c>
      <c r="D152" s="817">
        <v>252</v>
      </c>
      <c r="E152" s="817" t="s">
        <v>102</v>
      </c>
      <c r="F152" s="817"/>
      <c r="G152" s="817">
        <v>4.0860000000000003</v>
      </c>
      <c r="H152" s="817">
        <v>2655.9</v>
      </c>
      <c r="I152" s="1778" t="s">
        <v>634</v>
      </c>
      <c r="J152" s="1779">
        <v>1879.1513999999997</v>
      </c>
      <c r="K152" s="1779">
        <v>10738.008000000002</v>
      </c>
      <c r="L152" s="1779">
        <v>894.83400000000017</v>
      </c>
      <c r="M152" s="1779">
        <v>1789.6680000000001</v>
      </c>
      <c r="N152" s="1779">
        <v>1640.5290000000002</v>
      </c>
      <c r="O152" s="1779">
        <v>18612.547200000001</v>
      </c>
      <c r="P152" s="1779">
        <v>775.52280000000007</v>
      </c>
      <c r="Q152" s="1779">
        <v>1551.0456000000001</v>
      </c>
      <c r="R152" s="1779">
        <v>1282.5954000000002</v>
      </c>
      <c r="S152" s="1779">
        <v>21476.016000000003</v>
      </c>
      <c r="T152" s="1779">
        <v>596.55600000000004</v>
      </c>
      <c r="U152" s="1779">
        <v>1193.1120000000001</v>
      </c>
      <c r="V152" s="1779">
        <v>1282.5954000000002</v>
      </c>
      <c r="W152" s="1190"/>
      <c r="X152" s="1190"/>
      <c r="Z152" s="40"/>
      <c r="AA152" s="1740"/>
      <c r="AB152" s="1493"/>
    </row>
    <row r="153" spans="1:50" s="1489" customFormat="1">
      <c r="A153" s="1491"/>
      <c r="B153" s="817" t="s">
        <v>2704</v>
      </c>
      <c r="C153" s="817">
        <v>72</v>
      </c>
      <c r="D153" s="817">
        <v>504</v>
      </c>
      <c r="E153" s="817" t="s">
        <v>102</v>
      </c>
      <c r="F153" s="817"/>
      <c r="G153" s="817">
        <v>7.2216000000000005</v>
      </c>
      <c r="H153" s="817">
        <v>4694.04</v>
      </c>
      <c r="I153" s="1778" t="s">
        <v>634</v>
      </c>
      <c r="J153" s="1779">
        <v>3321.2138399999994</v>
      </c>
      <c r="K153" s="1779">
        <v>18978.364799999999</v>
      </c>
      <c r="L153" s="1779">
        <v>1581.5303999999999</v>
      </c>
      <c r="M153" s="1779">
        <v>3163.0607999999997</v>
      </c>
      <c r="N153" s="1779">
        <v>2899.4724000000001</v>
      </c>
      <c r="O153" s="1779">
        <v>32895.832320000001</v>
      </c>
      <c r="P153" s="1779">
        <v>1370.65968</v>
      </c>
      <c r="Q153" s="1779">
        <v>2741.31936</v>
      </c>
      <c r="R153" s="1779">
        <v>2266.8602400000004</v>
      </c>
      <c r="S153" s="1779">
        <v>37956.729600000006</v>
      </c>
      <c r="T153" s="1779">
        <v>1054.3536000000001</v>
      </c>
      <c r="U153" s="1779">
        <v>2108.7072000000003</v>
      </c>
      <c r="V153" s="1779">
        <v>2266.8602400000004</v>
      </c>
      <c r="W153" s="1190"/>
      <c r="X153" s="1190"/>
      <c r="Z153" s="40"/>
      <c r="AA153" s="1740"/>
      <c r="AB153" s="1493"/>
    </row>
    <row r="154" spans="1:50" s="613" customFormat="1">
      <c r="A154" s="53"/>
      <c r="B154" s="1841" t="s">
        <v>2684</v>
      </c>
      <c r="C154" s="1842">
        <v>2</v>
      </c>
      <c r="D154" s="1842">
        <v>8</v>
      </c>
      <c r="E154" s="1842" t="s">
        <v>102</v>
      </c>
      <c r="F154" s="1842" t="s">
        <v>102</v>
      </c>
      <c r="G154" s="1843">
        <v>0.19270000000000001</v>
      </c>
      <c r="H154" s="1843">
        <v>125.28</v>
      </c>
      <c r="I154" s="1778" t="s">
        <v>634</v>
      </c>
      <c r="J154" s="1778">
        <v>88.64</v>
      </c>
      <c r="K154" s="1778">
        <v>506.52</v>
      </c>
      <c r="L154" s="1778">
        <v>42.21</v>
      </c>
      <c r="M154" s="1778">
        <v>84.42</v>
      </c>
      <c r="N154" s="1778">
        <v>77.39</v>
      </c>
      <c r="O154" s="1778">
        <v>877.97</v>
      </c>
      <c r="P154" s="1778">
        <v>36.58</v>
      </c>
      <c r="Q154" s="1778">
        <v>73.16</v>
      </c>
      <c r="R154" s="1778">
        <v>60.5</v>
      </c>
      <c r="S154" s="1778">
        <v>1013.04</v>
      </c>
      <c r="T154" s="1778">
        <v>28.14</v>
      </c>
      <c r="U154" s="1778">
        <v>56.28</v>
      </c>
      <c r="V154" s="1778">
        <v>53.47</v>
      </c>
      <c r="W154" s="1190"/>
      <c r="X154" s="1190"/>
      <c r="Z154" s="40"/>
      <c r="AA154" s="740"/>
      <c r="AB154" s="7"/>
      <c r="AH154" s="1405"/>
      <c r="AI154" s="1405"/>
      <c r="AJ154" s="1405"/>
      <c r="AK154" s="1405"/>
      <c r="AL154" s="1405"/>
      <c r="AM154" s="1405"/>
      <c r="AN154" s="1405"/>
      <c r="AO154" s="1405"/>
      <c r="AP154" s="1405"/>
      <c r="AQ154" s="1405"/>
      <c r="AR154" s="1405"/>
      <c r="AS154" s="1405"/>
      <c r="AT154" s="1405"/>
      <c r="AU154" s="1405"/>
      <c r="AV154" s="1405"/>
      <c r="AW154" s="1405"/>
      <c r="AX154" s="1405"/>
    </row>
    <row r="155" spans="1:50" s="613" customFormat="1">
      <c r="A155" s="53"/>
      <c r="B155" s="1841" t="s">
        <v>2685</v>
      </c>
      <c r="C155" s="1842">
        <v>4</v>
      </c>
      <c r="D155" s="1842">
        <v>16</v>
      </c>
      <c r="E155" s="1842" t="s">
        <v>102</v>
      </c>
      <c r="F155" s="1842" t="s">
        <v>102</v>
      </c>
      <c r="G155" s="1843">
        <v>0.38550000000000001</v>
      </c>
      <c r="H155" s="1843">
        <v>250.56</v>
      </c>
      <c r="I155" s="1778" t="s">
        <v>634</v>
      </c>
      <c r="J155" s="1778">
        <v>177.28</v>
      </c>
      <c r="K155" s="1778">
        <v>1013.04</v>
      </c>
      <c r="L155" s="1778">
        <v>84.42</v>
      </c>
      <c r="M155" s="1778">
        <v>168.84</v>
      </c>
      <c r="N155" s="1778">
        <v>154.77000000000001</v>
      </c>
      <c r="O155" s="1778">
        <v>1755.94</v>
      </c>
      <c r="P155" s="1778">
        <v>73.16</v>
      </c>
      <c r="Q155" s="1778">
        <v>146.33000000000001</v>
      </c>
      <c r="R155" s="1778">
        <v>121</v>
      </c>
      <c r="S155" s="1778">
        <v>2026.08</v>
      </c>
      <c r="T155" s="1778">
        <v>56.28</v>
      </c>
      <c r="U155" s="1778">
        <v>112.56</v>
      </c>
      <c r="V155" s="1778">
        <v>106.93</v>
      </c>
      <c r="W155" s="1190"/>
      <c r="X155" s="1190"/>
      <c r="Z155" s="40"/>
      <c r="AA155" s="740"/>
      <c r="AB155" s="7"/>
      <c r="AH155" s="1405"/>
      <c r="AI155" s="1405"/>
      <c r="AJ155" s="1405"/>
      <c r="AK155" s="1405"/>
      <c r="AL155" s="1405"/>
      <c r="AM155" s="1405"/>
      <c r="AN155" s="1405"/>
      <c r="AO155" s="1405"/>
      <c r="AP155" s="1405"/>
      <c r="AQ155" s="1405"/>
      <c r="AR155" s="1405"/>
      <c r="AS155" s="1405"/>
      <c r="AT155" s="1405"/>
      <c r="AU155" s="1405"/>
      <c r="AV155" s="1405"/>
      <c r="AW155" s="1405"/>
      <c r="AX155" s="1405"/>
    </row>
    <row r="156" spans="1:50" s="613" customFormat="1">
      <c r="A156" s="53"/>
      <c r="B156" s="1841" t="s">
        <v>2686</v>
      </c>
      <c r="C156" s="1842">
        <v>8</v>
      </c>
      <c r="D156" s="1842">
        <v>32</v>
      </c>
      <c r="E156" s="1842" t="s">
        <v>102</v>
      </c>
      <c r="F156" s="1842" t="s">
        <v>102</v>
      </c>
      <c r="G156" s="1843">
        <v>0.77110000000000001</v>
      </c>
      <c r="H156" s="1843">
        <v>501.2</v>
      </c>
      <c r="I156" s="1778" t="s">
        <v>634</v>
      </c>
      <c r="J156" s="1778">
        <v>354.62</v>
      </c>
      <c r="K156" s="1778">
        <v>2026.39</v>
      </c>
      <c r="L156" s="1778">
        <v>168.87</v>
      </c>
      <c r="M156" s="1778">
        <v>337.73</v>
      </c>
      <c r="N156" s="1778">
        <v>309.58999999999997</v>
      </c>
      <c r="O156" s="1778">
        <v>3512.4</v>
      </c>
      <c r="P156" s="1778">
        <v>146.35</v>
      </c>
      <c r="Q156" s="1778">
        <v>292.7</v>
      </c>
      <c r="R156" s="1778">
        <v>242.04</v>
      </c>
      <c r="S156" s="1778">
        <v>4052.77</v>
      </c>
      <c r="T156" s="1778">
        <v>112.58</v>
      </c>
      <c r="U156" s="1778">
        <v>225.15</v>
      </c>
      <c r="V156" s="1778">
        <v>213.9</v>
      </c>
      <c r="W156" s="1190"/>
      <c r="X156" s="1190"/>
      <c r="Z156" s="40"/>
      <c r="AA156" s="740"/>
      <c r="AB156" s="7"/>
      <c r="AH156" s="1405"/>
      <c r="AI156" s="1405"/>
      <c r="AJ156" s="1405"/>
      <c r="AK156" s="1405"/>
      <c r="AL156" s="1405"/>
      <c r="AM156" s="1405"/>
      <c r="AN156" s="1405"/>
      <c r="AO156" s="1405"/>
      <c r="AP156" s="1405"/>
      <c r="AQ156" s="1405"/>
      <c r="AR156" s="1405"/>
      <c r="AS156" s="1405"/>
      <c r="AT156" s="1405"/>
      <c r="AU156" s="1405"/>
      <c r="AV156" s="1405"/>
      <c r="AW156" s="1405"/>
      <c r="AX156" s="1405"/>
    </row>
    <row r="157" spans="1:50" s="613" customFormat="1">
      <c r="A157" s="53"/>
      <c r="B157" s="1841" t="s">
        <v>2687</v>
      </c>
      <c r="C157" s="1842">
        <v>16</v>
      </c>
      <c r="D157" s="1842">
        <v>64</v>
      </c>
      <c r="E157" s="1842" t="s">
        <v>102</v>
      </c>
      <c r="F157" s="1842" t="s">
        <v>102</v>
      </c>
      <c r="G157" s="1843">
        <v>1.5422</v>
      </c>
      <c r="H157" s="1843">
        <v>1002.4</v>
      </c>
      <c r="I157" s="1778" t="s">
        <v>634</v>
      </c>
      <c r="J157" s="1778">
        <v>709.23</v>
      </c>
      <c r="K157" s="1778">
        <v>4052.77</v>
      </c>
      <c r="L157" s="1778">
        <v>337.73</v>
      </c>
      <c r="M157" s="1778">
        <v>675.46</v>
      </c>
      <c r="N157" s="1778">
        <v>619.16999999999996</v>
      </c>
      <c r="O157" s="1778">
        <v>7024.8</v>
      </c>
      <c r="P157" s="1778">
        <v>292.7</v>
      </c>
      <c r="Q157" s="1778">
        <v>585.4</v>
      </c>
      <c r="R157" s="1778">
        <v>484.08</v>
      </c>
      <c r="S157" s="1778">
        <v>8105.54</v>
      </c>
      <c r="T157" s="1778">
        <v>225.15</v>
      </c>
      <c r="U157" s="1778">
        <v>450.31</v>
      </c>
      <c r="V157" s="1778">
        <v>427.79</v>
      </c>
      <c r="W157" s="1190"/>
      <c r="X157" s="1190"/>
      <c r="Z157" s="40"/>
      <c r="AA157" s="740"/>
      <c r="AB157" s="7"/>
      <c r="AH157" s="1405"/>
      <c r="AI157" s="1405"/>
      <c r="AJ157" s="1405"/>
      <c r="AK157" s="1405"/>
      <c r="AL157" s="1405"/>
      <c r="AM157" s="1405"/>
      <c r="AN157" s="1405"/>
      <c r="AO157" s="1405"/>
      <c r="AP157" s="1405"/>
      <c r="AQ157" s="1405"/>
      <c r="AR157" s="1405"/>
      <c r="AS157" s="1405"/>
      <c r="AT157" s="1405"/>
      <c r="AU157" s="1405"/>
      <c r="AV157" s="1405"/>
      <c r="AW157" s="1405"/>
      <c r="AX157" s="1405"/>
    </row>
    <row r="158" spans="1:50" s="613" customFormat="1">
      <c r="A158" s="53"/>
      <c r="B158" s="1841" t="s">
        <v>2688</v>
      </c>
      <c r="C158" s="1842">
        <v>32</v>
      </c>
      <c r="D158" s="1842">
        <v>128</v>
      </c>
      <c r="E158" s="1842" t="s">
        <v>102</v>
      </c>
      <c r="F158" s="1842" t="s">
        <v>102</v>
      </c>
      <c r="G158" s="1843">
        <v>3.0842000000000001</v>
      </c>
      <c r="H158" s="1843">
        <v>2004.72</v>
      </c>
      <c r="I158" s="1778" t="s">
        <v>634</v>
      </c>
      <c r="J158" s="1778">
        <v>1418.42</v>
      </c>
      <c r="K158" s="1778">
        <v>8105.24</v>
      </c>
      <c r="L158" s="1778">
        <v>675.44</v>
      </c>
      <c r="M158" s="1778">
        <v>1350.87</v>
      </c>
      <c r="N158" s="1778">
        <v>1238.3</v>
      </c>
      <c r="O158" s="1778">
        <v>14049.08</v>
      </c>
      <c r="P158" s="1778">
        <v>585.38</v>
      </c>
      <c r="Q158" s="1778">
        <v>1170.76</v>
      </c>
      <c r="R158" s="1778">
        <v>968.13</v>
      </c>
      <c r="S158" s="1778">
        <v>16210.48</v>
      </c>
      <c r="T158" s="1778">
        <v>450.29</v>
      </c>
      <c r="U158" s="1778">
        <v>900.58</v>
      </c>
      <c r="V158" s="1778">
        <v>855.55</v>
      </c>
      <c r="W158" s="1190"/>
      <c r="X158" s="1190"/>
      <c r="Z158" s="40"/>
      <c r="AA158" s="740"/>
      <c r="AB158" s="7"/>
      <c r="AH158" s="1405"/>
      <c r="AI158" s="1405"/>
      <c r="AJ158" s="1405"/>
      <c r="AK158" s="1405"/>
      <c r="AL158" s="1405"/>
      <c r="AM158" s="1405"/>
      <c r="AN158" s="1405"/>
      <c r="AO158" s="1405"/>
      <c r="AP158" s="1405"/>
      <c r="AQ158" s="1405"/>
      <c r="AR158" s="1405"/>
      <c r="AS158" s="1405"/>
      <c r="AT158" s="1405"/>
      <c r="AU158" s="1405"/>
      <c r="AV158" s="1405"/>
      <c r="AW158" s="1405"/>
      <c r="AX158" s="1405"/>
    </row>
    <row r="159" spans="1:50" s="613" customFormat="1">
      <c r="A159" s="53"/>
      <c r="B159" s="1842" t="s">
        <v>2689</v>
      </c>
      <c r="C159" s="1842">
        <v>2</v>
      </c>
      <c r="D159" s="1842">
        <v>4</v>
      </c>
      <c r="E159" s="1842" t="s">
        <v>102</v>
      </c>
      <c r="F159" s="1842" t="s">
        <v>102</v>
      </c>
      <c r="G159" s="1843">
        <v>0.13550000000000001</v>
      </c>
      <c r="H159" s="1843">
        <v>88.06</v>
      </c>
      <c r="I159" s="1778" t="s">
        <v>634</v>
      </c>
      <c r="J159" s="1778">
        <v>62.3</v>
      </c>
      <c r="K159" s="1778">
        <v>356.02</v>
      </c>
      <c r="L159" s="1778">
        <v>29.67</v>
      </c>
      <c r="M159" s="1778">
        <v>59.34</v>
      </c>
      <c r="N159" s="1778">
        <v>54.39</v>
      </c>
      <c r="O159" s="1778">
        <v>617.09</v>
      </c>
      <c r="P159" s="1778">
        <v>25.71</v>
      </c>
      <c r="Q159" s="1778">
        <v>51.42</v>
      </c>
      <c r="R159" s="1778">
        <v>42.52</v>
      </c>
      <c r="S159" s="1778">
        <v>712.03</v>
      </c>
      <c r="T159" s="1778">
        <v>19.78</v>
      </c>
      <c r="U159" s="1778">
        <v>39.56</v>
      </c>
      <c r="V159" s="1778">
        <v>37.58</v>
      </c>
      <c r="W159" s="1190"/>
      <c r="X159" s="1190"/>
      <c r="Z159" s="40"/>
      <c r="AA159" s="1059"/>
      <c r="AB159" s="7"/>
      <c r="AH159" s="1405"/>
      <c r="AI159" s="1405"/>
      <c r="AJ159" s="1405"/>
      <c r="AK159" s="1405"/>
      <c r="AL159" s="1405"/>
      <c r="AM159" s="1405"/>
      <c r="AN159" s="1405"/>
      <c r="AO159" s="1405"/>
      <c r="AP159" s="1405"/>
      <c r="AQ159" s="1405"/>
      <c r="AR159" s="1405"/>
      <c r="AS159" s="1405"/>
      <c r="AT159" s="1405"/>
      <c r="AU159" s="1405"/>
      <c r="AV159" s="1405"/>
      <c r="AW159" s="1405"/>
      <c r="AX159" s="1405"/>
    </row>
    <row r="160" spans="1:50" s="613" customFormat="1">
      <c r="A160" s="53"/>
      <c r="B160" s="1842" t="s">
        <v>2690</v>
      </c>
      <c r="C160" s="1842">
        <v>4</v>
      </c>
      <c r="D160" s="1842">
        <v>8</v>
      </c>
      <c r="E160" s="1842" t="s">
        <v>102</v>
      </c>
      <c r="F160" s="1842" t="s">
        <v>102</v>
      </c>
      <c r="G160" s="1843">
        <v>0.27210000000000001</v>
      </c>
      <c r="H160" s="1843">
        <v>176.86</v>
      </c>
      <c r="I160" s="1778" t="s">
        <v>634</v>
      </c>
      <c r="J160" s="1778">
        <v>125.13</v>
      </c>
      <c r="K160" s="1778">
        <v>715.05</v>
      </c>
      <c r="L160" s="1778">
        <v>59.59</v>
      </c>
      <c r="M160" s="1778">
        <v>119.18</v>
      </c>
      <c r="N160" s="1778">
        <v>109.24</v>
      </c>
      <c r="O160" s="1778">
        <v>1239.42</v>
      </c>
      <c r="P160" s="1778">
        <v>51.64</v>
      </c>
      <c r="Q160" s="1778">
        <v>103.29</v>
      </c>
      <c r="R160" s="1778">
        <v>85.41</v>
      </c>
      <c r="S160" s="1778">
        <v>1430.11</v>
      </c>
      <c r="T160" s="1778">
        <v>39.729999999999997</v>
      </c>
      <c r="U160" s="1778">
        <v>79.45</v>
      </c>
      <c r="V160" s="1778">
        <v>75.48</v>
      </c>
      <c r="W160" s="1190"/>
      <c r="X160" s="1190"/>
      <c r="Z160" s="40"/>
      <c r="AA160" s="1059"/>
      <c r="AB160" s="7"/>
      <c r="AH160" s="1405"/>
      <c r="AI160" s="1405"/>
      <c r="AJ160" s="1405"/>
      <c r="AK160" s="1405"/>
      <c r="AL160" s="1405"/>
      <c r="AM160" s="1405"/>
      <c r="AN160" s="1405"/>
      <c r="AO160" s="1405"/>
      <c r="AP160" s="1405"/>
      <c r="AQ160" s="1405"/>
      <c r="AR160" s="1405"/>
      <c r="AS160" s="1405"/>
      <c r="AT160" s="1405"/>
      <c r="AU160" s="1405"/>
      <c r="AV160" s="1405"/>
      <c r="AW160" s="1405"/>
      <c r="AX160" s="1405"/>
    </row>
    <row r="161" spans="1:50" s="613" customFormat="1">
      <c r="A161" s="53"/>
      <c r="B161" s="1842" t="s">
        <v>2691</v>
      </c>
      <c r="C161" s="1842">
        <v>8</v>
      </c>
      <c r="D161" s="1842">
        <v>16</v>
      </c>
      <c r="E161" s="1842" t="s">
        <v>102</v>
      </c>
      <c r="F161" s="1842" t="s">
        <v>102</v>
      </c>
      <c r="G161" s="1843">
        <v>0.54410000000000003</v>
      </c>
      <c r="H161" s="1843">
        <v>353.64</v>
      </c>
      <c r="I161" s="1778" t="s">
        <v>634</v>
      </c>
      <c r="J161" s="1778">
        <v>250.22</v>
      </c>
      <c r="K161" s="1778">
        <v>1429.8</v>
      </c>
      <c r="L161" s="1778">
        <v>119.15</v>
      </c>
      <c r="M161" s="1778">
        <v>238.3</v>
      </c>
      <c r="N161" s="1778">
        <v>218.44</v>
      </c>
      <c r="O161" s="1778">
        <v>2478.3200000000002</v>
      </c>
      <c r="P161" s="1778">
        <v>103.26</v>
      </c>
      <c r="Q161" s="1778">
        <v>206.53</v>
      </c>
      <c r="R161" s="1778">
        <v>170.78</v>
      </c>
      <c r="S161" s="1778">
        <v>2859.61</v>
      </c>
      <c r="T161" s="1778">
        <v>79.430000000000007</v>
      </c>
      <c r="U161" s="1778">
        <v>158.87</v>
      </c>
      <c r="V161" s="1778">
        <v>150.91999999999999</v>
      </c>
      <c r="W161" s="1190"/>
      <c r="X161" s="1190"/>
      <c r="Z161" s="40"/>
      <c r="AA161" s="1059"/>
      <c r="AB161" s="7"/>
      <c r="AH161" s="1405"/>
      <c r="AI161" s="1405"/>
      <c r="AJ161" s="1405"/>
      <c r="AK161" s="1405"/>
      <c r="AL161" s="1405"/>
      <c r="AM161" s="1405"/>
      <c r="AN161" s="1405"/>
      <c r="AO161" s="1405"/>
      <c r="AP161" s="1405"/>
      <c r="AQ161" s="1405"/>
      <c r="AR161" s="1405"/>
      <c r="AS161" s="1405"/>
      <c r="AT161" s="1405"/>
      <c r="AU161" s="1405"/>
      <c r="AV161" s="1405"/>
      <c r="AW161" s="1405"/>
      <c r="AX161" s="1405"/>
    </row>
    <row r="162" spans="1:50" s="613" customFormat="1">
      <c r="A162" s="53"/>
      <c r="B162" s="1842" t="s">
        <v>2692</v>
      </c>
      <c r="C162" s="1842">
        <v>16</v>
      </c>
      <c r="D162" s="1842">
        <v>32</v>
      </c>
      <c r="E162" s="1842" t="s">
        <v>102</v>
      </c>
      <c r="F162" s="1842" t="s">
        <v>102</v>
      </c>
      <c r="G162" s="1843">
        <v>1.0881000000000001</v>
      </c>
      <c r="H162" s="1843">
        <v>707.28</v>
      </c>
      <c r="I162" s="1778" t="s">
        <v>634</v>
      </c>
      <c r="J162" s="1778">
        <v>500.43</v>
      </c>
      <c r="K162" s="1778">
        <v>2859.61</v>
      </c>
      <c r="L162" s="1778">
        <v>238.3</v>
      </c>
      <c r="M162" s="1778">
        <v>476.6</v>
      </c>
      <c r="N162" s="1778">
        <v>436.88</v>
      </c>
      <c r="O162" s="1778">
        <v>4956.6499999999996</v>
      </c>
      <c r="P162" s="1778">
        <v>206.53</v>
      </c>
      <c r="Q162" s="1778">
        <v>413.05</v>
      </c>
      <c r="R162" s="1778">
        <v>341.56</v>
      </c>
      <c r="S162" s="1778">
        <v>5719.21</v>
      </c>
      <c r="T162" s="1778">
        <v>158.87</v>
      </c>
      <c r="U162" s="1778">
        <v>317.73</v>
      </c>
      <c r="V162" s="1778">
        <v>301.85000000000002</v>
      </c>
      <c r="W162" s="1190"/>
      <c r="X162" s="1190"/>
      <c r="Z162" s="40"/>
      <c r="AA162" s="1059"/>
      <c r="AB162" s="7"/>
      <c r="AH162" s="1405"/>
      <c r="AI162" s="1405"/>
      <c r="AJ162" s="1405"/>
      <c r="AK162" s="1405"/>
      <c r="AL162" s="1405"/>
      <c r="AM162" s="1405"/>
      <c r="AN162" s="1405"/>
      <c r="AO162" s="1405"/>
      <c r="AP162" s="1405"/>
      <c r="AQ162" s="1405"/>
      <c r="AR162" s="1405"/>
      <c r="AS162" s="1405"/>
      <c r="AT162" s="1405"/>
      <c r="AU162" s="1405"/>
      <c r="AV162" s="1405"/>
      <c r="AW162" s="1405"/>
      <c r="AX162" s="1405"/>
    </row>
    <row r="163" spans="1:50" s="613" customFormat="1">
      <c r="A163" s="53"/>
      <c r="B163" s="1842" t="s">
        <v>2693</v>
      </c>
      <c r="C163" s="1842">
        <v>32</v>
      </c>
      <c r="D163" s="1842">
        <v>64</v>
      </c>
      <c r="E163" s="1842" t="s">
        <v>102</v>
      </c>
      <c r="F163" s="1842" t="s">
        <v>102</v>
      </c>
      <c r="G163" s="1843">
        <v>2.1762999999999999</v>
      </c>
      <c r="H163" s="1843">
        <v>1414.57</v>
      </c>
      <c r="I163" s="1778" t="s">
        <v>634</v>
      </c>
      <c r="J163" s="1778">
        <v>1000.86</v>
      </c>
      <c r="K163" s="1778">
        <v>5719.21</v>
      </c>
      <c r="L163" s="1778">
        <v>476.6</v>
      </c>
      <c r="M163" s="1778">
        <v>953.2</v>
      </c>
      <c r="N163" s="1778">
        <v>873.77</v>
      </c>
      <c r="O163" s="1778">
        <v>9913.2999999999993</v>
      </c>
      <c r="P163" s="1778">
        <v>413.05</v>
      </c>
      <c r="Q163" s="1778">
        <v>826.11</v>
      </c>
      <c r="R163" s="1778">
        <v>683.13</v>
      </c>
      <c r="S163" s="1778">
        <v>11438.42</v>
      </c>
      <c r="T163" s="1778">
        <v>317.73</v>
      </c>
      <c r="U163" s="1778">
        <v>635.47</v>
      </c>
      <c r="V163" s="1778">
        <v>603.69000000000005</v>
      </c>
      <c r="W163" s="1190"/>
      <c r="X163" s="1190"/>
      <c r="Z163" s="40"/>
      <c r="AA163" s="1059"/>
      <c r="AB163" s="7"/>
      <c r="AH163" s="1405"/>
      <c r="AI163" s="1405"/>
      <c r="AJ163" s="1405"/>
      <c r="AK163" s="1405"/>
      <c r="AL163" s="1405"/>
      <c r="AM163" s="1405"/>
      <c r="AN163" s="1405"/>
      <c r="AO163" s="1405"/>
      <c r="AP163" s="1405"/>
      <c r="AQ163" s="1405"/>
      <c r="AR163" s="1405"/>
      <c r="AS163" s="1405"/>
      <c r="AT163" s="1405"/>
      <c r="AU163" s="1405"/>
      <c r="AV163" s="1405"/>
      <c r="AW163" s="1405"/>
      <c r="AX163" s="1405"/>
    </row>
    <row r="164" spans="1:50" s="613" customFormat="1">
      <c r="A164" s="53"/>
      <c r="B164" s="1842" t="s">
        <v>2694</v>
      </c>
      <c r="C164" s="1842">
        <v>2</v>
      </c>
      <c r="D164" s="1842">
        <v>8</v>
      </c>
      <c r="E164" s="1842" t="s">
        <v>102</v>
      </c>
      <c r="F164" s="1842" t="s">
        <v>102</v>
      </c>
      <c r="G164" s="1843">
        <v>0.16159999999999999</v>
      </c>
      <c r="H164" s="1843">
        <v>105.02</v>
      </c>
      <c r="I164" s="1778" t="s">
        <v>634</v>
      </c>
      <c r="J164" s="1778">
        <v>74.31</v>
      </c>
      <c r="K164" s="1778">
        <v>424.62</v>
      </c>
      <c r="L164" s="1778">
        <v>35.380000000000003</v>
      </c>
      <c r="M164" s="1778">
        <v>70.77</v>
      </c>
      <c r="N164" s="1778">
        <v>64.87</v>
      </c>
      <c r="O164" s="1778">
        <v>736.01</v>
      </c>
      <c r="P164" s="1778">
        <v>30.67</v>
      </c>
      <c r="Q164" s="1778">
        <v>61.33</v>
      </c>
      <c r="R164" s="1778">
        <v>50.72</v>
      </c>
      <c r="S164" s="1778">
        <v>849.24</v>
      </c>
      <c r="T164" s="1778">
        <v>23.59</v>
      </c>
      <c r="U164" s="1778">
        <v>47.18</v>
      </c>
      <c r="V164" s="1778">
        <v>44.82</v>
      </c>
      <c r="W164" s="1190"/>
      <c r="X164" s="1190"/>
      <c r="Z164" s="40"/>
      <c r="AA164" s="1059"/>
      <c r="AB164" s="7"/>
      <c r="AH164" s="1405"/>
      <c r="AI164" s="1405"/>
      <c r="AJ164" s="1405"/>
      <c r="AK164" s="1405"/>
      <c r="AL164" s="1405"/>
      <c r="AM164" s="1405"/>
      <c r="AN164" s="1405"/>
      <c r="AO164" s="1405"/>
      <c r="AP164" s="1405"/>
      <c r="AQ164" s="1405"/>
      <c r="AR164" s="1405"/>
      <c r="AS164" s="1405"/>
      <c r="AT164" s="1405"/>
      <c r="AU164" s="1405"/>
      <c r="AV164" s="1405"/>
      <c r="AW164" s="1405"/>
      <c r="AX164" s="1405"/>
    </row>
    <row r="165" spans="1:50" s="613" customFormat="1">
      <c r="A165" s="53"/>
      <c r="B165" s="1842" t="s">
        <v>2695</v>
      </c>
      <c r="C165" s="1842">
        <v>4</v>
      </c>
      <c r="D165" s="1842">
        <v>16</v>
      </c>
      <c r="E165" s="1842" t="s">
        <v>102</v>
      </c>
      <c r="F165" s="1842" t="s">
        <v>102</v>
      </c>
      <c r="G165" s="1843">
        <v>0.3246</v>
      </c>
      <c r="H165" s="1843">
        <v>211.02</v>
      </c>
      <c r="I165" s="1778" t="s">
        <v>634</v>
      </c>
      <c r="J165" s="1778">
        <v>149.30000000000001</v>
      </c>
      <c r="K165" s="1778">
        <v>853.17</v>
      </c>
      <c r="L165" s="1778">
        <v>71.099999999999994</v>
      </c>
      <c r="M165" s="1778">
        <v>142.19</v>
      </c>
      <c r="N165" s="1778">
        <v>130.34</v>
      </c>
      <c r="O165" s="1778">
        <v>1478.82</v>
      </c>
      <c r="P165" s="1778">
        <v>61.62</v>
      </c>
      <c r="Q165" s="1778">
        <v>123.24</v>
      </c>
      <c r="R165" s="1778">
        <v>101.91</v>
      </c>
      <c r="S165" s="1778">
        <v>1706.33</v>
      </c>
      <c r="T165" s="1778">
        <v>47.4</v>
      </c>
      <c r="U165" s="1778">
        <v>94.8</v>
      </c>
      <c r="V165" s="1778">
        <v>90.06</v>
      </c>
      <c r="W165" s="1190"/>
      <c r="X165" s="1190"/>
      <c r="Z165" s="40"/>
      <c r="AA165" s="1059"/>
      <c r="AB165" s="7"/>
      <c r="AH165" s="1405"/>
      <c r="AI165" s="1405"/>
      <c r="AJ165" s="1405"/>
      <c r="AK165" s="1405"/>
      <c r="AL165" s="1405"/>
      <c r="AM165" s="1405"/>
      <c r="AN165" s="1405"/>
      <c r="AO165" s="1405"/>
      <c r="AP165" s="1405"/>
      <c r="AQ165" s="1405"/>
      <c r="AR165" s="1405"/>
      <c r="AS165" s="1405"/>
      <c r="AT165" s="1405"/>
      <c r="AU165" s="1405"/>
      <c r="AV165" s="1405"/>
      <c r="AW165" s="1405"/>
      <c r="AX165" s="1405"/>
    </row>
    <row r="166" spans="1:50" s="613" customFormat="1">
      <c r="A166" s="53"/>
      <c r="B166" s="1842" t="s">
        <v>2696</v>
      </c>
      <c r="C166" s="1842">
        <v>8</v>
      </c>
      <c r="D166" s="1842">
        <v>32</v>
      </c>
      <c r="E166" s="1842" t="s">
        <v>102</v>
      </c>
      <c r="F166" s="1842" t="s">
        <v>102</v>
      </c>
      <c r="G166" s="1843">
        <v>0.64949999999999997</v>
      </c>
      <c r="H166" s="1843">
        <v>422.19</v>
      </c>
      <c r="I166" s="1778" t="s">
        <v>634</v>
      </c>
      <c r="J166" s="1778">
        <v>298.70999999999998</v>
      </c>
      <c r="K166" s="1778">
        <v>1706.94</v>
      </c>
      <c r="L166" s="1778">
        <v>142.24</v>
      </c>
      <c r="M166" s="1778">
        <v>284.49</v>
      </c>
      <c r="N166" s="1778">
        <v>260.77999999999997</v>
      </c>
      <c r="O166" s="1778">
        <v>2958.69</v>
      </c>
      <c r="P166" s="1778">
        <v>123.28</v>
      </c>
      <c r="Q166" s="1778">
        <v>246.56</v>
      </c>
      <c r="R166" s="1778">
        <v>203.88</v>
      </c>
      <c r="S166" s="1778">
        <v>3413.88</v>
      </c>
      <c r="T166" s="1778">
        <v>94.83</v>
      </c>
      <c r="U166" s="1778">
        <v>189.66</v>
      </c>
      <c r="V166" s="1778">
        <v>180.18</v>
      </c>
      <c r="W166" s="1190"/>
      <c r="X166" s="1190"/>
      <c r="Z166" s="40"/>
      <c r="AA166" s="1059"/>
      <c r="AB166" s="7"/>
      <c r="AH166" s="1405"/>
      <c r="AI166" s="1405"/>
      <c r="AJ166" s="1405"/>
      <c r="AK166" s="1405"/>
      <c r="AL166" s="1405"/>
      <c r="AM166" s="1405"/>
      <c r="AN166" s="1405"/>
      <c r="AO166" s="1405"/>
      <c r="AP166" s="1405"/>
      <c r="AQ166" s="1405"/>
      <c r="AR166" s="1405"/>
      <c r="AS166" s="1405"/>
      <c r="AT166" s="1405"/>
      <c r="AU166" s="1405"/>
      <c r="AV166" s="1405"/>
      <c r="AW166" s="1405"/>
      <c r="AX166" s="1405"/>
    </row>
    <row r="167" spans="1:50" s="613" customFormat="1">
      <c r="A167" s="53"/>
      <c r="B167" s="1842" t="s">
        <v>2697</v>
      </c>
      <c r="C167" s="1842">
        <v>16</v>
      </c>
      <c r="D167" s="1842">
        <v>64</v>
      </c>
      <c r="E167" s="1842" t="s">
        <v>102</v>
      </c>
      <c r="F167" s="1842" t="s">
        <v>102</v>
      </c>
      <c r="G167" s="1843">
        <v>1.2989999999999999</v>
      </c>
      <c r="H167" s="1843">
        <v>844.38</v>
      </c>
      <c r="I167" s="1778" t="s">
        <v>634</v>
      </c>
      <c r="J167" s="1778">
        <v>597.42999999999995</v>
      </c>
      <c r="K167" s="1778">
        <v>3413.88</v>
      </c>
      <c r="L167" s="1778">
        <v>284.49</v>
      </c>
      <c r="M167" s="1778">
        <v>568.98</v>
      </c>
      <c r="N167" s="1778">
        <v>521.55999999999995</v>
      </c>
      <c r="O167" s="1778">
        <v>5917.39</v>
      </c>
      <c r="P167" s="1778">
        <v>246.56</v>
      </c>
      <c r="Q167" s="1778">
        <v>493.12</v>
      </c>
      <c r="R167" s="1778">
        <v>407.77</v>
      </c>
      <c r="S167" s="1778">
        <v>6827.75</v>
      </c>
      <c r="T167" s="1778">
        <v>189.66</v>
      </c>
      <c r="U167" s="1778">
        <v>379.32</v>
      </c>
      <c r="V167" s="1778">
        <v>360.35</v>
      </c>
      <c r="W167" s="1190"/>
      <c r="X167" s="1190"/>
      <c r="Z167" s="40"/>
      <c r="AA167" s="1059"/>
      <c r="AB167" s="7"/>
      <c r="AH167" s="1405"/>
      <c r="AI167" s="1405"/>
      <c r="AJ167" s="1405"/>
      <c r="AK167" s="1405"/>
      <c r="AL167" s="1405"/>
      <c r="AM167" s="1405"/>
      <c r="AN167" s="1405"/>
      <c r="AO167" s="1405"/>
      <c r="AP167" s="1405"/>
      <c r="AQ167" s="1405"/>
      <c r="AR167" s="1405"/>
      <c r="AS167" s="1405"/>
      <c r="AT167" s="1405"/>
      <c r="AU167" s="1405"/>
      <c r="AV167" s="1405"/>
      <c r="AW167" s="1405"/>
      <c r="AX167" s="1405"/>
    </row>
    <row r="168" spans="1:50" s="1405" customFormat="1">
      <c r="A168" s="1186"/>
      <c r="B168" s="1842" t="s">
        <v>2698</v>
      </c>
      <c r="C168" s="1842">
        <v>32</v>
      </c>
      <c r="D168" s="1842">
        <v>128</v>
      </c>
      <c r="E168" s="1842" t="s">
        <v>102</v>
      </c>
      <c r="F168" s="1842" t="s">
        <v>102</v>
      </c>
      <c r="G168" s="1843">
        <v>2.5983000000000001</v>
      </c>
      <c r="H168" s="1843">
        <v>1688.9</v>
      </c>
      <c r="I168" s="1778" t="s">
        <v>634</v>
      </c>
      <c r="J168" s="1778">
        <v>1194.96</v>
      </c>
      <c r="K168" s="1778">
        <v>6828.36</v>
      </c>
      <c r="L168" s="1778">
        <v>569.03</v>
      </c>
      <c r="M168" s="1778">
        <v>1138.06</v>
      </c>
      <c r="N168" s="1778">
        <v>1043.22</v>
      </c>
      <c r="O168" s="1778">
        <v>11835.82</v>
      </c>
      <c r="P168" s="1778">
        <v>493.16</v>
      </c>
      <c r="Q168" s="1778">
        <v>986.32</v>
      </c>
      <c r="R168" s="1778">
        <v>815.61</v>
      </c>
      <c r="S168" s="1778">
        <v>13656.72</v>
      </c>
      <c r="T168" s="1778">
        <v>379.35</v>
      </c>
      <c r="U168" s="1778">
        <v>758.71</v>
      </c>
      <c r="V168" s="1778">
        <v>720.77</v>
      </c>
      <c r="W168" s="1190"/>
      <c r="X168" s="1190"/>
      <c r="Z168" s="40"/>
      <c r="AA168" s="1462"/>
      <c r="AB168" s="1187"/>
    </row>
    <row r="169" spans="1:50" s="1405" customFormat="1">
      <c r="A169" s="1186"/>
      <c r="B169" s="1842" t="s">
        <v>2699</v>
      </c>
      <c r="C169" s="1842">
        <v>16</v>
      </c>
      <c r="D169" s="1842">
        <v>128</v>
      </c>
      <c r="E169" s="1842" t="s">
        <v>102</v>
      </c>
      <c r="F169" s="1842" t="s">
        <v>102</v>
      </c>
      <c r="G169" s="1843">
        <v>1.6627000000000001</v>
      </c>
      <c r="H169" s="1843">
        <v>1080.74</v>
      </c>
      <c r="I169" s="1778" t="s">
        <v>634</v>
      </c>
      <c r="J169" s="1778">
        <v>764.66</v>
      </c>
      <c r="K169" s="1778">
        <v>4369.5</v>
      </c>
      <c r="L169" s="1778">
        <v>364.12</v>
      </c>
      <c r="M169" s="1778">
        <v>728.25</v>
      </c>
      <c r="N169" s="1778">
        <v>667.56</v>
      </c>
      <c r="O169" s="1778">
        <v>7573.79</v>
      </c>
      <c r="P169" s="1778">
        <v>315.57</v>
      </c>
      <c r="Q169" s="1778">
        <v>631.15</v>
      </c>
      <c r="R169" s="1778">
        <v>521.91</v>
      </c>
      <c r="S169" s="1778">
        <v>8738.99</v>
      </c>
      <c r="T169" s="1778">
        <v>242.75</v>
      </c>
      <c r="U169" s="1778">
        <v>485.5</v>
      </c>
      <c r="V169" s="1778">
        <v>461.22</v>
      </c>
      <c r="W169" s="1190"/>
      <c r="X169" s="1190"/>
      <c r="Z169" s="40"/>
      <c r="AA169" s="1462"/>
      <c r="AB169" s="1187"/>
    </row>
    <row r="170" spans="1:50" s="331" customFormat="1">
      <c r="A170" s="141"/>
      <c r="B170" s="1842" t="s">
        <v>2705</v>
      </c>
      <c r="C170" s="1842">
        <v>16</v>
      </c>
      <c r="D170" s="1842">
        <v>64</v>
      </c>
      <c r="E170" s="1842" t="s">
        <v>102</v>
      </c>
      <c r="F170" s="1842" t="s">
        <v>102</v>
      </c>
      <c r="G170" s="1843">
        <v>1.1547000000000001</v>
      </c>
      <c r="H170" s="1843">
        <v>750.56</v>
      </c>
      <c r="I170" s="1778" t="s">
        <v>634</v>
      </c>
      <c r="J170" s="1778" t="s">
        <v>634</v>
      </c>
      <c r="K170" s="1778" t="s">
        <v>634</v>
      </c>
      <c r="L170" s="1778" t="s">
        <v>634</v>
      </c>
      <c r="M170" s="1778" t="s">
        <v>634</v>
      </c>
      <c r="N170" s="1778" t="s">
        <v>634</v>
      </c>
      <c r="O170" s="1778" t="s">
        <v>634</v>
      </c>
      <c r="P170" s="1778" t="s">
        <v>634</v>
      </c>
      <c r="Q170" s="1778" t="s">
        <v>634</v>
      </c>
      <c r="R170" s="1778" t="s">
        <v>634</v>
      </c>
      <c r="S170" s="1778" t="s">
        <v>634</v>
      </c>
      <c r="T170" s="1778" t="s">
        <v>634</v>
      </c>
      <c r="U170" s="1778" t="s">
        <v>634</v>
      </c>
      <c r="V170" s="1778" t="s">
        <v>634</v>
      </c>
      <c r="W170" s="1190"/>
      <c r="X170" s="1190"/>
      <c r="Z170" s="280"/>
      <c r="AA170" s="1162"/>
      <c r="AB170" s="66"/>
      <c r="AH170" s="1405"/>
      <c r="AI170" s="1405"/>
      <c r="AJ170" s="1405"/>
      <c r="AK170" s="1405"/>
      <c r="AL170" s="1405"/>
      <c r="AM170" s="1405"/>
      <c r="AN170" s="1405"/>
      <c r="AO170" s="1405"/>
      <c r="AP170" s="1405"/>
      <c r="AQ170" s="1405"/>
      <c r="AR170" s="1405"/>
      <c r="AS170" s="1405"/>
      <c r="AT170" s="1405"/>
      <c r="AU170" s="1405"/>
      <c r="AV170" s="1405"/>
      <c r="AW170" s="1405"/>
      <c r="AX170" s="1405"/>
    </row>
    <row r="171" spans="1:50" s="331" customFormat="1">
      <c r="A171" s="141"/>
      <c r="B171" s="1842" t="s">
        <v>2706</v>
      </c>
      <c r="C171" s="1842">
        <v>32</v>
      </c>
      <c r="D171" s="1842">
        <v>128</v>
      </c>
      <c r="E171" s="1842" t="s">
        <v>102</v>
      </c>
      <c r="F171" s="1842" t="s">
        <v>102</v>
      </c>
      <c r="G171" s="1843">
        <v>2.3094999999999999</v>
      </c>
      <c r="H171" s="1843">
        <v>1501.18</v>
      </c>
      <c r="I171" s="1778" t="s">
        <v>634</v>
      </c>
      <c r="J171" s="1778" t="s">
        <v>634</v>
      </c>
      <c r="K171" s="1778" t="s">
        <v>634</v>
      </c>
      <c r="L171" s="1778" t="s">
        <v>634</v>
      </c>
      <c r="M171" s="1778" t="s">
        <v>634</v>
      </c>
      <c r="N171" s="1778" t="s">
        <v>634</v>
      </c>
      <c r="O171" s="1778" t="s">
        <v>634</v>
      </c>
      <c r="P171" s="1778" t="s">
        <v>634</v>
      </c>
      <c r="Q171" s="1778" t="s">
        <v>634</v>
      </c>
      <c r="R171" s="1778" t="s">
        <v>634</v>
      </c>
      <c r="S171" s="1778" t="s">
        <v>634</v>
      </c>
      <c r="T171" s="1778" t="s">
        <v>634</v>
      </c>
      <c r="U171" s="1778" t="s">
        <v>634</v>
      </c>
      <c r="V171" s="1778" t="s">
        <v>634</v>
      </c>
      <c r="W171" s="1190"/>
      <c r="X171" s="1190"/>
      <c r="Z171" s="280"/>
      <c r="AA171" s="1162"/>
      <c r="AB171" s="66"/>
      <c r="AH171" s="1405"/>
      <c r="AI171" s="1405"/>
      <c r="AJ171" s="1405"/>
      <c r="AK171" s="1405"/>
      <c r="AL171" s="1405"/>
      <c r="AM171" s="1405"/>
      <c r="AN171" s="1405"/>
      <c r="AO171" s="1405"/>
      <c r="AP171" s="1405"/>
      <c r="AQ171" s="1405"/>
      <c r="AR171" s="1405"/>
      <c r="AS171" s="1405"/>
      <c r="AT171" s="1405"/>
      <c r="AU171" s="1405"/>
      <c r="AV171" s="1405"/>
      <c r="AW171" s="1405"/>
      <c r="AX171" s="1405"/>
    </row>
    <row r="172" spans="1:50" s="331" customFormat="1">
      <c r="A172" s="141"/>
      <c r="B172" s="1842" t="s">
        <v>2707</v>
      </c>
      <c r="C172" s="1842">
        <v>4</v>
      </c>
      <c r="D172" s="1842">
        <v>8</v>
      </c>
      <c r="E172" s="1842" t="s">
        <v>102</v>
      </c>
      <c r="F172" s="1842" t="s">
        <v>102</v>
      </c>
      <c r="G172" s="1843">
        <v>0.31580000000000003</v>
      </c>
      <c r="H172" s="1843">
        <v>205.27</v>
      </c>
      <c r="I172" s="1778" t="s">
        <v>634</v>
      </c>
      <c r="J172" s="1778" t="s">
        <v>634</v>
      </c>
      <c r="K172" s="1778" t="s">
        <v>634</v>
      </c>
      <c r="L172" s="1778" t="s">
        <v>634</v>
      </c>
      <c r="M172" s="1778" t="s">
        <v>634</v>
      </c>
      <c r="N172" s="1778" t="s">
        <v>634</v>
      </c>
      <c r="O172" s="1778" t="s">
        <v>634</v>
      </c>
      <c r="P172" s="1778" t="s">
        <v>634</v>
      </c>
      <c r="Q172" s="1778" t="s">
        <v>634</v>
      </c>
      <c r="R172" s="1778" t="s">
        <v>634</v>
      </c>
      <c r="S172" s="1778" t="s">
        <v>634</v>
      </c>
      <c r="T172" s="1778" t="s">
        <v>634</v>
      </c>
      <c r="U172" s="1778" t="s">
        <v>634</v>
      </c>
      <c r="V172" s="1778" t="s">
        <v>634</v>
      </c>
      <c r="W172" s="1190"/>
      <c r="X172" s="1190"/>
      <c r="Z172" s="280"/>
      <c r="AA172" s="1162"/>
      <c r="AB172" s="66"/>
      <c r="AH172" s="1405"/>
      <c r="AI172" s="1405"/>
      <c r="AJ172" s="1405"/>
      <c r="AK172" s="1405"/>
      <c r="AL172" s="1405"/>
      <c r="AM172" s="1405"/>
      <c r="AN172" s="1405"/>
      <c r="AO172" s="1405"/>
      <c r="AP172" s="1405"/>
      <c r="AQ172" s="1405"/>
      <c r="AR172" s="1405"/>
      <c r="AS172" s="1405"/>
      <c r="AT172" s="1405"/>
      <c r="AU172" s="1405"/>
      <c r="AV172" s="1405"/>
      <c r="AW172" s="1405"/>
      <c r="AX172" s="1405"/>
    </row>
    <row r="173" spans="1:50" s="331" customFormat="1">
      <c r="A173" s="141"/>
      <c r="B173" s="1842" t="s">
        <v>2708</v>
      </c>
      <c r="C173" s="1842">
        <v>8</v>
      </c>
      <c r="D173" s="1842">
        <v>16</v>
      </c>
      <c r="E173" s="1842" t="s">
        <v>102</v>
      </c>
      <c r="F173" s="1842" t="s">
        <v>102</v>
      </c>
      <c r="G173" s="1843">
        <v>0.63160000000000005</v>
      </c>
      <c r="H173" s="1843">
        <v>410.54</v>
      </c>
      <c r="I173" s="1778" t="s">
        <v>634</v>
      </c>
      <c r="J173" s="1778" t="s">
        <v>634</v>
      </c>
      <c r="K173" s="1778" t="s">
        <v>634</v>
      </c>
      <c r="L173" s="1778" t="s">
        <v>634</v>
      </c>
      <c r="M173" s="1778" t="s">
        <v>634</v>
      </c>
      <c r="N173" s="1778" t="s">
        <v>634</v>
      </c>
      <c r="O173" s="1778" t="s">
        <v>634</v>
      </c>
      <c r="P173" s="1778" t="s">
        <v>634</v>
      </c>
      <c r="Q173" s="1778" t="s">
        <v>634</v>
      </c>
      <c r="R173" s="1778" t="s">
        <v>634</v>
      </c>
      <c r="S173" s="1778" t="s">
        <v>634</v>
      </c>
      <c r="T173" s="1778" t="s">
        <v>634</v>
      </c>
      <c r="U173" s="1778" t="s">
        <v>634</v>
      </c>
      <c r="V173" s="1778" t="s">
        <v>634</v>
      </c>
      <c r="W173" s="1190"/>
      <c r="X173" s="1190"/>
      <c r="Z173" s="280"/>
      <c r="AA173" s="1162"/>
      <c r="AB173" s="66"/>
      <c r="AH173" s="1405"/>
      <c r="AI173" s="1405"/>
      <c r="AJ173" s="1405"/>
      <c r="AK173" s="1405"/>
      <c r="AL173" s="1405"/>
      <c r="AM173" s="1405"/>
      <c r="AN173" s="1405"/>
      <c r="AO173" s="1405"/>
      <c r="AP173" s="1405"/>
      <c r="AQ173" s="1405"/>
      <c r="AR173" s="1405"/>
      <c r="AS173" s="1405"/>
      <c r="AT173" s="1405"/>
      <c r="AU173" s="1405"/>
      <c r="AV173" s="1405"/>
      <c r="AW173" s="1405"/>
      <c r="AX173" s="1405"/>
    </row>
    <row r="174" spans="1:50" s="331" customFormat="1">
      <c r="A174" s="141"/>
      <c r="B174" s="1842" t="s">
        <v>2709</v>
      </c>
      <c r="C174" s="1842">
        <v>16</v>
      </c>
      <c r="D174" s="1842">
        <v>64</v>
      </c>
      <c r="E174" s="1842" t="s">
        <v>102</v>
      </c>
      <c r="F174" s="1842" t="s">
        <v>102</v>
      </c>
      <c r="G174" s="1843">
        <v>1.2632000000000001</v>
      </c>
      <c r="H174" s="1843">
        <v>821.08</v>
      </c>
      <c r="I174" s="1778" t="s">
        <v>634</v>
      </c>
      <c r="J174" s="1778" t="s">
        <v>634</v>
      </c>
      <c r="K174" s="1778" t="s">
        <v>634</v>
      </c>
      <c r="L174" s="1778" t="s">
        <v>634</v>
      </c>
      <c r="M174" s="1778" t="s">
        <v>634</v>
      </c>
      <c r="N174" s="1778" t="s">
        <v>634</v>
      </c>
      <c r="O174" s="1778" t="s">
        <v>634</v>
      </c>
      <c r="P174" s="1778" t="s">
        <v>634</v>
      </c>
      <c r="Q174" s="1778" t="s">
        <v>634</v>
      </c>
      <c r="R174" s="1778" t="s">
        <v>634</v>
      </c>
      <c r="S174" s="1778" t="s">
        <v>634</v>
      </c>
      <c r="T174" s="1778" t="s">
        <v>634</v>
      </c>
      <c r="U174" s="1778" t="s">
        <v>634</v>
      </c>
      <c r="V174" s="1778" t="s">
        <v>634</v>
      </c>
      <c r="W174" s="1190"/>
      <c r="X174" s="1190"/>
      <c r="Z174" s="280"/>
      <c r="AA174" s="1162"/>
      <c r="AB174" s="66"/>
      <c r="AH174" s="1405"/>
      <c r="AI174" s="1405"/>
      <c r="AJ174" s="1405"/>
      <c r="AK174" s="1405"/>
      <c r="AL174" s="1405"/>
      <c r="AM174" s="1405"/>
      <c r="AN174" s="1405"/>
      <c r="AO174" s="1405"/>
      <c r="AP174" s="1405"/>
      <c r="AQ174" s="1405"/>
      <c r="AR174" s="1405"/>
      <c r="AS174" s="1405"/>
      <c r="AT174" s="1405"/>
      <c r="AU174" s="1405"/>
      <c r="AV174" s="1405"/>
      <c r="AW174" s="1405"/>
      <c r="AX174" s="1405"/>
    </row>
    <row r="175" spans="1:50" s="1172" customFormat="1">
      <c r="A175" s="1173"/>
      <c r="B175" s="1184"/>
      <c r="C175" s="646"/>
      <c r="D175" s="720"/>
      <c r="E175" s="1176"/>
      <c r="F175" s="1176"/>
      <c r="G175" s="1171"/>
      <c r="H175" s="1178"/>
      <c r="I175" s="1179"/>
      <c r="J175" s="1180"/>
      <c r="K175" s="1180"/>
      <c r="L175" s="1181"/>
      <c r="M175" s="1180"/>
      <c r="N175" s="1180"/>
      <c r="O175" s="1181"/>
      <c r="P175" s="1182"/>
      <c r="Q175" s="1180"/>
      <c r="R175" s="1180"/>
      <c r="S175" s="1181"/>
      <c r="T175" s="1181"/>
      <c r="U175" s="1183"/>
      <c r="V175" s="1183"/>
      <c r="W175" s="1174"/>
      <c r="X175" s="1190"/>
      <c r="AD175" s="1175"/>
      <c r="AE175" s="1177"/>
      <c r="AF175" s="818"/>
      <c r="AH175" s="1405"/>
      <c r="AI175" s="1405"/>
      <c r="AJ175" s="1405"/>
      <c r="AK175" s="1405"/>
      <c r="AL175" s="1405"/>
      <c r="AM175" s="1405"/>
      <c r="AN175" s="1405"/>
      <c r="AO175" s="1405"/>
      <c r="AP175" s="1405"/>
      <c r="AQ175" s="1405"/>
      <c r="AR175" s="1405"/>
      <c r="AS175" s="1405"/>
      <c r="AT175" s="1405"/>
      <c r="AU175" s="1405"/>
      <c r="AV175" s="1405"/>
    </row>
    <row r="176" spans="1:50" s="613" customFormat="1" ht="40.5" customHeight="1">
      <c r="A176" s="53"/>
      <c r="B176" s="1958" t="s">
        <v>1168</v>
      </c>
      <c r="C176" s="1959"/>
      <c r="D176" s="1960"/>
      <c r="E176" s="682" t="s">
        <v>302</v>
      </c>
      <c r="F176" s="1405"/>
      <c r="G176" s="1405"/>
      <c r="H176" s="1405"/>
      <c r="I176" s="682" t="s">
        <v>1041</v>
      </c>
      <c r="J176" s="1405"/>
      <c r="K176" s="1405"/>
      <c r="L176" s="1405"/>
      <c r="M176" s="1405"/>
      <c r="N176" s="1405"/>
      <c r="O176" s="1405"/>
      <c r="P176" s="1405"/>
      <c r="Q176" s="1405"/>
      <c r="R176" s="1405"/>
      <c r="S176" s="1405"/>
      <c r="T176" s="1405"/>
      <c r="U176" s="1405"/>
      <c r="V176" s="1405"/>
      <c r="W176" s="93"/>
      <c r="X176" s="1190"/>
      <c r="Y176" s="5"/>
      <c r="Z176" s="218"/>
      <c r="AA176" s="818"/>
      <c r="AE176" s="1405"/>
      <c r="AF176" s="1405"/>
      <c r="AG176" s="1405"/>
      <c r="AH176" s="1405"/>
      <c r="AI176" s="1405"/>
      <c r="AJ176" s="1405"/>
      <c r="AK176" s="1405"/>
      <c r="AL176" s="1405"/>
      <c r="AM176" s="1405"/>
      <c r="AN176" s="1405"/>
      <c r="AO176" s="1405"/>
      <c r="AP176" s="1405"/>
      <c r="AQ176" s="1405"/>
      <c r="AR176" s="1405"/>
      <c r="AS176" s="1405"/>
      <c r="AT176" s="1405"/>
      <c r="AU176" s="1405"/>
      <c r="AV176" s="1405"/>
    </row>
    <row r="177" spans="1:48" s="613" customFormat="1" ht="144">
      <c r="A177" s="53"/>
      <c r="B177" s="539" t="s">
        <v>2</v>
      </c>
      <c r="C177" s="1470" t="s">
        <v>3</v>
      </c>
      <c r="D177" s="1470" t="s">
        <v>472</v>
      </c>
      <c r="E177" s="1470" t="s">
        <v>261</v>
      </c>
      <c r="F177" s="1470" t="s">
        <v>900</v>
      </c>
      <c r="G177" s="1470" t="s">
        <v>43</v>
      </c>
      <c r="H177" s="1470" t="s">
        <v>157</v>
      </c>
      <c r="I177" s="1471" t="s">
        <v>1289</v>
      </c>
      <c r="J177" s="1471" t="s">
        <v>1042</v>
      </c>
      <c r="K177" s="1470" t="s">
        <v>1043</v>
      </c>
      <c r="L177" s="1470" t="s">
        <v>1044</v>
      </c>
      <c r="M177" s="1472" t="s">
        <v>1045</v>
      </c>
      <c r="N177" s="1471" t="s">
        <v>2113</v>
      </c>
      <c r="O177" s="1470" t="s">
        <v>1046</v>
      </c>
      <c r="P177" s="1470" t="s">
        <v>1047</v>
      </c>
      <c r="Q177" s="1472" t="s">
        <v>1048</v>
      </c>
      <c r="R177" s="1471" t="s">
        <v>1052</v>
      </c>
      <c r="S177" s="1470" t="s">
        <v>1049</v>
      </c>
      <c r="T177" s="1470" t="s">
        <v>1050</v>
      </c>
      <c r="U177" s="1472" t="s">
        <v>1051</v>
      </c>
      <c r="V177" s="1471" t="s">
        <v>2114</v>
      </c>
      <c r="W177" s="93"/>
      <c r="X177" s="1190"/>
      <c r="Y177" s="5"/>
      <c r="Z177" s="218"/>
      <c r="AA177" s="818"/>
      <c r="AE177" s="1405"/>
      <c r="AF177" s="1405"/>
      <c r="AG177" s="1405"/>
      <c r="AH177" s="1405"/>
      <c r="AI177" s="1405"/>
      <c r="AJ177" s="1405"/>
      <c r="AK177" s="1405"/>
      <c r="AL177" s="1405"/>
      <c r="AM177" s="1405"/>
      <c r="AN177" s="1405"/>
      <c r="AO177" s="1405"/>
      <c r="AP177" s="1405"/>
      <c r="AQ177" s="1405"/>
      <c r="AR177" s="1405"/>
      <c r="AS177" s="1405"/>
      <c r="AT177" s="1405"/>
      <c r="AU177" s="1405"/>
      <c r="AV177" s="1405"/>
    </row>
    <row r="178" spans="1:48" s="613" customFormat="1">
      <c r="A178" s="53"/>
      <c r="B178" s="1841" t="s">
        <v>2593</v>
      </c>
      <c r="C178" s="1842">
        <v>1</v>
      </c>
      <c r="D178" s="1842">
        <v>1</v>
      </c>
      <c r="E178" s="1841" t="s">
        <v>102</v>
      </c>
      <c r="F178" s="1841" t="s">
        <v>102</v>
      </c>
      <c r="G178" s="1843">
        <v>1.6E-2</v>
      </c>
      <c r="H178" s="1778">
        <v>10.39</v>
      </c>
      <c r="I178" s="1778" t="s">
        <v>634</v>
      </c>
      <c r="J178" s="1778">
        <v>9.1</v>
      </c>
      <c r="K178" s="1778">
        <v>52.51</v>
      </c>
      <c r="L178" s="1778">
        <v>4.38</v>
      </c>
      <c r="M178" s="1778">
        <v>8.75</v>
      </c>
      <c r="N178" s="1778">
        <v>7.93</v>
      </c>
      <c r="O178" s="1778">
        <v>91.02</v>
      </c>
      <c r="P178" s="1778">
        <v>3.79</v>
      </c>
      <c r="Q178" s="1778">
        <v>7.58</v>
      </c>
      <c r="R178" s="1778">
        <v>6.88</v>
      </c>
      <c r="S178" s="1778">
        <v>115.52</v>
      </c>
      <c r="T178" s="1778">
        <v>3.21</v>
      </c>
      <c r="U178" s="1778">
        <v>6.42</v>
      </c>
      <c r="V178" s="1846">
        <v>0</v>
      </c>
      <c r="W178" s="93"/>
      <c r="X178" s="1190"/>
      <c r="Y178" s="5"/>
      <c r="Z178" s="218"/>
      <c r="AA178" s="818"/>
      <c r="AE178" s="1405"/>
      <c r="AF178" s="1405"/>
      <c r="AG178" s="1405"/>
      <c r="AH178" s="1405"/>
      <c r="AI178" s="1405"/>
      <c r="AJ178" s="1405"/>
      <c r="AK178" s="1405"/>
      <c r="AL178" s="1405"/>
      <c r="AM178" s="1405"/>
      <c r="AN178" s="1405"/>
      <c r="AO178" s="1405"/>
      <c r="AP178" s="1405"/>
      <c r="AQ178" s="1405"/>
      <c r="AR178" s="1405"/>
      <c r="AS178" s="1405"/>
      <c r="AT178" s="1405"/>
      <c r="AU178" s="1405"/>
      <c r="AV178" s="1405"/>
    </row>
    <row r="179" spans="1:48" s="613" customFormat="1">
      <c r="A179" s="53"/>
      <c r="B179" s="1841" t="s">
        <v>2594</v>
      </c>
      <c r="C179" s="1842">
        <v>1</v>
      </c>
      <c r="D179" s="1842">
        <v>2</v>
      </c>
      <c r="E179" s="1841" t="s">
        <v>102</v>
      </c>
      <c r="F179" s="1841" t="s">
        <v>102</v>
      </c>
      <c r="G179" s="1843">
        <v>3.1899999999999998E-2</v>
      </c>
      <c r="H179" s="1778">
        <v>20.71</v>
      </c>
      <c r="I179" s="1778" t="s">
        <v>634</v>
      </c>
      <c r="J179" s="1778">
        <v>18.14</v>
      </c>
      <c r="K179" s="1778">
        <v>104.64</v>
      </c>
      <c r="L179" s="1778">
        <v>8.7200000000000006</v>
      </c>
      <c r="M179" s="1778">
        <v>17.440000000000001</v>
      </c>
      <c r="N179" s="1778">
        <v>15.81</v>
      </c>
      <c r="O179" s="1778">
        <v>181.38</v>
      </c>
      <c r="P179" s="1778">
        <v>7.56</v>
      </c>
      <c r="Q179" s="1778">
        <v>15.12</v>
      </c>
      <c r="R179" s="1778">
        <v>13.72</v>
      </c>
      <c r="S179" s="1778">
        <v>230.22</v>
      </c>
      <c r="T179" s="1778">
        <v>6.39</v>
      </c>
      <c r="U179" s="1778">
        <v>12.79</v>
      </c>
      <c r="V179" s="1846">
        <v>0</v>
      </c>
      <c r="W179" s="93"/>
      <c r="X179" s="1190"/>
      <c r="Y179" s="5"/>
      <c r="Z179" s="218"/>
      <c r="AA179" s="818"/>
      <c r="AE179" s="1405"/>
      <c r="AF179" s="1405"/>
      <c r="AG179" s="1405"/>
      <c r="AH179" s="1405"/>
      <c r="AI179" s="1405"/>
      <c r="AJ179" s="1405"/>
      <c r="AK179" s="1405"/>
      <c r="AL179" s="1405"/>
      <c r="AM179" s="1405"/>
      <c r="AN179" s="1405"/>
      <c r="AO179" s="1405"/>
      <c r="AP179" s="1405"/>
      <c r="AQ179" s="1405"/>
      <c r="AR179" s="1405"/>
      <c r="AS179" s="1405"/>
      <c r="AT179" s="1405"/>
      <c r="AU179" s="1405"/>
      <c r="AV179" s="1405"/>
    </row>
    <row r="180" spans="1:48" s="613" customFormat="1">
      <c r="A180" s="53"/>
      <c r="B180" s="1841" t="s">
        <v>2595</v>
      </c>
      <c r="C180" s="1842">
        <v>2</v>
      </c>
      <c r="D180" s="1842">
        <v>4</v>
      </c>
      <c r="E180" s="1841" t="s">
        <v>102</v>
      </c>
      <c r="F180" s="1841" t="s">
        <v>102</v>
      </c>
      <c r="G180" s="1843">
        <v>8.2500000000000004E-2</v>
      </c>
      <c r="H180" s="1778">
        <v>53.6</v>
      </c>
      <c r="I180" s="1778" t="s">
        <v>634</v>
      </c>
      <c r="J180" s="1778">
        <v>46.95</v>
      </c>
      <c r="K180" s="1778">
        <v>270.86</v>
      </c>
      <c r="L180" s="1778">
        <v>22.57</v>
      </c>
      <c r="M180" s="1778">
        <v>45.14</v>
      </c>
      <c r="N180" s="1778">
        <v>40.93</v>
      </c>
      <c r="O180" s="1778">
        <v>469.5</v>
      </c>
      <c r="P180" s="1778">
        <v>19.559999999999999</v>
      </c>
      <c r="Q180" s="1778">
        <v>39.119999999999997</v>
      </c>
      <c r="R180" s="1778">
        <v>35.51</v>
      </c>
      <c r="S180" s="1778">
        <v>595.9</v>
      </c>
      <c r="T180" s="1778">
        <v>16.55</v>
      </c>
      <c r="U180" s="1778">
        <v>33.11</v>
      </c>
      <c r="V180" s="1846">
        <v>0</v>
      </c>
      <c r="W180" s="93"/>
      <c r="X180" s="1190"/>
      <c r="Y180" s="5"/>
      <c r="Z180" s="218"/>
      <c r="AA180" s="818"/>
      <c r="AE180" s="1405"/>
      <c r="AF180" s="1405"/>
      <c r="AG180" s="1405"/>
      <c r="AH180" s="1405"/>
      <c r="AI180" s="1405"/>
      <c r="AJ180" s="1405"/>
      <c r="AK180" s="1405"/>
      <c r="AL180" s="1405"/>
      <c r="AM180" s="1405"/>
      <c r="AN180" s="1405"/>
      <c r="AO180" s="1405"/>
      <c r="AP180" s="1405"/>
      <c r="AQ180" s="1405"/>
      <c r="AR180" s="1405"/>
      <c r="AS180" s="1405"/>
      <c r="AT180" s="1405"/>
      <c r="AU180" s="1405"/>
      <c r="AV180" s="1405"/>
    </row>
    <row r="181" spans="1:48" s="613" customFormat="1">
      <c r="A181" s="53"/>
      <c r="B181" s="1841" t="s">
        <v>2596</v>
      </c>
      <c r="C181" s="1842">
        <v>4</v>
      </c>
      <c r="D181" s="1842">
        <v>8</v>
      </c>
      <c r="E181" s="1841" t="s">
        <v>102</v>
      </c>
      <c r="F181" s="1841" t="s">
        <v>102</v>
      </c>
      <c r="G181" s="1843">
        <v>0.16489999999999999</v>
      </c>
      <c r="H181" s="1778">
        <v>107.19</v>
      </c>
      <c r="I181" s="1778" t="s">
        <v>634</v>
      </c>
      <c r="J181" s="1778">
        <v>93.9</v>
      </c>
      <c r="K181" s="1778">
        <v>541.73</v>
      </c>
      <c r="L181" s="1778">
        <v>45.14</v>
      </c>
      <c r="M181" s="1778">
        <v>90.29</v>
      </c>
      <c r="N181" s="1778">
        <v>81.86</v>
      </c>
      <c r="O181" s="1778">
        <v>939</v>
      </c>
      <c r="P181" s="1778">
        <v>39.119999999999997</v>
      </c>
      <c r="Q181" s="1778">
        <v>78.25</v>
      </c>
      <c r="R181" s="1778">
        <v>71.03</v>
      </c>
      <c r="S181" s="1778">
        <v>1191.8</v>
      </c>
      <c r="T181" s="1778">
        <v>33.11</v>
      </c>
      <c r="U181" s="1778">
        <v>66.209999999999994</v>
      </c>
      <c r="V181" s="1846">
        <v>0</v>
      </c>
      <c r="W181" s="93"/>
      <c r="X181" s="1190"/>
      <c r="Y181" s="5"/>
      <c r="Z181" s="218"/>
      <c r="AA181" s="818"/>
      <c r="AE181" s="1405"/>
      <c r="AF181" s="1405"/>
      <c r="AG181" s="1405"/>
      <c r="AH181" s="1405"/>
      <c r="AI181" s="1405"/>
      <c r="AJ181" s="1405"/>
      <c r="AK181" s="1405"/>
      <c r="AL181" s="1405"/>
      <c r="AM181" s="1405"/>
      <c r="AN181" s="1405"/>
      <c r="AO181" s="1405"/>
      <c r="AP181" s="1405"/>
      <c r="AQ181" s="1405"/>
      <c r="AR181" s="1405"/>
      <c r="AS181" s="1405"/>
      <c r="AT181" s="1405"/>
      <c r="AU181" s="1405"/>
      <c r="AV181" s="1405"/>
    </row>
    <row r="182" spans="1:48" s="613" customFormat="1">
      <c r="A182" s="53"/>
      <c r="B182" s="1841" t="s">
        <v>2597</v>
      </c>
      <c r="C182" s="1842">
        <v>8</v>
      </c>
      <c r="D182" s="1842">
        <v>16</v>
      </c>
      <c r="E182" s="1841" t="s">
        <v>102</v>
      </c>
      <c r="F182" s="1841" t="s">
        <v>102</v>
      </c>
      <c r="G182" s="1843">
        <v>0.32979999999999998</v>
      </c>
      <c r="H182" s="1778">
        <v>214.38</v>
      </c>
      <c r="I182" s="1778" t="s">
        <v>634</v>
      </c>
      <c r="J182" s="1778">
        <v>187.8</v>
      </c>
      <c r="K182" s="1778">
        <v>1083.46</v>
      </c>
      <c r="L182" s="1778">
        <v>90.29</v>
      </c>
      <c r="M182" s="1778">
        <v>180.58</v>
      </c>
      <c r="N182" s="1778">
        <v>163.72</v>
      </c>
      <c r="O182" s="1778">
        <v>1878</v>
      </c>
      <c r="P182" s="1778">
        <v>78.25</v>
      </c>
      <c r="Q182" s="1778">
        <v>156.5</v>
      </c>
      <c r="R182" s="1778">
        <v>142.05000000000001</v>
      </c>
      <c r="S182" s="1778">
        <v>2383.61</v>
      </c>
      <c r="T182" s="1778">
        <v>66.209999999999994</v>
      </c>
      <c r="U182" s="1778">
        <v>132.41999999999999</v>
      </c>
      <c r="V182" s="1846">
        <v>0</v>
      </c>
      <c r="W182" s="93"/>
      <c r="X182" s="1190"/>
      <c r="Y182" s="5"/>
      <c r="Z182" s="218"/>
      <c r="AA182" s="818"/>
      <c r="AE182" s="1405"/>
      <c r="AF182" s="1405"/>
      <c r="AG182" s="1405"/>
      <c r="AH182" s="1405"/>
      <c r="AI182" s="1405"/>
      <c r="AJ182" s="1405"/>
      <c r="AK182" s="1405"/>
      <c r="AL182" s="1405"/>
      <c r="AM182" s="1405"/>
      <c r="AN182" s="1405"/>
      <c r="AO182" s="1405"/>
      <c r="AP182" s="1405"/>
      <c r="AQ182" s="1405"/>
      <c r="AR182" s="1405"/>
      <c r="AS182" s="1405"/>
      <c r="AT182" s="1405"/>
      <c r="AU182" s="1405"/>
      <c r="AV182" s="1405"/>
    </row>
    <row r="183" spans="1:48" s="613" customFormat="1">
      <c r="A183" s="53"/>
      <c r="B183" s="1841" t="s">
        <v>2598</v>
      </c>
      <c r="C183" s="1842">
        <v>16</v>
      </c>
      <c r="D183" s="1842">
        <v>32</v>
      </c>
      <c r="E183" s="1841" t="s">
        <v>102</v>
      </c>
      <c r="F183" s="1841" t="s">
        <v>102</v>
      </c>
      <c r="G183" s="1843">
        <v>0.65959999999999996</v>
      </c>
      <c r="H183" s="1778">
        <v>428.77</v>
      </c>
      <c r="I183" s="1778" t="s">
        <v>634</v>
      </c>
      <c r="J183" s="1778">
        <v>375.6</v>
      </c>
      <c r="K183" s="1778">
        <v>2166.92</v>
      </c>
      <c r="L183" s="1778">
        <v>180.58</v>
      </c>
      <c r="M183" s="1778">
        <v>361.15</v>
      </c>
      <c r="N183" s="1778">
        <v>327.45</v>
      </c>
      <c r="O183" s="1778">
        <v>3755.99</v>
      </c>
      <c r="P183" s="1778">
        <v>156.5</v>
      </c>
      <c r="Q183" s="1778">
        <v>313</v>
      </c>
      <c r="R183" s="1778">
        <v>284.11</v>
      </c>
      <c r="S183" s="1778">
        <v>4767.22</v>
      </c>
      <c r="T183" s="1778">
        <v>132.41999999999999</v>
      </c>
      <c r="U183" s="1778">
        <v>264.85000000000002</v>
      </c>
      <c r="V183" s="1846">
        <v>0</v>
      </c>
      <c r="W183" s="93"/>
      <c r="X183" s="1190"/>
      <c r="Y183" s="5"/>
      <c r="Z183" s="218"/>
      <c r="AA183" s="818"/>
      <c r="AE183" s="1405"/>
      <c r="AF183" s="1405"/>
      <c r="AG183" s="1405"/>
      <c r="AH183" s="1405"/>
      <c r="AI183" s="1405"/>
      <c r="AJ183" s="1405"/>
      <c r="AK183" s="1405"/>
      <c r="AL183" s="1405"/>
      <c r="AM183" s="1405"/>
      <c r="AN183" s="1405"/>
      <c r="AO183" s="1405"/>
      <c r="AP183" s="1405"/>
      <c r="AQ183" s="1405"/>
      <c r="AR183" s="1405"/>
      <c r="AS183" s="1405"/>
      <c r="AT183" s="1405"/>
      <c r="AU183" s="1405"/>
      <c r="AV183" s="1405"/>
    </row>
    <row r="184" spans="1:48" s="613" customFormat="1">
      <c r="A184" s="53"/>
      <c r="B184" s="1841" t="s">
        <v>2599</v>
      </c>
      <c r="C184" s="1842">
        <v>1</v>
      </c>
      <c r="D184" s="1842">
        <v>4</v>
      </c>
      <c r="E184" s="1841" t="s">
        <v>102</v>
      </c>
      <c r="F184" s="1841" t="s">
        <v>102</v>
      </c>
      <c r="G184" s="1843">
        <v>3.8899999999999997E-2</v>
      </c>
      <c r="H184" s="1778">
        <v>25.27</v>
      </c>
      <c r="I184" s="1778" t="s">
        <v>634</v>
      </c>
      <c r="J184" s="1778">
        <v>22.13</v>
      </c>
      <c r="K184" s="1778">
        <v>127.69</v>
      </c>
      <c r="L184" s="1778">
        <v>10.64</v>
      </c>
      <c r="M184" s="1778">
        <v>21.28</v>
      </c>
      <c r="N184" s="1778">
        <v>19.3</v>
      </c>
      <c r="O184" s="1778">
        <v>221.33</v>
      </c>
      <c r="P184" s="1778">
        <v>9.2200000000000006</v>
      </c>
      <c r="Q184" s="1778">
        <v>18.440000000000001</v>
      </c>
      <c r="R184" s="1778">
        <v>16.739999999999998</v>
      </c>
      <c r="S184" s="1778">
        <v>280.91000000000003</v>
      </c>
      <c r="T184" s="1778">
        <v>7.8</v>
      </c>
      <c r="U184" s="1778">
        <v>15.61</v>
      </c>
      <c r="V184" s="1846">
        <v>0</v>
      </c>
      <c r="W184" s="93"/>
      <c r="X184" s="1190"/>
      <c r="Y184" s="5"/>
      <c r="Z184" s="218"/>
      <c r="AA184" s="818"/>
      <c r="AE184" s="1405"/>
      <c r="AF184" s="1405"/>
      <c r="AG184" s="1405"/>
      <c r="AH184" s="1405"/>
      <c r="AI184" s="1405"/>
      <c r="AJ184" s="1405"/>
      <c r="AK184" s="1405"/>
      <c r="AL184" s="1405"/>
      <c r="AM184" s="1405"/>
      <c r="AN184" s="1405"/>
      <c r="AO184" s="1405"/>
      <c r="AP184" s="1405"/>
      <c r="AQ184" s="1405"/>
      <c r="AR184" s="1405"/>
      <c r="AS184" s="1405"/>
      <c r="AT184" s="1405"/>
      <c r="AU184" s="1405"/>
      <c r="AV184" s="1405"/>
    </row>
    <row r="185" spans="1:48" s="613" customFormat="1">
      <c r="A185" s="53"/>
      <c r="B185" s="1841" t="s">
        <v>2600</v>
      </c>
      <c r="C185" s="1842">
        <v>2</v>
      </c>
      <c r="D185" s="1842">
        <v>8</v>
      </c>
      <c r="E185" s="1841" t="s">
        <v>102</v>
      </c>
      <c r="F185" s="1841" t="s">
        <v>102</v>
      </c>
      <c r="G185" s="1843">
        <v>9.1499999999999998E-2</v>
      </c>
      <c r="H185" s="1778">
        <v>59.5</v>
      </c>
      <c r="I185" s="1778" t="s">
        <v>634</v>
      </c>
      <c r="J185" s="1778">
        <v>52.12</v>
      </c>
      <c r="K185" s="1778">
        <v>300.70999999999998</v>
      </c>
      <c r="L185" s="1778">
        <v>25.06</v>
      </c>
      <c r="M185" s="1778">
        <v>50.12</v>
      </c>
      <c r="N185" s="1778">
        <v>45.44</v>
      </c>
      <c r="O185" s="1778">
        <v>521.23</v>
      </c>
      <c r="P185" s="1778">
        <v>21.72</v>
      </c>
      <c r="Q185" s="1778">
        <v>43.44</v>
      </c>
      <c r="R185" s="1778">
        <v>39.43</v>
      </c>
      <c r="S185" s="1778">
        <v>661.56</v>
      </c>
      <c r="T185" s="1778">
        <v>18.38</v>
      </c>
      <c r="U185" s="1778">
        <v>36.75</v>
      </c>
      <c r="V185" s="1846">
        <v>0</v>
      </c>
      <c r="W185" s="93"/>
      <c r="X185" s="1190"/>
      <c r="Y185" s="5"/>
      <c r="Z185" s="218"/>
      <c r="AA185" s="818"/>
      <c r="AE185" s="1405"/>
      <c r="AF185" s="1405"/>
      <c r="AG185" s="1405"/>
      <c r="AH185" s="1405"/>
      <c r="AI185" s="1405"/>
      <c r="AJ185" s="1405"/>
      <c r="AK185" s="1405"/>
      <c r="AL185" s="1405"/>
      <c r="AM185" s="1405"/>
      <c r="AN185" s="1405"/>
      <c r="AO185" s="1405"/>
      <c r="AP185" s="1405"/>
      <c r="AQ185" s="1405"/>
      <c r="AR185" s="1405"/>
      <c r="AS185" s="1405"/>
      <c r="AT185" s="1405"/>
      <c r="AU185" s="1405"/>
      <c r="AV185" s="1405"/>
    </row>
    <row r="186" spans="1:48" s="613" customFormat="1">
      <c r="A186" s="53"/>
      <c r="B186" s="1841" t="s">
        <v>2601</v>
      </c>
      <c r="C186" s="1842">
        <v>4</v>
      </c>
      <c r="D186" s="1842">
        <v>16</v>
      </c>
      <c r="E186" s="1841" t="s">
        <v>102</v>
      </c>
      <c r="F186" s="1841" t="s">
        <v>102</v>
      </c>
      <c r="G186" s="1843">
        <v>0.18310000000000001</v>
      </c>
      <c r="H186" s="1778">
        <v>119</v>
      </c>
      <c r="I186" s="1778" t="s">
        <v>634</v>
      </c>
      <c r="J186" s="1778">
        <v>104.25</v>
      </c>
      <c r="K186" s="1778">
        <v>601.41999999999996</v>
      </c>
      <c r="L186" s="1778">
        <v>50.12</v>
      </c>
      <c r="M186" s="1778">
        <v>100.24</v>
      </c>
      <c r="N186" s="1778">
        <v>90.88</v>
      </c>
      <c r="O186" s="1778">
        <v>1042.46</v>
      </c>
      <c r="P186" s="1778">
        <v>43.44</v>
      </c>
      <c r="Q186" s="1778">
        <v>86.87</v>
      </c>
      <c r="R186" s="1778">
        <v>78.849999999999994</v>
      </c>
      <c r="S186" s="1778">
        <v>1323.12</v>
      </c>
      <c r="T186" s="1778">
        <v>36.75</v>
      </c>
      <c r="U186" s="1778">
        <v>73.510000000000005</v>
      </c>
      <c r="V186" s="1846">
        <v>0</v>
      </c>
      <c r="W186" s="93"/>
      <c r="X186" s="1190"/>
      <c r="Y186" s="5"/>
      <c r="Z186" s="218"/>
      <c r="AA186" s="818"/>
      <c r="AE186" s="1405"/>
      <c r="AF186" s="1405"/>
      <c r="AG186" s="1405"/>
      <c r="AH186" s="1405"/>
      <c r="AI186" s="1405"/>
      <c r="AJ186" s="1405"/>
      <c r="AK186" s="1405"/>
      <c r="AL186" s="1405"/>
      <c r="AM186" s="1405"/>
      <c r="AN186" s="1405"/>
      <c r="AO186" s="1405"/>
      <c r="AP186" s="1405"/>
      <c r="AQ186" s="1405"/>
      <c r="AR186" s="1405"/>
      <c r="AS186" s="1405"/>
      <c r="AT186" s="1405"/>
      <c r="AU186" s="1405"/>
      <c r="AV186" s="1405"/>
    </row>
    <row r="187" spans="1:48" s="613" customFormat="1">
      <c r="A187" s="53"/>
      <c r="B187" s="1841" t="s">
        <v>2602</v>
      </c>
      <c r="C187" s="1842">
        <v>8</v>
      </c>
      <c r="D187" s="1842">
        <v>32</v>
      </c>
      <c r="E187" s="1841" t="s">
        <v>102</v>
      </c>
      <c r="F187" s="1841" t="s">
        <v>102</v>
      </c>
      <c r="G187" s="1843">
        <v>0.36620000000000003</v>
      </c>
      <c r="H187" s="1778">
        <v>238</v>
      </c>
      <c r="I187" s="1778" t="s">
        <v>634</v>
      </c>
      <c r="J187" s="1778">
        <v>208.49</v>
      </c>
      <c r="K187" s="1778">
        <v>1202.8399999999999</v>
      </c>
      <c r="L187" s="1778">
        <v>100.24</v>
      </c>
      <c r="M187" s="1778">
        <v>200.47</v>
      </c>
      <c r="N187" s="1778">
        <v>181.76</v>
      </c>
      <c r="O187" s="1778">
        <v>2084.92</v>
      </c>
      <c r="P187" s="1778">
        <v>86.87</v>
      </c>
      <c r="Q187" s="1778">
        <v>173.74</v>
      </c>
      <c r="R187" s="1778">
        <v>157.71</v>
      </c>
      <c r="S187" s="1778">
        <v>2646.24</v>
      </c>
      <c r="T187" s="1778">
        <v>73.510000000000005</v>
      </c>
      <c r="U187" s="1778">
        <v>147.01</v>
      </c>
      <c r="V187" s="1846">
        <v>0</v>
      </c>
      <c r="W187" s="93"/>
      <c r="X187" s="1190"/>
      <c r="Y187" s="5"/>
      <c r="Z187" s="218"/>
      <c r="AA187" s="818"/>
      <c r="AE187" s="1405"/>
      <c r="AF187" s="1405"/>
      <c r="AG187" s="1405"/>
      <c r="AH187" s="1405"/>
      <c r="AI187" s="1405"/>
      <c r="AJ187" s="1405"/>
      <c r="AK187" s="1405"/>
      <c r="AL187" s="1405"/>
      <c r="AM187" s="1405"/>
      <c r="AN187" s="1405"/>
      <c r="AO187" s="1405"/>
      <c r="AP187" s="1405"/>
      <c r="AQ187" s="1405"/>
      <c r="AR187" s="1405"/>
      <c r="AS187" s="1405"/>
      <c r="AT187" s="1405"/>
      <c r="AU187" s="1405"/>
      <c r="AV187" s="1405"/>
    </row>
    <row r="188" spans="1:48" s="613" customFormat="1">
      <c r="A188" s="53"/>
      <c r="B188" s="1841" t="s">
        <v>2603</v>
      </c>
      <c r="C188" s="1842">
        <v>16</v>
      </c>
      <c r="D188" s="1842">
        <v>64</v>
      </c>
      <c r="E188" s="1841" t="s">
        <v>102</v>
      </c>
      <c r="F188" s="1841" t="s">
        <v>102</v>
      </c>
      <c r="G188" s="1843">
        <v>0.73229999999999995</v>
      </c>
      <c r="H188" s="1778">
        <v>476.01</v>
      </c>
      <c r="I188" s="1778" t="s">
        <v>634</v>
      </c>
      <c r="J188" s="1778">
        <v>416.98</v>
      </c>
      <c r="K188" s="1778">
        <v>2405.67</v>
      </c>
      <c r="L188" s="1778">
        <v>200.47</v>
      </c>
      <c r="M188" s="1778">
        <v>400.95</v>
      </c>
      <c r="N188" s="1778">
        <v>363.52</v>
      </c>
      <c r="O188" s="1778">
        <v>4169.83</v>
      </c>
      <c r="P188" s="1778">
        <v>173.74</v>
      </c>
      <c r="Q188" s="1778">
        <v>347.49</v>
      </c>
      <c r="R188" s="1778">
        <v>315.41000000000003</v>
      </c>
      <c r="S188" s="1778">
        <v>5292.48</v>
      </c>
      <c r="T188" s="1778">
        <v>147.01</v>
      </c>
      <c r="U188" s="1778">
        <v>294.02999999999997</v>
      </c>
      <c r="V188" s="1846">
        <v>0</v>
      </c>
      <c r="W188" s="93"/>
      <c r="X188" s="1190"/>
      <c r="Y188" s="5"/>
      <c r="Z188" s="218"/>
      <c r="AA188" s="818"/>
      <c r="AE188" s="1405"/>
      <c r="AF188" s="1405"/>
      <c r="AG188" s="1405"/>
      <c r="AH188" s="1405"/>
      <c r="AI188" s="1405"/>
      <c r="AJ188" s="1405"/>
      <c r="AK188" s="1405"/>
      <c r="AL188" s="1405"/>
      <c r="AM188" s="1405"/>
      <c r="AN188" s="1405"/>
      <c r="AO188" s="1405"/>
      <c r="AP188" s="1405"/>
      <c r="AQ188" s="1405"/>
      <c r="AR188" s="1405"/>
      <c r="AS188" s="1405"/>
      <c r="AT188" s="1405"/>
      <c r="AU188" s="1405"/>
      <c r="AV188" s="1405"/>
    </row>
    <row r="189" spans="1:48" s="613" customFormat="1">
      <c r="A189" s="53"/>
      <c r="B189" s="1841" t="s">
        <v>2604</v>
      </c>
      <c r="C189" s="1842">
        <v>1</v>
      </c>
      <c r="D189" s="1842">
        <v>1</v>
      </c>
      <c r="E189" s="1841" t="s">
        <v>102</v>
      </c>
      <c r="F189" s="1841" t="s">
        <v>102</v>
      </c>
      <c r="G189" s="1843">
        <v>1.5299999999999999E-2</v>
      </c>
      <c r="H189" s="1778">
        <v>9.94</v>
      </c>
      <c r="I189" s="1778" t="s">
        <v>634</v>
      </c>
      <c r="J189" s="1778">
        <v>8.7100000000000009</v>
      </c>
      <c r="K189" s="1778">
        <v>50.24</v>
      </c>
      <c r="L189" s="1778">
        <v>4.1900000000000004</v>
      </c>
      <c r="M189" s="1778">
        <v>8.3699999999999992</v>
      </c>
      <c r="N189" s="1778">
        <v>7.59</v>
      </c>
      <c r="O189" s="1778">
        <v>87.09</v>
      </c>
      <c r="P189" s="1778">
        <v>3.63</v>
      </c>
      <c r="Q189" s="1778">
        <v>7.26</v>
      </c>
      <c r="R189" s="1778">
        <v>6.59</v>
      </c>
      <c r="S189" s="1778">
        <v>110.54</v>
      </c>
      <c r="T189" s="1778">
        <v>3.07</v>
      </c>
      <c r="U189" s="1778">
        <v>6.14</v>
      </c>
      <c r="V189" s="1846">
        <v>0</v>
      </c>
      <c r="W189" s="93"/>
      <c r="X189" s="1190"/>
      <c r="Y189" s="5"/>
      <c r="Z189" s="218"/>
      <c r="AA189" s="818"/>
      <c r="AE189" s="1405"/>
      <c r="AF189" s="1405"/>
      <c r="AG189" s="1405"/>
      <c r="AH189" s="1405"/>
      <c r="AI189" s="1405"/>
      <c r="AJ189" s="1405"/>
      <c r="AK189" s="1405"/>
      <c r="AL189" s="1405"/>
      <c r="AM189" s="1405"/>
      <c r="AN189" s="1405"/>
      <c r="AO189" s="1405"/>
      <c r="AP189" s="1405"/>
      <c r="AQ189" s="1405"/>
      <c r="AR189" s="1405"/>
      <c r="AS189" s="1405"/>
      <c r="AT189" s="1405"/>
      <c r="AU189" s="1405"/>
      <c r="AV189" s="1405"/>
    </row>
    <row r="190" spans="1:48" s="613" customFormat="1">
      <c r="A190" s="53"/>
      <c r="B190" s="1841" t="s">
        <v>2605</v>
      </c>
      <c r="C190" s="1842">
        <v>1</v>
      </c>
      <c r="D190" s="1842">
        <v>2</v>
      </c>
      <c r="E190" s="1841" t="s">
        <v>102</v>
      </c>
      <c r="F190" s="1841" t="s">
        <v>102</v>
      </c>
      <c r="G190" s="1843">
        <v>3.0599999999999999E-2</v>
      </c>
      <c r="H190" s="1778">
        <v>19.88</v>
      </c>
      <c r="I190" s="1778" t="s">
        <v>634</v>
      </c>
      <c r="J190" s="1778">
        <v>17.420000000000002</v>
      </c>
      <c r="K190" s="1778">
        <v>100.49</v>
      </c>
      <c r="L190" s="1778">
        <v>8.3699999999999992</v>
      </c>
      <c r="M190" s="1778">
        <v>16.75</v>
      </c>
      <c r="N190" s="1778">
        <v>15.18</v>
      </c>
      <c r="O190" s="1778">
        <v>174.18</v>
      </c>
      <c r="P190" s="1778">
        <v>7.26</v>
      </c>
      <c r="Q190" s="1778">
        <v>14.51</v>
      </c>
      <c r="R190" s="1778">
        <v>13.18</v>
      </c>
      <c r="S190" s="1778">
        <v>221.07</v>
      </c>
      <c r="T190" s="1778">
        <v>6.14</v>
      </c>
      <c r="U190" s="1778">
        <v>12.28</v>
      </c>
      <c r="V190" s="1846">
        <v>0</v>
      </c>
      <c r="W190" s="93"/>
      <c r="X190" s="1190"/>
      <c r="Y190" s="5"/>
      <c r="Z190" s="218"/>
      <c r="AA190" s="818"/>
      <c r="AE190" s="1405"/>
      <c r="AF190" s="1405"/>
      <c r="AG190" s="1405"/>
      <c r="AH190" s="1405"/>
      <c r="AI190" s="1405"/>
      <c r="AJ190" s="1405"/>
      <c r="AK190" s="1405"/>
      <c r="AL190" s="1405"/>
      <c r="AM190" s="1405"/>
      <c r="AN190" s="1405"/>
      <c r="AO190" s="1405"/>
      <c r="AP190" s="1405"/>
      <c r="AQ190" s="1405"/>
      <c r="AR190" s="1405"/>
      <c r="AS190" s="1405"/>
      <c r="AT190" s="1405"/>
      <c r="AU190" s="1405"/>
      <c r="AV190" s="1405"/>
    </row>
    <row r="191" spans="1:48" s="613" customFormat="1">
      <c r="A191" s="53"/>
      <c r="B191" s="1841" t="s">
        <v>2394</v>
      </c>
      <c r="C191" s="1842">
        <v>2</v>
      </c>
      <c r="D191" s="1842">
        <v>4</v>
      </c>
      <c r="E191" s="1841" t="s">
        <v>102</v>
      </c>
      <c r="F191" s="1841" t="s">
        <v>102</v>
      </c>
      <c r="G191" s="1843">
        <v>7.9000000000000001E-2</v>
      </c>
      <c r="H191" s="1778">
        <v>51.35</v>
      </c>
      <c r="I191" s="1778" t="s">
        <v>634</v>
      </c>
      <c r="J191" s="1778">
        <v>44.99</v>
      </c>
      <c r="K191" s="1778">
        <v>259.52999999999997</v>
      </c>
      <c r="L191" s="1778">
        <v>21.63</v>
      </c>
      <c r="M191" s="1778">
        <v>43.26</v>
      </c>
      <c r="N191" s="1778">
        <v>39.22</v>
      </c>
      <c r="O191" s="1778">
        <v>449.85</v>
      </c>
      <c r="P191" s="1778">
        <v>18.739999999999998</v>
      </c>
      <c r="Q191" s="1778">
        <v>37.49</v>
      </c>
      <c r="R191" s="1778">
        <v>34.03</v>
      </c>
      <c r="S191" s="1778">
        <v>570.97</v>
      </c>
      <c r="T191" s="1778">
        <v>15.86</v>
      </c>
      <c r="U191" s="1778">
        <v>31.72</v>
      </c>
      <c r="V191" s="1846">
        <v>0</v>
      </c>
      <c r="W191" s="93"/>
      <c r="X191" s="1190"/>
      <c r="Y191" s="5"/>
      <c r="Z191" s="218"/>
      <c r="AA191" s="818"/>
      <c r="AE191" s="1405"/>
      <c r="AF191" s="1405"/>
      <c r="AG191" s="1405"/>
      <c r="AH191" s="1405"/>
      <c r="AI191" s="1405"/>
      <c r="AJ191" s="1405"/>
      <c r="AK191" s="1405"/>
      <c r="AL191" s="1405"/>
      <c r="AM191" s="1405"/>
      <c r="AN191" s="1405"/>
      <c r="AO191" s="1405"/>
      <c r="AP191" s="1405"/>
      <c r="AQ191" s="1405"/>
      <c r="AR191" s="1405"/>
      <c r="AS191" s="1405"/>
      <c r="AT191" s="1405"/>
      <c r="AU191" s="1405"/>
      <c r="AV191" s="1405"/>
    </row>
    <row r="192" spans="1:48" s="613" customFormat="1">
      <c r="A192" s="53"/>
      <c r="B192" s="1841" t="s">
        <v>2395</v>
      </c>
      <c r="C192" s="1842">
        <v>4</v>
      </c>
      <c r="D192" s="1842">
        <v>8</v>
      </c>
      <c r="E192" s="1841" t="s">
        <v>102</v>
      </c>
      <c r="F192" s="1841" t="s">
        <v>102</v>
      </c>
      <c r="G192" s="1843">
        <v>0.15809999999999999</v>
      </c>
      <c r="H192" s="1778">
        <v>102.78</v>
      </c>
      <c r="I192" s="1778" t="s">
        <v>634</v>
      </c>
      <c r="J192" s="1778">
        <v>90.04</v>
      </c>
      <c r="K192" s="1778">
        <v>519.44000000000005</v>
      </c>
      <c r="L192" s="1778">
        <v>43.29</v>
      </c>
      <c r="M192" s="1778">
        <v>86.57</v>
      </c>
      <c r="N192" s="1778">
        <v>78.489999999999995</v>
      </c>
      <c r="O192" s="1778">
        <v>900.36</v>
      </c>
      <c r="P192" s="1778">
        <v>37.520000000000003</v>
      </c>
      <c r="Q192" s="1778">
        <v>75.03</v>
      </c>
      <c r="R192" s="1778">
        <v>68.099999999999994</v>
      </c>
      <c r="S192" s="1778">
        <v>1142.77</v>
      </c>
      <c r="T192" s="1778">
        <v>31.74</v>
      </c>
      <c r="U192" s="1778">
        <v>63.49</v>
      </c>
      <c r="V192" s="1846">
        <v>0</v>
      </c>
      <c r="W192" s="93"/>
      <c r="X192" s="1190"/>
      <c r="Y192" s="5"/>
      <c r="Z192" s="218"/>
      <c r="AA192" s="818"/>
      <c r="AE192" s="1405"/>
      <c r="AF192" s="1405"/>
      <c r="AG192" s="1405"/>
      <c r="AH192" s="1405"/>
      <c r="AI192" s="1405"/>
      <c r="AJ192" s="1405"/>
      <c r="AK192" s="1405"/>
      <c r="AL192" s="1405"/>
      <c r="AM192" s="1405"/>
      <c r="AN192" s="1405"/>
      <c r="AO192" s="1405"/>
      <c r="AP192" s="1405"/>
      <c r="AQ192" s="1405"/>
      <c r="AR192" s="1405"/>
      <c r="AS192" s="1405"/>
      <c r="AT192" s="1405"/>
      <c r="AU192" s="1405"/>
      <c r="AV192" s="1405"/>
    </row>
    <row r="193" spans="1:48" s="613" customFormat="1">
      <c r="A193" s="53"/>
      <c r="B193" s="1841" t="s">
        <v>2396</v>
      </c>
      <c r="C193" s="1842">
        <v>8</v>
      </c>
      <c r="D193" s="1842">
        <v>16</v>
      </c>
      <c r="E193" s="1841" t="s">
        <v>102</v>
      </c>
      <c r="F193" s="1841" t="s">
        <v>102</v>
      </c>
      <c r="G193" s="1843">
        <v>0.31640000000000001</v>
      </c>
      <c r="H193" s="1778">
        <v>205.64</v>
      </c>
      <c r="I193" s="1778" t="s">
        <v>634</v>
      </c>
      <c r="J193" s="1778">
        <v>180.14</v>
      </c>
      <c r="K193" s="1778">
        <v>1039.26</v>
      </c>
      <c r="L193" s="1778">
        <v>86.6</v>
      </c>
      <c r="M193" s="1778">
        <v>173.21</v>
      </c>
      <c r="N193" s="1778">
        <v>157.04</v>
      </c>
      <c r="O193" s="1778">
        <v>1801.38</v>
      </c>
      <c r="P193" s="1778">
        <v>75.06</v>
      </c>
      <c r="Q193" s="1778">
        <v>150.12</v>
      </c>
      <c r="R193" s="1778">
        <v>136.26</v>
      </c>
      <c r="S193" s="1778">
        <v>2286.37</v>
      </c>
      <c r="T193" s="1778">
        <v>63.51</v>
      </c>
      <c r="U193" s="1778">
        <v>127.02</v>
      </c>
      <c r="V193" s="1846">
        <v>0</v>
      </c>
      <c r="W193" s="93"/>
      <c r="X193" s="1190"/>
      <c r="Y193" s="5"/>
      <c r="Z193" s="218"/>
      <c r="AA193" s="818"/>
      <c r="AE193" s="1405"/>
      <c r="AF193" s="1405"/>
      <c r="AG193" s="1405"/>
      <c r="AH193" s="1405"/>
      <c r="AI193" s="1405"/>
      <c r="AJ193" s="1405"/>
      <c r="AK193" s="1405"/>
      <c r="AL193" s="1405"/>
      <c r="AM193" s="1405"/>
      <c r="AN193" s="1405"/>
      <c r="AO193" s="1405"/>
      <c r="AP193" s="1405"/>
      <c r="AQ193" s="1405"/>
      <c r="AR193" s="1405"/>
      <c r="AS193" s="1405"/>
      <c r="AT193" s="1405"/>
      <c r="AU193" s="1405"/>
      <c r="AV193" s="1405"/>
    </row>
    <row r="194" spans="1:48" s="613" customFormat="1">
      <c r="A194" s="53"/>
      <c r="B194" s="1841" t="s">
        <v>2393</v>
      </c>
      <c r="C194" s="1842">
        <v>16</v>
      </c>
      <c r="D194" s="1842">
        <v>32</v>
      </c>
      <c r="E194" s="1841" t="s">
        <v>102</v>
      </c>
      <c r="F194" s="1841" t="s">
        <v>102</v>
      </c>
      <c r="G194" s="1843">
        <v>0.63280000000000003</v>
      </c>
      <c r="H194" s="1778">
        <v>411.35</v>
      </c>
      <c r="I194" s="1778" t="s">
        <v>634</v>
      </c>
      <c r="J194" s="1778">
        <v>360.34</v>
      </c>
      <c r="K194" s="1778">
        <v>2078.9</v>
      </c>
      <c r="L194" s="1778">
        <v>173.24</v>
      </c>
      <c r="M194" s="1778">
        <v>346.48</v>
      </c>
      <c r="N194" s="1778">
        <v>314.14</v>
      </c>
      <c r="O194" s="1778">
        <v>3603.42</v>
      </c>
      <c r="P194" s="1778">
        <v>150.13999999999999</v>
      </c>
      <c r="Q194" s="1778">
        <v>300.27999999999997</v>
      </c>
      <c r="R194" s="1778">
        <v>272.57</v>
      </c>
      <c r="S194" s="1778">
        <v>4573.57</v>
      </c>
      <c r="T194" s="1778">
        <v>127.04</v>
      </c>
      <c r="U194" s="1778">
        <v>254.09</v>
      </c>
      <c r="V194" s="1846">
        <v>0</v>
      </c>
      <c r="W194" s="93"/>
      <c r="X194" s="1190"/>
      <c r="Y194" s="5"/>
      <c r="Z194" s="218"/>
      <c r="AA194" s="818"/>
      <c r="AE194" s="1405"/>
      <c r="AF194" s="1405"/>
      <c r="AG194" s="1405"/>
      <c r="AH194" s="1405"/>
      <c r="AI194" s="1405"/>
      <c r="AJ194" s="1405"/>
      <c r="AK194" s="1405"/>
      <c r="AL194" s="1405"/>
      <c r="AM194" s="1405"/>
      <c r="AN194" s="1405"/>
      <c r="AO194" s="1405"/>
      <c r="AP194" s="1405"/>
      <c r="AQ194" s="1405"/>
      <c r="AR194" s="1405"/>
      <c r="AS194" s="1405"/>
      <c r="AT194" s="1405"/>
      <c r="AU194" s="1405"/>
      <c r="AV194" s="1405"/>
    </row>
    <row r="195" spans="1:48" s="613" customFormat="1">
      <c r="A195" s="53"/>
      <c r="B195" s="1841" t="s">
        <v>2606</v>
      </c>
      <c r="C195" s="1842">
        <v>1</v>
      </c>
      <c r="D195" s="1842">
        <v>4</v>
      </c>
      <c r="E195" s="1841" t="s">
        <v>102</v>
      </c>
      <c r="F195" s="1841" t="s">
        <v>102</v>
      </c>
      <c r="G195" s="1843">
        <v>3.9399999999999998E-2</v>
      </c>
      <c r="H195" s="1778">
        <v>25.64</v>
      </c>
      <c r="I195" s="1778" t="s">
        <v>634</v>
      </c>
      <c r="J195" s="1778">
        <v>22.46</v>
      </c>
      <c r="K195" s="1778">
        <v>129.58000000000001</v>
      </c>
      <c r="L195" s="1778">
        <v>10.8</v>
      </c>
      <c r="M195" s="1778">
        <v>21.6</v>
      </c>
      <c r="N195" s="1778">
        <v>19.579999999999998</v>
      </c>
      <c r="O195" s="1778">
        <v>224.6</v>
      </c>
      <c r="P195" s="1778">
        <v>9.36</v>
      </c>
      <c r="Q195" s="1778">
        <v>18.72</v>
      </c>
      <c r="R195" s="1778">
        <v>16.989999999999998</v>
      </c>
      <c r="S195" s="1778">
        <v>285.07</v>
      </c>
      <c r="T195" s="1778">
        <v>7.92</v>
      </c>
      <c r="U195" s="1778">
        <v>15.84</v>
      </c>
      <c r="V195" s="1846">
        <v>0</v>
      </c>
      <c r="W195" s="93"/>
      <c r="X195" s="1190"/>
      <c r="Y195" s="5"/>
      <c r="Z195" s="218"/>
      <c r="AA195" s="818"/>
      <c r="AE195" s="1405"/>
      <c r="AF195" s="1405"/>
      <c r="AG195" s="1405"/>
      <c r="AH195" s="1405"/>
      <c r="AI195" s="1405"/>
      <c r="AJ195" s="1405"/>
      <c r="AK195" s="1405"/>
      <c r="AL195" s="1405"/>
      <c r="AM195" s="1405"/>
      <c r="AN195" s="1405"/>
      <c r="AO195" s="1405"/>
      <c r="AP195" s="1405"/>
      <c r="AQ195" s="1405"/>
      <c r="AR195" s="1405"/>
      <c r="AS195" s="1405"/>
      <c r="AT195" s="1405"/>
      <c r="AU195" s="1405"/>
      <c r="AV195" s="1405"/>
    </row>
    <row r="196" spans="1:48" s="613" customFormat="1">
      <c r="A196" s="53"/>
      <c r="B196" s="1841" t="s">
        <v>2607</v>
      </c>
      <c r="C196" s="1842">
        <v>2</v>
      </c>
      <c r="D196" s="1842">
        <v>8</v>
      </c>
      <c r="E196" s="1841" t="s">
        <v>102</v>
      </c>
      <c r="F196" s="1841" t="s">
        <v>102</v>
      </c>
      <c r="G196" s="1843">
        <v>8.7900000000000006E-2</v>
      </c>
      <c r="H196" s="1778">
        <v>57.11</v>
      </c>
      <c r="I196" s="1778" t="s">
        <v>634</v>
      </c>
      <c r="J196" s="1778">
        <v>50.03</v>
      </c>
      <c r="K196" s="1778">
        <v>288.62</v>
      </c>
      <c r="L196" s="1778">
        <v>24.05</v>
      </c>
      <c r="M196" s="1778">
        <v>48.1</v>
      </c>
      <c r="N196" s="1778">
        <v>43.61</v>
      </c>
      <c r="O196" s="1778">
        <v>500.27</v>
      </c>
      <c r="P196" s="1778">
        <v>20.84</v>
      </c>
      <c r="Q196" s="1778">
        <v>41.69</v>
      </c>
      <c r="R196" s="1778">
        <v>37.840000000000003</v>
      </c>
      <c r="S196" s="1778">
        <v>634.96</v>
      </c>
      <c r="T196" s="1778">
        <v>17.64</v>
      </c>
      <c r="U196" s="1778">
        <v>35.28</v>
      </c>
      <c r="V196" s="1846">
        <v>0</v>
      </c>
      <c r="W196" s="93"/>
      <c r="X196" s="1190"/>
      <c r="Y196" s="5"/>
      <c r="Z196" s="218"/>
      <c r="AA196" s="818"/>
      <c r="AE196" s="1405"/>
      <c r="AF196" s="1405"/>
      <c r="AG196" s="1405"/>
      <c r="AH196" s="1405"/>
      <c r="AI196" s="1405"/>
      <c r="AJ196" s="1405"/>
      <c r="AK196" s="1405"/>
      <c r="AL196" s="1405"/>
      <c r="AM196" s="1405"/>
      <c r="AN196" s="1405"/>
      <c r="AO196" s="1405"/>
      <c r="AP196" s="1405"/>
      <c r="AQ196" s="1405"/>
      <c r="AR196" s="1405"/>
      <c r="AS196" s="1405"/>
      <c r="AT196" s="1405"/>
      <c r="AU196" s="1405"/>
      <c r="AV196" s="1405"/>
    </row>
    <row r="197" spans="1:48" s="613" customFormat="1">
      <c r="A197" s="53"/>
      <c r="B197" s="1841" t="s">
        <v>2366</v>
      </c>
      <c r="C197" s="1842">
        <v>4</v>
      </c>
      <c r="D197" s="1842">
        <v>16</v>
      </c>
      <c r="E197" s="1841" t="s">
        <v>102</v>
      </c>
      <c r="F197" s="1841" t="s">
        <v>102</v>
      </c>
      <c r="G197" s="1843">
        <v>0.17580000000000001</v>
      </c>
      <c r="H197" s="1778">
        <v>114.29</v>
      </c>
      <c r="I197" s="1778" t="s">
        <v>634</v>
      </c>
      <c r="J197" s="1778">
        <v>100.12</v>
      </c>
      <c r="K197" s="1778">
        <v>577.62</v>
      </c>
      <c r="L197" s="1778">
        <v>48.13</v>
      </c>
      <c r="M197" s="1778">
        <v>96.27</v>
      </c>
      <c r="N197" s="1778">
        <v>87.28</v>
      </c>
      <c r="O197" s="1778">
        <v>1001.2</v>
      </c>
      <c r="P197" s="1778">
        <v>41.72</v>
      </c>
      <c r="Q197" s="1778">
        <v>83.43</v>
      </c>
      <c r="R197" s="1778">
        <v>75.73</v>
      </c>
      <c r="S197" s="1778">
        <v>1270.76</v>
      </c>
      <c r="T197" s="1778">
        <v>35.299999999999997</v>
      </c>
      <c r="U197" s="1778">
        <v>70.599999999999994</v>
      </c>
      <c r="V197" s="1846">
        <v>0</v>
      </c>
      <c r="W197" s="93"/>
      <c r="X197" s="1190"/>
      <c r="Y197" s="5"/>
      <c r="Z197" s="218"/>
      <c r="AA197" s="818"/>
      <c r="AE197" s="1405"/>
      <c r="AF197" s="1405"/>
      <c r="AG197" s="1405"/>
      <c r="AH197" s="1405"/>
      <c r="AI197" s="1405"/>
      <c r="AJ197" s="1405"/>
      <c r="AK197" s="1405"/>
      <c r="AL197" s="1405"/>
      <c r="AM197" s="1405"/>
      <c r="AN197" s="1405"/>
      <c r="AO197" s="1405"/>
      <c r="AP197" s="1405"/>
      <c r="AQ197" s="1405"/>
      <c r="AR197" s="1405"/>
      <c r="AS197" s="1405"/>
      <c r="AT197" s="1405"/>
      <c r="AU197" s="1405"/>
      <c r="AV197" s="1405"/>
    </row>
    <row r="198" spans="1:48" s="613" customFormat="1">
      <c r="A198" s="53"/>
      <c r="B198" s="1841" t="s">
        <v>2367</v>
      </c>
      <c r="C198" s="1842">
        <v>8</v>
      </c>
      <c r="D198" s="1842">
        <v>32</v>
      </c>
      <c r="E198" s="1841" t="s">
        <v>102</v>
      </c>
      <c r="F198" s="1841" t="s">
        <v>102</v>
      </c>
      <c r="G198" s="1843">
        <v>0.35170000000000001</v>
      </c>
      <c r="H198" s="1778">
        <v>228.59</v>
      </c>
      <c r="I198" s="1778" t="s">
        <v>634</v>
      </c>
      <c r="J198" s="1778">
        <v>200.24</v>
      </c>
      <c r="K198" s="1778">
        <v>1155.24</v>
      </c>
      <c r="L198" s="1778">
        <v>96.27</v>
      </c>
      <c r="M198" s="1778">
        <v>192.54</v>
      </c>
      <c r="N198" s="1778">
        <v>174.57</v>
      </c>
      <c r="O198" s="1778">
        <v>2002.41</v>
      </c>
      <c r="P198" s="1778">
        <v>83.43</v>
      </c>
      <c r="Q198" s="1778">
        <v>166.87</v>
      </c>
      <c r="R198" s="1778">
        <v>151.46</v>
      </c>
      <c r="S198" s="1778">
        <v>2541.52</v>
      </c>
      <c r="T198" s="1778">
        <v>70.599999999999994</v>
      </c>
      <c r="U198" s="1778">
        <v>141.19999999999999</v>
      </c>
      <c r="V198" s="1846">
        <v>0</v>
      </c>
      <c r="W198" s="93"/>
      <c r="X198" s="1190"/>
      <c r="Y198" s="5"/>
      <c r="Z198" s="218"/>
      <c r="AA198" s="818"/>
      <c r="AE198" s="1405"/>
      <c r="AF198" s="1405"/>
      <c r="AG198" s="1405"/>
      <c r="AH198" s="1405"/>
      <c r="AI198" s="1405"/>
      <c r="AJ198" s="1405"/>
      <c r="AK198" s="1405"/>
      <c r="AL198" s="1405"/>
      <c r="AM198" s="1405"/>
      <c r="AN198" s="1405"/>
      <c r="AO198" s="1405"/>
      <c r="AP198" s="1405"/>
      <c r="AQ198" s="1405"/>
      <c r="AR198" s="1405"/>
      <c r="AS198" s="1405"/>
      <c r="AT198" s="1405"/>
      <c r="AU198" s="1405"/>
      <c r="AV198" s="1405"/>
    </row>
    <row r="199" spans="1:48" s="613" customFormat="1">
      <c r="A199" s="53"/>
      <c r="B199" s="1841" t="s">
        <v>2368</v>
      </c>
      <c r="C199" s="1842">
        <v>16</v>
      </c>
      <c r="D199" s="1842">
        <v>64</v>
      </c>
      <c r="E199" s="1841" t="s">
        <v>102</v>
      </c>
      <c r="F199" s="1841" t="s">
        <v>102</v>
      </c>
      <c r="G199" s="1843">
        <v>0.70320000000000005</v>
      </c>
      <c r="H199" s="1778">
        <v>457.1</v>
      </c>
      <c r="I199" s="1778" t="s">
        <v>634</v>
      </c>
      <c r="J199" s="1778">
        <v>400.42</v>
      </c>
      <c r="K199" s="1778">
        <v>2310.09</v>
      </c>
      <c r="L199" s="1778">
        <v>192.51</v>
      </c>
      <c r="M199" s="1778">
        <v>385.02</v>
      </c>
      <c r="N199" s="1778">
        <v>349.08</v>
      </c>
      <c r="O199" s="1778">
        <v>4004.16</v>
      </c>
      <c r="P199" s="1778">
        <v>166.84</v>
      </c>
      <c r="Q199" s="1778">
        <v>333.68</v>
      </c>
      <c r="R199" s="1778">
        <v>302.88</v>
      </c>
      <c r="S199" s="1778">
        <v>5082.21</v>
      </c>
      <c r="T199" s="1778">
        <v>141.16999999999999</v>
      </c>
      <c r="U199" s="1778">
        <v>282.33999999999997</v>
      </c>
      <c r="V199" s="1846">
        <v>0</v>
      </c>
      <c r="W199" s="93"/>
      <c r="X199" s="1190"/>
      <c r="Y199" s="5"/>
      <c r="Z199" s="218"/>
      <c r="AA199" s="818"/>
      <c r="AE199" s="1405"/>
      <c r="AF199" s="1405"/>
      <c r="AG199" s="1405"/>
      <c r="AH199" s="1405"/>
      <c r="AI199" s="1405"/>
      <c r="AJ199" s="1405"/>
      <c r="AK199" s="1405"/>
      <c r="AL199" s="1405"/>
      <c r="AM199" s="1405"/>
      <c r="AN199" s="1405"/>
      <c r="AO199" s="1405"/>
      <c r="AP199" s="1405"/>
      <c r="AQ199" s="1405"/>
      <c r="AR199" s="1405"/>
      <c r="AS199" s="1405"/>
      <c r="AT199" s="1405"/>
      <c r="AU199" s="1405"/>
      <c r="AV199" s="1405"/>
    </row>
    <row r="200" spans="1:48" s="613" customFormat="1">
      <c r="A200" s="53"/>
      <c r="B200" s="1841" t="s">
        <v>2608</v>
      </c>
      <c r="C200" s="1842">
        <v>1</v>
      </c>
      <c r="D200" s="1842">
        <v>1</v>
      </c>
      <c r="E200" s="1841" t="s">
        <v>102</v>
      </c>
      <c r="F200" s="1841" t="s">
        <v>102</v>
      </c>
      <c r="G200" s="1843">
        <v>1.1299999999999999E-2</v>
      </c>
      <c r="H200" s="1778">
        <v>7.35</v>
      </c>
      <c r="I200" s="1778" t="s">
        <v>634</v>
      </c>
      <c r="J200" s="1778">
        <v>6.43</v>
      </c>
      <c r="K200" s="1778">
        <v>37.119999999999997</v>
      </c>
      <c r="L200" s="1778">
        <v>3.09</v>
      </c>
      <c r="M200" s="1778">
        <v>6.19</v>
      </c>
      <c r="N200" s="1778">
        <v>5.61</v>
      </c>
      <c r="O200" s="1778">
        <v>64.34</v>
      </c>
      <c r="P200" s="1778">
        <v>2.68</v>
      </c>
      <c r="Q200" s="1778">
        <v>5.36</v>
      </c>
      <c r="R200" s="1778">
        <v>4.87</v>
      </c>
      <c r="S200" s="1778">
        <v>81.67</v>
      </c>
      <c r="T200" s="1778">
        <v>2.27</v>
      </c>
      <c r="U200" s="1778">
        <v>4.54</v>
      </c>
      <c r="V200" s="1846">
        <v>0</v>
      </c>
      <c r="W200" s="93"/>
      <c r="X200" s="1190"/>
      <c r="Y200" s="5"/>
      <c r="Z200" s="218"/>
      <c r="AA200" s="818"/>
      <c r="AE200" s="1405"/>
      <c r="AF200" s="1405"/>
      <c r="AG200" s="1405"/>
      <c r="AH200" s="1405"/>
      <c r="AI200" s="1405"/>
      <c r="AJ200" s="1405"/>
      <c r="AK200" s="1405"/>
      <c r="AL200" s="1405"/>
      <c r="AM200" s="1405"/>
      <c r="AN200" s="1405"/>
      <c r="AO200" s="1405"/>
      <c r="AP200" s="1405"/>
      <c r="AQ200" s="1405"/>
      <c r="AR200" s="1405"/>
      <c r="AS200" s="1405"/>
      <c r="AT200" s="1405"/>
      <c r="AU200" s="1405"/>
      <c r="AV200" s="1405"/>
    </row>
    <row r="201" spans="1:48" s="593" customFormat="1">
      <c r="A201" s="679"/>
      <c r="B201" s="1841" t="s">
        <v>2609</v>
      </c>
      <c r="C201" s="1842">
        <v>1</v>
      </c>
      <c r="D201" s="1842">
        <v>2</v>
      </c>
      <c r="E201" s="1841" t="s">
        <v>102</v>
      </c>
      <c r="F201" s="1841" t="s">
        <v>102</v>
      </c>
      <c r="G201" s="1843">
        <v>2.2800000000000001E-2</v>
      </c>
      <c r="H201" s="1778">
        <v>14.82</v>
      </c>
      <c r="I201" s="1778" t="s">
        <v>634</v>
      </c>
      <c r="J201" s="1778">
        <v>12.98</v>
      </c>
      <c r="K201" s="1778">
        <v>74.900000000000006</v>
      </c>
      <c r="L201" s="1778">
        <v>6.24</v>
      </c>
      <c r="M201" s="1778">
        <v>12.48</v>
      </c>
      <c r="N201" s="1778">
        <v>11.32</v>
      </c>
      <c r="O201" s="1778">
        <v>129.82</v>
      </c>
      <c r="P201" s="1778">
        <v>5.41</v>
      </c>
      <c r="Q201" s="1778">
        <v>10.82</v>
      </c>
      <c r="R201" s="1778">
        <v>9.82</v>
      </c>
      <c r="S201" s="1778">
        <v>164.78</v>
      </c>
      <c r="T201" s="1778">
        <v>4.58</v>
      </c>
      <c r="U201" s="1778">
        <v>9.15</v>
      </c>
      <c r="V201" s="1846">
        <v>0</v>
      </c>
      <c r="W201" s="699"/>
      <c r="X201" s="699"/>
      <c r="Y201" s="305"/>
      <c r="Z201" s="730"/>
      <c r="AA201" s="295"/>
      <c r="AE201" s="1405"/>
      <c r="AF201" s="1405"/>
      <c r="AG201" s="1405"/>
      <c r="AH201" s="1405"/>
      <c r="AI201" s="1405"/>
      <c r="AJ201" s="1405"/>
      <c r="AK201" s="1405"/>
      <c r="AL201" s="1405"/>
      <c r="AM201" s="1405"/>
      <c r="AN201" s="1405"/>
      <c r="AO201" s="1405"/>
      <c r="AP201" s="1405"/>
      <c r="AQ201" s="1405"/>
      <c r="AR201" s="1405"/>
      <c r="AS201" s="1405"/>
      <c r="AT201" s="1405"/>
      <c r="AU201" s="1405"/>
      <c r="AV201" s="1405"/>
    </row>
    <row r="202" spans="1:48" s="613" customFormat="1">
      <c r="A202" s="53"/>
      <c r="B202" s="1841" t="s">
        <v>2610</v>
      </c>
      <c r="C202" s="1842">
        <v>2</v>
      </c>
      <c r="D202" s="1842">
        <v>4</v>
      </c>
      <c r="E202" s="1841" t="s">
        <v>102</v>
      </c>
      <c r="F202" s="1841" t="s">
        <v>102</v>
      </c>
      <c r="G202" s="1843">
        <v>4.7199999999999999E-2</v>
      </c>
      <c r="H202" s="1778">
        <v>30.68</v>
      </c>
      <c r="I202" s="1778" t="s">
        <v>634</v>
      </c>
      <c r="J202" s="1778" t="s">
        <v>634</v>
      </c>
      <c r="K202" s="1778" t="s">
        <v>634</v>
      </c>
      <c r="L202" s="1778" t="s">
        <v>634</v>
      </c>
      <c r="M202" s="1778" t="s">
        <v>634</v>
      </c>
      <c r="N202" s="1778" t="s">
        <v>634</v>
      </c>
      <c r="O202" s="1778" t="s">
        <v>634</v>
      </c>
      <c r="P202" s="1778" t="s">
        <v>634</v>
      </c>
      <c r="Q202" s="1778" t="s">
        <v>634</v>
      </c>
      <c r="R202" s="1778" t="s">
        <v>634</v>
      </c>
      <c r="S202" s="1778" t="s">
        <v>634</v>
      </c>
      <c r="T202" s="1778" t="s">
        <v>634</v>
      </c>
      <c r="U202" s="1778" t="s">
        <v>634</v>
      </c>
      <c r="V202" s="1778" t="s">
        <v>634</v>
      </c>
      <c r="W202" s="93"/>
      <c r="X202" s="1190"/>
      <c r="Y202" s="5"/>
      <c r="Z202" s="218"/>
      <c r="AA202" s="818"/>
      <c r="AE202" s="1405"/>
      <c r="AF202" s="1405"/>
      <c r="AG202" s="1405"/>
      <c r="AH202" s="1405"/>
      <c r="AI202" s="1405"/>
      <c r="AJ202" s="1405"/>
      <c r="AK202" s="1405"/>
      <c r="AL202" s="1405"/>
      <c r="AM202" s="1405"/>
      <c r="AN202" s="1405"/>
      <c r="AO202" s="1405"/>
      <c r="AP202" s="1405"/>
      <c r="AQ202" s="1405"/>
      <c r="AR202" s="1405"/>
      <c r="AS202" s="1405"/>
      <c r="AT202" s="1405"/>
      <c r="AU202" s="1405"/>
      <c r="AV202" s="1405"/>
    </row>
    <row r="203" spans="1:48" s="613" customFormat="1">
      <c r="A203" s="53"/>
      <c r="B203" s="1841" t="s">
        <v>2611</v>
      </c>
      <c r="C203" s="1842">
        <v>4</v>
      </c>
      <c r="D203" s="1842">
        <v>8</v>
      </c>
      <c r="E203" s="1841" t="s">
        <v>102</v>
      </c>
      <c r="F203" s="1841" t="s">
        <v>102</v>
      </c>
      <c r="G203" s="1843">
        <v>0.13439999999999999</v>
      </c>
      <c r="H203" s="1778">
        <v>87.36</v>
      </c>
      <c r="I203" s="1778" t="s">
        <v>634</v>
      </c>
      <c r="J203" s="1778" t="s">
        <v>634</v>
      </c>
      <c r="K203" s="1778" t="s">
        <v>634</v>
      </c>
      <c r="L203" s="1778" t="s">
        <v>634</v>
      </c>
      <c r="M203" s="1778" t="s">
        <v>634</v>
      </c>
      <c r="N203" s="1778" t="s">
        <v>634</v>
      </c>
      <c r="O203" s="1778" t="s">
        <v>634</v>
      </c>
      <c r="P203" s="1778" t="s">
        <v>634</v>
      </c>
      <c r="Q203" s="1778" t="s">
        <v>634</v>
      </c>
      <c r="R203" s="1778" t="s">
        <v>634</v>
      </c>
      <c r="S203" s="1778" t="s">
        <v>634</v>
      </c>
      <c r="T203" s="1778" t="s">
        <v>634</v>
      </c>
      <c r="U203" s="1778" t="s">
        <v>634</v>
      </c>
      <c r="V203" s="1778" t="s">
        <v>634</v>
      </c>
      <c r="W203" s="93"/>
      <c r="X203" s="1190"/>
      <c r="Y203" s="5"/>
      <c r="Z203" s="218"/>
      <c r="AA203" s="818"/>
      <c r="AE203" s="1405"/>
      <c r="AF203" s="1405"/>
      <c r="AG203" s="1405"/>
      <c r="AH203" s="1405"/>
      <c r="AI203" s="1405"/>
      <c r="AJ203" s="1405"/>
      <c r="AK203" s="1405"/>
      <c r="AL203" s="1405"/>
      <c r="AM203" s="1405"/>
      <c r="AN203" s="1405"/>
      <c r="AO203" s="1405"/>
      <c r="AP203" s="1405"/>
      <c r="AQ203" s="1405"/>
      <c r="AR203" s="1405"/>
      <c r="AS203" s="1405"/>
      <c r="AT203" s="1405"/>
      <c r="AU203" s="1405"/>
      <c r="AV203" s="1405"/>
    </row>
    <row r="204" spans="1:48" s="613" customFormat="1">
      <c r="A204" s="53"/>
      <c r="B204" s="1841" t="s">
        <v>2612</v>
      </c>
      <c r="C204" s="1842">
        <v>8</v>
      </c>
      <c r="D204" s="1842">
        <v>16</v>
      </c>
      <c r="E204" s="1841" t="s">
        <v>102</v>
      </c>
      <c r="F204" s="1841" t="s">
        <v>102</v>
      </c>
      <c r="G204" s="1843">
        <v>0.27239999999999998</v>
      </c>
      <c r="H204" s="1778">
        <v>177.06</v>
      </c>
      <c r="I204" s="1778" t="s">
        <v>634</v>
      </c>
      <c r="J204" s="1778" t="s">
        <v>634</v>
      </c>
      <c r="K204" s="1778" t="s">
        <v>634</v>
      </c>
      <c r="L204" s="1778" t="s">
        <v>634</v>
      </c>
      <c r="M204" s="1778" t="s">
        <v>634</v>
      </c>
      <c r="N204" s="1778" t="s">
        <v>634</v>
      </c>
      <c r="O204" s="1778" t="s">
        <v>634</v>
      </c>
      <c r="P204" s="1778" t="s">
        <v>634</v>
      </c>
      <c r="Q204" s="1778" t="s">
        <v>634</v>
      </c>
      <c r="R204" s="1778" t="s">
        <v>634</v>
      </c>
      <c r="S204" s="1778" t="s">
        <v>634</v>
      </c>
      <c r="T204" s="1778" t="s">
        <v>634</v>
      </c>
      <c r="U204" s="1778" t="s">
        <v>634</v>
      </c>
      <c r="V204" s="1778" t="s">
        <v>634</v>
      </c>
      <c r="W204" s="93"/>
      <c r="X204" s="1190"/>
      <c r="Y204" s="5"/>
      <c r="Z204" s="218"/>
      <c r="AA204" s="818"/>
      <c r="AE204" s="1405"/>
      <c r="AF204" s="1405"/>
      <c r="AG204" s="1405"/>
      <c r="AH204" s="1405"/>
      <c r="AI204" s="1405"/>
      <c r="AJ204" s="1405"/>
      <c r="AK204" s="1405"/>
      <c r="AL204" s="1405"/>
      <c r="AM204" s="1405"/>
      <c r="AN204" s="1405"/>
      <c r="AO204" s="1405"/>
      <c r="AP204" s="1405"/>
      <c r="AQ204" s="1405"/>
      <c r="AR204" s="1405"/>
      <c r="AS204" s="1405"/>
      <c r="AT204" s="1405"/>
      <c r="AU204" s="1405"/>
      <c r="AV204" s="1405"/>
    </row>
    <row r="205" spans="1:48" s="613" customFormat="1">
      <c r="A205" s="53"/>
      <c r="B205" s="1841" t="s">
        <v>2613</v>
      </c>
      <c r="C205" s="1842">
        <v>1</v>
      </c>
      <c r="D205" s="1842">
        <v>4</v>
      </c>
      <c r="E205" s="1841" t="s">
        <v>102</v>
      </c>
      <c r="F205" s="1841" t="s">
        <v>102</v>
      </c>
      <c r="G205" s="1843">
        <v>6.1600000000000002E-2</v>
      </c>
      <c r="H205" s="1778">
        <v>40.07</v>
      </c>
      <c r="I205" s="1778" t="s">
        <v>634</v>
      </c>
      <c r="J205" s="1778" t="s">
        <v>634</v>
      </c>
      <c r="K205" s="1778" t="s">
        <v>634</v>
      </c>
      <c r="L205" s="1778" t="s">
        <v>634</v>
      </c>
      <c r="M205" s="1778" t="s">
        <v>634</v>
      </c>
      <c r="N205" s="1778" t="s">
        <v>634</v>
      </c>
      <c r="O205" s="1778" t="s">
        <v>634</v>
      </c>
      <c r="P205" s="1778" t="s">
        <v>634</v>
      </c>
      <c r="Q205" s="1778" t="s">
        <v>634</v>
      </c>
      <c r="R205" s="1778" t="s">
        <v>634</v>
      </c>
      <c r="S205" s="1778" t="s">
        <v>634</v>
      </c>
      <c r="T205" s="1778" t="s">
        <v>634</v>
      </c>
      <c r="U205" s="1778" t="s">
        <v>634</v>
      </c>
      <c r="V205" s="1778" t="s">
        <v>634</v>
      </c>
      <c r="W205" s="93"/>
      <c r="X205" s="1190"/>
      <c r="Y205" s="5"/>
      <c r="Z205" s="218"/>
      <c r="AA205" s="818"/>
      <c r="AE205" s="1405"/>
      <c r="AF205" s="1405"/>
      <c r="AG205" s="1405"/>
      <c r="AH205" s="1405"/>
      <c r="AI205" s="1405"/>
      <c r="AJ205" s="1405"/>
      <c r="AK205" s="1405"/>
      <c r="AL205" s="1405"/>
      <c r="AM205" s="1405"/>
      <c r="AN205" s="1405"/>
      <c r="AO205" s="1405"/>
      <c r="AP205" s="1405"/>
      <c r="AQ205" s="1405"/>
      <c r="AR205" s="1405"/>
      <c r="AS205" s="1405"/>
      <c r="AT205" s="1405"/>
      <c r="AU205" s="1405"/>
      <c r="AV205" s="1405"/>
    </row>
    <row r="206" spans="1:48" s="613" customFormat="1">
      <c r="A206" s="53"/>
      <c r="B206" s="1841" t="s">
        <v>2614</v>
      </c>
      <c r="C206" s="1842">
        <v>2</v>
      </c>
      <c r="D206" s="1842">
        <v>8</v>
      </c>
      <c r="E206" s="1841" t="s">
        <v>102</v>
      </c>
      <c r="F206" s="1841" t="s">
        <v>102</v>
      </c>
      <c r="G206" s="1843">
        <v>0.1234</v>
      </c>
      <c r="H206" s="1778">
        <v>80.209999999999994</v>
      </c>
      <c r="I206" s="1778" t="s">
        <v>634</v>
      </c>
      <c r="J206" s="1778" t="s">
        <v>634</v>
      </c>
      <c r="K206" s="1778" t="s">
        <v>634</v>
      </c>
      <c r="L206" s="1778" t="s">
        <v>634</v>
      </c>
      <c r="M206" s="1778" t="s">
        <v>634</v>
      </c>
      <c r="N206" s="1778" t="s">
        <v>634</v>
      </c>
      <c r="O206" s="1778" t="s">
        <v>634</v>
      </c>
      <c r="P206" s="1778" t="s">
        <v>634</v>
      </c>
      <c r="Q206" s="1778" t="s">
        <v>634</v>
      </c>
      <c r="R206" s="1778" t="s">
        <v>634</v>
      </c>
      <c r="S206" s="1778" t="s">
        <v>634</v>
      </c>
      <c r="T206" s="1778" t="s">
        <v>634</v>
      </c>
      <c r="U206" s="1778" t="s">
        <v>634</v>
      </c>
      <c r="V206" s="1778" t="s">
        <v>634</v>
      </c>
      <c r="W206" s="93"/>
      <c r="X206" s="1190"/>
      <c r="Y206" s="5"/>
      <c r="Z206" s="218"/>
      <c r="AA206" s="818"/>
      <c r="AE206" s="1405"/>
      <c r="AF206" s="1405"/>
      <c r="AG206" s="1405"/>
      <c r="AH206" s="1405"/>
      <c r="AI206" s="1405"/>
      <c r="AJ206" s="1405"/>
      <c r="AK206" s="1405"/>
      <c r="AL206" s="1405"/>
      <c r="AM206" s="1405"/>
      <c r="AN206" s="1405"/>
      <c r="AO206" s="1405"/>
      <c r="AP206" s="1405"/>
      <c r="AQ206" s="1405"/>
      <c r="AR206" s="1405"/>
      <c r="AS206" s="1405"/>
      <c r="AT206" s="1405"/>
      <c r="AU206" s="1405"/>
      <c r="AV206" s="1405"/>
    </row>
    <row r="207" spans="1:48" s="613" customFormat="1">
      <c r="A207" s="53"/>
      <c r="B207" s="1841" t="s">
        <v>2615</v>
      </c>
      <c r="C207" s="1842">
        <v>4</v>
      </c>
      <c r="D207" s="1842">
        <v>16</v>
      </c>
      <c r="E207" s="1841" t="s">
        <v>102</v>
      </c>
      <c r="F207" s="1841" t="s">
        <v>102</v>
      </c>
      <c r="G207" s="1843">
        <v>0.24679999999999999</v>
      </c>
      <c r="H207" s="1778">
        <v>160.41</v>
      </c>
      <c r="I207" s="1778" t="s">
        <v>634</v>
      </c>
      <c r="J207" s="1778" t="s">
        <v>634</v>
      </c>
      <c r="K207" s="1778" t="s">
        <v>634</v>
      </c>
      <c r="L207" s="1778" t="s">
        <v>634</v>
      </c>
      <c r="M207" s="1778" t="s">
        <v>634</v>
      </c>
      <c r="N207" s="1778" t="s">
        <v>634</v>
      </c>
      <c r="O207" s="1778" t="s">
        <v>634</v>
      </c>
      <c r="P207" s="1778" t="s">
        <v>634</v>
      </c>
      <c r="Q207" s="1778" t="s">
        <v>634</v>
      </c>
      <c r="R207" s="1778" t="s">
        <v>634</v>
      </c>
      <c r="S207" s="1778" t="s">
        <v>634</v>
      </c>
      <c r="T207" s="1778" t="s">
        <v>634</v>
      </c>
      <c r="U207" s="1778" t="s">
        <v>634</v>
      </c>
      <c r="V207" s="1778" t="s">
        <v>634</v>
      </c>
      <c r="W207" s="93"/>
      <c r="X207" s="1190"/>
      <c r="Y207" s="5"/>
      <c r="Z207" s="218"/>
      <c r="AA207" s="818"/>
      <c r="AE207" s="1405"/>
      <c r="AF207" s="1405"/>
      <c r="AG207" s="1405"/>
      <c r="AH207" s="1405"/>
      <c r="AI207" s="1405"/>
      <c r="AJ207" s="1405"/>
      <c r="AK207" s="1405"/>
      <c r="AL207" s="1405"/>
      <c r="AM207" s="1405"/>
      <c r="AN207" s="1405"/>
      <c r="AO207" s="1405"/>
      <c r="AP207" s="1405"/>
      <c r="AQ207" s="1405"/>
      <c r="AR207" s="1405"/>
      <c r="AS207" s="1405"/>
      <c r="AT207" s="1405"/>
      <c r="AU207" s="1405"/>
      <c r="AV207" s="1405"/>
    </row>
    <row r="208" spans="1:48" s="613" customFormat="1">
      <c r="A208" s="53"/>
      <c r="B208" s="1841" t="s">
        <v>2616</v>
      </c>
      <c r="C208" s="1842">
        <v>8</v>
      </c>
      <c r="D208" s="1842">
        <v>32</v>
      </c>
      <c r="E208" s="1841" t="s">
        <v>102</v>
      </c>
      <c r="F208" s="1841" t="s">
        <v>102</v>
      </c>
      <c r="G208" s="1843">
        <v>0.49370000000000003</v>
      </c>
      <c r="H208" s="1778">
        <v>320.89999999999998</v>
      </c>
      <c r="I208" s="1778" t="s">
        <v>634</v>
      </c>
      <c r="J208" s="1778" t="s">
        <v>634</v>
      </c>
      <c r="K208" s="1778" t="s">
        <v>634</v>
      </c>
      <c r="L208" s="1778" t="s">
        <v>634</v>
      </c>
      <c r="M208" s="1778" t="s">
        <v>634</v>
      </c>
      <c r="N208" s="1778" t="s">
        <v>634</v>
      </c>
      <c r="O208" s="1778" t="s">
        <v>634</v>
      </c>
      <c r="P208" s="1778" t="s">
        <v>634</v>
      </c>
      <c r="Q208" s="1778" t="s">
        <v>634</v>
      </c>
      <c r="R208" s="1778" t="s">
        <v>634</v>
      </c>
      <c r="S208" s="1778" t="s">
        <v>634</v>
      </c>
      <c r="T208" s="1778" t="s">
        <v>634</v>
      </c>
      <c r="U208" s="1778" t="s">
        <v>634</v>
      </c>
      <c r="V208" s="1778" t="s">
        <v>634</v>
      </c>
      <c r="W208" s="93"/>
      <c r="X208" s="1190"/>
      <c r="Y208" s="5"/>
      <c r="Z208" s="218"/>
      <c r="AA208" s="818"/>
      <c r="AE208" s="1405"/>
      <c r="AF208" s="1405"/>
      <c r="AG208" s="1405"/>
      <c r="AH208" s="1405"/>
      <c r="AI208" s="1405"/>
      <c r="AJ208" s="1405"/>
      <c r="AK208" s="1405"/>
      <c r="AL208" s="1405"/>
      <c r="AM208" s="1405"/>
      <c r="AN208" s="1405"/>
      <c r="AO208" s="1405"/>
      <c r="AP208" s="1405"/>
      <c r="AQ208" s="1405"/>
      <c r="AR208" s="1405"/>
      <c r="AS208" s="1405"/>
      <c r="AT208" s="1405"/>
      <c r="AU208" s="1405"/>
      <c r="AV208" s="1405"/>
    </row>
    <row r="209" spans="1:48" s="613" customFormat="1">
      <c r="A209" s="53"/>
      <c r="B209" s="1841" t="s">
        <v>2617</v>
      </c>
      <c r="C209" s="1842">
        <v>16</v>
      </c>
      <c r="D209" s="1842">
        <v>64</v>
      </c>
      <c r="E209" s="1841" t="s">
        <v>102</v>
      </c>
      <c r="F209" s="1841" t="s">
        <v>102</v>
      </c>
      <c r="G209" s="1843">
        <v>0.98740000000000006</v>
      </c>
      <c r="H209" s="1778">
        <v>641.79999999999995</v>
      </c>
      <c r="I209" s="1778" t="s">
        <v>634</v>
      </c>
      <c r="J209" s="1778" t="s">
        <v>634</v>
      </c>
      <c r="K209" s="1778" t="s">
        <v>634</v>
      </c>
      <c r="L209" s="1778" t="s">
        <v>634</v>
      </c>
      <c r="M209" s="1778" t="s">
        <v>634</v>
      </c>
      <c r="N209" s="1778" t="s">
        <v>634</v>
      </c>
      <c r="O209" s="1778" t="s">
        <v>634</v>
      </c>
      <c r="P209" s="1778" t="s">
        <v>634</v>
      </c>
      <c r="Q209" s="1778" t="s">
        <v>634</v>
      </c>
      <c r="R209" s="1778" t="s">
        <v>634</v>
      </c>
      <c r="S209" s="1778" t="s">
        <v>634</v>
      </c>
      <c r="T209" s="1778" t="s">
        <v>634</v>
      </c>
      <c r="U209" s="1778" t="s">
        <v>634</v>
      </c>
      <c r="V209" s="1778" t="s">
        <v>634</v>
      </c>
      <c r="W209" s="93"/>
      <c r="X209" s="1190"/>
      <c r="Y209" s="5"/>
      <c r="Z209" s="218"/>
      <c r="AA209" s="818"/>
      <c r="AE209" s="1405"/>
      <c r="AF209" s="1405"/>
      <c r="AG209" s="1405"/>
      <c r="AH209" s="1405"/>
      <c r="AI209" s="1405"/>
      <c r="AJ209" s="1405"/>
      <c r="AK209" s="1405"/>
      <c r="AL209" s="1405"/>
      <c r="AM209" s="1405"/>
      <c r="AN209" s="1405"/>
      <c r="AO209" s="1405"/>
      <c r="AP209" s="1405"/>
      <c r="AQ209" s="1405"/>
      <c r="AR209" s="1405"/>
      <c r="AS209" s="1405"/>
      <c r="AT209" s="1405"/>
      <c r="AU209" s="1405"/>
      <c r="AV209" s="1405"/>
    </row>
    <row r="210" spans="1:48" s="613" customFormat="1">
      <c r="A210" s="53"/>
      <c r="B210" s="1841" t="s">
        <v>2618</v>
      </c>
      <c r="C210" s="1842">
        <v>32</v>
      </c>
      <c r="D210" s="1842">
        <v>128</v>
      </c>
      <c r="E210" s="1841" t="s">
        <v>102</v>
      </c>
      <c r="F210" s="1841" t="s">
        <v>102</v>
      </c>
      <c r="G210" s="1843">
        <v>1.7826</v>
      </c>
      <c r="H210" s="1778">
        <v>1158.7</v>
      </c>
      <c r="I210" s="1778" t="s">
        <v>634</v>
      </c>
      <c r="J210" s="1778" t="s">
        <v>634</v>
      </c>
      <c r="K210" s="1778" t="s">
        <v>634</v>
      </c>
      <c r="L210" s="1778" t="s">
        <v>634</v>
      </c>
      <c r="M210" s="1778" t="s">
        <v>634</v>
      </c>
      <c r="N210" s="1778" t="s">
        <v>634</v>
      </c>
      <c r="O210" s="1778" t="s">
        <v>634</v>
      </c>
      <c r="P210" s="1778" t="s">
        <v>634</v>
      </c>
      <c r="Q210" s="1778" t="s">
        <v>634</v>
      </c>
      <c r="R210" s="1778" t="s">
        <v>634</v>
      </c>
      <c r="S210" s="1778" t="s">
        <v>634</v>
      </c>
      <c r="T210" s="1778" t="s">
        <v>634</v>
      </c>
      <c r="U210" s="1778" t="s">
        <v>634</v>
      </c>
      <c r="V210" s="1778" t="s">
        <v>634</v>
      </c>
      <c r="W210" s="93"/>
      <c r="X210" s="1190"/>
      <c r="Y210" s="5"/>
      <c r="Z210" s="218"/>
      <c r="AA210" s="818"/>
      <c r="AE210" s="1405"/>
      <c r="AF210" s="1405"/>
      <c r="AG210" s="1405"/>
      <c r="AH210" s="1405"/>
      <c r="AI210" s="1405"/>
      <c r="AJ210" s="1405"/>
      <c r="AK210" s="1405"/>
      <c r="AL210" s="1405"/>
      <c r="AM210" s="1405"/>
      <c r="AN210" s="1405"/>
      <c r="AO210" s="1405"/>
      <c r="AP210" s="1405"/>
      <c r="AQ210" s="1405"/>
      <c r="AR210" s="1405"/>
      <c r="AS210" s="1405"/>
      <c r="AT210" s="1405"/>
      <c r="AU210" s="1405"/>
      <c r="AV210" s="1405"/>
    </row>
    <row r="211" spans="1:48" s="613" customFormat="1">
      <c r="A211" s="53"/>
      <c r="B211" s="1841" t="s">
        <v>2619</v>
      </c>
      <c r="C211" s="1842">
        <v>2</v>
      </c>
      <c r="D211" s="1842">
        <v>2</v>
      </c>
      <c r="E211" s="1841" t="s">
        <v>102</v>
      </c>
      <c r="F211" s="1841" t="s">
        <v>102</v>
      </c>
      <c r="G211" s="1843">
        <v>0.111</v>
      </c>
      <c r="H211" s="1778">
        <v>72.13</v>
      </c>
      <c r="I211" s="1778" t="s">
        <v>634</v>
      </c>
      <c r="J211" s="1778" t="s">
        <v>634</v>
      </c>
      <c r="K211" s="1778" t="s">
        <v>634</v>
      </c>
      <c r="L211" s="1778" t="s">
        <v>634</v>
      </c>
      <c r="M211" s="1778" t="s">
        <v>634</v>
      </c>
      <c r="N211" s="1778" t="s">
        <v>634</v>
      </c>
      <c r="O211" s="1778" t="s">
        <v>634</v>
      </c>
      <c r="P211" s="1778" t="s">
        <v>634</v>
      </c>
      <c r="Q211" s="1778" t="s">
        <v>634</v>
      </c>
      <c r="R211" s="1778" t="s">
        <v>634</v>
      </c>
      <c r="S211" s="1778" t="s">
        <v>634</v>
      </c>
      <c r="T211" s="1778" t="s">
        <v>634</v>
      </c>
      <c r="U211" s="1778" t="s">
        <v>634</v>
      </c>
      <c r="V211" s="1778" t="s">
        <v>634</v>
      </c>
      <c r="W211" s="93"/>
      <c r="X211" s="1190"/>
      <c r="Y211" s="5"/>
      <c r="Z211" s="218"/>
      <c r="AA211" s="818"/>
      <c r="AE211" s="1405"/>
      <c r="AF211" s="1405"/>
      <c r="AG211" s="1405"/>
      <c r="AH211" s="1405"/>
      <c r="AI211" s="1405"/>
      <c r="AJ211" s="1405"/>
      <c r="AK211" s="1405"/>
      <c r="AL211" s="1405"/>
      <c r="AM211" s="1405"/>
      <c r="AN211" s="1405"/>
      <c r="AO211" s="1405"/>
      <c r="AP211" s="1405"/>
      <c r="AQ211" s="1405"/>
      <c r="AR211" s="1405"/>
      <c r="AS211" s="1405"/>
      <c r="AT211" s="1405"/>
      <c r="AU211" s="1405"/>
      <c r="AV211" s="1405"/>
    </row>
    <row r="212" spans="1:48" s="613" customFormat="1">
      <c r="A212" s="53"/>
      <c r="B212" s="1841" t="s">
        <v>2620</v>
      </c>
      <c r="C212" s="1842">
        <v>4</v>
      </c>
      <c r="D212" s="1842">
        <v>4</v>
      </c>
      <c r="E212" s="1841" t="s">
        <v>102</v>
      </c>
      <c r="F212" s="1841" t="s">
        <v>102</v>
      </c>
      <c r="G212" s="1843">
        <v>0.22090000000000001</v>
      </c>
      <c r="H212" s="1778">
        <v>143.59</v>
      </c>
      <c r="I212" s="1778" t="s">
        <v>634</v>
      </c>
      <c r="J212" s="1778" t="s">
        <v>634</v>
      </c>
      <c r="K212" s="1778" t="s">
        <v>634</v>
      </c>
      <c r="L212" s="1778" t="s">
        <v>634</v>
      </c>
      <c r="M212" s="1778" t="s">
        <v>634</v>
      </c>
      <c r="N212" s="1778" t="s">
        <v>634</v>
      </c>
      <c r="O212" s="1778" t="s">
        <v>634</v>
      </c>
      <c r="P212" s="1778" t="s">
        <v>634</v>
      </c>
      <c r="Q212" s="1778" t="s">
        <v>634</v>
      </c>
      <c r="R212" s="1778" t="s">
        <v>634</v>
      </c>
      <c r="S212" s="1778" t="s">
        <v>634</v>
      </c>
      <c r="T212" s="1778" t="s">
        <v>634</v>
      </c>
      <c r="U212" s="1778" t="s">
        <v>634</v>
      </c>
      <c r="V212" s="1778" t="s">
        <v>634</v>
      </c>
      <c r="W212" s="93"/>
      <c r="X212" s="1190"/>
      <c r="Y212" s="5"/>
      <c r="Z212" s="218"/>
      <c r="AA212" s="818"/>
      <c r="AE212" s="1405"/>
      <c r="AF212" s="1405"/>
      <c r="AG212" s="1405"/>
      <c r="AH212" s="1405"/>
      <c r="AI212" s="1405"/>
      <c r="AJ212" s="1405"/>
      <c r="AK212" s="1405"/>
      <c r="AL212" s="1405"/>
      <c r="AM212" s="1405"/>
      <c r="AN212" s="1405"/>
      <c r="AO212" s="1405"/>
      <c r="AP212" s="1405"/>
      <c r="AQ212" s="1405"/>
      <c r="AR212" s="1405"/>
      <c r="AS212" s="1405"/>
      <c r="AT212" s="1405"/>
      <c r="AU212" s="1405"/>
      <c r="AV212" s="1405"/>
    </row>
    <row r="213" spans="1:48" s="613" customFormat="1">
      <c r="A213" s="53"/>
      <c r="B213" s="1841" t="s">
        <v>2621</v>
      </c>
      <c r="C213" s="1842">
        <v>8</v>
      </c>
      <c r="D213" s="1842">
        <v>8</v>
      </c>
      <c r="E213" s="1841" t="s">
        <v>102</v>
      </c>
      <c r="F213" s="1841" t="s">
        <v>102</v>
      </c>
      <c r="G213" s="1843">
        <v>0.44180000000000003</v>
      </c>
      <c r="H213" s="1778">
        <v>287.19</v>
      </c>
      <c r="I213" s="1778" t="s">
        <v>634</v>
      </c>
      <c r="J213" s="1778" t="s">
        <v>634</v>
      </c>
      <c r="K213" s="1778" t="s">
        <v>634</v>
      </c>
      <c r="L213" s="1778" t="s">
        <v>634</v>
      </c>
      <c r="M213" s="1778" t="s">
        <v>634</v>
      </c>
      <c r="N213" s="1778" t="s">
        <v>634</v>
      </c>
      <c r="O213" s="1778" t="s">
        <v>634</v>
      </c>
      <c r="P213" s="1778" t="s">
        <v>634</v>
      </c>
      <c r="Q213" s="1778" t="s">
        <v>634</v>
      </c>
      <c r="R213" s="1778" t="s">
        <v>634</v>
      </c>
      <c r="S213" s="1778" t="s">
        <v>634</v>
      </c>
      <c r="T213" s="1778" t="s">
        <v>634</v>
      </c>
      <c r="U213" s="1778" t="s">
        <v>634</v>
      </c>
      <c r="V213" s="1778" t="s">
        <v>634</v>
      </c>
      <c r="W213" s="93"/>
      <c r="X213" s="1190"/>
      <c r="Y213" s="5"/>
      <c r="Z213" s="218"/>
      <c r="AA213" s="818"/>
      <c r="AE213" s="1405"/>
      <c r="AF213" s="1405"/>
      <c r="AG213" s="1405"/>
      <c r="AH213" s="1405"/>
      <c r="AI213" s="1405"/>
      <c r="AJ213" s="1405"/>
      <c r="AK213" s="1405"/>
      <c r="AL213" s="1405"/>
      <c r="AM213" s="1405"/>
      <c r="AN213" s="1405"/>
      <c r="AO213" s="1405"/>
      <c r="AP213" s="1405"/>
      <c r="AQ213" s="1405"/>
      <c r="AR213" s="1405"/>
      <c r="AS213" s="1405"/>
      <c r="AT213" s="1405"/>
      <c r="AU213" s="1405"/>
      <c r="AV213" s="1405"/>
    </row>
    <row r="214" spans="1:48" s="613" customFormat="1">
      <c r="A214" s="53"/>
      <c r="B214" s="1841" t="s">
        <v>2622</v>
      </c>
      <c r="C214" s="1842">
        <v>16</v>
      </c>
      <c r="D214" s="1842">
        <v>16</v>
      </c>
      <c r="E214" s="1841" t="s">
        <v>102</v>
      </c>
      <c r="F214" s="1841" t="s">
        <v>102</v>
      </c>
      <c r="G214" s="1843">
        <v>0.88380000000000003</v>
      </c>
      <c r="H214" s="1778">
        <v>574.45000000000005</v>
      </c>
      <c r="I214" s="1778" t="s">
        <v>634</v>
      </c>
      <c r="J214" s="1778" t="s">
        <v>634</v>
      </c>
      <c r="K214" s="1778" t="s">
        <v>634</v>
      </c>
      <c r="L214" s="1778" t="s">
        <v>634</v>
      </c>
      <c r="M214" s="1778" t="s">
        <v>634</v>
      </c>
      <c r="N214" s="1778" t="s">
        <v>634</v>
      </c>
      <c r="O214" s="1778" t="s">
        <v>634</v>
      </c>
      <c r="P214" s="1778" t="s">
        <v>634</v>
      </c>
      <c r="Q214" s="1778" t="s">
        <v>634</v>
      </c>
      <c r="R214" s="1778" t="s">
        <v>634</v>
      </c>
      <c r="S214" s="1778" t="s">
        <v>634</v>
      </c>
      <c r="T214" s="1778" t="s">
        <v>634</v>
      </c>
      <c r="U214" s="1778" t="s">
        <v>634</v>
      </c>
      <c r="V214" s="1778" t="s">
        <v>634</v>
      </c>
      <c r="W214" s="93"/>
      <c r="X214" s="1190"/>
      <c r="Y214" s="5"/>
      <c r="Z214" s="218"/>
      <c r="AA214" s="818"/>
      <c r="AE214" s="1405"/>
      <c r="AF214" s="1405"/>
      <c r="AG214" s="1405"/>
      <c r="AH214" s="1405"/>
      <c r="AI214" s="1405"/>
      <c r="AJ214" s="1405"/>
      <c r="AK214" s="1405"/>
      <c r="AL214" s="1405"/>
      <c r="AM214" s="1405"/>
      <c r="AN214" s="1405"/>
      <c r="AO214" s="1405"/>
      <c r="AP214" s="1405"/>
      <c r="AQ214" s="1405"/>
      <c r="AR214" s="1405"/>
      <c r="AS214" s="1405"/>
      <c r="AT214" s="1405"/>
      <c r="AU214" s="1405"/>
      <c r="AV214" s="1405"/>
    </row>
    <row r="215" spans="1:48" s="613" customFormat="1">
      <c r="A215" s="53"/>
      <c r="B215" s="1841" t="s">
        <v>2623</v>
      </c>
      <c r="C215" s="1842">
        <v>2</v>
      </c>
      <c r="D215" s="1842">
        <v>4</v>
      </c>
      <c r="E215" s="1841" t="s">
        <v>102</v>
      </c>
      <c r="F215" s="1841" t="s">
        <v>102</v>
      </c>
      <c r="G215" s="1843">
        <v>0.11119999999999999</v>
      </c>
      <c r="H215" s="1778">
        <v>72.28</v>
      </c>
      <c r="I215" s="1778" t="s">
        <v>634</v>
      </c>
      <c r="J215" s="1778" t="s">
        <v>634</v>
      </c>
      <c r="K215" s="1778" t="s">
        <v>634</v>
      </c>
      <c r="L215" s="1778" t="s">
        <v>634</v>
      </c>
      <c r="M215" s="1778" t="s">
        <v>634</v>
      </c>
      <c r="N215" s="1778" t="s">
        <v>634</v>
      </c>
      <c r="O215" s="1778" t="s">
        <v>634</v>
      </c>
      <c r="P215" s="1778" t="s">
        <v>634</v>
      </c>
      <c r="Q215" s="1778" t="s">
        <v>634</v>
      </c>
      <c r="R215" s="1778" t="s">
        <v>634</v>
      </c>
      <c r="S215" s="1778" t="s">
        <v>634</v>
      </c>
      <c r="T215" s="1778" t="s">
        <v>634</v>
      </c>
      <c r="U215" s="1778" t="s">
        <v>634</v>
      </c>
      <c r="V215" s="1778" t="s">
        <v>634</v>
      </c>
      <c r="W215" s="93"/>
      <c r="X215" s="1190"/>
      <c r="Y215" s="5"/>
      <c r="Z215" s="218"/>
      <c r="AA215" s="818"/>
      <c r="AE215" s="1405"/>
      <c r="AF215" s="1405"/>
      <c r="AG215" s="1405"/>
      <c r="AH215" s="1405"/>
      <c r="AI215" s="1405"/>
      <c r="AJ215" s="1405"/>
      <c r="AK215" s="1405"/>
      <c r="AL215" s="1405"/>
      <c r="AM215" s="1405"/>
      <c r="AN215" s="1405"/>
      <c r="AO215" s="1405"/>
      <c r="AP215" s="1405"/>
      <c r="AQ215" s="1405"/>
      <c r="AR215" s="1405"/>
      <c r="AS215" s="1405"/>
      <c r="AT215" s="1405"/>
      <c r="AU215" s="1405"/>
      <c r="AV215" s="1405"/>
    </row>
    <row r="216" spans="1:48" s="593" customFormat="1">
      <c r="A216" s="679"/>
      <c r="B216" s="1841" t="s">
        <v>2624</v>
      </c>
      <c r="C216" s="1842">
        <v>4</v>
      </c>
      <c r="D216" s="1842">
        <v>8</v>
      </c>
      <c r="E216" s="1841" t="s">
        <v>102</v>
      </c>
      <c r="F216" s="1841" t="s">
        <v>102</v>
      </c>
      <c r="G216" s="1843">
        <v>0.2225</v>
      </c>
      <c r="H216" s="1778">
        <v>144.63999999999999</v>
      </c>
      <c r="I216" s="1778" t="s">
        <v>634</v>
      </c>
      <c r="J216" s="1778" t="s">
        <v>634</v>
      </c>
      <c r="K216" s="1778" t="s">
        <v>634</v>
      </c>
      <c r="L216" s="1778" t="s">
        <v>634</v>
      </c>
      <c r="M216" s="1778" t="s">
        <v>634</v>
      </c>
      <c r="N216" s="1778" t="s">
        <v>634</v>
      </c>
      <c r="O216" s="1778" t="s">
        <v>634</v>
      </c>
      <c r="P216" s="1778" t="s">
        <v>634</v>
      </c>
      <c r="Q216" s="1778" t="s">
        <v>634</v>
      </c>
      <c r="R216" s="1778" t="s">
        <v>634</v>
      </c>
      <c r="S216" s="1778" t="s">
        <v>634</v>
      </c>
      <c r="T216" s="1778" t="s">
        <v>634</v>
      </c>
      <c r="U216" s="1778" t="s">
        <v>634</v>
      </c>
      <c r="V216" s="1778" t="s">
        <v>634</v>
      </c>
      <c r="W216" s="699"/>
      <c r="X216" s="699"/>
      <c r="Y216" s="305"/>
      <c r="Z216" s="730"/>
      <c r="AA216" s="295"/>
      <c r="AE216" s="1405"/>
      <c r="AF216" s="1405"/>
      <c r="AG216" s="1405"/>
      <c r="AH216" s="1405"/>
      <c r="AI216" s="1405"/>
      <c r="AJ216" s="1405"/>
      <c r="AK216" s="1405"/>
      <c r="AL216" s="1405"/>
      <c r="AM216" s="1405"/>
      <c r="AN216" s="1405"/>
      <c r="AO216" s="1405"/>
      <c r="AP216" s="1405"/>
      <c r="AQ216" s="1405"/>
      <c r="AR216" s="1405"/>
      <c r="AS216" s="1405"/>
      <c r="AT216" s="1405"/>
      <c r="AU216" s="1405"/>
      <c r="AV216" s="1405"/>
    </row>
    <row r="217" spans="1:48" s="593" customFormat="1">
      <c r="A217" s="679"/>
      <c r="B217" s="1841" t="s">
        <v>2625</v>
      </c>
      <c r="C217" s="1842">
        <v>8</v>
      </c>
      <c r="D217" s="1842">
        <v>16</v>
      </c>
      <c r="E217" s="1841" t="s">
        <v>102</v>
      </c>
      <c r="F217" s="1841" t="s">
        <v>102</v>
      </c>
      <c r="G217" s="1843">
        <v>0.44519999999999998</v>
      </c>
      <c r="H217" s="1778">
        <v>289.36</v>
      </c>
      <c r="I217" s="1778" t="s">
        <v>634</v>
      </c>
      <c r="J217" s="1778" t="s">
        <v>634</v>
      </c>
      <c r="K217" s="1778" t="s">
        <v>634</v>
      </c>
      <c r="L217" s="1778" t="s">
        <v>634</v>
      </c>
      <c r="M217" s="1778" t="s">
        <v>634</v>
      </c>
      <c r="N217" s="1778" t="s">
        <v>634</v>
      </c>
      <c r="O217" s="1778" t="s">
        <v>634</v>
      </c>
      <c r="P217" s="1778" t="s">
        <v>634</v>
      </c>
      <c r="Q217" s="1778" t="s">
        <v>634</v>
      </c>
      <c r="R217" s="1778" t="s">
        <v>634</v>
      </c>
      <c r="S217" s="1778" t="s">
        <v>634</v>
      </c>
      <c r="T217" s="1778" t="s">
        <v>634</v>
      </c>
      <c r="U217" s="1778" t="s">
        <v>634</v>
      </c>
      <c r="V217" s="1778" t="s">
        <v>634</v>
      </c>
      <c r="W217" s="699"/>
      <c r="X217" s="699"/>
      <c r="Y217" s="305"/>
      <c r="Z217" s="730"/>
      <c r="AA217" s="295"/>
      <c r="AE217" s="1405"/>
      <c r="AF217" s="1405"/>
      <c r="AG217" s="1405"/>
      <c r="AH217" s="1405"/>
      <c r="AI217" s="1405"/>
      <c r="AJ217" s="1405"/>
      <c r="AK217" s="1405"/>
      <c r="AL217" s="1405"/>
      <c r="AM217" s="1405"/>
      <c r="AN217" s="1405"/>
      <c r="AO217" s="1405"/>
      <c r="AP217" s="1405"/>
      <c r="AQ217" s="1405"/>
      <c r="AR217" s="1405"/>
      <c r="AS217" s="1405"/>
      <c r="AT217" s="1405"/>
      <c r="AU217" s="1405"/>
      <c r="AV217" s="1405"/>
    </row>
    <row r="218" spans="1:48" s="593" customFormat="1">
      <c r="A218" s="679"/>
      <c r="B218" s="1841" t="s">
        <v>2626</v>
      </c>
      <c r="C218" s="1842">
        <v>2</v>
      </c>
      <c r="D218" s="1842">
        <v>4</v>
      </c>
      <c r="E218" s="1841" t="s">
        <v>102</v>
      </c>
      <c r="F218" s="1841" t="s">
        <v>102</v>
      </c>
      <c r="G218" s="1843">
        <v>0.10100000000000001</v>
      </c>
      <c r="H218" s="1778">
        <v>65.67</v>
      </c>
      <c r="I218" s="1778" t="s">
        <v>634</v>
      </c>
      <c r="J218" s="1778">
        <v>53.84</v>
      </c>
      <c r="K218" s="1778">
        <v>309.74</v>
      </c>
      <c r="L218" s="1778">
        <v>25.81</v>
      </c>
      <c r="M218" s="1778">
        <v>51.62</v>
      </c>
      <c r="N218" s="1778">
        <v>47.94</v>
      </c>
      <c r="O218" s="1778">
        <v>548.67999999999995</v>
      </c>
      <c r="P218" s="1778">
        <v>22.86</v>
      </c>
      <c r="Q218" s="1778">
        <v>45.72</v>
      </c>
      <c r="R218" s="1778">
        <v>39.090000000000003</v>
      </c>
      <c r="S218" s="1778">
        <v>663.73</v>
      </c>
      <c r="T218" s="1778">
        <v>18.440000000000001</v>
      </c>
      <c r="U218" s="1778">
        <v>36.869999999999997</v>
      </c>
      <c r="V218" s="1846">
        <v>0</v>
      </c>
      <c r="W218" s="699"/>
      <c r="X218" s="699"/>
      <c r="Y218" s="305"/>
      <c r="Z218" s="730"/>
      <c r="AA218" s="295"/>
      <c r="AE218" s="1405"/>
      <c r="AF218" s="1405"/>
      <c r="AG218" s="1405"/>
      <c r="AH218" s="1405"/>
      <c r="AI218" s="1405"/>
      <c r="AJ218" s="1405"/>
      <c r="AK218" s="1405"/>
      <c r="AL218" s="1405"/>
      <c r="AM218" s="1405"/>
      <c r="AN218" s="1405"/>
      <c r="AO218" s="1405"/>
      <c r="AP218" s="1405"/>
      <c r="AQ218" s="1405"/>
      <c r="AR218" s="1405"/>
      <c r="AS218" s="1405"/>
      <c r="AT218" s="1405"/>
      <c r="AU218" s="1405"/>
      <c r="AV218" s="1405"/>
    </row>
    <row r="219" spans="1:48" s="593" customFormat="1">
      <c r="A219" s="679"/>
      <c r="B219" s="1841" t="s">
        <v>2627</v>
      </c>
      <c r="C219" s="1842">
        <v>4</v>
      </c>
      <c r="D219" s="1842">
        <v>8</v>
      </c>
      <c r="E219" s="1841" t="s">
        <v>102</v>
      </c>
      <c r="F219" s="1841" t="s">
        <v>102</v>
      </c>
      <c r="G219" s="1843">
        <v>0.20200000000000001</v>
      </c>
      <c r="H219" s="1778">
        <v>131.33000000000001</v>
      </c>
      <c r="I219" s="1778" t="s">
        <v>634</v>
      </c>
      <c r="J219" s="1778">
        <v>107.67</v>
      </c>
      <c r="K219" s="1778">
        <v>619.48</v>
      </c>
      <c r="L219" s="1778">
        <v>51.62</v>
      </c>
      <c r="M219" s="1778">
        <v>103.25</v>
      </c>
      <c r="N219" s="1778">
        <v>95.87</v>
      </c>
      <c r="O219" s="1778">
        <v>1097.3599999999999</v>
      </c>
      <c r="P219" s="1778">
        <v>45.72</v>
      </c>
      <c r="Q219" s="1778">
        <v>91.45</v>
      </c>
      <c r="R219" s="1778">
        <v>78.17</v>
      </c>
      <c r="S219" s="1778">
        <v>1327.46</v>
      </c>
      <c r="T219" s="1778">
        <v>36.869999999999997</v>
      </c>
      <c r="U219" s="1778">
        <v>73.75</v>
      </c>
      <c r="V219" s="1846">
        <v>0</v>
      </c>
      <c r="W219" s="699"/>
      <c r="X219" s="699"/>
      <c r="Y219" s="305"/>
      <c r="Z219" s="730"/>
      <c r="AA219" s="295"/>
      <c r="AE219" s="1405"/>
      <c r="AF219" s="1405"/>
      <c r="AG219" s="1405"/>
      <c r="AH219" s="1405"/>
      <c r="AI219" s="1405"/>
      <c r="AJ219" s="1405"/>
      <c r="AK219" s="1405"/>
      <c r="AL219" s="1405"/>
      <c r="AM219" s="1405"/>
      <c r="AN219" s="1405"/>
      <c r="AO219" s="1405"/>
      <c r="AP219" s="1405"/>
      <c r="AQ219" s="1405"/>
      <c r="AR219" s="1405"/>
      <c r="AS219" s="1405"/>
      <c r="AT219" s="1405"/>
      <c r="AU219" s="1405"/>
      <c r="AV219" s="1405"/>
    </row>
    <row r="220" spans="1:48" s="593" customFormat="1">
      <c r="A220" s="679"/>
      <c r="B220" s="1841" t="s">
        <v>2628</v>
      </c>
      <c r="C220" s="1842">
        <v>8</v>
      </c>
      <c r="D220" s="1842">
        <v>16</v>
      </c>
      <c r="E220" s="1841" t="s">
        <v>102</v>
      </c>
      <c r="F220" s="1841" t="s">
        <v>102</v>
      </c>
      <c r="G220" s="1843">
        <v>0.40410000000000001</v>
      </c>
      <c r="H220" s="1778">
        <v>262.66000000000003</v>
      </c>
      <c r="I220" s="1778" t="s">
        <v>634</v>
      </c>
      <c r="J220" s="1778">
        <v>215.34</v>
      </c>
      <c r="K220" s="1778">
        <v>1238.96</v>
      </c>
      <c r="L220" s="1778">
        <v>103.25</v>
      </c>
      <c r="M220" s="1778">
        <v>206.49</v>
      </c>
      <c r="N220" s="1778">
        <v>191.74</v>
      </c>
      <c r="O220" s="1778">
        <v>2194.73</v>
      </c>
      <c r="P220" s="1778">
        <v>91.45</v>
      </c>
      <c r="Q220" s="1778">
        <v>182.89</v>
      </c>
      <c r="R220" s="1778">
        <v>156.34</v>
      </c>
      <c r="S220" s="1778">
        <v>2654.91</v>
      </c>
      <c r="T220" s="1778">
        <v>73.75</v>
      </c>
      <c r="U220" s="1778">
        <v>147.5</v>
      </c>
      <c r="V220" s="1846">
        <v>0</v>
      </c>
      <c r="W220" s="699"/>
      <c r="X220" s="699"/>
      <c r="Y220" s="305"/>
      <c r="Z220" s="730"/>
      <c r="AA220" s="295"/>
      <c r="AE220" s="1405"/>
      <c r="AF220" s="1405"/>
      <c r="AG220" s="1405"/>
      <c r="AH220" s="1405"/>
      <c r="AI220" s="1405"/>
      <c r="AJ220" s="1405"/>
      <c r="AK220" s="1405"/>
      <c r="AL220" s="1405"/>
      <c r="AM220" s="1405"/>
      <c r="AN220" s="1405"/>
      <c r="AO220" s="1405"/>
      <c r="AP220" s="1405"/>
      <c r="AQ220" s="1405"/>
      <c r="AR220" s="1405"/>
      <c r="AS220" s="1405"/>
      <c r="AT220" s="1405"/>
      <c r="AU220" s="1405"/>
      <c r="AV220" s="1405"/>
    </row>
    <row r="221" spans="1:48" s="593" customFormat="1">
      <c r="A221" s="679"/>
      <c r="B221" s="1841" t="s">
        <v>2629</v>
      </c>
      <c r="C221" s="1842">
        <v>12</v>
      </c>
      <c r="D221" s="1842">
        <v>24</v>
      </c>
      <c r="E221" s="1841" t="s">
        <v>102</v>
      </c>
      <c r="F221" s="1841" t="s">
        <v>102</v>
      </c>
      <c r="G221" s="1843">
        <v>0.60629999999999995</v>
      </c>
      <c r="H221" s="1778">
        <v>394.07</v>
      </c>
      <c r="I221" s="1778" t="s">
        <v>634</v>
      </c>
      <c r="J221" s="1778">
        <v>323.07</v>
      </c>
      <c r="K221" s="1778">
        <v>1858.78</v>
      </c>
      <c r="L221" s="1778">
        <v>154.9</v>
      </c>
      <c r="M221" s="1778">
        <v>309.8</v>
      </c>
      <c r="N221" s="1778">
        <v>287.67</v>
      </c>
      <c r="O221" s="1778">
        <v>3292.7</v>
      </c>
      <c r="P221" s="1778">
        <v>137.19999999999999</v>
      </c>
      <c r="Q221" s="1778">
        <v>274.39</v>
      </c>
      <c r="R221" s="1778">
        <v>234.56</v>
      </c>
      <c r="S221" s="1778">
        <v>3983.1</v>
      </c>
      <c r="T221" s="1778">
        <v>110.64</v>
      </c>
      <c r="U221" s="1778">
        <v>221.28</v>
      </c>
      <c r="V221" s="1846">
        <v>0</v>
      </c>
      <c r="W221" s="699"/>
      <c r="X221" s="699"/>
      <c r="Y221" s="305"/>
      <c r="Z221" s="730"/>
      <c r="AA221" s="295"/>
      <c r="AE221" s="1405"/>
      <c r="AF221" s="1405"/>
      <c r="AG221" s="1405"/>
      <c r="AH221" s="1405"/>
      <c r="AI221" s="1405"/>
      <c r="AJ221" s="1405"/>
      <c r="AK221" s="1405"/>
      <c r="AL221" s="1405"/>
      <c r="AM221" s="1405"/>
      <c r="AN221" s="1405"/>
      <c r="AO221" s="1405"/>
      <c r="AP221" s="1405"/>
      <c r="AQ221" s="1405"/>
      <c r="AR221" s="1405"/>
      <c r="AS221" s="1405"/>
      <c r="AT221" s="1405"/>
      <c r="AU221" s="1405"/>
      <c r="AV221" s="1405"/>
    </row>
    <row r="222" spans="1:48" s="593" customFormat="1">
      <c r="A222" s="679"/>
      <c r="B222" s="1841" t="s">
        <v>2388</v>
      </c>
      <c r="C222" s="1842">
        <v>16</v>
      </c>
      <c r="D222" s="1842">
        <v>32</v>
      </c>
      <c r="E222" s="1841" t="s">
        <v>102</v>
      </c>
      <c r="F222" s="1841" t="s">
        <v>102</v>
      </c>
      <c r="G222" s="1843">
        <v>0.80830000000000002</v>
      </c>
      <c r="H222" s="1778">
        <v>525.4</v>
      </c>
      <c r="I222" s="1778" t="s">
        <v>634</v>
      </c>
      <c r="J222" s="1778">
        <v>430.75</v>
      </c>
      <c r="K222" s="1778">
        <v>2478.2600000000002</v>
      </c>
      <c r="L222" s="1778">
        <v>206.52</v>
      </c>
      <c r="M222" s="1778">
        <v>413.04</v>
      </c>
      <c r="N222" s="1778">
        <v>383.54</v>
      </c>
      <c r="O222" s="1778">
        <v>4390.0600000000004</v>
      </c>
      <c r="P222" s="1778">
        <v>182.92</v>
      </c>
      <c r="Q222" s="1778">
        <v>365.84</v>
      </c>
      <c r="R222" s="1778">
        <v>312.73</v>
      </c>
      <c r="S222" s="1778">
        <v>5310.56</v>
      </c>
      <c r="T222" s="1778">
        <v>147.52000000000001</v>
      </c>
      <c r="U222" s="1778">
        <v>295.02999999999997</v>
      </c>
      <c r="V222" s="1846">
        <v>0</v>
      </c>
      <c r="W222" s="699"/>
      <c r="X222" s="699"/>
      <c r="Y222" s="305"/>
      <c r="Z222" s="730"/>
      <c r="AA222" s="295"/>
      <c r="AE222" s="1405"/>
      <c r="AF222" s="1405"/>
      <c r="AG222" s="1405"/>
      <c r="AH222" s="1405"/>
      <c r="AI222" s="1405"/>
      <c r="AJ222" s="1405"/>
      <c r="AK222" s="1405"/>
      <c r="AL222" s="1405"/>
      <c r="AM222" s="1405"/>
      <c r="AN222" s="1405"/>
      <c r="AO222" s="1405"/>
      <c r="AP222" s="1405"/>
      <c r="AQ222" s="1405"/>
      <c r="AR222" s="1405"/>
      <c r="AS222" s="1405"/>
      <c r="AT222" s="1405"/>
      <c r="AU222" s="1405"/>
      <c r="AV222" s="1405"/>
    </row>
    <row r="223" spans="1:48" s="593" customFormat="1">
      <c r="A223" s="679"/>
      <c r="B223" s="1841" t="s">
        <v>2630</v>
      </c>
      <c r="C223" s="1842">
        <v>24</v>
      </c>
      <c r="D223" s="1842">
        <v>48</v>
      </c>
      <c r="E223" s="1841" t="s">
        <v>102</v>
      </c>
      <c r="F223" s="1841" t="s">
        <v>102</v>
      </c>
      <c r="G223" s="1843">
        <v>1.2124999999999999</v>
      </c>
      <c r="H223" s="1778">
        <v>788.13</v>
      </c>
      <c r="I223" s="1778" t="s">
        <v>634</v>
      </c>
      <c r="J223" s="1778">
        <v>646.15</v>
      </c>
      <c r="K223" s="1778">
        <v>3717.56</v>
      </c>
      <c r="L223" s="1778">
        <v>309.8</v>
      </c>
      <c r="M223" s="1778">
        <v>619.59</v>
      </c>
      <c r="N223" s="1778">
        <v>575.34</v>
      </c>
      <c r="O223" s="1778">
        <v>6585.4</v>
      </c>
      <c r="P223" s="1778">
        <v>274.39</v>
      </c>
      <c r="Q223" s="1778">
        <v>548.78</v>
      </c>
      <c r="R223" s="1778">
        <v>469.12</v>
      </c>
      <c r="S223" s="1778">
        <v>7966.2</v>
      </c>
      <c r="T223" s="1778">
        <v>221.28</v>
      </c>
      <c r="U223" s="1778">
        <v>442.57</v>
      </c>
      <c r="V223" s="1846">
        <v>0</v>
      </c>
      <c r="W223" s="699"/>
      <c r="X223" s="699"/>
      <c r="Y223" s="305"/>
      <c r="Z223" s="730"/>
      <c r="AA223" s="295"/>
      <c r="AE223" s="1405"/>
      <c r="AF223" s="1405"/>
      <c r="AG223" s="1405"/>
      <c r="AH223" s="1405"/>
      <c r="AI223" s="1405"/>
      <c r="AJ223" s="1405"/>
      <c r="AK223" s="1405"/>
      <c r="AL223" s="1405"/>
      <c r="AM223" s="1405"/>
      <c r="AN223" s="1405"/>
      <c r="AO223" s="1405"/>
      <c r="AP223" s="1405"/>
      <c r="AQ223" s="1405"/>
      <c r="AR223" s="1405"/>
      <c r="AS223" s="1405"/>
      <c r="AT223" s="1405"/>
      <c r="AU223" s="1405"/>
      <c r="AV223" s="1405"/>
    </row>
    <row r="224" spans="1:48" s="593" customFormat="1">
      <c r="A224" s="679"/>
      <c r="B224" s="1841" t="s">
        <v>2442</v>
      </c>
      <c r="C224" s="1842">
        <v>32</v>
      </c>
      <c r="D224" s="1842">
        <v>64</v>
      </c>
      <c r="E224" s="1841" t="s">
        <v>102</v>
      </c>
      <c r="F224" s="1841" t="s">
        <v>102</v>
      </c>
      <c r="G224" s="1843">
        <v>1.6167</v>
      </c>
      <c r="H224" s="1778">
        <v>1050.8699999999999</v>
      </c>
      <c r="I224" s="1778" t="s">
        <v>634</v>
      </c>
      <c r="J224" s="1778">
        <v>861.55</v>
      </c>
      <c r="K224" s="1778">
        <v>4956.8599999999997</v>
      </c>
      <c r="L224" s="1778">
        <v>413.07</v>
      </c>
      <c r="M224" s="1778">
        <v>826.14</v>
      </c>
      <c r="N224" s="1778">
        <v>767.13</v>
      </c>
      <c r="O224" s="1778">
        <v>8780.73</v>
      </c>
      <c r="P224" s="1778">
        <v>365.86</v>
      </c>
      <c r="Q224" s="1778">
        <v>731.73</v>
      </c>
      <c r="R224" s="1778">
        <v>625.51</v>
      </c>
      <c r="S224" s="1778">
        <v>10621.85</v>
      </c>
      <c r="T224" s="1778">
        <v>295.05</v>
      </c>
      <c r="U224" s="1778">
        <v>590.1</v>
      </c>
      <c r="V224" s="1846">
        <v>0</v>
      </c>
      <c r="W224" s="699"/>
      <c r="X224" s="699"/>
      <c r="Y224" s="305"/>
      <c r="Z224" s="730"/>
      <c r="AA224" s="295"/>
      <c r="AE224" s="1405"/>
      <c r="AF224" s="1405"/>
      <c r="AG224" s="1405"/>
      <c r="AH224" s="1405"/>
      <c r="AI224" s="1405"/>
      <c r="AJ224" s="1405"/>
      <c r="AK224" s="1405"/>
      <c r="AL224" s="1405"/>
      <c r="AM224" s="1405"/>
      <c r="AN224" s="1405"/>
      <c r="AO224" s="1405"/>
      <c r="AP224" s="1405"/>
      <c r="AQ224" s="1405"/>
      <c r="AR224" s="1405"/>
      <c r="AS224" s="1405"/>
      <c r="AT224" s="1405"/>
      <c r="AU224" s="1405"/>
      <c r="AV224" s="1405"/>
    </row>
    <row r="225" spans="1:48" s="593" customFormat="1">
      <c r="A225" s="679"/>
      <c r="B225" s="1841" t="s">
        <v>2443</v>
      </c>
      <c r="C225" s="1842">
        <v>64</v>
      </c>
      <c r="D225" s="1842">
        <v>128</v>
      </c>
      <c r="E225" s="1841" t="s">
        <v>102</v>
      </c>
      <c r="F225" s="1841" t="s">
        <v>102</v>
      </c>
      <c r="G225" s="1843">
        <v>3.2336999999999998</v>
      </c>
      <c r="H225" s="1778">
        <v>2101.88</v>
      </c>
      <c r="I225" s="1778" t="s">
        <v>634</v>
      </c>
      <c r="J225" s="1778">
        <v>1723.22</v>
      </c>
      <c r="K225" s="1778">
        <v>9914.41</v>
      </c>
      <c r="L225" s="1778">
        <v>826.2</v>
      </c>
      <c r="M225" s="1778">
        <v>1652.4</v>
      </c>
      <c r="N225" s="1778">
        <v>1534.37</v>
      </c>
      <c r="O225" s="1778">
        <v>17562.68</v>
      </c>
      <c r="P225" s="1778">
        <v>731.78</v>
      </c>
      <c r="Q225" s="1778">
        <v>1463.56</v>
      </c>
      <c r="R225" s="1778">
        <v>1251.0999999999999</v>
      </c>
      <c r="S225" s="1778">
        <v>21245.17</v>
      </c>
      <c r="T225" s="1778">
        <v>590.14</v>
      </c>
      <c r="U225" s="1778">
        <v>1180.29</v>
      </c>
      <c r="V225" s="1846">
        <v>0</v>
      </c>
      <c r="W225" s="699"/>
      <c r="X225" s="699"/>
      <c r="Y225" s="305"/>
      <c r="Z225" s="730"/>
      <c r="AA225" s="295"/>
      <c r="AE225" s="1405"/>
      <c r="AF225" s="1405"/>
      <c r="AG225" s="1405"/>
      <c r="AH225" s="1405"/>
      <c r="AI225" s="1405"/>
      <c r="AJ225" s="1405"/>
      <c r="AK225" s="1405"/>
      <c r="AL225" s="1405"/>
      <c r="AM225" s="1405"/>
      <c r="AN225" s="1405"/>
      <c r="AO225" s="1405"/>
      <c r="AP225" s="1405"/>
      <c r="AQ225" s="1405"/>
      <c r="AR225" s="1405"/>
      <c r="AS225" s="1405"/>
      <c r="AT225" s="1405"/>
      <c r="AU225" s="1405"/>
      <c r="AV225" s="1405"/>
    </row>
    <row r="226" spans="1:48" s="593" customFormat="1">
      <c r="A226" s="679"/>
      <c r="B226" s="1841" t="s">
        <v>2631</v>
      </c>
      <c r="C226" s="1842">
        <v>2</v>
      </c>
      <c r="D226" s="1842">
        <v>8</v>
      </c>
      <c r="E226" s="1841" t="s">
        <v>102</v>
      </c>
      <c r="F226" s="1841" t="s">
        <v>102</v>
      </c>
      <c r="G226" s="1843">
        <v>0.1119</v>
      </c>
      <c r="H226" s="1778">
        <v>72.73</v>
      </c>
      <c r="I226" s="1778" t="s">
        <v>634</v>
      </c>
      <c r="J226" s="1778">
        <v>59.63</v>
      </c>
      <c r="K226" s="1778">
        <v>343.05</v>
      </c>
      <c r="L226" s="1778">
        <v>28.59</v>
      </c>
      <c r="M226" s="1778">
        <v>57.17</v>
      </c>
      <c r="N226" s="1778">
        <v>53.09</v>
      </c>
      <c r="O226" s="1778">
        <v>607.69000000000005</v>
      </c>
      <c r="P226" s="1778">
        <v>25.32</v>
      </c>
      <c r="Q226" s="1778">
        <v>50.64</v>
      </c>
      <c r="R226" s="1778">
        <v>43.29</v>
      </c>
      <c r="S226" s="1778">
        <v>735.1</v>
      </c>
      <c r="T226" s="1778">
        <v>20.420000000000002</v>
      </c>
      <c r="U226" s="1778">
        <v>40.840000000000003</v>
      </c>
      <c r="V226" s="1846">
        <v>0</v>
      </c>
      <c r="W226" s="699"/>
      <c r="X226" s="699"/>
      <c r="Y226" s="305"/>
      <c r="Z226" s="730"/>
      <c r="AA226" s="295"/>
      <c r="AE226" s="1405"/>
      <c r="AF226" s="1405"/>
      <c r="AG226" s="1405"/>
      <c r="AH226" s="1405"/>
      <c r="AI226" s="1405"/>
      <c r="AJ226" s="1405"/>
      <c r="AK226" s="1405"/>
      <c r="AL226" s="1405"/>
      <c r="AM226" s="1405"/>
      <c r="AN226" s="1405"/>
      <c r="AO226" s="1405"/>
      <c r="AP226" s="1405"/>
      <c r="AQ226" s="1405"/>
      <c r="AR226" s="1405"/>
      <c r="AS226" s="1405"/>
      <c r="AT226" s="1405"/>
      <c r="AU226" s="1405"/>
      <c r="AV226" s="1405"/>
    </row>
    <row r="227" spans="1:48" s="593" customFormat="1">
      <c r="A227" s="679"/>
      <c r="B227" s="1841" t="s">
        <v>2632</v>
      </c>
      <c r="C227" s="1842">
        <v>4</v>
      </c>
      <c r="D227" s="1842">
        <v>16</v>
      </c>
      <c r="E227" s="1841" t="s">
        <v>102</v>
      </c>
      <c r="F227" s="1841" t="s">
        <v>102</v>
      </c>
      <c r="G227" s="1843">
        <v>0.2238</v>
      </c>
      <c r="H227" s="1778">
        <v>145.44999999999999</v>
      </c>
      <c r="I227" s="1778" t="s">
        <v>634</v>
      </c>
      <c r="J227" s="1778">
        <v>119.25</v>
      </c>
      <c r="K227" s="1778">
        <v>686.1</v>
      </c>
      <c r="L227" s="1778">
        <v>57.17</v>
      </c>
      <c r="M227" s="1778">
        <v>114.35</v>
      </c>
      <c r="N227" s="1778">
        <v>106.18</v>
      </c>
      <c r="O227" s="1778">
        <v>1215.3699999999999</v>
      </c>
      <c r="P227" s="1778">
        <v>50.64</v>
      </c>
      <c r="Q227" s="1778">
        <v>101.28</v>
      </c>
      <c r="R227" s="1778">
        <v>86.58</v>
      </c>
      <c r="S227" s="1778">
        <v>1470.21</v>
      </c>
      <c r="T227" s="1778">
        <v>40.840000000000003</v>
      </c>
      <c r="U227" s="1778">
        <v>81.680000000000007</v>
      </c>
      <c r="V227" s="1846">
        <v>0</v>
      </c>
      <c r="W227" s="699"/>
      <c r="X227" s="699"/>
      <c r="Y227" s="305"/>
      <c r="Z227" s="730"/>
      <c r="AA227" s="295"/>
      <c r="AE227" s="1405"/>
      <c r="AF227" s="1405"/>
      <c r="AG227" s="1405"/>
      <c r="AH227" s="1405"/>
      <c r="AI227" s="1405"/>
      <c r="AJ227" s="1405"/>
      <c r="AK227" s="1405"/>
      <c r="AL227" s="1405"/>
      <c r="AM227" s="1405"/>
      <c r="AN227" s="1405"/>
      <c r="AO227" s="1405"/>
      <c r="AP227" s="1405"/>
      <c r="AQ227" s="1405"/>
      <c r="AR227" s="1405"/>
      <c r="AS227" s="1405"/>
      <c r="AT227" s="1405"/>
      <c r="AU227" s="1405"/>
      <c r="AV227" s="1405"/>
    </row>
    <row r="228" spans="1:48" s="593" customFormat="1">
      <c r="A228" s="679"/>
      <c r="B228" s="1841" t="s">
        <v>2633</v>
      </c>
      <c r="C228" s="1842">
        <v>8</v>
      </c>
      <c r="D228" s="1842">
        <v>32</v>
      </c>
      <c r="E228" s="1841" t="s">
        <v>102</v>
      </c>
      <c r="F228" s="1841" t="s">
        <v>102</v>
      </c>
      <c r="G228" s="1843">
        <v>0.4476</v>
      </c>
      <c r="H228" s="1778">
        <v>290.91000000000003</v>
      </c>
      <c r="I228" s="1778" t="s">
        <v>634</v>
      </c>
      <c r="J228" s="1778">
        <v>238.5</v>
      </c>
      <c r="K228" s="1778">
        <v>1372.19</v>
      </c>
      <c r="L228" s="1778">
        <v>114.35</v>
      </c>
      <c r="M228" s="1778">
        <v>228.7</v>
      </c>
      <c r="N228" s="1778">
        <v>212.36</v>
      </c>
      <c r="O228" s="1778">
        <v>2430.7399999999998</v>
      </c>
      <c r="P228" s="1778">
        <v>101.28</v>
      </c>
      <c r="Q228" s="1778">
        <v>202.56</v>
      </c>
      <c r="R228" s="1778">
        <v>173.16</v>
      </c>
      <c r="S228" s="1778">
        <v>2940.42</v>
      </c>
      <c r="T228" s="1778">
        <v>81.680000000000007</v>
      </c>
      <c r="U228" s="1778">
        <v>163.36000000000001</v>
      </c>
      <c r="V228" s="1846">
        <v>0</v>
      </c>
      <c r="W228" s="699"/>
      <c r="X228" s="699"/>
      <c r="Y228" s="305"/>
      <c r="Z228" s="730"/>
      <c r="AA228" s="295"/>
      <c r="AE228" s="1405"/>
      <c r="AF228" s="1405"/>
      <c r="AG228" s="1405"/>
      <c r="AH228" s="1405"/>
      <c r="AI228" s="1405"/>
      <c r="AJ228" s="1405"/>
      <c r="AK228" s="1405"/>
      <c r="AL228" s="1405"/>
      <c r="AM228" s="1405"/>
      <c r="AN228" s="1405"/>
      <c r="AO228" s="1405"/>
      <c r="AP228" s="1405"/>
      <c r="AQ228" s="1405"/>
      <c r="AR228" s="1405"/>
      <c r="AS228" s="1405"/>
      <c r="AT228" s="1405"/>
      <c r="AU228" s="1405"/>
      <c r="AV228" s="1405"/>
    </row>
    <row r="229" spans="1:48" s="593" customFormat="1">
      <c r="A229" s="679"/>
      <c r="B229" s="1841" t="s">
        <v>2634</v>
      </c>
      <c r="C229" s="1842">
        <v>12</v>
      </c>
      <c r="D229" s="1842">
        <v>48</v>
      </c>
      <c r="E229" s="1841" t="s">
        <v>102</v>
      </c>
      <c r="F229" s="1841" t="s">
        <v>102</v>
      </c>
      <c r="G229" s="1843">
        <v>0.67130000000000001</v>
      </c>
      <c r="H229" s="1778">
        <v>436.36</v>
      </c>
      <c r="I229" s="1778" t="s">
        <v>634</v>
      </c>
      <c r="J229" s="1778">
        <v>357.75</v>
      </c>
      <c r="K229" s="1778">
        <v>2058.29</v>
      </c>
      <c r="L229" s="1778">
        <v>171.52</v>
      </c>
      <c r="M229" s="1778">
        <v>343.05</v>
      </c>
      <c r="N229" s="1778">
        <v>318.55</v>
      </c>
      <c r="O229" s="1778">
        <v>3646.12</v>
      </c>
      <c r="P229" s="1778">
        <v>151.91999999999999</v>
      </c>
      <c r="Q229" s="1778">
        <v>303.83999999999997</v>
      </c>
      <c r="R229" s="1778">
        <v>259.74</v>
      </c>
      <c r="S229" s="1778">
        <v>4410.62</v>
      </c>
      <c r="T229" s="1778">
        <v>122.52</v>
      </c>
      <c r="U229" s="1778">
        <v>245.03</v>
      </c>
      <c r="V229" s="1846">
        <v>0</v>
      </c>
      <c r="W229" s="699"/>
      <c r="X229" s="699"/>
      <c r="Y229" s="305"/>
      <c r="Z229" s="730"/>
      <c r="AA229" s="295"/>
      <c r="AE229" s="1405"/>
      <c r="AF229" s="1405"/>
      <c r="AG229" s="1405"/>
      <c r="AH229" s="1405"/>
      <c r="AI229" s="1405"/>
      <c r="AJ229" s="1405"/>
      <c r="AK229" s="1405"/>
      <c r="AL229" s="1405"/>
      <c r="AM229" s="1405"/>
      <c r="AN229" s="1405"/>
      <c r="AO229" s="1405"/>
      <c r="AP229" s="1405"/>
      <c r="AQ229" s="1405"/>
      <c r="AR229" s="1405"/>
      <c r="AS229" s="1405"/>
      <c r="AT229" s="1405"/>
      <c r="AU229" s="1405"/>
      <c r="AV229" s="1405"/>
    </row>
    <row r="230" spans="1:48" s="593" customFormat="1">
      <c r="A230" s="679"/>
      <c r="B230" s="1841" t="s">
        <v>2389</v>
      </c>
      <c r="C230" s="1842">
        <v>16</v>
      </c>
      <c r="D230" s="1842">
        <v>64</v>
      </c>
      <c r="E230" s="1841" t="s">
        <v>102</v>
      </c>
      <c r="F230" s="1841" t="s">
        <v>102</v>
      </c>
      <c r="G230" s="1843">
        <v>0.89500000000000002</v>
      </c>
      <c r="H230" s="1778">
        <v>581.74</v>
      </c>
      <c r="I230" s="1778" t="s">
        <v>634</v>
      </c>
      <c r="J230" s="1778">
        <v>476.94</v>
      </c>
      <c r="K230" s="1778">
        <v>2744.05</v>
      </c>
      <c r="L230" s="1778">
        <v>228.67</v>
      </c>
      <c r="M230" s="1778">
        <v>457.34</v>
      </c>
      <c r="N230" s="1778">
        <v>424.67</v>
      </c>
      <c r="O230" s="1778">
        <v>4860.88</v>
      </c>
      <c r="P230" s="1778">
        <v>202.54</v>
      </c>
      <c r="Q230" s="1778">
        <v>405.07</v>
      </c>
      <c r="R230" s="1778">
        <v>346.27</v>
      </c>
      <c r="S230" s="1778">
        <v>5880.1</v>
      </c>
      <c r="T230" s="1778">
        <v>163.34</v>
      </c>
      <c r="U230" s="1778">
        <v>326.67</v>
      </c>
      <c r="V230" s="1846">
        <v>0</v>
      </c>
      <c r="W230" s="699"/>
      <c r="X230" s="699"/>
      <c r="Y230" s="305"/>
      <c r="Z230" s="730"/>
      <c r="AA230" s="295"/>
      <c r="AE230" s="1405"/>
      <c r="AF230" s="1405"/>
      <c r="AG230" s="1405"/>
      <c r="AH230" s="1405"/>
      <c r="AI230" s="1405"/>
      <c r="AJ230" s="1405"/>
      <c r="AK230" s="1405"/>
      <c r="AL230" s="1405"/>
      <c r="AM230" s="1405"/>
      <c r="AN230" s="1405"/>
      <c r="AO230" s="1405"/>
      <c r="AP230" s="1405"/>
      <c r="AQ230" s="1405"/>
      <c r="AR230" s="1405"/>
      <c r="AS230" s="1405"/>
      <c r="AT230" s="1405"/>
      <c r="AU230" s="1405"/>
      <c r="AV230" s="1405"/>
    </row>
    <row r="231" spans="1:48" s="593" customFormat="1">
      <c r="A231" s="679"/>
      <c r="B231" s="1841" t="s">
        <v>2390</v>
      </c>
      <c r="C231" s="1842">
        <v>24</v>
      </c>
      <c r="D231" s="1842">
        <v>96</v>
      </c>
      <c r="E231" s="1841" t="s">
        <v>102</v>
      </c>
      <c r="F231" s="1841" t="s">
        <v>102</v>
      </c>
      <c r="G231" s="1843">
        <v>1.3425</v>
      </c>
      <c r="H231" s="1778">
        <v>872.65</v>
      </c>
      <c r="I231" s="1778" t="s">
        <v>634</v>
      </c>
      <c r="J231" s="1778">
        <v>715.44</v>
      </c>
      <c r="K231" s="1778">
        <v>4116.24</v>
      </c>
      <c r="L231" s="1778">
        <v>343.02</v>
      </c>
      <c r="M231" s="1778">
        <v>686.04</v>
      </c>
      <c r="N231" s="1778">
        <v>637.04</v>
      </c>
      <c r="O231" s="1778">
        <v>7291.62</v>
      </c>
      <c r="P231" s="1778">
        <v>303.82</v>
      </c>
      <c r="Q231" s="1778">
        <v>607.64</v>
      </c>
      <c r="R231" s="1778">
        <v>519.42999999999995</v>
      </c>
      <c r="S231" s="1778">
        <v>8820.51</v>
      </c>
      <c r="T231" s="1778">
        <v>245.01</v>
      </c>
      <c r="U231" s="1778">
        <v>490.03</v>
      </c>
      <c r="V231" s="1846">
        <v>0</v>
      </c>
      <c r="W231" s="699"/>
      <c r="X231" s="699"/>
      <c r="Y231" s="305"/>
      <c r="Z231" s="730"/>
      <c r="AA231" s="295"/>
      <c r="AE231" s="1405"/>
      <c r="AF231" s="1405"/>
      <c r="AG231" s="1405"/>
      <c r="AH231" s="1405"/>
      <c r="AI231" s="1405"/>
      <c r="AJ231" s="1405"/>
      <c r="AK231" s="1405"/>
      <c r="AL231" s="1405"/>
      <c r="AM231" s="1405"/>
      <c r="AN231" s="1405"/>
      <c r="AO231" s="1405"/>
      <c r="AP231" s="1405"/>
      <c r="AQ231" s="1405"/>
      <c r="AR231" s="1405"/>
      <c r="AS231" s="1405"/>
      <c r="AT231" s="1405"/>
      <c r="AU231" s="1405"/>
      <c r="AV231" s="1405"/>
    </row>
    <row r="232" spans="1:48" s="593" customFormat="1">
      <c r="A232" s="679"/>
      <c r="B232" s="1841" t="s">
        <v>2391</v>
      </c>
      <c r="C232" s="1842">
        <v>32</v>
      </c>
      <c r="D232" s="1842">
        <v>128</v>
      </c>
      <c r="E232" s="1841" t="s">
        <v>102</v>
      </c>
      <c r="F232" s="1841" t="s">
        <v>102</v>
      </c>
      <c r="G232" s="1843">
        <v>1.79</v>
      </c>
      <c r="H232" s="1778">
        <v>1163.49</v>
      </c>
      <c r="I232" s="1778" t="s">
        <v>634</v>
      </c>
      <c r="J232" s="1778">
        <v>953.88</v>
      </c>
      <c r="K232" s="1778">
        <v>5488.09</v>
      </c>
      <c r="L232" s="1778">
        <v>457.34</v>
      </c>
      <c r="M232" s="1778">
        <v>914.68</v>
      </c>
      <c r="N232" s="1778">
        <v>849.35</v>
      </c>
      <c r="O232" s="1778">
        <v>9721.76</v>
      </c>
      <c r="P232" s="1778">
        <v>405.07</v>
      </c>
      <c r="Q232" s="1778">
        <v>810.15</v>
      </c>
      <c r="R232" s="1778">
        <v>692.54</v>
      </c>
      <c r="S232" s="1778">
        <v>11760.19</v>
      </c>
      <c r="T232" s="1778">
        <v>326.67</v>
      </c>
      <c r="U232" s="1778">
        <v>653.34</v>
      </c>
      <c r="V232" s="1846">
        <v>0</v>
      </c>
      <c r="W232" s="699"/>
      <c r="X232" s="699"/>
      <c r="Y232" s="305"/>
      <c r="Z232" s="730"/>
      <c r="AA232" s="295"/>
      <c r="AE232" s="1405"/>
      <c r="AF232" s="1405"/>
      <c r="AG232" s="1405"/>
      <c r="AH232" s="1405"/>
      <c r="AI232" s="1405"/>
      <c r="AJ232" s="1405"/>
      <c r="AK232" s="1405"/>
      <c r="AL232" s="1405"/>
      <c r="AM232" s="1405"/>
      <c r="AN232" s="1405"/>
      <c r="AO232" s="1405"/>
      <c r="AP232" s="1405"/>
      <c r="AQ232" s="1405"/>
      <c r="AR232" s="1405"/>
      <c r="AS232" s="1405"/>
      <c r="AT232" s="1405"/>
      <c r="AU232" s="1405"/>
      <c r="AV232" s="1405"/>
    </row>
    <row r="233" spans="1:48" s="593" customFormat="1">
      <c r="A233" s="679"/>
      <c r="B233" s="1841" t="s">
        <v>2392</v>
      </c>
      <c r="C233" s="1842">
        <v>64</v>
      </c>
      <c r="D233" s="1842">
        <v>256</v>
      </c>
      <c r="E233" s="1841" t="s">
        <v>102</v>
      </c>
      <c r="F233" s="1841" t="s">
        <v>102</v>
      </c>
      <c r="G233" s="1843">
        <v>3.58</v>
      </c>
      <c r="H233" s="1778">
        <v>2326.98</v>
      </c>
      <c r="I233" s="1778" t="s">
        <v>634</v>
      </c>
      <c r="J233" s="1778">
        <v>1907.76</v>
      </c>
      <c r="K233" s="1778">
        <v>10976.18</v>
      </c>
      <c r="L233" s="1778">
        <v>914.68</v>
      </c>
      <c r="M233" s="1778">
        <v>1829.36</v>
      </c>
      <c r="N233" s="1778">
        <v>1698.69</v>
      </c>
      <c r="O233" s="1778">
        <v>19443.52</v>
      </c>
      <c r="P233" s="1778">
        <v>810.15</v>
      </c>
      <c r="Q233" s="1778">
        <v>1620.29</v>
      </c>
      <c r="R233" s="1778">
        <v>1385.09</v>
      </c>
      <c r="S233" s="1778">
        <v>23520.39</v>
      </c>
      <c r="T233" s="1778">
        <v>653.34</v>
      </c>
      <c r="U233" s="1778">
        <v>1306.69</v>
      </c>
      <c r="V233" s="1846">
        <v>0</v>
      </c>
      <c r="W233" s="699"/>
      <c r="X233" s="699"/>
      <c r="Y233" s="305"/>
      <c r="Z233" s="730"/>
      <c r="AA233" s="295"/>
      <c r="AE233" s="1405"/>
      <c r="AF233" s="1405"/>
      <c r="AG233" s="1405"/>
      <c r="AH233" s="1405"/>
      <c r="AI233" s="1405"/>
      <c r="AJ233" s="1405"/>
      <c r="AK233" s="1405"/>
      <c r="AL233" s="1405"/>
      <c r="AM233" s="1405"/>
      <c r="AN233" s="1405"/>
      <c r="AO233" s="1405"/>
      <c r="AP233" s="1405"/>
      <c r="AQ233" s="1405"/>
      <c r="AR233" s="1405"/>
      <c r="AS233" s="1405"/>
      <c r="AT233" s="1405"/>
      <c r="AU233" s="1405"/>
      <c r="AV233" s="1405"/>
    </row>
    <row r="234" spans="1:48" s="593" customFormat="1">
      <c r="A234" s="679"/>
      <c r="B234" s="1841" t="s">
        <v>2635</v>
      </c>
      <c r="C234" s="1842">
        <v>2</v>
      </c>
      <c r="D234" s="1842">
        <v>4</v>
      </c>
      <c r="E234" s="1841" t="s">
        <v>102</v>
      </c>
      <c r="F234" s="1841" t="s">
        <v>102</v>
      </c>
      <c r="G234" s="1843">
        <v>9.74E-2</v>
      </c>
      <c r="H234" s="1778">
        <v>63.28</v>
      </c>
      <c r="I234" s="1778" t="s">
        <v>634</v>
      </c>
      <c r="J234" s="1778">
        <v>51.88</v>
      </c>
      <c r="K234" s="1778">
        <v>298.48</v>
      </c>
      <c r="L234" s="1778">
        <v>24.87</v>
      </c>
      <c r="M234" s="1778">
        <v>49.75</v>
      </c>
      <c r="N234" s="1778">
        <v>46.19</v>
      </c>
      <c r="O234" s="1778">
        <v>528.73</v>
      </c>
      <c r="P234" s="1778">
        <v>22.03</v>
      </c>
      <c r="Q234" s="1778">
        <v>44.06</v>
      </c>
      <c r="R234" s="1778">
        <v>37.659999999999997</v>
      </c>
      <c r="S234" s="1778">
        <v>639.59</v>
      </c>
      <c r="T234" s="1778">
        <v>17.77</v>
      </c>
      <c r="U234" s="1778">
        <v>35.53</v>
      </c>
      <c r="V234" s="1846">
        <v>0</v>
      </c>
      <c r="W234" s="699"/>
      <c r="X234" s="699"/>
      <c r="Y234" s="305"/>
      <c r="Z234" s="730"/>
      <c r="AA234" s="295"/>
      <c r="AE234" s="1405"/>
      <c r="AF234" s="1405"/>
      <c r="AG234" s="1405"/>
      <c r="AH234" s="1405"/>
      <c r="AI234" s="1405"/>
      <c r="AJ234" s="1405"/>
      <c r="AK234" s="1405"/>
      <c r="AL234" s="1405"/>
      <c r="AM234" s="1405"/>
      <c r="AN234" s="1405"/>
      <c r="AO234" s="1405"/>
      <c r="AP234" s="1405"/>
      <c r="AQ234" s="1405"/>
      <c r="AR234" s="1405"/>
      <c r="AS234" s="1405"/>
      <c r="AT234" s="1405"/>
      <c r="AU234" s="1405"/>
      <c r="AV234" s="1405"/>
    </row>
    <row r="235" spans="1:48" s="593" customFormat="1">
      <c r="A235" s="679"/>
      <c r="B235" s="1841" t="s">
        <v>2636</v>
      </c>
      <c r="C235" s="1842">
        <v>4</v>
      </c>
      <c r="D235" s="1842">
        <v>8</v>
      </c>
      <c r="E235" s="1841" t="s">
        <v>102</v>
      </c>
      <c r="F235" s="1841" t="s">
        <v>102</v>
      </c>
      <c r="G235" s="1843">
        <v>0.19470000000000001</v>
      </c>
      <c r="H235" s="1778">
        <v>126.56</v>
      </c>
      <c r="I235" s="1778" t="s">
        <v>634</v>
      </c>
      <c r="J235" s="1778">
        <v>103.76</v>
      </c>
      <c r="K235" s="1778">
        <v>596.95000000000005</v>
      </c>
      <c r="L235" s="1778">
        <v>49.75</v>
      </c>
      <c r="M235" s="1778">
        <v>99.49</v>
      </c>
      <c r="N235" s="1778">
        <v>92.39</v>
      </c>
      <c r="O235" s="1778">
        <v>1057.45</v>
      </c>
      <c r="P235" s="1778">
        <v>44.06</v>
      </c>
      <c r="Q235" s="1778">
        <v>88.12</v>
      </c>
      <c r="R235" s="1778">
        <v>75.33</v>
      </c>
      <c r="S235" s="1778">
        <v>1279.18</v>
      </c>
      <c r="T235" s="1778">
        <v>35.53</v>
      </c>
      <c r="U235" s="1778">
        <v>71.069999999999993</v>
      </c>
      <c r="V235" s="1846">
        <v>0</v>
      </c>
      <c r="W235" s="699"/>
      <c r="X235" s="699"/>
      <c r="Y235" s="305"/>
      <c r="Z235" s="730"/>
      <c r="AA235" s="295"/>
      <c r="AE235" s="1405"/>
      <c r="AF235" s="1405"/>
      <c r="AG235" s="1405"/>
      <c r="AH235" s="1405"/>
      <c r="AI235" s="1405"/>
      <c r="AJ235" s="1405"/>
      <c r="AK235" s="1405"/>
      <c r="AL235" s="1405"/>
      <c r="AM235" s="1405"/>
      <c r="AN235" s="1405"/>
      <c r="AO235" s="1405"/>
      <c r="AP235" s="1405"/>
      <c r="AQ235" s="1405"/>
      <c r="AR235" s="1405"/>
      <c r="AS235" s="1405"/>
      <c r="AT235" s="1405"/>
      <c r="AU235" s="1405"/>
      <c r="AV235" s="1405"/>
    </row>
    <row r="236" spans="1:48" s="593" customFormat="1">
      <c r="A236" s="679"/>
      <c r="B236" s="1841" t="s">
        <v>2409</v>
      </c>
      <c r="C236" s="1842">
        <v>8</v>
      </c>
      <c r="D236" s="1842">
        <v>16</v>
      </c>
      <c r="E236" s="1841" t="s">
        <v>102</v>
      </c>
      <c r="F236" s="1841" t="s">
        <v>102</v>
      </c>
      <c r="G236" s="1843">
        <v>0.38929999999999998</v>
      </c>
      <c r="H236" s="1778">
        <v>253.04</v>
      </c>
      <c r="I236" s="1778" t="s">
        <v>634</v>
      </c>
      <c r="J236" s="1778">
        <v>207.45</v>
      </c>
      <c r="K236" s="1778">
        <v>1193.56</v>
      </c>
      <c r="L236" s="1778">
        <v>99.46</v>
      </c>
      <c r="M236" s="1778">
        <v>198.93</v>
      </c>
      <c r="N236" s="1778">
        <v>184.72</v>
      </c>
      <c r="O236" s="1778">
        <v>2114.31</v>
      </c>
      <c r="P236" s="1778">
        <v>88.1</v>
      </c>
      <c r="Q236" s="1778">
        <v>176.19</v>
      </c>
      <c r="R236" s="1778">
        <v>150.62</v>
      </c>
      <c r="S236" s="1778">
        <v>2557.64</v>
      </c>
      <c r="T236" s="1778">
        <v>71.05</v>
      </c>
      <c r="U236" s="1778">
        <v>142.09</v>
      </c>
      <c r="V236" s="1846">
        <v>0</v>
      </c>
      <c r="W236" s="699"/>
      <c r="X236" s="699"/>
      <c r="Y236" s="305"/>
      <c r="Z236" s="730"/>
      <c r="AA236" s="295"/>
      <c r="AE236" s="1405"/>
      <c r="AF236" s="1405"/>
      <c r="AG236" s="1405"/>
      <c r="AH236" s="1405"/>
      <c r="AI236" s="1405"/>
      <c r="AJ236" s="1405"/>
      <c r="AK236" s="1405"/>
      <c r="AL236" s="1405"/>
      <c r="AM236" s="1405"/>
      <c r="AN236" s="1405"/>
      <c r="AO236" s="1405"/>
      <c r="AP236" s="1405"/>
      <c r="AQ236" s="1405"/>
      <c r="AR236" s="1405"/>
      <c r="AS236" s="1405"/>
      <c r="AT236" s="1405"/>
      <c r="AU236" s="1405"/>
      <c r="AV236" s="1405"/>
    </row>
    <row r="237" spans="1:48" s="593" customFormat="1">
      <c r="A237" s="679"/>
      <c r="B237" s="1841" t="s">
        <v>2387</v>
      </c>
      <c r="C237" s="1842">
        <v>16</v>
      </c>
      <c r="D237" s="1842">
        <v>32</v>
      </c>
      <c r="E237" s="1841" t="s">
        <v>102</v>
      </c>
      <c r="F237" s="1841" t="s">
        <v>102</v>
      </c>
      <c r="G237" s="1843">
        <v>0.77859999999999996</v>
      </c>
      <c r="H237" s="1778">
        <v>506.08</v>
      </c>
      <c r="I237" s="1778" t="s">
        <v>634</v>
      </c>
      <c r="J237" s="1778">
        <v>414.91</v>
      </c>
      <c r="K237" s="1778">
        <v>2387.13</v>
      </c>
      <c r="L237" s="1778">
        <v>198.93</v>
      </c>
      <c r="M237" s="1778">
        <v>397.85</v>
      </c>
      <c r="N237" s="1778">
        <v>369.44</v>
      </c>
      <c r="O237" s="1778">
        <v>4228.62</v>
      </c>
      <c r="P237" s="1778">
        <v>176.19</v>
      </c>
      <c r="Q237" s="1778">
        <v>352.39</v>
      </c>
      <c r="R237" s="1778">
        <v>301.23</v>
      </c>
      <c r="S237" s="1778">
        <v>5115.2700000000004</v>
      </c>
      <c r="T237" s="1778">
        <v>142.09</v>
      </c>
      <c r="U237" s="1778">
        <v>284.18</v>
      </c>
      <c r="V237" s="1846">
        <v>0</v>
      </c>
      <c r="W237" s="699"/>
      <c r="X237" s="699"/>
      <c r="Y237" s="305"/>
      <c r="Z237" s="730"/>
      <c r="AA237" s="295"/>
      <c r="AE237" s="1405"/>
      <c r="AF237" s="1405"/>
      <c r="AG237" s="1405"/>
      <c r="AH237" s="1405"/>
      <c r="AI237" s="1405"/>
      <c r="AJ237" s="1405"/>
      <c r="AK237" s="1405"/>
      <c r="AL237" s="1405"/>
      <c r="AM237" s="1405"/>
      <c r="AN237" s="1405"/>
      <c r="AO237" s="1405"/>
      <c r="AP237" s="1405"/>
      <c r="AQ237" s="1405"/>
      <c r="AR237" s="1405"/>
      <c r="AS237" s="1405"/>
      <c r="AT237" s="1405"/>
      <c r="AU237" s="1405"/>
      <c r="AV237" s="1405"/>
    </row>
    <row r="238" spans="1:48" s="613" customFormat="1">
      <c r="A238" s="53"/>
      <c r="B238" s="1841" t="s">
        <v>2637</v>
      </c>
      <c r="C238" s="1842">
        <v>32</v>
      </c>
      <c r="D238" s="1842">
        <v>64</v>
      </c>
      <c r="E238" s="1841" t="s">
        <v>102</v>
      </c>
      <c r="F238" s="1841" t="s">
        <v>102</v>
      </c>
      <c r="G238" s="1843">
        <v>1.5570999999999999</v>
      </c>
      <c r="H238" s="1778">
        <v>1012.08</v>
      </c>
      <c r="I238" s="1778" t="s">
        <v>634</v>
      </c>
      <c r="J238" s="1778">
        <v>829.75</v>
      </c>
      <c r="K238" s="1778">
        <v>4773.92</v>
      </c>
      <c r="L238" s="1778">
        <v>397.83</v>
      </c>
      <c r="M238" s="1778">
        <v>795.65</v>
      </c>
      <c r="N238" s="1778">
        <v>738.82</v>
      </c>
      <c r="O238" s="1778">
        <v>8456.65</v>
      </c>
      <c r="P238" s="1778">
        <v>352.36</v>
      </c>
      <c r="Q238" s="1778">
        <v>704.72</v>
      </c>
      <c r="R238" s="1778">
        <v>602.41999999999996</v>
      </c>
      <c r="S238" s="1778">
        <v>10229.82</v>
      </c>
      <c r="T238" s="1778">
        <v>284.16000000000003</v>
      </c>
      <c r="U238" s="1778">
        <v>568.32000000000005</v>
      </c>
      <c r="V238" s="1846">
        <v>0</v>
      </c>
      <c r="W238" s="93"/>
      <c r="X238" s="1190"/>
      <c r="Y238" s="5"/>
      <c r="Z238" s="218"/>
      <c r="AA238" s="818"/>
      <c r="AE238" s="1405"/>
      <c r="AF238" s="1405"/>
      <c r="AG238" s="1405"/>
      <c r="AH238" s="1405"/>
      <c r="AI238" s="1405"/>
      <c r="AJ238" s="1405"/>
      <c r="AK238" s="1405"/>
      <c r="AL238" s="1405"/>
      <c r="AM238" s="1405"/>
      <c r="AN238" s="1405"/>
      <c r="AO238" s="1405"/>
      <c r="AP238" s="1405"/>
      <c r="AQ238" s="1405"/>
      <c r="AR238" s="1405"/>
      <c r="AS238" s="1405"/>
      <c r="AT238" s="1405"/>
      <c r="AU238" s="1405"/>
      <c r="AV238" s="1405"/>
    </row>
    <row r="239" spans="1:48" s="613" customFormat="1">
      <c r="A239" s="53"/>
      <c r="B239" s="1841" t="s">
        <v>2638</v>
      </c>
      <c r="C239" s="1842">
        <v>60</v>
      </c>
      <c r="D239" s="1842">
        <v>128</v>
      </c>
      <c r="E239" s="1841" t="s">
        <v>102</v>
      </c>
      <c r="F239" s="1841" t="s">
        <v>102</v>
      </c>
      <c r="G239" s="1843">
        <v>2.9196</v>
      </c>
      <c r="H239" s="1778">
        <v>1897.75</v>
      </c>
      <c r="I239" s="1778" t="s">
        <v>634</v>
      </c>
      <c r="J239" s="1778">
        <v>1555.87</v>
      </c>
      <c r="K239" s="1778">
        <v>8951.5499999999993</v>
      </c>
      <c r="L239" s="1778">
        <v>745.96</v>
      </c>
      <c r="M239" s="1778">
        <v>1491.93</v>
      </c>
      <c r="N239" s="1778">
        <v>1385.36</v>
      </c>
      <c r="O239" s="1778">
        <v>15857.04</v>
      </c>
      <c r="P239" s="1778">
        <v>660.71</v>
      </c>
      <c r="Q239" s="1778">
        <v>1321.42</v>
      </c>
      <c r="R239" s="1778">
        <v>1129.5999999999999</v>
      </c>
      <c r="S239" s="1778">
        <v>19181.900000000001</v>
      </c>
      <c r="T239" s="1778">
        <v>532.83000000000004</v>
      </c>
      <c r="U239" s="1778">
        <v>1065.6600000000001</v>
      </c>
      <c r="V239" s="1846">
        <v>0</v>
      </c>
      <c r="W239" s="93"/>
      <c r="X239" s="1190"/>
      <c r="Y239" s="5"/>
      <c r="Z239" s="218"/>
      <c r="AA239" s="818"/>
      <c r="AE239" s="1405"/>
      <c r="AF239" s="1405"/>
      <c r="AG239" s="1405"/>
      <c r="AH239" s="1405"/>
      <c r="AI239" s="1405"/>
      <c r="AJ239" s="1405"/>
      <c r="AK239" s="1405"/>
      <c r="AL239" s="1405"/>
      <c r="AM239" s="1405"/>
      <c r="AN239" s="1405"/>
      <c r="AO239" s="1405"/>
      <c r="AP239" s="1405"/>
      <c r="AQ239" s="1405"/>
      <c r="AR239" s="1405"/>
      <c r="AS239" s="1405"/>
      <c r="AT239" s="1405"/>
      <c r="AU239" s="1405"/>
      <c r="AV239" s="1405"/>
    </row>
    <row r="240" spans="1:48" s="613" customFormat="1">
      <c r="A240" s="53"/>
      <c r="B240" s="1841" t="s">
        <v>2639</v>
      </c>
      <c r="C240" s="1842">
        <v>2</v>
      </c>
      <c r="D240" s="1842">
        <v>8</v>
      </c>
      <c r="E240" s="1841" t="s">
        <v>102</v>
      </c>
      <c r="F240" s="1841" t="s">
        <v>102</v>
      </c>
      <c r="G240" s="1843">
        <v>0.1077</v>
      </c>
      <c r="H240" s="1778">
        <v>70</v>
      </c>
      <c r="I240" s="1778" t="s">
        <v>634</v>
      </c>
      <c r="J240" s="1778">
        <v>57.39</v>
      </c>
      <c r="K240" s="1778">
        <v>330.18</v>
      </c>
      <c r="L240" s="1778">
        <v>27.51</v>
      </c>
      <c r="M240" s="1778">
        <v>55.03</v>
      </c>
      <c r="N240" s="1778">
        <v>51.1</v>
      </c>
      <c r="O240" s="1778">
        <v>584.89</v>
      </c>
      <c r="P240" s="1778">
        <v>24.37</v>
      </c>
      <c r="Q240" s="1778">
        <v>48.74</v>
      </c>
      <c r="R240" s="1778">
        <v>41.67</v>
      </c>
      <c r="S240" s="1778">
        <v>707.52</v>
      </c>
      <c r="T240" s="1778">
        <v>19.649999999999999</v>
      </c>
      <c r="U240" s="1778">
        <v>39.31</v>
      </c>
      <c r="V240" s="1846">
        <v>0</v>
      </c>
      <c r="W240" s="93"/>
      <c r="X240" s="1190"/>
      <c r="Y240" s="5"/>
      <c r="Z240" s="218"/>
      <c r="AA240" s="818"/>
      <c r="AE240" s="1405"/>
      <c r="AF240" s="1405"/>
      <c r="AG240" s="1405"/>
      <c r="AH240" s="1405"/>
      <c r="AI240" s="1405"/>
      <c r="AJ240" s="1405"/>
      <c r="AK240" s="1405"/>
      <c r="AL240" s="1405"/>
      <c r="AM240" s="1405"/>
      <c r="AN240" s="1405"/>
      <c r="AO240" s="1405"/>
      <c r="AP240" s="1405"/>
      <c r="AQ240" s="1405"/>
      <c r="AR240" s="1405"/>
      <c r="AS240" s="1405"/>
      <c r="AT240" s="1405"/>
      <c r="AU240" s="1405"/>
      <c r="AV240" s="1405"/>
    </row>
    <row r="241" spans="1:48" s="613" customFormat="1">
      <c r="A241" s="53"/>
      <c r="B241" s="1841" t="s">
        <v>2375</v>
      </c>
      <c r="C241" s="1842">
        <v>4</v>
      </c>
      <c r="D241" s="1842">
        <v>16</v>
      </c>
      <c r="E241" s="1841" t="s">
        <v>102</v>
      </c>
      <c r="F241" s="1841" t="s">
        <v>102</v>
      </c>
      <c r="G241" s="1843">
        <v>0.2155</v>
      </c>
      <c r="H241" s="1778">
        <v>140.07</v>
      </c>
      <c r="I241" s="1778" t="s">
        <v>634</v>
      </c>
      <c r="J241" s="1778">
        <v>114.83</v>
      </c>
      <c r="K241" s="1778">
        <v>660.69</v>
      </c>
      <c r="L241" s="1778">
        <v>55.06</v>
      </c>
      <c r="M241" s="1778">
        <v>110.12</v>
      </c>
      <c r="N241" s="1778">
        <v>102.25</v>
      </c>
      <c r="O241" s="1778">
        <v>1170.3699999999999</v>
      </c>
      <c r="P241" s="1778">
        <v>48.77</v>
      </c>
      <c r="Q241" s="1778">
        <v>97.53</v>
      </c>
      <c r="R241" s="1778">
        <v>83.37</v>
      </c>
      <c r="S241" s="1778">
        <v>1415.77</v>
      </c>
      <c r="T241" s="1778">
        <v>39.33</v>
      </c>
      <c r="U241" s="1778">
        <v>78.650000000000006</v>
      </c>
      <c r="V241" s="1846">
        <v>0</v>
      </c>
      <c r="W241" s="93"/>
      <c r="X241" s="1190"/>
      <c r="Y241" s="5"/>
      <c r="Z241" s="218"/>
      <c r="AA241" s="818"/>
      <c r="AE241" s="1405"/>
      <c r="AF241" s="1405"/>
      <c r="AG241" s="1405"/>
      <c r="AH241" s="1405"/>
      <c r="AI241" s="1405"/>
      <c r="AJ241" s="1405"/>
      <c r="AK241" s="1405"/>
      <c r="AL241" s="1405"/>
      <c r="AM241" s="1405"/>
      <c r="AN241" s="1405"/>
      <c r="AO241" s="1405"/>
      <c r="AP241" s="1405"/>
      <c r="AQ241" s="1405"/>
      <c r="AR241" s="1405"/>
      <c r="AS241" s="1405"/>
      <c r="AT241" s="1405"/>
      <c r="AU241" s="1405"/>
      <c r="AV241" s="1405"/>
    </row>
    <row r="242" spans="1:48" s="613" customFormat="1">
      <c r="A242" s="53"/>
      <c r="B242" s="1841" t="s">
        <v>2376</v>
      </c>
      <c r="C242" s="1842">
        <v>8</v>
      </c>
      <c r="D242" s="1842">
        <v>32</v>
      </c>
      <c r="E242" s="1841" t="s">
        <v>102</v>
      </c>
      <c r="F242" s="1841" t="s">
        <v>102</v>
      </c>
      <c r="G242" s="1843">
        <v>0.43099999999999999</v>
      </c>
      <c r="H242" s="1778">
        <v>280.14</v>
      </c>
      <c r="I242" s="1778" t="s">
        <v>634</v>
      </c>
      <c r="J242" s="1778">
        <v>229.67</v>
      </c>
      <c r="K242" s="1778">
        <v>1321.38</v>
      </c>
      <c r="L242" s="1778">
        <v>110.12</v>
      </c>
      <c r="M242" s="1778">
        <v>220.23</v>
      </c>
      <c r="N242" s="1778">
        <v>204.5</v>
      </c>
      <c r="O242" s="1778">
        <v>2340.7399999999998</v>
      </c>
      <c r="P242" s="1778">
        <v>97.53</v>
      </c>
      <c r="Q242" s="1778">
        <v>195.06</v>
      </c>
      <c r="R242" s="1778">
        <v>166.75</v>
      </c>
      <c r="S242" s="1778">
        <v>2831.54</v>
      </c>
      <c r="T242" s="1778">
        <v>78.650000000000006</v>
      </c>
      <c r="U242" s="1778">
        <v>157.31</v>
      </c>
      <c r="V242" s="1846">
        <v>0</v>
      </c>
      <c r="W242" s="93"/>
      <c r="X242" s="1190"/>
      <c r="Y242" s="5"/>
      <c r="Z242" s="218"/>
      <c r="AA242" s="818"/>
      <c r="AE242" s="1405"/>
      <c r="AF242" s="1405"/>
      <c r="AG242" s="1405"/>
      <c r="AH242" s="1405"/>
      <c r="AI242" s="1405"/>
      <c r="AJ242" s="1405"/>
      <c r="AK242" s="1405"/>
      <c r="AL242" s="1405"/>
      <c r="AM242" s="1405"/>
      <c r="AN242" s="1405"/>
      <c r="AO242" s="1405"/>
      <c r="AP242" s="1405"/>
      <c r="AQ242" s="1405"/>
      <c r="AR242" s="1405"/>
      <c r="AS242" s="1405"/>
      <c r="AT242" s="1405"/>
      <c r="AU242" s="1405"/>
      <c r="AV242" s="1405"/>
    </row>
    <row r="243" spans="1:48" s="613" customFormat="1">
      <c r="A243" s="53"/>
      <c r="B243" s="1841" t="s">
        <v>2377</v>
      </c>
      <c r="C243" s="1842">
        <v>16</v>
      </c>
      <c r="D243" s="1842">
        <v>64</v>
      </c>
      <c r="E243" s="1841" t="s">
        <v>102</v>
      </c>
      <c r="F243" s="1841" t="s">
        <v>102</v>
      </c>
      <c r="G243" s="1843">
        <v>0.86199999999999999</v>
      </c>
      <c r="H243" s="1778">
        <v>560.27</v>
      </c>
      <c r="I243" s="1778" t="s">
        <v>634</v>
      </c>
      <c r="J243" s="1778">
        <v>459.34</v>
      </c>
      <c r="K243" s="1778">
        <v>2642.77</v>
      </c>
      <c r="L243" s="1778">
        <v>220.23</v>
      </c>
      <c r="M243" s="1778">
        <v>440.46</v>
      </c>
      <c r="N243" s="1778">
        <v>409</v>
      </c>
      <c r="O243" s="1778">
        <v>4681.4799999999996</v>
      </c>
      <c r="P243" s="1778">
        <v>195.06</v>
      </c>
      <c r="Q243" s="1778">
        <v>390.12</v>
      </c>
      <c r="R243" s="1778">
        <v>333.49</v>
      </c>
      <c r="S243" s="1778">
        <v>5663.08</v>
      </c>
      <c r="T243" s="1778">
        <v>157.31</v>
      </c>
      <c r="U243" s="1778">
        <v>314.62</v>
      </c>
      <c r="V243" s="1846">
        <v>0</v>
      </c>
      <c r="W243" s="93"/>
      <c r="X243" s="1190"/>
      <c r="Y243" s="5"/>
      <c r="Z243" s="218"/>
      <c r="AA243" s="818"/>
      <c r="AE243" s="1405"/>
      <c r="AF243" s="1405"/>
      <c r="AG243" s="1405"/>
      <c r="AH243" s="1405"/>
      <c r="AI243" s="1405"/>
      <c r="AJ243" s="1405"/>
      <c r="AK243" s="1405"/>
      <c r="AL243" s="1405"/>
      <c r="AM243" s="1405"/>
      <c r="AN243" s="1405"/>
      <c r="AO243" s="1405"/>
      <c r="AP243" s="1405"/>
      <c r="AQ243" s="1405"/>
      <c r="AR243" s="1405"/>
      <c r="AS243" s="1405"/>
      <c r="AT243" s="1405"/>
      <c r="AU243" s="1405"/>
      <c r="AV243" s="1405"/>
    </row>
    <row r="244" spans="1:48" s="613" customFormat="1">
      <c r="A244" s="53"/>
      <c r="B244" s="1841" t="s">
        <v>2378</v>
      </c>
      <c r="C244" s="1842">
        <v>32</v>
      </c>
      <c r="D244" s="1842">
        <v>128</v>
      </c>
      <c r="E244" s="1841" t="s">
        <v>102</v>
      </c>
      <c r="F244" s="1841" t="s">
        <v>102</v>
      </c>
      <c r="G244" s="1843">
        <v>1.7238</v>
      </c>
      <c r="H244" s="1778">
        <v>1120.48</v>
      </c>
      <c r="I244" s="1778" t="s">
        <v>634</v>
      </c>
      <c r="J244" s="1778">
        <v>918.62</v>
      </c>
      <c r="K244" s="1778">
        <v>5285.2</v>
      </c>
      <c r="L244" s="1778">
        <v>440.43</v>
      </c>
      <c r="M244" s="1778">
        <v>880.87</v>
      </c>
      <c r="N244" s="1778">
        <v>817.95</v>
      </c>
      <c r="O244" s="1778">
        <v>9362.36</v>
      </c>
      <c r="P244" s="1778">
        <v>390.1</v>
      </c>
      <c r="Q244" s="1778">
        <v>780.2</v>
      </c>
      <c r="R244" s="1778">
        <v>666.94</v>
      </c>
      <c r="S244" s="1778">
        <v>11325.43</v>
      </c>
      <c r="T244" s="1778">
        <v>314.60000000000002</v>
      </c>
      <c r="U244" s="1778">
        <v>629.19000000000005</v>
      </c>
      <c r="V244" s="1846">
        <v>0</v>
      </c>
      <c r="W244" s="93"/>
      <c r="X244" s="1190"/>
      <c r="Y244" s="5"/>
      <c r="Z244" s="218"/>
      <c r="AA244" s="818"/>
      <c r="AE244" s="1405"/>
      <c r="AF244" s="1405"/>
      <c r="AG244" s="1405"/>
      <c r="AH244" s="1405"/>
      <c r="AI244" s="1405"/>
      <c r="AJ244" s="1405"/>
      <c r="AK244" s="1405"/>
      <c r="AL244" s="1405"/>
      <c r="AM244" s="1405"/>
      <c r="AN244" s="1405"/>
      <c r="AO244" s="1405"/>
      <c r="AP244" s="1405"/>
      <c r="AQ244" s="1405"/>
      <c r="AR244" s="1405"/>
      <c r="AS244" s="1405"/>
      <c r="AT244" s="1405"/>
      <c r="AU244" s="1405"/>
      <c r="AV244" s="1405"/>
    </row>
    <row r="245" spans="1:48" s="613" customFormat="1">
      <c r="A245" s="53"/>
      <c r="B245" s="1841" t="s">
        <v>2710</v>
      </c>
      <c r="C245" s="1842">
        <v>76</v>
      </c>
      <c r="D245" s="1842">
        <v>304</v>
      </c>
      <c r="E245" s="1841" t="s">
        <v>102</v>
      </c>
      <c r="F245" s="1841" t="s">
        <v>102</v>
      </c>
      <c r="G245" s="1843">
        <v>4.0941000000000001</v>
      </c>
      <c r="H245" s="1778">
        <v>2661.16</v>
      </c>
      <c r="I245" s="1778" t="s">
        <v>634</v>
      </c>
      <c r="J245" s="1778">
        <v>2181.7399999999998</v>
      </c>
      <c r="K245" s="1778">
        <v>12552.48</v>
      </c>
      <c r="L245" s="1778">
        <v>1046.04</v>
      </c>
      <c r="M245" s="1778">
        <v>2092.08</v>
      </c>
      <c r="N245" s="1778">
        <v>1942.65</v>
      </c>
      <c r="O245" s="1778">
        <v>22235.82</v>
      </c>
      <c r="P245" s="1778">
        <v>926.49</v>
      </c>
      <c r="Q245" s="1778">
        <v>1852.99</v>
      </c>
      <c r="R245" s="1778">
        <v>1584</v>
      </c>
      <c r="S245" s="1778">
        <v>26898.17</v>
      </c>
      <c r="T245" s="1778">
        <v>747.17</v>
      </c>
      <c r="U245" s="1778">
        <v>1494.34</v>
      </c>
      <c r="V245" s="1846">
        <v>0</v>
      </c>
      <c r="W245" s="93"/>
      <c r="X245" s="1190"/>
      <c r="Y245" s="5"/>
      <c r="Z245" s="218"/>
      <c r="AA245" s="818"/>
      <c r="AE245" s="1405"/>
      <c r="AF245" s="1405"/>
      <c r="AG245" s="1405"/>
      <c r="AH245" s="1405"/>
      <c r="AI245" s="1405"/>
      <c r="AJ245" s="1405"/>
      <c r="AK245" s="1405"/>
      <c r="AL245" s="1405"/>
      <c r="AM245" s="1405"/>
      <c r="AN245" s="1405"/>
      <c r="AO245" s="1405"/>
      <c r="AP245" s="1405"/>
      <c r="AQ245" s="1405"/>
      <c r="AR245" s="1405"/>
      <c r="AS245" s="1405"/>
      <c r="AT245" s="1405"/>
      <c r="AU245" s="1405"/>
      <c r="AV245" s="1405"/>
    </row>
    <row r="246" spans="1:48" s="1405" customFormat="1">
      <c r="A246" s="1186"/>
      <c r="B246" s="1841" t="s">
        <v>2641</v>
      </c>
      <c r="C246" s="1842">
        <v>76</v>
      </c>
      <c r="D246" s="1842">
        <v>304</v>
      </c>
      <c r="E246" s="1841" t="s">
        <v>102</v>
      </c>
      <c r="F246" s="1841" t="s">
        <v>102</v>
      </c>
      <c r="G246" s="1843">
        <v>4.0941000000000001</v>
      </c>
      <c r="H246" s="1778">
        <v>2661.16</v>
      </c>
      <c r="I246" s="1778" t="s">
        <v>634</v>
      </c>
      <c r="J246" s="1778">
        <v>2181.7399999999998</v>
      </c>
      <c r="K246" s="1778">
        <v>12552.48</v>
      </c>
      <c r="L246" s="1778">
        <v>1046.04</v>
      </c>
      <c r="M246" s="1778">
        <v>2092.08</v>
      </c>
      <c r="N246" s="1778">
        <v>1942.65</v>
      </c>
      <c r="O246" s="1778">
        <v>22235.82</v>
      </c>
      <c r="P246" s="1778">
        <v>926.49</v>
      </c>
      <c r="Q246" s="1778">
        <v>1852.99</v>
      </c>
      <c r="R246" s="1778">
        <v>1584</v>
      </c>
      <c r="S246" s="1778">
        <v>26898.17</v>
      </c>
      <c r="T246" s="1778">
        <v>747.17</v>
      </c>
      <c r="U246" s="1778">
        <v>1494.34</v>
      </c>
      <c r="V246" s="1846">
        <v>0</v>
      </c>
      <c r="W246" s="1190"/>
      <c r="X246" s="1190"/>
      <c r="Y246" s="1175"/>
      <c r="Z246" s="1192"/>
      <c r="AA246" s="818"/>
    </row>
    <row r="247" spans="1:48" s="1405" customFormat="1">
      <c r="A247" s="1186"/>
      <c r="B247" s="1841" t="s">
        <v>2642</v>
      </c>
      <c r="C247" s="1842">
        <v>2</v>
      </c>
      <c r="D247" s="1842">
        <v>16</v>
      </c>
      <c r="E247" s="1841" t="s">
        <v>102</v>
      </c>
      <c r="F247" s="1841" t="s">
        <v>102</v>
      </c>
      <c r="G247" s="1843">
        <v>0.14729999999999999</v>
      </c>
      <c r="H247" s="1778">
        <v>95.73</v>
      </c>
      <c r="I247" s="1778" t="s">
        <v>634</v>
      </c>
      <c r="J247" s="1778">
        <v>78.489999999999995</v>
      </c>
      <c r="K247" s="1778">
        <v>451.56</v>
      </c>
      <c r="L247" s="1778">
        <v>37.630000000000003</v>
      </c>
      <c r="M247" s="1778">
        <v>75.260000000000005</v>
      </c>
      <c r="N247" s="1778">
        <v>69.88</v>
      </c>
      <c r="O247" s="1778">
        <v>799.91</v>
      </c>
      <c r="P247" s="1778">
        <v>33.33</v>
      </c>
      <c r="Q247" s="1778">
        <v>66.66</v>
      </c>
      <c r="R247" s="1778">
        <v>56.98</v>
      </c>
      <c r="S247" s="1778">
        <v>967.63</v>
      </c>
      <c r="T247" s="1778">
        <v>26.88</v>
      </c>
      <c r="U247" s="1778">
        <v>53.76</v>
      </c>
      <c r="V247" s="1846">
        <v>0</v>
      </c>
      <c r="W247" s="1190"/>
      <c r="X247" s="1190"/>
      <c r="Y247" s="1175"/>
      <c r="Z247" s="1192"/>
      <c r="AA247" s="818"/>
    </row>
    <row r="248" spans="1:48" s="1405" customFormat="1">
      <c r="A248" s="1186"/>
      <c r="B248" s="1841" t="s">
        <v>2643</v>
      </c>
      <c r="C248" s="1842">
        <v>4</v>
      </c>
      <c r="D248" s="1842">
        <v>32</v>
      </c>
      <c r="E248" s="1841" t="s">
        <v>102</v>
      </c>
      <c r="F248" s="1841" t="s">
        <v>102</v>
      </c>
      <c r="G248" s="1843">
        <v>0.29480000000000001</v>
      </c>
      <c r="H248" s="1778">
        <v>191.61</v>
      </c>
      <c r="I248" s="1778" t="s">
        <v>634</v>
      </c>
      <c r="J248" s="1778">
        <v>157.09</v>
      </c>
      <c r="K248" s="1778">
        <v>903.81</v>
      </c>
      <c r="L248" s="1778">
        <v>75.319999999999993</v>
      </c>
      <c r="M248" s="1778">
        <v>150.63</v>
      </c>
      <c r="N248" s="1778">
        <v>139.88</v>
      </c>
      <c r="O248" s="1778">
        <v>1601.03</v>
      </c>
      <c r="P248" s="1778">
        <v>66.709999999999994</v>
      </c>
      <c r="Q248" s="1778">
        <v>133.41999999999999</v>
      </c>
      <c r="R248" s="1778">
        <v>114.05</v>
      </c>
      <c r="S248" s="1778">
        <v>1936.73</v>
      </c>
      <c r="T248" s="1778">
        <v>53.8</v>
      </c>
      <c r="U248" s="1778">
        <v>107.6</v>
      </c>
      <c r="V248" s="1846">
        <v>0</v>
      </c>
      <c r="W248" s="1190"/>
      <c r="X248" s="1190"/>
      <c r="Y248" s="1175"/>
      <c r="Z248" s="1192"/>
      <c r="AA248" s="818"/>
    </row>
    <row r="249" spans="1:48" s="1405" customFormat="1">
      <c r="A249" s="1186"/>
      <c r="B249" s="1841" t="s">
        <v>2383</v>
      </c>
      <c r="C249" s="1842">
        <v>8</v>
      </c>
      <c r="D249" s="1842">
        <v>64</v>
      </c>
      <c r="E249" s="1841" t="s">
        <v>102</v>
      </c>
      <c r="F249" s="1841" t="s">
        <v>102</v>
      </c>
      <c r="G249" s="1843">
        <v>0.58950000000000002</v>
      </c>
      <c r="H249" s="1778">
        <v>383.15</v>
      </c>
      <c r="I249" s="1778" t="s">
        <v>634</v>
      </c>
      <c r="J249" s="1778">
        <v>314.12</v>
      </c>
      <c r="K249" s="1778">
        <v>1807.27</v>
      </c>
      <c r="L249" s="1778">
        <v>150.61000000000001</v>
      </c>
      <c r="M249" s="1778">
        <v>301.20999999999998</v>
      </c>
      <c r="N249" s="1778">
        <v>279.7</v>
      </c>
      <c r="O249" s="1778">
        <v>3201.45</v>
      </c>
      <c r="P249" s="1778">
        <v>133.38999999999999</v>
      </c>
      <c r="Q249" s="1778">
        <v>266.79000000000002</v>
      </c>
      <c r="R249" s="1778">
        <v>228.06</v>
      </c>
      <c r="S249" s="1778">
        <v>3872.73</v>
      </c>
      <c r="T249" s="1778">
        <v>107.58</v>
      </c>
      <c r="U249" s="1778">
        <v>215.15</v>
      </c>
      <c r="V249" s="1846">
        <v>0</v>
      </c>
      <c r="W249" s="1190"/>
      <c r="X249" s="1190"/>
      <c r="Y249" s="1175"/>
      <c r="Z249" s="1192"/>
      <c r="AA249" s="818"/>
    </row>
    <row r="250" spans="1:48" s="1405" customFormat="1">
      <c r="A250" s="1186"/>
      <c r="B250" s="1841" t="s">
        <v>2440</v>
      </c>
      <c r="C250" s="1842">
        <v>12</v>
      </c>
      <c r="D250" s="1842">
        <v>96</v>
      </c>
      <c r="E250" s="1841" t="s">
        <v>102</v>
      </c>
      <c r="F250" s="1841" t="s">
        <v>102</v>
      </c>
      <c r="G250" s="1843">
        <v>0.88419999999999999</v>
      </c>
      <c r="H250" s="1778">
        <v>574.76</v>
      </c>
      <c r="I250" s="1778" t="s">
        <v>634</v>
      </c>
      <c r="J250" s="1778">
        <v>471.21</v>
      </c>
      <c r="K250" s="1778">
        <v>2711.08</v>
      </c>
      <c r="L250" s="1778">
        <v>225.92</v>
      </c>
      <c r="M250" s="1778">
        <v>451.85</v>
      </c>
      <c r="N250" s="1778">
        <v>419.57</v>
      </c>
      <c r="O250" s="1778">
        <v>4802.4799999999996</v>
      </c>
      <c r="P250" s="1778">
        <v>200.1</v>
      </c>
      <c r="Q250" s="1778">
        <v>400.21</v>
      </c>
      <c r="R250" s="1778">
        <v>342.11</v>
      </c>
      <c r="S250" s="1778">
        <v>5809.46</v>
      </c>
      <c r="T250" s="1778">
        <v>161.37</v>
      </c>
      <c r="U250" s="1778">
        <v>322.75</v>
      </c>
      <c r="V250" s="1846">
        <v>0</v>
      </c>
      <c r="W250" s="1190"/>
      <c r="X250" s="1190"/>
      <c r="Y250" s="1175"/>
      <c r="Z250" s="1192"/>
      <c r="AA250" s="818"/>
    </row>
    <row r="251" spans="1:48" s="1405" customFormat="1">
      <c r="A251" s="1186"/>
      <c r="B251" s="1841" t="s">
        <v>2384</v>
      </c>
      <c r="C251" s="1842">
        <v>16</v>
      </c>
      <c r="D251" s="1842">
        <v>128</v>
      </c>
      <c r="E251" s="1841" t="s">
        <v>102</v>
      </c>
      <c r="F251" s="1841" t="s">
        <v>102</v>
      </c>
      <c r="G251" s="1843">
        <v>1.1789000000000001</v>
      </c>
      <c r="H251" s="1778">
        <v>766.29</v>
      </c>
      <c r="I251" s="1778" t="s">
        <v>634</v>
      </c>
      <c r="J251" s="1778">
        <v>628.24</v>
      </c>
      <c r="K251" s="1778">
        <v>3614.54</v>
      </c>
      <c r="L251" s="1778">
        <v>301.20999999999998</v>
      </c>
      <c r="M251" s="1778">
        <v>602.41999999999996</v>
      </c>
      <c r="N251" s="1778">
        <v>559.39</v>
      </c>
      <c r="O251" s="1778">
        <v>6402.91</v>
      </c>
      <c r="P251" s="1778">
        <v>266.79000000000002</v>
      </c>
      <c r="Q251" s="1778">
        <v>533.58000000000004</v>
      </c>
      <c r="R251" s="1778">
        <v>456.12</v>
      </c>
      <c r="S251" s="1778">
        <v>7745.45</v>
      </c>
      <c r="T251" s="1778">
        <v>215.15</v>
      </c>
      <c r="U251" s="1778">
        <v>430.3</v>
      </c>
      <c r="V251" s="1846">
        <v>0</v>
      </c>
      <c r="W251" s="1190"/>
      <c r="X251" s="1190"/>
      <c r="Y251" s="1175"/>
      <c r="Z251" s="1192"/>
      <c r="AA251" s="818"/>
    </row>
    <row r="252" spans="1:48" s="1405" customFormat="1">
      <c r="A252" s="1186"/>
      <c r="B252" s="1841" t="s">
        <v>2441</v>
      </c>
      <c r="C252" s="1842">
        <v>24</v>
      </c>
      <c r="D252" s="1842">
        <v>192</v>
      </c>
      <c r="E252" s="1841" t="s">
        <v>102</v>
      </c>
      <c r="F252" s="1841" t="s">
        <v>102</v>
      </c>
      <c r="G252" s="1843">
        <v>1.7685</v>
      </c>
      <c r="H252" s="1778">
        <v>1149.51</v>
      </c>
      <c r="I252" s="1778" t="s">
        <v>634</v>
      </c>
      <c r="J252" s="1778">
        <v>942.42</v>
      </c>
      <c r="K252" s="1778">
        <v>5422.16</v>
      </c>
      <c r="L252" s="1778">
        <v>451.85</v>
      </c>
      <c r="M252" s="1778">
        <v>903.69</v>
      </c>
      <c r="N252" s="1778">
        <v>839.14</v>
      </c>
      <c r="O252" s="1778">
        <v>9604.9699999999993</v>
      </c>
      <c r="P252" s="1778">
        <v>400.21</v>
      </c>
      <c r="Q252" s="1778">
        <v>800.41</v>
      </c>
      <c r="R252" s="1778">
        <v>684.22</v>
      </c>
      <c r="S252" s="1778">
        <v>11618.91</v>
      </c>
      <c r="T252" s="1778">
        <v>322.75</v>
      </c>
      <c r="U252" s="1778">
        <v>645.5</v>
      </c>
      <c r="V252" s="1846">
        <v>0</v>
      </c>
      <c r="W252" s="1190"/>
      <c r="X252" s="1190"/>
      <c r="Y252" s="1175"/>
      <c r="Z252" s="1192"/>
      <c r="AA252" s="818"/>
    </row>
    <row r="253" spans="1:48" s="1405" customFormat="1">
      <c r="A253" s="1186"/>
      <c r="B253" s="1841" t="s">
        <v>2385</v>
      </c>
      <c r="C253" s="1842">
        <v>32</v>
      </c>
      <c r="D253" s="1842">
        <v>256</v>
      </c>
      <c r="E253" s="1841" t="s">
        <v>102</v>
      </c>
      <c r="F253" s="1841" t="s">
        <v>102</v>
      </c>
      <c r="G253" s="1843">
        <v>2.3578999999999999</v>
      </c>
      <c r="H253" s="1778">
        <v>1532.66</v>
      </c>
      <c r="I253" s="1778" t="s">
        <v>634</v>
      </c>
      <c r="J253" s="1778">
        <v>1256.54</v>
      </c>
      <c r="K253" s="1778">
        <v>7229.43</v>
      </c>
      <c r="L253" s="1778">
        <v>602.45000000000005</v>
      </c>
      <c r="M253" s="1778">
        <v>1204.9100000000001</v>
      </c>
      <c r="N253" s="1778">
        <v>1118.8399999999999</v>
      </c>
      <c r="O253" s="1778">
        <v>12806.42</v>
      </c>
      <c r="P253" s="1778">
        <v>533.6</v>
      </c>
      <c r="Q253" s="1778">
        <v>1067.2</v>
      </c>
      <c r="R253" s="1778">
        <v>912.29</v>
      </c>
      <c r="S253" s="1778">
        <v>15491.64</v>
      </c>
      <c r="T253" s="1778">
        <v>430.32</v>
      </c>
      <c r="U253" s="1778">
        <v>860.65</v>
      </c>
      <c r="V253" s="1846">
        <v>0</v>
      </c>
      <c r="W253" s="1190"/>
      <c r="X253" s="1190"/>
      <c r="Y253" s="1175"/>
      <c r="Z253" s="1192"/>
      <c r="AA253" s="818"/>
    </row>
    <row r="254" spans="1:48" s="1405" customFormat="1">
      <c r="A254" s="1186"/>
      <c r="B254" s="1841" t="s">
        <v>2386</v>
      </c>
      <c r="C254" s="1842">
        <v>64</v>
      </c>
      <c r="D254" s="1842">
        <v>512</v>
      </c>
      <c r="E254" s="1841" t="s">
        <v>102</v>
      </c>
      <c r="F254" s="1841" t="s">
        <v>102</v>
      </c>
      <c r="G254" s="1843">
        <v>4.7159000000000004</v>
      </c>
      <c r="H254" s="1778">
        <v>3065.32</v>
      </c>
      <c r="I254" s="1778" t="s">
        <v>634</v>
      </c>
      <c r="J254" s="1778">
        <v>2513.09</v>
      </c>
      <c r="K254" s="1778">
        <v>14458.86</v>
      </c>
      <c r="L254" s="1778">
        <v>1204.9100000000001</v>
      </c>
      <c r="M254" s="1778">
        <v>2409.81</v>
      </c>
      <c r="N254" s="1778">
        <v>2237.6799999999998</v>
      </c>
      <c r="O254" s="1778">
        <v>25612.84</v>
      </c>
      <c r="P254" s="1778">
        <v>1067.2</v>
      </c>
      <c r="Q254" s="1778">
        <v>2134.4</v>
      </c>
      <c r="R254" s="1778">
        <v>1824.57</v>
      </c>
      <c r="S254" s="1778">
        <v>30983.279999999999</v>
      </c>
      <c r="T254" s="1778">
        <v>860.65</v>
      </c>
      <c r="U254" s="1778">
        <v>1721.29</v>
      </c>
      <c r="V254" s="1846">
        <v>0</v>
      </c>
      <c r="W254" s="1190"/>
      <c r="X254" s="1190"/>
      <c r="Y254" s="1175"/>
      <c r="Z254" s="1192"/>
      <c r="AA254" s="818"/>
    </row>
    <row r="255" spans="1:48" s="1489" customFormat="1">
      <c r="A255" s="1491"/>
      <c r="B255" s="1847" t="s">
        <v>2795</v>
      </c>
      <c r="C255" s="1842">
        <v>2</v>
      </c>
      <c r="D255" s="1847">
        <v>32</v>
      </c>
      <c r="E255" s="1841" t="s">
        <v>102</v>
      </c>
      <c r="F255" s="1841" t="s">
        <v>102</v>
      </c>
      <c r="G255" s="1848">
        <v>0.22094999999999998</v>
      </c>
      <c r="H255" s="1848">
        <v>143.595</v>
      </c>
      <c r="I255" s="1849" t="s">
        <v>634</v>
      </c>
      <c r="J255" s="1848">
        <v>117.73499999999999</v>
      </c>
      <c r="K255" s="1848">
        <v>677.34</v>
      </c>
      <c r="L255" s="1848">
        <v>56.445000000000007</v>
      </c>
      <c r="M255" s="1848">
        <v>112.89000000000001</v>
      </c>
      <c r="N255" s="1848">
        <v>104.82</v>
      </c>
      <c r="O255" s="1848">
        <v>1199.865</v>
      </c>
      <c r="P255" s="1848">
        <v>49.994999999999997</v>
      </c>
      <c r="Q255" s="1848">
        <v>99.99</v>
      </c>
      <c r="R255" s="1848">
        <v>85.47</v>
      </c>
      <c r="S255" s="1848">
        <v>1451.4449999999999</v>
      </c>
      <c r="T255" s="1848">
        <v>40.32</v>
      </c>
      <c r="U255" s="1848">
        <v>80.64</v>
      </c>
      <c r="V255" s="1846">
        <v>0</v>
      </c>
      <c r="W255" s="1190"/>
      <c r="X255" s="1190"/>
      <c r="Y255" s="1175"/>
      <c r="Z255" s="1492"/>
      <c r="AA255" s="818"/>
    </row>
    <row r="256" spans="1:48" s="1489" customFormat="1">
      <c r="A256" s="1491"/>
      <c r="B256" s="1847" t="s">
        <v>2796</v>
      </c>
      <c r="C256" s="1842">
        <v>4</v>
      </c>
      <c r="D256" s="1847">
        <v>64</v>
      </c>
      <c r="E256" s="1841" t="s">
        <v>102</v>
      </c>
      <c r="F256" s="1841" t="s">
        <v>102</v>
      </c>
      <c r="G256" s="1848">
        <v>0.44220000000000004</v>
      </c>
      <c r="H256" s="1848">
        <v>287.41500000000002</v>
      </c>
      <c r="I256" s="1849" t="s">
        <v>634</v>
      </c>
      <c r="J256" s="1848">
        <v>235.63499999999999</v>
      </c>
      <c r="K256" s="1848">
        <v>1355.7149999999999</v>
      </c>
      <c r="L256" s="1848">
        <v>112.97999999999999</v>
      </c>
      <c r="M256" s="1848">
        <v>225.94499999999999</v>
      </c>
      <c r="N256" s="1848">
        <v>209.82</v>
      </c>
      <c r="O256" s="1848">
        <v>2401.5450000000001</v>
      </c>
      <c r="P256" s="1848">
        <v>100.065</v>
      </c>
      <c r="Q256" s="1848">
        <v>200.13</v>
      </c>
      <c r="R256" s="1848">
        <v>171.07499999999999</v>
      </c>
      <c r="S256" s="1848">
        <v>2905.0950000000003</v>
      </c>
      <c r="T256" s="1848">
        <v>80.699999999999989</v>
      </c>
      <c r="U256" s="1848">
        <v>161.39999999999998</v>
      </c>
      <c r="V256" s="1846">
        <v>0</v>
      </c>
      <c r="W256" s="1190"/>
      <c r="X256" s="1190"/>
      <c r="Y256" s="1175"/>
      <c r="Z256" s="1492"/>
      <c r="AA256" s="818"/>
    </row>
    <row r="257" spans="1:48" s="1489" customFormat="1">
      <c r="A257" s="1491"/>
      <c r="B257" s="1847" t="s">
        <v>2797</v>
      </c>
      <c r="C257" s="1842">
        <v>8</v>
      </c>
      <c r="D257" s="1847">
        <v>128</v>
      </c>
      <c r="E257" s="1841" t="s">
        <v>102</v>
      </c>
      <c r="F257" s="1841" t="s">
        <v>102</v>
      </c>
      <c r="G257" s="1848">
        <v>0.88424999999999998</v>
      </c>
      <c r="H257" s="1848">
        <v>574.72499999999991</v>
      </c>
      <c r="I257" s="1849" t="s">
        <v>634</v>
      </c>
      <c r="J257" s="1848">
        <v>471.18</v>
      </c>
      <c r="K257" s="1848">
        <v>2710.9049999999997</v>
      </c>
      <c r="L257" s="1848">
        <v>225.91500000000002</v>
      </c>
      <c r="M257" s="1848">
        <v>451.81499999999994</v>
      </c>
      <c r="N257" s="1848">
        <v>419.54999999999995</v>
      </c>
      <c r="O257" s="1848">
        <v>4802.1749999999993</v>
      </c>
      <c r="P257" s="1848">
        <v>200.08499999999998</v>
      </c>
      <c r="Q257" s="1848">
        <v>400.18500000000006</v>
      </c>
      <c r="R257" s="1848">
        <v>342.09000000000003</v>
      </c>
      <c r="S257" s="1848">
        <v>5809.0950000000003</v>
      </c>
      <c r="T257" s="1848">
        <v>161.37</v>
      </c>
      <c r="U257" s="1848">
        <v>322.72500000000002</v>
      </c>
      <c r="V257" s="1846">
        <v>0</v>
      </c>
      <c r="W257" s="1190"/>
      <c r="X257" s="1190"/>
      <c r="Y257" s="1175"/>
      <c r="Z257" s="1492"/>
      <c r="AA257" s="818"/>
    </row>
    <row r="258" spans="1:48" s="1489" customFormat="1">
      <c r="A258" s="1491"/>
      <c r="B258" s="1847" t="s">
        <v>2798</v>
      </c>
      <c r="C258" s="1842">
        <v>12</v>
      </c>
      <c r="D258" s="1847">
        <v>192</v>
      </c>
      <c r="E258" s="1841" t="s">
        <v>102</v>
      </c>
      <c r="F258" s="1841" t="s">
        <v>102</v>
      </c>
      <c r="G258" s="1848">
        <v>1.3263</v>
      </c>
      <c r="H258" s="1848">
        <v>862.14</v>
      </c>
      <c r="I258" s="1849" t="s">
        <v>634</v>
      </c>
      <c r="J258" s="1848">
        <v>706.81499999999994</v>
      </c>
      <c r="K258" s="1848">
        <v>4066.62</v>
      </c>
      <c r="L258" s="1848">
        <v>338.88</v>
      </c>
      <c r="M258" s="1848">
        <v>677.77500000000009</v>
      </c>
      <c r="N258" s="1848">
        <v>629.35500000000002</v>
      </c>
      <c r="O258" s="1848">
        <v>7203.7199999999993</v>
      </c>
      <c r="P258" s="1848">
        <v>300.14999999999998</v>
      </c>
      <c r="Q258" s="1848">
        <v>600.31499999999994</v>
      </c>
      <c r="R258" s="1848">
        <v>513.16499999999996</v>
      </c>
      <c r="S258" s="1848">
        <v>8714.19</v>
      </c>
      <c r="T258" s="1848">
        <v>242.05500000000001</v>
      </c>
      <c r="U258" s="1848">
        <v>484.125</v>
      </c>
      <c r="V258" s="1846">
        <v>0</v>
      </c>
      <c r="W258" s="1190"/>
      <c r="X258" s="1190"/>
      <c r="Y258" s="1175"/>
      <c r="Z258" s="1492"/>
      <c r="AA258" s="818"/>
    </row>
    <row r="259" spans="1:48" s="1489" customFormat="1">
      <c r="A259" s="1491"/>
      <c r="B259" s="1847" t="s">
        <v>2799</v>
      </c>
      <c r="C259" s="1842">
        <v>16</v>
      </c>
      <c r="D259" s="1847">
        <v>256</v>
      </c>
      <c r="E259" s="1841" t="s">
        <v>102</v>
      </c>
      <c r="F259" s="1841" t="s">
        <v>102</v>
      </c>
      <c r="G259" s="1848">
        <v>1.7683500000000001</v>
      </c>
      <c r="H259" s="1848">
        <v>1149.4349999999999</v>
      </c>
      <c r="I259" s="1849" t="s">
        <v>634</v>
      </c>
      <c r="J259" s="1848">
        <v>942.36</v>
      </c>
      <c r="K259" s="1848">
        <v>5421.8099999999995</v>
      </c>
      <c r="L259" s="1848">
        <v>451.81499999999994</v>
      </c>
      <c r="M259" s="1848">
        <v>903.62999999999988</v>
      </c>
      <c r="N259" s="1848">
        <v>839.08500000000004</v>
      </c>
      <c r="O259" s="1848">
        <v>9604.3649999999998</v>
      </c>
      <c r="P259" s="1848">
        <v>400.18500000000006</v>
      </c>
      <c r="Q259" s="1848">
        <v>800.37000000000012</v>
      </c>
      <c r="R259" s="1848">
        <v>684.18000000000006</v>
      </c>
      <c r="S259" s="1848">
        <v>11618.174999999999</v>
      </c>
      <c r="T259" s="1848">
        <v>322.72500000000002</v>
      </c>
      <c r="U259" s="1848">
        <v>645.45000000000005</v>
      </c>
      <c r="V259" s="1846">
        <v>0</v>
      </c>
      <c r="W259" s="1190"/>
      <c r="X259" s="1190"/>
      <c r="Y259" s="1175"/>
      <c r="Z259" s="1492"/>
      <c r="AA259" s="818"/>
    </row>
    <row r="260" spans="1:48" s="1489" customFormat="1">
      <c r="A260" s="1491"/>
      <c r="B260" s="1847" t="s">
        <v>2800</v>
      </c>
      <c r="C260" s="1842">
        <v>24</v>
      </c>
      <c r="D260" s="1847">
        <v>384</v>
      </c>
      <c r="E260" s="1841" t="s">
        <v>102</v>
      </c>
      <c r="F260" s="1841" t="s">
        <v>102</v>
      </c>
      <c r="G260" s="1848">
        <v>2.6527500000000002</v>
      </c>
      <c r="H260" s="1848">
        <v>1724.2649999999999</v>
      </c>
      <c r="I260" s="1849" t="s">
        <v>634</v>
      </c>
      <c r="J260" s="1848">
        <v>1413.6299999999999</v>
      </c>
      <c r="K260" s="1848">
        <v>8133.24</v>
      </c>
      <c r="L260" s="1848">
        <v>677.77500000000009</v>
      </c>
      <c r="M260" s="1848">
        <v>1355.5350000000001</v>
      </c>
      <c r="N260" s="1848">
        <v>1258.71</v>
      </c>
      <c r="O260" s="1848">
        <v>14407.454999999998</v>
      </c>
      <c r="P260" s="1848">
        <v>600.31499999999994</v>
      </c>
      <c r="Q260" s="1848">
        <v>1200.615</v>
      </c>
      <c r="R260" s="1848">
        <v>1026.33</v>
      </c>
      <c r="S260" s="1848">
        <v>17428.364999999998</v>
      </c>
      <c r="T260" s="1848">
        <v>484.125</v>
      </c>
      <c r="U260" s="1848">
        <v>968.25</v>
      </c>
      <c r="V260" s="1846">
        <v>0</v>
      </c>
      <c r="W260" s="1190"/>
      <c r="X260" s="1190"/>
      <c r="Y260" s="1175"/>
      <c r="Z260" s="1492"/>
      <c r="AA260" s="818"/>
    </row>
    <row r="261" spans="1:48" s="1489" customFormat="1">
      <c r="A261" s="1491"/>
      <c r="B261" s="1847" t="s">
        <v>2801</v>
      </c>
      <c r="C261" s="1842">
        <v>32</v>
      </c>
      <c r="D261" s="1847">
        <v>512</v>
      </c>
      <c r="E261" s="1841" t="s">
        <v>102</v>
      </c>
      <c r="F261" s="1841" t="s">
        <v>102</v>
      </c>
      <c r="G261" s="1848">
        <v>3.5368499999999998</v>
      </c>
      <c r="H261" s="1848">
        <v>2298.9900000000002</v>
      </c>
      <c r="I261" s="1849" t="s">
        <v>634</v>
      </c>
      <c r="J261" s="1848">
        <v>1884.81</v>
      </c>
      <c r="K261" s="1848">
        <v>10844.145</v>
      </c>
      <c r="L261" s="1848">
        <v>903.67500000000007</v>
      </c>
      <c r="M261" s="1848">
        <v>1807.3650000000002</v>
      </c>
      <c r="N261" s="1848">
        <v>1678.2599999999998</v>
      </c>
      <c r="O261" s="1848">
        <v>19209.63</v>
      </c>
      <c r="P261" s="1848">
        <v>800.40000000000009</v>
      </c>
      <c r="Q261" s="1848">
        <v>1600.8000000000002</v>
      </c>
      <c r="R261" s="1848">
        <v>1368.4349999999999</v>
      </c>
      <c r="S261" s="1848">
        <v>23237.46</v>
      </c>
      <c r="T261" s="1848">
        <v>645.48</v>
      </c>
      <c r="U261" s="1848">
        <v>1290.9749999999999</v>
      </c>
      <c r="V261" s="1846">
        <v>0</v>
      </c>
      <c r="W261" s="1190"/>
      <c r="X261" s="1190"/>
      <c r="Y261" s="1175"/>
      <c r="Z261" s="1492"/>
      <c r="AA261" s="818"/>
    </row>
    <row r="262" spans="1:48" s="1405" customFormat="1">
      <c r="A262" s="1186"/>
      <c r="B262" s="1841" t="s">
        <v>2644</v>
      </c>
      <c r="C262" s="1842">
        <v>2</v>
      </c>
      <c r="D262" s="1842">
        <v>16</v>
      </c>
      <c r="E262" s="1841" t="s">
        <v>102</v>
      </c>
      <c r="F262" s="1841" t="s">
        <v>102</v>
      </c>
      <c r="G262" s="1843">
        <v>0.17929999999999999</v>
      </c>
      <c r="H262" s="1778">
        <v>116.54</v>
      </c>
      <c r="I262" s="1778" t="s">
        <v>634</v>
      </c>
      <c r="J262" s="1778">
        <v>95.54</v>
      </c>
      <c r="K262" s="1778">
        <v>549.69000000000005</v>
      </c>
      <c r="L262" s="1778">
        <v>45.81</v>
      </c>
      <c r="M262" s="1778">
        <v>91.61</v>
      </c>
      <c r="N262" s="1778">
        <v>85.07</v>
      </c>
      <c r="O262" s="1778">
        <v>973.73</v>
      </c>
      <c r="P262" s="1778">
        <v>40.57</v>
      </c>
      <c r="Q262" s="1778">
        <v>81.14</v>
      </c>
      <c r="R262" s="1778">
        <v>69.37</v>
      </c>
      <c r="S262" s="1778">
        <v>1177.9000000000001</v>
      </c>
      <c r="T262" s="1778">
        <v>32.72</v>
      </c>
      <c r="U262" s="1778">
        <v>65.44</v>
      </c>
      <c r="V262" s="1846">
        <v>0</v>
      </c>
      <c r="W262" s="1190"/>
      <c r="X262" s="1190"/>
      <c r="Y262" s="1175"/>
      <c r="Z262" s="1192"/>
      <c r="AA262" s="818"/>
    </row>
    <row r="263" spans="1:48" s="1405" customFormat="1">
      <c r="A263" s="1186"/>
      <c r="B263" s="1841" t="s">
        <v>2645</v>
      </c>
      <c r="C263" s="1842">
        <v>4</v>
      </c>
      <c r="D263" s="1842">
        <v>32</v>
      </c>
      <c r="E263" s="1841" t="s">
        <v>102</v>
      </c>
      <c r="F263" s="1841" t="s">
        <v>102</v>
      </c>
      <c r="G263" s="1843">
        <v>0.35880000000000001</v>
      </c>
      <c r="H263" s="1778">
        <v>233.22</v>
      </c>
      <c r="I263" s="1778" t="s">
        <v>634</v>
      </c>
      <c r="J263" s="1778">
        <v>191.2</v>
      </c>
      <c r="K263" s="1778">
        <v>1100.08</v>
      </c>
      <c r="L263" s="1778">
        <v>91.67</v>
      </c>
      <c r="M263" s="1778">
        <v>183.35</v>
      </c>
      <c r="N263" s="1778">
        <v>170.25</v>
      </c>
      <c r="O263" s="1778">
        <v>1948.71</v>
      </c>
      <c r="P263" s="1778">
        <v>81.2</v>
      </c>
      <c r="Q263" s="1778">
        <v>162.38999999999999</v>
      </c>
      <c r="R263" s="1778">
        <v>138.82</v>
      </c>
      <c r="S263" s="1778">
        <v>2357.3200000000002</v>
      </c>
      <c r="T263" s="1778">
        <v>65.48</v>
      </c>
      <c r="U263" s="1778">
        <v>130.96</v>
      </c>
      <c r="V263" s="1846">
        <v>0</v>
      </c>
      <c r="W263" s="1190"/>
      <c r="X263" s="1190"/>
      <c r="Y263" s="1175"/>
      <c r="Z263" s="1192"/>
      <c r="AA263" s="818"/>
    </row>
    <row r="264" spans="1:48" s="1405" customFormat="1">
      <c r="A264" s="1186"/>
      <c r="B264" s="1841" t="s">
        <v>2646</v>
      </c>
      <c r="C264" s="1842">
        <v>8</v>
      </c>
      <c r="D264" s="1842">
        <v>64</v>
      </c>
      <c r="E264" s="1841" t="s">
        <v>102</v>
      </c>
      <c r="F264" s="1841" t="s">
        <v>102</v>
      </c>
      <c r="G264" s="1843">
        <v>0.71760000000000002</v>
      </c>
      <c r="H264" s="1778">
        <v>466.44</v>
      </c>
      <c r="I264" s="1778" t="s">
        <v>634</v>
      </c>
      <c r="J264" s="1778">
        <v>382.41</v>
      </c>
      <c r="K264" s="1778">
        <v>2200.16</v>
      </c>
      <c r="L264" s="1778">
        <v>183.35</v>
      </c>
      <c r="M264" s="1778">
        <v>366.69</v>
      </c>
      <c r="N264" s="1778">
        <v>340.5</v>
      </c>
      <c r="O264" s="1778">
        <v>3897.43</v>
      </c>
      <c r="P264" s="1778">
        <v>162.38999999999999</v>
      </c>
      <c r="Q264" s="1778">
        <v>324.79000000000002</v>
      </c>
      <c r="R264" s="1778">
        <v>277.64</v>
      </c>
      <c r="S264" s="1778">
        <v>4714.63</v>
      </c>
      <c r="T264" s="1778">
        <v>130.96</v>
      </c>
      <c r="U264" s="1778">
        <v>261.92</v>
      </c>
      <c r="V264" s="1846">
        <v>0</v>
      </c>
      <c r="W264" s="1190"/>
      <c r="X264" s="1190"/>
      <c r="Y264" s="1175"/>
      <c r="Z264" s="1192"/>
      <c r="AA264" s="818"/>
    </row>
    <row r="265" spans="1:48" s="1405" customFormat="1">
      <c r="A265" s="1186"/>
      <c r="B265" s="1841" t="s">
        <v>2647</v>
      </c>
      <c r="C265" s="1842">
        <v>16</v>
      </c>
      <c r="D265" s="1842">
        <v>128</v>
      </c>
      <c r="E265" s="1841" t="s">
        <v>102</v>
      </c>
      <c r="F265" s="1841" t="s">
        <v>102</v>
      </c>
      <c r="G265" s="1843">
        <v>1.4352</v>
      </c>
      <c r="H265" s="1778">
        <v>932.88</v>
      </c>
      <c r="I265" s="1778" t="s">
        <v>634</v>
      </c>
      <c r="J265" s="1778">
        <v>764.82</v>
      </c>
      <c r="K265" s="1778">
        <v>4400.32</v>
      </c>
      <c r="L265" s="1778">
        <v>366.69</v>
      </c>
      <c r="M265" s="1778">
        <v>733.39</v>
      </c>
      <c r="N265" s="1778">
        <v>681</v>
      </c>
      <c r="O265" s="1778">
        <v>7794.86</v>
      </c>
      <c r="P265" s="1778">
        <v>324.79000000000002</v>
      </c>
      <c r="Q265" s="1778">
        <v>649.57000000000005</v>
      </c>
      <c r="R265" s="1778">
        <v>555.28</v>
      </c>
      <c r="S265" s="1778">
        <v>9429.26</v>
      </c>
      <c r="T265" s="1778">
        <v>261.92</v>
      </c>
      <c r="U265" s="1778">
        <v>523.85</v>
      </c>
      <c r="V265" s="1846">
        <v>0</v>
      </c>
      <c r="W265" s="1190"/>
      <c r="X265" s="1190"/>
      <c r="Y265" s="1175"/>
      <c r="Z265" s="1192"/>
      <c r="AA265" s="818"/>
    </row>
    <row r="266" spans="1:48" s="1405" customFormat="1">
      <c r="A266" s="1186"/>
      <c r="B266" s="1841" t="s">
        <v>2648</v>
      </c>
      <c r="C266" s="1842">
        <v>32</v>
      </c>
      <c r="D266" s="1842">
        <v>256</v>
      </c>
      <c r="E266" s="1841" t="s">
        <v>102</v>
      </c>
      <c r="F266" s="1841" t="s">
        <v>102</v>
      </c>
      <c r="G266" s="1843">
        <v>2.8704000000000001</v>
      </c>
      <c r="H266" s="1778">
        <v>1865.76</v>
      </c>
      <c r="I266" s="1778" t="s">
        <v>634</v>
      </c>
      <c r="J266" s="1778">
        <v>1529.64</v>
      </c>
      <c r="K266" s="1778">
        <v>8800.65</v>
      </c>
      <c r="L266" s="1778">
        <v>733.39</v>
      </c>
      <c r="M266" s="1778">
        <v>1466.77</v>
      </c>
      <c r="N266" s="1778">
        <v>1362</v>
      </c>
      <c r="O266" s="1778">
        <v>15589.72</v>
      </c>
      <c r="P266" s="1778">
        <v>649.57000000000005</v>
      </c>
      <c r="Q266" s="1778">
        <v>1299.1400000000001</v>
      </c>
      <c r="R266" s="1778">
        <v>1110.56</v>
      </c>
      <c r="S266" s="1778">
        <v>18858.53</v>
      </c>
      <c r="T266" s="1778">
        <v>523.85</v>
      </c>
      <c r="U266" s="1778">
        <v>1047.7</v>
      </c>
      <c r="V266" s="1846">
        <v>0</v>
      </c>
      <c r="W266" s="1190"/>
      <c r="X266" s="1190"/>
      <c r="Y266" s="1175"/>
      <c r="Z266" s="1192"/>
      <c r="AA266" s="818"/>
    </row>
    <row r="267" spans="1:48" s="1405" customFormat="1">
      <c r="A267" s="1186"/>
      <c r="B267" s="1841" t="s">
        <v>2649</v>
      </c>
      <c r="C267" s="1842">
        <v>2</v>
      </c>
      <c r="D267" s="1842">
        <v>16</v>
      </c>
      <c r="E267" s="1841" t="s">
        <v>102</v>
      </c>
      <c r="F267" s="1841" t="s">
        <v>102</v>
      </c>
      <c r="G267" s="1843">
        <v>0.16420000000000001</v>
      </c>
      <c r="H267" s="1778">
        <v>106.74</v>
      </c>
      <c r="I267" s="1778" t="s">
        <v>634</v>
      </c>
      <c r="J267" s="1778" t="s">
        <v>634</v>
      </c>
      <c r="K267" s="1778" t="s">
        <v>634</v>
      </c>
      <c r="L267" s="1778" t="s">
        <v>634</v>
      </c>
      <c r="M267" s="1778" t="s">
        <v>634</v>
      </c>
      <c r="N267" s="1778" t="s">
        <v>634</v>
      </c>
      <c r="O267" s="1778" t="s">
        <v>634</v>
      </c>
      <c r="P267" s="1778" t="s">
        <v>634</v>
      </c>
      <c r="Q267" s="1778" t="s">
        <v>634</v>
      </c>
      <c r="R267" s="1778" t="s">
        <v>634</v>
      </c>
      <c r="S267" s="1778" t="s">
        <v>634</v>
      </c>
      <c r="T267" s="1778" t="s">
        <v>634</v>
      </c>
      <c r="U267" s="1778" t="s">
        <v>634</v>
      </c>
      <c r="V267" s="1778" t="s">
        <v>634</v>
      </c>
      <c r="W267" s="1190"/>
      <c r="X267" s="1190"/>
      <c r="Y267" s="1175"/>
      <c r="Z267" s="1192"/>
      <c r="AA267" s="818"/>
    </row>
    <row r="268" spans="1:48" s="1405" customFormat="1">
      <c r="A268" s="1186"/>
      <c r="B268" s="1841" t="s">
        <v>2650</v>
      </c>
      <c r="C268" s="1842">
        <v>4</v>
      </c>
      <c r="D268" s="1842">
        <v>32</v>
      </c>
      <c r="E268" s="1841" t="s">
        <v>102</v>
      </c>
      <c r="F268" s="1841" t="s">
        <v>102</v>
      </c>
      <c r="G268" s="1843">
        <v>0.32869999999999999</v>
      </c>
      <c r="H268" s="1778">
        <v>213.64</v>
      </c>
      <c r="I268" s="1778" t="s">
        <v>634</v>
      </c>
      <c r="J268" s="1778" t="s">
        <v>634</v>
      </c>
      <c r="K268" s="1778" t="s">
        <v>634</v>
      </c>
      <c r="L268" s="1778" t="s">
        <v>634</v>
      </c>
      <c r="M268" s="1778" t="s">
        <v>634</v>
      </c>
      <c r="N268" s="1778" t="s">
        <v>634</v>
      </c>
      <c r="O268" s="1778" t="s">
        <v>634</v>
      </c>
      <c r="P268" s="1778" t="s">
        <v>634</v>
      </c>
      <c r="Q268" s="1778" t="s">
        <v>634</v>
      </c>
      <c r="R268" s="1778" t="s">
        <v>634</v>
      </c>
      <c r="S268" s="1778" t="s">
        <v>634</v>
      </c>
      <c r="T268" s="1778" t="s">
        <v>634</v>
      </c>
      <c r="U268" s="1778" t="s">
        <v>634</v>
      </c>
      <c r="V268" s="1778" t="s">
        <v>634</v>
      </c>
      <c r="W268" s="1190"/>
      <c r="X268" s="1190"/>
      <c r="Y268" s="1175"/>
      <c r="Z268" s="1192"/>
      <c r="AA268" s="818"/>
    </row>
    <row r="269" spans="1:48" s="613" customFormat="1">
      <c r="A269" s="53"/>
      <c r="B269" s="1841" t="s">
        <v>2651</v>
      </c>
      <c r="C269" s="1842">
        <v>8</v>
      </c>
      <c r="D269" s="1842">
        <v>64</v>
      </c>
      <c r="E269" s="1841" t="s">
        <v>102</v>
      </c>
      <c r="F269" s="1841" t="s">
        <v>102</v>
      </c>
      <c r="G269" s="1843">
        <v>0.65749999999999997</v>
      </c>
      <c r="H269" s="1778">
        <v>427.35</v>
      </c>
      <c r="I269" s="1778" t="s">
        <v>634</v>
      </c>
      <c r="J269" s="1778" t="s">
        <v>634</v>
      </c>
      <c r="K269" s="1778" t="s">
        <v>634</v>
      </c>
      <c r="L269" s="1778" t="s">
        <v>634</v>
      </c>
      <c r="M269" s="1778" t="s">
        <v>634</v>
      </c>
      <c r="N269" s="1778" t="s">
        <v>634</v>
      </c>
      <c r="O269" s="1778" t="s">
        <v>634</v>
      </c>
      <c r="P269" s="1778" t="s">
        <v>634</v>
      </c>
      <c r="Q269" s="1778" t="s">
        <v>634</v>
      </c>
      <c r="R269" s="1778" t="s">
        <v>634</v>
      </c>
      <c r="S269" s="1778" t="s">
        <v>634</v>
      </c>
      <c r="T269" s="1778" t="s">
        <v>634</v>
      </c>
      <c r="U269" s="1778" t="s">
        <v>634</v>
      </c>
      <c r="V269" s="1778" t="s">
        <v>634</v>
      </c>
      <c r="W269" s="93"/>
      <c r="X269" s="1190"/>
      <c r="Y269" s="5"/>
      <c r="Z269" s="218"/>
      <c r="AA269" s="818"/>
      <c r="AE269" s="1405"/>
      <c r="AF269" s="1405"/>
      <c r="AG269" s="1405"/>
      <c r="AH269" s="1405"/>
      <c r="AI269" s="1405"/>
      <c r="AJ269" s="1405"/>
      <c r="AK269" s="1405"/>
      <c r="AL269" s="1405"/>
      <c r="AM269" s="1405"/>
      <c r="AN269" s="1405"/>
      <c r="AO269" s="1405"/>
      <c r="AP269" s="1405"/>
      <c r="AQ269" s="1405"/>
      <c r="AR269" s="1405"/>
      <c r="AS269" s="1405"/>
      <c r="AT269" s="1405"/>
      <c r="AU269" s="1405"/>
      <c r="AV269" s="1405"/>
    </row>
    <row r="270" spans="1:48" s="613" customFormat="1">
      <c r="A270" s="53"/>
      <c r="B270" s="1841" t="s">
        <v>2652</v>
      </c>
      <c r="C270" s="1842">
        <v>16</v>
      </c>
      <c r="D270" s="1842">
        <v>128</v>
      </c>
      <c r="E270" s="1841" t="s">
        <v>102</v>
      </c>
      <c r="F270" s="1841" t="s">
        <v>102</v>
      </c>
      <c r="G270" s="1843">
        <v>1.3148</v>
      </c>
      <c r="H270" s="1778">
        <v>854.62</v>
      </c>
      <c r="I270" s="1778" t="s">
        <v>634</v>
      </c>
      <c r="J270" s="1778" t="s">
        <v>634</v>
      </c>
      <c r="K270" s="1778" t="s">
        <v>634</v>
      </c>
      <c r="L270" s="1778" t="s">
        <v>634</v>
      </c>
      <c r="M270" s="1778" t="s">
        <v>634</v>
      </c>
      <c r="N270" s="1778" t="s">
        <v>634</v>
      </c>
      <c r="O270" s="1778" t="s">
        <v>634</v>
      </c>
      <c r="P270" s="1778" t="s">
        <v>634</v>
      </c>
      <c r="Q270" s="1778" t="s">
        <v>634</v>
      </c>
      <c r="R270" s="1778" t="s">
        <v>634</v>
      </c>
      <c r="S270" s="1778" t="s">
        <v>634</v>
      </c>
      <c r="T270" s="1778" t="s">
        <v>634</v>
      </c>
      <c r="U270" s="1778" t="s">
        <v>634</v>
      </c>
      <c r="V270" s="1778" t="s">
        <v>634</v>
      </c>
      <c r="W270" s="93"/>
      <c r="X270" s="1190"/>
      <c r="Y270" s="5"/>
      <c r="Z270" s="218"/>
      <c r="AA270" s="818"/>
      <c r="AE270" s="1405"/>
      <c r="AF270" s="1405"/>
      <c r="AG270" s="1405"/>
      <c r="AH270" s="1405"/>
      <c r="AI270" s="1405"/>
      <c r="AJ270" s="1405"/>
      <c r="AK270" s="1405"/>
      <c r="AL270" s="1405"/>
      <c r="AM270" s="1405"/>
      <c r="AN270" s="1405"/>
      <c r="AO270" s="1405"/>
      <c r="AP270" s="1405"/>
      <c r="AQ270" s="1405"/>
      <c r="AR270" s="1405"/>
      <c r="AS270" s="1405"/>
      <c r="AT270" s="1405"/>
      <c r="AU270" s="1405"/>
      <c r="AV270" s="1405"/>
    </row>
    <row r="271" spans="1:48" s="613" customFormat="1">
      <c r="A271" s="53"/>
      <c r="B271" s="1841" t="s">
        <v>2379</v>
      </c>
      <c r="C271" s="1842">
        <v>4</v>
      </c>
      <c r="D271" s="1842">
        <v>32</v>
      </c>
      <c r="E271" s="1841" t="s">
        <v>102</v>
      </c>
      <c r="F271" s="1841" t="s">
        <v>602</v>
      </c>
      <c r="G271" s="1843">
        <v>0.63270000000000004</v>
      </c>
      <c r="H271" s="1778">
        <v>411.27</v>
      </c>
      <c r="I271" s="1778" t="s">
        <v>634</v>
      </c>
      <c r="J271" s="1778">
        <v>337.18</v>
      </c>
      <c r="K271" s="1778">
        <v>1939.92</v>
      </c>
      <c r="L271" s="1778">
        <v>161.66</v>
      </c>
      <c r="M271" s="1778">
        <v>323.32</v>
      </c>
      <c r="N271" s="1778">
        <v>300.23</v>
      </c>
      <c r="O271" s="1778">
        <v>3436.43</v>
      </c>
      <c r="P271" s="1778">
        <v>143.18</v>
      </c>
      <c r="Q271" s="1778">
        <v>286.37</v>
      </c>
      <c r="R271" s="1778">
        <v>244.8</v>
      </c>
      <c r="S271" s="1778">
        <v>4156.97</v>
      </c>
      <c r="T271" s="1778">
        <v>115.47</v>
      </c>
      <c r="U271" s="1778">
        <v>230.94</v>
      </c>
      <c r="V271" s="1846">
        <v>0</v>
      </c>
      <c r="W271" s="93"/>
      <c r="X271" s="1190"/>
      <c r="Y271" s="5"/>
      <c r="Z271" s="218"/>
      <c r="AA271" s="818"/>
      <c r="AE271" s="1405"/>
      <c r="AF271" s="1405"/>
      <c r="AG271" s="1405"/>
      <c r="AH271" s="1405"/>
      <c r="AI271" s="1405"/>
      <c r="AJ271" s="1405"/>
      <c r="AK271" s="1405"/>
      <c r="AL271" s="1405"/>
      <c r="AM271" s="1405"/>
      <c r="AN271" s="1405"/>
      <c r="AO271" s="1405"/>
      <c r="AP271" s="1405"/>
      <c r="AQ271" s="1405"/>
      <c r="AR271" s="1405"/>
      <c r="AS271" s="1405"/>
      <c r="AT271" s="1405"/>
      <c r="AU271" s="1405"/>
      <c r="AV271" s="1405"/>
    </row>
    <row r="272" spans="1:48" s="613" customFormat="1">
      <c r="A272" s="53"/>
      <c r="B272" s="1841" t="s">
        <v>2380</v>
      </c>
      <c r="C272" s="1842">
        <v>8</v>
      </c>
      <c r="D272" s="1842">
        <v>64</v>
      </c>
      <c r="E272" s="1841" t="s">
        <v>102</v>
      </c>
      <c r="F272" s="1841" t="s">
        <v>603</v>
      </c>
      <c r="G272" s="1843">
        <v>1.2654000000000001</v>
      </c>
      <c r="H272" s="1778">
        <v>822.54</v>
      </c>
      <c r="I272" s="1778" t="s">
        <v>634</v>
      </c>
      <c r="J272" s="1778">
        <v>674.35</v>
      </c>
      <c r="K272" s="1778">
        <v>3879.84</v>
      </c>
      <c r="L272" s="1778">
        <v>323.32</v>
      </c>
      <c r="M272" s="1778">
        <v>646.64</v>
      </c>
      <c r="N272" s="1778">
        <v>600.45000000000005</v>
      </c>
      <c r="O272" s="1778">
        <v>6872.86</v>
      </c>
      <c r="P272" s="1778">
        <v>286.37</v>
      </c>
      <c r="Q272" s="1778">
        <v>572.74</v>
      </c>
      <c r="R272" s="1778">
        <v>489.6</v>
      </c>
      <c r="S272" s="1778">
        <v>8313.94</v>
      </c>
      <c r="T272" s="1778">
        <v>230.94</v>
      </c>
      <c r="U272" s="1778">
        <v>461.89</v>
      </c>
      <c r="V272" s="1846">
        <v>0</v>
      </c>
      <c r="W272" s="93"/>
      <c r="X272" s="1190"/>
      <c r="Y272" s="5"/>
      <c r="Z272" s="218"/>
      <c r="AA272" s="818"/>
      <c r="AE272" s="1405"/>
      <c r="AF272" s="1405"/>
      <c r="AG272" s="1405"/>
      <c r="AH272" s="1405"/>
      <c r="AI272" s="1405"/>
      <c r="AJ272" s="1405"/>
      <c r="AK272" s="1405"/>
      <c r="AL272" s="1405"/>
      <c r="AM272" s="1405"/>
      <c r="AN272" s="1405"/>
      <c r="AO272" s="1405"/>
      <c r="AP272" s="1405"/>
      <c r="AQ272" s="1405"/>
      <c r="AR272" s="1405"/>
      <c r="AS272" s="1405"/>
      <c r="AT272" s="1405"/>
      <c r="AU272" s="1405"/>
      <c r="AV272" s="1405"/>
    </row>
    <row r="273" spans="1:48" s="613" customFormat="1">
      <c r="A273" s="53"/>
      <c r="B273" s="1841" t="s">
        <v>2399</v>
      </c>
      <c r="C273" s="1842">
        <v>16</v>
      </c>
      <c r="D273" s="1842">
        <v>128</v>
      </c>
      <c r="E273" s="1841" t="s">
        <v>102</v>
      </c>
      <c r="F273" s="1841" t="s">
        <v>604</v>
      </c>
      <c r="G273" s="1843">
        <v>2.5308999999999999</v>
      </c>
      <c r="H273" s="1778">
        <v>1645.07</v>
      </c>
      <c r="I273" s="1778" t="s">
        <v>634</v>
      </c>
      <c r="J273" s="1778">
        <v>1348.71</v>
      </c>
      <c r="K273" s="1778">
        <v>7759.68</v>
      </c>
      <c r="L273" s="1778">
        <v>646.64</v>
      </c>
      <c r="M273" s="1778">
        <v>1293.28</v>
      </c>
      <c r="N273" s="1778">
        <v>1200.9000000000001</v>
      </c>
      <c r="O273" s="1778">
        <v>13745.72</v>
      </c>
      <c r="P273" s="1778">
        <v>572.74</v>
      </c>
      <c r="Q273" s="1778">
        <v>1145.48</v>
      </c>
      <c r="R273" s="1778">
        <v>979.2</v>
      </c>
      <c r="S273" s="1778">
        <v>16627.88</v>
      </c>
      <c r="T273" s="1778">
        <v>461.89</v>
      </c>
      <c r="U273" s="1778">
        <v>923.77</v>
      </c>
      <c r="V273" s="1846">
        <v>0</v>
      </c>
      <c r="W273" s="93"/>
      <c r="X273" s="1190"/>
      <c r="Y273" s="5"/>
      <c r="Z273" s="218"/>
      <c r="AA273" s="818"/>
      <c r="AE273" s="1405"/>
      <c r="AF273" s="1405"/>
      <c r="AG273" s="1405"/>
      <c r="AH273" s="1405"/>
      <c r="AI273" s="1405"/>
      <c r="AJ273" s="1405"/>
      <c r="AK273" s="1405"/>
      <c r="AL273" s="1405"/>
      <c r="AM273" s="1405"/>
      <c r="AN273" s="1405"/>
      <c r="AO273" s="1405"/>
      <c r="AP273" s="1405"/>
      <c r="AQ273" s="1405"/>
      <c r="AR273" s="1405"/>
      <c r="AS273" s="1405"/>
      <c r="AT273" s="1405"/>
      <c r="AU273" s="1405"/>
      <c r="AV273" s="1405"/>
    </row>
    <row r="274" spans="1:48" s="613" customFormat="1">
      <c r="A274" s="53"/>
      <c r="B274" s="1841" t="s">
        <v>2400</v>
      </c>
      <c r="C274" s="1842">
        <v>24</v>
      </c>
      <c r="D274" s="1842">
        <v>192</v>
      </c>
      <c r="E274" s="1841" t="s">
        <v>102</v>
      </c>
      <c r="F274" s="1841" t="s">
        <v>605</v>
      </c>
      <c r="G274" s="1843">
        <v>3.7961999999999998</v>
      </c>
      <c r="H274" s="1778">
        <v>2467.54</v>
      </c>
      <c r="I274" s="1778" t="s">
        <v>634</v>
      </c>
      <c r="J274" s="1778">
        <v>2023</v>
      </c>
      <c r="K274" s="1778">
        <v>11639.18</v>
      </c>
      <c r="L274" s="1778">
        <v>969.93</v>
      </c>
      <c r="M274" s="1778">
        <v>1939.86</v>
      </c>
      <c r="N274" s="1778">
        <v>1801.3</v>
      </c>
      <c r="O274" s="1778">
        <v>20617.98</v>
      </c>
      <c r="P274" s="1778">
        <v>859.08</v>
      </c>
      <c r="Q274" s="1778">
        <v>1718.16</v>
      </c>
      <c r="R274" s="1778">
        <v>1468.75</v>
      </c>
      <c r="S274" s="1778">
        <v>24941.1</v>
      </c>
      <c r="T274" s="1778">
        <v>692.81</v>
      </c>
      <c r="U274" s="1778">
        <v>1385.62</v>
      </c>
      <c r="V274" s="1846">
        <v>0</v>
      </c>
      <c r="W274" s="93"/>
      <c r="X274" s="1190"/>
      <c r="Y274" s="5"/>
      <c r="Z274" s="218"/>
      <c r="AA274" s="818"/>
      <c r="AE274" s="1405"/>
      <c r="AF274" s="1405"/>
      <c r="AG274" s="1405"/>
      <c r="AH274" s="1405"/>
      <c r="AI274" s="1405"/>
      <c r="AJ274" s="1405"/>
      <c r="AK274" s="1405"/>
      <c r="AL274" s="1405"/>
      <c r="AM274" s="1405"/>
      <c r="AN274" s="1405"/>
      <c r="AO274" s="1405"/>
      <c r="AP274" s="1405"/>
      <c r="AQ274" s="1405"/>
      <c r="AR274" s="1405"/>
      <c r="AS274" s="1405"/>
      <c r="AT274" s="1405"/>
      <c r="AU274" s="1405"/>
      <c r="AV274" s="1405"/>
    </row>
    <row r="275" spans="1:48" s="613" customFormat="1">
      <c r="A275" s="53"/>
      <c r="B275" s="1841" t="s">
        <v>2401</v>
      </c>
      <c r="C275" s="1842">
        <v>32</v>
      </c>
      <c r="D275" s="1842">
        <v>256</v>
      </c>
      <c r="E275" s="1841" t="s">
        <v>102</v>
      </c>
      <c r="F275" s="1841" t="s">
        <v>606</v>
      </c>
      <c r="G275" s="1843">
        <v>5.0617000000000001</v>
      </c>
      <c r="H275" s="1778">
        <v>3290.07</v>
      </c>
      <c r="I275" s="1778" t="s">
        <v>634</v>
      </c>
      <c r="J275" s="1778">
        <v>2697.35</v>
      </c>
      <c r="K275" s="1778">
        <v>15519.02</v>
      </c>
      <c r="L275" s="1778">
        <v>1293.25</v>
      </c>
      <c r="M275" s="1778">
        <v>2586.5</v>
      </c>
      <c r="N275" s="1778">
        <v>2401.75</v>
      </c>
      <c r="O275" s="1778">
        <v>27490.83</v>
      </c>
      <c r="P275" s="1778">
        <v>1145.45</v>
      </c>
      <c r="Q275" s="1778">
        <v>2290.9</v>
      </c>
      <c r="R275" s="1778">
        <v>1958.35</v>
      </c>
      <c r="S275" s="1778">
        <v>33255.040000000001</v>
      </c>
      <c r="T275" s="1778">
        <v>923.75</v>
      </c>
      <c r="U275" s="1778">
        <v>1847.5</v>
      </c>
      <c r="V275" s="1846">
        <v>0</v>
      </c>
      <c r="W275" s="93"/>
      <c r="X275" s="1190"/>
      <c r="Y275" s="5"/>
      <c r="Z275" s="218"/>
      <c r="AA275" s="818"/>
      <c r="AE275" s="1405"/>
      <c r="AF275" s="1405"/>
      <c r="AG275" s="1405"/>
      <c r="AH275" s="1405"/>
      <c r="AI275" s="1405"/>
      <c r="AJ275" s="1405"/>
      <c r="AK275" s="1405"/>
      <c r="AL275" s="1405"/>
      <c r="AM275" s="1405"/>
      <c r="AN275" s="1405"/>
      <c r="AO275" s="1405"/>
      <c r="AP275" s="1405"/>
      <c r="AQ275" s="1405"/>
      <c r="AR275" s="1405"/>
      <c r="AS275" s="1405"/>
      <c r="AT275" s="1405"/>
      <c r="AU275" s="1405"/>
      <c r="AV275" s="1405"/>
    </row>
    <row r="276" spans="1:48" s="613" customFormat="1">
      <c r="A276" s="53"/>
      <c r="B276" s="1841" t="s">
        <v>2402</v>
      </c>
      <c r="C276" s="1842">
        <v>48</v>
      </c>
      <c r="D276" s="1842">
        <v>384</v>
      </c>
      <c r="E276" s="1841" t="s">
        <v>102</v>
      </c>
      <c r="F276" s="1841" t="s">
        <v>901</v>
      </c>
      <c r="G276" s="1843">
        <v>7.5925000000000002</v>
      </c>
      <c r="H276" s="1778">
        <v>4935.1400000000003</v>
      </c>
      <c r="I276" s="1778" t="s">
        <v>634</v>
      </c>
      <c r="J276" s="1778">
        <v>4046.06</v>
      </c>
      <c r="K276" s="1778">
        <v>23278.7</v>
      </c>
      <c r="L276" s="1778">
        <v>1939.89</v>
      </c>
      <c r="M276" s="1778">
        <v>3879.78</v>
      </c>
      <c r="N276" s="1778">
        <v>3602.66</v>
      </c>
      <c r="O276" s="1778">
        <v>41236.550000000003</v>
      </c>
      <c r="P276" s="1778">
        <v>1718.19</v>
      </c>
      <c r="Q276" s="1778">
        <v>3436.38</v>
      </c>
      <c r="R276" s="1778">
        <v>2937.55</v>
      </c>
      <c r="S276" s="1778">
        <v>49882.92</v>
      </c>
      <c r="T276" s="1778">
        <v>1385.64</v>
      </c>
      <c r="U276" s="1778">
        <v>2771.27</v>
      </c>
      <c r="V276" s="1846">
        <v>0</v>
      </c>
      <c r="W276" s="93"/>
      <c r="X276" s="1190"/>
      <c r="Y276" s="5"/>
      <c r="Z276" s="218"/>
      <c r="AA276" s="818"/>
      <c r="AE276" s="1405"/>
      <c r="AF276" s="1405"/>
      <c r="AG276" s="1405"/>
      <c r="AH276" s="1405"/>
      <c r="AI276" s="1405"/>
      <c r="AJ276" s="1405"/>
      <c r="AK276" s="1405"/>
      <c r="AL276" s="1405"/>
      <c r="AM276" s="1405"/>
      <c r="AN276" s="1405"/>
      <c r="AO276" s="1405"/>
      <c r="AP276" s="1405"/>
      <c r="AQ276" s="1405"/>
      <c r="AR276" s="1405"/>
      <c r="AS276" s="1405"/>
      <c r="AT276" s="1405"/>
      <c r="AU276" s="1405"/>
      <c r="AV276" s="1405"/>
    </row>
    <row r="277" spans="1:48" s="613" customFormat="1">
      <c r="A277" s="53"/>
      <c r="B277" s="1841" t="s">
        <v>2403</v>
      </c>
      <c r="C277" s="1842">
        <v>56</v>
      </c>
      <c r="D277" s="1842">
        <v>560</v>
      </c>
      <c r="E277" s="1841" t="s">
        <v>102</v>
      </c>
      <c r="F277" s="1841" t="s">
        <v>1211</v>
      </c>
      <c r="G277" s="1843">
        <v>8.8580000000000005</v>
      </c>
      <c r="H277" s="1778">
        <v>5757.68</v>
      </c>
      <c r="I277" s="1778" t="s">
        <v>634</v>
      </c>
      <c r="J277" s="1778">
        <v>4720.41</v>
      </c>
      <c r="K277" s="1778">
        <v>27158.54</v>
      </c>
      <c r="L277" s="1778">
        <v>2263.21</v>
      </c>
      <c r="M277" s="1778">
        <v>4526.42</v>
      </c>
      <c r="N277" s="1778">
        <v>4203.1099999999997</v>
      </c>
      <c r="O277" s="1778">
        <v>48109.41</v>
      </c>
      <c r="P277" s="1778">
        <v>2004.56</v>
      </c>
      <c r="Q277" s="1778">
        <v>4009.12</v>
      </c>
      <c r="R277" s="1778">
        <v>3427.15</v>
      </c>
      <c r="S277" s="1778">
        <v>58196.86</v>
      </c>
      <c r="T277" s="1778">
        <v>1616.58</v>
      </c>
      <c r="U277" s="1778">
        <v>3233.16</v>
      </c>
      <c r="V277" s="1846">
        <v>0</v>
      </c>
      <c r="W277" s="93"/>
      <c r="X277" s="1190"/>
      <c r="Y277" s="5"/>
      <c r="Z277" s="218"/>
      <c r="AA277" s="818"/>
      <c r="AE277" s="1405"/>
      <c r="AF277" s="1405"/>
      <c r="AG277" s="1405"/>
      <c r="AH277" s="1405"/>
      <c r="AI277" s="1405"/>
      <c r="AJ277" s="1405"/>
      <c r="AK277" s="1405"/>
      <c r="AL277" s="1405"/>
      <c r="AM277" s="1405"/>
      <c r="AN277" s="1405"/>
      <c r="AO277" s="1405"/>
      <c r="AP277" s="1405"/>
      <c r="AQ277" s="1405"/>
      <c r="AR277" s="1405"/>
      <c r="AS277" s="1405"/>
      <c r="AT277" s="1405"/>
      <c r="AU277" s="1405"/>
      <c r="AV277" s="1405"/>
    </row>
    <row r="278" spans="1:48" s="1405" customFormat="1">
      <c r="A278" s="1186"/>
      <c r="B278" s="1841" t="s">
        <v>2653</v>
      </c>
      <c r="C278" s="1842">
        <v>4</v>
      </c>
      <c r="D278" s="1842">
        <v>32</v>
      </c>
      <c r="E278" s="1841" t="s">
        <v>102</v>
      </c>
      <c r="F278" s="1841" t="s">
        <v>602</v>
      </c>
      <c r="G278" s="1843">
        <v>0.63270000000000004</v>
      </c>
      <c r="H278" s="1778">
        <v>411.27</v>
      </c>
      <c r="I278" s="1778" t="s">
        <v>634</v>
      </c>
      <c r="J278" s="1778">
        <v>337.18</v>
      </c>
      <c r="K278" s="1778">
        <v>1939.92</v>
      </c>
      <c r="L278" s="1778">
        <v>161.66</v>
      </c>
      <c r="M278" s="1778">
        <v>323.32</v>
      </c>
      <c r="N278" s="1778">
        <v>300.23</v>
      </c>
      <c r="O278" s="1778">
        <v>3436.43</v>
      </c>
      <c r="P278" s="1778">
        <v>143.18</v>
      </c>
      <c r="Q278" s="1778">
        <v>286.37</v>
      </c>
      <c r="R278" s="1778">
        <v>244.8</v>
      </c>
      <c r="S278" s="1778">
        <v>4156.97</v>
      </c>
      <c r="T278" s="1778">
        <v>115.47</v>
      </c>
      <c r="U278" s="1778">
        <v>230.94</v>
      </c>
      <c r="V278" s="1846">
        <v>0</v>
      </c>
      <c r="W278" s="1190"/>
      <c r="X278" s="1190"/>
      <c r="Y278" s="1175"/>
      <c r="Z278" s="1192"/>
      <c r="AA278" s="818"/>
    </row>
    <row r="279" spans="1:48" s="1405" customFormat="1">
      <c r="A279" s="1186"/>
      <c r="B279" s="1841" t="s">
        <v>2654</v>
      </c>
      <c r="C279" s="1842">
        <v>8</v>
      </c>
      <c r="D279" s="1842">
        <v>64</v>
      </c>
      <c r="E279" s="1841" t="s">
        <v>102</v>
      </c>
      <c r="F279" s="1841" t="s">
        <v>603</v>
      </c>
      <c r="G279" s="1843">
        <v>1.2654000000000001</v>
      </c>
      <c r="H279" s="1778">
        <v>822.54</v>
      </c>
      <c r="I279" s="1778" t="s">
        <v>634</v>
      </c>
      <c r="J279" s="1778">
        <v>674.35</v>
      </c>
      <c r="K279" s="1778">
        <v>3879.84</v>
      </c>
      <c r="L279" s="1778">
        <v>323.32</v>
      </c>
      <c r="M279" s="1778">
        <v>646.64</v>
      </c>
      <c r="N279" s="1778">
        <v>600.45000000000005</v>
      </c>
      <c r="O279" s="1778">
        <v>6872.86</v>
      </c>
      <c r="P279" s="1778">
        <v>286.37</v>
      </c>
      <c r="Q279" s="1778">
        <v>572.74</v>
      </c>
      <c r="R279" s="1778">
        <v>489.6</v>
      </c>
      <c r="S279" s="1778">
        <v>8313.94</v>
      </c>
      <c r="T279" s="1778">
        <v>230.94</v>
      </c>
      <c r="U279" s="1778">
        <v>461.89</v>
      </c>
      <c r="V279" s="1846">
        <v>0</v>
      </c>
      <c r="W279" s="1190"/>
      <c r="X279" s="1190"/>
      <c r="Y279" s="1175"/>
      <c r="Z279" s="1192"/>
      <c r="AA279" s="818"/>
    </row>
    <row r="280" spans="1:48" s="1405" customFormat="1">
      <c r="A280" s="1186"/>
      <c r="B280" s="1841" t="s">
        <v>2655</v>
      </c>
      <c r="C280" s="1842">
        <v>16</v>
      </c>
      <c r="D280" s="1842">
        <v>128</v>
      </c>
      <c r="E280" s="1841" t="s">
        <v>102</v>
      </c>
      <c r="F280" s="1841" t="s">
        <v>604</v>
      </c>
      <c r="G280" s="1843">
        <v>2.5308999999999999</v>
      </c>
      <c r="H280" s="1778">
        <v>1645.07</v>
      </c>
      <c r="I280" s="1778" t="s">
        <v>634</v>
      </c>
      <c r="J280" s="1778">
        <v>1348.71</v>
      </c>
      <c r="K280" s="1778">
        <v>7759.68</v>
      </c>
      <c r="L280" s="1778">
        <v>646.64</v>
      </c>
      <c r="M280" s="1778">
        <v>1293.28</v>
      </c>
      <c r="N280" s="1778">
        <v>1200.9000000000001</v>
      </c>
      <c r="O280" s="1778">
        <v>13745.72</v>
      </c>
      <c r="P280" s="1778">
        <v>572.74</v>
      </c>
      <c r="Q280" s="1778">
        <v>1145.48</v>
      </c>
      <c r="R280" s="1778">
        <v>979.2</v>
      </c>
      <c r="S280" s="1778">
        <v>16627.88</v>
      </c>
      <c r="T280" s="1778">
        <v>461.89</v>
      </c>
      <c r="U280" s="1778">
        <v>923.77</v>
      </c>
      <c r="V280" s="1846">
        <v>0</v>
      </c>
      <c r="W280" s="1190"/>
      <c r="X280" s="1190"/>
      <c r="Y280" s="1175"/>
      <c r="Z280" s="1192"/>
      <c r="AA280" s="818"/>
    </row>
    <row r="281" spans="1:48" s="1405" customFormat="1">
      <c r="A281" s="1186"/>
      <c r="B281" s="1841" t="s">
        <v>2656</v>
      </c>
      <c r="C281" s="1842">
        <v>24</v>
      </c>
      <c r="D281" s="1842">
        <v>192</v>
      </c>
      <c r="E281" s="1841" t="s">
        <v>102</v>
      </c>
      <c r="F281" s="1841" t="s">
        <v>605</v>
      </c>
      <c r="G281" s="1843">
        <v>3.7961999999999998</v>
      </c>
      <c r="H281" s="1778">
        <v>2467.54</v>
      </c>
      <c r="I281" s="1778" t="s">
        <v>634</v>
      </c>
      <c r="J281" s="1778">
        <v>2023</v>
      </c>
      <c r="K281" s="1778">
        <v>11639.18</v>
      </c>
      <c r="L281" s="1778">
        <v>969.93</v>
      </c>
      <c r="M281" s="1778">
        <v>1939.86</v>
      </c>
      <c r="N281" s="1778">
        <v>1801.3</v>
      </c>
      <c r="O281" s="1778">
        <v>20617.98</v>
      </c>
      <c r="P281" s="1778">
        <v>859.08</v>
      </c>
      <c r="Q281" s="1778">
        <v>1718.16</v>
      </c>
      <c r="R281" s="1778">
        <v>1468.75</v>
      </c>
      <c r="S281" s="1778">
        <v>24941.1</v>
      </c>
      <c r="T281" s="1778">
        <v>692.81</v>
      </c>
      <c r="U281" s="1778">
        <v>1385.62</v>
      </c>
      <c r="V281" s="1846">
        <v>0</v>
      </c>
      <c r="W281" s="1190"/>
      <c r="X281" s="1190"/>
      <c r="Y281" s="1175"/>
      <c r="Z281" s="1192"/>
      <c r="AA281" s="818"/>
    </row>
    <row r="282" spans="1:48" s="1405" customFormat="1">
      <c r="A282" s="1186"/>
      <c r="B282" s="1841" t="s">
        <v>2657</v>
      </c>
      <c r="C282" s="1842">
        <v>32</v>
      </c>
      <c r="D282" s="1842">
        <v>256</v>
      </c>
      <c r="E282" s="1841" t="s">
        <v>102</v>
      </c>
      <c r="F282" s="1841" t="s">
        <v>606</v>
      </c>
      <c r="G282" s="1843">
        <v>5.0617000000000001</v>
      </c>
      <c r="H282" s="1778">
        <v>3290.07</v>
      </c>
      <c r="I282" s="1778" t="s">
        <v>634</v>
      </c>
      <c r="J282" s="1778">
        <v>2697.35</v>
      </c>
      <c r="K282" s="1778">
        <v>15519.02</v>
      </c>
      <c r="L282" s="1778">
        <v>1293.25</v>
      </c>
      <c r="M282" s="1778">
        <v>2586.5</v>
      </c>
      <c r="N282" s="1778">
        <v>2401.75</v>
      </c>
      <c r="O282" s="1778">
        <v>27490.83</v>
      </c>
      <c r="P282" s="1778">
        <v>1145.45</v>
      </c>
      <c r="Q282" s="1778">
        <v>2290.9</v>
      </c>
      <c r="R282" s="1778">
        <v>1958.35</v>
      </c>
      <c r="S282" s="1778">
        <v>33255.040000000001</v>
      </c>
      <c r="T282" s="1778">
        <v>923.75</v>
      </c>
      <c r="U282" s="1778">
        <v>1847.5</v>
      </c>
      <c r="V282" s="1846">
        <v>0</v>
      </c>
      <c r="W282" s="1190"/>
      <c r="X282" s="1190"/>
      <c r="Y282" s="1175"/>
      <c r="Z282" s="1192"/>
      <c r="AA282" s="818"/>
    </row>
    <row r="283" spans="1:48" s="1405" customFormat="1">
      <c r="A283" s="1186"/>
      <c r="B283" s="1841" t="s">
        <v>2658</v>
      </c>
      <c r="C283" s="1842">
        <v>56</v>
      </c>
      <c r="D283" s="1842">
        <v>584</v>
      </c>
      <c r="E283" s="1841" t="s">
        <v>102</v>
      </c>
      <c r="F283" s="1841" t="s">
        <v>607</v>
      </c>
      <c r="G283" s="1843">
        <v>7.5925000000000002</v>
      </c>
      <c r="H283" s="1778">
        <v>4935.1400000000003</v>
      </c>
      <c r="I283" s="1778" t="s">
        <v>634</v>
      </c>
      <c r="J283" s="1778">
        <v>4046.06</v>
      </c>
      <c r="K283" s="1778">
        <v>23278.7</v>
      </c>
      <c r="L283" s="1778">
        <v>1939.89</v>
      </c>
      <c r="M283" s="1778">
        <v>3879.78</v>
      </c>
      <c r="N283" s="1778">
        <v>3602.66</v>
      </c>
      <c r="O283" s="1778">
        <v>41236.550000000003</v>
      </c>
      <c r="P283" s="1778">
        <v>1718.19</v>
      </c>
      <c r="Q283" s="1778">
        <v>3436.38</v>
      </c>
      <c r="R283" s="1778">
        <v>2937.55</v>
      </c>
      <c r="S283" s="1778">
        <v>49882.92</v>
      </c>
      <c r="T283" s="1778">
        <v>1385.64</v>
      </c>
      <c r="U283" s="1778">
        <v>2771.27</v>
      </c>
      <c r="V283" s="1846">
        <v>0</v>
      </c>
      <c r="W283" s="1190"/>
      <c r="X283" s="1190"/>
      <c r="Y283" s="1175"/>
      <c r="Z283" s="1192"/>
      <c r="AA283" s="818"/>
    </row>
    <row r="284" spans="1:48" s="1405" customFormat="1">
      <c r="A284" s="1186"/>
      <c r="B284" s="1841" t="s">
        <v>2373</v>
      </c>
      <c r="C284" s="1842">
        <v>4</v>
      </c>
      <c r="D284" s="1842">
        <v>32</v>
      </c>
      <c r="E284" s="1841" t="s">
        <v>102</v>
      </c>
      <c r="F284" s="1841" t="s">
        <v>602</v>
      </c>
      <c r="G284" s="1843">
        <v>0.72450000000000003</v>
      </c>
      <c r="H284" s="1778">
        <v>470.93</v>
      </c>
      <c r="I284" s="1778" t="s">
        <v>634</v>
      </c>
      <c r="J284" s="1778">
        <v>386.09</v>
      </c>
      <c r="K284" s="1778">
        <v>2221.3200000000002</v>
      </c>
      <c r="L284" s="1778">
        <v>185.11</v>
      </c>
      <c r="M284" s="1778">
        <v>370.22</v>
      </c>
      <c r="N284" s="1778">
        <v>343.78</v>
      </c>
      <c r="O284" s="1778">
        <v>3934.9</v>
      </c>
      <c r="P284" s="1778">
        <v>163.95</v>
      </c>
      <c r="Q284" s="1778">
        <v>327.91</v>
      </c>
      <c r="R284" s="1778">
        <v>280.31</v>
      </c>
      <c r="S284" s="1778">
        <v>4759.97</v>
      </c>
      <c r="T284" s="1778">
        <v>132.22</v>
      </c>
      <c r="U284" s="1778">
        <v>264.44</v>
      </c>
      <c r="V284" s="1846">
        <v>0</v>
      </c>
      <c r="W284" s="1190"/>
      <c r="X284" s="1190"/>
      <c r="Y284" s="1175"/>
      <c r="Z284" s="1192"/>
      <c r="AA284" s="818"/>
    </row>
    <row r="285" spans="1:48" s="1405" customFormat="1">
      <c r="A285" s="1186"/>
      <c r="B285" s="1841" t="s">
        <v>2374</v>
      </c>
      <c r="C285" s="1842">
        <v>8</v>
      </c>
      <c r="D285" s="1842">
        <v>64</v>
      </c>
      <c r="E285" s="1841" t="s">
        <v>102</v>
      </c>
      <c r="F285" s="1841" t="s">
        <v>603</v>
      </c>
      <c r="G285" s="1843">
        <v>1.4489000000000001</v>
      </c>
      <c r="H285" s="1778">
        <v>941.78</v>
      </c>
      <c r="I285" s="1778" t="s">
        <v>634</v>
      </c>
      <c r="J285" s="1778">
        <v>772.11</v>
      </c>
      <c r="K285" s="1778">
        <v>4442.28</v>
      </c>
      <c r="L285" s="1778">
        <v>370.19</v>
      </c>
      <c r="M285" s="1778">
        <v>740.38</v>
      </c>
      <c r="N285" s="1778">
        <v>687.5</v>
      </c>
      <c r="O285" s="1778">
        <v>7869.18</v>
      </c>
      <c r="P285" s="1778">
        <v>327.88</v>
      </c>
      <c r="Q285" s="1778">
        <v>655.77</v>
      </c>
      <c r="R285" s="1778">
        <v>560.57000000000005</v>
      </c>
      <c r="S285" s="1778">
        <v>9519.17</v>
      </c>
      <c r="T285" s="1778">
        <v>264.42</v>
      </c>
      <c r="U285" s="1778">
        <v>528.84</v>
      </c>
      <c r="V285" s="1846">
        <v>0</v>
      </c>
      <c r="W285" s="1190"/>
      <c r="X285" s="1190"/>
      <c r="Y285" s="1175"/>
      <c r="Z285" s="1192"/>
      <c r="AA285" s="818"/>
    </row>
    <row r="286" spans="1:48" s="1405" customFormat="1">
      <c r="A286" s="1186"/>
      <c r="B286" s="1841" t="s">
        <v>2397</v>
      </c>
      <c r="C286" s="1842">
        <v>16</v>
      </c>
      <c r="D286" s="1842">
        <v>128</v>
      </c>
      <c r="E286" s="1841" t="s">
        <v>102</v>
      </c>
      <c r="F286" s="1841" t="s">
        <v>604</v>
      </c>
      <c r="G286" s="1843">
        <v>2.8978999999999999</v>
      </c>
      <c r="H286" s="1778">
        <v>1883.63</v>
      </c>
      <c r="I286" s="1778" t="s">
        <v>634</v>
      </c>
      <c r="J286" s="1778">
        <v>1544.28</v>
      </c>
      <c r="K286" s="1778">
        <v>8884.92</v>
      </c>
      <c r="L286" s="1778">
        <v>740.41</v>
      </c>
      <c r="M286" s="1778">
        <v>1480.82</v>
      </c>
      <c r="N286" s="1778">
        <v>1375.05</v>
      </c>
      <c r="O286" s="1778">
        <v>15738.99</v>
      </c>
      <c r="P286" s="1778">
        <v>655.79</v>
      </c>
      <c r="Q286" s="1778">
        <v>1311.58</v>
      </c>
      <c r="R286" s="1778">
        <v>1121.19</v>
      </c>
      <c r="S286" s="1778">
        <v>19039.099999999999</v>
      </c>
      <c r="T286" s="1778">
        <v>528.86</v>
      </c>
      <c r="U286" s="1778">
        <v>1057.73</v>
      </c>
      <c r="V286" s="1846">
        <v>0</v>
      </c>
      <c r="W286" s="1190"/>
      <c r="X286" s="1190"/>
      <c r="Y286" s="1175"/>
      <c r="Z286" s="1192"/>
      <c r="AA286" s="818"/>
    </row>
    <row r="287" spans="1:48" s="1405" customFormat="1">
      <c r="A287" s="1186"/>
      <c r="B287" s="1841" t="s">
        <v>2659</v>
      </c>
      <c r="C287" s="1842">
        <v>24</v>
      </c>
      <c r="D287" s="1842">
        <v>192</v>
      </c>
      <c r="E287" s="1841" t="s">
        <v>102</v>
      </c>
      <c r="F287" s="1841" t="s">
        <v>605</v>
      </c>
      <c r="G287" s="1843">
        <v>4.3468</v>
      </c>
      <c r="H287" s="1778">
        <v>2825.4</v>
      </c>
      <c r="I287" s="1778" t="s">
        <v>634</v>
      </c>
      <c r="J287" s="1778">
        <v>2316.39</v>
      </c>
      <c r="K287" s="1778">
        <v>13327.2</v>
      </c>
      <c r="L287" s="1778">
        <v>1110.5999999999999</v>
      </c>
      <c r="M287" s="1778">
        <v>2221.1999999999998</v>
      </c>
      <c r="N287" s="1778">
        <v>2062.54</v>
      </c>
      <c r="O287" s="1778">
        <v>23608.18</v>
      </c>
      <c r="P287" s="1778">
        <v>983.67</v>
      </c>
      <c r="Q287" s="1778">
        <v>1967.35</v>
      </c>
      <c r="R287" s="1778">
        <v>1681.77</v>
      </c>
      <c r="S287" s="1778">
        <v>28558.28</v>
      </c>
      <c r="T287" s="1778">
        <v>793.29</v>
      </c>
      <c r="U287" s="1778">
        <v>1586.57</v>
      </c>
      <c r="V287" s="1846">
        <v>0</v>
      </c>
      <c r="W287" s="1190"/>
      <c r="X287" s="1190"/>
      <c r="Y287" s="1175"/>
      <c r="Z287" s="1192"/>
      <c r="AA287" s="818"/>
    </row>
    <row r="288" spans="1:48" s="1405" customFormat="1">
      <c r="A288" s="1186"/>
      <c r="B288" s="1841" t="s">
        <v>2398</v>
      </c>
      <c r="C288" s="1842">
        <v>32</v>
      </c>
      <c r="D288" s="1842">
        <v>256</v>
      </c>
      <c r="E288" s="1841" t="s">
        <v>102</v>
      </c>
      <c r="F288" s="1841" t="s">
        <v>606</v>
      </c>
      <c r="G288" s="1843">
        <v>5.7957999999999998</v>
      </c>
      <c r="H288" s="1778">
        <v>3767.25</v>
      </c>
      <c r="I288" s="1778" t="s">
        <v>634</v>
      </c>
      <c r="J288" s="1778">
        <v>3088.57</v>
      </c>
      <c r="K288" s="1778">
        <v>17769.830000000002</v>
      </c>
      <c r="L288" s="1778">
        <v>1480.82</v>
      </c>
      <c r="M288" s="1778">
        <v>2961.64</v>
      </c>
      <c r="N288" s="1778">
        <v>2750.09</v>
      </c>
      <c r="O288" s="1778">
        <v>31477.99</v>
      </c>
      <c r="P288" s="1778">
        <v>1311.58</v>
      </c>
      <c r="Q288" s="1778">
        <v>2623.17</v>
      </c>
      <c r="R288" s="1778">
        <v>2242.38</v>
      </c>
      <c r="S288" s="1778">
        <v>38078.21</v>
      </c>
      <c r="T288" s="1778">
        <v>1057.73</v>
      </c>
      <c r="U288" s="1778">
        <v>2115.46</v>
      </c>
      <c r="V288" s="1846">
        <v>0</v>
      </c>
      <c r="W288" s="1190"/>
      <c r="X288" s="1190"/>
      <c r="Y288" s="1175"/>
      <c r="Z288" s="1192"/>
      <c r="AA288" s="818"/>
    </row>
    <row r="289" spans="1:27" s="1405" customFormat="1">
      <c r="A289" s="1186"/>
      <c r="B289" s="1841" t="s">
        <v>2660</v>
      </c>
      <c r="C289" s="1842">
        <v>48</v>
      </c>
      <c r="D289" s="1842">
        <v>384</v>
      </c>
      <c r="E289" s="1841" t="s">
        <v>102</v>
      </c>
      <c r="F289" s="1841" t="s">
        <v>901</v>
      </c>
      <c r="G289" s="1843">
        <v>8.6935000000000002</v>
      </c>
      <c r="H289" s="1778">
        <v>5650.8</v>
      </c>
      <c r="I289" s="1778" t="s">
        <v>634</v>
      </c>
      <c r="J289" s="1778">
        <v>4632.79</v>
      </c>
      <c r="K289" s="1778">
        <v>26654.39</v>
      </c>
      <c r="L289" s="1778">
        <v>2221.1999999999998</v>
      </c>
      <c r="M289" s="1778">
        <v>4442.3999999999996</v>
      </c>
      <c r="N289" s="1778">
        <v>4125.08</v>
      </c>
      <c r="O289" s="1778">
        <v>47216.35</v>
      </c>
      <c r="P289" s="1778">
        <v>1967.35</v>
      </c>
      <c r="Q289" s="1778">
        <v>3934.7</v>
      </c>
      <c r="R289" s="1778">
        <v>3363.53</v>
      </c>
      <c r="S289" s="1778">
        <v>57116.56</v>
      </c>
      <c r="T289" s="1778">
        <v>1586.57</v>
      </c>
      <c r="U289" s="1778">
        <v>3173.14</v>
      </c>
      <c r="V289" s="1846">
        <v>0</v>
      </c>
      <c r="W289" s="1190"/>
      <c r="X289" s="1190"/>
      <c r="Y289" s="1175"/>
      <c r="Z289" s="1192"/>
      <c r="AA289" s="818"/>
    </row>
    <row r="290" spans="1:27" s="1489" customFormat="1">
      <c r="A290" s="1491"/>
      <c r="B290" s="1842" t="s">
        <v>2661</v>
      </c>
      <c r="C290" s="1842">
        <v>4</v>
      </c>
      <c r="D290" s="1842">
        <v>16</v>
      </c>
      <c r="E290" s="1842" t="s">
        <v>102</v>
      </c>
      <c r="F290" s="1842" t="s">
        <v>2422</v>
      </c>
      <c r="G290" s="1844">
        <v>0.63270000000000004</v>
      </c>
      <c r="H290" s="1844">
        <v>411.25500000000005</v>
      </c>
      <c r="I290" s="1845"/>
      <c r="J290" s="1778">
        <v>337.16583000000003</v>
      </c>
      <c r="K290" s="1778">
        <v>1939.8582000000001</v>
      </c>
      <c r="L290" s="1778">
        <v>161.65485000000001</v>
      </c>
      <c r="M290" s="1778">
        <v>323.30970000000002</v>
      </c>
      <c r="N290" s="1778">
        <v>300.21615000000003</v>
      </c>
      <c r="O290" s="1778">
        <v>3436.32024</v>
      </c>
      <c r="P290" s="1778">
        <v>143.18001000000001</v>
      </c>
      <c r="Q290" s="1778">
        <v>286.36002000000002</v>
      </c>
      <c r="R290" s="1778">
        <v>244.79163000000003</v>
      </c>
      <c r="S290" s="1778">
        <v>4156.8389999999999</v>
      </c>
      <c r="T290" s="1778">
        <v>115.46775</v>
      </c>
      <c r="U290" s="1778">
        <v>230.93550000000002</v>
      </c>
      <c r="V290" s="1846">
        <v>0</v>
      </c>
      <c r="W290" s="1190"/>
      <c r="X290" s="1190"/>
      <c r="Y290" s="40"/>
      <c r="Z290" s="1692"/>
      <c r="AA290" s="1493"/>
    </row>
    <row r="291" spans="1:27" s="1489" customFormat="1">
      <c r="A291" s="1491"/>
      <c r="B291" s="1842" t="s">
        <v>2662</v>
      </c>
      <c r="C291" s="1842">
        <v>8</v>
      </c>
      <c r="D291" s="1842">
        <v>32</v>
      </c>
      <c r="E291" s="1842" t="s">
        <v>102</v>
      </c>
      <c r="F291" s="1842" t="s">
        <v>2423</v>
      </c>
      <c r="G291" s="1844">
        <v>1.2654000000000001</v>
      </c>
      <c r="H291" s="1844">
        <v>822.5100000000001</v>
      </c>
      <c r="I291" s="1845"/>
      <c r="J291" s="1778">
        <v>674.33166000000006</v>
      </c>
      <c r="K291" s="1778">
        <v>3879.7164000000002</v>
      </c>
      <c r="L291" s="1778">
        <v>323.30970000000002</v>
      </c>
      <c r="M291" s="1778">
        <v>646.61940000000004</v>
      </c>
      <c r="N291" s="1778">
        <v>600.43230000000005</v>
      </c>
      <c r="O291" s="1778">
        <v>6872.64048</v>
      </c>
      <c r="P291" s="1778">
        <v>286.36002000000002</v>
      </c>
      <c r="Q291" s="1778">
        <v>572.72004000000004</v>
      </c>
      <c r="R291" s="1778">
        <v>489.58326000000005</v>
      </c>
      <c r="S291" s="1778">
        <v>8313.6779999999999</v>
      </c>
      <c r="T291" s="1778">
        <v>230.93549999999999</v>
      </c>
      <c r="U291" s="1778">
        <v>461.87100000000004</v>
      </c>
      <c r="V291" s="1846">
        <v>0</v>
      </c>
      <c r="W291" s="1190"/>
      <c r="X291" s="1190"/>
      <c r="Y291" s="40"/>
      <c r="Z291" s="1692"/>
      <c r="AA291" s="1493"/>
    </row>
    <row r="292" spans="1:27" s="1489" customFormat="1">
      <c r="A292" s="1491"/>
      <c r="B292" s="1842" t="s">
        <v>2663</v>
      </c>
      <c r="C292" s="1842">
        <v>16</v>
      </c>
      <c r="D292" s="1842">
        <v>64</v>
      </c>
      <c r="E292" s="1842" t="s">
        <v>102</v>
      </c>
      <c r="F292" s="1842" t="s">
        <v>2424</v>
      </c>
      <c r="G292" s="1844">
        <v>2.5308999999999999</v>
      </c>
      <c r="H292" s="1844">
        <v>1645.085</v>
      </c>
      <c r="I292" s="1845"/>
      <c r="J292" s="1778">
        <v>1348.7166099999999</v>
      </c>
      <c r="K292" s="1778">
        <v>7759.7394000000004</v>
      </c>
      <c r="L292" s="1778">
        <v>646.64494999999999</v>
      </c>
      <c r="M292" s="1778">
        <v>1293.2899</v>
      </c>
      <c r="N292" s="1778">
        <v>1200.9120500000001</v>
      </c>
      <c r="O292" s="1778">
        <v>13745.824079999999</v>
      </c>
      <c r="P292" s="1778">
        <v>572.74266999999998</v>
      </c>
      <c r="Q292" s="1778">
        <v>1145.48534</v>
      </c>
      <c r="R292" s="1778">
        <v>979.20521000000008</v>
      </c>
      <c r="S292" s="1778">
        <v>16628.012999999999</v>
      </c>
      <c r="T292" s="1778">
        <v>461.88924999999995</v>
      </c>
      <c r="U292" s="1778">
        <v>923.77850000000001</v>
      </c>
      <c r="V292" s="1846">
        <v>0</v>
      </c>
      <c r="W292" s="1190"/>
      <c r="X292" s="1190"/>
      <c r="Y292" s="40"/>
      <c r="Z292" s="1692"/>
      <c r="AA292" s="1493"/>
    </row>
    <row r="293" spans="1:27" s="1489" customFormat="1">
      <c r="A293" s="1491"/>
      <c r="B293" s="1842" t="s">
        <v>2664</v>
      </c>
      <c r="C293" s="1842">
        <v>24</v>
      </c>
      <c r="D293" s="1842">
        <v>96</v>
      </c>
      <c r="E293" s="1842" t="s">
        <v>102</v>
      </c>
      <c r="F293" s="1842" t="s">
        <v>2425</v>
      </c>
      <c r="G293" s="1844">
        <v>3.7961999999999998</v>
      </c>
      <c r="H293" s="1844">
        <v>2467.5299999999997</v>
      </c>
      <c r="I293" s="1845"/>
      <c r="J293" s="1778">
        <v>2022.9949799999997</v>
      </c>
      <c r="K293" s="1778">
        <v>11639.149199999998</v>
      </c>
      <c r="L293" s="1778">
        <v>969.92909999999983</v>
      </c>
      <c r="M293" s="1778">
        <v>1939.8581999999997</v>
      </c>
      <c r="N293" s="1778">
        <v>1801.2968999999998</v>
      </c>
      <c r="O293" s="1778">
        <v>20617.921439999998</v>
      </c>
      <c r="P293" s="1778">
        <v>859.08005999999989</v>
      </c>
      <c r="Q293" s="1778">
        <v>1718.1601199999998</v>
      </c>
      <c r="R293" s="1778">
        <v>1468.7497799999999</v>
      </c>
      <c r="S293" s="1778">
        <v>24941.033999999996</v>
      </c>
      <c r="T293" s="1778">
        <v>692.80649999999991</v>
      </c>
      <c r="U293" s="1778">
        <v>1385.6129999999998</v>
      </c>
      <c r="V293" s="1846">
        <v>0</v>
      </c>
      <c r="W293" s="1190"/>
      <c r="X293" s="1190"/>
      <c r="Y293" s="40"/>
      <c r="Z293" s="1692"/>
      <c r="AA293" s="1493"/>
    </row>
    <row r="294" spans="1:27" s="1489" customFormat="1">
      <c r="A294" s="1491"/>
      <c r="B294" s="1842" t="s">
        <v>2665</v>
      </c>
      <c r="C294" s="1842">
        <v>32</v>
      </c>
      <c r="D294" s="1842">
        <v>128</v>
      </c>
      <c r="E294" s="1842" t="s">
        <v>102</v>
      </c>
      <c r="F294" s="1842" t="s">
        <v>2426</v>
      </c>
      <c r="G294" s="1844">
        <v>5.0617000000000001</v>
      </c>
      <c r="H294" s="1844">
        <v>3290.105</v>
      </c>
      <c r="I294" s="1845"/>
      <c r="J294" s="1778">
        <v>2697.3799300000001</v>
      </c>
      <c r="K294" s="1778">
        <v>15519.172199999999</v>
      </c>
      <c r="L294" s="1778">
        <v>1293.2643499999999</v>
      </c>
      <c r="M294" s="1778">
        <v>2586.5286999999998</v>
      </c>
      <c r="N294" s="1778">
        <v>2401.7766500000002</v>
      </c>
      <c r="O294" s="1778">
        <v>27491.105040000002</v>
      </c>
      <c r="P294" s="1778">
        <v>1145.46271</v>
      </c>
      <c r="Q294" s="1778">
        <v>2290.92542</v>
      </c>
      <c r="R294" s="1778">
        <v>1958.3717300000003</v>
      </c>
      <c r="S294" s="1778">
        <v>33255.368999999999</v>
      </c>
      <c r="T294" s="1778">
        <v>923.76024999999993</v>
      </c>
      <c r="U294" s="1778">
        <v>1847.5205000000001</v>
      </c>
      <c r="V294" s="1846">
        <v>0</v>
      </c>
      <c r="W294" s="1190"/>
      <c r="X294" s="1190"/>
      <c r="Y294" s="40"/>
      <c r="Z294" s="1692"/>
      <c r="AA294" s="1493"/>
    </row>
    <row r="295" spans="1:27" s="1489" customFormat="1">
      <c r="A295" s="1491"/>
      <c r="B295" s="1842" t="s">
        <v>2666</v>
      </c>
      <c r="C295" s="1842">
        <v>48</v>
      </c>
      <c r="D295" s="1842">
        <v>192</v>
      </c>
      <c r="E295" s="1842" t="s">
        <v>102</v>
      </c>
      <c r="F295" s="1842" t="s">
        <v>2427</v>
      </c>
      <c r="G295" s="1844">
        <v>7.5925000000000002</v>
      </c>
      <c r="H295" s="1844">
        <v>4935.125</v>
      </c>
      <c r="I295" s="1845"/>
      <c r="J295" s="1778">
        <v>4046.0432500000002</v>
      </c>
      <c r="K295" s="1778">
        <v>23278.605</v>
      </c>
      <c r="L295" s="1778">
        <v>1939.88375</v>
      </c>
      <c r="M295" s="1778">
        <v>3879.7674999999999</v>
      </c>
      <c r="N295" s="1778">
        <v>3602.6412500000006</v>
      </c>
      <c r="O295" s="1778">
        <v>41236.386000000006</v>
      </c>
      <c r="P295" s="1778">
        <v>1718.1827500000002</v>
      </c>
      <c r="Q295" s="1778">
        <v>3436.3655000000003</v>
      </c>
      <c r="R295" s="1778">
        <v>2937.5382500000005</v>
      </c>
      <c r="S295" s="1778">
        <v>49882.725000000006</v>
      </c>
      <c r="T295" s="1778">
        <v>1385.6312500000001</v>
      </c>
      <c r="U295" s="1778">
        <v>2771.2625000000003</v>
      </c>
      <c r="V295" s="1846">
        <v>0</v>
      </c>
      <c r="W295" s="1190"/>
      <c r="X295" s="1190"/>
      <c r="Y295" s="40"/>
      <c r="Z295" s="1692"/>
      <c r="AA295" s="1493"/>
    </row>
    <row r="296" spans="1:27" s="1489" customFormat="1">
      <c r="A296" s="1491"/>
      <c r="B296" s="1842" t="s">
        <v>2667</v>
      </c>
      <c r="C296" s="1842">
        <v>64</v>
      </c>
      <c r="D296" s="1842">
        <v>256</v>
      </c>
      <c r="E296" s="1842" t="s">
        <v>102</v>
      </c>
      <c r="F296" s="1842" t="s">
        <v>2428</v>
      </c>
      <c r="G296" s="1844">
        <v>10.123428571428573</v>
      </c>
      <c r="H296" s="1844">
        <v>6580.2285714285717</v>
      </c>
      <c r="I296" s="1845"/>
      <c r="J296" s="1778">
        <v>5394.7750857142864</v>
      </c>
      <c r="K296" s="1778">
        <v>31038.432000000001</v>
      </c>
      <c r="L296" s="1778">
        <v>2586.5360000000001</v>
      </c>
      <c r="M296" s="1778">
        <v>5173.0720000000001</v>
      </c>
      <c r="N296" s="1778">
        <v>4803.5668571428578</v>
      </c>
      <c r="O296" s="1778">
        <v>54982.365257142854</v>
      </c>
      <c r="P296" s="1778">
        <v>2290.9318857142857</v>
      </c>
      <c r="Q296" s="1778">
        <v>4581.8637714285715</v>
      </c>
      <c r="R296" s="1778">
        <v>3916.7545142857148</v>
      </c>
      <c r="S296" s="1778">
        <v>66510.925714285724</v>
      </c>
      <c r="T296" s="1778">
        <v>1847.5257142857145</v>
      </c>
      <c r="U296" s="1778">
        <v>3695.0514285714289</v>
      </c>
      <c r="V296" s="1846">
        <v>0</v>
      </c>
      <c r="W296" s="1190"/>
      <c r="X296" s="1190"/>
      <c r="Y296" s="40"/>
      <c r="Z296" s="1692"/>
      <c r="AA296" s="1493"/>
    </row>
    <row r="297" spans="1:27" s="1489" customFormat="1">
      <c r="A297" s="1491"/>
      <c r="B297" s="1842" t="s">
        <v>2668</v>
      </c>
      <c r="C297" s="1842">
        <v>72</v>
      </c>
      <c r="D297" s="1842">
        <v>288</v>
      </c>
      <c r="E297" s="1842" t="s">
        <v>102</v>
      </c>
      <c r="F297" s="1842" t="s">
        <v>2429</v>
      </c>
      <c r="G297" s="1844">
        <v>11.388857142857145</v>
      </c>
      <c r="H297" s="1844">
        <v>7402.7571428571437</v>
      </c>
      <c r="I297" s="1845"/>
      <c r="J297" s="1778">
        <v>6069.1219714285726</v>
      </c>
      <c r="K297" s="1778">
        <v>34918.236000000004</v>
      </c>
      <c r="L297" s="1778">
        <v>2909.8530000000005</v>
      </c>
      <c r="M297" s="1778">
        <v>5819.7060000000001</v>
      </c>
      <c r="N297" s="1778">
        <v>5404.0127142857154</v>
      </c>
      <c r="O297" s="1778">
        <v>61855.160914285727</v>
      </c>
      <c r="P297" s="1778">
        <v>2577.298371428572</v>
      </c>
      <c r="Q297" s="1778">
        <v>5154.5967428571439</v>
      </c>
      <c r="R297" s="1778">
        <v>4406.3488285714293</v>
      </c>
      <c r="S297" s="1778">
        <v>74824.791428571436</v>
      </c>
      <c r="T297" s="1778">
        <v>2078.4664285714289</v>
      </c>
      <c r="U297" s="1778">
        <v>4156.9328571428578</v>
      </c>
      <c r="V297" s="1846">
        <v>0</v>
      </c>
      <c r="W297" s="1190"/>
      <c r="X297" s="1190"/>
      <c r="Y297" s="40"/>
      <c r="Z297" s="1692"/>
      <c r="AA297" s="1493"/>
    </row>
    <row r="298" spans="1:27" s="1405" customFormat="1">
      <c r="A298" s="1186"/>
      <c r="B298" s="1898" t="s">
        <v>2885</v>
      </c>
      <c r="C298" s="1842">
        <v>8</v>
      </c>
      <c r="D298" s="1842">
        <v>64</v>
      </c>
      <c r="E298" s="1841" t="s">
        <v>102</v>
      </c>
      <c r="F298" s="1898" t="s">
        <v>2891</v>
      </c>
      <c r="G298" s="1843">
        <v>0.72</v>
      </c>
      <c r="H298" s="1778">
        <v>467.97</v>
      </c>
      <c r="I298" s="1778" t="s">
        <v>634</v>
      </c>
      <c r="J298" s="1778">
        <v>383.66</v>
      </c>
      <c r="K298" s="1778">
        <v>2207.37</v>
      </c>
      <c r="L298" s="1778">
        <v>183.95</v>
      </c>
      <c r="M298" s="1778">
        <v>367.89</v>
      </c>
      <c r="N298" s="1778">
        <v>341.62</v>
      </c>
      <c r="O298" s="1778">
        <v>3910.19</v>
      </c>
      <c r="P298" s="1778">
        <v>162.91999999999999</v>
      </c>
      <c r="Q298" s="1778">
        <v>325.85000000000002</v>
      </c>
      <c r="R298" s="1778">
        <v>278.55</v>
      </c>
      <c r="S298" s="1778">
        <v>4730.07</v>
      </c>
      <c r="T298" s="1778">
        <v>131.38999999999999</v>
      </c>
      <c r="U298" s="1778">
        <v>262.77999999999997</v>
      </c>
      <c r="V298" s="1846">
        <v>0</v>
      </c>
      <c r="W298" s="1190"/>
      <c r="X298" s="1190"/>
      <c r="Y298" s="1175"/>
      <c r="Z298" s="1192"/>
      <c r="AA298" s="818"/>
    </row>
    <row r="299" spans="1:27" s="1405" customFormat="1">
      <c r="A299" s="1186"/>
      <c r="B299" s="1898" t="s">
        <v>2886</v>
      </c>
      <c r="C299" s="1842">
        <v>16</v>
      </c>
      <c r="D299" s="1842">
        <v>128</v>
      </c>
      <c r="E299" s="1841" t="s">
        <v>102</v>
      </c>
      <c r="F299" s="1898" t="s">
        <v>2892</v>
      </c>
      <c r="G299" s="1843">
        <v>1.4397</v>
      </c>
      <c r="H299" s="1778">
        <v>935.79</v>
      </c>
      <c r="I299" s="1778" t="s">
        <v>634</v>
      </c>
      <c r="J299" s="1778">
        <v>767.21</v>
      </c>
      <c r="K299" s="1778">
        <v>4414.0600000000004</v>
      </c>
      <c r="L299" s="1778">
        <v>367.84</v>
      </c>
      <c r="M299" s="1778">
        <v>735.68</v>
      </c>
      <c r="N299" s="1778">
        <v>683.13</v>
      </c>
      <c r="O299" s="1778">
        <v>7819.19</v>
      </c>
      <c r="P299" s="1778">
        <v>325.8</v>
      </c>
      <c r="Q299" s="1778">
        <v>651.6</v>
      </c>
      <c r="R299" s="1778">
        <v>557.01</v>
      </c>
      <c r="S299" s="1778">
        <v>9458.7000000000007</v>
      </c>
      <c r="T299" s="1778">
        <v>262.74</v>
      </c>
      <c r="U299" s="1778">
        <v>525.48</v>
      </c>
      <c r="V299" s="1846">
        <v>0</v>
      </c>
      <c r="W299" s="1190"/>
      <c r="X299" s="1190"/>
      <c r="Y299" s="1175"/>
      <c r="Z299" s="1192"/>
      <c r="AA299" s="818"/>
    </row>
    <row r="300" spans="1:27" s="1405" customFormat="1">
      <c r="A300" s="1186"/>
      <c r="B300" s="1898" t="s">
        <v>2887</v>
      </c>
      <c r="C300" s="1842">
        <v>32</v>
      </c>
      <c r="D300" s="1842">
        <v>256</v>
      </c>
      <c r="E300" s="1841" t="s">
        <v>102</v>
      </c>
      <c r="F300" s="1898" t="s">
        <v>2893</v>
      </c>
      <c r="G300" s="1843">
        <v>2.8795999999999999</v>
      </c>
      <c r="H300" s="1778">
        <v>1871.73</v>
      </c>
      <c r="I300" s="1778" t="s">
        <v>634</v>
      </c>
      <c r="J300" s="1778">
        <v>1534.53</v>
      </c>
      <c r="K300" s="1778">
        <v>8828.7900000000009</v>
      </c>
      <c r="L300" s="1778">
        <v>735.73</v>
      </c>
      <c r="M300" s="1778">
        <v>1471.47</v>
      </c>
      <c r="N300" s="1778">
        <v>1366.36</v>
      </c>
      <c r="O300" s="1778">
        <v>15639.57</v>
      </c>
      <c r="P300" s="1778">
        <v>651.65</v>
      </c>
      <c r="Q300" s="1778">
        <v>1303.3</v>
      </c>
      <c r="R300" s="1778">
        <v>1114.1099999999999</v>
      </c>
      <c r="S300" s="1778">
        <v>18918.84</v>
      </c>
      <c r="T300" s="1778">
        <v>525.52</v>
      </c>
      <c r="U300" s="1778">
        <v>1051.05</v>
      </c>
      <c r="V300" s="1846">
        <v>0</v>
      </c>
      <c r="W300" s="1190"/>
      <c r="X300" s="1190"/>
      <c r="Y300" s="1175"/>
      <c r="Z300" s="1192"/>
      <c r="AA300" s="818"/>
    </row>
    <row r="301" spans="1:27" s="1489" customFormat="1">
      <c r="A301" s="1491"/>
      <c r="B301" s="1898" t="s">
        <v>2888</v>
      </c>
      <c r="C301" s="1842">
        <v>16</v>
      </c>
      <c r="D301" s="1842">
        <v>256</v>
      </c>
      <c r="E301" s="1841" t="s">
        <v>102</v>
      </c>
      <c r="F301" s="1898" t="s">
        <v>2892</v>
      </c>
      <c r="G301" s="1843">
        <v>2.1595499999999999</v>
      </c>
      <c r="H301" s="1778">
        <v>1403.6849999999999</v>
      </c>
      <c r="I301" s="1778" t="s">
        <v>634</v>
      </c>
      <c r="J301" s="1778">
        <v>1150.8150000000001</v>
      </c>
      <c r="K301" s="1778">
        <v>6621.09</v>
      </c>
      <c r="L301" s="1778">
        <v>551.76</v>
      </c>
      <c r="M301" s="1778">
        <v>1103.52</v>
      </c>
      <c r="N301" s="1778">
        <v>1024.6949999999999</v>
      </c>
      <c r="O301" s="1778">
        <v>11728.785</v>
      </c>
      <c r="P301" s="1778">
        <v>488.70000000000005</v>
      </c>
      <c r="Q301" s="1778">
        <v>977.40000000000009</v>
      </c>
      <c r="R301" s="1778">
        <v>835.51499999999999</v>
      </c>
      <c r="S301" s="1778">
        <v>14188.050000000001</v>
      </c>
      <c r="T301" s="1778">
        <v>394.11</v>
      </c>
      <c r="U301" s="1778">
        <v>788.22</v>
      </c>
      <c r="V301" s="1846">
        <v>0</v>
      </c>
      <c r="W301" s="1190"/>
      <c r="X301" s="1190"/>
      <c r="Y301" s="1175"/>
      <c r="Z301" s="1492"/>
      <c r="AA301" s="818"/>
    </row>
    <row r="302" spans="1:27" s="1405" customFormat="1">
      <c r="A302" s="1186"/>
      <c r="B302" s="1898" t="s">
        <v>2889</v>
      </c>
      <c r="C302" s="1842">
        <v>48</v>
      </c>
      <c r="D302" s="1842">
        <v>384</v>
      </c>
      <c r="E302" s="1841" t="s">
        <v>102</v>
      </c>
      <c r="F302" s="1898" t="s">
        <v>2894</v>
      </c>
      <c r="G302" s="1843">
        <v>4.3193000000000001</v>
      </c>
      <c r="H302" s="1778">
        <v>2807.52</v>
      </c>
      <c r="I302" s="1778" t="s">
        <v>634</v>
      </c>
      <c r="J302" s="1778">
        <v>2301.73</v>
      </c>
      <c r="K302" s="1778">
        <v>13242.85</v>
      </c>
      <c r="L302" s="1778">
        <v>1103.57</v>
      </c>
      <c r="M302" s="1778">
        <v>2207.14</v>
      </c>
      <c r="N302" s="1778">
        <v>2049.4899999999998</v>
      </c>
      <c r="O302" s="1778">
        <v>23458.76</v>
      </c>
      <c r="P302" s="1778">
        <v>977.45</v>
      </c>
      <c r="Q302" s="1778">
        <v>1954.9</v>
      </c>
      <c r="R302" s="1778">
        <v>1671.12</v>
      </c>
      <c r="S302" s="1778">
        <v>28377.54</v>
      </c>
      <c r="T302" s="1778">
        <v>788.26</v>
      </c>
      <c r="U302" s="1778">
        <v>1576.53</v>
      </c>
      <c r="V302" s="1846">
        <v>0</v>
      </c>
      <c r="W302" s="1190"/>
      <c r="X302" s="1190"/>
      <c r="Y302" s="1175"/>
      <c r="Z302" s="1192"/>
      <c r="AA302" s="818"/>
    </row>
    <row r="303" spans="1:27" s="1405" customFormat="1">
      <c r="A303" s="1186"/>
      <c r="B303" s="1898" t="s">
        <v>2890</v>
      </c>
      <c r="C303" s="1842">
        <v>60</v>
      </c>
      <c r="D303" s="1842">
        <v>512</v>
      </c>
      <c r="E303" s="1841" t="s">
        <v>102</v>
      </c>
      <c r="F303" s="1898" t="s">
        <v>2895</v>
      </c>
      <c r="G303" s="1843">
        <v>5.0391000000000004</v>
      </c>
      <c r="H303" s="1778">
        <v>3275.42</v>
      </c>
      <c r="I303" s="1778" t="s">
        <v>634</v>
      </c>
      <c r="J303" s="1778">
        <v>2685.34</v>
      </c>
      <c r="K303" s="1778">
        <v>15449.88</v>
      </c>
      <c r="L303" s="1778">
        <v>1287.49</v>
      </c>
      <c r="M303" s="1778">
        <v>2574.98</v>
      </c>
      <c r="N303" s="1778">
        <v>2391.0500000000002</v>
      </c>
      <c r="O303" s="1778">
        <v>27368.36</v>
      </c>
      <c r="P303" s="1778">
        <v>1140.3499999999999</v>
      </c>
      <c r="Q303" s="1778">
        <v>2280.6999999999998</v>
      </c>
      <c r="R303" s="1778">
        <v>1949.63</v>
      </c>
      <c r="S303" s="1778">
        <v>33106.89</v>
      </c>
      <c r="T303" s="1778">
        <v>919.64</v>
      </c>
      <c r="U303" s="1778">
        <v>1839.27</v>
      </c>
      <c r="V303" s="1846">
        <v>0</v>
      </c>
      <c r="W303" s="1190"/>
      <c r="X303" s="1190"/>
      <c r="Y303" s="1175"/>
      <c r="Z303" s="1192"/>
      <c r="AA303" s="818"/>
    </row>
    <row r="304" spans="1:27" s="1405" customFormat="1">
      <c r="A304" s="1186"/>
      <c r="B304" s="1841" t="s">
        <v>2670</v>
      </c>
      <c r="C304" s="1842">
        <v>8</v>
      </c>
      <c r="D304" s="1842">
        <v>64</v>
      </c>
      <c r="E304" s="1841" t="s">
        <v>102</v>
      </c>
      <c r="F304" s="1841" t="s">
        <v>1271</v>
      </c>
      <c r="G304" s="1843">
        <v>3.8729</v>
      </c>
      <c r="H304" s="1778">
        <v>2517.36</v>
      </c>
      <c r="I304" s="1778" t="s">
        <v>634</v>
      </c>
      <c r="J304" s="1778">
        <v>2063.84</v>
      </c>
      <c r="K304" s="1778">
        <v>11874.17</v>
      </c>
      <c r="L304" s="1778">
        <v>989.51</v>
      </c>
      <c r="M304" s="1778">
        <v>1979.03</v>
      </c>
      <c r="N304" s="1778">
        <v>1837.67</v>
      </c>
      <c r="O304" s="1778">
        <v>21034.25</v>
      </c>
      <c r="P304" s="1778">
        <v>876.43</v>
      </c>
      <c r="Q304" s="1778">
        <v>1752.85</v>
      </c>
      <c r="R304" s="1778">
        <v>1498.41</v>
      </c>
      <c r="S304" s="1778">
        <v>25444.66</v>
      </c>
      <c r="T304" s="1778">
        <v>706.8</v>
      </c>
      <c r="U304" s="1778">
        <v>1413.59</v>
      </c>
      <c r="V304" s="1846">
        <v>0</v>
      </c>
      <c r="W304" s="1190"/>
      <c r="X304" s="1190"/>
      <c r="Y304" s="1175"/>
      <c r="Z304" s="1192"/>
      <c r="AA304" s="818"/>
    </row>
    <row r="305" spans="1:27" s="1405" customFormat="1">
      <c r="A305" s="1186"/>
      <c r="B305" s="1841" t="s">
        <v>2671</v>
      </c>
      <c r="C305" s="1842">
        <v>16</v>
      </c>
      <c r="D305" s="1842">
        <v>128</v>
      </c>
      <c r="E305" s="1841" t="s">
        <v>102</v>
      </c>
      <c r="F305" s="1841" t="s">
        <v>1271</v>
      </c>
      <c r="G305" s="1843">
        <v>7.7457000000000003</v>
      </c>
      <c r="H305" s="1778">
        <v>5034.71</v>
      </c>
      <c r="I305" s="1778" t="s">
        <v>634</v>
      </c>
      <c r="J305" s="1778">
        <v>4127.6899999999996</v>
      </c>
      <c r="K305" s="1778">
        <v>23748.35</v>
      </c>
      <c r="L305" s="1778">
        <v>1979.03</v>
      </c>
      <c r="M305" s="1778">
        <v>3958.06</v>
      </c>
      <c r="N305" s="1778">
        <v>3675.34</v>
      </c>
      <c r="O305" s="1778">
        <v>42068.5</v>
      </c>
      <c r="P305" s="1778">
        <v>1752.85</v>
      </c>
      <c r="Q305" s="1778">
        <v>3505.71</v>
      </c>
      <c r="R305" s="1778">
        <v>2996.82</v>
      </c>
      <c r="S305" s="1778">
        <v>50889.31</v>
      </c>
      <c r="T305" s="1778">
        <v>1413.59</v>
      </c>
      <c r="U305" s="1778">
        <v>2827.18</v>
      </c>
      <c r="V305" s="1846">
        <v>0</v>
      </c>
      <c r="W305" s="1190"/>
      <c r="X305" s="1190"/>
      <c r="Y305" s="1175"/>
      <c r="Z305" s="1192"/>
      <c r="AA305" s="818"/>
    </row>
    <row r="306" spans="1:27" s="1405" customFormat="1">
      <c r="A306" s="1186"/>
      <c r="B306" s="1841" t="s">
        <v>2672</v>
      </c>
      <c r="C306" s="1842">
        <v>32</v>
      </c>
      <c r="D306" s="1842">
        <v>256</v>
      </c>
      <c r="E306" s="1841" t="s">
        <v>102</v>
      </c>
      <c r="F306" s="1841" t="s">
        <v>1271</v>
      </c>
      <c r="G306" s="1843">
        <v>15.4922</v>
      </c>
      <c r="H306" s="1778">
        <v>10069.950000000001</v>
      </c>
      <c r="I306" s="1778" t="s">
        <v>634</v>
      </c>
      <c r="J306" s="1778">
        <v>8255.81</v>
      </c>
      <c r="K306" s="1778">
        <v>47499.16</v>
      </c>
      <c r="L306" s="1778">
        <v>3958.26</v>
      </c>
      <c r="M306" s="1778">
        <v>7916.53</v>
      </c>
      <c r="N306" s="1778">
        <v>7351.06</v>
      </c>
      <c r="O306" s="1778">
        <v>84141.37</v>
      </c>
      <c r="P306" s="1778">
        <v>3505.89</v>
      </c>
      <c r="Q306" s="1778">
        <v>7011.78</v>
      </c>
      <c r="R306" s="1778">
        <v>5993.94</v>
      </c>
      <c r="S306" s="1778">
        <v>101783.92</v>
      </c>
      <c r="T306" s="1778">
        <v>2827.33</v>
      </c>
      <c r="U306" s="1778">
        <v>5654.66</v>
      </c>
      <c r="V306" s="1846">
        <v>0</v>
      </c>
      <c r="W306" s="1190"/>
      <c r="X306" s="1190"/>
      <c r="Y306" s="1175"/>
      <c r="Z306" s="1192"/>
      <c r="AA306" s="818"/>
    </row>
    <row r="307" spans="1:27" s="1405" customFormat="1">
      <c r="A307" s="1186"/>
      <c r="B307" s="1841" t="s">
        <v>2673</v>
      </c>
      <c r="C307" s="1842">
        <v>64</v>
      </c>
      <c r="D307" s="1842">
        <v>512</v>
      </c>
      <c r="E307" s="1841" t="s">
        <v>102</v>
      </c>
      <c r="F307" s="1841" t="s">
        <v>1271</v>
      </c>
      <c r="G307" s="1843">
        <v>30.985299999999999</v>
      </c>
      <c r="H307" s="1778">
        <v>20140.419999999998</v>
      </c>
      <c r="I307" s="1778" t="s">
        <v>634</v>
      </c>
      <c r="J307" s="1778">
        <v>16512.04</v>
      </c>
      <c r="K307" s="1778">
        <v>95000.79</v>
      </c>
      <c r="L307" s="1778">
        <v>7916.73</v>
      </c>
      <c r="M307" s="1778">
        <v>15833.47</v>
      </c>
      <c r="N307" s="1778">
        <v>14702.5</v>
      </c>
      <c r="O307" s="1778">
        <v>168287.12</v>
      </c>
      <c r="P307" s="1778">
        <v>7011.96</v>
      </c>
      <c r="Q307" s="1778">
        <v>14023.93</v>
      </c>
      <c r="R307" s="1778">
        <v>11988.2</v>
      </c>
      <c r="S307" s="1778">
        <v>203573.13</v>
      </c>
      <c r="T307" s="1778">
        <v>5654.81</v>
      </c>
      <c r="U307" s="1778">
        <v>11309.62</v>
      </c>
      <c r="V307" s="1846">
        <v>0</v>
      </c>
      <c r="W307" s="1190"/>
      <c r="X307" s="1190"/>
      <c r="Y307" s="1175"/>
      <c r="Z307" s="1192"/>
      <c r="AA307" s="818"/>
    </row>
    <row r="308" spans="1:27" s="1405" customFormat="1">
      <c r="A308" s="1186"/>
      <c r="B308" s="1841" t="s">
        <v>2674</v>
      </c>
      <c r="C308" s="1842">
        <v>8</v>
      </c>
      <c r="D308" s="1842">
        <v>32</v>
      </c>
      <c r="E308" s="1841" t="s">
        <v>102</v>
      </c>
      <c r="F308" s="1841" t="s">
        <v>1271</v>
      </c>
      <c r="G308" s="1843">
        <v>0.77049999999999996</v>
      </c>
      <c r="H308" s="1778">
        <v>500.83</v>
      </c>
      <c r="I308" s="1778" t="s">
        <v>634</v>
      </c>
      <c r="J308" s="1778">
        <v>410.6</v>
      </c>
      <c r="K308" s="1778">
        <v>2362.35</v>
      </c>
      <c r="L308" s="1778">
        <v>196.86</v>
      </c>
      <c r="M308" s="1778">
        <v>393.73</v>
      </c>
      <c r="N308" s="1778">
        <v>365.6</v>
      </c>
      <c r="O308" s="1778">
        <v>4184.74</v>
      </c>
      <c r="P308" s="1778">
        <v>174.36</v>
      </c>
      <c r="Q308" s="1778">
        <v>348.73</v>
      </c>
      <c r="R308" s="1778">
        <v>298.11</v>
      </c>
      <c r="S308" s="1778">
        <v>5062.1899999999996</v>
      </c>
      <c r="T308" s="1778">
        <v>140.62</v>
      </c>
      <c r="U308" s="1778">
        <v>281.23</v>
      </c>
      <c r="V308" s="1846">
        <v>0</v>
      </c>
      <c r="W308" s="1190"/>
      <c r="X308" s="1190"/>
      <c r="Y308" s="1175"/>
      <c r="Z308" s="1192"/>
      <c r="AA308" s="818"/>
    </row>
    <row r="309" spans="1:27" s="1405" customFormat="1">
      <c r="A309" s="1186"/>
      <c r="B309" s="1841" t="s">
        <v>2675</v>
      </c>
      <c r="C309" s="1842">
        <v>16</v>
      </c>
      <c r="D309" s="1842">
        <v>64</v>
      </c>
      <c r="E309" s="1841" t="s">
        <v>102</v>
      </c>
      <c r="F309" s="1841" t="s">
        <v>1271</v>
      </c>
      <c r="G309" s="1843">
        <v>1.5409999999999999</v>
      </c>
      <c r="H309" s="1778">
        <v>1001.65</v>
      </c>
      <c r="I309" s="1778" t="s">
        <v>634</v>
      </c>
      <c r="J309" s="1778">
        <v>821.2</v>
      </c>
      <c r="K309" s="1778">
        <v>4724.71</v>
      </c>
      <c r="L309" s="1778">
        <v>393.73</v>
      </c>
      <c r="M309" s="1778">
        <v>787.45</v>
      </c>
      <c r="N309" s="1778">
        <v>731.2</v>
      </c>
      <c r="O309" s="1778">
        <v>8369.48</v>
      </c>
      <c r="P309" s="1778">
        <v>348.73</v>
      </c>
      <c r="Q309" s="1778">
        <v>697.46</v>
      </c>
      <c r="R309" s="1778">
        <v>596.21</v>
      </c>
      <c r="S309" s="1778">
        <v>10124.370000000001</v>
      </c>
      <c r="T309" s="1778">
        <v>281.23</v>
      </c>
      <c r="U309" s="1778">
        <v>562.47</v>
      </c>
      <c r="V309" s="1846">
        <v>0</v>
      </c>
      <c r="W309" s="1190"/>
      <c r="X309" s="1190"/>
      <c r="Y309" s="1175"/>
      <c r="Z309" s="1192"/>
      <c r="AA309" s="818"/>
    </row>
    <row r="310" spans="1:27" s="1405" customFormat="1">
      <c r="A310" s="1186"/>
      <c r="B310" s="1841" t="s">
        <v>2676</v>
      </c>
      <c r="C310" s="1842">
        <v>32</v>
      </c>
      <c r="D310" s="1842">
        <v>128</v>
      </c>
      <c r="E310" s="1841" t="s">
        <v>102</v>
      </c>
      <c r="F310" s="1841" t="s">
        <v>1271</v>
      </c>
      <c r="G310" s="1843">
        <v>3.0819999999999999</v>
      </c>
      <c r="H310" s="1778">
        <v>2003.3</v>
      </c>
      <c r="I310" s="1778" t="s">
        <v>634</v>
      </c>
      <c r="J310" s="1778">
        <v>1642.4</v>
      </c>
      <c r="K310" s="1778">
        <v>9449.41</v>
      </c>
      <c r="L310" s="1778">
        <v>787.45</v>
      </c>
      <c r="M310" s="1778">
        <v>1574.9</v>
      </c>
      <c r="N310" s="1778">
        <v>1462.41</v>
      </c>
      <c r="O310" s="1778">
        <v>16738.96</v>
      </c>
      <c r="P310" s="1778">
        <v>697.46</v>
      </c>
      <c r="Q310" s="1778">
        <v>1394.91</v>
      </c>
      <c r="R310" s="1778">
        <v>1192.43</v>
      </c>
      <c r="S310" s="1778">
        <v>20248.740000000002</v>
      </c>
      <c r="T310" s="1778">
        <v>562.47</v>
      </c>
      <c r="U310" s="1778">
        <v>1124.93</v>
      </c>
      <c r="V310" s="1846">
        <v>0</v>
      </c>
      <c r="W310" s="1190"/>
      <c r="X310" s="1190"/>
      <c r="Y310" s="1175"/>
      <c r="Z310" s="1192"/>
      <c r="AA310" s="818"/>
    </row>
    <row r="311" spans="1:27" s="1405" customFormat="1">
      <c r="A311" s="1186"/>
      <c r="B311" s="1841" t="s">
        <v>2677</v>
      </c>
      <c r="C311" s="1842">
        <v>8</v>
      </c>
      <c r="D311" s="1842">
        <v>64</v>
      </c>
      <c r="E311" s="1841" t="s">
        <v>102</v>
      </c>
      <c r="F311" s="1841" t="s">
        <v>902</v>
      </c>
      <c r="G311" s="1843">
        <v>2.6774</v>
      </c>
      <c r="H311" s="1778">
        <v>1740.33</v>
      </c>
      <c r="I311" s="1778" t="s">
        <v>634</v>
      </c>
      <c r="J311" s="1778">
        <v>1426.8</v>
      </c>
      <c r="K311" s="1778">
        <v>8209</v>
      </c>
      <c r="L311" s="1778">
        <v>684.08</v>
      </c>
      <c r="M311" s="1778">
        <v>1368.17</v>
      </c>
      <c r="N311" s="1778">
        <v>1270.44</v>
      </c>
      <c r="O311" s="1778">
        <v>14541.66</v>
      </c>
      <c r="P311" s="1778">
        <v>605.9</v>
      </c>
      <c r="Q311" s="1778">
        <v>1211.8</v>
      </c>
      <c r="R311" s="1778">
        <v>1035.9000000000001</v>
      </c>
      <c r="S311" s="1778">
        <v>17590.72</v>
      </c>
      <c r="T311" s="1778">
        <v>488.63</v>
      </c>
      <c r="U311" s="1778">
        <v>977.26</v>
      </c>
      <c r="V311" s="1846">
        <v>0</v>
      </c>
      <c r="W311" s="1190"/>
      <c r="X311" s="1190"/>
      <c r="Y311" s="1175"/>
      <c r="Z311" s="1192"/>
      <c r="AA311" s="818"/>
    </row>
    <row r="312" spans="1:27" s="1405" customFormat="1">
      <c r="A312" s="1186"/>
      <c r="B312" s="1841" t="s">
        <v>2678</v>
      </c>
      <c r="C312" s="1842">
        <v>16</v>
      </c>
      <c r="D312" s="1842">
        <v>128</v>
      </c>
      <c r="E312" s="1841" t="s">
        <v>102</v>
      </c>
      <c r="F312" s="1841" t="s">
        <v>903</v>
      </c>
      <c r="G312" s="1843">
        <v>5.3548999999999998</v>
      </c>
      <c r="H312" s="1778">
        <v>3480.66</v>
      </c>
      <c r="I312" s="1778" t="s">
        <v>634</v>
      </c>
      <c r="J312" s="1778">
        <v>2853.6</v>
      </c>
      <c r="K312" s="1778">
        <v>16418</v>
      </c>
      <c r="L312" s="1778">
        <v>1368.17</v>
      </c>
      <c r="M312" s="1778">
        <v>2736.33</v>
      </c>
      <c r="N312" s="1778">
        <v>2540.88</v>
      </c>
      <c r="O312" s="1778">
        <v>29083.32</v>
      </c>
      <c r="P312" s="1778">
        <v>1211.8</v>
      </c>
      <c r="Q312" s="1778">
        <v>2423.61</v>
      </c>
      <c r="R312" s="1778">
        <v>2071.8000000000002</v>
      </c>
      <c r="S312" s="1778">
        <v>35181.43</v>
      </c>
      <c r="T312" s="1778">
        <v>977.26</v>
      </c>
      <c r="U312" s="1778">
        <v>1954.52</v>
      </c>
      <c r="V312" s="1846">
        <v>0</v>
      </c>
      <c r="W312" s="1190"/>
      <c r="X312" s="1190"/>
      <c r="Y312" s="1175"/>
      <c r="Z312" s="1192"/>
      <c r="AA312" s="818"/>
    </row>
    <row r="313" spans="1:27" s="1405" customFormat="1">
      <c r="A313" s="1186"/>
      <c r="B313" s="1841" t="s">
        <v>2679</v>
      </c>
      <c r="C313" s="1842">
        <v>32</v>
      </c>
      <c r="D313" s="1842">
        <v>256</v>
      </c>
      <c r="E313" s="1841" t="s">
        <v>102</v>
      </c>
      <c r="F313" s="1841" t="s">
        <v>905</v>
      </c>
      <c r="G313" s="1843">
        <v>10.7097</v>
      </c>
      <c r="H313" s="1778">
        <v>6961.32</v>
      </c>
      <c r="I313" s="1778" t="s">
        <v>634</v>
      </c>
      <c r="J313" s="1778">
        <v>5707.21</v>
      </c>
      <c r="K313" s="1778">
        <v>32836</v>
      </c>
      <c r="L313" s="1778">
        <v>2736.33</v>
      </c>
      <c r="M313" s="1778">
        <v>5472.67</v>
      </c>
      <c r="N313" s="1778">
        <v>5081.76</v>
      </c>
      <c r="O313" s="1778">
        <v>58166.63</v>
      </c>
      <c r="P313" s="1778">
        <v>2423.61</v>
      </c>
      <c r="Q313" s="1778">
        <v>4847.22</v>
      </c>
      <c r="R313" s="1778">
        <v>4143.59</v>
      </c>
      <c r="S313" s="1778">
        <v>70362.86</v>
      </c>
      <c r="T313" s="1778">
        <v>1954.52</v>
      </c>
      <c r="U313" s="1778">
        <v>3909.05</v>
      </c>
      <c r="V313" s="1846">
        <v>0</v>
      </c>
      <c r="W313" s="1190"/>
      <c r="X313" s="1190"/>
      <c r="Y313" s="1175"/>
      <c r="Z313" s="1192"/>
      <c r="AA313" s="818"/>
    </row>
    <row r="314" spans="1:27" s="1405" customFormat="1">
      <c r="A314" s="1186"/>
      <c r="B314" s="1841" t="s">
        <v>2680</v>
      </c>
      <c r="C314" s="1842">
        <v>4</v>
      </c>
      <c r="D314" s="1842">
        <v>8</v>
      </c>
      <c r="E314" s="1841" t="s">
        <v>102</v>
      </c>
      <c r="F314" s="1841" t="s">
        <v>102</v>
      </c>
      <c r="G314" s="1843">
        <v>0.33410000000000001</v>
      </c>
      <c r="H314" s="1778">
        <v>217.15</v>
      </c>
      <c r="I314" s="1778" t="s">
        <v>634</v>
      </c>
      <c r="J314" s="1778" t="s">
        <v>634</v>
      </c>
      <c r="K314" s="1778" t="s">
        <v>634</v>
      </c>
      <c r="L314" s="1778" t="s">
        <v>634</v>
      </c>
      <c r="M314" s="1778" t="s">
        <v>634</v>
      </c>
      <c r="N314" s="1778" t="s">
        <v>634</v>
      </c>
      <c r="O314" s="1778" t="s">
        <v>634</v>
      </c>
      <c r="P314" s="1778" t="s">
        <v>634</v>
      </c>
      <c r="Q314" s="1778" t="s">
        <v>634</v>
      </c>
      <c r="R314" s="1778" t="s">
        <v>634</v>
      </c>
      <c r="S314" s="1778" t="s">
        <v>634</v>
      </c>
      <c r="T314" s="1778" t="s">
        <v>634</v>
      </c>
      <c r="U314" s="1778" t="s">
        <v>634</v>
      </c>
      <c r="V314" s="1778" t="s">
        <v>634</v>
      </c>
      <c r="W314" s="1190"/>
      <c r="X314" s="1190"/>
      <c r="Y314" s="1175"/>
      <c r="Z314" s="1192"/>
      <c r="AA314" s="818"/>
    </row>
    <row r="315" spans="1:27" s="1405" customFormat="1">
      <c r="A315" s="1186"/>
      <c r="B315" s="1841" t="s">
        <v>2681</v>
      </c>
      <c r="C315" s="1842">
        <v>8</v>
      </c>
      <c r="D315" s="1842">
        <v>16</v>
      </c>
      <c r="E315" s="1841" t="s">
        <v>102</v>
      </c>
      <c r="F315" s="1841" t="s">
        <v>102</v>
      </c>
      <c r="G315" s="1843">
        <v>0.66830000000000001</v>
      </c>
      <c r="H315" s="1778">
        <v>434.37</v>
      </c>
      <c r="I315" s="1778" t="s">
        <v>634</v>
      </c>
      <c r="J315" s="1778" t="s">
        <v>634</v>
      </c>
      <c r="K315" s="1778" t="s">
        <v>634</v>
      </c>
      <c r="L315" s="1778" t="s">
        <v>634</v>
      </c>
      <c r="M315" s="1778" t="s">
        <v>634</v>
      </c>
      <c r="N315" s="1778" t="s">
        <v>634</v>
      </c>
      <c r="O315" s="1778" t="s">
        <v>634</v>
      </c>
      <c r="P315" s="1778" t="s">
        <v>634</v>
      </c>
      <c r="Q315" s="1778" t="s">
        <v>634</v>
      </c>
      <c r="R315" s="1778" t="s">
        <v>634</v>
      </c>
      <c r="S315" s="1778" t="s">
        <v>634</v>
      </c>
      <c r="T315" s="1778" t="s">
        <v>634</v>
      </c>
      <c r="U315" s="1778" t="s">
        <v>634</v>
      </c>
      <c r="V315" s="1778" t="s">
        <v>634</v>
      </c>
      <c r="W315" s="1190"/>
      <c r="X315" s="1190"/>
      <c r="Y315" s="1175"/>
      <c r="Z315" s="1192"/>
      <c r="AA315" s="818"/>
    </row>
    <row r="316" spans="1:27" s="1405" customFormat="1">
      <c r="A316" s="1186"/>
      <c r="B316" s="1841" t="s">
        <v>2682</v>
      </c>
      <c r="C316" s="1842">
        <v>16</v>
      </c>
      <c r="D316" s="1842">
        <v>32</v>
      </c>
      <c r="E316" s="1841" t="s">
        <v>102</v>
      </c>
      <c r="F316" s="1841" t="s">
        <v>102</v>
      </c>
      <c r="G316" s="1843">
        <v>1.3366</v>
      </c>
      <c r="H316" s="1778">
        <v>868.82</v>
      </c>
      <c r="I316" s="1778" t="s">
        <v>634</v>
      </c>
      <c r="J316" s="1778" t="s">
        <v>634</v>
      </c>
      <c r="K316" s="1778" t="s">
        <v>634</v>
      </c>
      <c r="L316" s="1778" t="s">
        <v>634</v>
      </c>
      <c r="M316" s="1778" t="s">
        <v>634</v>
      </c>
      <c r="N316" s="1778" t="s">
        <v>634</v>
      </c>
      <c r="O316" s="1778" t="s">
        <v>634</v>
      </c>
      <c r="P316" s="1778" t="s">
        <v>634</v>
      </c>
      <c r="Q316" s="1778" t="s">
        <v>634</v>
      </c>
      <c r="R316" s="1778" t="s">
        <v>634</v>
      </c>
      <c r="S316" s="1778" t="s">
        <v>634</v>
      </c>
      <c r="T316" s="1778" t="s">
        <v>634</v>
      </c>
      <c r="U316" s="1778" t="s">
        <v>634</v>
      </c>
      <c r="V316" s="1778" t="s">
        <v>634</v>
      </c>
      <c r="W316" s="1190"/>
      <c r="X316" s="1190"/>
      <c r="Y316" s="1175"/>
      <c r="Z316" s="1192"/>
      <c r="AA316" s="818"/>
    </row>
    <row r="317" spans="1:27" s="1405" customFormat="1">
      <c r="A317" s="1186"/>
      <c r="B317" s="1841" t="s">
        <v>2683</v>
      </c>
      <c r="C317" s="1842">
        <v>8</v>
      </c>
      <c r="D317" s="1842">
        <v>64</v>
      </c>
      <c r="E317" s="1841" t="s">
        <v>102</v>
      </c>
      <c r="F317" s="1841" t="s">
        <v>102</v>
      </c>
      <c r="G317" s="1843">
        <v>1.1140000000000001</v>
      </c>
      <c r="H317" s="1778">
        <v>724.1</v>
      </c>
      <c r="I317" s="1778" t="s">
        <v>634</v>
      </c>
      <c r="J317" s="1778" t="s">
        <v>634</v>
      </c>
      <c r="K317" s="1778" t="s">
        <v>634</v>
      </c>
      <c r="L317" s="1778" t="s">
        <v>634</v>
      </c>
      <c r="M317" s="1778" t="s">
        <v>634</v>
      </c>
      <c r="N317" s="1778" t="s">
        <v>634</v>
      </c>
      <c r="O317" s="1778" t="s">
        <v>634</v>
      </c>
      <c r="P317" s="1778" t="s">
        <v>634</v>
      </c>
      <c r="Q317" s="1778" t="s">
        <v>634</v>
      </c>
      <c r="R317" s="1778" t="s">
        <v>634</v>
      </c>
      <c r="S317" s="1778" t="s">
        <v>634</v>
      </c>
      <c r="T317" s="1778" t="s">
        <v>634</v>
      </c>
      <c r="U317" s="1778" t="s">
        <v>634</v>
      </c>
      <c r="V317" s="1778" t="s">
        <v>634</v>
      </c>
      <c r="W317" s="1190"/>
      <c r="X317" s="1190"/>
      <c r="Y317" s="1175"/>
      <c r="Z317" s="1192"/>
      <c r="AA317" s="818"/>
    </row>
    <row r="318" spans="1:27" s="1489" customFormat="1">
      <c r="A318" s="1491"/>
      <c r="B318" s="817" t="s">
        <v>2700</v>
      </c>
      <c r="C318" s="817">
        <v>4</v>
      </c>
      <c r="D318" s="817">
        <v>16</v>
      </c>
      <c r="E318" s="817" t="s">
        <v>102</v>
      </c>
      <c r="F318" s="817"/>
      <c r="G318" s="817">
        <v>1.5212000000000001</v>
      </c>
      <c r="H318" s="817">
        <v>988.78000000000009</v>
      </c>
      <c r="I318" s="817"/>
      <c r="J318" s="1779">
        <v>810.64748000000009</v>
      </c>
      <c r="K318" s="1779">
        <v>4663.9992000000002</v>
      </c>
      <c r="L318" s="1779">
        <v>388.66660000000002</v>
      </c>
      <c r="M318" s="1779">
        <v>777.33320000000003</v>
      </c>
      <c r="N318" s="1779">
        <v>721.8094000000001</v>
      </c>
      <c r="O318" s="1779">
        <v>8261.9414400000005</v>
      </c>
      <c r="P318" s="1779">
        <v>344.24756000000002</v>
      </c>
      <c r="Q318" s="1779">
        <v>688.49512000000004</v>
      </c>
      <c r="R318" s="1779">
        <v>588.55228000000011</v>
      </c>
      <c r="S318" s="1779">
        <v>9994.2840000000015</v>
      </c>
      <c r="T318" s="1779">
        <v>277.61900000000003</v>
      </c>
      <c r="U318" s="1779">
        <v>555.23800000000006</v>
      </c>
      <c r="V318" s="1846">
        <v>0</v>
      </c>
      <c r="W318" s="1190"/>
      <c r="X318" s="1190"/>
      <c r="Y318" s="1175"/>
      <c r="Z318" s="1492"/>
      <c r="AA318" s="818"/>
    </row>
    <row r="319" spans="1:27" s="1489" customFormat="1">
      <c r="A319" s="1491"/>
      <c r="B319" s="817" t="s">
        <v>2701</v>
      </c>
      <c r="C319" s="817">
        <v>8</v>
      </c>
      <c r="D319" s="817">
        <v>32</v>
      </c>
      <c r="E319" s="817" t="s">
        <v>102</v>
      </c>
      <c r="F319" s="817"/>
      <c r="G319" s="817">
        <v>3.3792</v>
      </c>
      <c r="H319" s="817">
        <v>2196.48</v>
      </c>
      <c r="I319" s="817"/>
      <c r="J319" s="1779">
        <v>1800.7756799999997</v>
      </c>
      <c r="K319" s="1779">
        <v>10360.627199999999</v>
      </c>
      <c r="L319" s="1779">
        <v>863.38559999999995</v>
      </c>
      <c r="M319" s="1779">
        <v>1726.7711999999997</v>
      </c>
      <c r="N319" s="1779">
        <v>1603.4304</v>
      </c>
      <c r="O319" s="1779">
        <v>18353.11104</v>
      </c>
      <c r="P319" s="1779">
        <v>764.71295999999995</v>
      </c>
      <c r="Q319" s="1779">
        <v>1529.4259199999999</v>
      </c>
      <c r="R319" s="1779">
        <v>1307.41248</v>
      </c>
      <c r="S319" s="1779">
        <v>22201.343999999997</v>
      </c>
      <c r="T319" s="1779">
        <v>616.70399999999995</v>
      </c>
      <c r="U319" s="1779">
        <v>1233.4079999999999</v>
      </c>
      <c r="V319" s="1846">
        <v>0</v>
      </c>
      <c r="W319" s="1190"/>
      <c r="X319" s="1190"/>
      <c r="Y319" s="1175"/>
      <c r="Z319" s="1492"/>
      <c r="AA319" s="818"/>
    </row>
    <row r="320" spans="1:27" s="1489" customFormat="1">
      <c r="A320" s="1491"/>
      <c r="B320" s="817" t="s">
        <v>2702</v>
      </c>
      <c r="C320" s="817">
        <v>16</v>
      </c>
      <c r="D320" s="817">
        <v>64</v>
      </c>
      <c r="E320" s="817" t="s">
        <v>102</v>
      </c>
      <c r="F320" s="817"/>
      <c r="G320" s="817">
        <v>3.5711999999999997</v>
      </c>
      <c r="H320" s="817">
        <v>2321.2799999999997</v>
      </c>
      <c r="I320" s="817"/>
      <c r="J320" s="1779">
        <v>1903.0924799999998</v>
      </c>
      <c r="K320" s="1779">
        <v>10949.299199999998</v>
      </c>
      <c r="L320" s="1779">
        <v>912.44159999999977</v>
      </c>
      <c r="M320" s="1779">
        <v>1824.8831999999995</v>
      </c>
      <c r="N320" s="1779">
        <v>1694.5343999999998</v>
      </c>
      <c r="O320" s="1779">
        <v>19395.901439999998</v>
      </c>
      <c r="P320" s="1779">
        <v>808.16255999999987</v>
      </c>
      <c r="Q320" s="1779">
        <v>1616.3251199999997</v>
      </c>
      <c r="R320" s="1779">
        <v>1381.6972799999999</v>
      </c>
      <c r="S320" s="1779">
        <v>23462.783999999996</v>
      </c>
      <c r="T320" s="1779">
        <v>651.74399999999991</v>
      </c>
      <c r="U320" s="1779">
        <v>1303.4879999999998</v>
      </c>
      <c r="V320" s="1846">
        <v>0</v>
      </c>
      <c r="W320" s="1190"/>
      <c r="X320" s="1190"/>
      <c r="Y320" s="1175"/>
      <c r="Z320" s="1492"/>
      <c r="AA320" s="818"/>
    </row>
    <row r="321" spans="1:27" s="1489" customFormat="1">
      <c r="A321" s="1491"/>
      <c r="B321" s="817" t="s">
        <v>2703</v>
      </c>
      <c r="C321" s="817">
        <v>24</v>
      </c>
      <c r="D321" s="817">
        <v>96</v>
      </c>
      <c r="E321" s="817" t="s">
        <v>102</v>
      </c>
      <c r="F321" s="817"/>
      <c r="G321" s="817">
        <v>4.0860000000000003</v>
      </c>
      <c r="H321" s="817">
        <v>2655.9</v>
      </c>
      <c r="I321" s="817"/>
      <c r="J321" s="1779">
        <v>2177.4294</v>
      </c>
      <c r="K321" s="1779">
        <v>12527.675999999999</v>
      </c>
      <c r="L321" s="1779">
        <v>1043.973</v>
      </c>
      <c r="M321" s="1779">
        <v>2087.9459999999999</v>
      </c>
      <c r="N321" s="1779">
        <v>1938.8070000000002</v>
      </c>
      <c r="O321" s="1779">
        <v>22191.883200000004</v>
      </c>
      <c r="P321" s="1779">
        <v>924.6618000000002</v>
      </c>
      <c r="Q321" s="1779">
        <v>1849.3236000000002</v>
      </c>
      <c r="R321" s="1779">
        <v>1580.8734000000002</v>
      </c>
      <c r="S321" s="1779">
        <v>26845.02</v>
      </c>
      <c r="T321" s="1779">
        <v>745.69500000000005</v>
      </c>
      <c r="U321" s="1779">
        <v>1491.39</v>
      </c>
      <c r="V321" s="1846">
        <v>0</v>
      </c>
      <c r="W321" s="1190"/>
      <c r="X321" s="1190"/>
      <c r="Y321" s="1175"/>
      <c r="Z321" s="1492"/>
      <c r="AA321" s="818"/>
    </row>
    <row r="322" spans="1:27" s="1489" customFormat="1">
      <c r="A322" s="1491"/>
      <c r="B322" s="817" t="s">
        <v>2704</v>
      </c>
      <c r="C322" s="817">
        <v>32</v>
      </c>
      <c r="D322" s="817">
        <v>128</v>
      </c>
      <c r="E322" s="817" t="s">
        <v>102</v>
      </c>
      <c r="F322" s="817"/>
      <c r="G322" s="817">
        <v>7.2216000000000005</v>
      </c>
      <c r="H322" s="817">
        <v>4694.04</v>
      </c>
      <c r="I322" s="817"/>
      <c r="J322" s="1779">
        <v>3848.3906400000001</v>
      </c>
      <c r="K322" s="1779">
        <v>22141.425599999999</v>
      </c>
      <c r="L322" s="1779">
        <v>1845.1188</v>
      </c>
      <c r="M322" s="1779">
        <v>3690.2375999999999</v>
      </c>
      <c r="N322" s="1779">
        <v>3426.6492000000003</v>
      </c>
      <c r="O322" s="1779">
        <v>39221.95392</v>
      </c>
      <c r="P322" s="1779">
        <v>1634.2480800000001</v>
      </c>
      <c r="Q322" s="1779">
        <v>3268.4961600000001</v>
      </c>
      <c r="R322" s="1779">
        <v>2794.0370400000002</v>
      </c>
      <c r="S322" s="1779">
        <v>47445.911999999997</v>
      </c>
      <c r="T322" s="1779">
        <v>1317.942</v>
      </c>
      <c r="U322" s="1779">
        <v>2635.884</v>
      </c>
      <c r="V322" s="1846">
        <v>0</v>
      </c>
      <c r="W322" s="1190"/>
      <c r="X322" s="1190"/>
      <c r="Y322" s="1175"/>
      <c r="Z322" s="1492"/>
      <c r="AA322" s="818"/>
    </row>
    <row r="323" spans="1:27" s="1405" customFormat="1">
      <c r="A323" s="1186"/>
      <c r="B323" s="1841" t="s">
        <v>2684</v>
      </c>
      <c r="C323" s="1842">
        <v>2</v>
      </c>
      <c r="D323" s="1842">
        <v>8</v>
      </c>
      <c r="E323" s="1841" t="s">
        <v>102</v>
      </c>
      <c r="F323" s="1841" t="s">
        <v>102</v>
      </c>
      <c r="G323" s="1843">
        <v>0.19270000000000001</v>
      </c>
      <c r="H323" s="1778">
        <v>125.28</v>
      </c>
      <c r="I323" s="1778" t="s">
        <v>634</v>
      </c>
      <c r="J323" s="1778">
        <v>102.71</v>
      </c>
      <c r="K323" s="1778">
        <v>590.94000000000005</v>
      </c>
      <c r="L323" s="1778">
        <v>49.25</v>
      </c>
      <c r="M323" s="1778">
        <v>98.49</v>
      </c>
      <c r="N323" s="1778">
        <v>91.46</v>
      </c>
      <c r="O323" s="1778">
        <v>1046.81</v>
      </c>
      <c r="P323" s="1778">
        <v>43.62</v>
      </c>
      <c r="Q323" s="1778">
        <v>87.23</v>
      </c>
      <c r="R323" s="1778">
        <v>74.569999999999993</v>
      </c>
      <c r="S323" s="1778">
        <v>1266.3</v>
      </c>
      <c r="T323" s="1778">
        <v>35.18</v>
      </c>
      <c r="U323" s="1778">
        <v>70.349999999999994</v>
      </c>
      <c r="V323" s="1846">
        <v>0</v>
      </c>
      <c r="W323" s="1190"/>
      <c r="X323" s="1190"/>
      <c r="Y323" s="1175"/>
      <c r="Z323" s="1192"/>
      <c r="AA323" s="818"/>
    </row>
    <row r="324" spans="1:27" s="1405" customFormat="1">
      <c r="A324" s="1186"/>
      <c r="B324" s="1841" t="s">
        <v>2685</v>
      </c>
      <c r="C324" s="1842">
        <v>4</v>
      </c>
      <c r="D324" s="1842">
        <v>16</v>
      </c>
      <c r="E324" s="1841" t="s">
        <v>102</v>
      </c>
      <c r="F324" s="1841" t="s">
        <v>102</v>
      </c>
      <c r="G324" s="1843">
        <v>0.38550000000000001</v>
      </c>
      <c r="H324" s="1778">
        <v>250.56</v>
      </c>
      <c r="I324" s="1778" t="s">
        <v>634</v>
      </c>
      <c r="J324" s="1778">
        <v>205.42</v>
      </c>
      <c r="K324" s="1778">
        <v>1181.8800000000001</v>
      </c>
      <c r="L324" s="1778">
        <v>98.49</v>
      </c>
      <c r="M324" s="1778">
        <v>196.98</v>
      </c>
      <c r="N324" s="1778">
        <v>182.91</v>
      </c>
      <c r="O324" s="1778">
        <v>2093.62</v>
      </c>
      <c r="P324" s="1778">
        <v>87.23</v>
      </c>
      <c r="Q324" s="1778">
        <v>174.47</v>
      </c>
      <c r="R324" s="1778">
        <v>149.13999999999999</v>
      </c>
      <c r="S324" s="1778">
        <v>2532.6</v>
      </c>
      <c r="T324" s="1778">
        <v>70.349999999999994</v>
      </c>
      <c r="U324" s="1778">
        <v>140.69999999999999</v>
      </c>
      <c r="V324" s="1846">
        <v>0</v>
      </c>
      <c r="W324" s="1190"/>
      <c r="X324" s="1190"/>
      <c r="Y324" s="1175"/>
      <c r="Z324" s="1192"/>
      <c r="AA324" s="818"/>
    </row>
    <row r="325" spans="1:27" s="1405" customFormat="1">
      <c r="A325" s="1186"/>
      <c r="B325" s="1841" t="s">
        <v>2686</v>
      </c>
      <c r="C325" s="1842">
        <v>8</v>
      </c>
      <c r="D325" s="1842">
        <v>32</v>
      </c>
      <c r="E325" s="1841" t="s">
        <v>102</v>
      </c>
      <c r="F325" s="1841" t="s">
        <v>102</v>
      </c>
      <c r="G325" s="1843">
        <v>0.77110000000000001</v>
      </c>
      <c r="H325" s="1778">
        <v>501.2</v>
      </c>
      <c r="I325" s="1778" t="s">
        <v>634</v>
      </c>
      <c r="J325" s="1778">
        <v>410.91</v>
      </c>
      <c r="K325" s="1778">
        <v>2364.12</v>
      </c>
      <c r="L325" s="1778">
        <v>197.01</v>
      </c>
      <c r="M325" s="1778">
        <v>394.02</v>
      </c>
      <c r="N325" s="1778">
        <v>365.88</v>
      </c>
      <c r="O325" s="1778">
        <v>4187.8599999999997</v>
      </c>
      <c r="P325" s="1778">
        <v>174.49</v>
      </c>
      <c r="Q325" s="1778">
        <v>348.99</v>
      </c>
      <c r="R325" s="1778">
        <v>298.33</v>
      </c>
      <c r="S325" s="1778">
        <v>5065.96</v>
      </c>
      <c r="T325" s="1778">
        <v>140.72</v>
      </c>
      <c r="U325" s="1778">
        <v>281.44</v>
      </c>
      <c r="V325" s="1846">
        <v>0</v>
      </c>
      <c r="W325" s="1190"/>
      <c r="X325" s="1190"/>
      <c r="Y325" s="1175"/>
      <c r="Z325" s="1192"/>
      <c r="AA325" s="818"/>
    </row>
    <row r="326" spans="1:27" s="1405" customFormat="1">
      <c r="A326" s="1186"/>
      <c r="B326" s="1841" t="s">
        <v>2687</v>
      </c>
      <c r="C326" s="1842">
        <v>16</v>
      </c>
      <c r="D326" s="1842">
        <v>64</v>
      </c>
      <c r="E326" s="1841" t="s">
        <v>102</v>
      </c>
      <c r="F326" s="1841" t="s">
        <v>102</v>
      </c>
      <c r="G326" s="1843">
        <v>1.5422</v>
      </c>
      <c r="H326" s="1778">
        <v>1002.4</v>
      </c>
      <c r="I326" s="1778" t="s">
        <v>634</v>
      </c>
      <c r="J326" s="1778">
        <v>821.81</v>
      </c>
      <c r="K326" s="1778">
        <v>4728.2299999999996</v>
      </c>
      <c r="L326" s="1778">
        <v>394.02</v>
      </c>
      <c r="M326" s="1778">
        <v>788.04</v>
      </c>
      <c r="N326" s="1778">
        <v>731.75</v>
      </c>
      <c r="O326" s="1778">
        <v>8375.73</v>
      </c>
      <c r="P326" s="1778">
        <v>348.99</v>
      </c>
      <c r="Q326" s="1778">
        <v>697.98</v>
      </c>
      <c r="R326" s="1778">
        <v>596.66</v>
      </c>
      <c r="S326" s="1778">
        <v>10131.93</v>
      </c>
      <c r="T326" s="1778">
        <v>281.44</v>
      </c>
      <c r="U326" s="1778">
        <v>562.88</v>
      </c>
      <c r="V326" s="1846">
        <v>0</v>
      </c>
      <c r="W326" s="1190"/>
      <c r="X326" s="1190"/>
      <c r="Y326" s="1175"/>
      <c r="Z326" s="1192"/>
      <c r="AA326" s="818"/>
    </row>
    <row r="327" spans="1:27" s="1405" customFormat="1">
      <c r="A327" s="1186"/>
      <c r="B327" s="1841" t="s">
        <v>2688</v>
      </c>
      <c r="C327" s="1842">
        <v>32</v>
      </c>
      <c r="D327" s="1842">
        <v>128</v>
      </c>
      <c r="E327" s="1841" t="s">
        <v>102</v>
      </c>
      <c r="F327" s="1841" t="s">
        <v>102</v>
      </c>
      <c r="G327" s="1843">
        <v>3.0842000000000001</v>
      </c>
      <c r="H327" s="1778">
        <v>2004.72</v>
      </c>
      <c r="I327" s="1778" t="s">
        <v>634</v>
      </c>
      <c r="J327" s="1778">
        <v>1643.56</v>
      </c>
      <c r="K327" s="1778">
        <v>9456.11</v>
      </c>
      <c r="L327" s="1778">
        <v>788.01</v>
      </c>
      <c r="M327" s="1778">
        <v>1576.02</v>
      </c>
      <c r="N327" s="1778">
        <v>1463.45</v>
      </c>
      <c r="O327" s="1778">
        <v>16750.830000000002</v>
      </c>
      <c r="P327" s="1778">
        <v>697.95</v>
      </c>
      <c r="Q327" s="1778">
        <v>1395.9</v>
      </c>
      <c r="R327" s="1778">
        <v>1193.27</v>
      </c>
      <c r="S327" s="1778">
        <v>20263.099999999999</v>
      </c>
      <c r="T327" s="1778">
        <v>562.86</v>
      </c>
      <c r="U327" s="1778">
        <v>1125.73</v>
      </c>
      <c r="V327" s="1846">
        <v>0</v>
      </c>
      <c r="W327" s="1190"/>
      <c r="X327" s="1190"/>
      <c r="Y327" s="1175"/>
      <c r="Z327" s="1192"/>
      <c r="AA327" s="818"/>
    </row>
    <row r="328" spans="1:27" s="1405" customFormat="1">
      <c r="A328" s="1186"/>
      <c r="B328" s="1841" t="s">
        <v>2689</v>
      </c>
      <c r="C328" s="1842">
        <v>2</v>
      </c>
      <c r="D328" s="1842">
        <v>4</v>
      </c>
      <c r="E328" s="1841" t="s">
        <v>102</v>
      </c>
      <c r="F328" s="1841" t="s">
        <v>102</v>
      </c>
      <c r="G328" s="1843">
        <v>0.13550000000000001</v>
      </c>
      <c r="H328" s="1778">
        <v>88.06</v>
      </c>
      <c r="I328" s="1778" t="s">
        <v>634</v>
      </c>
      <c r="J328" s="1778">
        <v>72.19</v>
      </c>
      <c r="K328" s="1778">
        <v>415.35</v>
      </c>
      <c r="L328" s="1778">
        <v>34.61</v>
      </c>
      <c r="M328" s="1778">
        <v>69.23</v>
      </c>
      <c r="N328" s="1778">
        <v>64.28</v>
      </c>
      <c r="O328" s="1778">
        <v>735.76</v>
      </c>
      <c r="P328" s="1778">
        <v>30.66</v>
      </c>
      <c r="Q328" s="1778">
        <v>61.31</v>
      </c>
      <c r="R328" s="1778">
        <v>52.41</v>
      </c>
      <c r="S328" s="1778">
        <v>890.04</v>
      </c>
      <c r="T328" s="1778">
        <v>24.72</v>
      </c>
      <c r="U328" s="1778">
        <v>49.45</v>
      </c>
      <c r="V328" s="1846">
        <v>0</v>
      </c>
      <c r="W328" s="1190"/>
      <c r="X328" s="1190"/>
      <c r="Y328" s="1175"/>
      <c r="Z328" s="1192"/>
      <c r="AA328" s="818"/>
    </row>
    <row r="329" spans="1:27" s="1405" customFormat="1">
      <c r="A329" s="1186"/>
      <c r="B329" s="1841" t="s">
        <v>2690</v>
      </c>
      <c r="C329" s="1842">
        <v>4</v>
      </c>
      <c r="D329" s="1842">
        <v>8</v>
      </c>
      <c r="E329" s="1841" t="s">
        <v>102</v>
      </c>
      <c r="F329" s="1841" t="s">
        <v>102</v>
      </c>
      <c r="G329" s="1843">
        <v>0.27210000000000001</v>
      </c>
      <c r="H329" s="1778">
        <v>176.86</v>
      </c>
      <c r="I329" s="1778" t="s">
        <v>634</v>
      </c>
      <c r="J329" s="1778">
        <v>145</v>
      </c>
      <c r="K329" s="1778">
        <v>834.23</v>
      </c>
      <c r="L329" s="1778">
        <v>69.52</v>
      </c>
      <c r="M329" s="1778">
        <v>139.04</v>
      </c>
      <c r="N329" s="1778">
        <v>129.11000000000001</v>
      </c>
      <c r="O329" s="1778">
        <v>1477.78</v>
      </c>
      <c r="P329" s="1778">
        <v>61.57</v>
      </c>
      <c r="Q329" s="1778">
        <v>123.15</v>
      </c>
      <c r="R329" s="1778">
        <v>105.27</v>
      </c>
      <c r="S329" s="1778">
        <v>1787.63</v>
      </c>
      <c r="T329" s="1778">
        <v>49.66</v>
      </c>
      <c r="U329" s="1778">
        <v>99.31</v>
      </c>
      <c r="V329" s="1846">
        <v>0</v>
      </c>
      <c r="W329" s="1190"/>
      <c r="X329" s="1190"/>
      <c r="Y329" s="1175"/>
      <c r="Z329" s="1192"/>
      <c r="AA329" s="818"/>
    </row>
    <row r="330" spans="1:27" s="1405" customFormat="1">
      <c r="A330" s="1186"/>
      <c r="B330" s="1841" t="s">
        <v>2691</v>
      </c>
      <c r="C330" s="1842">
        <v>8</v>
      </c>
      <c r="D330" s="1842">
        <v>16</v>
      </c>
      <c r="E330" s="1841" t="s">
        <v>102</v>
      </c>
      <c r="F330" s="1841" t="s">
        <v>102</v>
      </c>
      <c r="G330" s="1843">
        <v>0.54410000000000003</v>
      </c>
      <c r="H330" s="1778">
        <v>353.64</v>
      </c>
      <c r="I330" s="1778" t="s">
        <v>634</v>
      </c>
      <c r="J330" s="1778">
        <v>289.93</v>
      </c>
      <c r="K330" s="1778">
        <v>1668.1</v>
      </c>
      <c r="L330" s="1778">
        <v>139.01</v>
      </c>
      <c r="M330" s="1778">
        <v>278.02</v>
      </c>
      <c r="N330" s="1778">
        <v>258.16000000000003</v>
      </c>
      <c r="O330" s="1778">
        <v>2954.93</v>
      </c>
      <c r="P330" s="1778">
        <v>123.12</v>
      </c>
      <c r="Q330" s="1778">
        <v>246.24</v>
      </c>
      <c r="R330" s="1778">
        <v>210.5</v>
      </c>
      <c r="S330" s="1778">
        <v>3574.51</v>
      </c>
      <c r="T330" s="1778">
        <v>99.29</v>
      </c>
      <c r="U330" s="1778">
        <v>198.58</v>
      </c>
      <c r="V330" s="1846">
        <v>0</v>
      </c>
      <c r="W330" s="1190"/>
      <c r="X330" s="1190"/>
      <c r="Y330" s="1175"/>
      <c r="Z330" s="1192"/>
      <c r="AA330" s="818"/>
    </row>
    <row r="331" spans="1:27" s="1405" customFormat="1">
      <c r="A331" s="1186"/>
      <c r="B331" s="1841" t="s">
        <v>2692</v>
      </c>
      <c r="C331" s="1842">
        <v>16</v>
      </c>
      <c r="D331" s="1842">
        <v>32</v>
      </c>
      <c r="E331" s="1841" t="s">
        <v>102</v>
      </c>
      <c r="F331" s="1841" t="s">
        <v>102</v>
      </c>
      <c r="G331" s="1843">
        <v>1.0881000000000001</v>
      </c>
      <c r="H331" s="1778">
        <v>707.28</v>
      </c>
      <c r="I331" s="1778" t="s">
        <v>634</v>
      </c>
      <c r="J331" s="1778">
        <v>579.86</v>
      </c>
      <c r="K331" s="1778">
        <v>3336.21</v>
      </c>
      <c r="L331" s="1778">
        <v>278.02</v>
      </c>
      <c r="M331" s="1778">
        <v>556.03</v>
      </c>
      <c r="N331" s="1778">
        <v>516.32000000000005</v>
      </c>
      <c r="O331" s="1778">
        <v>5909.85</v>
      </c>
      <c r="P331" s="1778">
        <v>246.24</v>
      </c>
      <c r="Q331" s="1778">
        <v>492.49</v>
      </c>
      <c r="R331" s="1778">
        <v>421</v>
      </c>
      <c r="S331" s="1778">
        <v>7149.01</v>
      </c>
      <c r="T331" s="1778">
        <v>198.58</v>
      </c>
      <c r="U331" s="1778">
        <v>397.17</v>
      </c>
      <c r="V331" s="1846">
        <v>0</v>
      </c>
      <c r="W331" s="1190"/>
      <c r="X331" s="1190"/>
      <c r="Y331" s="1175"/>
      <c r="Z331" s="1192"/>
      <c r="AA331" s="818"/>
    </row>
    <row r="332" spans="1:27" s="1405" customFormat="1">
      <c r="A332" s="1186"/>
      <c r="B332" s="1841" t="s">
        <v>2693</v>
      </c>
      <c r="C332" s="1842">
        <v>32</v>
      </c>
      <c r="D332" s="1842">
        <v>64</v>
      </c>
      <c r="E332" s="1841" t="s">
        <v>102</v>
      </c>
      <c r="F332" s="1841" t="s">
        <v>102</v>
      </c>
      <c r="G332" s="1843">
        <v>2.1762999999999999</v>
      </c>
      <c r="H332" s="1778">
        <v>1414.57</v>
      </c>
      <c r="I332" s="1778" t="s">
        <v>634</v>
      </c>
      <c r="J332" s="1778">
        <v>1159.73</v>
      </c>
      <c r="K332" s="1778">
        <v>6672.41</v>
      </c>
      <c r="L332" s="1778">
        <v>556.03</v>
      </c>
      <c r="M332" s="1778">
        <v>1112.07</v>
      </c>
      <c r="N332" s="1778">
        <v>1032.6400000000001</v>
      </c>
      <c r="O332" s="1778">
        <v>11819.7</v>
      </c>
      <c r="P332" s="1778">
        <v>492.49</v>
      </c>
      <c r="Q332" s="1778">
        <v>984.98</v>
      </c>
      <c r="R332" s="1778">
        <v>841.99</v>
      </c>
      <c r="S332" s="1778">
        <v>14298.03</v>
      </c>
      <c r="T332" s="1778">
        <v>397.17</v>
      </c>
      <c r="U332" s="1778">
        <v>794.33</v>
      </c>
      <c r="V332" s="1846">
        <v>0</v>
      </c>
      <c r="W332" s="1190"/>
      <c r="X332" s="1190"/>
      <c r="Y332" s="1175"/>
      <c r="Z332" s="1192"/>
      <c r="AA332" s="818"/>
    </row>
    <row r="333" spans="1:27" s="1405" customFormat="1">
      <c r="A333" s="1186"/>
      <c r="B333" s="1841" t="s">
        <v>2694</v>
      </c>
      <c r="C333" s="1842">
        <v>2</v>
      </c>
      <c r="D333" s="1842">
        <v>8</v>
      </c>
      <c r="E333" s="1841" t="s">
        <v>102</v>
      </c>
      <c r="F333" s="1841" t="s">
        <v>102</v>
      </c>
      <c r="G333" s="1843">
        <v>0.16159999999999999</v>
      </c>
      <c r="H333" s="1778">
        <v>105.02</v>
      </c>
      <c r="I333" s="1778" t="s">
        <v>634</v>
      </c>
      <c r="J333" s="1778">
        <v>86.1</v>
      </c>
      <c r="K333" s="1778">
        <v>495.39</v>
      </c>
      <c r="L333" s="1778">
        <v>41.28</v>
      </c>
      <c r="M333" s="1778">
        <v>82.56</v>
      </c>
      <c r="N333" s="1778">
        <v>76.67</v>
      </c>
      <c r="O333" s="1778">
        <v>877.55</v>
      </c>
      <c r="P333" s="1778">
        <v>36.56</v>
      </c>
      <c r="Q333" s="1778">
        <v>73.13</v>
      </c>
      <c r="R333" s="1778">
        <v>62.51</v>
      </c>
      <c r="S333" s="1778">
        <v>1061.55</v>
      </c>
      <c r="T333" s="1778">
        <v>29.49</v>
      </c>
      <c r="U333" s="1778">
        <v>58.97</v>
      </c>
      <c r="V333" s="1846">
        <v>0</v>
      </c>
      <c r="W333" s="1190"/>
      <c r="X333" s="1190"/>
      <c r="Y333" s="1175"/>
      <c r="Z333" s="1192"/>
      <c r="AA333" s="818"/>
    </row>
    <row r="334" spans="1:27" s="1405" customFormat="1">
      <c r="A334" s="1186"/>
      <c r="B334" s="1841" t="s">
        <v>2695</v>
      </c>
      <c r="C334" s="1842">
        <v>4</v>
      </c>
      <c r="D334" s="1842">
        <v>16</v>
      </c>
      <c r="E334" s="1841" t="s">
        <v>102</v>
      </c>
      <c r="F334" s="1841" t="s">
        <v>102</v>
      </c>
      <c r="G334" s="1843">
        <v>0.3246</v>
      </c>
      <c r="H334" s="1778">
        <v>211.02</v>
      </c>
      <c r="I334" s="1778" t="s">
        <v>634</v>
      </c>
      <c r="J334" s="1778">
        <v>173</v>
      </c>
      <c r="K334" s="1778">
        <v>995.36</v>
      </c>
      <c r="L334" s="1778">
        <v>82.95</v>
      </c>
      <c r="M334" s="1778">
        <v>165.89</v>
      </c>
      <c r="N334" s="1778">
        <v>154.04</v>
      </c>
      <c r="O334" s="1778">
        <v>1763.21</v>
      </c>
      <c r="P334" s="1778">
        <v>73.47</v>
      </c>
      <c r="Q334" s="1778">
        <v>146.93</v>
      </c>
      <c r="R334" s="1778">
        <v>125.61</v>
      </c>
      <c r="S334" s="1778">
        <v>2132.92</v>
      </c>
      <c r="T334" s="1778">
        <v>59.25</v>
      </c>
      <c r="U334" s="1778">
        <v>118.5</v>
      </c>
      <c r="V334" s="1846">
        <v>0</v>
      </c>
      <c r="W334" s="1190"/>
      <c r="X334" s="1190"/>
      <c r="Y334" s="1175"/>
      <c r="Z334" s="1192"/>
      <c r="AA334" s="818"/>
    </row>
    <row r="335" spans="1:27" s="1405" customFormat="1">
      <c r="A335" s="1186"/>
      <c r="B335" s="1841" t="s">
        <v>2696</v>
      </c>
      <c r="C335" s="1842">
        <v>8</v>
      </c>
      <c r="D335" s="1842">
        <v>32</v>
      </c>
      <c r="E335" s="1841" t="s">
        <v>102</v>
      </c>
      <c r="F335" s="1841" t="s">
        <v>102</v>
      </c>
      <c r="G335" s="1843">
        <v>0.64949999999999997</v>
      </c>
      <c r="H335" s="1778">
        <v>422.19</v>
      </c>
      <c r="I335" s="1778" t="s">
        <v>634</v>
      </c>
      <c r="J335" s="1778">
        <v>346.13</v>
      </c>
      <c r="K335" s="1778">
        <v>1991.43</v>
      </c>
      <c r="L335" s="1778">
        <v>165.95</v>
      </c>
      <c r="M335" s="1778">
        <v>331.9</v>
      </c>
      <c r="N335" s="1778">
        <v>308.2</v>
      </c>
      <c r="O335" s="1778">
        <v>3527.67</v>
      </c>
      <c r="P335" s="1778">
        <v>146.99</v>
      </c>
      <c r="Q335" s="1778">
        <v>293.97000000000003</v>
      </c>
      <c r="R335" s="1778">
        <v>251.3</v>
      </c>
      <c r="S335" s="1778">
        <v>4267.3500000000004</v>
      </c>
      <c r="T335" s="1778">
        <v>118.54</v>
      </c>
      <c r="U335" s="1778">
        <v>237.07</v>
      </c>
      <c r="V335" s="1846">
        <v>0</v>
      </c>
      <c r="W335" s="1190"/>
      <c r="X335" s="1190"/>
      <c r="Y335" s="1175"/>
      <c r="Z335" s="1192"/>
      <c r="AA335" s="818"/>
    </row>
    <row r="336" spans="1:27" s="1405" customFormat="1">
      <c r="A336" s="1186"/>
      <c r="B336" s="1841" t="s">
        <v>2697</v>
      </c>
      <c r="C336" s="1842">
        <v>16</v>
      </c>
      <c r="D336" s="1842">
        <v>64</v>
      </c>
      <c r="E336" s="1841" t="s">
        <v>102</v>
      </c>
      <c r="F336" s="1841" t="s">
        <v>102</v>
      </c>
      <c r="G336" s="1843">
        <v>1.2989999999999999</v>
      </c>
      <c r="H336" s="1778">
        <v>844.38</v>
      </c>
      <c r="I336" s="1778" t="s">
        <v>634</v>
      </c>
      <c r="J336" s="1778">
        <v>692.26</v>
      </c>
      <c r="K336" s="1778">
        <v>3982.86</v>
      </c>
      <c r="L336" s="1778">
        <v>331.9</v>
      </c>
      <c r="M336" s="1778">
        <v>663.81</v>
      </c>
      <c r="N336" s="1778">
        <v>616.39</v>
      </c>
      <c r="O336" s="1778">
        <v>7055.35</v>
      </c>
      <c r="P336" s="1778">
        <v>293.97000000000003</v>
      </c>
      <c r="Q336" s="1778">
        <v>587.95000000000005</v>
      </c>
      <c r="R336" s="1778">
        <v>502.6</v>
      </c>
      <c r="S336" s="1778">
        <v>8534.69</v>
      </c>
      <c r="T336" s="1778">
        <v>237.07</v>
      </c>
      <c r="U336" s="1778">
        <v>474.15</v>
      </c>
      <c r="V336" s="1846">
        <v>0</v>
      </c>
      <c r="W336" s="1190"/>
      <c r="X336" s="1190"/>
      <c r="Y336" s="1175"/>
      <c r="Z336" s="1192"/>
      <c r="AA336" s="818"/>
    </row>
    <row r="337" spans="1:48" s="1405" customFormat="1">
      <c r="A337" s="1186"/>
      <c r="B337" s="1841" t="s">
        <v>2698</v>
      </c>
      <c r="C337" s="1842">
        <v>32</v>
      </c>
      <c r="D337" s="1842">
        <v>128</v>
      </c>
      <c r="E337" s="1841" t="s">
        <v>102</v>
      </c>
      <c r="F337" s="1841" t="s">
        <v>102</v>
      </c>
      <c r="G337" s="1843">
        <v>2.5983000000000001</v>
      </c>
      <c r="H337" s="1778">
        <v>1688.9</v>
      </c>
      <c r="I337" s="1778" t="s">
        <v>634</v>
      </c>
      <c r="J337" s="1778">
        <v>1384.64</v>
      </c>
      <c r="K337" s="1778">
        <v>7966.42</v>
      </c>
      <c r="L337" s="1778">
        <v>663.87</v>
      </c>
      <c r="M337" s="1778">
        <v>1327.74</v>
      </c>
      <c r="N337" s="1778">
        <v>1232.9000000000001</v>
      </c>
      <c r="O337" s="1778">
        <v>14111.94</v>
      </c>
      <c r="P337" s="1778">
        <v>588</v>
      </c>
      <c r="Q337" s="1778">
        <v>1176</v>
      </c>
      <c r="R337" s="1778">
        <v>1005.29</v>
      </c>
      <c r="S337" s="1778">
        <v>17070.900000000001</v>
      </c>
      <c r="T337" s="1778">
        <v>474.19</v>
      </c>
      <c r="U337" s="1778">
        <v>948.38</v>
      </c>
      <c r="V337" s="1846">
        <v>0</v>
      </c>
      <c r="W337" s="1190"/>
      <c r="X337" s="1190"/>
      <c r="Y337" s="1175"/>
      <c r="Z337" s="1192"/>
      <c r="AA337" s="818"/>
    </row>
    <row r="338" spans="1:48" s="1405" customFormat="1">
      <c r="A338" s="1186"/>
      <c r="B338" s="1841" t="s">
        <v>2699</v>
      </c>
      <c r="C338" s="1842">
        <v>16</v>
      </c>
      <c r="D338" s="1842">
        <v>128</v>
      </c>
      <c r="E338" s="1841" t="s">
        <v>102</v>
      </c>
      <c r="F338" s="1841" t="s">
        <v>102</v>
      </c>
      <c r="G338" s="1843">
        <v>1.6627000000000001</v>
      </c>
      <c r="H338" s="1778">
        <v>1080.74</v>
      </c>
      <c r="I338" s="1778" t="s">
        <v>634</v>
      </c>
      <c r="J338" s="1778">
        <v>886.04</v>
      </c>
      <c r="K338" s="1778">
        <v>5097.75</v>
      </c>
      <c r="L338" s="1778">
        <v>424.81</v>
      </c>
      <c r="M338" s="1778">
        <v>849.62</v>
      </c>
      <c r="N338" s="1778">
        <v>788.94</v>
      </c>
      <c r="O338" s="1778">
        <v>9030.2900000000009</v>
      </c>
      <c r="P338" s="1778">
        <v>376.26</v>
      </c>
      <c r="Q338" s="1778">
        <v>752.52</v>
      </c>
      <c r="R338" s="1778">
        <v>643.29</v>
      </c>
      <c r="S338" s="1778">
        <v>10923.74</v>
      </c>
      <c r="T338" s="1778">
        <v>303.44</v>
      </c>
      <c r="U338" s="1778">
        <v>606.87</v>
      </c>
      <c r="V338" s="1846">
        <v>0</v>
      </c>
      <c r="W338" s="1190"/>
      <c r="X338" s="1190"/>
      <c r="Y338" s="1175"/>
      <c r="Z338" s="1192"/>
      <c r="AA338" s="818"/>
    </row>
    <row r="339" spans="1:48" s="331" customFormat="1">
      <c r="A339" s="141"/>
      <c r="B339" s="1841" t="s">
        <v>2705</v>
      </c>
      <c r="C339" s="1842">
        <v>16</v>
      </c>
      <c r="D339" s="1842">
        <v>64</v>
      </c>
      <c r="E339" s="1841" t="s">
        <v>102</v>
      </c>
      <c r="F339" s="1841" t="s">
        <v>102</v>
      </c>
      <c r="G339" s="1843">
        <v>1.1547000000000001</v>
      </c>
      <c r="H339" s="1778">
        <v>750.56</v>
      </c>
      <c r="I339" s="1778" t="s">
        <v>634</v>
      </c>
      <c r="J339" s="1778" t="s">
        <v>634</v>
      </c>
      <c r="K339" s="1778" t="s">
        <v>634</v>
      </c>
      <c r="L339" s="1778" t="s">
        <v>634</v>
      </c>
      <c r="M339" s="1778" t="s">
        <v>634</v>
      </c>
      <c r="N339" s="1778" t="s">
        <v>634</v>
      </c>
      <c r="O339" s="1778" t="s">
        <v>634</v>
      </c>
      <c r="P339" s="1778" t="s">
        <v>634</v>
      </c>
      <c r="Q339" s="1778" t="s">
        <v>634</v>
      </c>
      <c r="R339" s="1778" t="s">
        <v>634</v>
      </c>
      <c r="S339" s="1778" t="s">
        <v>634</v>
      </c>
      <c r="T339" s="1778" t="s">
        <v>634</v>
      </c>
      <c r="U339" s="1778" t="s">
        <v>634</v>
      </c>
      <c r="V339" s="1778" t="s">
        <v>634</v>
      </c>
      <c r="W339" s="1190"/>
      <c r="X339" s="1190"/>
      <c r="Y339" s="1191"/>
      <c r="Z339" s="1192"/>
      <c r="AA339" s="256"/>
      <c r="AE339" s="1405"/>
      <c r="AF339" s="1405"/>
      <c r="AG339" s="1405"/>
      <c r="AH339" s="1405"/>
      <c r="AI339" s="1405"/>
      <c r="AJ339" s="1405"/>
      <c r="AK339" s="1405"/>
      <c r="AL339" s="1405"/>
      <c r="AM339" s="1405"/>
      <c r="AN339" s="1405"/>
      <c r="AO339" s="1405"/>
      <c r="AP339" s="1405"/>
      <c r="AQ339" s="1405"/>
      <c r="AR339" s="1405"/>
      <c r="AS339" s="1405"/>
      <c r="AT339" s="1405"/>
      <c r="AU339" s="1405"/>
      <c r="AV339" s="1405"/>
    </row>
    <row r="340" spans="1:48" s="331" customFormat="1">
      <c r="A340" s="141"/>
      <c r="B340" s="1841" t="s">
        <v>2706</v>
      </c>
      <c r="C340" s="1842">
        <v>32</v>
      </c>
      <c r="D340" s="1842">
        <v>128</v>
      </c>
      <c r="E340" s="1841" t="s">
        <v>102</v>
      </c>
      <c r="F340" s="1841" t="s">
        <v>102</v>
      </c>
      <c r="G340" s="1843">
        <v>2.3094999999999999</v>
      </c>
      <c r="H340" s="1778">
        <v>1501.18</v>
      </c>
      <c r="I340" s="1778" t="s">
        <v>634</v>
      </c>
      <c r="J340" s="1778" t="s">
        <v>634</v>
      </c>
      <c r="K340" s="1778" t="s">
        <v>634</v>
      </c>
      <c r="L340" s="1778" t="s">
        <v>634</v>
      </c>
      <c r="M340" s="1778" t="s">
        <v>634</v>
      </c>
      <c r="N340" s="1778" t="s">
        <v>634</v>
      </c>
      <c r="O340" s="1778" t="s">
        <v>634</v>
      </c>
      <c r="P340" s="1778" t="s">
        <v>634</v>
      </c>
      <c r="Q340" s="1778" t="s">
        <v>634</v>
      </c>
      <c r="R340" s="1778" t="s">
        <v>634</v>
      </c>
      <c r="S340" s="1778" t="s">
        <v>634</v>
      </c>
      <c r="T340" s="1778" t="s">
        <v>634</v>
      </c>
      <c r="U340" s="1778" t="s">
        <v>634</v>
      </c>
      <c r="V340" s="1778" t="s">
        <v>634</v>
      </c>
      <c r="W340" s="1190"/>
      <c r="X340" s="1190"/>
      <c r="Y340" s="1191"/>
      <c r="Z340" s="1192"/>
      <c r="AA340" s="256"/>
      <c r="AE340" s="1405"/>
      <c r="AF340" s="1405"/>
      <c r="AG340" s="1405"/>
      <c r="AH340" s="1405"/>
      <c r="AI340" s="1405"/>
      <c r="AJ340" s="1405"/>
      <c r="AK340" s="1405"/>
      <c r="AL340" s="1405"/>
      <c r="AM340" s="1405"/>
      <c r="AN340" s="1405"/>
      <c r="AO340" s="1405"/>
      <c r="AP340" s="1405"/>
      <c r="AQ340" s="1405"/>
      <c r="AR340" s="1405"/>
      <c r="AS340" s="1405"/>
      <c r="AT340" s="1405"/>
      <c r="AU340" s="1405"/>
      <c r="AV340" s="1405"/>
    </row>
    <row r="341" spans="1:48" s="331" customFormat="1">
      <c r="A341" s="141"/>
      <c r="B341" s="1841" t="s">
        <v>2707</v>
      </c>
      <c r="C341" s="1842">
        <v>4</v>
      </c>
      <c r="D341" s="1842">
        <v>8</v>
      </c>
      <c r="E341" s="1841" t="s">
        <v>102</v>
      </c>
      <c r="F341" s="1841" t="s">
        <v>102</v>
      </c>
      <c r="G341" s="1843">
        <v>0.31580000000000003</v>
      </c>
      <c r="H341" s="1778">
        <v>205.27</v>
      </c>
      <c r="I341" s="1778" t="s">
        <v>634</v>
      </c>
      <c r="J341" s="1778" t="s">
        <v>634</v>
      </c>
      <c r="K341" s="1778" t="s">
        <v>634</v>
      </c>
      <c r="L341" s="1778" t="s">
        <v>634</v>
      </c>
      <c r="M341" s="1778" t="s">
        <v>634</v>
      </c>
      <c r="N341" s="1778" t="s">
        <v>634</v>
      </c>
      <c r="O341" s="1778" t="s">
        <v>634</v>
      </c>
      <c r="P341" s="1778" t="s">
        <v>634</v>
      </c>
      <c r="Q341" s="1778" t="s">
        <v>634</v>
      </c>
      <c r="R341" s="1778" t="s">
        <v>634</v>
      </c>
      <c r="S341" s="1778" t="s">
        <v>634</v>
      </c>
      <c r="T341" s="1778" t="s">
        <v>634</v>
      </c>
      <c r="U341" s="1778" t="s">
        <v>634</v>
      </c>
      <c r="V341" s="1778" t="s">
        <v>634</v>
      </c>
      <c r="W341" s="1164"/>
      <c r="X341" s="1190"/>
      <c r="Y341" s="1165"/>
      <c r="Z341" s="1166"/>
      <c r="AA341" s="256"/>
      <c r="AE341" s="1405"/>
      <c r="AF341" s="1405"/>
      <c r="AG341" s="1405"/>
      <c r="AH341" s="1405"/>
      <c r="AI341" s="1405"/>
      <c r="AJ341" s="1405"/>
      <c r="AK341" s="1405"/>
      <c r="AL341" s="1405"/>
      <c r="AM341" s="1405"/>
      <c r="AN341" s="1405"/>
      <c r="AO341" s="1405"/>
      <c r="AP341" s="1405"/>
      <c r="AQ341" s="1405"/>
      <c r="AR341" s="1405"/>
      <c r="AS341" s="1405"/>
      <c r="AT341" s="1405"/>
      <c r="AU341" s="1405"/>
      <c r="AV341" s="1405"/>
    </row>
    <row r="342" spans="1:48" s="331" customFormat="1">
      <c r="A342" s="141"/>
      <c r="B342" s="1841" t="s">
        <v>2708</v>
      </c>
      <c r="C342" s="1842">
        <v>8</v>
      </c>
      <c r="D342" s="1842">
        <v>16</v>
      </c>
      <c r="E342" s="1841" t="s">
        <v>102</v>
      </c>
      <c r="F342" s="1841" t="s">
        <v>102</v>
      </c>
      <c r="G342" s="1843">
        <v>0.63160000000000005</v>
      </c>
      <c r="H342" s="1778">
        <v>410.54</v>
      </c>
      <c r="I342" s="1778" t="s">
        <v>634</v>
      </c>
      <c r="J342" s="1778" t="s">
        <v>634</v>
      </c>
      <c r="K342" s="1778" t="s">
        <v>634</v>
      </c>
      <c r="L342" s="1778" t="s">
        <v>634</v>
      </c>
      <c r="M342" s="1778" t="s">
        <v>634</v>
      </c>
      <c r="N342" s="1778" t="s">
        <v>634</v>
      </c>
      <c r="O342" s="1778" t="s">
        <v>634</v>
      </c>
      <c r="P342" s="1778" t="s">
        <v>634</v>
      </c>
      <c r="Q342" s="1778" t="s">
        <v>634</v>
      </c>
      <c r="R342" s="1778" t="s">
        <v>634</v>
      </c>
      <c r="S342" s="1778" t="s">
        <v>634</v>
      </c>
      <c r="T342" s="1778" t="s">
        <v>634</v>
      </c>
      <c r="U342" s="1778" t="s">
        <v>634</v>
      </c>
      <c r="V342" s="1778" t="s">
        <v>634</v>
      </c>
      <c r="W342" s="1164"/>
      <c r="X342" s="1190"/>
      <c r="Y342" s="1165"/>
      <c r="Z342" s="1166"/>
      <c r="AA342" s="256"/>
      <c r="AE342" s="1405"/>
      <c r="AF342" s="1405"/>
      <c r="AG342" s="1405"/>
      <c r="AH342" s="1405"/>
      <c r="AI342" s="1405"/>
      <c r="AJ342" s="1405"/>
      <c r="AK342" s="1405"/>
      <c r="AL342" s="1405"/>
      <c r="AM342" s="1405"/>
      <c r="AN342" s="1405"/>
      <c r="AO342" s="1405"/>
      <c r="AP342" s="1405"/>
      <c r="AQ342" s="1405"/>
      <c r="AR342" s="1405"/>
      <c r="AS342" s="1405"/>
      <c r="AT342" s="1405"/>
      <c r="AU342" s="1405"/>
      <c r="AV342" s="1405"/>
    </row>
    <row r="343" spans="1:48" s="331" customFormat="1">
      <c r="A343" s="141"/>
      <c r="B343" s="1841" t="s">
        <v>2709</v>
      </c>
      <c r="C343" s="1842">
        <v>16</v>
      </c>
      <c r="D343" s="1842">
        <v>64</v>
      </c>
      <c r="E343" s="1841" t="s">
        <v>102</v>
      </c>
      <c r="F343" s="1841" t="s">
        <v>102</v>
      </c>
      <c r="G343" s="1843">
        <v>1.2632000000000001</v>
      </c>
      <c r="H343" s="1778">
        <v>821.08</v>
      </c>
      <c r="I343" s="1778" t="s">
        <v>634</v>
      </c>
      <c r="J343" s="1778" t="s">
        <v>634</v>
      </c>
      <c r="K343" s="1778" t="s">
        <v>634</v>
      </c>
      <c r="L343" s="1778" t="s">
        <v>634</v>
      </c>
      <c r="M343" s="1778" t="s">
        <v>634</v>
      </c>
      <c r="N343" s="1778" t="s">
        <v>634</v>
      </c>
      <c r="O343" s="1778" t="s">
        <v>634</v>
      </c>
      <c r="P343" s="1778" t="s">
        <v>634</v>
      </c>
      <c r="Q343" s="1778" t="s">
        <v>634</v>
      </c>
      <c r="R343" s="1778" t="s">
        <v>634</v>
      </c>
      <c r="S343" s="1778" t="s">
        <v>634</v>
      </c>
      <c r="T343" s="1778" t="s">
        <v>634</v>
      </c>
      <c r="U343" s="1778" t="s">
        <v>634</v>
      </c>
      <c r="V343" s="1778" t="s">
        <v>634</v>
      </c>
      <c r="W343" s="1190"/>
      <c r="X343" s="1190"/>
      <c r="Y343" s="1191"/>
      <c r="Z343" s="1192"/>
      <c r="AA343" s="256"/>
      <c r="AE343" s="1405"/>
      <c r="AF343" s="1405"/>
      <c r="AG343" s="1405"/>
      <c r="AH343" s="1405"/>
      <c r="AI343" s="1405"/>
      <c r="AJ343" s="1405"/>
      <c r="AK343" s="1405"/>
      <c r="AL343" s="1405"/>
      <c r="AM343" s="1405"/>
      <c r="AN343" s="1405"/>
      <c r="AO343" s="1405"/>
      <c r="AP343" s="1405"/>
      <c r="AQ343" s="1405"/>
      <c r="AR343" s="1405"/>
      <c r="AS343" s="1405"/>
      <c r="AT343" s="1405"/>
      <c r="AU343" s="1405"/>
      <c r="AV343" s="1405"/>
    </row>
    <row r="344" spans="1:48" s="613" customFormat="1" ht="15" thickBot="1">
      <c r="A344" s="53"/>
      <c r="B344" s="5"/>
      <c r="C344" s="42"/>
      <c r="D344" s="42"/>
      <c r="E344" s="42"/>
      <c r="F344" s="6"/>
      <c r="G344" s="6"/>
      <c r="H344" s="6"/>
      <c r="I344" s="874"/>
      <c r="J344" s="5"/>
      <c r="K344" s="5"/>
      <c r="L344" s="5"/>
      <c r="M344" s="5"/>
      <c r="N344" s="5"/>
      <c r="O344" s="5"/>
      <c r="P344" s="5"/>
      <c r="Q344" s="5"/>
      <c r="R344" s="5"/>
      <c r="S344" s="5"/>
      <c r="T344" s="1175"/>
      <c r="U344" s="5"/>
      <c r="V344" s="1175"/>
      <c r="W344" s="93"/>
      <c r="Y344" s="5"/>
      <c r="Z344" s="218"/>
      <c r="AA344" s="818"/>
      <c r="AE344" s="1405"/>
      <c r="AF344" s="1405"/>
      <c r="AG344" s="1405"/>
      <c r="AH344" s="1405"/>
      <c r="AI344" s="1405"/>
      <c r="AJ344" s="1405"/>
      <c r="AK344" s="1405"/>
      <c r="AL344" s="1405"/>
      <c r="AM344" s="1405"/>
      <c r="AN344" s="1405"/>
      <c r="AO344" s="1405"/>
      <c r="AP344" s="1405"/>
      <c r="AQ344" s="1405"/>
      <c r="AR344" s="1405"/>
      <c r="AS344" s="1405"/>
      <c r="AT344" s="1405"/>
      <c r="AU344" s="1405"/>
      <c r="AV344" s="1405"/>
    </row>
    <row r="345" spans="1:48" s="613" customFormat="1" ht="29.4" thickBot="1">
      <c r="A345" s="53"/>
      <c r="B345" s="1992" t="s">
        <v>267</v>
      </c>
      <c r="C345" s="1993"/>
      <c r="D345" s="1993"/>
      <c r="E345" s="1994"/>
      <c r="F345" s="26" t="s">
        <v>305</v>
      </c>
      <c r="G345" s="4"/>
      <c r="J345" s="867" t="s">
        <v>977</v>
      </c>
      <c r="K345" s="1670" t="s">
        <v>2348</v>
      </c>
      <c r="L345" s="868" t="s">
        <v>860</v>
      </c>
      <c r="M345" s="1641" t="s">
        <v>978</v>
      </c>
      <c r="N345" s="1642"/>
      <c r="O345" s="1643"/>
      <c r="P345" s="868" t="s">
        <v>979</v>
      </c>
      <c r="Q345" s="1644" t="s">
        <v>861</v>
      </c>
      <c r="R345" s="1645"/>
      <c r="S345" s="1646"/>
      <c r="T345" s="4"/>
      <c r="U345" s="4"/>
      <c r="V345" s="4"/>
      <c r="W345" s="93"/>
      <c r="X345" s="4"/>
      <c r="AE345" s="1405"/>
      <c r="AF345" s="1405"/>
      <c r="AG345" s="1405"/>
      <c r="AH345" s="1405"/>
      <c r="AI345" s="1405"/>
      <c r="AJ345" s="1405"/>
      <c r="AK345" s="1405"/>
      <c r="AL345" s="1405"/>
      <c r="AM345" s="1405"/>
      <c r="AN345" s="1405"/>
      <c r="AO345" s="1405"/>
      <c r="AP345" s="1405"/>
      <c r="AQ345" s="1405"/>
      <c r="AR345" s="1405"/>
      <c r="AS345" s="1405"/>
      <c r="AT345" s="1405"/>
      <c r="AU345" s="1405"/>
      <c r="AV345" s="1405"/>
    </row>
    <row r="346" spans="1:48" s="613" customFormat="1" ht="15" customHeight="1">
      <c r="A346" s="53"/>
      <c r="B346" s="290" t="s">
        <v>264</v>
      </c>
      <c r="C346" s="1995" t="s">
        <v>265</v>
      </c>
      <c r="D346" s="1996"/>
      <c r="E346" s="290" t="s">
        <v>266</v>
      </c>
      <c r="F346" s="1997" t="s">
        <v>269</v>
      </c>
      <c r="G346" s="1998"/>
      <c r="H346" s="297" t="s">
        <v>175</v>
      </c>
      <c r="I346" s="297" t="s">
        <v>980</v>
      </c>
      <c r="J346" s="866" t="s">
        <v>268</v>
      </c>
      <c r="K346" s="866" t="s">
        <v>2349</v>
      </c>
      <c r="L346" s="866" t="s">
        <v>976</v>
      </c>
      <c r="M346" s="866" t="s">
        <v>858</v>
      </c>
      <c r="N346" s="866" t="s">
        <v>859</v>
      </c>
      <c r="O346" s="866" t="s">
        <v>830</v>
      </c>
      <c r="P346" s="866" t="s">
        <v>406</v>
      </c>
      <c r="Q346" s="866" t="s">
        <v>858</v>
      </c>
      <c r="R346" s="866" t="s">
        <v>859</v>
      </c>
      <c r="S346" s="866" t="s">
        <v>830</v>
      </c>
      <c r="T346" s="4"/>
      <c r="U346" s="4"/>
      <c r="V346" s="4"/>
      <c r="W346" s="93"/>
      <c r="X346" s="4"/>
      <c r="Z346" s="1489"/>
      <c r="AE346" s="1405"/>
      <c r="AF346" s="1405"/>
      <c r="AG346" s="1405"/>
      <c r="AH346" s="1405"/>
      <c r="AI346" s="1405"/>
      <c r="AJ346" s="1405"/>
      <c r="AK346" s="1405"/>
      <c r="AL346" s="1405"/>
      <c r="AM346" s="1405"/>
      <c r="AN346" s="1405"/>
      <c r="AO346" s="1405"/>
      <c r="AP346" s="1405"/>
      <c r="AQ346" s="1405"/>
      <c r="AR346" s="1405"/>
      <c r="AS346" s="1405"/>
      <c r="AT346" s="1405"/>
      <c r="AU346" s="1405"/>
      <c r="AV346" s="1405"/>
    </row>
    <row r="347" spans="1:48" s="613" customFormat="1" ht="32.25" customHeight="1">
      <c r="A347" s="53"/>
      <c r="B347" s="1496" t="s">
        <v>2711</v>
      </c>
      <c r="C347" s="1947" t="s">
        <v>995</v>
      </c>
      <c r="D347" s="1948"/>
      <c r="E347" s="894" t="s">
        <v>590</v>
      </c>
      <c r="F347" s="1954" t="s">
        <v>975</v>
      </c>
      <c r="G347" s="1955"/>
      <c r="H347" s="894"/>
      <c r="I347" s="894"/>
      <c r="J347" s="1557" t="s">
        <v>634</v>
      </c>
      <c r="K347" s="1671">
        <v>2.6078000000000001</v>
      </c>
      <c r="L347" s="1557">
        <v>1617.94</v>
      </c>
      <c r="M347" s="1557">
        <v>9452.08</v>
      </c>
      <c r="N347" s="1557">
        <v>788.1</v>
      </c>
      <c r="O347" s="1557">
        <v>1574.93</v>
      </c>
      <c r="P347" s="1557">
        <v>1332.05</v>
      </c>
      <c r="Q347" s="1557">
        <v>23986.93</v>
      </c>
      <c r="R347" s="1557">
        <v>666.66</v>
      </c>
      <c r="S347" s="1557">
        <v>1332.05</v>
      </c>
      <c r="T347" s="4"/>
      <c r="U347" s="4"/>
      <c r="V347" s="4"/>
      <c r="W347" s="93"/>
      <c r="X347" s="4"/>
      <c r="Z347" s="1489"/>
      <c r="AE347" s="1405"/>
      <c r="AF347" s="1405"/>
      <c r="AG347" s="1405"/>
      <c r="AH347" s="1405"/>
      <c r="AI347" s="1405"/>
      <c r="AJ347" s="1405"/>
      <c r="AK347" s="1405"/>
      <c r="AL347" s="1405"/>
      <c r="AM347" s="1405"/>
      <c r="AN347" s="1405"/>
      <c r="AO347" s="1405"/>
      <c r="AP347" s="1405"/>
      <c r="AQ347" s="1405"/>
      <c r="AR347" s="1405"/>
      <c r="AS347" s="1405"/>
      <c r="AT347" s="1405"/>
      <c r="AU347" s="1405"/>
      <c r="AV347" s="1405"/>
    </row>
    <row r="348" spans="1:48" s="613" customFormat="1" ht="32.25" customHeight="1">
      <c r="A348" s="53"/>
      <c r="B348" s="671" t="s">
        <v>2712</v>
      </c>
      <c r="C348" s="1947" t="s">
        <v>589</v>
      </c>
      <c r="D348" s="1948"/>
      <c r="E348" s="894" t="s">
        <v>551</v>
      </c>
      <c r="F348" s="1942" t="s">
        <v>102</v>
      </c>
      <c r="G348" s="1943"/>
      <c r="H348" s="894"/>
      <c r="I348" s="894"/>
      <c r="J348" s="1557" t="s">
        <v>634</v>
      </c>
      <c r="K348" s="1671">
        <v>1.6153</v>
      </c>
      <c r="L348" s="1557">
        <v>943.69</v>
      </c>
      <c r="M348" s="1557">
        <v>5448.36</v>
      </c>
      <c r="N348" s="1557">
        <v>454.14</v>
      </c>
      <c r="O348" s="1557">
        <v>908.27</v>
      </c>
      <c r="P348" s="1557">
        <v>731.17</v>
      </c>
      <c r="Q348" s="1557">
        <v>13159.8</v>
      </c>
      <c r="R348" s="1557">
        <v>365.59</v>
      </c>
      <c r="S348" s="1557">
        <v>731.17</v>
      </c>
      <c r="T348" s="4"/>
      <c r="U348" s="4"/>
      <c r="V348" s="4"/>
      <c r="W348" s="93"/>
      <c r="X348" s="4"/>
      <c r="Z348" s="1489"/>
      <c r="AE348" s="1405"/>
      <c r="AF348" s="1405"/>
      <c r="AG348" s="1405"/>
      <c r="AH348" s="1405"/>
      <c r="AI348" s="1405"/>
      <c r="AJ348" s="1405"/>
      <c r="AK348" s="1405"/>
      <c r="AL348" s="1405"/>
      <c r="AM348" s="1405"/>
      <c r="AN348" s="1405"/>
      <c r="AO348" s="1405"/>
      <c r="AP348" s="1405"/>
      <c r="AQ348" s="1405"/>
      <c r="AR348" s="1405"/>
      <c r="AS348" s="1405"/>
      <c r="AT348" s="1405"/>
      <c r="AU348" s="1405"/>
      <c r="AV348" s="1405"/>
    </row>
    <row r="349" spans="1:48" s="613" customFormat="1" ht="32.25" customHeight="1">
      <c r="A349" s="53"/>
      <c r="B349" s="1668" t="s">
        <v>2713</v>
      </c>
      <c r="C349" s="1950" t="s">
        <v>1787</v>
      </c>
      <c r="D349" s="1950"/>
      <c r="E349" s="1496" t="s">
        <v>590</v>
      </c>
      <c r="F349" s="1942" t="s">
        <v>1790</v>
      </c>
      <c r="G349" s="1943"/>
      <c r="H349" s="894" t="s">
        <v>1792</v>
      </c>
      <c r="I349" s="894" t="s">
        <v>1794</v>
      </c>
      <c r="J349" s="1557" t="s">
        <v>634</v>
      </c>
      <c r="K349" s="1671">
        <v>6.4009</v>
      </c>
      <c r="L349" s="1557">
        <v>2621.08</v>
      </c>
      <c r="M349" s="1557">
        <v>14967.48</v>
      </c>
      <c r="N349" s="1557">
        <v>1247.29</v>
      </c>
      <c r="O349" s="1557">
        <v>2494.58</v>
      </c>
      <c r="P349" s="1557">
        <v>2102.4299999999998</v>
      </c>
      <c r="Q349" s="1557">
        <v>35566.74</v>
      </c>
      <c r="R349" s="1557">
        <v>987.97</v>
      </c>
      <c r="S349" s="1557">
        <v>1975.93</v>
      </c>
      <c r="T349" s="4"/>
      <c r="U349" s="4"/>
      <c r="V349" s="4"/>
      <c r="W349" s="93"/>
      <c r="X349" s="4"/>
      <c r="Z349" s="1492"/>
      <c r="AE349" s="1405"/>
      <c r="AF349" s="1405"/>
      <c r="AG349" s="1405"/>
      <c r="AH349" s="1405"/>
      <c r="AI349" s="1405"/>
      <c r="AJ349" s="1405"/>
      <c r="AK349" s="1405"/>
      <c r="AL349" s="1405"/>
      <c r="AM349" s="1405"/>
      <c r="AN349" s="1405"/>
      <c r="AO349" s="1405"/>
      <c r="AP349" s="1405"/>
      <c r="AQ349" s="1405"/>
      <c r="AR349" s="1405"/>
      <c r="AS349" s="1405"/>
      <c r="AT349" s="1405"/>
      <c r="AU349" s="1405"/>
      <c r="AV349" s="1405"/>
    </row>
    <row r="350" spans="1:48" s="613" customFormat="1" ht="32.25" customHeight="1">
      <c r="A350" s="53"/>
      <c r="B350" s="1275" t="s">
        <v>2714</v>
      </c>
      <c r="C350" s="1956" t="s">
        <v>994</v>
      </c>
      <c r="D350" s="1957"/>
      <c r="E350" s="1563" t="s">
        <v>741</v>
      </c>
      <c r="F350" s="1963" t="s">
        <v>102</v>
      </c>
      <c r="G350" s="1964"/>
      <c r="H350" s="1669"/>
      <c r="I350" s="1669"/>
      <c r="J350" s="1557" t="s">
        <v>634</v>
      </c>
      <c r="K350" s="1671">
        <v>5.6016000000000004</v>
      </c>
      <c r="L350" s="1557">
        <v>2548.7199999999998</v>
      </c>
      <c r="M350" s="1557">
        <v>14418.48</v>
      </c>
      <c r="N350" s="1557">
        <v>1201.54</v>
      </c>
      <c r="O350" s="1557">
        <v>2403.09</v>
      </c>
      <c r="P350" s="1557">
        <v>1802.31</v>
      </c>
      <c r="Q350" s="1557">
        <v>30147.74</v>
      </c>
      <c r="R350" s="1557">
        <v>837.44</v>
      </c>
      <c r="S350" s="1557">
        <v>1674.87</v>
      </c>
      <c r="T350" s="4"/>
      <c r="U350" s="4"/>
      <c r="V350" s="4"/>
      <c r="W350" s="93"/>
      <c r="X350" s="4"/>
      <c r="Z350" s="1489"/>
      <c r="AE350" s="1405"/>
      <c r="AF350" s="1405"/>
      <c r="AG350" s="1405"/>
      <c r="AH350" s="1405"/>
      <c r="AI350" s="1405"/>
      <c r="AJ350" s="1405"/>
      <c r="AK350" s="1405"/>
      <c r="AL350" s="1405"/>
      <c r="AM350" s="1405"/>
      <c r="AN350" s="1405"/>
      <c r="AO350" s="1405"/>
      <c r="AP350" s="1405"/>
      <c r="AQ350" s="1405"/>
      <c r="AR350" s="1405"/>
      <c r="AS350" s="1405"/>
      <c r="AT350" s="1405"/>
      <c r="AU350" s="1405"/>
      <c r="AV350" s="1405"/>
    </row>
    <row r="351" spans="1:48" s="613" customFormat="1" ht="32.25" customHeight="1">
      <c r="A351" s="53"/>
      <c r="B351" s="671" t="s">
        <v>2715</v>
      </c>
      <c r="C351" s="1954" t="s">
        <v>990</v>
      </c>
      <c r="D351" s="1955"/>
      <c r="E351" s="1496" t="s">
        <v>987</v>
      </c>
      <c r="F351" s="1954" t="s">
        <v>984</v>
      </c>
      <c r="G351" s="1955"/>
      <c r="H351" s="894" t="s">
        <v>989</v>
      </c>
      <c r="I351" s="894" t="s">
        <v>407</v>
      </c>
      <c r="J351" s="1716">
        <v>5160.3813215208565</v>
      </c>
      <c r="K351" s="1557" t="s">
        <v>634</v>
      </c>
      <c r="L351" s="1716">
        <v>3251.0402325581395</v>
      </c>
      <c r="M351" s="1557">
        <v>0</v>
      </c>
      <c r="N351" s="1557">
        <v>0</v>
      </c>
      <c r="O351" s="1557">
        <v>0</v>
      </c>
      <c r="P351" s="1557">
        <v>0</v>
      </c>
      <c r="Q351" s="1557">
        <v>0</v>
      </c>
      <c r="R351" s="1557">
        <v>0</v>
      </c>
      <c r="S351" s="1557">
        <v>0</v>
      </c>
      <c r="T351" s="903"/>
      <c r="U351" s="4"/>
      <c r="V351" s="4"/>
      <c r="W351" s="93"/>
      <c r="X351" s="4"/>
      <c r="Z351" s="671" t="s">
        <v>973</v>
      </c>
      <c r="AA351" s="1557">
        <v>4398</v>
      </c>
      <c r="AB351" s="1557" t="s">
        <v>634</v>
      </c>
      <c r="AC351" s="1557" t="s">
        <v>634</v>
      </c>
      <c r="AD351" s="1557" t="s">
        <v>634</v>
      </c>
      <c r="AE351" s="1557" t="s">
        <v>634</v>
      </c>
      <c r="AF351" s="1557" t="s">
        <v>634</v>
      </c>
      <c r="AG351" s="1557">
        <v>3717.14</v>
      </c>
      <c r="AH351" s="1557">
        <v>2115.71</v>
      </c>
      <c r="AI351" s="1557">
        <v>2218.5700000000002</v>
      </c>
      <c r="AJ351" s="1405"/>
      <c r="AK351" s="1405"/>
      <c r="AL351" s="1405"/>
      <c r="AM351" s="1405"/>
      <c r="AN351" s="1405"/>
      <c r="AO351" s="1405"/>
      <c r="AP351" s="1405"/>
      <c r="AQ351" s="1405"/>
      <c r="AR351" s="1405"/>
      <c r="AS351" s="1405"/>
      <c r="AT351" s="1405"/>
      <c r="AU351" s="1405"/>
      <c r="AV351" s="1405"/>
    </row>
    <row r="352" spans="1:48" s="613" customFormat="1" ht="32.25" customHeight="1">
      <c r="A352" s="53"/>
      <c r="B352" s="671" t="s">
        <v>2716</v>
      </c>
      <c r="C352" s="1954" t="s">
        <v>990</v>
      </c>
      <c r="D352" s="1955"/>
      <c r="E352" s="1496" t="s">
        <v>987</v>
      </c>
      <c r="F352" s="1954" t="s">
        <v>984</v>
      </c>
      <c r="G352" s="1955"/>
      <c r="H352" s="894" t="s">
        <v>982</v>
      </c>
      <c r="I352" s="894" t="s">
        <v>407</v>
      </c>
      <c r="J352" s="1716">
        <v>5406.5976375046148</v>
      </c>
      <c r="K352" s="1557" t="s">
        <v>634</v>
      </c>
      <c r="L352" s="1716">
        <v>3406.1565116279075</v>
      </c>
      <c r="M352" s="1557">
        <v>0</v>
      </c>
      <c r="N352" s="1557">
        <v>0</v>
      </c>
      <c r="O352" s="1557">
        <v>0</v>
      </c>
      <c r="P352" s="1557">
        <v>0</v>
      </c>
      <c r="Q352" s="1557">
        <v>0</v>
      </c>
      <c r="R352" s="1557">
        <v>0</v>
      </c>
      <c r="S352" s="1557">
        <v>0</v>
      </c>
      <c r="T352" s="904"/>
      <c r="U352" s="4"/>
      <c r="V352" s="4"/>
      <c r="W352" s="93"/>
      <c r="X352" s="4"/>
      <c r="Z352" s="671" t="s">
        <v>974</v>
      </c>
      <c r="AA352" s="1557">
        <v>4648</v>
      </c>
      <c r="AB352" s="1557" t="s">
        <v>634</v>
      </c>
      <c r="AC352" s="1557" t="s">
        <v>634</v>
      </c>
      <c r="AD352" s="1557" t="s">
        <v>634</v>
      </c>
      <c r="AE352" s="1557" t="s">
        <v>634</v>
      </c>
      <c r="AF352" s="1557" t="s">
        <v>634</v>
      </c>
      <c r="AG352" s="1557">
        <v>3928.57</v>
      </c>
      <c r="AH352" s="1557">
        <v>2215.71</v>
      </c>
      <c r="AI352" s="1557">
        <v>2324.29</v>
      </c>
      <c r="AJ352" s="1405"/>
      <c r="AK352" s="1405"/>
      <c r="AL352" s="1405"/>
      <c r="AM352" s="1405"/>
      <c r="AN352" s="1405"/>
      <c r="AO352" s="1405"/>
      <c r="AP352" s="1405"/>
      <c r="AQ352" s="1405"/>
      <c r="AR352" s="1405"/>
      <c r="AS352" s="1405"/>
      <c r="AT352" s="1405"/>
      <c r="AU352" s="1405"/>
      <c r="AV352" s="1405"/>
    </row>
    <row r="353" spans="1:48" s="1405" customFormat="1" ht="32.25" customHeight="1">
      <c r="A353" s="1186"/>
      <c r="B353" s="671" t="s">
        <v>2717</v>
      </c>
      <c r="C353" s="1954" t="s">
        <v>991</v>
      </c>
      <c r="D353" s="1955"/>
      <c r="E353" s="1496" t="s">
        <v>987</v>
      </c>
      <c r="F353" s="1954" t="s">
        <v>985</v>
      </c>
      <c r="G353" s="1955"/>
      <c r="H353" s="894" t="s">
        <v>982</v>
      </c>
      <c r="I353" s="894" t="s">
        <v>407</v>
      </c>
      <c r="J353" s="1716">
        <v>6303.6175710594307</v>
      </c>
      <c r="K353" s="1557" t="s">
        <v>634</v>
      </c>
      <c r="L353" s="1716">
        <v>3971.2790697674413</v>
      </c>
      <c r="M353" s="1557" t="s">
        <v>634</v>
      </c>
      <c r="N353" s="1557" t="s">
        <v>634</v>
      </c>
      <c r="O353" s="1557" t="s">
        <v>634</v>
      </c>
      <c r="P353" s="1557" t="s">
        <v>634</v>
      </c>
      <c r="Q353" s="1557">
        <v>5420</v>
      </c>
      <c r="R353" s="1557">
        <v>2560</v>
      </c>
      <c r="S353" s="1557">
        <v>2710</v>
      </c>
      <c r="T353" s="904"/>
      <c r="U353" s="4"/>
      <c r="V353" s="4"/>
      <c r="W353" s="1190"/>
      <c r="X353" s="4"/>
      <c r="Z353" s="1489"/>
      <c r="AA353" s="1489"/>
      <c r="AB353" s="1489"/>
      <c r="AC353" s="1489"/>
      <c r="AD353" s="1489"/>
      <c r="AE353" s="1489"/>
      <c r="AF353" s="1489"/>
      <c r="AG353" s="1489"/>
      <c r="AH353" s="1489"/>
      <c r="AI353" s="1489"/>
    </row>
    <row r="354" spans="1:48" s="1405" customFormat="1" ht="32.25" customHeight="1">
      <c r="A354" s="1186"/>
      <c r="B354" s="671" t="s">
        <v>2718</v>
      </c>
      <c r="C354" s="1942" t="s">
        <v>992</v>
      </c>
      <c r="D354" s="1943"/>
      <c r="E354" s="1496" t="s">
        <v>988</v>
      </c>
      <c r="F354" s="1704" t="s">
        <v>986</v>
      </c>
      <c r="G354" s="1559"/>
      <c r="H354" s="894" t="s">
        <v>983</v>
      </c>
      <c r="I354" s="894" t="s">
        <v>981</v>
      </c>
      <c r="J354" s="1716">
        <v>7605.2015503875946</v>
      </c>
      <c r="K354" s="1557" t="s">
        <v>634</v>
      </c>
      <c r="L354" s="1716">
        <v>4791.276976744185</v>
      </c>
      <c r="M354" s="1557" t="s">
        <v>634</v>
      </c>
      <c r="N354" s="1557" t="s">
        <v>634</v>
      </c>
      <c r="O354" s="1557" t="s">
        <v>634</v>
      </c>
      <c r="P354" s="1557" t="s">
        <v>634</v>
      </c>
      <c r="Q354" s="1557">
        <v>6540</v>
      </c>
      <c r="R354" s="1557">
        <v>3088.57</v>
      </c>
      <c r="S354" s="1557">
        <v>3270</v>
      </c>
      <c r="T354" s="904"/>
      <c r="U354" s="4"/>
      <c r="V354" s="4"/>
      <c r="W354" s="1190"/>
      <c r="X354" s="4"/>
      <c r="Z354" s="1489"/>
      <c r="AA354" s="1489"/>
      <c r="AB354" s="1489"/>
      <c r="AC354" s="1489"/>
      <c r="AD354" s="1489"/>
      <c r="AE354" s="1489"/>
      <c r="AF354" s="1489"/>
      <c r="AG354" s="1489"/>
      <c r="AH354" s="1489"/>
      <c r="AI354" s="1489"/>
    </row>
    <row r="355" spans="1:48" s="1405" customFormat="1" ht="32.25" customHeight="1">
      <c r="A355" s="1186"/>
      <c r="B355" s="671" t="s">
        <v>2719</v>
      </c>
      <c r="C355" s="1942" t="s">
        <v>1304</v>
      </c>
      <c r="D355" s="1943"/>
      <c r="E355" s="1496" t="s">
        <v>741</v>
      </c>
      <c r="F355" s="1704" t="s">
        <v>1307</v>
      </c>
      <c r="G355" s="1559"/>
      <c r="H355" s="894" t="s">
        <v>1305</v>
      </c>
      <c r="I355" s="894" t="s">
        <v>1306</v>
      </c>
      <c r="J355" s="1716">
        <v>9416.7589516426724</v>
      </c>
      <c r="K355" s="1557" t="s">
        <v>634</v>
      </c>
      <c r="L355" s="1716">
        <v>5932.5581395348836</v>
      </c>
      <c r="M355" s="1557" t="s">
        <v>634</v>
      </c>
      <c r="N355" s="1557" t="s">
        <v>634</v>
      </c>
      <c r="O355" s="1557" t="s">
        <v>634</v>
      </c>
      <c r="P355" s="1557" t="s">
        <v>634</v>
      </c>
      <c r="Q355" s="1557">
        <v>8097.14</v>
      </c>
      <c r="R355" s="1557">
        <v>3823.65</v>
      </c>
      <c r="S355" s="1557">
        <v>4048.57</v>
      </c>
      <c r="T355" s="904"/>
      <c r="U355" s="4"/>
      <c r="V355" s="4"/>
      <c r="W355" s="1190"/>
      <c r="X355" s="4"/>
      <c r="Z355" s="1489"/>
      <c r="AA355" s="1489"/>
      <c r="AB355" s="1489"/>
      <c r="AC355" s="1489"/>
      <c r="AD355" s="1489"/>
      <c r="AE355" s="1489"/>
      <c r="AF355" s="1489"/>
      <c r="AG355" s="1489"/>
      <c r="AH355" s="1489"/>
      <c r="AI355" s="1489"/>
    </row>
    <row r="356" spans="1:48" s="613" customFormat="1" ht="32.25" customHeight="1">
      <c r="A356" s="53"/>
      <c r="B356" s="1673" t="s">
        <v>2720</v>
      </c>
      <c r="C356" s="1965" t="s">
        <v>1788</v>
      </c>
      <c r="D356" s="1965"/>
      <c r="E356" s="1674" t="s">
        <v>1789</v>
      </c>
      <c r="F356" s="1966" t="s">
        <v>1791</v>
      </c>
      <c r="G356" s="1967"/>
      <c r="H356" s="1474" t="s">
        <v>1793</v>
      </c>
      <c r="I356" s="1474" t="s">
        <v>1795</v>
      </c>
      <c r="J356" s="1557" t="s">
        <v>634</v>
      </c>
      <c r="K356" s="1672">
        <v>34.703800000000001</v>
      </c>
      <c r="L356" s="1560">
        <v>16111.04</v>
      </c>
      <c r="M356" s="1560">
        <v>89230.57</v>
      </c>
      <c r="N356" s="1560">
        <v>7435.67</v>
      </c>
      <c r="O356" s="1560">
        <v>14871.34</v>
      </c>
      <c r="P356" s="1560">
        <v>10657.63</v>
      </c>
      <c r="Q356" s="1560">
        <v>178482.65</v>
      </c>
      <c r="R356" s="1560">
        <v>4957.54</v>
      </c>
      <c r="S356" s="1560">
        <v>9915.07</v>
      </c>
      <c r="T356" s="4"/>
      <c r="U356" s="4"/>
      <c r="V356" s="4"/>
      <c r="W356" s="93"/>
      <c r="X356" s="4"/>
      <c r="Z356" s="1492"/>
      <c r="AE356" s="1405"/>
      <c r="AF356" s="1405"/>
      <c r="AG356" s="1405"/>
      <c r="AH356" s="1405"/>
      <c r="AI356" s="1405"/>
      <c r="AJ356" s="1405"/>
      <c r="AK356" s="1405"/>
      <c r="AL356" s="1405"/>
      <c r="AM356" s="1405"/>
      <c r="AN356" s="1405"/>
      <c r="AO356" s="1405"/>
      <c r="AP356" s="1405"/>
      <c r="AQ356" s="1405"/>
      <c r="AR356" s="1405"/>
      <c r="AS356" s="1405"/>
      <c r="AT356" s="1405"/>
      <c r="AU356" s="1405"/>
      <c r="AV356" s="1405"/>
    </row>
    <row r="357" spans="1:48" s="1489" customFormat="1" ht="32.25" customHeight="1">
      <c r="A357" s="1491"/>
      <c r="B357" s="1668" t="s">
        <v>2419</v>
      </c>
      <c r="C357" s="1561"/>
      <c r="D357" s="1561"/>
      <c r="E357" s="1275"/>
      <c r="F357" s="1562"/>
      <c r="G357" s="1562"/>
      <c r="H357" s="1563"/>
      <c r="I357" s="1563"/>
      <c r="J357" s="1557">
        <v>4186</v>
      </c>
      <c r="K357" s="1557" t="s">
        <v>634</v>
      </c>
      <c r="L357" s="1564"/>
      <c r="M357" s="1564"/>
      <c r="N357" s="1564"/>
      <c r="O357" s="1564"/>
      <c r="P357" s="1557">
        <v>1820</v>
      </c>
      <c r="Q357" s="1564"/>
      <c r="R357" s="1564"/>
      <c r="S357" s="1564"/>
      <c r="T357" s="1490"/>
      <c r="U357" s="1490"/>
      <c r="V357" s="1490"/>
      <c r="W357" s="1190"/>
      <c r="X357" s="1490"/>
      <c r="Z357" s="1492"/>
    </row>
    <row r="358" spans="1:48" s="613" customFormat="1" ht="15" thickBot="1">
      <c r="A358" s="679"/>
      <c r="B358" s="1668" t="s">
        <v>2418</v>
      </c>
      <c r="C358" s="1561"/>
      <c r="D358" s="1561"/>
      <c r="E358" s="1275"/>
      <c r="F358" s="1275"/>
      <c r="G358" s="1275"/>
      <c r="H358" s="1275"/>
      <c r="I358" s="1565"/>
      <c r="J358" s="1557">
        <v>2289</v>
      </c>
      <c r="K358" s="1557" t="s">
        <v>634</v>
      </c>
      <c r="L358" s="815"/>
      <c r="M358" s="815"/>
      <c r="N358" s="815"/>
      <c r="O358" s="815"/>
      <c r="P358" s="1557" t="s">
        <v>2193</v>
      </c>
      <c r="Q358" s="815"/>
      <c r="R358" s="815"/>
      <c r="S358" s="815"/>
      <c r="T358" s="1175"/>
      <c r="U358" s="5"/>
      <c r="V358" s="1175"/>
      <c r="W358" s="93"/>
      <c r="Y358" s="40"/>
      <c r="Z358" s="218"/>
      <c r="AA358" s="7"/>
      <c r="AE358" s="1405"/>
      <c r="AF358" s="1405"/>
      <c r="AG358" s="1405"/>
      <c r="AH358" s="1405"/>
      <c r="AI358" s="1405"/>
      <c r="AJ358" s="1405"/>
      <c r="AK358" s="1405"/>
      <c r="AL358" s="1405"/>
      <c r="AM358" s="1405"/>
      <c r="AN358" s="1405"/>
      <c r="AO358" s="1405"/>
      <c r="AP358" s="1405"/>
      <c r="AQ358" s="1405"/>
      <c r="AR358" s="1405"/>
      <c r="AS358" s="1405"/>
      <c r="AT358" s="1405"/>
      <c r="AU358" s="1405"/>
      <c r="AV358" s="1405"/>
    </row>
    <row r="359" spans="1:48" s="613" customFormat="1" ht="32.25" customHeight="1" thickBot="1">
      <c r="A359" s="53"/>
      <c r="B359" s="1473" t="s">
        <v>2721</v>
      </c>
      <c r="C359" s="1952" t="s">
        <v>993</v>
      </c>
      <c r="D359" s="1953"/>
      <c r="E359" s="1558" t="s">
        <v>551</v>
      </c>
      <c r="F359" s="1961" t="s">
        <v>102</v>
      </c>
      <c r="G359" s="1962"/>
      <c r="H359" s="1558"/>
      <c r="I359" s="1558"/>
      <c r="J359" s="1557">
        <v>1034.78</v>
      </c>
      <c r="K359" s="1557" t="s">
        <v>634</v>
      </c>
      <c r="L359" s="1557" t="s">
        <v>634</v>
      </c>
      <c r="M359" s="1557" t="s">
        <v>634</v>
      </c>
      <c r="N359" s="1557" t="s">
        <v>634</v>
      </c>
      <c r="O359" s="1557" t="s">
        <v>634</v>
      </c>
      <c r="P359" s="1557" t="s">
        <v>634</v>
      </c>
      <c r="Q359" s="1557" t="s">
        <v>634</v>
      </c>
      <c r="R359" s="1557" t="s">
        <v>634</v>
      </c>
      <c r="S359" s="1557" t="s">
        <v>634</v>
      </c>
      <c r="T359" s="4"/>
      <c r="U359" s="4"/>
      <c r="V359" s="4"/>
      <c r="W359" s="93"/>
      <c r="X359" s="4"/>
      <c r="Z359" s="1626" t="s">
        <v>2323</v>
      </c>
      <c r="AA359" s="867" t="s">
        <v>977</v>
      </c>
      <c r="AB359" s="868" t="s">
        <v>860</v>
      </c>
      <c r="AC359" s="2056" t="s">
        <v>978</v>
      </c>
      <c r="AD359" s="2057"/>
      <c r="AE359" s="2058"/>
      <c r="AF359" s="868" t="s">
        <v>979</v>
      </c>
      <c r="AG359" s="2059" t="s">
        <v>861</v>
      </c>
      <c r="AH359" s="2060"/>
      <c r="AI359" s="2061"/>
      <c r="AJ359" s="1405"/>
      <c r="AK359" s="1405"/>
      <c r="AL359" s="1405"/>
      <c r="AM359" s="1405"/>
      <c r="AN359" s="1405"/>
      <c r="AO359" s="1405"/>
      <c r="AP359" s="1405"/>
      <c r="AQ359" s="1405"/>
      <c r="AR359" s="1405"/>
      <c r="AS359" s="1405"/>
      <c r="AT359" s="1405"/>
      <c r="AU359" s="1405"/>
      <c r="AV359" s="1405"/>
    </row>
    <row r="360" spans="1:48" s="613" customFormat="1">
      <c r="A360" s="53"/>
      <c r="B360" s="1526"/>
      <c r="C360"/>
      <c r="D360"/>
      <c r="E360" s="1949" t="s">
        <v>699</v>
      </c>
      <c r="F360" s="1949"/>
      <c r="G360" s="1949"/>
      <c r="H360" s="1949"/>
      <c r="I360" s="43"/>
      <c r="J360" s="43"/>
      <c r="K360" s="5"/>
      <c r="L360" s="5"/>
      <c r="M360" s="5"/>
      <c r="N360" s="5"/>
      <c r="O360" s="5"/>
      <c r="P360" s="5"/>
      <c r="Q360" s="5"/>
      <c r="R360" s="5"/>
      <c r="S360" s="5"/>
      <c r="T360" s="1175"/>
      <c r="U360" s="5"/>
      <c r="V360" s="1175"/>
      <c r="W360" s="93"/>
      <c r="Y360" s="40"/>
      <c r="Z360" s="218"/>
      <c r="AA360" s="7"/>
      <c r="AE360" s="1405"/>
      <c r="AF360" s="1405"/>
      <c r="AG360" s="1405"/>
      <c r="AH360" s="1405"/>
      <c r="AI360" s="1405"/>
      <c r="AJ360" s="1405"/>
      <c r="AK360" s="1405"/>
      <c r="AL360" s="1405"/>
      <c r="AM360" s="1405"/>
      <c r="AN360" s="1405"/>
      <c r="AO360" s="1405"/>
      <c r="AP360" s="1405"/>
      <c r="AQ360" s="1405"/>
      <c r="AR360" s="1405"/>
      <c r="AS360" s="1405"/>
      <c r="AT360" s="1405"/>
      <c r="AU360" s="1405"/>
      <c r="AV360" s="1405"/>
    </row>
    <row r="361" spans="1:48" s="613" customFormat="1">
      <c r="A361" s="53"/>
      <c r="B361" s="751" t="s">
        <v>705</v>
      </c>
      <c r="C361" s="752" t="s">
        <v>707</v>
      </c>
      <c r="D361" s="505" t="s">
        <v>471</v>
      </c>
      <c r="E361" s="753" t="s">
        <v>708</v>
      </c>
      <c r="F361" s="733"/>
      <c r="G361" s="103"/>
      <c r="H361" s="750"/>
      <c r="I361" s="43"/>
      <c r="J361" s="43"/>
      <c r="K361" s="5"/>
      <c r="L361" s="5"/>
      <c r="M361" s="5"/>
      <c r="N361" s="5"/>
      <c r="O361" s="5"/>
      <c r="P361" s="5"/>
      <c r="Q361" s="5"/>
      <c r="R361" s="5"/>
      <c r="S361" s="5"/>
      <c r="T361" s="1175"/>
      <c r="U361" s="5"/>
      <c r="V361" s="1175"/>
      <c r="W361" s="93"/>
      <c r="Y361" s="40"/>
      <c r="Z361" s="218"/>
      <c r="AA361" s="7"/>
      <c r="AE361" s="1405"/>
      <c r="AF361" s="1405"/>
      <c r="AG361" s="1405"/>
      <c r="AH361" s="1405"/>
      <c r="AI361" s="1405"/>
      <c r="AJ361" s="1405"/>
      <c r="AK361" s="1405"/>
      <c r="AL361" s="1405"/>
      <c r="AM361" s="1405"/>
      <c r="AN361" s="1405"/>
      <c r="AO361" s="1405"/>
      <c r="AP361" s="1405"/>
      <c r="AQ361" s="1405"/>
      <c r="AR361" s="1405"/>
      <c r="AS361" s="1405"/>
      <c r="AT361" s="1405"/>
      <c r="AU361" s="1405"/>
      <c r="AV361" s="1405"/>
    </row>
    <row r="362" spans="1:48" s="613" customFormat="1">
      <c r="A362" s="53"/>
      <c r="B362" s="1474" t="s">
        <v>706</v>
      </c>
      <c r="C362" s="534" t="s">
        <v>693</v>
      </c>
      <c r="D362" s="1519">
        <f t="shared" ref="D362:D373" si="0">(E362*730)</f>
        <v>0</v>
      </c>
      <c r="E362" s="1542">
        <v>0</v>
      </c>
      <c r="F362" s="1543" t="s">
        <v>2261</v>
      </c>
      <c r="G362" s="1546">
        <v>0</v>
      </c>
      <c r="H362" s="1544" t="s">
        <v>2262</v>
      </c>
      <c r="I362" s="43"/>
      <c r="J362" s="43"/>
      <c r="K362" s="5"/>
      <c r="L362" s="5"/>
      <c r="M362" s="5"/>
      <c r="N362" s="5"/>
      <c r="O362" s="5"/>
      <c r="P362" s="5"/>
      <c r="Q362" s="5"/>
      <c r="R362" s="5"/>
      <c r="S362" s="5"/>
      <c r="T362" s="1175"/>
      <c r="U362" s="5"/>
      <c r="V362" s="1175"/>
      <c r="W362" s="93"/>
      <c r="Y362" s="40"/>
      <c r="Z362" s="218"/>
      <c r="AA362" s="7"/>
      <c r="AE362" s="1405"/>
      <c r="AF362" s="1405"/>
      <c r="AG362" s="1405"/>
      <c r="AH362" s="1405"/>
      <c r="AI362" s="1405"/>
      <c r="AJ362" s="1405"/>
      <c r="AK362" s="1405"/>
      <c r="AL362" s="1405"/>
      <c r="AM362" s="1405"/>
      <c r="AN362" s="1405"/>
      <c r="AO362" s="1405"/>
      <c r="AP362" s="1405"/>
      <c r="AQ362" s="1405"/>
      <c r="AR362" s="1405"/>
      <c r="AS362" s="1405"/>
      <c r="AT362" s="1405"/>
      <c r="AU362" s="1405"/>
      <c r="AV362" s="1405"/>
    </row>
    <row r="363" spans="1:48" s="613" customFormat="1">
      <c r="A363" s="53"/>
      <c r="B363" s="1474" t="s">
        <v>709</v>
      </c>
      <c r="C363" s="534" t="s">
        <v>694</v>
      </c>
      <c r="D363" s="1519">
        <f t="shared" si="0"/>
        <v>0</v>
      </c>
      <c r="E363" s="1542">
        <v>0</v>
      </c>
      <c r="F363" s="1545">
        <v>1.1200000000000001</v>
      </c>
      <c r="G363" s="1546">
        <v>0</v>
      </c>
      <c r="H363" s="1544"/>
      <c r="I363" s="43"/>
      <c r="J363" s="43"/>
      <c r="K363" s="5"/>
      <c r="L363" s="5"/>
      <c r="M363" s="5"/>
      <c r="N363" s="5"/>
      <c r="O363" s="5"/>
      <c r="P363" s="5"/>
      <c r="Q363" s="5"/>
      <c r="R363" s="5"/>
      <c r="S363" s="5"/>
      <c r="T363" s="1175"/>
      <c r="U363" s="5"/>
      <c r="V363" s="1175"/>
      <c r="W363" s="93"/>
      <c r="Y363" s="40"/>
      <c r="Z363" s="218"/>
      <c r="AA363" s="7"/>
      <c r="AE363" s="1405"/>
      <c r="AF363" s="1405"/>
      <c r="AG363" s="1405"/>
      <c r="AH363" s="1405"/>
      <c r="AI363" s="1405"/>
      <c r="AJ363" s="1405"/>
      <c r="AK363" s="1405"/>
      <c r="AL363" s="1405"/>
      <c r="AM363" s="1405"/>
      <c r="AN363" s="1405"/>
      <c r="AO363" s="1405"/>
      <c r="AP363" s="1405"/>
      <c r="AQ363" s="1405"/>
      <c r="AR363" s="1405"/>
      <c r="AS363" s="1405"/>
      <c r="AT363" s="1405"/>
      <c r="AU363" s="1405"/>
      <c r="AV363" s="1405"/>
    </row>
    <row r="364" spans="1:48" s="613" customFormat="1">
      <c r="A364" s="53"/>
      <c r="B364" s="1474" t="s">
        <v>710</v>
      </c>
      <c r="C364" s="534" t="s">
        <v>695</v>
      </c>
      <c r="D364" s="1519">
        <f t="shared" si="0"/>
        <v>0</v>
      </c>
      <c r="E364" s="1542">
        <v>0</v>
      </c>
      <c r="F364" s="1545"/>
      <c r="G364" s="1546">
        <v>0</v>
      </c>
      <c r="H364" s="1544"/>
      <c r="I364" s="43"/>
      <c r="J364" s="43"/>
      <c r="K364" s="5"/>
      <c r="L364" s="5"/>
      <c r="M364" s="5"/>
      <c r="N364" s="5"/>
      <c r="O364" s="5"/>
      <c r="P364" s="5"/>
      <c r="Q364" s="5"/>
      <c r="R364" s="5"/>
      <c r="S364" s="5"/>
      <c r="T364" s="1175"/>
      <c r="U364" s="5"/>
      <c r="V364" s="1175"/>
      <c r="W364" s="93"/>
      <c r="Y364" s="40"/>
      <c r="Z364" s="218"/>
      <c r="AA364" s="7"/>
      <c r="AE364" s="1405"/>
      <c r="AF364" s="1405"/>
      <c r="AG364" s="1405"/>
      <c r="AH364" s="1405"/>
      <c r="AI364" s="1405"/>
      <c r="AJ364" s="1405"/>
      <c r="AK364" s="1405"/>
      <c r="AL364" s="1405"/>
      <c r="AM364" s="1405"/>
      <c r="AN364" s="1405"/>
      <c r="AO364" s="1405"/>
      <c r="AP364" s="1405"/>
      <c r="AQ364" s="1405"/>
      <c r="AR364" s="1405"/>
      <c r="AS364" s="1405"/>
      <c r="AT364" s="1405"/>
      <c r="AU364" s="1405"/>
      <c r="AV364" s="1405"/>
    </row>
    <row r="365" spans="1:48" s="613" customFormat="1">
      <c r="A365" s="53"/>
      <c r="B365" s="1474" t="s">
        <v>711</v>
      </c>
      <c r="C365" s="534" t="s">
        <v>693</v>
      </c>
      <c r="D365" s="1519">
        <f t="shared" si="0"/>
        <v>27.471360000000004</v>
      </c>
      <c r="E365" s="1542">
        <v>3.7632000000000006E-2</v>
      </c>
      <c r="F365" s="1546"/>
      <c r="G365" s="1546">
        <v>3.3600000000000005E-2</v>
      </c>
      <c r="H365" s="1544"/>
      <c r="I365" s="43"/>
      <c r="J365" s="43"/>
      <c r="K365" s="5"/>
      <c r="L365" s="5"/>
      <c r="M365" s="5"/>
      <c r="N365" s="5"/>
      <c r="O365" s="5"/>
      <c r="P365" s="5"/>
      <c r="Q365" s="5"/>
      <c r="R365" s="5"/>
      <c r="S365" s="5"/>
      <c r="T365" s="1175"/>
      <c r="U365" s="5"/>
      <c r="V365" s="1175"/>
      <c r="W365" s="93"/>
      <c r="Y365" s="40"/>
      <c r="Z365" s="218"/>
      <c r="AA365" s="7"/>
      <c r="AE365" s="1405"/>
      <c r="AF365" s="1405"/>
      <c r="AG365" s="1405"/>
      <c r="AH365" s="1405"/>
      <c r="AI365" s="1405"/>
      <c r="AJ365" s="1405"/>
      <c r="AK365" s="1405"/>
      <c r="AL365" s="1405"/>
      <c r="AM365" s="1405"/>
      <c r="AN365" s="1405"/>
      <c r="AO365" s="1405"/>
      <c r="AP365" s="1405"/>
      <c r="AQ365" s="1405"/>
      <c r="AR365" s="1405"/>
      <c r="AS365" s="1405"/>
      <c r="AT365" s="1405"/>
      <c r="AU365" s="1405"/>
      <c r="AV365" s="1405"/>
    </row>
    <row r="366" spans="1:48" s="613" customFormat="1">
      <c r="A366" s="53"/>
      <c r="B366" s="1474" t="s">
        <v>712</v>
      </c>
      <c r="C366" s="534" t="s">
        <v>694</v>
      </c>
      <c r="D366" s="1519">
        <f t="shared" si="0"/>
        <v>164.82816000000003</v>
      </c>
      <c r="E366" s="1542">
        <v>0.22579200000000002</v>
      </c>
      <c r="F366" s="1546"/>
      <c r="G366" s="1546">
        <v>0.2016</v>
      </c>
      <c r="H366" s="1544"/>
      <c r="I366" s="43"/>
      <c r="J366" s="43"/>
      <c r="K366" s="5"/>
      <c r="L366" s="5"/>
      <c r="M366" s="5"/>
      <c r="N366" s="5"/>
      <c r="O366" s="5"/>
      <c r="P366" s="5"/>
      <c r="Q366" s="5"/>
      <c r="R366" s="5"/>
      <c r="S366" s="5"/>
      <c r="T366" s="1175"/>
      <c r="U366" s="5"/>
      <c r="V366" s="1175"/>
      <c r="W366" s="93"/>
      <c r="Y366" s="40"/>
      <c r="Z366" s="218"/>
      <c r="AA366" s="7"/>
      <c r="AE366" s="1405"/>
      <c r="AF366" s="1405"/>
      <c r="AG366" s="1405"/>
      <c r="AH366" s="1405"/>
      <c r="AI366" s="1405"/>
      <c r="AJ366" s="1405"/>
      <c r="AK366" s="1405"/>
      <c r="AL366" s="1405"/>
      <c r="AM366" s="1405"/>
      <c r="AN366" s="1405"/>
      <c r="AO366" s="1405"/>
      <c r="AP366" s="1405"/>
      <c r="AQ366" s="1405"/>
      <c r="AR366" s="1405"/>
      <c r="AS366" s="1405"/>
      <c r="AT366" s="1405"/>
      <c r="AU366" s="1405"/>
      <c r="AV366" s="1405"/>
    </row>
    <row r="367" spans="1:48" s="39" customFormat="1">
      <c r="A367" s="53"/>
      <c r="B367" s="1474" t="s">
        <v>713</v>
      </c>
      <c r="C367" s="534" t="s">
        <v>695</v>
      </c>
      <c r="D367" s="1519">
        <f t="shared" si="0"/>
        <v>329.65632000000005</v>
      </c>
      <c r="E367" s="1542">
        <v>0.45158400000000004</v>
      </c>
      <c r="F367" s="1545"/>
      <c r="G367" s="1546">
        <v>0.4032</v>
      </c>
      <c r="H367" s="1544"/>
      <c r="I367" s="5"/>
      <c r="J367" s="5"/>
      <c r="K367" s="5"/>
      <c r="L367" s="5"/>
      <c r="M367" s="5"/>
      <c r="N367" s="5"/>
      <c r="O367" s="5"/>
      <c r="P367" s="5"/>
      <c r="Q367" s="5"/>
      <c r="R367" s="5"/>
      <c r="S367" s="5"/>
      <c r="T367" s="1175"/>
      <c r="U367" s="5"/>
      <c r="V367" s="1175"/>
      <c r="W367" s="93"/>
      <c r="Y367" s="40"/>
      <c r="Z367" s="132"/>
      <c r="AA367" s="7"/>
      <c r="AE367" s="1405"/>
      <c r="AF367" s="1405"/>
      <c r="AG367" s="1405"/>
      <c r="AH367" s="1405"/>
      <c r="AI367" s="1405"/>
      <c r="AJ367" s="1405"/>
      <c r="AK367" s="1405"/>
      <c r="AL367" s="1405"/>
      <c r="AM367" s="1405"/>
      <c r="AN367" s="1405"/>
      <c r="AO367" s="1405"/>
      <c r="AP367" s="1405"/>
      <c r="AQ367" s="1405"/>
      <c r="AR367" s="1405"/>
      <c r="AS367" s="1405"/>
      <c r="AT367" s="1405"/>
      <c r="AU367" s="1405"/>
      <c r="AV367" s="1405"/>
    </row>
    <row r="368" spans="1:48" ht="15" customHeight="1">
      <c r="A368" s="53"/>
      <c r="B368" s="1474" t="s">
        <v>714</v>
      </c>
      <c r="C368" s="534" t="s">
        <v>696</v>
      </c>
      <c r="D368" s="1519">
        <f t="shared" si="0"/>
        <v>27.471360000000004</v>
      </c>
      <c r="E368" s="1542">
        <v>3.7632000000000006E-2</v>
      </c>
      <c r="F368" s="1545"/>
      <c r="G368" s="1546">
        <v>3.3600000000000005E-2</v>
      </c>
      <c r="H368" s="1544"/>
      <c r="I368" s="5"/>
      <c r="J368" s="5"/>
      <c r="K368" s="5"/>
      <c r="L368" s="5"/>
      <c r="M368" s="5"/>
      <c r="N368" s="5"/>
      <c r="O368" s="5"/>
      <c r="P368" s="5"/>
      <c r="Q368" s="5"/>
      <c r="R368" s="5"/>
      <c r="S368" s="5"/>
      <c r="T368" s="1175"/>
      <c r="U368" s="5"/>
      <c r="V368" s="1175"/>
      <c r="W368" s="93"/>
      <c r="X368" s="1"/>
      <c r="Y368" s="40"/>
      <c r="Z368" s="132"/>
      <c r="AA368" s="7"/>
      <c r="AE368" s="1405"/>
      <c r="AF368" s="1405"/>
      <c r="AG368" s="1405"/>
      <c r="AH368" s="1405"/>
      <c r="AI368" s="1405"/>
      <c r="AJ368" s="1405"/>
      <c r="AK368" s="1405"/>
      <c r="AL368" s="1405"/>
      <c r="AM368" s="1405"/>
      <c r="AN368" s="1405"/>
      <c r="AO368" s="1405"/>
      <c r="AP368" s="1405"/>
      <c r="AQ368" s="1405"/>
      <c r="AR368" s="1405"/>
      <c r="AS368" s="1405"/>
      <c r="AT368" s="1405"/>
      <c r="AU368" s="1405"/>
      <c r="AV368" s="1405"/>
    </row>
    <row r="369" spans="1:48" s="613" customFormat="1" ht="15" customHeight="1">
      <c r="A369" s="53"/>
      <c r="B369" s="1474" t="s">
        <v>715</v>
      </c>
      <c r="C369" s="534" t="s">
        <v>697</v>
      </c>
      <c r="D369" s="1519">
        <f t="shared" si="0"/>
        <v>54.942720000000008</v>
      </c>
      <c r="E369" s="1542">
        <v>7.5264000000000011E-2</v>
      </c>
      <c r="F369" s="1545"/>
      <c r="G369" s="1546">
        <v>6.720000000000001E-2</v>
      </c>
      <c r="H369" s="1544"/>
      <c r="I369" s="5"/>
      <c r="J369" s="5"/>
      <c r="K369" s="5"/>
      <c r="L369" s="5"/>
      <c r="M369" s="5"/>
      <c r="N369" s="5"/>
      <c r="O369" s="5"/>
      <c r="P369" s="5"/>
      <c r="Q369" s="5"/>
      <c r="R369" s="5"/>
      <c r="S369" s="5"/>
      <c r="T369" s="1175"/>
      <c r="U369" s="5"/>
      <c r="V369" s="1175"/>
      <c r="W369" s="93"/>
      <c r="X369" s="1"/>
      <c r="Y369" s="40"/>
      <c r="Z369" s="218"/>
      <c r="AA369" s="7"/>
      <c r="AE369" s="1405"/>
      <c r="AF369" s="1405"/>
      <c r="AG369" s="1405"/>
      <c r="AH369" s="1405"/>
      <c r="AI369" s="1405"/>
      <c r="AJ369" s="1405"/>
      <c r="AK369" s="1405"/>
      <c r="AL369" s="1405"/>
      <c r="AM369" s="1405"/>
      <c r="AN369" s="1405"/>
      <c r="AO369" s="1405"/>
      <c r="AP369" s="1405"/>
      <c r="AQ369" s="1405"/>
      <c r="AR369" s="1405"/>
      <c r="AS369" s="1405"/>
      <c r="AT369" s="1405"/>
      <c r="AU369" s="1405"/>
      <c r="AV369" s="1405"/>
    </row>
    <row r="370" spans="1:48" s="613" customFormat="1" ht="15" customHeight="1">
      <c r="A370" s="53"/>
      <c r="B370" s="1474" t="s">
        <v>716</v>
      </c>
      <c r="C370" s="534" t="s">
        <v>698</v>
      </c>
      <c r="D370" s="1519">
        <f t="shared" si="0"/>
        <v>109.88544000000002</v>
      </c>
      <c r="E370" s="1542">
        <v>0.15052800000000002</v>
      </c>
      <c r="F370" s="1545"/>
      <c r="G370" s="1546">
        <v>0.13440000000000002</v>
      </c>
      <c r="H370" s="1544"/>
      <c r="I370" s="5"/>
      <c r="J370" s="5"/>
      <c r="K370" s="5"/>
      <c r="L370" s="5"/>
      <c r="M370" s="5"/>
      <c r="N370" s="5"/>
      <c r="O370" s="5"/>
      <c r="P370" s="5"/>
      <c r="Q370" s="5"/>
      <c r="R370" s="5"/>
      <c r="S370" s="5"/>
      <c r="T370" s="1175"/>
      <c r="U370" s="5"/>
      <c r="V370" s="1175"/>
      <c r="W370" s="93"/>
      <c r="X370" s="1"/>
      <c r="Y370" s="40"/>
      <c r="Z370" s="218"/>
      <c r="AA370" s="7"/>
      <c r="AE370" s="1405"/>
      <c r="AF370" s="1405"/>
      <c r="AG370" s="1405"/>
      <c r="AH370" s="1405"/>
      <c r="AI370" s="1405"/>
      <c r="AJ370" s="1405"/>
      <c r="AK370" s="1405"/>
      <c r="AL370" s="1405"/>
      <c r="AM370" s="1405"/>
      <c r="AN370" s="1405"/>
      <c r="AO370" s="1405"/>
      <c r="AP370" s="1405"/>
      <c r="AQ370" s="1405"/>
      <c r="AR370" s="1405"/>
      <c r="AS370" s="1405"/>
      <c r="AT370" s="1405"/>
      <c r="AU370" s="1405"/>
      <c r="AV370" s="1405"/>
    </row>
    <row r="371" spans="1:48" s="613" customFormat="1" ht="15" customHeight="1">
      <c r="A371" s="53"/>
      <c r="B371" s="1474" t="s">
        <v>717</v>
      </c>
      <c r="C371" s="534" t="s">
        <v>696</v>
      </c>
      <c r="D371" s="1519">
        <f t="shared" si="0"/>
        <v>82.414080000000013</v>
      </c>
      <c r="E371" s="1542">
        <v>0.11289600000000001</v>
      </c>
      <c r="F371" s="1545"/>
      <c r="G371" s="1546">
        <v>0.1008</v>
      </c>
      <c r="H371" s="1544"/>
      <c r="I371" s="5"/>
      <c r="J371" s="5"/>
      <c r="K371" s="5"/>
      <c r="L371" s="5"/>
      <c r="M371" s="5"/>
      <c r="N371" s="5"/>
      <c r="O371" s="5"/>
      <c r="P371" s="5"/>
      <c r="Q371" s="5"/>
      <c r="R371" s="5"/>
      <c r="S371" s="5"/>
      <c r="T371" s="1175"/>
      <c r="U371" s="5"/>
      <c r="V371" s="1175"/>
      <c r="W371" s="93"/>
      <c r="X371" s="1"/>
      <c r="Y371" s="40"/>
      <c r="Z371" s="218"/>
      <c r="AA371" s="7"/>
      <c r="AE371" s="1405"/>
      <c r="AF371" s="1405"/>
      <c r="AG371" s="1405"/>
      <c r="AH371" s="1405"/>
      <c r="AI371" s="1405"/>
      <c r="AJ371" s="1405"/>
      <c r="AK371" s="1405"/>
      <c r="AL371" s="1405"/>
      <c r="AM371" s="1405"/>
      <c r="AN371" s="1405"/>
      <c r="AO371" s="1405"/>
      <c r="AP371" s="1405"/>
      <c r="AQ371" s="1405"/>
      <c r="AR371" s="1405"/>
      <c r="AS371" s="1405"/>
      <c r="AT371" s="1405"/>
      <c r="AU371" s="1405"/>
      <c r="AV371" s="1405"/>
    </row>
    <row r="372" spans="1:48" s="613" customFormat="1" ht="15" customHeight="1" thickBot="1">
      <c r="A372" s="53"/>
      <c r="B372" s="1474" t="s">
        <v>718</v>
      </c>
      <c r="C372" s="534" t="s">
        <v>697</v>
      </c>
      <c r="D372" s="1519">
        <f t="shared" si="0"/>
        <v>164.82816000000003</v>
      </c>
      <c r="E372" s="1542">
        <v>0.22579200000000002</v>
      </c>
      <c r="F372" s="1545"/>
      <c r="G372" s="1546">
        <v>0.2016</v>
      </c>
      <c r="H372" s="1544"/>
      <c r="I372" s="5"/>
      <c r="J372" s="5"/>
      <c r="K372" s="5"/>
      <c r="L372" s="5"/>
      <c r="M372" s="5"/>
      <c r="N372" s="5"/>
      <c r="O372" s="5"/>
      <c r="P372" s="5"/>
      <c r="Q372" s="5"/>
      <c r="R372" s="5"/>
      <c r="S372" s="5"/>
      <c r="T372" s="1175"/>
      <c r="U372" s="5"/>
      <c r="V372" s="1175"/>
      <c r="W372" s="93"/>
      <c r="X372" s="1"/>
      <c r="Y372" s="40"/>
      <c r="Z372" s="218"/>
      <c r="AA372" s="7"/>
      <c r="AE372" s="1405"/>
      <c r="AF372" s="1405"/>
      <c r="AG372" s="1405"/>
      <c r="AH372" s="1405"/>
      <c r="AI372" s="1405"/>
      <c r="AJ372" s="1405"/>
      <c r="AK372" s="1405"/>
      <c r="AL372" s="1405"/>
      <c r="AM372" s="1405"/>
      <c r="AN372" s="1405"/>
      <c r="AO372" s="1405"/>
      <c r="AP372" s="1405"/>
      <c r="AQ372" s="1405"/>
      <c r="AR372" s="1405"/>
      <c r="AS372" s="1405"/>
      <c r="AT372" s="1405"/>
      <c r="AU372" s="1405"/>
      <c r="AV372" s="1405"/>
    </row>
    <row r="373" spans="1:48" s="613" customFormat="1" ht="15" customHeight="1" thickBot="1">
      <c r="A373" s="53"/>
      <c r="B373" s="1475" t="s">
        <v>719</v>
      </c>
      <c r="C373" s="1476" t="s">
        <v>698</v>
      </c>
      <c r="D373" s="1519">
        <f t="shared" si="0"/>
        <v>329.65632000000005</v>
      </c>
      <c r="E373" s="1542">
        <v>0.45158400000000004</v>
      </c>
      <c r="F373" s="1545"/>
      <c r="G373" s="1546">
        <v>0.4032</v>
      </c>
      <c r="H373" s="1544"/>
      <c r="I373" s="5"/>
      <c r="J373" s="5"/>
      <c r="K373" s="5"/>
      <c r="L373" s="5"/>
      <c r="M373" s="5"/>
      <c r="N373" s="5"/>
      <c r="O373" s="5"/>
      <c r="P373" s="5"/>
      <c r="Q373" s="5"/>
      <c r="R373" s="5"/>
      <c r="S373" s="5"/>
      <c r="T373" s="1175"/>
      <c r="U373" s="5"/>
      <c r="V373" s="1175"/>
      <c r="W373" s="93"/>
      <c r="X373" s="1"/>
      <c r="Y373" s="40"/>
      <c r="Z373" s="218"/>
      <c r="AA373" s="7"/>
      <c r="AE373" s="1405"/>
      <c r="AF373" s="1405"/>
      <c r="AG373" s="1405"/>
      <c r="AH373" s="1405"/>
      <c r="AI373" s="1405"/>
      <c r="AJ373" s="1405"/>
      <c r="AK373" s="1405"/>
      <c r="AL373" s="1405"/>
      <c r="AM373" s="1405"/>
      <c r="AN373" s="1405"/>
      <c r="AO373" s="1405"/>
      <c r="AP373" s="1405"/>
      <c r="AQ373" s="1405"/>
      <c r="AR373" s="1405"/>
      <c r="AS373" s="1405"/>
      <c r="AT373" s="1405"/>
      <c r="AU373" s="1405"/>
      <c r="AV373" s="1405"/>
    </row>
    <row r="374" spans="1:48" s="613" customFormat="1" ht="15" customHeight="1">
      <c r="A374" s="53"/>
      <c r="B374" s="5"/>
      <c r="C374" s="42"/>
      <c r="D374" s="42"/>
      <c r="E374" s="42"/>
      <c r="F374" s="42"/>
      <c r="G374" s="6"/>
      <c r="H374" s="5"/>
      <c r="I374" s="5"/>
      <c r="J374" s="5"/>
      <c r="K374" s="5"/>
      <c r="L374" s="5"/>
      <c r="M374" s="5"/>
      <c r="N374" s="5"/>
      <c r="O374" s="5"/>
      <c r="P374" s="5"/>
      <c r="Q374" s="5"/>
      <c r="R374" s="5"/>
      <c r="S374" s="5"/>
      <c r="T374" s="1175"/>
      <c r="U374" s="5"/>
      <c r="V374" s="1175"/>
      <c r="W374" s="93"/>
      <c r="X374" s="1"/>
      <c r="Y374" s="40"/>
      <c r="Z374" s="218"/>
      <c r="AA374" s="7"/>
      <c r="AE374" s="1405"/>
      <c r="AF374" s="1405"/>
      <c r="AG374" s="1405"/>
      <c r="AH374" s="1405"/>
      <c r="AI374" s="1405"/>
      <c r="AJ374" s="1405"/>
      <c r="AK374" s="1405"/>
      <c r="AL374" s="1405"/>
      <c r="AM374" s="1405"/>
      <c r="AN374" s="1405"/>
      <c r="AO374" s="1405"/>
      <c r="AP374" s="1405"/>
      <c r="AQ374" s="1405"/>
      <c r="AR374" s="1405"/>
      <c r="AS374" s="1405"/>
      <c r="AT374" s="1405"/>
      <c r="AU374" s="1405"/>
      <c r="AV374" s="1405"/>
    </row>
    <row r="375" spans="1:48" s="613" customFormat="1" ht="15" customHeight="1">
      <c r="A375" s="53"/>
      <c r="B375" s="5"/>
      <c r="C375" s="42"/>
      <c r="D375" s="42"/>
      <c r="E375" s="42"/>
      <c r="F375" s="42"/>
      <c r="G375" s="6"/>
      <c r="H375" s="5"/>
      <c r="I375" s="5"/>
      <c r="J375" s="5"/>
      <c r="K375" s="5"/>
      <c r="L375" s="5"/>
      <c r="M375" s="5"/>
      <c r="N375" s="5"/>
      <c r="O375" s="5"/>
      <c r="P375" s="5"/>
      <c r="Q375" s="5"/>
      <c r="R375" s="5"/>
      <c r="S375" s="5"/>
      <c r="T375" s="1175"/>
      <c r="U375" s="5"/>
      <c r="V375" s="1175"/>
      <c r="W375" s="93"/>
      <c r="X375" s="1"/>
      <c r="Y375" s="40"/>
      <c r="Z375" s="218"/>
      <c r="AA375" s="7"/>
      <c r="AE375" s="1405"/>
      <c r="AF375" s="1405"/>
      <c r="AG375" s="1405"/>
      <c r="AH375" s="1405"/>
      <c r="AI375" s="1405"/>
      <c r="AJ375" s="1405"/>
      <c r="AK375" s="1405"/>
      <c r="AL375" s="1405"/>
      <c r="AM375" s="1405"/>
      <c r="AN375" s="1405"/>
      <c r="AO375" s="1405"/>
      <c r="AP375" s="1405"/>
      <c r="AQ375" s="1405"/>
      <c r="AR375" s="1405"/>
      <c r="AS375" s="1405"/>
      <c r="AT375" s="1405"/>
      <c r="AU375" s="1405"/>
      <c r="AV375" s="1405"/>
    </row>
    <row r="376" spans="1:48" ht="15" customHeight="1">
      <c r="A376" s="53"/>
      <c r="B376" s="831" t="s">
        <v>893</v>
      </c>
      <c r="C376" s="26" t="s">
        <v>147</v>
      </c>
      <c r="D376" s="42"/>
      <c r="E376" s="4" t="s">
        <v>219</v>
      </c>
      <c r="F376" s="5"/>
      <c r="G376" s="5"/>
      <c r="H376" s="5"/>
      <c r="I376" s="5"/>
      <c r="J376" s="5"/>
      <c r="K376" s="5"/>
      <c r="L376" s="5"/>
      <c r="M376" s="5"/>
      <c r="N376" s="5"/>
      <c r="O376" s="5"/>
      <c r="P376" s="5"/>
      <c r="Q376" s="5"/>
      <c r="R376" s="5"/>
      <c r="S376" s="5"/>
      <c r="T376" s="1175"/>
      <c r="U376" s="5"/>
      <c r="V376" s="1175"/>
      <c r="W376" s="93"/>
      <c r="X376" s="1"/>
      <c r="Y376" s="40"/>
      <c r="Z376" s="132"/>
      <c r="AA376" s="7"/>
      <c r="AE376" s="1405"/>
      <c r="AF376" s="1405"/>
      <c r="AG376" s="1405"/>
      <c r="AH376" s="1405"/>
      <c r="AI376" s="1405"/>
      <c r="AJ376" s="1405"/>
      <c r="AK376" s="1405"/>
      <c r="AL376" s="1405"/>
      <c r="AM376" s="1405"/>
      <c r="AN376" s="1405"/>
      <c r="AO376" s="1405"/>
      <c r="AP376" s="1405"/>
      <c r="AQ376" s="1405"/>
      <c r="AR376" s="1405"/>
      <c r="AS376" s="1405"/>
      <c r="AT376" s="1405"/>
      <c r="AU376" s="1405"/>
      <c r="AV376" s="1405"/>
    </row>
    <row r="377" spans="1:48" ht="60" customHeight="1">
      <c r="A377" s="53"/>
      <c r="B377" s="138" t="s">
        <v>2</v>
      </c>
      <c r="C377" s="108"/>
      <c r="D377" s="108"/>
      <c r="E377" s="108"/>
      <c r="F377" s="108"/>
      <c r="G377" s="108" t="s">
        <v>225</v>
      </c>
      <c r="H377" s="108" t="s">
        <v>226</v>
      </c>
      <c r="I377" s="174"/>
      <c r="J377" s="163"/>
      <c r="K377" s="163"/>
      <c r="M377" s="127"/>
      <c r="N377" s="41"/>
      <c r="O377" s="5"/>
      <c r="P377" s="5"/>
      <c r="Q377" s="5"/>
      <c r="R377" s="5"/>
      <c r="S377" s="5"/>
      <c r="T377" s="1175"/>
      <c r="U377" s="5"/>
      <c r="V377" s="1175"/>
      <c r="W377" s="93"/>
      <c r="X377" s="1"/>
      <c r="Y377" s="40"/>
      <c r="Z377" s="218" t="s">
        <v>256</v>
      </c>
      <c r="AA377" s="7"/>
      <c r="AE377" s="1405"/>
      <c r="AF377" s="1405"/>
      <c r="AG377" s="1405"/>
      <c r="AH377" s="1405"/>
      <c r="AI377" s="1405"/>
      <c r="AJ377" s="1405"/>
      <c r="AK377" s="1405"/>
      <c r="AL377" s="1405"/>
      <c r="AM377" s="1405"/>
      <c r="AN377" s="1405"/>
      <c r="AO377" s="1405"/>
      <c r="AP377" s="1405"/>
      <c r="AQ377" s="1405"/>
      <c r="AR377" s="1405"/>
      <c r="AS377" s="1405"/>
      <c r="AT377" s="1405"/>
      <c r="AU377" s="1405"/>
      <c r="AV377" s="1405"/>
    </row>
    <row r="378" spans="1:48" s="613" customFormat="1" ht="18" customHeight="1">
      <c r="A378" s="53"/>
      <c r="B378" s="1850" t="s">
        <v>2608</v>
      </c>
      <c r="C378" s="1851"/>
      <c r="D378" s="1851"/>
      <c r="E378" s="1851"/>
      <c r="F378" s="1851"/>
      <c r="G378" s="1852">
        <v>4.5999999999999999E-3</v>
      </c>
      <c r="H378" s="1853">
        <v>2.99</v>
      </c>
      <c r="I378" s="174"/>
      <c r="L378" s="4"/>
      <c r="M378" s="127"/>
      <c r="N378" s="41"/>
      <c r="O378" s="5"/>
      <c r="P378" s="5"/>
      <c r="Q378" s="5"/>
      <c r="R378" s="5"/>
      <c r="S378" s="5"/>
      <c r="T378" s="1175"/>
      <c r="U378" s="5"/>
      <c r="V378" s="1175"/>
      <c r="W378" s="93"/>
      <c r="X378" s="1"/>
      <c r="Y378" s="40"/>
      <c r="Z378" s="218"/>
      <c r="AA378" s="7"/>
      <c r="AE378" s="1405"/>
      <c r="AF378" s="1405"/>
      <c r="AG378" s="1405"/>
      <c r="AH378" s="1405"/>
      <c r="AI378" s="1405"/>
      <c r="AJ378" s="1405"/>
      <c r="AK378" s="1405"/>
      <c r="AL378" s="1405"/>
      <c r="AM378" s="1405"/>
      <c r="AN378" s="1405"/>
      <c r="AO378" s="1405"/>
      <c r="AP378" s="1405"/>
      <c r="AQ378" s="1405"/>
      <c r="AR378" s="1405"/>
      <c r="AS378" s="1405"/>
      <c r="AT378" s="1405"/>
      <c r="AU378" s="1405"/>
      <c r="AV378" s="1405"/>
    </row>
    <row r="379" spans="1:48" s="613" customFormat="1" ht="18" customHeight="1">
      <c r="A379" s="53"/>
      <c r="B379" s="1850" t="s">
        <v>2609</v>
      </c>
      <c r="C379" s="1851"/>
      <c r="D379" s="1851"/>
      <c r="E379" s="1851"/>
      <c r="F379" s="1851"/>
      <c r="G379" s="1852">
        <v>9.1999999999999998E-3</v>
      </c>
      <c r="H379" s="1853">
        <v>5.98</v>
      </c>
      <c r="I379" s="174"/>
      <c r="L379" s="4"/>
      <c r="M379" s="127"/>
      <c r="N379" s="41"/>
      <c r="O379" s="5"/>
      <c r="P379" s="5"/>
      <c r="Q379" s="5"/>
      <c r="R379" s="5"/>
      <c r="S379" s="5"/>
      <c r="T379" s="1175"/>
      <c r="U379" s="5"/>
      <c r="V379" s="1175"/>
      <c r="W379" s="93"/>
      <c r="X379" s="1"/>
      <c r="Y379" s="40"/>
      <c r="Z379" s="218"/>
      <c r="AA379" s="7"/>
      <c r="AE379" s="1405"/>
      <c r="AF379" s="1405"/>
      <c r="AG379" s="1405"/>
      <c r="AH379" s="1405"/>
      <c r="AI379" s="1405"/>
      <c r="AJ379" s="1405"/>
      <c r="AK379" s="1405"/>
      <c r="AL379" s="1405"/>
      <c r="AM379" s="1405"/>
      <c r="AN379" s="1405"/>
      <c r="AO379" s="1405"/>
      <c r="AP379" s="1405"/>
      <c r="AQ379" s="1405"/>
      <c r="AR379" s="1405"/>
      <c r="AS379" s="1405"/>
      <c r="AT379" s="1405"/>
      <c r="AU379" s="1405"/>
      <c r="AV379" s="1405"/>
    </row>
    <row r="380" spans="1:48" s="613" customFormat="1" ht="18" customHeight="1">
      <c r="A380" s="53"/>
      <c r="B380" s="1850" t="s">
        <v>2722</v>
      </c>
      <c r="C380" s="1851"/>
      <c r="D380" s="1851"/>
      <c r="E380" s="1851"/>
      <c r="F380" s="1851"/>
      <c r="G380" s="1852">
        <v>4.5999999999999999E-2</v>
      </c>
      <c r="H380" s="1853">
        <v>29.9</v>
      </c>
      <c r="I380" s="174"/>
      <c r="L380" s="4"/>
      <c r="M380" s="127"/>
      <c r="N380" s="41"/>
      <c r="O380" s="5"/>
      <c r="P380" s="5"/>
      <c r="Q380" s="5"/>
      <c r="R380" s="5"/>
      <c r="S380" s="5"/>
      <c r="T380" s="1175"/>
      <c r="U380" s="5"/>
      <c r="V380" s="1175"/>
      <c r="W380" s="93"/>
      <c r="X380" s="1"/>
      <c r="Y380" s="40"/>
      <c r="Z380" s="218"/>
      <c r="AA380" s="7"/>
      <c r="AE380" s="1405"/>
      <c r="AF380" s="1405"/>
      <c r="AG380" s="1405"/>
      <c r="AH380" s="1405"/>
      <c r="AI380" s="1405"/>
      <c r="AJ380" s="1405"/>
      <c r="AK380" s="1405"/>
      <c r="AL380" s="1405"/>
      <c r="AM380" s="1405"/>
      <c r="AN380" s="1405"/>
      <c r="AO380" s="1405"/>
      <c r="AP380" s="1405"/>
      <c r="AQ380" s="1405"/>
      <c r="AR380" s="1405"/>
      <c r="AS380" s="1405"/>
      <c r="AT380" s="1405"/>
      <c r="AU380" s="1405"/>
      <c r="AV380" s="1405"/>
    </row>
    <row r="381" spans="1:48" s="613" customFormat="1" ht="18" customHeight="1">
      <c r="A381" s="53"/>
      <c r="B381" s="1850" t="s">
        <v>2723</v>
      </c>
      <c r="C381" s="1851"/>
      <c r="D381" s="1851"/>
      <c r="E381" s="1851"/>
      <c r="F381" s="1851"/>
      <c r="G381" s="1852">
        <v>9.1999999999999998E-2</v>
      </c>
      <c r="H381" s="1853">
        <v>59.8</v>
      </c>
      <c r="I381" s="174"/>
      <c r="L381" s="4"/>
      <c r="M381" s="127"/>
      <c r="N381" s="41"/>
      <c r="O381" s="5"/>
      <c r="P381" s="5"/>
      <c r="Q381" s="5"/>
      <c r="R381" s="5"/>
      <c r="S381" s="5"/>
      <c r="T381" s="1175"/>
      <c r="U381" s="5"/>
      <c r="V381" s="1175"/>
      <c r="W381" s="93"/>
      <c r="X381" s="1"/>
      <c r="Y381" s="40"/>
      <c r="Z381" s="218"/>
      <c r="AA381" s="7"/>
      <c r="AE381" s="1405"/>
      <c r="AF381" s="1405"/>
      <c r="AG381" s="1405"/>
      <c r="AH381" s="1405"/>
      <c r="AI381" s="1405"/>
      <c r="AJ381" s="1405"/>
      <c r="AK381" s="1405"/>
      <c r="AL381" s="1405"/>
      <c r="AM381" s="1405"/>
      <c r="AN381" s="1405"/>
      <c r="AO381" s="1405"/>
      <c r="AP381" s="1405"/>
      <c r="AQ381" s="1405"/>
      <c r="AR381" s="1405"/>
      <c r="AS381" s="1405"/>
      <c r="AT381" s="1405"/>
      <c r="AU381" s="1405"/>
      <c r="AV381" s="1405"/>
    </row>
    <row r="382" spans="1:48" s="613" customFormat="1" ht="18" customHeight="1">
      <c r="A382" s="53"/>
      <c r="B382" s="1850" t="s">
        <v>2724</v>
      </c>
      <c r="C382" s="1851"/>
      <c r="D382" s="1851"/>
      <c r="E382" s="1851"/>
      <c r="F382" s="1851"/>
      <c r="G382" s="1852">
        <v>0.184</v>
      </c>
      <c r="H382" s="1853">
        <v>119.6</v>
      </c>
      <c r="I382" s="174"/>
      <c r="L382" s="4"/>
      <c r="M382" s="127"/>
      <c r="N382" s="41"/>
      <c r="O382" s="5"/>
      <c r="P382" s="5"/>
      <c r="Q382" s="5"/>
      <c r="R382" s="5"/>
      <c r="S382" s="5"/>
      <c r="T382" s="1175"/>
      <c r="U382" s="5"/>
      <c r="V382" s="1175"/>
      <c r="W382" s="93"/>
      <c r="X382" s="1"/>
      <c r="Y382" s="40"/>
      <c r="Z382" s="218"/>
      <c r="AA382" s="7"/>
      <c r="AE382" s="1405"/>
      <c r="AF382" s="1405"/>
      <c r="AG382" s="1405"/>
      <c r="AH382" s="1405"/>
      <c r="AI382" s="1405"/>
      <c r="AJ382" s="1405"/>
      <c r="AK382" s="1405"/>
      <c r="AL382" s="1405"/>
      <c r="AM382" s="1405"/>
      <c r="AN382" s="1405"/>
      <c r="AO382" s="1405"/>
      <c r="AP382" s="1405"/>
      <c r="AQ382" s="1405"/>
      <c r="AR382" s="1405"/>
      <c r="AS382" s="1405"/>
      <c r="AT382" s="1405"/>
      <c r="AU382" s="1405"/>
      <c r="AV382" s="1405"/>
    </row>
    <row r="383" spans="1:48" s="613" customFormat="1" ht="18" customHeight="1">
      <c r="A383" s="53"/>
      <c r="B383" s="1850" t="s">
        <v>2604</v>
      </c>
      <c r="C383" s="1851"/>
      <c r="D383" s="1851"/>
      <c r="E383" s="1851"/>
      <c r="F383" s="1851"/>
      <c r="G383" s="1852">
        <v>4.5999999999999999E-2</v>
      </c>
      <c r="H383" s="1853">
        <v>29.9</v>
      </c>
      <c r="I383" s="174"/>
      <c r="L383" s="4"/>
      <c r="M383" s="127"/>
      <c r="N383" s="41"/>
      <c r="O383" s="5"/>
      <c r="P383" s="5"/>
      <c r="Q383" s="5"/>
      <c r="R383" s="5"/>
      <c r="S383" s="5"/>
      <c r="T383" s="1175"/>
      <c r="U383" s="5"/>
      <c r="V383" s="1175"/>
      <c r="W383" s="93"/>
      <c r="X383" s="1"/>
      <c r="Y383" s="40"/>
      <c r="Z383" s="218"/>
      <c r="AA383" s="7"/>
      <c r="AE383" s="1405"/>
      <c r="AF383" s="1405"/>
      <c r="AG383" s="1405"/>
      <c r="AH383" s="1405"/>
      <c r="AI383" s="1405"/>
      <c r="AJ383" s="1405"/>
      <c r="AK383" s="1405"/>
      <c r="AL383" s="1405"/>
      <c r="AM383" s="1405"/>
      <c r="AN383" s="1405"/>
      <c r="AO383" s="1405"/>
      <c r="AP383" s="1405"/>
      <c r="AQ383" s="1405"/>
      <c r="AR383" s="1405"/>
      <c r="AS383" s="1405"/>
      <c r="AT383" s="1405"/>
      <c r="AU383" s="1405"/>
      <c r="AV383" s="1405"/>
    </row>
    <row r="384" spans="1:48" s="613" customFormat="1" ht="15" customHeight="1">
      <c r="A384" s="53"/>
      <c r="B384" s="1850" t="s">
        <v>2605</v>
      </c>
      <c r="C384" s="1854"/>
      <c r="D384" s="817"/>
      <c r="E384" s="817"/>
      <c r="F384" s="817"/>
      <c r="G384" s="1780">
        <v>4.5999999999999999E-2</v>
      </c>
      <c r="H384" s="1781">
        <v>29.9</v>
      </c>
      <c r="I384" s="174"/>
      <c r="L384" s="126"/>
      <c r="M384" s="126"/>
      <c r="N384" s="41"/>
      <c r="O384" s="5"/>
      <c r="P384" s="5"/>
      <c r="Q384" s="5"/>
      <c r="R384" s="5"/>
      <c r="S384" s="5"/>
      <c r="T384" s="1175"/>
      <c r="U384" s="5"/>
      <c r="V384" s="1175"/>
      <c r="W384" s="93"/>
      <c r="X384" s="1"/>
      <c r="Y384" s="72"/>
      <c r="Z384" s="218"/>
      <c r="AA384" s="7"/>
      <c r="AE384" s="1405"/>
      <c r="AF384" s="1405"/>
      <c r="AG384" s="1405"/>
      <c r="AH384" s="1405"/>
      <c r="AI384" s="1405"/>
      <c r="AJ384" s="1405"/>
      <c r="AK384" s="1405"/>
      <c r="AL384" s="1405"/>
      <c r="AM384" s="1405"/>
      <c r="AN384" s="1405"/>
      <c r="AO384" s="1405"/>
      <c r="AP384" s="1405"/>
      <c r="AQ384" s="1405"/>
      <c r="AR384" s="1405"/>
      <c r="AS384" s="1405"/>
      <c r="AT384" s="1405"/>
      <c r="AU384" s="1405"/>
      <c r="AV384" s="1405"/>
    </row>
    <row r="385" spans="1:48" s="613" customFormat="1" ht="15" customHeight="1">
      <c r="A385" s="53"/>
      <c r="B385" s="1850" t="s">
        <v>2606</v>
      </c>
      <c r="C385" s="1851"/>
      <c r="D385" s="1851"/>
      <c r="E385" s="1851"/>
      <c r="F385" s="1851"/>
      <c r="G385" s="1852">
        <v>4.5999999999999999E-2</v>
      </c>
      <c r="H385" s="1853">
        <v>29.9</v>
      </c>
      <c r="I385" s="174"/>
      <c r="L385" s="126"/>
      <c r="M385" s="126"/>
      <c r="N385" s="41"/>
      <c r="O385" s="5"/>
      <c r="P385" s="5"/>
      <c r="Q385" s="5"/>
      <c r="R385" s="5"/>
      <c r="S385" s="5"/>
      <c r="T385" s="1175"/>
      <c r="U385" s="5"/>
      <c r="V385" s="1175"/>
      <c r="W385" s="93"/>
      <c r="X385" s="1"/>
      <c r="Y385" s="72"/>
      <c r="Z385" s="218"/>
      <c r="AA385" s="7"/>
      <c r="AE385" s="1405"/>
      <c r="AF385" s="1405"/>
      <c r="AG385" s="1405"/>
      <c r="AH385" s="1405"/>
      <c r="AI385" s="1405"/>
      <c r="AJ385" s="1405"/>
      <c r="AK385" s="1405"/>
      <c r="AL385" s="1405"/>
      <c r="AM385" s="1405"/>
      <c r="AN385" s="1405"/>
      <c r="AO385" s="1405"/>
      <c r="AP385" s="1405"/>
      <c r="AQ385" s="1405"/>
      <c r="AR385" s="1405"/>
      <c r="AS385" s="1405"/>
      <c r="AT385" s="1405"/>
      <c r="AU385" s="1405"/>
      <c r="AV385" s="1405"/>
    </row>
    <row r="386" spans="1:48" s="613" customFormat="1" ht="15" customHeight="1">
      <c r="A386" s="53"/>
      <c r="B386" s="1850" t="s">
        <v>2394</v>
      </c>
      <c r="C386" s="1854"/>
      <c r="D386" s="817"/>
      <c r="E386" s="817"/>
      <c r="F386" s="817"/>
      <c r="G386" s="1780">
        <v>9.1999999999999998E-2</v>
      </c>
      <c r="H386" s="1781">
        <v>59.8</v>
      </c>
      <c r="I386" s="174"/>
      <c r="L386" s="126"/>
      <c r="M386" s="126"/>
      <c r="N386" s="41"/>
      <c r="O386" s="5"/>
      <c r="P386" s="5"/>
      <c r="Q386" s="5"/>
      <c r="R386" s="5"/>
      <c r="S386" s="5"/>
      <c r="T386" s="1175"/>
      <c r="U386" s="5"/>
      <c r="V386" s="1175"/>
      <c r="W386" s="93"/>
      <c r="X386" s="1"/>
      <c r="Y386" s="72"/>
      <c r="Z386" s="218"/>
      <c r="AA386" s="7"/>
      <c r="AE386" s="1405"/>
      <c r="AF386" s="1405"/>
      <c r="AG386" s="1405"/>
      <c r="AH386" s="1405"/>
      <c r="AI386" s="1405"/>
      <c r="AJ386" s="1405"/>
      <c r="AK386" s="1405"/>
      <c r="AL386" s="1405"/>
      <c r="AM386" s="1405"/>
      <c r="AN386" s="1405"/>
      <c r="AO386" s="1405"/>
      <c r="AP386" s="1405"/>
      <c r="AQ386" s="1405"/>
      <c r="AR386" s="1405"/>
      <c r="AS386" s="1405"/>
      <c r="AT386" s="1405"/>
      <c r="AU386" s="1405"/>
      <c r="AV386" s="1405"/>
    </row>
    <row r="387" spans="1:48" s="613" customFormat="1" ht="15" customHeight="1">
      <c r="A387" s="53"/>
      <c r="B387" s="1850" t="s">
        <v>2395</v>
      </c>
      <c r="C387" s="1854"/>
      <c r="D387" s="817"/>
      <c r="E387" s="817"/>
      <c r="F387" s="817"/>
      <c r="G387" s="1780">
        <v>0.184</v>
      </c>
      <c r="H387" s="1781">
        <v>119.6</v>
      </c>
      <c r="I387" s="174"/>
      <c r="L387" s="126"/>
      <c r="M387" s="126"/>
      <c r="N387" s="41"/>
      <c r="O387" s="5"/>
      <c r="P387" s="5"/>
      <c r="Q387" s="5"/>
      <c r="R387" s="5"/>
      <c r="S387" s="5"/>
      <c r="T387" s="1175"/>
      <c r="U387" s="5"/>
      <c r="V387" s="1175"/>
      <c r="W387" s="93"/>
      <c r="X387" s="1"/>
      <c r="Y387" s="72"/>
      <c r="Z387" s="218"/>
      <c r="AA387" s="7"/>
      <c r="AE387" s="1405"/>
      <c r="AF387" s="1405"/>
      <c r="AG387" s="1405"/>
      <c r="AH387" s="1405"/>
      <c r="AI387" s="1405"/>
      <c r="AJ387" s="1405"/>
      <c r="AK387" s="1405"/>
      <c r="AL387" s="1405"/>
      <c r="AM387" s="1405"/>
      <c r="AN387" s="1405"/>
      <c r="AO387" s="1405"/>
      <c r="AP387" s="1405"/>
      <c r="AQ387" s="1405"/>
      <c r="AR387" s="1405"/>
      <c r="AS387" s="1405"/>
      <c r="AT387" s="1405"/>
      <c r="AU387" s="1405"/>
      <c r="AV387" s="1405"/>
    </row>
    <row r="388" spans="1:48" s="613" customFormat="1" ht="15" customHeight="1">
      <c r="A388" s="53"/>
      <c r="B388" s="1850" t="s">
        <v>2396</v>
      </c>
      <c r="C388" s="1854"/>
      <c r="D388" s="817"/>
      <c r="E388" s="817"/>
      <c r="F388" s="817"/>
      <c r="G388" s="1780">
        <v>0.36799999999999999</v>
      </c>
      <c r="H388" s="1781">
        <v>239.2</v>
      </c>
      <c r="I388" s="174"/>
      <c r="L388" s="126"/>
      <c r="M388" s="126"/>
      <c r="N388" s="41"/>
      <c r="O388" s="5"/>
      <c r="P388" s="5"/>
      <c r="Q388" s="5"/>
      <c r="R388" s="5"/>
      <c r="S388" s="5"/>
      <c r="T388" s="1175"/>
      <c r="U388" s="5"/>
      <c r="V388" s="1175"/>
      <c r="W388" s="93"/>
      <c r="X388" s="1"/>
      <c r="Y388" s="72"/>
      <c r="Z388" s="218"/>
      <c r="AA388" s="7"/>
      <c r="AE388" s="1405"/>
      <c r="AF388" s="1405"/>
      <c r="AG388" s="1405"/>
      <c r="AH388" s="1405"/>
      <c r="AI388" s="1405"/>
      <c r="AJ388" s="1405"/>
      <c r="AK388" s="1405"/>
      <c r="AL388" s="1405"/>
      <c r="AM388" s="1405"/>
      <c r="AN388" s="1405"/>
      <c r="AO388" s="1405"/>
      <c r="AP388" s="1405"/>
      <c r="AQ388" s="1405"/>
      <c r="AR388" s="1405"/>
      <c r="AS388" s="1405"/>
      <c r="AT388" s="1405"/>
      <c r="AU388" s="1405"/>
      <c r="AV388" s="1405"/>
    </row>
    <row r="389" spans="1:48" s="613" customFormat="1" ht="15" customHeight="1">
      <c r="A389" s="53"/>
      <c r="B389" s="1850" t="s">
        <v>2393</v>
      </c>
      <c r="C389" s="1854"/>
      <c r="D389" s="817" t="s">
        <v>547</v>
      </c>
      <c r="E389" s="817"/>
      <c r="F389" s="817"/>
      <c r="G389" s="1780">
        <v>0.73599999999999999</v>
      </c>
      <c r="H389" s="1781">
        <v>478.4</v>
      </c>
      <c r="I389" s="174"/>
      <c r="J389"/>
      <c r="K389"/>
      <c r="L389"/>
      <c r="M389"/>
      <c r="N389" s="41"/>
      <c r="O389" s="5"/>
      <c r="P389" s="5"/>
      <c r="Q389" s="5"/>
      <c r="R389" s="5"/>
      <c r="S389" s="5"/>
      <c r="T389" s="1175"/>
      <c r="U389" s="5"/>
      <c r="V389" s="1175"/>
      <c r="W389" s="93"/>
      <c r="X389" s="1"/>
      <c r="Y389" s="72"/>
      <c r="Z389" s="218"/>
      <c r="AA389" s="7"/>
      <c r="AE389" s="1405"/>
      <c r="AF389" s="1405"/>
      <c r="AG389" s="1405"/>
      <c r="AH389" s="1405"/>
      <c r="AI389" s="1405"/>
      <c r="AJ389" s="1405"/>
      <c r="AK389" s="1405"/>
      <c r="AL389" s="1405"/>
      <c r="AM389" s="1405"/>
      <c r="AN389" s="1405"/>
      <c r="AO389" s="1405"/>
      <c r="AP389" s="1405"/>
      <c r="AQ389" s="1405"/>
      <c r="AR389" s="1405"/>
      <c r="AS389" s="1405"/>
      <c r="AT389" s="1405"/>
      <c r="AU389" s="1405"/>
      <c r="AV389" s="1405"/>
    </row>
    <row r="390" spans="1:48" s="613" customFormat="1" ht="15" customHeight="1">
      <c r="A390" s="53"/>
      <c r="B390" s="1850" t="s">
        <v>2725</v>
      </c>
      <c r="C390" s="1854"/>
      <c r="D390" s="817"/>
      <c r="E390" s="817"/>
      <c r="F390" s="817"/>
      <c r="G390" s="1780">
        <v>1.2954000000000001</v>
      </c>
      <c r="H390" s="1781">
        <v>841.98400000000004</v>
      </c>
      <c r="I390" s="174"/>
      <c r="J390"/>
      <c r="K390"/>
      <c r="L390"/>
      <c r="M390"/>
      <c r="N390" s="41"/>
      <c r="O390" s="5"/>
      <c r="P390" s="5"/>
      <c r="Q390" s="5"/>
      <c r="R390" s="5"/>
      <c r="S390" s="5"/>
      <c r="T390" s="1175"/>
      <c r="U390" s="5"/>
      <c r="V390" s="1175"/>
      <c r="W390" s="93"/>
      <c r="X390" s="1"/>
      <c r="Y390" s="72"/>
      <c r="Z390" s="218"/>
      <c r="AA390" s="7"/>
      <c r="AE390" s="1405"/>
      <c r="AF390" s="1405"/>
      <c r="AG390" s="1405"/>
      <c r="AH390" s="1405"/>
      <c r="AI390" s="1405"/>
      <c r="AJ390" s="1405"/>
      <c r="AK390" s="1405"/>
      <c r="AL390" s="1405"/>
      <c r="AM390" s="1405"/>
      <c r="AN390" s="1405"/>
      <c r="AO390" s="1405"/>
      <c r="AP390" s="1405"/>
      <c r="AQ390" s="1405"/>
      <c r="AR390" s="1405"/>
      <c r="AS390" s="1405"/>
      <c r="AT390" s="1405"/>
      <c r="AU390" s="1405"/>
      <c r="AV390" s="1405"/>
    </row>
    <row r="391" spans="1:48" s="613" customFormat="1" ht="15" customHeight="1">
      <c r="A391" s="53"/>
      <c r="B391" s="1850" t="s">
        <v>2607</v>
      </c>
      <c r="C391" s="1854"/>
      <c r="D391" s="817"/>
      <c r="E391" s="817"/>
      <c r="F391" s="817"/>
      <c r="G391" s="1780">
        <v>9.1999999999999998E-2</v>
      </c>
      <c r="H391" s="1781">
        <v>59.8</v>
      </c>
      <c r="I391" s="174"/>
      <c r="J391"/>
      <c r="K391"/>
      <c r="L391"/>
      <c r="M391"/>
      <c r="N391" s="41"/>
      <c r="O391" s="5"/>
      <c r="P391" s="5"/>
      <c r="Q391" s="5"/>
      <c r="R391" s="5"/>
      <c r="S391" s="5"/>
      <c r="T391" s="1175"/>
      <c r="U391" s="5"/>
      <c r="V391" s="1175"/>
      <c r="W391" s="93"/>
      <c r="X391" s="1"/>
      <c r="Y391" s="72"/>
      <c r="Z391" s="218"/>
      <c r="AA391" s="7"/>
      <c r="AE391" s="1405"/>
      <c r="AF391" s="1405"/>
      <c r="AG391" s="1405"/>
      <c r="AH391" s="1405"/>
      <c r="AI391" s="1405"/>
      <c r="AJ391" s="1405"/>
      <c r="AK391" s="1405"/>
      <c r="AL391" s="1405"/>
      <c r="AM391" s="1405"/>
      <c r="AN391" s="1405"/>
      <c r="AO391" s="1405"/>
      <c r="AP391" s="1405"/>
      <c r="AQ391" s="1405"/>
      <c r="AR391" s="1405"/>
      <c r="AS391" s="1405"/>
      <c r="AT391" s="1405"/>
      <c r="AU391" s="1405"/>
      <c r="AV391" s="1405"/>
    </row>
    <row r="392" spans="1:48" s="613" customFormat="1" ht="15" customHeight="1">
      <c r="A392" s="53"/>
      <c r="B392" s="1850" t="s">
        <v>2366</v>
      </c>
      <c r="C392" s="1854"/>
      <c r="D392" s="817"/>
      <c r="E392" s="817"/>
      <c r="F392" s="817"/>
      <c r="G392" s="1780">
        <v>0.184</v>
      </c>
      <c r="H392" s="1781">
        <v>119.6</v>
      </c>
      <c r="I392" s="174"/>
      <c r="J392"/>
      <c r="K392"/>
      <c r="L392"/>
      <c r="M392"/>
      <c r="N392" s="41"/>
      <c r="O392" s="5"/>
      <c r="P392" s="5"/>
      <c r="Q392" s="5"/>
      <c r="R392" s="5"/>
      <c r="S392" s="5"/>
      <c r="T392" s="1175"/>
      <c r="U392" s="5"/>
      <c r="V392" s="1175"/>
      <c r="W392" s="93"/>
      <c r="X392" s="1"/>
      <c r="Y392" s="72"/>
      <c r="Z392" s="218"/>
      <c r="AA392" s="7"/>
      <c r="AE392" s="1405"/>
      <c r="AF392" s="1405"/>
      <c r="AG392" s="1405"/>
      <c r="AH392" s="1405"/>
      <c r="AI392" s="1405"/>
      <c r="AJ392" s="1405"/>
      <c r="AK392" s="1405"/>
      <c r="AL392" s="1405"/>
      <c r="AM392" s="1405"/>
      <c r="AN392" s="1405"/>
      <c r="AO392" s="1405"/>
      <c r="AP392" s="1405"/>
      <c r="AQ392" s="1405"/>
      <c r="AR392" s="1405"/>
      <c r="AS392" s="1405"/>
      <c r="AT392" s="1405"/>
      <c r="AU392" s="1405"/>
      <c r="AV392" s="1405"/>
    </row>
    <row r="393" spans="1:48" s="613" customFormat="1" ht="15" customHeight="1">
      <c r="A393" s="53"/>
      <c r="B393" s="1850" t="s">
        <v>2367</v>
      </c>
      <c r="C393" s="1854"/>
      <c r="D393" s="817"/>
      <c r="E393" s="817"/>
      <c r="F393" s="817"/>
      <c r="G393" s="1780">
        <v>0.36799999999999999</v>
      </c>
      <c r="H393" s="1781">
        <v>239.2</v>
      </c>
      <c r="I393" s="174"/>
      <c r="J393"/>
      <c r="K393"/>
      <c r="L393"/>
      <c r="M393"/>
      <c r="N393" s="41"/>
      <c r="O393" s="5"/>
      <c r="P393" s="5"/>
      <c r="Q393" s="5"/>
      <c r="R393" s="5"/>
      <c r="S393" s="5"/>
      <c r="T393" s="1175"/>
      <c r="U393" s="5"/>
      <c r="V393" s="1175"/>
      <c r="W393" s="93"/>
      <c r="X393" s="1"/>
      <c r="Y393" s="72"/>
      <c r="Z393" s="218"/>
      <c r="AA393" s="7"/>
      <c r="AE393" s="1405"/>
      <c r="AF393" s="1405"/>
      <c r="AG393" s="1405"/>
      <c r="AH393" s="1405"/>
      <c r="AI393" s="1405"/>
      <c r="AJ393" s="1405"/>
      <c r="AK393" s="1405"/>
      <c r="AL393" s="1405"/>
      <c r="AM393" s="1405"/>
      <c r="AN393" s="1405"/>
      <c r="AO393" s="1405"/>
      <c r="AP393" s="1405"/>
      <c r="AQ393" s="1405"/>
      <c r="AR393" s="1405"/>
      <c r="AS393" s="1405"/>
      <c r="AT393" s="1405"/>
      <c r="AU393" s="1405"/>
      <c r="AV393" s="1405"/>
    </row>
    <row r="394" spans="1:48" s="613" customFormat="1" ht="15" customHeight="1">
      <c r="A394" s="53"/>
      <c r="B394" s="1850" t="s">
        <v>2368</v>
      </c>
      <c r="C394" s="1854"/>
      <c r="D394" s="817"/>
      <c r="E394" s="817"/>
      <c r="F394" s="817"/>
      <c r="G394" s="1780">
        <v>0.73599999999999999</v>
      </c>
      <c r="H394" s="1781">
        <v>478.4</v>
      </c>
      <c r="I394" s="174"/>
      <c r="J394"/>
      <c r="K394"/>
      <c r="L394"/>
      <c r="M394"/>
      <c r="N394" s="41"/>
      <c r="O394" s="5"/>
      <c r="P394" s="5"/>
      <c r="Q394" s="5"/>
      <c r="R394" s="5"/>
      <c r="S394" s="5"/>
      <c r="T394" s="1175"/>
      <c r="U394" s="5"/>
      <c r="V394" s="1175"/>
      <c r="W394" s="93"/>
      <c r="X394" s="1"/>
      <c r="Y394" s="72"/>
      <c r="Z394" s="218"/>
      <c r="AA394" s="7"/>
      <c r="AE394" s="1405"/>
      <c r="AF394" s="1405"/>
      <c r="AG394" s="1405"/>
      <c r="AH394" s="1405"/>
      <c r="AI394" s="1405"/>
      <c r="AJ394" s="1405"/>
      <c r="AK394" s="1405"/>
      <c r="AL394" s="1405"/>
      <c r="AM394" s="1405"/>
      <c r="AN394" s="1405"/>
      <c r="AO394" s="1405"/>
      <c r="AP394" s="1405"/>
      <c r="AQ394" s="1405"/>
      <c r="AR394" s="1405"/>
      <c r="AS394" s="1405"/>
      <c r="AT394" s="1405"/>
      <c r="AU394" s="1405"/>
      <c r="AV394" s="1405"/>
    </row>
    <row r="395" spans="1:48" s="613" customFormat="1" ht="15" customHeight="1">
      <c r="A395" s="53"/>
      <c r="B395" s="1850" t="s">
        <v>2726</v>
      </c>
      <c r="C395" s="1854"/>
      <c r="D395" s="817"/>
      <c r="E395" s="817"/>
      <c r="F395" s="817"/>
      <c r="G395" s="1780">
        <v>1.2954000000000001</v>
      </c>
      <c r="H395" s="1781">
        <v>841.98400000000004</v>
      </c>
      <c r="I395" s="174"/>
      <c r="J395"/>
      <c r="K395"/>
      <c r="L395"/>
      <c r="M395"/>
      <c r="N395" s="41"/>
      <c r="O395" s="5"/>
      <c r="P395" s="5"/>
      <c r="Q395" s="5"/>
      <c r="R395" s="5"/>
      <c r="S395" s="5"/>
      <c r="T395" s="1175"/>
      <c r="U395" s="5"/>
      <c r="V395" s="1175"/>
      <c r="W395" s="93"/>
      <c r="X395" s="1"/>
      <c r="Y395" s="72"/>
      <c r="Z395" s="218"/>
      <c r="AA395" s="7"/>
      <c r="AE395" s="1405"/>
      <c r="AF395" s="1405"/>
      <c r="AG395" s="1405"/>
      <c r="AH395" s="1405"/>
      <c r="AI395" s="1405"/>
      <c r="AJ395" s="1405"/>
      <c r="AK395" s="1405"/>
      <c r="AL395" s="1405"/>
      <c r="AM395" s="1405"/>
      <c r="AN395" s="1405"/>
      <c r="AO395" s="1405"/>
      <c r="AP395" s="1405"/>
      <c r="AQ395" s="1405"/>
      <c r="AR395" s="1405"/>
      <c r="AS395" s="1405"/>
      <c r="AT395" s="1405"/>
      <c r="AU395" s="1405"/>
      <c r="AV395" s="1405"/>
    </row>
    <row r="396" spans="1:48" s="613" customFormat="1" ht="15" customHeight="1">
      <c r="A396" s="53"/>
      <c r="B396" s="1850" t="s">
        <v>2649</v>
      </c>
      <c r="C396" s="1854"/>
      <c r="D396" s="817"/>
      <c r="E396" s="817"/>
      <c r="F396" s="817"/>
      <c r="G396" s="1780">
        <v>9.1999999999999998E-2</v>
      </c>
      <c r="H396" s="1781">
        <v>59.8</v>
      </c>
      <c r="I396" s="174"/>
      <c r="J396"/>
      <c r="K396"/>
      <c r="L396"/>
      <c r="M396"/>
      <c r="N396" s="41"/>
      <c r="O396" s="5"/>
      <c r="P396" s="5"/>
      <c r="Q396" s="5"/>
      <c r="R396" s="5"/>
      <c r="S396" s="5"/>
      <c r="T396" s="1175"/>
      <c r="U396" s="5"/>
      <c r="V396" s="1175"/>
      <c r="W396" s="93"/>
      <c r="X396" s="1"/>
      <c r="Y396" s="72"/>
      <c r="Z396" s="218"/>
      <c r="AA396" s="7"/>
      <c r="AE396" s="1405"/>
      <c r="AF396" s="1405"/>
      <c r="AG396" s="1405"/>
      <c r="AH396" s="1405"/>
      <c r="AI396" s="1405"/>
      <c r="AJ396" s="1405"/>
      <c r="AK396" s="1405"/>
      <c r="AL396" s="1405"/>
      <c r="AM396" s="1405"/>
      <c r="AN396" s="1405"/>
      <c r="AO396" s="1405"/>
      <c r="AP396" s="1405"/>
      <c r="AQ396" s="1405"/>
      <c r="AR396" s="1405"/>
      <c r="AS396" s="1405"/>
      <c r="AT396" s="1405"/>
      <c r="AU396" s="1405"/>
      <c r="AV396" s="1405"/>
    </row>
    <row r="397" spans="1:48" ht="15" customHeight="1">
      <c r="A397" s="53"/>
      <c r="B397" s="1850" t="s">
        <v>2650</v>
      </c>
      <c r="C397" s="1854"/>
      <c r="D397" s="817"/>
      <c r="E397" s="817"/>
      <c r="F397" s="817"/>
      <c r="G397" s="1780">
        <v>0.184</v>
      </c>
      <c r="H397" s="1781">
        <v>119.6</v>
      </c>
      <c r="I397" s="174"/>
      <c r="J397"/>
      <c r="K397"/>
      <c r="L397"/>
      <c r="M397"/>
      <c r="N397" s="41"/>
      <c r="O397" s="5"/>
      <c r="P397" s="5"/>
      <c r="Q397" s="5"/>
      <c r="R397" s="5"/>
      <c r="S397" s="5"/>
      <c r="T397" s="1175"/>
      <c r="U397" s="5"/>
      <c r="V397" s="1175"/>
      <c r="W397" s="93"/>
      <c r="X397" s="1"/>
      <c r="Y397" s="72"/>
      <c r="Z397" s="132"/>
      <c r="AA397" s="7"/>
      <c r="AE397" s="1405"/>
      <c r="AF397" s="1405"/>
      <c r="AG397" s="1405"/>
      <c r="AH397" s="1405"/>
      <c r="AI397" s="1405"/>
      <c r="AJ397" s="1405"/>
      <c r="AK397" s="1405"/>
      <c r="AL397" s="1405"/>
      <c r="AM397" s="1405"/>
      <c r="AN397" s="1405"/>
      <c r="AO397" s="1405"/>
      <c r="AP397" s="1405"/>
      <c r="AQ397" s="1405"/>
      <c r="AR397" s="1405"/>
      <c r="AS397" s="1405"/>
      <c r="AT397" s="1405"/>
      <c r="AU397" s="1405"/>
      <c r="AV397" s="1405"/>
    </row>
    <row r="398" spans="1:48" ht="15" customHeight="1">
      <c r="A398" s="53"/>
      <c r="B398" s="1850" t="s">
        <v>2651</v>
      </c>
      <c r="C398" s="1854"/>
      <c r="D398" s="817"/>
      <c r="E398" s="817"/>
      <c r="F398" s="817"/>
      <c r="G398" s="1780">
        <v>0.36799999999999999</v>
      </c>
      <c r="H398" s="1781">
        <v>239.2</v>
      </c>
      <c r="I398" s="174"/>
      <c r="J398"/>
      <c r="K398"/>
      <c r="L398"/>
      <c r="M398"/>
      <c r="N398" s="41"/>
      <c r="O398" s="5"/>
      <c r="P398" s="5"/>
      <c r="Q398" s="5"/>
      <c r="R398" s="5"/>
      <c r="S398" s="5"/>
      <c r="T398" s="1175"/>
      <c r="U398" s="5"/>
      <c r="V398" s="1175"/>
      <c r="W398" s="93"/>
      <c r="X398" s="1"/>
      <c r="Y398" s="72"/>
      <c r="Z398" s="132"/>
      <c r="AA398" s="7"/>
      <c r="AE398" s="1405"/>
      <c r="AF398" s="1405"/>
      <c r="AG398" s="1405"/>
      <c r="AH398" s="1405"/>
      <c r="AI398" s="1405"/>
      <c r="AJ398" s="1405"/>
      <c r="AK398" s="1405"/>
      <c r="AL398" s="1405"/>
      <c r="AM398" s="1405"/>
      <c r="AN398" s="1405"/>
      <c r="AO398" s="1405"/>
      <c r="AP398" s="1405"/>
      <c r="AQ398" s="1405"/>
      <c r="AR398" s="1405"/>
      <c r="AS398" s="1405"/>
      <c r="AT398" s="1405"/>
      <c r="AU398" s="1405"/>
      <c r="AV398" s="1405"/>
    </row>
    <row r="399" spans="1:48" ht="15" customHeight="1">
      <c r="A399" s="53"/>
      <c r="B399" s="1850" t="s">
        <v>2652</v>
      </c>
      <c r="C399" s="1854"/>
      <c r="D399" s="817"/>
      <c r="E399" s="817"/>
      <c r="F399" s="817"/>
      <c r="G399" s="1780">
        <v>0.73599999999999999</v>
      </c>
      <c r="H399" s="1781">
        <v>478.4</v>
      </c>
      <c r="I399" s="174"/>
      <c r="J399"/>
      <c r="K399"/>
      <c r="L399"/>
      <c r="M399"/>
      <c r="N399" s="41"/>
      <c r="O399" s="5"/>
      <c r="P399" s="5"/>
      <c r="Q399" s="5"/>
      <c r="R399" s="5"/>
      <c r="S399" s="5"/>
      <c r="T399" s="1175"/>
      <c r="U399" s="5"/>
      <c r="V399" s="1175"/>
      <c r="W399" s="93"/>
      <c r="X399" s="1"/>
      <c r="Y399" s="72"/>
      <c r="Z399" s="132"/>
      <c r="AA399" s="7"/>
      <c r="AE399" s="1405"/>
      <c r="AF399" s="1405"/>
      <c r="AG399" s="1405"/>
      <c r="AH399" s="1405"/>
      <c r="AI399" s="1405"/>
      <c r="AJ399" s="1405"/>
      <c r="AK399" s="1405"/>
      <c r="AL399" s="1405"/>
      <c r="AM399" s="1405"/>
      <c r="AN399" s="1405"/>
      <c r="AO399" s="1405"/>
      <c r="AP399" s="1405"/>
      <c r="AQ399" s="1405"/>
      <c r="AR399" s="1405"/>
      <c r="AS399" s="1405"/>
      <c r="AT399" s="1405"/>
      <c r="AU399" s="1405"/>
      <c r="AV399" s="1405"/>
    </row>
    <row r="400" spans="1:48" s="613" customFormat="1" ht="15" customHeight="1">
      <c r="A400" s="53"/>
      <c r="B400" s="1850" t="s">
        <v>2644</v>
      </c>
      <c r="C400" s="1854"/>
      <c r="D400" s="817"/>
      <c r="E400" s="817"/>
      <c r="F400" s="817"/>
      <c r="G400" s="1780">
        <v>9.1999999999999998E-2</v>
      </c>
      <c r="H400" s="1781">
        <v>59.8</v>
      </c>
      <c r="I400" s="174"/>
      <c r="J400"/>
      <c r="K400"/>
      <c r="L400"/>
      <c r="M400"/>
      <c r="N400" s="41"/>
      <c r="O400" s="5"/>
      <c r="P400" s="5"/>
      <c r="Q400" s="5"/>
      <c r="R400" s="5"/>
      <c r="S400" s="5"/>
      <c r="T400" s="1175"/>
      <c r="U400" s="5"/>
      <c r="V400" s="1175"/>
      <c r="W400" s="93"/>
      <c r="X400" s="1"/>
      <c r="Y400" s="72"/>
      <c r="Z400" s="218"/>
      <c r="AA400" s="7"/>
      <c r="AE400" s="1405"/>
      <c r="AF400" s="1405"/>
      <c r="AG400" s="1405"/>
      <c r="AH400" s="1405"/>
      <c r="AI400" s="1405"/>
      <c r="AJ400" s="1405"/>
      <c r="AK400" s="1405"/>
      <c r="AL400" s="1405"/>
      <c r="AM400" s="1405"/>
      <c r="AN400" s="1405"/>
      <c r="AO400" s="1405"/>
      <c r="AP400" s="1405"/>
      <c r="AQ400" s="1405"/>
      <c r="AR400" s="1405"/>
      <c r="AS400" s="1405"/>
      <c r="AT400" s="1405"/>
      <c r="AU400" s="1405"/>
      <c r="AV400" s="1405"/>
    </row>
    <row r="401" spans="1:48" s="613" customFormat="1" ht="15" customHeight="1">
      <c r="A401" s="53"/>
      <c r="B401" s="1850" t="s">
        <v>2645</v>
      </c>
      <c r="C401" s="1854"/>
      <c r="D401" s="817"/>
      <c r="E401" s="817"/>
      <c r="F401" s="817"/>
      <c r="G401" s="1780">
        <v>0.184</v>
      </c>
      <c r="H401" s="1781">
        <v>119.6</v>
      </c>
      <c r="I401" s="174"/>
      <c r="J401"/>
      <c r="K401"/>
      <c r="L401"/>
      <c r="M401"/>
      <c r="N401" s="41"/>
      <c r="O401" s="5"/>
      <c r="P401" s="5"/>
      <c r="Q401" s="5"/>
      <c r="R401" s="5"/>
      <c r="S401" s="5"/>
      <c r="T401" s="1175"/>
      <c r="U401" s="5"/>
      <c r="V401" s="1175"/>
      <c r="W401" s="93"/>
      <c r="X401" s="1"/>
      <c r="Y401" s="72"/>
      <c r="Z401" s="218"/>
      <c r="AA401" s="7"/>
      <c r="AE401" s="1405"/>
      <c r="AF401" s="1405"/>
      <c r="AG401" s="1405"/>
      <c r="AH401" s="1405"/>
      <c r="AI401" s="1405"/>
      <c r="AJ401" s="1405"/>
      <c r="AK401" s="1405"/>
      <c r="AL401" s="1405"/>
      <c r="AM401" s="1405"/>
      <c r="AN401" s="1405"/>
      <c r="AO401" s="1405"/>
      <c r="AP401" s="1405"/>
      <c r="AQ401" s="1405"/>
      <c r="AR401" s="1405"/>
      <c r="AS401" s="1405"/>
      <c r="AT401" s="1405"/>
      <c r="AU401" s="1405"/>
      <c r="AV401" s="1405"/>
    </row>
    <row r="402" spans="1:48" s="613" customFormat="1" ht="15" customHeight="1">
      <c r="A402" s="53"/>
      <c r="B402" s="1850" t="s">
        <v>2646</v>
      </c>
      <c r="C402" s="1854"/>
      <c r="D402" s="817"/>
      <c r="E402" s="817"/>
      <c r="F402" s="817"/>
      <c r="G402" s="1780">
        <v>0.36799999999999999</v>
      </c>
      <c r="H402" s="1781">
        <v>239.2</v>
      </c>
      <c r="I402" s="174"/>
      <c r="J402"/>
      <c r="K402"/>
      <c r="L402"/>
      <c r="M402"/>
      <c r="N402" s="41"/>
      <c r="O402" s="5"/>
      <c r="P402" s="5"/>
      <c r="Q402" s="5"/>
      <c r="R402" s="5"/>
      <c r="S402" s="5"/>
      <c r="T402" s="1175"/>
      <c r="U402" s="5"/>
      <c r="V402" s="1175"/>
      <c r="W402" s="93"/>
      <c r="X402" s="1"/>
      <c r="Y402" s="72"/>
      <c r="Z402" s="218"/>
      <c r="AA402" s="7"/>
      <c r="AE402" s="1405"/>
      <c r="AF402" s="1405"/>
      <c r="AG402" s="1405"/>
      <c r="AH402" s="1405"/>
      <c r="AI402" s="1405"/>
      <c r="AJ402" s="1405"/>
      <c r="AK402" s="1405"/>
      <c r="AL402" s="1405"/>
      <c r="AM402" s="1405"/>
      <c r="AN402" s="1405"/>
      <c r="AO402" s="1405"/>
      <c r="AP402" s="1405"/>
      <c r="AQ402" s="1405"/>
      <c r="AR402" s="1405"/>
      <c r="AS402" s="1405"/>
      <c r="AT402" s="1405"/>
      <c r="AU402" s="1405"/>
      <c r="AV402" s="1405"/>
    </row>
    <row r="403" spans="1:48" s="613" customFormat="1" ht="15" customHeight="1">
      <c r="A403" s="53"/>
      <c r="B403" s="1850" t="s">
        <v>2647</v>
      </c>
      <c r="C403" s="1854"/>
      <c r="D403" s="817"/>
      <c r="E403" s="817"/>
      <c r="F403" s="817"/>
      <c r="G403" s="1780">
        <v>0.73599999999999999</v>
      </c>
      <c r="H403" s="1781">
        <v>478.4</v>
      </c>
      <c r="I403" s="174"/>
      <c r="J403"/>
      <c r="K403"/>
      <c r="L403"/>
      <c r="M403"/>
      <c r="N403" s="41"/>
      <c r="O403" s="5"/>
      <c r="P403" s="5"/>
      <c r="Q403" s="5"/>
      <c r="R403" s="5"/>
      <c r="S403" s="5"/>
      <c r="T403" s="1175"/>
      <c r="U403" s="5"/>
      <c r="V403" s="1175"/>
      <c r="W403" s="93"/>
      <c r="X403" s="1"/>
      <c r="Y403" s="72"/>
      <c r="Z403" s="218"/>
      <c r="AA403" s="7"/>
      <c r="AE403" s="1405"/>
      <c r="AF403" s="1405"/>
      <c r="AG403" s="1405"/>
      <c r="AH403" s="1405"/>
      <c r="AI403" s="1405"/>
      <c r="AJ403" s="1405"/>
      <c r="AK403" s="1405"/>
      <c r="AL403" s="1405"/>
      <c r="AM403" s="1405"/>
      <c r="AN403" s="1405"/>
      <c r="AO403" s="1405"/>
      <c r="AP403" s="1405"/>
      <c r="AQ403" s="1405"/>
      <c r="AR403" s="1405"/>
      <c r="AS403" s="1405"/>
      <c r="AT403" s="1405"/>
      <c r="AU403" s="1405"/>
      <c r="AV403" s="1405"/>
    </row>
    <row r="404" spans="1:48" s="613" customFormat="1" ht="15" customHeight="1">
      <c r="A404" s="53"/>
      <c r="B404" s="1850" t="s">
        <v>2648</v>
      </c>
      <c r="C404" s="1854"/>
      <c r="D404" s="817"/>
      <c r="E404" s="817"/>
      <c r="F404" s="817"/>
      <c r="G404" s="1780">
        <v>1.2954000000000001</v>
      </c>
      <c r="H404" s="1781">
        <v>841.98400000000004</v>
      </c>
      <c r="I404" s="174"/>
      <c r="J404"/>
      <c r="K404"/>
      <c r="L404"/>
      <c r="M404"/>
      <c r="N404" s="41"/>
      <c r="O404" s="5"/>
      <c r="P404" s="5"/>
      <c r="Q404" s="5"/>
      <c r="R404" s="5"/>
      <c r="S404" s="5"/>
      <c r="T404" s="1175"/>
      <c r="U404" s="5"/>
      <c r="V404" s="1175"/>
      <c r="W404" s="93"/>
      <c r="X404" s="1"/>
      <c r="Y404" s="72"/>
      <c r="Z404" s="218"/>
      <c r="AA404" s="7"/>
      <c r="AE404" s="1405"/>
      <c r="AF404" s="1405"/>
      <c r="AG404" s="1405"/>
      <c r="AH404" s="1405"/>
      <c r="AI404" s="1405"/>
      <c r="AJ404" s="1405"/>
      <c r="AK404" s="1405"/>
      <c r="AL404" s="1405"/>
      <c r="AM404" s="1405"/>
      <c r="AN404" s="1405"/>
      <c r="AO404" s="1405"/>
      <c r="AP404" s="1405"/>
      <c r="AQ404" s="1405"/>
      <c r="AR404" s="1405"/>
      <c r="AS404" s="1405"/>
      <c r="AT404" s="1405"/>
      <c r="AU404" s="1405"/>
      <c r="AV404" s="1405"/>
    </row>
    <row r="405" spans="1:48" s="613" customFormat="1" ht="15" customHeight="1">
      <c r="A405" s="53"/>
      <c r="B405" s="1850" t="s">
        <v>2642</v>
      </c>
      <c r="C405" s="1854"/>
      <c r="D405" s="817"/>
      <c r="E405" s="817"/>
      <c r="F405" s="817"/>
      <c r="G405" s="1780">
        <v>9.1999999999999998E-2</v>
      </c>
      <c r="H405" s="1781">
        <v>59.8</v>
      </c>
      <c r="I405" s="174"/>
      <c r="N405" s="41"/>
      <c r="O405" s="5"/>
      <c r="P405" s="5"/>
      <c r="Q405" s="5"/>
      <c r="R405" s="5"/>
      <c r="S405" s="5"/>
      <c r="T405" s="1175"/>
      <c r="U405" s="5"/>
      <c r="V405" s="1175"/>
      <c r="W405" s="93"/>
      <c r="X405" s="1"/>
      <c r="Y405" s="72"/>
      <c r="Z405" s="218"/>
      <c r="AA405" s="7"/>
      <c r="AE405" s="1405"/>
      <c r="AF405" s="1405"/>
      <c r="AG405" s="1405"/>
      <c r="AH405" s="1405"/>
      <c r="AI405" s="1405"/>
      <c r="AJ405" s="1405"/>
      <c r="AK405" s="1405"/>
      <c r="AL405" s="1405"/>
      <c r="AM405" s="1405"/>
      <c r="AN405" s="1405"/>
      <c r="AO405" s="1405"/>
      <c r="AP405" s="1405"/>
      <c r="AQ405" s="1405"/>
      <c r="AR405" s="1405"/>
      <c r="AS405" s="1405"/>
      <c r="AT405" s="1405"/>
      <c r="AU405" s="1405"/>
      <c r="AV405" s="1405"/>
    </row>
    <row r="406" spans="1:48" s="613" customFormat="1" ht="15" customHeight="1">
      <c r="A406" s="53"/>
      <c r="B406" s="1850" t="s">
        <v>2643</v>
      </c>
      <c r="C406" s="1854"/>
      <c r="D406" s="817"/>
      <c r="E406" s="817"/>
      <c r="F406" s="817"/>
      <c r="G406" s="1780">
        <v>0.184</v>
      </c>
      <c r="H406" s="1781">
        <v>119.6</v>
      </c>
      <c r="I406" s="174"/>
      <c r="N406" s="41"/>
      <c r="O406" s="5"/>
      <c r="P406" s="5"/>
      <c r="Q406" s="5"/>
      <c r="R406" s="5"/>
      <c r="S406" s="5"/>
      <c r="T406" s="1175"/>
      <c r="U406" s="5"/>
      <c r="V406" s="1175"/>
      <c r="W406" s="93"/>
      <c r="X406" s="1"/>
      <c r="Y406" s="72"/>
      <c r="Z406" s="218"/>
      <c r="AA406" s="7"/>
      <c r="AE406" s="1405"/>
      <c r="AF406" s="1405"/>
      <c r="AG406" s="1405"/>
      <c r="AH406" s="1405"/>
      <c r="AI406" s="1405"/>
      <c r="AJ406" s="1405"/>
      <c r="AK406" s="1405"/>
      <c r="AL406" s="1405"/>
      <c r="AM406" s="1405"/>
      <c r="AN406" s="1405"/>
      <c r="AO406" s="1405"/>
      <c r="AP406" s="1405"/>
      <c r="AQ406" s="1405"/>
      <c r="AR406" s="1405"/>
      <c r="AS406" s="1405"/>
      <c r="AT406" s="1405"/>
      <c r="AU406" s="1405"/>
      <c r="AV406" s="1405"/>
    </row>
    <row r="407" spans="1:48" s="613" customFormat="1" ht="15" customHeight="1">
      <c r="A407" s="53"/>
      <c r="B407" s="1850" t="s">
        <v>2383</v>
      </c>
      <c r="C407" s="1854"/>
      <c r="D407" s="817"/>
      <c r="E407" s="817"/>
      <c r="F407" s="817"/>
      <c r="G407" s="1780">
        <v>0.36799999999999999</v>
      </c>
      <c r="H407" s="1781">
        <v>239.2</v>
      </c>
      <c r="I407" s="174"/>
      <c r="N407" s="41"/>
      <c r="O407" s="5"/>
      <c r="P407" s="5"/>
      <c r="Q407" s="5"/>
      <c r="R407" s="5"/>
      <c r="S407" s="5"/>
      <c r="T407" s="1175"/>
      <c r="U407" s="5"/>
      <c r="V407" s="1175"/>
      <c r="W407" s="93"/>
      <c r="X407" s="1"/>
      <c r="Y407" s="72"/>
      <c r="Z407" s="218"/>
      <c r="AA407" s="7"/>
      <c r="AE407" s="1405"/>
      <c r="AF407" s="1405"/>
      <c r="AG407" s="1405"/>
      <c r="AH407" s="1405"/>
      <c r="AI407" s="1405"/>
      <c r="AJ407" s="1405"/>
      <c r="AK407" s="1405"/>
      <c r="AL407" s="1405"/>
      <c r="AM407" s="1405"/>
      <c r="AN407" s="1405"/>
      <c r="AO407" s="1405"/>
      <c r="AP407" s="1405"/>
      <c r="AQ407" s="1405"/>
      <c r="AR407" s="1405"/>
      <c r="AS407" s="1405"/>
      <c r="AT407" s="1405"/>
      <c r="AU407" s="1405"/>
      <c r="AV407" s="1405"/>
    </row>
    <row r="408" spans="1:48" s="613" customFormat="1" ht="15" customHeight="1">
      <c r="A408" s="53"/>
      <c r="B408" s="1850" t="s">
        <v>2440</v>
      </c>
      <c r="C408" s="1854"/>
      <c r="D408" s="817"/>
      <c r="E408" s="817"/>
      <c r="F408" s="817"/>
      <c r="G408" s="1780">
        <v>0.55200000000000005</v>
      </c>
      <c r="H408" s="1781">
        <v>358.8</v>
      </c>
      <c r="I408" s="174"/>
      <c r="N408" s="41"/>
      <c r="O408" s="5"/>
      <c r="P408" s="5"/>
      <c r="Q408" s="5"/>
      <c r="R408" s="5"/>
      <c r="S408" s="5"/>
      <c r="T408" s="1175"/>
      <c r="U408" s="5"/>
      <c r="V408" s="1175"/>
      <c r="W408" s="93"/>
      <c r="X408" s="1"/>
      <c r="Y408" s="72"/>
      <c r="Z408" s="218"/>
      <c r="AA408" s="7"/>
      <c r="AE408" s="1405"/>
      <c r="AF408" s="1405"/>
      <c r="AG408" s="1405"/>
      <c r="AH408" s="1405"/>
      <c r="AI408" s="1405"/>
      <c r="AJ408" s="1405"/>
      <c r="AK408" s="1405"/>
      <c r="AL408" s="1405"/>
      <c r="AM408" s="1405"/>
      <c r="AN408" s="1405"/>
      <c r="AO408" s="1405"/>
      <c r="AP408" s="1405"/>
      <c r="AQ408" s="1405"/>
      <c r="AR408" s="1405"/>
      <c r="AS408" s="1405"/>
      <c r="AT408" s="1405"/>
      <c r="AU408" s="1405"/>
      <c r="AV408" s="1405"/>
    </row>
    <row r="409" spans="1:48" s="613" customFormat="1" ht="15" customHeight="1">
      <c r="A409" s="53"/>
      <c r="B409" s="1850" t="s">
        <v>2384</v>
      </c>
      <c r="C409" s="1854"/>
      <c r="D409" s="817"/>
      <c r="E409" s="817"/>
      <c r="F409" s="817"/>
      <c r="G409" s="1780">
        <v>0.73599999999999999</v>
      </c>
      <c r="H409" s="1781">
        <v>478.4</v>
      </c>
      <c r="I409" s="174"/>
      <c r="N409" s="41"/>
      <c r="O409" s="5"/>
      <c r="P409" s="5"/>
      <c r="Q409" s="5"/>
      <c r="R409" s="5"/>
      <c r="S409" s="5"/>
      <c r="T409" s="1175"/>
      <c r="U409" s="5"/>
      <c r="V409" s="1175"/>
      <c r="W409" s="93"/>
      <c r="X409" s="1"/>
      <c r="Y409" s="72"/>
      <c r="Z409" s="218"/>
      <c r="AA409" s="7"/>
      <c r="AE409" s="1405"/>
      <c r="AF409" s="1405"/>
      <c r="AG409" s="1405"/>
      <c r="AH409" s="1405"/>
      <c r="AI409" s="1405"/>
      <c r="AJ409" s="1405"/>
      <c r="AK409" s="1405"/>
      <c r="AL409" s="1405"/>
      <c r="AM409" s="1405"/>
      <c r="AN409" s="1405"/>
      <c r="AO409" s="1405"/>
      <c r="AP409" s="1405"/>
      <c r="AQ409" s="1405"/>
      <c r="AR409" s="1405"/>
      <c r="AS409" s="1405"/>
      <c r="AT409" s="1405"/>
      <c r="AU409" s="1405"/>
      <c r="AV409" s="1405"/>
    </row>
    <row r="410" spans="1:48" s="613" customFormat="1" ht="15" customHeight="1">
      <c r="A410" s="53"/>
      <c r="B410" s="1850" t="s">
        <v>2441</v>
      </c>
      <c r="C410" s="1854"/>
      <c r="D410" s="817"/>
      <c r="E410" s="817"/>
      <c r="F410" s="817"/>
      <c r="G410" s="1780">
        <v>1.1040000000000001</v>
      </c>
      <c r="H410" s="1781">
        <v>717.6</v>
      </c>
      <c r="I410" s="174"/>
      <c r="N410" s="41"/>
      <c r="O410" s="5"/>
      <c r="P410" s="5"/>
      <c r="Q410" s="5"/>
      <c r="R410" s="5"/>
      <c r="S410" s="5"/>
      <c r="T410" s="1175"/>
      <c r="U410" s="5"/>
      <c r="V410" s="1175"/>
      <c r="W410" s="93"/>
      <c r="X410" s="1"/>
      <c r="Y410" s="72"/>
      <c r="Z410" s="218"/>
      <c r="AA410" s="7"/>
      <c r="AE410" s="1405"/>
      <c r="AF410" s="1405"/>
      <c r="AG410" s="1405"/>
      <c r="AH410" s="1405"/>
      <c r="AI410" s="1405"/>
      <c r="AJ410" s="1405"/>
      <c r="AK410" s="1405"/>
      <c r="AL410" s="1405"/>
      <c r="AM410" s="1405"/>
      <c r="AN410" s="1405"/>
      <c r="AO410" s="1405"/>
      <c r="AP410" s="1405"/>
      <c r="AQ410" s="1405"/>
      <c r="AR410" s="1405"/>
      <c r="AS410" s="1405"/>
      <c r="AT410" s="1405"/>
      <c r="AU410" s="1405"/>
      <c r="AV410" s="1405"/>
    </row>
    <row r="411" spans="1:48" s="613" customFormat="1" ht="15" customHeight="1">
      <c r="A411" s="53"/>
      <c r="B411" s="1850" t="s">
        <v>2385</v>
      </c>
      <c r="C411" s="1854"/>
      <c r="D411" s="817"/>
      <c r="E411" s="817"/>
      <c r="F411" s="817"/>
      <c r="G411" s="1780">
        <v>1.2954000000000001</v>
      </c>
      <c r="H411" s="1781">
        <v>841.98400000000004</v>
      </c>
      <c r="I411" s="174"/>
      <c r="N411" s="41"/>
      <c r="O411" s="5"/>
      <c r="P411" s="5"/>
      <c r="Q411" s="5"/>
      <c r="R411" s="5"/>
      <c r="S411" s="5"/>
      <c r="T411" s="1175"/>
      <c r="U411" s="5"/>
      <c r="V411" s="1175"/>
      <c r="W411" s="93"/>
      <c r="X411" s="1"/>
      <c r="Y411" s="72"/>
      <c r="Z411" s="218"/>
      <c r="AA411" s="7"/>
      <c r="AE411" s="1405"/>
      <c r="AF411" s="1405"/>
      <c r="AG411" s="1405"/>
      <c r="AH411" s="1405"/>
      <c r="AI411" s="1405"/>
      <c r="AJ411" s="1405"/>
      <c r="AK411" s="1405"/>
      <c r="AL411" s="1405"/>
      <c r="AM411" s="1405"/>
      <c r="AN411" s="1405"/>
      <c r="AO411" s="1405"/>
      <c r="AP411" s="1405"/>
      <c r="AQ411" s="1405"/>
      <c r="AR411" s="1405"/>
      <c r="AS411" s="1405"/>
      <c r="AT411" s="1405"/>
      <c r="AU411" s="1405"/>
      <c r="AV411" s="1405"/>
    </row>
    <row r="412" spans="1:48" s="613" customFormat="1" ht="15" customHeight="1">
      <c r="A412" s="53"/>
      <c r="B412" s="1850" t="s">
        <v>2386</v>
      </c>
      <c r="C412" s="1854"/>
      <c r="D412" s="817"/>
      <c r="E412" s="817"/>
      <c r="F412" s="817"/>
      <c r="G412" s="1780">
        <v>2.5907</v>
      </c>
      <c r="H412" s="1781">
        <v>1683.9680000000001</v>
      </c>
      <c r="I412" s="174"/>
      <c r="N412" s="41"/>
      <c r="O412" s="5"/>
      <c r="P412" s="5"/>
      <c r="Q412" s="5"/>
      <c r="R412" s="5"/>
      <c r="S412" s="5"/>
      <c r="T412" s="1175"/>
      <c r="U412" s="5"/>
      <c r="V412" s="1175"/>
      <c r="W412" s="93"/>
      <c r="X412" s="1"/>
      <c r="Y412" s="72"/>
      <c r="Z412" s="218"/>
      <c r="AA412" s="7"/>
      <c r="AE412" s="1405"/>
      <c r="AF412" s="1405"/>
      <c r="AG412" s="1405"/>
      <c r="AH412" s="1405"/>
      <c r="AI412" s="1405"/>
      <c r="AJ412" s="1405"/>
      <c r="AK412" s="1405"/>
      <c r="AL412" s="1405"/>
      <c r="AM412" s="1405"/>
      <c r="AN412" s="1405"/>
      <c r="AO412" s="1405"/>
      <c r="AP412" s="1405"/>
      <c r="AQ412" s="1405"/>
      <c r="AR412" s="1405"/>
      <c r="AS412" s="1405"/>
      <c r="AT412" s="1405"/>
      <c r="AU412" s="1405"/>
      <c r="AV412" s="1405"/>
    </row>
    <row r="413" spans="1:48" s="1489" customFormat="1" ht="15" customHeight="1">
      <c r="A413" s="1491"/>
      <c r="B413" s="1847" t="s">
        <v>2795</v>
      </c>
      <c r="C413" s="1854"/>
      <c r="D413" s="817"/>
      <c r="E413" s="817"/>
      <c r="F413" s="817"/>
      <c r="G413" s="1780">
        <v>9.1999999999999998E-2</v>
      </c>
      <c r="H413" s="1781">
        <v>59.8</v>
      </c>
      <c r="I413" s="174"/>
      <c r="N413" s="1407"/>
      <c r="O413" s="1175"/>
      <c r="P413" s="1175"/>
      <c r="Q413" s="1175"/>
      <c r="R413" s="1175"/>
      <c r="S413" s="1175"/>
      <c r="T413" s="1175"/>
      <c r="U413" s="1175"/>
      <c r="V413" s="1175"/>
      <c r="W413" s="1190"/>
      <c r="X413" s="1"/>
      <c r="Y413" s="1189"/>
      <c r="Z413" s="1492"/>
      <c r="AA413" s="1493"/>
    </row>
    <row r="414" spans="1:48" s="1489" customFormat="1" ht="15" customHeight="1">
      <c r="A414" s="1491"/>
      <c r="B414" s="1847" t="s">
        <v>2796</v>
      </c>
      <c r="C414" s="1854"/>
      <c r="D414" s="817"/>
      <c r="E414" s="817"/>
      <c r="F414" s="817"/>
      <c r="G414" s="1780">
        <v>0.184</v>
      </c>
      <c r="H414" s="1781">
        <v>119.6</v>
      </c>
      <c r="I414" s="174"/>
      <c r="N414" s="1407"/>
      <c r="O414" s="1175"/>
      <c r="P414" s="1175"/>
      <c r="Q414" s="1175"/>
      <c r="R414" s="1175"/>
      <c r="S414" s="1175"/>
      <c r="T414" s="1175"/>
      <c r="U414" s="1175"/>
      <c r="V414" s="1175"/>
      <c r="W414" s="1190"/>
      <c r="X414" s="1"/>
      <c r="Y414" s="1189"/>
      <c r="Z414" s="1492"/>
      <c r="AA414" s="1493"/>
    </row>
    <row r="415" spans="1:48" s="1489" customFormat="1" ht="15" customHeight="1">
      <c r="A415" s="1491"/>
      <c r="B415" s="1847" t="s">
        <v>2797</v>
      </c>
      <c r="C415" s="1854"/>
      <c r="D415" s="817"/>
      <c r="E415" s="817"/>
      <c r="F415" s="817"/>
      <c r="G415" s="1780">
        <v>0.36799999999999999</v>
      </c>
      <c r="H415" s="1781">
        <v>239.2</v>
      </c>
      <c r="I415" s="174"/>
      <c r="N415" s="1407"/>
      <c r="O415" s="1175"/>
      <c r="P415" s="1175"/>
      <c r="Q415" s="1175"/>
      <c r="R415" s="1175"/>
      <c r="S415" s="1175"/>
      <c r="T415" s="1175"/>
      <c r="U415" s="1175"/>
      <c r="V415" s="1175"/>
      <c r="W415" s="1190"/>
      <c r="X415" s="1"/>
      <c r="Y415" s="1189"/>
      <c r="Z415" s="1492"/>
      <c r="AA415" s="1493"/>
    </row>
    <row r="416" spans="1:48" s="1489" customFormat="1" ht="15" customHeight="1">
      <c r="A416" s="1491"/>
      <c r="B416" s="1847" t="s">
        <v>2798</v>
      </c>
      <c r="C416" s="1854"/>
      <c r="D416" s="817"/>
      <c r="E416" s="817"/>
      <c r="F416" s="817"/>
      <c r="G416" s="1780">
        <v>0.55200000000000005</v>
      </c>
      <c r="H416" s="1781">
        <v>358.8</v>
      </c>
      <c r="I416" s="174"/>
      <c r="N416" s="1407"/>
      <c r="O416" s="1175"/>
      <c r="P416" s="1175"/>
      <c r="Q416" s="1175"/>
      <c r="R416" s="1175"/>
      <c r="S416" s="1175"/>
      <c r="T416" s="1175"/>
      <c r="U416" s="1175"/>
      <c r="V416" s="1175"/>
      <c r="W416" s="1190"/>
      <c r="X416" s="1"/>
      <c r="Y416" s="1189"/>
      <c r="Z416" s="1492"/>
      <c r="AA416" s="1493"/>
    </row>
    <row r="417" spans="1:48" s="1489" customFormat="1" ht="15" customHeight="1">
      <c r="A417" s="1491"/>
      <c r="B417" s="1847" t="s">
        <v>2799</v>
      </c>
      <c r="C417" s="1854"/>
      <c r="D417" s="817"/>
      <c r="E417" s="817"/>
      <c r="F417" s="817"/>
      <c r="G417" s="1780">
        <v>0.73599999999999999</v>
      </c>
      <c r="H417" s="1781">
        <v>478.4</v>
      </c>
      <c r="I417" s="174"/>
      <c r="N417" s="1407"/>
      <c r="O417" s="1175"/>
      <c r="P417" s="1175"/>
      <c r="Q417" s="1175"/>
      <c r="R417" s="1175"/>
      <c r="S417" s="1175"/>
      <c r="T417" s="1175"/>
      <c r="U417" s="1175"/>
      <c r="V417" s="1175"/>
      <c r="W417" s="1190"/>
      <c r="X417" s="1"/>
      <c r="Y417" s="1189"/>
      <c r="Z417" s="1492"/>
      <c r="AA417" s="1493"/>
    </row>
    <row r="418" spans="1:48" s="1489" customFormat="1" ht="15" customHeight="1">
      <c r="A418" s="1491"/>
      <c r="B418" s="1847" t="s">
        <v>2800</v>
      </c>
      <c r="C418" s="1854"/>
      <c r="D418" s="817"/>
      <c r="E418" s="817"/>
      <c r="F418" s="817"/>
      <c r="G418" s="1780">
        <v>1.1040000000000001</v>
      </c>
      <c r="H418" s="1781">
        <v>717.6</v>
      </c>
      <c r="I418" s="174"/>
      <c r="N418" s="1407"/>
      <c r="O418" s="1175"/>
      <c r="P418" s="1175"/>
      <c r="Q418" s="1175"/>
      <c r="R418" s="1175"/>
      <c r="S418" s="1175"/>
      <c r="T418" s="1175"/>
      <c r="U418" s="1175"/>
      <c r="V418" s="1175"/>
      <c r="W418" s="1190"/>
      <c r="X418" s="1"/>
      <c r="Y418" s="1189"/>
      <c r="Z418" s="1492"/>
      <c r="AA418" s="1493"/>
    </row>
    <row r="419" spans="1:48" s="1489" customFormat="1" ht="15" customHeight="1">
      <c r="A419" s="1491"/>
      <c r="B419" s="1847" t="s">
        <v>2801</v>
      </c>
      <c r="C419" s="1854"/>
      <c r="D419" s="817"/>
      <c r="E419" s="817"/>
      <c r="F419" s="817"/>
      <c r="G419" s="1780">
        <v>1.2954000000000001</v>
      </c>
      <c r="H419" s="1781">
        <v>841.98400000000004</v>
      </c>
      <c r="I419" s="174"/>
      <c r="N419" s="1407"/>
      <c r="O419" s="1175"/>
      <c r="P419" s="1175"/>
      <c r="Q419" s="1175"/>
      <c r="R419" s="1175"/>
      <c r="S419" s="1175"/>
      <c r="T419" s="1175"/>
      <c r="U419" s="1175"/>
      <c r="V419" s="1175"/>
      <c r="W419" s="1190"/>
      <c r="X419" s="1"/>
      <c r="Y419" s="1189"/>
      <c r="Z419" s="1492"/>
      <c r="AA419" s="1493"/>
    </row>
    <row r="420" spans="1:48" ht="15" customHeight="1">
      <c r="A420" s="53"/>
      <c r="B420" s="1850" t="s">
        <v>2613</v>
      </c>
      <c r="C420" s="1855"/>
      <c r="D420" s="817"/>
      <c r="E420" s="817"/>
      <c r="F420" s="817"/>
      <c r="G420" s="1780">
        <v>4.5999999999999999E-2</v>
      </c>
      <c r="H420" s="1781">
        <v>29.9</v>
      </c>
      <c r="I420" s="174"/>
      <c r="J420"/>
      <c r="K420"/>
      <c r="L420"/>
      <c r="M420"/>
      <c r="N420" s="41"/>
      <c r="O420" s="5"/>
      <c r="P420" s="5"/>
      <c r="Q420" s="5"/>
      <c r="R420" s="5"/>
      <c r="S420" s="5"/>
      <c r="T420" s="1175"/>
      <c r="U420" s="5"/>
      <c r="V420" s="1175"/>
      <c r="W420" s="93"/>
      <c r="X420" s="1"/>
      <c r="Y420" s="72"/>
      <c r="Z420" s="132"/>
      <c r="AA420" s="7"/>
      <c r="AE420" s="1405"/>
      <c r="AF420" s="1405"/>
      <c r="AG420" s="1405"/>
      <c r="AH420" s="1405"/>
      <c r="AI420" s="1405"/>
      <c r="AJ420" s="1405"/>
      <c r="AK420" s="1405"/>
      <c r="AL420" s="1405"/>
      <c r="AM420" s="1405"/>
      <c r="AN420" s="1405"/>
      <c r="AO420" s="1405"/>
      <c r="AP420" s="1405"/>
      <c r="AQ420" s="1405"/>
      <c r="AR420" s="1405"/>
      <c r="AS420" s="1405"/>
      <c r="AT420" s="1405"/>
      <c r="AU420" s="1405"/>
      <c r="AV420" s="1405"/>
    </row>
    <row r="421" spans="1:48" ht="15" customHeight="1">
      <c r="A421" s="53"/>
      <c r="B421" s="1850" t="s">
        <v>2614</v>
      </c>
      <c r="C421" s="1855"/>
      <c r="D421" s="817"/>
      <c r="E421" s="817"/>
      <c r="F421" s="817"/>
      <c r="G421" s="1780">
        <v>9.1999999999999998E-2</v>
      </c>
      <c r="H421" s="1781">
        <v>59.8</v>
      </c>
      <c r="I421" s="174"/>
      <c r="J421"/>
      <c r="K421"/>
      <c r="L421"/>
      <c r="M421"/>
      <c r="N421" s="41"/>
      <c r="O421" s="5"/>
      <c r="P421" s="5"/>
      <c r="Q421" s="5"/>
      <c r="R421" s="5"/>
      <c r="S421" s="5"/>
      <c r="T421" s="1175"/>
      <c r="U421" s="5"/>
      <c r="V421" s="1175"/>
      <c r="W421" s="93"/>
      <c r="X421" s="1"/>
      <c r="Y421" s="72"/>
      <c r="Z421" s="132"/>
      <c r="AA421" s="7"/>
      <c r="AE421" s="1405"/>
      <c r="AF421" s="1405"/>
      <c r="AG421" s="1405"/>
      <c r="AH421" s="1405"/>
      <c r="AI421" s="1405"/>
      <c r="AJ421" s="1405"/>
      <c r="AK421" s="1405"/>
      <c r="AL421" s="1405"/>
      <c r="AM421" s="1405"/>
      <c r="AN421" s="1405"/>
      <c r="AO421" s="1405"/>
      <c r="AP421" s="1405"/>
      <c r="AQ421" s="1405"/>
      <c r="AR421" s="1405"/>
      <c r="AS421" s="1405"/>
      <c r="AT421" s="1405"/>
      <c r="AU421" s="1405"/>
      <c r="AV421" s="1405"/>
    </row>
    <row r="422" spans="1:48" ht="15" customHeight="1">
      <c r="A422" s="53"/>
      <c r="B422" s="1850" t="s">
        <v>2615</v>
      </c>
      <c r="C422" s="1855"/>
      <c r="D422" s="817"/>
      <c r="E422" s="817"/>
      <c r="F422" s="817"/>
      <c r="G422" s="1780">
        <v>0.184</v>
      </c>
      <c r="H422" s="1781">
        <v>119.6</v>
      </c>
      <c r="I422" s="174"/>
      <c r="J422" s="163"/>
      <c r="K422" s="163"/>
      <c r="L422" s="56"/>
      <c r="M422" s="56"/>
      <c r="N422" s="41"/>
      <c r="O422" s="5"/>
      <c r="P422" s="5"/>
      <c r="Q422" s="5"/>
      <c r="R422" s="5"/>
      <c r="S422" s="5"/>
      <c r="T422" s="1175"/>
      <c r="U422" s="5"/>
      <c r="V422" s="1175"/>
      <c r="W422" s="93"/>
      <c r="X422" s="1"/>
      <c r="Y422" s="72"/>
      <c r="Z422" s="132"/>
      <c r="AA422" s="7"/>
      <c r="AE422" s="1405"/>
      <c r="AF422" s="1405"/>
      <c r="AG422" s="1405"/>
      <c r="AH422" s="1405"/>
      <c r="AI422" s="1405"/>
      <c r="AJ422" s="1405"/>
      <c r="AK422" s="1405"/>
      <c r="AL422" s="1405"/>
      <c r="AM422" s="1405"/>
      <c r="AN422" s="1405"/>
      <c r="AO422" s="1405"/>
      <c r="AP422" s="1405"/>
      <c r="AQ422" s="1405"/>
      <c r="AR422" s="1405"/>
      <c r="AS422" s="1405"/>
      <c r="AT422" s="1405"/>
      <c r="AU422" s="1405"/>
      <c r="AV422" s="1405"/>
    </row>
    <row r="423" spans="1:48" ht="15" customHeight="1">
      <c r="A423" s="53"/>
      <c r="B423" s="1850" t="s">
        <v>2616</v>
      </c>
      <c r="C423" s="1855"/>
      <c r="D423" s="817"/>
      <c r="E423" s="817"/>
      <c r="F423" s="817"/>
      <c r="G423" s="1780">
        <v>0.36799999999999999</v>
      </c>
      <c r="H423" s="1781">
        <v>239.2</v>
      </c>
      <c r="I423" s="174"/>
      <c r="J423" s="163"/>
      <c r="K423" s="163"/>
      <c r="L423" s="56"/>
      <c r="M423" s="56"/>
      <c r="N423" s="41"/>
      <c r="O423" s="5"/>
      <c r="P423" s="5"/>
      <c r="Q423" s="5"/>
      <c r="R423" s="5"/>
      <c r="S423" s="5"/>
      <c r="T423" s="1175"/>
      <c r="U423" s="5"/>
      <c r="V423" s="1175"/>
      <c r="W423" s="93"/>
      <c r="X423" s="1"/>
      <c r="Y423" s="72"/>
      <c r="Z423" s="132"/>
      <c r="AA423" s="7"/>
      <c r="AE423" s="1405"/>
      <c r="AF423" s="1405"/>
      <c r="AG423" s="1405"/>
      <c r="AH423" s="1405"/>
      <c r="AI423" s="1405"/>
      <c r="AJ423" s="1405"/>
      <c r="AK423" s="1405"/>
      <c r="AL423" s="1405"/>
      <c r="AM423" s="1405"/>
      <c r="AN423" s="1405"/>
      <c r="AO423" s="1405"/>
      <c r="AP423" s="1405"/>
      <c r="AQ423" s="1405"/>
      <c r="AR423" s="1405"/>
      <c r="AS423" s="1405"/>
      <c r="AT423" s="1405"/>
      <c r="AU423" s="1405"/>
      <c r="AV423" s="1405"/>
    </row>
    <row r="424" spans="1:48" ht="15" customHeight="1">
      <c r="A424" s="53"/>
      <c r="B424" s="1850" t="s">
        <v>2617</v>
      </c>
      <c r="C424" s="1855"/>
      <c r="D424" s="817"/>
      <c r="E424" s="817"/>
      <c r="F424" s="817"/>
      <c r="G424" s="1780">
        <v>0.73599999999999999</v>
      </c>
      <c r="H424" s="1781">
        <v>478.4</v>
      </c>
      <c r="I424" s="174"/>
      <c r="J424" s="163"/>
      <c r="K424" s="163"/>
      <c r="L424" s="56"/>
      <c r="M424" s="56"/>
      <c r="N424" s="41"/>
      <c r="O424" s="5"/>
      <c r="P424" s="5"/>
      <c r="Q424" s="5"/>
      <c r="R424" s="5"/>
      <c r="S424" s="5"/>
      <c r="T424" s="1175"/>
      <c r="U424" s="5"/>
      <c r="V424" s="1175"/>
      <c r="W424" s="93"/>
      <c r="X424" s="1"/>
      <c r="Y424" s="72"/>
      <c r="Z424" s="132"/>
      <c r="AA424" s="7"/>
      <c r="AE424" s="1405"/>
      <c r="AF424" s="1405"/>
      <c r="AG424" s="1405"/>
      <c r="AH424" s="1405"/>
      <c r="AI424" s="1405"/>
      <c r="AJ424" s="1405"/>
      <c r="AK424" s="1405"/>
      <c r="AL424" s="1405"/>
      <c r="AM424" s="1405"/>
      <c r="AN424" s="1405"/>
      <c r="AO424" s="1405"/>
      <c r="AP424" s="1405"/>
      <c r="AQ424" s="1405"/>
      <c r="AR424" s="1405"/>
      <c r="AS424" s="1405"/>
      <c r="AT424" s="1405"/>
      <c r="AU424" s="1405"/>
      <c r="AV424" s="1405"/>
    </row>
    <row r="425" spans="1:48" s="104" customFormat="1" ht="15" customHeight="1">
      <c r="A425" s="141"/>
      <c r="B425" s="1850" t="s">
        <v>2618</v>
      </c>
      <c r="C425" s="1855"/>
      <c r="D425" s="817"/>
      <c r="E425" s="817"/>
      <c r="F425" s="817"/>
      <c r="G425" s="1780">
        <v>1.2954000000000001</v>
      </c>
      <c r="H425" s="1781">
        <v>841.98400000000004</v>
      </c>
      <c r="I425" s="281"/>
      <c r="L425" s="42"/>
      <c r="M425" s="282"/>
      <c r="N425" s="282"/>
      <c r="O425" s="282"/>
      <c r="P425" s="282"/>
      <c r="Q425" s="282"/>
      <c r="R425" s="282"/>
      <c r="S425" s="282"/>
      <c r="T425" s="282"/>
      <c r="U425" s="282"/>
      <c r="V425" s="282"/>
      <c r="W425" s="93"/>
      <c r="X425" s="1"/>
      <c r="Y425" s="105"/>
      <c r="Z425" s="218"/>
      <c r="AA425" s="66"/>
      <c r="AE425" s="1405"/>
      <c r="AF425" s="1405"/>
      <c r="AG425" s="1405"/>
      <c r="AH425" s="1405"/>
      <c r="AI425" s="1405"/>
      <c r="AJ425" s="1405"/>
      <c r="AK425" s="1405"/>
      <c r="AL425" s="1405"/>
      <c r="AM425" s="1405"/>
      <c r="AN425" s="1405"/>
      <c r="AO425" s="1405"/>
      <c r="AP425" s="1405"/>
      <c r="AQ425" s="1405"/>
      <c r="AR425" s="1405"/>
      <c r="AS425" s="1405"/>
      <c r="AT425" s="1405"/>
      <c r="AU425" s="1405"/>
      <c r="AV425" s="1405"/>
    </row>
    <row r="426" spans="1:48" s="104" customFormat="1" ht="15" customHeight="1">
      <c r="A426" s="141"/>
      <c r="B426" s="1850" t="s">
        <v>2623</v>
      </c>
      <c r="C426" s="1855"/>
      <c r="D426" s="817"/>
      <c r="E426" s="817"/>
      <c r="F426" s="817"/>
      <c r="G426" s="1780">
        <v>9.1999999999999998E-2</v>
      </c>
      <c r="H426" s="1781">
        <v>59.8</v>
      </c>
      <c r="I426" s="281"/>
      <c r="L426" s="256"/>
      <c r="M426" s="256"/>
      <c r="N426" s="103"/>
      <c r="O426" s="42"/>
      <c r="P426" s="42"/>
      <c r="Q426" s="42"/>
      <c r="R426" s="42"/>
      <c r="S426" s="42"/>
      <c r="T426" s="1191"/>
      <c r="U426" s="42"/>
      <c r="V426" s="1191"/>
      <c r="W426" s="93"/>
      <c r="X426" s="1"/>
      <c r="Y426" s="105"/>
      <c r="Z426" s="218"/>
      <c r="AA426" s="66"/>
      <c r="AE426" s="1405"/>
      <c r="AF426" s="1405"/>
      <c r="AG426" s="1405"/>
      <c r="AH426" s="1405"/>
      <c r="AI426" s="1405"/>
      <c r="AJ426" s="1405"/>
      <c r="AK426" s="1405"/>
      <c r="AL426" s="1405"/>
      <c r="AM426" s="1405"/>
      <c r="AN426" s="1405"/>
      <c r="AO426" s="1405"/>
      <c r="AP426" s="1405"/>
      <c r="AQ426" s="1405"/>
      <c r="AR426" s="1405"/>
      <c r="AS426" s="1405"/>
      <c r="AT426" s="1405"/>
      <c r="AU426" s="1405"/>
      <c r="AV426" s="1405"/>
    </row>
    <row r="427" spans="1:48" s="104" customFormat="1" ht="15" customHeight="1">
      <c r="A427" s="141"/>
      <c r="B427" s="1850" t="s">
        <v>2624</v>
      </c>
      <c r="C427" s="1855"/>
      <c r="D427" s="817"/>
      <c r="E427" s="817"/>
      <c r="F427" s="817"/>
      <c r="G427" s="1780">
        <v>0.184</v>
      </c>
      <c r="H427" s="1781">
        <v>119.6</v>
      </c>
      <c r="I427" s="281"/>
      <c r="L427" s="256"/>
      <c r="M427" s="256"/>
      <c r="N427" s="103"/>
      <c r="O427" s="42"/>
      <c r="P427" s="42"/>
      <c r="Q427" s="42"/>
      <c r="R427" s="42"/>
      <c r="S427" s="42"/>
      <c r="T427" s="1191"/>
      <c r="U427" s="42"/>
      <c r="V427" s="1191"/>
      <c r="W427" s="93"/>
      <c r="X427" s="1"/>
      <c r="Y427" s="105"/>
      <c r="Z427" s="218"/>
      <c r="AA427" s="66"/>
      <c r="AE427" s="1405"/>
      <c r="AF427" s="1405"/>
      <c r="AG427" s="1405"/>
      <c r="AH427" s="1405"/>
      <c r="AI427" s="1405"/>
      <c r="AJ427" s="1405"/>
      <c r="AK427" s="1405"/>
      <c r="AL427" s="1405"/>
      <c r="AM427" s="1405"/>
      <c r="AN427" s="1405"/>
      <c r="AO427" s="1405"/>
      <c r="AP427" s="1405"/>
      <c r="AQ427" s="1405"/>
      <c r="AR427" s="1405"/>
      <c r="AS427" s="1405"/>
      <c r="AT427" s="1405"/>
      <c r="AU427" s="1405"/>
      <c r="AV427" s="1405"/>
    </row>
    <row r="428" spans="1:48" s="104" customFormat="1" ht="15" customHeight="1">
      <c r="A428" s="141"/>
      <c r="B428" s="1850" t="s">
        <v>2625</v>
      </c>
      <c r="C428" s="1855"/>
      <c r="D428" s="817"/>
      <c r="E428" s="817"/>
      <c r="F428" s="817"/>
      <c r="G428" s="1780">
        <v>0.36799999999999999</v>
      </c>
      <c r="H428" s="1781">
        <v>239.2</v>
      </c>
      <c r="I428" s="281"/>
      <c r="L428" s="103"/>
      <c r="M428" s="103"/>
      <c r="N428" s="103"/>
      <c r="O428" s="42"/>
      <c r="P428" s="42"/>
      <c r="Q428" s="42"/>
      <c r="R428" s="42"/>
      <c r="S428" s="42"/>
      <c r="T428" s="1191"/>
      <c r="U428" s="42"/>
      <c r="V428" s="1191"/>
      <c r="W428" s="93"/>
      <c r="X428" s="1"/>
      <c r="Y428" s="105"/>
      <c r="Z428" s="218"/>
      <c r="AA428" s="66"/>
      <c r="AE428" s="1405"/>
      <c r="AF428" s="1405"/>
      <c r="AG428" s="1405"/>
      <c r="AH428" s="1405"/>
      <c r="AI428" s="1405"/>
      <c r="AJ428" s="1405"/>
      <c r="AK428" s="1405"/>
      <c r="AL428" s="1405"/>
      <c r="AM428" s="1405"/>
      <c r="AN428" s="1405"/>
      <c r="AO428" s="1405"/>
      <c r="AP428" s="1405"/>
      <c r="AQ428" s="1405"/>
      <c r="AR428" s="1405"/>
      <c r="AS428" s="1405"/>
      <c r="AT428" s="1405"/>
      <c r="AU428" s="1405"/>
      <c r="AV428" s="1405"/>
    </row>
    <row r="429" spans="1:48" s="331" customFormat="1" ht="15" customHeight="1">
      <c r="A429" s="141"/>
      <c r="B429" s="1850" t="s">
        <v>2619</v>
      </c>
      <c r="C429" s="1855"/>
      <c r="D429" s="817"/>
      <c r="E429" s="817"/>
      <c r="F429" s="817"/>
      <c r="G429" s="1780">
        <v>9.1999999999999998E-2</v>
      </c>
      <c r="H429" s="1781">
        <v>59.8</v>
      </c>
      <c r="I429" s="281"/>
      <c r="L429" s="103"/>
      <c r="M429" s="103"/>
      <c r="N429" s="103"/>
      <c r="O429" s="42"/>
      <c r="P429" s="42"/>
      <c r="Q429" s="42"/>
      <c r="R429" s="42"/>
      <c r="S429" s="42"/>
      <c r="T429" s="1191"/>
      <c r="U429" s="42"/>
      <c r="V429" s="1191"/>
      <c r="W429" s="93"/>
      <c r="X429" s="1"/>
      <c r="Y429" s="105"/>
      <c r="Z429" s="218"/>
      <c r="AA429" s="66"/>
      <c r="AE429" s="1405"/>
      <c r="AF429" s="1405"/>
      <c r="AG429" s="1405"/>
      <c r="AH429" s="1405"/>
      <c r="AI429" s="1405"/>
      <c r="AJ429" s="1405"/>
      <c r="AK429" s="1405"/>
      <c r="AL429" s="1405"/>
      <c r="AM429" s="1405"/>
      <c r="AN429" s="1405"/>
      <c r="AO429" s="1405"/>
      <c r="AP429" s="1405"/>
      <c r="AQ429" s="1405"/>
      <c r="AR429" s="1405"/>
      <c r="AS429" s="1405"/>
      <c r="AT429" s="1405"/>
      <c r="AU429" s="1405"/>
      <c r="AV429" s="1405"/>
    </row>
    <row r="430" spans="1:48" s="331" customFormat="1" ht="15" customHeight="1">
      <c r="A430" s="141"/>
      <c r="B430" s="1850" t="s">
        <v>2620</v>
      </c>
      <c r="C430" s="1855"/>
      <c r="D430" s="817"/>
      <c r="E430" s="817"/>
      <c r="F430" s="817"/>
      <c r="G430" s="1780">
        <v>0.184</v>
      </c>
      <c r="H430" s="1781">
        <v>119.6</v>
      </c>
      <c r="I430" s="281"/>
      <c r="L430" s="103"/>
      <c r="M430" s="103"/>
      <c r="N430" s="103"/>
      <c r="O430" s="42"/>
      <c r="P430" s="42"/>
      <c r="Q430" s="42"/>
      <c r="R430" s="42"/>
      <c r="S430" s="42"/>
      <c r="T430" s="1191"/>
      <c r="U430" s="42"/>
      <c r="V430" s="1191"/>
      <c r="W430" s="93"/>
      <c r="X430" s="1"/>
      <c r="Y430" s="105"/>
      <c r="Z430" s="218"/>
      <c r="AA430" s="66"/>
      <c r="AE430" s="1405"/>
      <c r="AF430" s="1405"/>
      <c r="AG430" s="1405"/>
      <c r="AH430" s="1405"/>
      <c r="AI430" s="1405"/>
      <c r="AJ430" s="1405"/>
      <c r="AK430" s="1405"/>
      <c r="AL430" s="1405"/>
      <c r="AM430" s="1405"/>
      <c r="AN430" s="1405"/>
      <c r="AO430" s="1405"/>
      <c r="AP430" s="1405"/>
      <c r="AQ430" s="1405"/>
      <c r="AR430" s="1405"/>
      <c r="AS430" s="1405"/>
      <c r="AT430" s="1405"/>
      <c r="AU430" s="1405"/>
      <c r="AV430" s="1405"/>
    </row>
    <row r="431" spans="1:48" s="331" customFormat="1" ht="15" customHeight="1">
      <c r="A431" s="141"/>
      <c r="B431" s="1850" t="s">
        <v>2621</v>
      </c>
      <c r="C431" s="1855"/>
      <c r="D431" s="817"/>
      <c r="E431" s="817"/>
      <c r="F431" s="817"/>
      <c r="G431" s="1780">
        <v>0.36799999999999999</v>
      </c>
      <c r="H431" s="1781">
        <v>239.2</v>
      </c>
      <c r="I431" s="281"/>
      <c r="L431" s="103"/>
      <c r="M431" s="103"/>
      <c r="N431" s="103"/>
      <c r="O431" s="42"/>
      <c r="P431" s="42"/>
      <c r="Q431" s="42"/>
      <c r="R431" s="42"/>
      <c r="S431" s="42"/>
      <c r="T431" s="1191"/>
      <c r="U431" s="42"/>
      <c r="V431" s="1191"/>
      <c r="W431" s="93"/>
      <c r="X431" s="1"/>
      <c r="Y431" s="105"/>
      <c r="Z431" s="218"/>
      <c r="AA431" s="66"/>
      <c r="AE431" s="1405"/>
      <c r="AF431" s="1405"/>
      <c r="AG431" s="1405"/>
      <c r="AH431" s="1405"/>
      <c r="AI431" s="1405"/>
      <c r="AJ431" s="1405"/>
      <c r="AK431" s="1405"/>
      <c r="AL431" s="1405"/>
      <c r="AM431" s="1405"/>
      <c r="AN431" s="1405"/>
      <c r="AO431" s="1405"/>
      <c r="AP431" s="1405"/>
      <c r="AQ431" s="1405"/>
      <c r="AR431" s="1405"/>
      <c r="AS431" s="1405"/>
      <c r="AT431" s="1405"/>
      <c r="AU431" s="1405"/>
      <c r="AV431" s="1405"/>
    </row>
    <row r="432" spans="1:48" s="331" customFormat="1" ht="15" customHeight="1">
      <c r="A432" s="141"/>
      <c r="B432" s="1850" t="s">
        <v>2622</v>
      </c>
      <c r="C432" s="1855"/>
      <c r="D432" s="817"/>
      <c r="E432" s="817"/>
      <c r="F432" s="817"/>
      <c r="G432" s="1780">
        <v>0.73599999999999999</v>
      </c>
      <c r="H432" s="1781">
        <v>478.4</v>
      </c>
      <c r="I432" s="281"/>
      <c r="L432" s="103"/>
      <c r="M432" s="103"/>
      <c r="N432" s="103"/>
      <c r="O432" s="42"/>
      <c r="P432" s="42"/>
      <c r="Q432" s="42"/>
      <c r="R432" s="42"/>
      <c r="S432" s="42"/>
      <c r="T432" s="1191"/>
      <c r="U432" s="42"/>
      <c r="V432" s="1191"/>
      <c r="W432" s="93"/>
      <c r="X432" s="1"/>
      <c r="Y432" s="105"/>
      <c r="Z432" s="218"/>
      <c r="AA432" s="66"/>
      <c r="AE432" s="1405"/>
      <c r="AF432" s="1405"/>
      <c r="AG432" s="1405"/>
      <c r="AH432" s="1405"/>
      <c r="AI432" s="1405"/>
      <c r="AJ432" s="1405"/>
      <c r="AK432" s="1405"/>
      <c r="AL432" s="1405"/>
      <c r="AM432" s="1405"/>
      <c r="AN432" s="1405"/>
      <c r="AO432" s="1405"/>
      <c r="AP432" s="1405"/>
      <c r="AQ432" s="1405"/>
      <c r="AR432" s="1405"/>
      <c r="AS432" s="1405"/>
      <c r="AT432" s="1405"/>
      <c r="AU432" s="1405"/>
      <c r="AV432" s="1405"/>
    </row>
    <row r="433" spans="1:48" s="331" customFormat="1" ht="15" customHeight="1">
      <c r="A433" s="141"/>
      <c r="B433" s="1850" t="s">
        <v>2373</v>
      </c>
      <c r="C433" s="1855"/>
      <c r="D433" s="817"/>
      <c r="E433" s="817"/>
      <c r="F433" s="817"/>
      <c r="G433" s="1780">
        <v>0.184</v>
      </c>
      <c r="H433" s="1781">
        <v>119.6</v>
      </c>
      <c r="I433" s="281"/>
      <c r="L433" s="103"/>
      <c r="M433" s="103"/>
      <c r="N433" s="103"/>
      <c r="O433" s="42"/>
      <c r="P433" s="42"/>
      <c r="Q433" s="42"/>
      <c r="R433" s="42"/>
      <c r="S433" s="42"/>
      <c r="T433" s="1191"/>
      <c r="U433" s="42"/>
      <c r="V433" s="1191"/>
      <c r="W433" s="93"/>
      <c r="X433" s="1"/>
      <c r="Y433" s="105"/>
      <c r="Z433" s="218"/>
      <c r="AA433" s="66"/>
      <c r="AE433" s="1405"/>
      <c r="AF433" s="1405"/>
      <c r="AG433" s="1405"/>
      <c r="AH433" s="1405"/>
      <c r="AI433" s="1405"/>
      <c r="AJ433" s="1405"/>
      <c r="AK433" s="1405"/>
      <c r="AL433" s="1405"/>
      <c r="AM433" s="1405"/>
      <c r="AN433" s="1405"/>
      <c r="AO433" s="1405"/>
      <c r="AP433" s="1405"/>
      <c r="AQ433" s="1405"/>
      <c r="AR433" s="1405"/>
      <c r="AS433" s="1405"/>
      <c r="AT433" s="1405"/>
      <c r="AU433" s="1405"/>
      <c r="AV433" s="1405"/>
    </row>
    <row r="434" spans="1:48" s="331" customFormat="1" ht="15" customHeight="1">
      <c r="A434" s="141"/>
      <c r="B434" s="1850" t="s">
        <v>2374</v>
      </c>
      <c r="C434" s="1855"/>
      <c r="D434" s="817"/>
      <c r="E434" s="817"/>
      <c r="F434" s="817"/>
      <c r="G434" s="1780">
        <v>0.36799999999999999</v>
      </c>
      <c r="H434" s="1781">
        <v>239.2</v>
      </c>
      <c r="I434" s="281"/>
      <c r="L434" s="103"/>
      <c r="M434" s="103"/>
      <c r="N434" s="103"/>
      <c r="O434" s="42"/>
      <c r="P434" s="42"/>
      <c r="Q434" s="42"/>
      <c r="R434" s="42"/>
      <c r="S434" s="42"/>
      <c r="T434" s="1191"/>
      <c r="U434" s="42"/>
      <c r="V434" s="1191"/>
      <c r="W434" s="93"/>
      <c r="X434" s="1"/>
      <c r="Y434" s="105"/>
      <c r="Z434" s="218"/>
      <c r="AA434" s="66"/>
      <c r="AE434" s="1405"/>
      <c r="AF434" s="1405"/>
      <c r="AG434" s="1405"/>
      <c r="AH434" s="1405"/>
      <c r="AI434" s="1405"/>
      <c r="AJ434" s="1405"/>
      <c r="AK434" s="1405"/>
      <c r="AL434" s="1405"/>
      <c r="AM434" s="1405"/>
      <c r="AN434" s="1405"/>
      <c r="AO434" s="1405"/>
      <c r="AP434" s="1405"/>
      <c r="AQ434" s="1405"/>
      <c r="AR434" s="1405"/>
      <c r="AS434" s="1405"/>
      <c r="AT434" s="1405"/>
      <c r="AU434" s="1405"/>
      <c r="AV434" s="1405"/>
    </row>
    <row r="435" spans="1:48" s="331" customFormat="1" ht="15" customHeight="1">
      <c r="A435" s="141"/>
      <c r="B435" s="1850" t="s">
        <v>2397</v>
      </c>
      <c r="C435" s="1855"/>
      <c r="D435" s="817"/>
      <c r="E435" s="817"/>
      <c r="F435" s="817"/>
      <c r="G435" s="1780">
        <v>0.73599999999999999</v>
      </c>
      <c r="H435" s="1781">
        <v>478.4</v>
      </c>
      <c r="I435" s="281"/>
      <c r="L435" s="103"/>
      <c r="M435" s="103"/>
      <c r="N435" s="103"/>
      <c r="O435" s="42"/>
      <c r="P435" s="42"/>
      <c r="Q435" s="42"/>
      <c r="R435" s="42"/>
      <c r="S435" s="42"/>
      <c r="T435" s="1191"/>
      <c r="U435" s="42"/>
      <c r="V435" s="1191"/>
      <c r="W435" s="93"/>
      <c r="X435" s="1"/>
      <c r="Y435" s="105"/>
      <c r="Z435" s="218"/>
      <c r="AA435" s="66"/>
      <c r="AE435" s="1405"/>
      <c r="AF435" s="1405"/>
      <c r="AG435" s="1405"/>
      <c r="AH435" s="1405"/>
      <c r="AI435" s="1405"/>
      <c r="AJ435" s="1405"/>
      <c r="AK435" s="1405"/>
      <c r="AL435" s="1405"/>
      <c r="AM435" s="1405"/>
      <c r="AN435" s="1405"/>
      <c r="AO435" s="1405"/>
      <c r="AP435" s="1405"/>
      <c r="AQ435" s="1405"/>
      <c r="AR435" s="1405"/>
      <c r="AS435" s="1405"/>
      <c r="AT435" s="1405"/>
      <c r="AU435" s="1405"/>
      <c r="AV435" s="1405"/>
    </row>
    <row r="436" spans="1:48" s="331" customFormat="1" ht="15" customHeight="1">
      <c r="A436" s="141"/>
      <c r="B436" s="1850" t="s">
        <v>2727</v>
      </c>
      <c r="C436" s="1855"/>
      <c r="D436" s="817"/>
      <c r="E436" s="817"/>
      <c r="F436" s="817"/>
      <c r="G436" s="1780">
        <v>1.1040000000000001</v>
      </c>
      <c r="H436" s="1781">
        <v>717.6</v>
      </c>
      <c r="I436" s="281"/>
      <c r="L436" s="103"/>
      <c r="M436" s="103"/>
      <c r="N436" s="103"/>
      <c r="O436" s="42"/>
      <c r="P436" s="42"/>
      <c r="Q436" s="42"/>
      <c r="R436" s="42"/>
      <c r="S436" s="42"/>
      <c r="T436" s="1191"/>
      <c r="U436" s="42"/>
      <c r="V436" s="1191"/>
      <c r="W436" s="93"/>
      <c r="X436" s="1"/>
      <c r="Y436" s="105"/>
      <c r="Z436" s="218"/>
      <c r="AA436" s="66"/>
      <c r="AE436" s="1405"/>
      <c r="AF436" s="1405"/>
      <c r="AG436" s="1405"/>
      <c r="AH436" s="1405"/>
      <c r="AI436" s="1405"/>
      <c r="AJ436" s="1405"/>
      <c r="AK436" s="1405"/>
      <c r="AL436" s="1405"/>
      <c r="AM436" s="1405"/>
      <c r="AN436" s="1405"/>
      <c r="AO436" s="1405"/>
      <c r="AP436" s="1405"/>
      <c r="AQ436" s="1405"/>
      <c r="AR436" s="1405"/>
      <c r="AS436" s="1405"/>
      <c r="AT436" s="1405"/>
      <c r="AU436" s="1405"/>
      <c r="AV436" s="1405"/>
    </row>
    <row r="437" spans="1:48" s="331" customFormat="1" ht="15" customHeight="1">
      <c r="A437" s="141"/>
      <c r="B437" s="1850" t="s">
        <v>2398</v>
      </c>
      <c r="C437" s="1855"/>
      <c r="D437" s="817"/>
      <c r="E437" s="817"/>
      <c r="F437" s="817"/>
      <c r="G437" s="1780">
        <v>1.2954000000000001</v>
      </c>
      <c r="H437" s="1781">
        <v>841.98400000000004</v>
      </c>
      <c r="I437" s="281"/>
      <c r="L437" s="103"/>
      <c r="M437" s="103"/>
      <c r="N437" s="103"/>
      <c r="O437" s="42"/>
      <c r="P437" s="42"/>
      <c r="Q437" s="42"/>
      <c r="R437" s="42"/>
      <c r="S437" s="42"/>
      <c r="T437" s="1191"/>
      <c r="U437" s="42"/>
      <c r="V437" s="1191"/>
      <c r="W437" s="93"/>
      <c r="X437" s="1"/>
      <c r="Y437" s="105"/>
      <c r="Z437" s="218"/>
      <c r="AA437" s="66"/>
      <c r="AE437" s="1405"/>
      <c r="AF437" s="1405"/>
      <c r="AG437" s="1405"/>
      <c r="AH437" s="1405"/>
      <c r="AI437" s="1405"/>
      <c r="AJ437" s="1405"/>
      <c r="AK437" s="1405"/>
      <c r="AL437" s="1405"/>
      <c r="AM437" s="1405"/>
      <c r="AN437" s="1405"/>
      <c r="AO437" s="1405"/>
      <c r="AP437" s="1405"/>
      <c r="AQ437" s="1405"/>
      <c r="AR437" s="1405"/>
      <c r="AS437" s="1405"/>
      <c r="AT437" s="1405"/>
      <c r="AU437" s="1405"/>
      <c r="AV437" s="1405"/>
    </row>
    <row r="438" spans="1:48" s="331" customFormat="1" ht="15" customHeight="1">
      <c r="A438" s="141"/>
      <c r="B438" s="1850" t="s">
        <v>2660</v>
      </c>
      <c r="C438" s="1855"/>
      <c r="D438" s="817"/>
      <c r="E438" s="817"/>
      <c r="F438" s="817"/>
      <c r="G438" s="1780">
        <v>1.9430000000000001</v>
      </c>
      <c r="H438" s="1781">
        <v>1262.9760000000001</v>
      </c>
      <c r="I438" s="281"/>
      <c r="L438" s="103"/>
      <c r="M438" s="103"/>
      <c r="N438" s="103"/>
      <c r="O438" s="42"/>
      <c r="P438" s="42"/>
      <c r="Q438" s="42"/>
      <c r="R438" s="42"/>
      <c r="S438" s="42"/>
      <c r="T438" s="1191"/>
      <c r="U438" s="42"/>
      <c r="V438" s="1191"/>
      <c r="W438" s="93"/>
      <c r="X438" s="1"/>
      <c r="Y438" s="105"/>
      <c r="Z438" s="218"/>
      <c r="AA438" s="66"/>
      <c r="AE438" s="1405"/>
      <c r="AF438" s="1405"/>
      <c r="AG438" s="1405"/>
      <c r="AH438" s="1405"/>
      <c r="AI438" s="1405"/>
      <c r="AJ438" s="1405"/>
      <c r="AK438" s="1405"/>
      <c r="AL438" s="1405"/>
      <c r="AM438" s="1405"/>
      <c r="AN438" s="1405"/>
      <c r="AO438" s="1405"/>
      <c r="AP438" s="1405"/>
      <c r="AQ438" s="1405"/>
      <c r="AR438" s="1405"/>
      <c r="AS438" s="1405"/>
      <c r="AT438" s="1405"/>
      <c r="AU438" s="1405"/>
      <c r="AV438" s="1405"/>
    </row>
    <row r="439" spans="1:48" s="331" customFormat="1" ht="15" customHeight="1">
      <c r="A439" s="141"/>
      <c r="B439" s="817" t="s">
        <v>2379</v>
      </c>
      <c r="C439" s="1855"/>
      <c r="D439" s="817"/>
      <c r="E439" s="817"/>
      <c r="F439" s="817"/>
      <c r="G439" s="1780">
        <v>0.184</v>
      </c>
      <c r="H439" s="1781">
        <v>119.6</v>
      </c>
      <c r="I439" s="281"/>
      <c r="L439" s="103"/>
      <c r="M439" s="103"/>
      <c r="N439" s="103"/>
      <c r="O439" s="42"/>
      <c r="P439" s="42"/>
      <c r="Q439" s="42"/>
      <c r="R439" s="42"/>
      <c r="S439" s="42"/>
      <c r="T439" s="1191"/>
      <c r="U439" s="42"/>
      <c r="V439" s="1191"/>
      <c r="W439" s="93"/>
      <c r="X439" s="1"/>
      <c r="Y439" s="105"/>
      <c r="Z439" s="218"/>
      <c r="AA439" s="66"/>
      <c r="AE439" s="1405"/>
      <c r="AF439" s="1405"/>
      <c r="AG439" s="1405"/>
      <c r="AH439" s="1405"/>
      <c r="AI439" s="1405"/>
      <c r="AJ439" s="1405"/>
      <c r="AK439" s="1405"/>
      <c r="AL439" s="1405"/>
      <c r="AM439" s="1405"/>
      <c r="AN439" s="1405"/>
      <c r="AO439" s="1405"/>
      <c r="AP439" s="1405"/>
      <c r="AQ439" s="1405"/>
      <c r="AR439" s="1405"/>
      <c r="AS439" s="1405"/>
      <c r="AT439" s="1405"/>
      <c r="AU439" s="1405"/>
      <c r="AV439" s="1405"/>
    </row>
    <row r="440" spans="1:48" s="331" customFormat="1" ht="15" customHeight="1">
      <c r="A440" s="141"/>
      <c r="B440" s="817" t="s">
        <v>2380</v>
      </c>
      <c r="C440" s="1855"/>
      <c r="D440" s="817"/>
      <c r="E440" s="817"/>
      <c r="F440" s="817"/>
      <c r="G440" s="1780">
        <v>0.36799999999999999</v>
      </c>
      <c r="H440" s="1781">
        <v>239.2</v>
      </c>
      <c r="I440" s="281"/>
      <c r="L440" s="103"/>
      <c r="M440" s="103"/>
      <c r="N440" s="103"/>
      <c r="O440" s="42"/>
      <c r="P440" s="42"/>
      <c r="Q440" s="42"/>
      <c r="R440" s="42"/>
      <c r="S440" s="42"/>
      <c r="T440" s="1191"/>
      <c r="U440" s="42"/>
      <c r="V440" s="1191"/>
      <c r="W440" s="93"/>
      <c r="X440" s="1"/>
      <c r="Y440" s="105"/>
      <c r="Z440" s="218"/>
      <c r="AA440" s="66"/>
      <c r="AE440" s="1405"/>
      <c r="AF440" s="1405"/>
      <c r="AG440" s="1405"/>
      <c r="AH440" s="1405"/>
      <c r="AI440" s="1405"/>
      <c r="AJ440" s="1405"/>
      <c r="AK440" s="1405"/>
      <c r="AL440" s="1405"/>
      <c r="AM440" s="1405"/>
      <c r="AN440" s="1405"/>
      <c r="AO440" s="1405"/>
      <c r="AP440" s="1405"/>
      <c r="AQ440" s="1405"/>
      <c r="AR440" s="1405"/>
      <c r="AS440" s="1405"/>
      <c r="AT440" s="1405"/>
      <c r="AU440" s="1405"/>
      <c r="AV440" s="1405"/>
    </row>
    <row r="441" spans="1:48" s="331" customFormat="1" ht="15" customHeight="1">
      <c r="A441" s="141"/>
      <c r="B441" s="817" t="s">
        <v>2399</v>
      </c>
      <c r="C441" s="1855"/>
      <c r="D441" s="817"/>
      <c r="E441" s="817"/>
      <c r="F441" s="817"/>
      <c r="G441" s="1780">
        <v>0.73599999999999999</v>
      </c>
      <c r="H441" s="1781">
        <v>478.4</v>
      </c>
      <c r="I441" s="281"/>
      <c r="L441" s="103"/>
      <c r="M441" s="103"/>
      <c r="N441" s="103"/>
      <c r="O441" s="42"/>
      <c r="P441" s="42"/>
      <c r="Q441" s="42"/>
      <c r="R441" s="42"/>
      <c r="S441" s="42"/>
      <c r="T441" s="1191"/>
      <c r="U441" s="42"/>
      <c r="V441" s="1191"/>
      <c r="W441" s="93"/>
      <c r="X441" s="1"/>
      <c r="Y441" s="105"/>
      <c r="Z441" s="218"/>
      <c r="AA441" s="66"/>
      <c r="AE441" s="1405"/>
      <c r="AF441" s="1405"/>
      <c r="AG441" s="1405"/>
      <c r="AH441" s="1405"/>
      <c r="AI441" s="1405"/>
      <c r="AJ441" s="1405"/>
      <c r="AK441" s="1405"/>
      <c r="AL441" s="1405"/>
      <c r="AM441" s="1405"/>
      <c r="AN441" s="1405"/>
      <c r="AO441" s="1405"/>
      <c r="AP441" s="1405"/>
      <c r="AQ441" s="1405"/>
      <c r="AR441" s="1405"/>
      <c r="AS441" s="1405"/>
      <c r="AT441" s="1405"/>
      <c r="AU441" s="1405"/>
      <c r="AV441" s="1405"/>
    </row>
    <row r="442" spans="1:48" s="331" customFormat="1" ht="15" customHeight="1">
      <c r="A442" s="141"/>
      <c r="B442" s="817" t="s">
        <v>2400</v>
      </c>
      <c r="C442" s="1855"/>
      <c r="D442" s="817"/>
      <c r="E442" s="817"/>
      <c r="F442" s="817"/>
      <c r="G442" s="1780">
        <v>1.1040000000000001</v>
      </c>
      <c r="H442" s="1781">
        <v>717.6</v>
      </c>
      <c r="I442" s="281"/>
      <c r="L442" s="103"/>
      <c r="M442" s="103"/>
      <c r="N442" s="103"/>
      <c r="O442" s="42"/>
      <c r="P442" s="42"/>
      <c r="Q442" s="42"/>
      <c r="R442" s="42"/>
      <c r="S442" s="42"/>
      <c r="T442" s="1191"/>
      <c r="U442" s="42"/>
      <c r="V442" s="1191"/>
      <c r="W442" s="93"/>
      <c r="X442" s="1"/>
      <c r="Y442" s="105"/>
      <c r="Z442" s="218"/>
      <c r="AA442" s="66"/>
      <c r="AE442" s="1405"/>
      <c r="AF442" s="1405"/>
      <c r="AG442" s="1405"/>
      <c r="AH442" s="1405"/>
      <c r="AI442" s="1405"/>
      <c r="AJ442" s="1405"/>
      <c r="AK442" s="1405"/>
      <c r="AL442" s="1405"/>
      <c r="AM442" s="1405"/>
      <c r="AN442" s="1405"/>
      <c r="AO442" s="1405"/>
      <c r="AP442" s="1405"/>
      <c r="AQ442" s="1405"/>
      <c r="AR442" s="1405"/>
      <c r="AS442" s="1405"/>
      <c r="AT442" s="1405"/>
      <c r="AU442" s="1405"/>
      <c r="AV442" s="1405"/>
    </row>
    <row r="443" spans="1:48" s="331" customFormat="1" ht="15" customHeight="1">
      <c r="A443" s="141"/>
      <c r="B443" s="817" t="s">
        <v>2401</v>
      </c>
      <c r="C443" s="1855"/>
      <c r="D443" s="817"/>
      <c r="E443" s="817"/>
      <c r="F443" s="817"/>
      <c r="G443" s="1780">
        <v>1.2954000000000001</v>
      </c>
      <c r="H443" s="1781">
        <v>841.98400000000004</v>
      </c>
      <c r="I443" s="281"/>
      <c r="L443" s="103"/>
      <c r="M443" s="103"/>
      <c r="N443" s="103"/>
      <c r="O443" s="42"/>
      <c r="P443" s="42"/>
      <c r="Q443" s="42"/>
      <c r="R443" s="42"/>
      <c r="S443" s="42"/>
      <c r="T443" s="1191"/>
      <c r="U443" s="42"/>
      <c r="V443" s="1191"/>
      <c r="W443" s="93"/>
      <c r="X443" s="1"/>
      <c r="Y443" s="105"/>
      <c r="Z443" s="218"/>
      <c r="AA443" s="66"/>
      <c r="AE443" s="1405"/>
      <c r="AF443" s="1405"/>
      <c r="AG443" s="1405"/>
      <c r="AH443" s="1405"/>
      <c r="AI443" s="1405"/>
      <c r="AJ443" s="1405"/>
      <c r="AK443" s="1405"/>
      <c r="AL443" s="1405"/>
      <c r="AM443" s="1405"/>
      <c r="AN443" s="1405"/>
      <c r="AO443" s="1405"/>
      <c r="AP443" s="1405"/>
      <c r="AQ443" s="1405"/>
      <c r="AR443" s="1405"/>
      <c r="AS443" s="1405"/>
      <c r="AT443" s="1405"/>
      <c r="AU443" s="1405"/>
      <c r="AV443" s="1405"/>
    </row>
    <row r="444" spans="1:48" s="331" customFormat="1" ht="15" customHeight="1">
      <c r="A444" s="141"/>
      <c r="B444" s="817" t="s">
        <v>2402</v>
      </c>
      <c r="C444" s="1855"/>
      <c r="D444" s="817"/>
      <c r="E444" s="817"/>
      <c r="F444" s="817"/>
      <c r="G444" s="1780">
        <v>1.9430000000000001</v>
      </c>
      <c r="H444" s="1781">
        <v>1262.9760000000001</v>
      </c>
      <c r="I444" s="281"/>
      <c r="L444" s="103"/>
      <c r="M444" s="103"/>
      <c r="N444" s="103"/>
      <c r="O444" s="42"/>
      <c r="P444" s="42"/>
      <c r="Q444" s="42"/>
      <c r="R444" s="42"/>
      <c r="S444" s="42"/>
      <c r="T444" s="1191"/>
      <c r="U444" s="42"/>
      <c r="V444" s="1191"/>
      <c r="W444" s="93"/>
      <c r="X444" s="1"/>
      <c r="Y444" s="105"/>
      <c r="Z444" s="218"/>
      <c r="AA444" s="66"/>
      <c r="AE444" s="1405"/>
      <c r="AF444" s="1405"/>
      <c r="AG444" s="1405"/>
      <c r="AH444" s="1405"/>
      <c r="AI444" s="1405"/>
      <c r="AJ444" s="1405"/>
      <c r="AK444" s="1405"/>
      <c r="AL444" s="1405"/>
      <c r="AM444" s="1405"/>
      <c r="AN444" s="1405"/>
      <c r="AO444" s="1405"/>
      <c r="AP444" s="1405"/>
      <c r="AQ444" s="1405"/>
      <c r="AR444" s="1405"/>
      <c r="AS444" s="1405"/>
      <c r="AT444" s="1405"/>
      <c r="AU444" s="1405"/>
      <c r="AV444" s="1405"/>
    </row>
    <row r="445" spans="1:48" s="331" customFormat="1" ht="15" customHeight="1">
      <c r="A445" s="141"/>
      <c r="B445" s="817" t="s">
        <v>2403</v>
      </c>
      <c r="C445" s="1855"/>
      <c r="D445" s="817"/>
      <c r="E445" s="817"/>
      <c r="F445" s="817"/>
      <c r="G445" s="1780">
        <v>2.2669000000000001</v>
      </c>
      <c r="H445" s="1781">
        <v>1473.472</v>
      </c>
      <c r="I445" s="281"/>
      <c r="L445" s="103"/>
      <c r="M445" s="103"/>
      <c r="N445" s="103"/>
      <c r="O445" s="42"/>
      <c r="P445" s="42"/>
      <c r="Q445" s="42"/>
      <c r="R445" s="42"/>
      <c r="S445" s="42"/>
      <c r="T445" s="1191"/>
      <c r="U445" s="42"/>
      <c r="V445" s="1191"/>
      <c r="W445" s="93"/>
      <c r="X445" s="1"/>
      <c r="Y445" s="105"/>
      <c r="Z445" s="218"/>
      <c r="AA445" s="66"/>
      <c r="AE445" s="1405"/>
      <c r="AF445" s="1405"/>
      <c r="AG445" s="1405"/>
      <c r="AH445" s="1405"/>
      <c r="AI445" s="1405"/>
      <c r="AJ445" s="1405"/>
      <c r="AK445" s="1405"/>
      <c r="AL445" s="1405"/>
      <c r="AM445" s="1405"/>
      <c r="AN445" s="1405"/>
      <c r="AO445" s="1405"/>
      <c r="AP445" s="1405"/>
      <c r="AQ445" s="1405"/>
      <c r="AR445" s="1405"/>
      <c r="AS445" s="1405"/>
      <c r="AT445" s="1405"/>
      <c r="AU445" s="1405"/>
      <c r="AV445" s="1405"/>
    </row>
    <row r="446" spans="1:48" s="1489" customFormat="1">
      <c r="B446" s="817" t="s">
        <v>2661</v>
      </c>
      <c r="C446" s="1855"/>
      <c r="D446" s="817"/>
      <c r="E446" s="817"/>
      <c r="F446" s="817"/>
      <c r="G446" s="1780">
        <v>0.184</v>
      </c>
      <c r="H446" s="1781">
        <v>119.6</v>
      </c>
    </row>
    <row r="447" spans="1:48" s="1489" customFormat="1">
      <c r="B447" s="817" t="s">
        <v>2662</v>
      </c>
      <c r="C447" s="1855"/>
      <c r="D447" s="817"/>
      <c r="E447" s="817"/>
      <c r="F447" s="817"/>
      <c r="G447" s="1780">
        <v>0.36799999999999999</v>
      </c>
      <c r="H447" s="1781">
        <v>239.2</v>
      </c>
    </row>
    <row r="448" spans="1:48" s="1489" customFormat="1">
      <c r="B448" s="817" t="s">
        <v>2663</v>
      </c>
      <c r="C448" s="1855"/>
      <c r="D448" s="817"/>
      <c r="E448" s="817"/>
      <c r="F448" s="817"/>
      <c r="G448" s="1780">
        <v>0.73599999999999999</v>
      </c>
      <c r="H448" s="1781">
        <v>478.4</v>
      </c>
    </row>
    <row r="449" spans="1:48" s="1489" customFormat="1">
      <c r="B449" s="817" t="s">
        <v>2664</v>
      </c>
      <c r="C449" s="1855"/>
      <c r="D449" s="817"/>
      <c r="E449" s="817"/>
      <c r="F449" s="817"/>
      <c r="G449" s="1780">
        <v>1.1040000000000001</v>
      </c>
      <c r="H449" s="1781">
        <v>717.6</v>
      </c>
      <c r="I449" s="174"/>
      <c r="N449" s="1685"/>
      <c r="O449" s="1686"/>
    </row>
    <row r="450" spans="1:48" s="1489" customFormat="1">
      <c r="B450" s="817" t="s">
        <v>2665</v>
      </c>
      <c r="C450" s="1855"/>
      <c r="D450" s="817"/>
      <c r="E450" s="817"/>
      <c r="F450" s="817"/>
      <c r="G450" s="1780">
        <v>1.2954000000000001</v>
      </c>
      <c r="H450" s="1781">
        <v>841.98400000000004</v>
      </c>
      <c r="I450" s="174"/>
      <c r="L450" s="1465"/>
      <c r="M450" s="1686"/>
      <c r="N450" s="1686"/>
      <c r="O450" s="1686"/>
    </row>
    <row r="451" spans="1:48" s="1489" customFormat="1">
      <c r="B451" s="817" t="s">
        <v>2666</v>
      </c>
      <c r="C451" s="1855"/>
      <c r="D451" s="817"/>
      <c r="E451" s="817"/>
      <c r="F451" s="817"/>
      <c r="G451" s="1780">
        <v>1.9430000000000001</v>
      </c>
      <c r="H451" s="1781">
        <v>1262.9760000000001</v>
      </c>
      <c r="I451" s="174"/>
      <c r="M451" s="1686"/>
      <c r="N451" s="1686"/>
      <c r="O451" s="1686"/>
    </row>
    <row r="452" spans="1:48" s="1489" customFormat="1">
      <c r="B452" s="817" t="s">
        <v>2667</v>
      </c>
      <c r="C452" s="1855"/>
      <c r="D452" s="817"/>
      <c r="E452" s="817"/>
      <c r="F452" s="817"/>
      <c r="G452" s="1780">
        <v>2.2669000000000001</v>
      </c>
      <c r="H452" s="1781">
        <v>1473.472</v>
      </c>
      <c r="I452" s="174"/>
      <c r="L452" s="1465"/>
      <c r="M452" s="1686"/>
      <c r="N452" s="1686"/>
      <c r="O452" s="1686"/>
    </row>
    <row r="453" spans="1:48" s="1489" customFormat="1">
      <c r="B453" s="817" t="s">
        <v>2668</v>
      </c>
      <c r="C453" s="1855"/>
      <c r="D453" s="817"/>
      <c r="E453" s="817"/>
      <c r="F453" s="817"/>
      <c r="G453" s="1780">
        <v>2.5502625000000001</v>
      </c>
      <c r="H453" s="1781">
        <v>1657.670625</v>
      </c>
      <c r="I453" s="174"/>
      <c r="M453" s="1686"/>
      <c r="N453" s="1686"/>
      <c r="O453" s="1686"/>
    </row>
    <row r="454" spans="1:48" s="331" customFormat="1" ht="15" customHeight="1">
      <c r="A454" s="141"/>
      <c r="B454" s="817" t="s">
        <v>2680</v>
      </c>
      <c r="C454" s="1855"/>
      <c r="D454" s="817"/>
      <c r="E454" s="817"/>
      <c r="F454" s="817"/>
      <c r="G454" s="1780">
        <v>0.184</v>
      </c>
      <c r="H454" s="1781">
        <v>119.6</v>
      </c>
      <c r="I454" s="281"/>
      <c r="L454" s="103"/>
      <c r="M454" s="103"/>
      <c r="N454" s="103"/>
      <c r="O454" s="42"/>
      <c r="P454" s="42"/>
      <c r="Q454" s="42"/>
      <c r="R454" s="42"/>
      <c r="S454" s="42"/>
      <c r="T454" s="1191"/>
      <c r="U454" s="42"/>
      <c r="V454" s="1191"/>
      <c r="W454" s="93"/>
      <c r="X454" s="1"/>
      <c r="Y454" s="105"/>
      <c r="Z454" s="218"/>
      <c r="AA454" s="66"/>
      <c r="AE454" s="1405"/>
      <c r="AF454" s="1405"/>
      <c r="AG454" s="1405"/>
      <c r="AH454" s="1405"/>
      <c r="AI454" s="1405"/>
      <c r="AJ454" s="1405"/>
      <c r="AK454" s="1405"/>
      <c r="AL454" s="1405"/>
      <c r="AM454" s="1405"/>
      <c r="AN454" s="1405"/>
      <c r="AO454" s="1405"/>
      <c r="AP454" s="1405"/>
      <c r="AQ454" s="1405"/>
      <c r="AR454" s="1405"/>
      <c r="AS454" s="1405"/>
      <c r="AT454" s="1405"/>
      <c r="AU454" s="1405"/>
      <c r="AV454" s="1405"/>
    </row>
    <row r="455" spans="1:48" s="331" customFormat="1" ht="15" customHeight="1">
      <c r="A455" s="141"/>
      <c r="B455" s="817" t="s">
        <v>2681</v>
      </c>
      <c r="C455" s="1855"/>
      <c r="D455" s="817"/>
      <c r="E455" s="817"/>
      <c r="F455" s="817"/>
      <c r="G455" s="1780">
        <v>0.36799999999999999</v>
      </c>
      <c r="H455" s="1781">
        <v>239.2</v>
      </c>
      <c r="I455" s="281"/>
      <c r="L455" s="103"/>
      <c r="M455" s="103"/>
      <c r="N455" s="103"/>
      <c r="O455" s="42"/>
      <c r="P455" s="42"/>
      <c r="Q455" s="42"/>
      <c r="R455" s="42"/>
      <c r="S455" s="42"/>
      <c r="T455" s="1191"/>
      <c r="U455" s="42"/>
      <c r="V455" s="1191"/>
      <c r="W455" s="93"/>
      <c r="X455" s="1"/>
      <c r="Y455" s="105"/>
      <c r="Z455" s="218"/>
      <c r="AA455" s="66"/>
      <c r="AE455" s="1405"/>
      <c r="AF455" s="1405"/>
      <c r="AG455" s="1405"/>
      <c r="AH455" s="1405"/>
      <c r="AI455" s="1405"/>
      <c r="AJ455" s="1405"/>
      <c r="AK455" s="1405"/>
      <c r="AL455" s="1405"/>
      <c r="AM455" s="1405"/>
      <c r="AN455" s="1405"/>
      <c r="AO455" s="1405"/>
      <c r="AP455" s="1405"/>
      <c r="AQ455" s="1405"/>
      <c r="AR455" s="1405"/>
      <c r="AS455" s="1405"/>
      <c r="AT455" s="1405"/>
      <c r="AU455" s="1405"/>
      <c r="AV455" s="1405"/>
    </row>
    <row r="456" spans="1:48" s="331" customFormat="1" ht="15" customHeight="1">
      <c r="A456" s="141"/>
      <c r="B456" s="817" t="s">
        <v>2682</v>
      </c>
      <c r="C456" s="1855"/>
      <c r="D456" s="817"/>
      <c r="E456" s="817"/>
      <c r="F456" s="817"/>
      <c r="G456" s="1780">
        <v>0.73599999999999999</v>
      </c>
      <c r="H456" s="1781">
        <v>478.4</v>
      </c>
      <c r="I456" s="281"/>
      <c r="L456" s="103"/>
      <c r="M456" s="103"/>
      <c r="N456" s="103"/>
      <c r="O456" s="42"/>
      <c r="P456" s="42"/>
      <c r="Q456" s="42"/>
      <c r="R456" s="42"/>
      <c r="S456" s="42"/>
      <c r="T456" s="1191"/>
      <c r="U456" s="42"/>
      <c r="V456" s="1191"/>
      <c r="W456" s="93"/>
      <c r="X456" s="1"/>
      <c r="Y456" s="105"/>
      <c r="Z456" s="218"/>
      <c r="AA456" s="66"/>
      <c r="AE456" s="1405"/>
      <c r="AF456" s="1405"/>
      <c r="AG456" s="1405"/>
      <c r="AH456" s="1405"/>
      <c r="AI456" s="1405"/>
      <c r="AJ456" s="1405"/>
      <c r="AK456" s="1405"/>
      <c r="AL456" s="1405"/>
      <c r="AM456" s="1405"/>
      <c r="AN456" s="1405"/>
      <c r="AO456" s="1405"/>
      <c r="AP456" s="1405"/>
      <c r="AQ456" s="1405"/>
      <c r="AR456" s="1405"/>
      <c r="AS456" s="1405"/>
      <c r="AT456" s="1405"/>
      <c r="AU456" s="1405"/>
      <c r="AV456" s="1405"/>
    </row>
    <row r="457" spans="1:48" s="593" customFormat="1" ht="15" customHeight="1">
      <c r="A457" s="679"/>
      <c r="B457" s="817" t="s">
        <v>2683</v>
      </c>
      <c r="C457" s="1855"/>
      <c r="D457" s="817"/>
      <c r="E457" s="817"/>
      <c r="F457" s="817"/>
      <c r="G457" s="1780">
        <v>0.36799999999999999</v>
      </c>
      <c r="H457" s="1781">
        <v>239.2</v>
      </c>
      <c r="I457" s="769"/>
      <c r="L457" s="549"/>
      <c r="M457" s="549"/>
      <c r="N457" s="549"/>
      <c r="O457" s="305"/>
      <c r="P457" s="305"/>
      <c r="Q457" s="305"/>
      <c r="R457" s="305"/>
      <c r="S457" s="305"/>
      <c r="T457" s="305"/>
      <c r="U457" s="305"/>
      <c r="V457" s="305"/>
      <c r="W457" s="699"/>
      <c r="X457" s="731"/>
      <c r="Y457" s="770"/>
      <c r="Z457" s="730"/>
      <c r="AA457" s="678"/>
      <c r="AE457" s="1405"/>
      <c r="AF457" s="1405"/>
      <c r="AG457" s="1405"/>
      <c r="AH457" s="1405"/>
      <c r="AI457" s="1405"/>
      <c r="AJ457" s="1405"/>
      <c r="AK457" s="1405"/>
      <c r="AL457" s="1405"/>
      <c r="AM457" s="1405"/>
      <c r="AN457" s="1405"/>
      <c r="AO457" s="1405"/>
      <c r="AP457" s="1405"/>
      <c r="AQ457" s="1405"/>
      <c r="AR457" s="1405"/>
      <c r="AS457" s="1405"/>
      <c r="AT457" s="1405"/>
      <c r="AU457" s="1405"/>
      <c r="AV457" s="1405"/>
    </row>
    <row r="458" spans="1:48" s="1486" customFormat="1" ht="15" customHeight="1">
      <c r="A458" s="679"/>
      <c r="B458" s="817" t="s">
        <v>2700</v>
      </c>
      <c r="C458" s="817"/>
      <c r="D458" s="817"/>
      <c r="E458" s="817"/>
      <c r="F458" s="817"/>
      <c r="G458" s="1780">
        <v>0.184</v>
      </c>
      <c r="H458" s="1781">
        <v>119.6</v>
      </c>
      <c r="I458" s="769"/>
      <c r="L458" s="549"/>
      <c r="M458" s="549"/>
      <c r="N458" s="549"/>
      <c r="O458" s="305"/>
      <c r="P458" s="305"/>
      <c r="Q458" s="305"/>
      <c r="R458" s="305"/>
      <c r="S458" s="305"/>
      <c r="T458" s="305"/>
      <c r="U458" s="305"/>
      <c r="V458" s="305"/>
      <c r="W458" s="699"/>
      <c r="X458" s="731"/>
      <c r="Y458" s="770"/>
      <c r="Z458" s="730"/>
      <c r="AA458" s="678"/>
      <c r="AE458" s="1489"/>
      <c r="AF458" s="1489"/>
      <c r="AG458" s="1489"/>
      <c r="AH458" s="1489"/>
      <c r="AI458" s="1489"/>
      <c r="AJ458" s="1489"/>
      <c r="AK458" s="1489"/>
      <c r="AL458" s="1489"/>
      <c r="AM458" s="1489"/>
      <c r="AN458" s="1489"/>
      <c r="AO458" s="1489"/>
      <c r="AP458" s="1489"/>
      <c r="AQ458" s="1489"/>
      <c r="AR458" s="1489"/>
      <c r="AS458" s="1489"/>
      <c r="AT458" s="1489"/>
      <c r="AU458" s="1489"/>
      <c r="AV458" s="1489"/>
    </row>
    <row r="459" spans="1:48" s="1486" customFormat="1" ht="15" customHeight="1">
      <c r="A459" s="679"/>
      <c r="B459" s="817" t="s">
        <v>2701</v>
      </c>
      <c r="C459" s="817"/>
      <c r="D459" s="817"/>
      <c r="E459" s="817"/>
      <c r="F459" s="817"/>
      <c r="G459" s="1780">
        <v>0.73599999999999999</v>
      </c>
      <c r="H459" s="1781">
        <v>478.4</v>
      </c>
      <c r="I459" s="769"/>
      <c r="L459" s="549"/>
      <c r="M459" s="549"/>
      <c r="N459" s="549"/>
      <c r="O459" s="305"/>
      <c r="P459" s="305"/>
      <c r="Q459" s="305"/>
      <c r="R459" s="305"/>
      <c r="S459" s="305"/>
      <c r="T459" s="305"/>
      <c r="U459" s="305"/>
      <c r="V459" s="305"/>
      <c r="W459" s="699"/>
      <c r="X459" s="731"/>
      <c r="Y459" s="770"/>
      <c r="Z459" s="730"/>
      <c r="AA459" s="678"/>
      <c r="AE459" s="1489"/>
      <c r="AF459" s="1489"/>
      <c r="AG459" s="1489"/>
      <c r="AH459" s="1489"/>
      <c r="AI459" s="1489"/>
      <c r="AJ459" s="1489"/>
      <c r="AK459" s="1489"/>
      <c r="AL459" s="1489"/>
      <c r="AM459" s="1489"/>
      <c r="AN459" s="1489"/>
      <c r="AO459" s="1489"/>
      <c r="AP459" s="1489"/>
      <c r="AQ459" s="1489"/>
      <c r="AR459" s="1489"/>
      <c r="AS459" s="1489"/>
      <c r="AT459" s="1489"/>
      <c r="AU459" s="1489"/>
      <c r="AV459" s="1489"/>
    </row>
    <row r="460" spans="1:48" s="1486" customFormat="1" ht="15" customHeight="1">
      <c r="A460" s="679"/>
      <c r="B460" s="817" t="s">
        <v>2702</v>
      </c>
      <c r="C460" s="817"/>
      <c r="D460" s="817"/>
      <c r="E460" s="817"/>
      <c r="F460" s="817"/>
      <c r="G460" s="1780">
        <v>1.1040000000000001</v>
      </c>
      <c r="H460" s="1781">
        <v>717.6</v>
      </c>
      <c r="I460" s="769"/>
      <c r="L460" s="549"/>
      <c r="M460" s="549"/>
      <c r="N460" s="549"/>
      <c r="O460" s="305"/>
      <c r="P460" s="305"/>
      <c r="Q460" s="305"/>
      <c r="R460" s="305"/>
      <c r="S460" s="305"/>
      <c r="T460" s="305"/>
      <c r="U460" s="305"/>
      <c r="V460" s="305"/>
      <c r="W460" s="699"/>
      <c r="X460" s="731"/>
      <c r="Y460" s="770"/>
      <c r="Z460" s="730"/>
      <c r="AA460" s="678"/>
      <c r="AE460" s="1489"/>
      <c r="AF460" s="1489"/>
      <c r="AG460" s="1489"/>
      <c r="AH460" s="1489"/>
      <c r="AI460" s="1489"/>
      <c r="AJ460" s="1489"/>
      <c r="AK460" s="1489"/>
      <c r="AL460" s="1489"/>
      <c r="AM460" s="1489"/>
      <c r="AN460" s="1489"/>
      <c r="AO460" s="1489"/>
      <c r="AP460" s="1489"/>
      <c r="AQ460" s="1489"/>
      <c r="AR460" s="1489"/>
      <c r="AS460" s="1489"/>
      <c r="AT460" s="1489"/>
      <c r="AU460" s="1489"/>
      <c r="AV460" s="1489"/>
    </row>
    <row r="461" spans="1:48" s="1486" customFormat="1" ht="15" customHeight="1">
      <c r="A461" s="679"/>
      <c r="B461" s="817" t="s">
        <v>2703</v>
      </c>
      <c r="C461" s="817"/>
      <c r="D461" s="817"/>
      <c r="E461" s="817"/>
      <c r="F461" s="817"/>
      <c r="G461" s="1782">
        <v>1.4573250000000002</v>
      </c>
      <c r="H461" s="1782">
        <v>947.26125000000013</v>
      </c>
      <c r="I461" s="769"/>
      <c r="L461" s="549"/>
      <c r="M461" s="549"/>
      <c r="N461" s="549"/>
      <c r="O461" s="305"/>
      <c r="P461" s="305"/>
      <c r="Q461" s="305"/>
      <c r="R461" s="305"/>
      <c r="S461" s="305"/>
      <c r="T461" s="305"/>
      <c r="U461" s="305"/>
      <c r="V461" s="305"/>
      <c r="W461" s="699"/>
      <c r="X461" s="731"/>
      <c r="Y461" s="770"/>
      <c r="Z461" s="730"/>
      <c r="AA461" s="678"/>
      <c r="AE461" s="1489"/>
      <c r="AF461" s="1489"/>
      <c r="AG461" s="1489"/>
      <c r="AH461" s="1489"/>
      <c r="AI461" s="1489"/>
      <c r="AJ461" s="1489"/>
      <c r="AK461" s="1489"/>
      <c r="AL461" s="1489"/>
      <c r="AM461" s="1489"/>
      <c r="AN461" s="1489"/>
      <c r="AO461" s="1489"/>
      <c r="AP461" s="1489"/>
      <c r="AQ461" s="1489"/>
      <c r="AR461" s="1489"/>
      <c r="AS461" s="1489"/>
      <c r="AT461" s="1489"/>
      <c r="AU461" s="1489"/>
      <c r="AV461" s="1489"/>
    </row>
    <row r="462" spans="1:48" s="1486" customFormat="1" ht="15" customHeight="1">
      <c r="A462" s="679"/>
      <c r="B462" s="817" t="s">
        <v>2704</v>
      </c>
      <c r="C462" s="817"/>
      <c r="D462" s="817"/>
      <c r="E462" s="817"/>
      <c r="F462" s="817"/>
      <c r="G462" s="1780">
        <v>2.9144999999999999</v>
      </c>
      <c r="H462" s="1781">
        <v>1657.670625</v>
      </c>
      <c r="I462" s="769"/>
      <c r="L462" s="549"/>
      <c r="M462" s="549"/>
      <c r="N462" s="549"/>
      <c r="O462" s="305"/>
      <c r="P462" s="305"/>
      <c r="Q462" s="305"/>
      <c r="R462" s="305"/>
      <c r="S462" s="305"/>
      <c r="T462" s="305"/>
      <c r="U462" s="305"/>
      <c r="V462" s="305"/>
      <c r="W462" s="699"/>
      <c r="X462" s="731"/>
      <c r="Y462" s="770"/>
      <c r="Z462" s="730"/>
      <c r="AA462" s="678"/>
      <c r="AE462" s="1489"/>
      <c r="AF462" s="1489"/>
      <c r="AG462" s="1489"/>
      <c r="AH462" s="1489"/>
      <c r="AI462" s="1489"/>
      <c r="AJ462" s="1489"/>
      <c r="AK462" s="1489"/>
      <c r="AL462" s="1489"/>
      <c r="AM462" s="1489"/>
      <c r="AN462" s="1489"/>
      <c r="AO462" s="1489"/>
      <c r="AP462" s="1489"/>
      <c r="AQ462" s="1489"/>
      <c r="AR462" s="1489"/>
      <c r="AS462" s="1489"/>
      <c r="AT462" s="1489"/>
      <c r="AU462" s="1489"/>
      <c r="AV462" s="1489"/>
    </row>
    <row r="463" spans="1:48" s="331" customFormat="1" ht="15" customHeight="1">
      <c r="A463" s="141"/>
      <c r="B463" s="817" t="s">
        <v>2677</v>
      </c>
      <c r="C463" s="817"/>
      <c r="D463" s="817"/>
      <c r="E463" s="817"/>
      <c r="F463" s="817"/>
      <c r="G463" s="1780">
        <v>0.36799999999999999</v>
      </c>
      <c r="H463" s="1781">
        <v>239.2</v>
      </c>
      <c r="I463" s="281"/>
      <c r="L463" s="103"/>
      <c r="M463" s="103"/>
      <c r="N463" s="103"/>
      <c r="O463" s="42"/>
      <c r="P463" s="42"/>
      <c r="Q463" s="42"/>
      <c r="R463" s="42"/>
      <c r="S463" s="42"/>
      <c r="T463" s="1191"/>
      <c r="U463" s="42"/>
      <c r="V463" s="1191"/>
      <c r="W463" s="93"/>
      <c r="X463" s="1"/>
      <c r="Y463" s="105"/>
      <c r="Z463" s="218"/>
      <c r="AA463" s="66"/>
      <c r="AE463" s="1405"/>
      <c r="AF463" s="1405"/>
      <c r="AG463" s="1405"/>
      <c r="AH463" s="1405"/>
      <c r="AI463" s="1405"/>
      <c r="AJ463" s="1405"/>
      <c r="AK463" s="1405"/>
      <c r="AL463" s="1405"/>
      <c r="AM463" s="1405"/>
      <c r="AN463" s="1405"/>
      <c r="AO463" s="1405"/>
      <c r="AP463" s="1405"/>
      <c r="AQ463" s="1405"/>
      <c r="AR463" s="1405"/>
      <c r="AS463" s="1405"/>
      <c r="AT463" s="1405"/>
      <c r="AU463" s="1405"/>
      <c r="AV463" s="1405"/>
    </row>
    <row r="464" spans="1:48" s="331" customFormat="1" ht="15" customHeight="1">
      <c r="A464" s="141"/>
      <c r="B464" s="817" t="s">
        <v>2678</v>
      </c>
      <c r="C464" s="817"/>
      <c r="D464" s="817"/>
      <c r="E464" s="817"/>
      <c r="F464" s="817"/>
      <c r="G464" s="1780">
        <v>0.73599999999999999</v>
      </c>
      <c r="H464" s="1781">
        <v>478.4</v>
      </c>
      <c r="I464" s="281"/>
      <c r="L464" s="103"/>
      <c r="M464" s="103"/>
      <c r="N464" s="103"/>
      <c r="O464" s="42"/>
      <c r="P464" s="42"/>
      <c r="Q464" s="42"/>
      <c r="R464" s="42"/>
      <c r="S464" s="42"/>
      <c r="T464" s="1191"/>
      <c r="U464" s="42"/>
      <c r="V464" s="1191"/>
      <c r="W464" s="93"/>
      <c r="X464" s="1"/>
      <c r="Y464" s="105"/>
      <c r="Z464" s="218"/>
      <c r="AA464" s="66"/>
      <c r="AE464" s="1405"/>
      <c r="AF464" s="1405"/>
      <c r="AG464" s="1405"/>
      <c r="AH464" s="1405"/>
      <c r="AI464" s="1405"/>
      <c r="AJ464" s="1405"/>
      <c r="AK464" s="1405"/>
      <c r="AL464" s="1405"/>
      <c r="AM464" s="1405"/>
      <c r="AN464" s="1405"/>
      <c r="AO464" s="1405"/>
      <c r="AP464" s="1405"/>
      <c r="AQ464" s="1405"/>
      <c r="AR464" s="1405"/>
      <c r="AS464" s="1405"/>
      <c r="AT464" s="1405"/>
      <c r="AU464" s="1405"/>
      <c r="AV464" s="1405"/>
    </row>
    <row r="465" spans="1:48" s="331" customFormat="1" ht="15" customHeight="1">
      <c r="A465" s="141"/>
      <c r="B465" s="817" t="s">
        <v>2679</v>
      </c>
      <c r="C465" s="817"/>
      <c r="D465" s="817"/>
      <c r="E465" s="817"/>
      <c r="F465" s="817"/>
      <c r="G465" s="1780">
        <v>1.2954000000000001</v>
      </c>
      <c r="H465" s="1781">
        <v>841.98400000000004</v>
      </c>
      <c r="I465" s="281"/>
      <c r="L465" s="103"/>
      <c r="M465" s="103"/>
      <c r="N465" s="103"/>
      <c r="O465" s="42"/>
      <c r="P465" s="42"/>
      <c r="Q465" s="42"/>
      <c r="R465" s="42"/>
      <c r="S465" s="42"/>
      <c r="T465" s="1191"/>
      <c r="U465" s="42"/>
      <c r="V465" s="1191"/>
      <c r="W465" s="93"/>
      <c r="X465" s="1"/>
      <c r="Y465" s="105"/>
      <c r="Z465" s="218"/>
      <c r="AA465" s="66"/>
      <c r="AE465" s="1405"/>
      <c r="AF465" s="1405"/>
      <c r="AG465" s="1405"/>
      <c r="AH465" s="1405"/>
      <c r="AI465" s="1405"/>
      <c r="AJ465" s="1405"/>
      <c r="AK465" s="1405"/>
      <c r="AL465" s="1405"/>
      <c r="AM465" s="1405"/>
      <c r="AN465" s="1405"/>
      <c r="AO465" s="1405"/>
      <c r="AP465" s="1405"/>
      <c r="AQ465" s="1405"/>
      <c r="AR465" s="1405"/>
      <c r="AS465" s="1405"/>
      <c r="AT465" s="1405"/>
      <c r="AU465" s="1405"/>
      <c r="AV465" s="1405"/>
    </row>
    <row r="466" spans="1:48" s="331" customFormat="1" ht="15" customHeight="1">
      <c r="A466" s="141"/>
      <c r="B466" s="817" t="s">
        <v>2670</v>
      </c>
      <c r="C466" s="817"/>
      <c r="D466" s="817"/>
      <c r="E466" s="817"/>
      <c r="F466" s="817"/>
      <c r="G466" s="1780">
        <v>0.36799999999999999</v>
      </c>
      <c r="H466" s="1781">
        <v>239.2</v>
      </c>
      <c r="I466" s="281"/>
      <c r="L466" s="103"/>
      <c r="M466" s="103"/>
      <c r="N466" s="103"/>
      <c r="O466" s="42"/>
      <c r="P466" s="42"/>
      <c r="Q466" s="42"/>
      <c r="R466" s="42"/>
      <c r="S466" s="42"/>
      <c r="T466" s="1191"/>
      <c r="U466" s="42"/>
      <c r="V466" s="1191"/>
      <c r="W466" s="93"/>
      <c r="X466" s="1"/>
      <c r="Y466" s="105"/>
      <c r="Z466" s="218"/>
      <c r="AA466" s="66"/>
      <c r="AE466" s="1405"/>
      <c r="AF466" s="1405"/>
      <c r="AG466" s="1405"/>
      <c r="AH466" s="1405"/>
      <c r="AI466" s="1405"/>
      <c r="AJ466" s="1405"/>
      <c r="AK466" s="1405"/>
      <c r="AL466" s="1405"/>
      <c r="AM466" s="1405"/>
      <c r="AN466" s="1405"/>
      <c r="AO466" s="1405"/>
      <c r="AP466" s="1405"/>
      <c r="AQ466" s="1405"/>
      <c r="AR466" s="1405"/>
      <c r="AS466" s="1405"/>
      <c r="AT466" s="1405"/>
      <c r="AU466" s="1405"/>
      <c r="AV466" s="1405"/>
    </row>
    <row r="467" spans="1:48" s="331" customFormat="1" ht="15" customHeight="1">
      <c r="A467" s="141"/>
      <c r="B467" s="817" t="s">
        <v>2671</v>
      </c>
      <c r="C467" s="817"/>
      <c r="D467" s="817"/>
      <c r="E467" s="817"/>
      <c r="F467" s="817"/>
      <c r="G467" s="1780">
        <v>0.73599999999999999</v>
      </c>
      <c r="H467" s="1781">
        <v>478.4</v>
      </c>
      <c r="I467" s="281"/>
      <c r="L467" s="103"/>
      <c r="M467" s="103"/>
      <c r="N467" s="103"/>
      <c r="O467" s="42"/>
      <c r="P467" s="42"/>
      <c r="Q467" s="42"/>
      <c r="R467" s="42"/>
      <c r="S467" s="42"/>
      <c r="T467" s="1191"/>
      <c r="U467" s="42"/>
      <c r="V467" s="1191"/>
      <c r="W467" s="93"/>
      <c r="X467" s="1"/>
      <c r="Y467" s="105"/>
      <c r="Z467" s="218"/>
      <c r="AA467" s="66"/>
    </row>
    <row r="468" spans="1:48" s="331" customFormat="1" ht="15" customHeight="1">
      <c r="A468" s="141"/>
      <c r="B468" s="817" t="s">
        <v>2672</v>
      </c>
      <c r="C468" s="817"/>
      <c r="D468" s="817"/>
      <c r="E468" s="817"/>
      <c r="F468" s="817"/>
      <c r="G468" s="1780">
        <v>1.2954000000000001</v>
      </c>
      <c r="H468" s="1781">
        <v>841.98400000000004</v>
      </c>
      <c r="I468" s="281"/>
      <c r="L468" s="103"/>
      <c r="M468" s="103"/>
      <c r="N468" s="103"/>
      <c r="O468" s="42"/>
      <c r="P468" s="42"/>
      <c r="Q468" s="42"/>
      <c r="R468" s="42"/>
      <c r="S468" s="42"/>
      <c r="T468" s="1191"/>
      <c r="U468" s="42"/>
      <c r="V468" s="1191"/>
      <c r="W468" s="93"/>
      <c r="X468" s="1"/>
      <c r="Y468" s="105"/>
      <c r="Z468" s="218"/>
      <c r="AA468" s="66"/>
    </row>
    <row r="469" spans="1:48" s="331" customFormat="1" ht="15" customHeight="1">
      <c r="A469" s="141"/>
      <c r="B469" s="817" t="s">
        <v>2673</v>
      </c>
      <c r="C469" s="817"/>
      <c r="D469" s="817"/>
      <c r="E469" s="817"/>
      <c r="F469" s="817"/>
      <c r="G469" s="1780">
        <v>2.5907</v>
      </c>
      <c r="H469" s="1781">
        <v>1683.9680000000001</v>
      </c>
      <c r="I469" s="281"/>
      <c r="L469" s="103"/>
      <c r="M469" s="103"/>
      <c r="N469" s="103"/>
      <c r="O469" s="42"/>
      <c r="P469" s="42"/>
      <c r="Q469" s="42"/>
      <c r="R469" s="42"/>
      <c r="S469" s="42"/>
      <c r="T469" s="1191"/>
      <c r="U469" s="42"/>
      <c r="V469" s="1191"/>
      <c r="W469" s="93"/>
      <c r="X469" s="1"/>
      <c r="Y469" s="105"/>
      <c r="Z469" s="218"/>
      <c r="AA469" s="66"/>
    </row>
    <row r="470" spans="1:48" s="331" customFormat="1" ht="15" customHeight="1">
      <c r="A470" s="141"/>
      <c r="B470" s="1850" t="s">
        <v>2639</v>
      </c>
      <c r="C470" s="1855"/>
      <c r="D470" s="817"/>
      <c r="E470" s="817"/>
      <c r="F470" s="817"/>
      <c r="G470" s="1780">
        <v>9.1999999999999998E-2</v>
      </c>
      <c r="H470" s="1781">
        <v>59.8</v>
      </c>
      <c r="I470" s="281"/>
      <c r="L470" s="103"/>
      <c r="M470" s="103"/>
      <c r="N470" s="103"/>
      <c r="O470" s="42"/>
      <c r="P470" s="42"/>
      <c r="Q470" s="42"/>
      <c r="R470" s="42"/>
      <c r="S470" s="42"/>
      <c r="T470" s="1191"/>
      <c r="U470" s="42"/>
      <c r="V470" s="1191"/>
      <c r="W470" s="93"/>
      <c r="X470" s="1"/>
      <c r="Y470" s="105"/>
      <c r="Z470" s="218"/>
      <c r="AA470" s="66"/>
    </row>
    <row r="471" spans="1:48" s="331" customFormat="1" ht="15" customHeight="1">
      <c r="A471" s="141"/>
      <c r="B471" s="1850" t="s">
        <v>2375</v>
      </c>
      <c r="C471" s="1855"/>
      <c r="D471" s="817"/>
      <c r="E471" s="817"/>
      <c r="F471" s="817"/>
      <c r="G471" s="1780">
        <v>0.184</v>
      </c>
      <c r="H471" s="1781">
        <v>119.6</v>
      </c>
      <c r="I471" s="281"/>
      <c r="L471" s="103"/>
      <c r="M471" s="103"/>
      <c r="N471" s="103"/>
      <c r="O471" s="42"/>
      <c r="P471" s="42"/>
      <c r="Q471" s="42"/>
      <c r="R471" s="42"/>
      <c r="S471" s="42"/>
      <c r="T471" s="1191"/>
      <c r="U471" s="42"/>
      <c r="V471" s="1191"/>
      <c r="W471" s="93"/>
      <c r="X471" s="1"/>
      <c r="Y471" s="105"/>
      <c r="Z471" s="218"/>
      <c r="AA471" s="66"/>
    </row>
    <row r="472" spans="1:48" s="331" customFormat="1" ht="15" customHeight="1">
      <c r="A472" s="141"/>
      <c r="B472" s="817" t="s">
        <v>2376</v>
      </c>
      <c r="C472" s="1855"/>
      <c r="D472" s="817"/>
      <c r="E472" s="817"/>
      <c r="F472" s="817"/>
      <c r="G472" s="1780">
        <v>0.36799999999999999</v>
      </c>
      <c r="H472" s="1781">
        <v>239.2</v>
      </c>
      <c r="I472" s="281"/>
      <c r="L472" s="103"/>
      <c r="M472" s="103"/>
      <c r="N472" s="103"/>
      <c r="O472" s="42"/>
      <c r="P472" s="42"/>
      <c r="Q472" s="42"/>
      <c r="R472" s="42"/>
      <c r="S472" s="42"/>
      <c r="T472" s="1191"/>
      <c r="U472" s="42"/>
      <c r="V472" s="1191"/>
      <c r="W472" s="93"/>
      <c r="X472" s="1"/>
      <c r="Y472" s="105"/>
      <c r="Z472" s="218"/>
      <c r="AA472" s="66"/>
    </row>
    <row r="473" spans="1:48" s="331" customFormat="1" ht="15" customHeight="1">
      <c r="A473" s="141"/>
      <c r="B473" s="1850" t="s">
        <v>2377</v>
      </c>
      <c r="C473" s="1855"/>
      <c r="D473" s="817"/>
      <c r="E473" s="817"/>
      <c r="F473" s="817"/>
      <c r="G473" s="1780">
        <v>0.73599999999999999</v>
      </c>
      <c r="H473" s="1781">
        <v>478.4</v>
      </c>
      <c r="I473" s="281"/>
      <c r="L473" s="103"/>
      <c r="M473" s="103"/>
      <c r="N473" s="103"/>
      <c r="O473" s="42"/>
      <c r="P473" s="42"/>
      <c r="Q473" s="42"/>
      <c r="R473" s="42"/>
      <c r="S473" s="42"/>
      <c r="T473" s="1191"/>
      <c r="U473" s="42"/>
      <c r="V473" s="1191"/>
      <c r="W473" s="93"/>
      <c r="X473" s="1"/>
      <c r="Y473" s="105"/>
      <c r="Z473" s="218"/>
      <c r="AA473" s="66"/>
    </row>
    <row r="474" spans="1:48" s="331" customFormat="1" ht="15" customHeight="1">
      <c r="A474" s="141"/>
      <c r="B474" s="1850" t="s">
        <v>2378</v>
      </c>
      <c r="C474" s="1855"/>
      <c r="D474" s="817"/>
      <c r="E474" s="817"/>
      <c r="F474" s="817"/>
      <c r="G474" s="1780">
        <v>1.2954000000000001</v>
      </c>
      <c r="H474" s="1781">
        <v>841.98400000000004</v>
      </c>
      <c r="I474" s="281"/>
      <c r="L474" s="103"/>
      <c r="M474" s="103"/>
      <c r="N474" s="103"/>
      <c r="O474" s="42"/>
      <c r="P474" s="42"/>
      <c r="Q474" s="42"/>
      <c r="R474" s="42"/>
      <c r="S474" s="42"/>
      <c r="T474" s="1191"/>
      <c r="U474" s="42"/>
      <c r="V474" s="1191"/>
      <c r="W474" s="93"/>
      <c r="X474" s="1"/>
      <c r="Y474" s="105"/>
      <c r="Z474" s="218"/>
      <c r="AA474" s="66"/>
    </row>
    <row r="475" spans="1:48" s="331" customFormat="1" ht="15" customHeight="1">
      <c r="A475" s="141"/>
      <c r="B475" s="1856" t="s">
        <v>2710</v>
      </c>
      <c r="C475" s="1855"/>
      <c r="D475" s="817"/>
      <c r="E475" s="817"/>
      <c r="F475" s="817"/>
      <c r="G475" s="1780">
        <v>3.0764999999999998</v>
      </c>
      <c r="H475" s="1781">
        <v>1999.712</v>
      </c>
      <c r="I475" s="281"/>
      <c r="L475" s="103"/>
      <c r="M475" s="103"/>
      <c r="N475" s="103"/>
      <c r="O475" s="42"/>
      <c r="P475" s="42"/>
      <c r="Q475" s="42"/>
      <c r="R475" s="42"/>
      <c r="S475" s="42"/>
      <c r="T475" s="1191"/>
      <c r="U475" s="42"/>
      <c r="V475" s="1191"/>
      <c r="W475" s="93"/>
      <c r="X475" s="1"/>
      <c r="Y475" s="105"/>
      <c r="Z475" s="218"/>
      <c r="AA475" s="66"/>
    </row>
    <row r="476" spans="1:48" s="331" customFormat="1" ht="15" customHeight="1">
      <c r="A476" s="141" t="s">
        <v>356</v>
      </c>
      <c r="B476" s="1856" t="s">
        <v>2641</v>
      </c>
      <c r="C476" s="1855"/>
      <c r="D476" s="817"/>
      <c r="E476" s="817"/>
      <c r="F476" s="817"/>
      <c r="G476" s="1780">
        <v>3.0764999999999998</v>
      </c>
      <c r="H476" s="1781">
        <v>1999.712</v>
      </c>
      <c r="I476" s="281"/>
      <c r="L476" s="103"/>
      <c r="M476" s="103"/>
      <c r="N476" s="103"/>
      <c r="O476" s="42"/>
      <c r="P476" s="42"/>
      <c r="Q476" s="42"/>
      <c r="R476" s="42"/>
      <c r="S476" s="42"/>
      <c r="T476" s="1191"/>
      <c r="U476" s="42"/>
      <c r="V476" s="1191"/>
      <c r="W476" s="93"/>
      <c r="X476" s="1"/>
      <c r="Y476" s="105"/>
      <c r="Z476" s="218"/>
      <c r="AA476" s="66"/>
    </row>
    <row r="477" spans="1:48" s="331" customFormat="1" ht="15" customHeight="1">
      <c r="A477" s="141"/>
      <c r="B477" s="1850" t="s">
        <v>2635</v>
      </c>
      <c r="C477" s="1855"/>
      <c r="D477" s="817"/>
      <c r="E477" s="817"/>
      <c r="F477" s="817"/>
      <c r="G477" s="1780">
        <v>9.1999999999999998E-2</v>
      </c>
      <c r="H477" s="1781">
        <v>59.8</v>
      </c>
      <c r="I477" s="281"/>
      <c r="L477" s="103"/>
      <c r="M477" s="103"/>
      <c r="N477" s="103"/>
      <c r="O477" s="42"/>
      <c r="P477" s="42"/>
      <c r="Q477" s="42"/>
      <c r="R477" s="42"/>
      <c r="S477" s="42"/>
      <c r="T477" s="1191"/>
      <c r="U477" s="42"/>
      <c r="V477" s="1191"/>
      <c r="W477" s="93"/>
      <c r="X477" s="1"/>
      <c r="Y477" s="105"/>
      <c r="Z477" s="218"/>
      <c r="AA477" s="66"/>
    </row>
    <row r="478" spans="1:48" s="331" customFormat="1" ht="15" customHeight="1">
      <c r="A478" s="141"/>
      <c r="B478" s="1850" t="s">
        <v>2636</v>
      </c>
      <c r="C478" s="1855"/>
      <c r="D478" s="817"/>
      <c r="E478" s="817"/>
      <c r="F478" s="817"/>
      <c r="G478" s="1780">
        <v>0.184</v>
      </c>
      <c r="H478" s="1781">
        <v>119.6</v>
      </c>
      <c r="I478" s="281"/>
      <c r="L478" s="103"/>
      <c r="M478" s="103"/>
      <c r="N478" s="103"/>
      <c r="O478" s="42"/>
      <c r="P478" s="42"/>
      <c r="Q478" s="42"/>
      <c r="R478" s="42"/>
      <c r="S478" s="42"/>
      <c r="T478" s="1191"/>
      <c r="U478" s="42"/>
      <c r="V478" s="1191"/>
      <c r="W478" s="93"/>
      <c r="X478" s="1"/>
      <c r="Y478" s="105"/>
      <c r="Z478" s="218"/>
      <c r="AA478" s="66"/>
    </row>
    <row r="479" spans="1:48" s="331" customFormat="1" ht="15" customHeight="1">
      <c r="A479" s="141"/>
      <c r="B479" s="1850" t="s">
        <v>2409</v>
      </c>
      <c r="C479" s="1855"/>
      <c r="D479" s="817"/>
      <c r="E479" s="817"/>
      <c r="F479" s="817"/>
      <c r="G479" s="1780">
        <v>0.36799999999999999</v>
      </c>
      <c r="H479" s="1781">
        <v>239.2</v>
      </c>
      <c r="I479" s="281"/>
      <c r="L479" s="103"/>
      <c r="M479" s="103"/>
      <c r="N479" s="103"/>
      <c r="O479" s="42"/>
      <c r="P479" s="42"/>
      <c r="Q479" s="42"/>
      <c r="R479" s="42"/>
      <c r="S479" s="42"/>
      <c r="T479" s="1191"/>
      <c r="U479" s="42"/>
      <c r="V479" s="1191"/>
      <c r="W479" s="93"/>
      <c r="X479" s="1"/>
      <c r="Y479" s="105"/>
      <c r="Z479" s="218"/>
      <c r="AA479" s="66"/>
    </row>
    <row r="480" spans="1:48" s="331" customFormat="1" ht="15" customHeight="1">
      <c r="A480" s="141"/>
      <c r="B480" s="1850" t="s">
        <v>2387</v>
      </c>
      <c r="C480" s="1855"/>
      <c r="D480" s="817"/>
      <c r="E480" s="817"/>
      <c r="F480" s="817"/>
      <c r="G480" s="1780">
        <v>0.73599999999999999</v>
      </c>
      <c r="H480" s="1781">
        <v>478.4</v>
      </c>
      <c r="I480" s="281"/>
      <c r="L480" s="103"/>
      <c r="M480" s="103"/>
      <c r="N480" s="103"/>
      <c r="O480" s="42"/>
      <c r="P480" s="42"/>
      <c r="Q480" s="42"/>
      <c r="R480" s="42"/>
      <c r="S480" s="42"/>
      <c r="T480" s="1191"/>
      <c r="U480" s="42"/>
      <c r="V480" s="1191"/>
      <c r="W480" s="93"/>
      <c r="X480" s="1"/>
      <c r="Y480" s="105"/>
      <c r="Z480" s="218"/>
      <c r="AA480" s="66"/>
    </row>
    <row r="481" spans="1:27" s="331" customFormat="1" ht="15" customHeight="1">
      <c r="A481" s="141"/>
      <c r="B481" s="1850" t="s">
        <v>2637</v>
      </c>
      <c r="C481" s="1855"/>
      <c r="D481" s="817"/>
      <c r="E481" s="817"/>
      <c r="F481" s="817"/>
      <c r="G481" s="1780">
        <v>1.2954000000000001</v>
      </c>
      <c r="H481" s="1781">
        <v>841.98400000000004</v>
      </c>
      <c r="I481" s="281"/>
      <c r="L481" s="103"/>
      <c r="M481" s="103"/>
      <c r="N481" s="103"/>
      <c r="O481" s="42"/>
      <c r="P481" s="42"/>
      <c r="Q481" s="42"/>
      <c r="R481" s="42"/>
      <c r="S481" s="42"/>
      <c r="T481" s="1191"/>
      <c r="U481" s="42"/>
      <c r="V481" s="1191"/>
      <c r="W481" s="93"/>
      <c r="X481" s="1"/>
      <c r="Y481" s="105"/>
      <c r="Z481" s="218"/>
      <c r="AA481" s="66"/>
    </row>
    <row r="482" spans="1:27" s="331" customFormat="1" ht="15" customHeight="1">
      <c r="A482" s="141"/>
      <c r="B482" s="1850" t="s">
        <v>2638</v>
      </c>
      <c r="C482" s="1855"/>
      <c r="D482" s="817"/>
      <c r="E482" s="817"/>
      <c r="F482" s="817"/>
      <c r="G482" s="1780">
        <v>2.4287999999999998</v>
      </c>
      <c r="H482" s="1781">
        <v>1578.72</v>
      </c>
      <c r="I482" s="281"/>
      <c r="L482" s="103"/>
      <c r="M482" s="103"/>
      <c r="N482" s="103"/>
      <c r="O482" s="42"/>
      <c r="P482" s="42"/>
      <c r="Q482" s="42"/>
      <c r="R482" s="42"/>
      <c r="S482" s="42"/>
      <c r="T482" s="1191"/>
      <c r="U482" s="42"/>
      <c r="V482" s="1191"/>
      <c r="W482" s="93"/>
      <c r="X482" s="1"/>
      <c r="Y482" s="105"/>
      <c r="Z482" s="218"/>
      <c r="AA482" s="66"/>
    </row>
    <row r="483" spans="1:27" s="331" customFormat="1" ht="15" customHeight="1">
      <c r="A483" s="141"/>
      <c r="B483" s="1850" t="s">
        <v>2626</v>
      </c>
      <c r="C483" s="1855"/>
      <c r="D483" s="817"/>
      <c r="E483" s="817"/>
      <c r="F483" s="817"/>
      <c r="G483" s="1780">
        <v>9.1999999999999998E-2</v>
      </c>
      <c r="H483" s="1781">
        <v>59.8</v>
      </c>
      <c r="I483" s="281"/>
      <c r="L483" s="103"/>
      <c r="M483" s="103"/>
      <c r="N483" s="103"/>
      <c r="O483" s="42"/>
      <c r="P483" s="42"/>
      <c r="Q483" s="42"/>
      <c r="R483" s="42"/>
      <c r="S483" s="42"/>
      <c r="T483" s="1191"/>
      <c r="U483" s="42"/>
      <c r="V483" s="1191"/>
      <c r="W483" s="93"/>
      <c r="X483" s="1"/>
      <c r="Y483" s="105"/>
      <c r="Z483" s="218"/>
      <c r="AA483" s="66"/>
    </row>
    <row r="484" spans="1:27" s="331" customFormat="1" ht="15" customHeight="1">
      <c r="A484" s="141"/>
      <c r="B484" s="1850" t="s">
        <v>2627</v>
      </c>
      <c r="C484" s="1855"/>
      <c r="D484" s="817"/>
      <c r="E484" s="817"/>
      <c r="F484" s="817"/>
      <c r="G484" s="1780">
        <v>0.184</v>
      </c>
      <c r="H484" s="1781">
        <v>119.6</v>
      </c>
      <c r="I484" s="281"/>
      <c r="L484" s="103"/>
      <c r="M484" s="103"/>
      <c r="N484" s="103"/>
      <c r="O484" s="42"/>
      <c r="P484" s="42"/>
      <c r="Q484" s="42"/>
      <c r="R484" s="42"/>
      <c r="S484" s="42"/>
      <c r="T484" s="1191"/>
      <c r="U484" s="42"/>
      <c r="V484" s="1191"/>
      <c r="W484" s="93"/>
      <c r="X484" s="1"/>
      <c r="Y484" s="105"/>
      <c r="Z484" s="218"/>
      <c r="AA484" s="66"/>
    </row>
    <row r="485" spans="1:27" s="331" customFormat="1" ht="15" customHeight="1">
      <c r="A485" s="141"/>
      <c r="B485" s="1850" t="s">
        <v>2628</v>
      </c>
      <c r="C485" s="1855"/>
      <c r="D485" s="817"/>
      <c r="E485" s="817"/>
      <c r="F485" s="817"/>
      <c r="G485" s="1780">
        <v>0.36799999999999999</v>
      </c>
      <c r="H485" s="1781">
        <v>239.2</v>
      </c>
      <c r="I485" s="281"/>
      <c r="L485" s="103"/>
      <c r="M485" s="103"/>
      <c r="N485" s="103"/>
      <c r="O485" s="42"/>
      <c r="P485" s="42"/>
      <c r="Q485" s="42"/>
      <c r="R485" s="42"/>
      <c r="S485" s="42"/>
      <c r="T485" s="1191"/>
      <c r="U485" s="42"/>
      <c r="V485" s="1191"/>
      <c r="W485" s="93"/>
      <c r="X485" s="1"/>
      <c r="Y485" s="105"/>
      <c r="Z485" s="218"/>
      <c r="AA485" s="66"/>
    </row>
    <row r="486" spans="1:27" s="331" customFormat="1" ht="15" customHeight="1">
      <c r="A486" s="141"/>
      <c r="B486" s="1850" t="s">
        <v>2629</v>
      </c>
      <c r="C486" s="1855"/>
      <c r="D486" s="817"/>
      <c r="E486" s="817"/>
      <c r="F486" s="817"/>
      <c r="G486" s="1780">
        <v>0.55200000000000005</v>
      </c>
      <c r="H486" s="1781">
        <v>358.8</v>
      </c>
      <c r="I486" s="281"/>
      <c r="L486" s="103"/>
      <c r="M486" s="103"/>
      <c r="N486" s="103"/>
      <c r="O486" s="42"/>
      <c r="P486" s="42"/>
      <c r="Q486" s="42"/>
      <c r="R486" s="42"/>
      <c r="S486" s="42"/>
      <c r="T486" s="1191"/>
      <c r="U486" s="42"/>
      <c r="V486" s="1191"/>
      <c r="W486" s="93"/>
      <c r="X486" s="1"/>
      <c r="Y486" s="105"/>
      <c r="Z486" s="218"/>
      <c r="AA486" s="66"/>
    </row>
    <row r="487" spans="1:27" s="331" customFormat="1" ht="15" customHeight="1">
      <c r="A487" s="141"/>
      <c r="B487" s="1850" t="s">
        <v>2388</v>
      </c>
      <c r="C487" s="1855"/>
      <c r="D487" s="817"/>
      <c r="E487" s="817"/>
      <c r="F487" s="817"/>
      <c r="G487" s="1780">
        <v>0.73599999999999999</v>
      </c>
      <c r="H487" s="1781">
        <v>478.4</v>
      </c>
      <c r="I487" s="281"/>
      <c r="L487" s="103"/>
      <c r="M487" s="103"/>
      <c r="N487" s="103"/>
      <c r="O487" s="42"/>
      <c r="P487" s="42"/>
      <c r="Q487" s="42"/>
      <c r="R487" s="42"/>
      <c r="S487" s="42"/>
      <c r="T487" s="1191"/>
      <c r="U487" s="42"/>
      <c r="V487" s="1191"/>
      <c r="W487" s="93"/>
      <c r="X487" s="1"/>
      <c r="Y487" s="105"/>
      <c r="Z487" s="218"/>
      <c r="AA487" s="66"/>
    </row>
    <row r="488" spans="1:27" s="331" customFormat="1" ht="15" customHeight="1">
      <c r="A488" s="141"/>
      <c r="B488" s="1850" t="s">
        <v>2630</v>
      </c>
      <c r="C488" s="1855"/>
      <c r="D488" s="817"/>
      <c r="E488" s="817"/>
      <c r="F488" s="817"/>
      <c r="G488" s="1780">
        <v>1.1040000000000001</v>
      </c>
      <c r="H488" s="1781">
        <v>717.6</v>
      </c>
      <c r="I488" s="281"/>
      <c r="L488" s="103"/>
      <c r="M488" s="103"/>
      <c r="N488" s="103"/>
      <c r="O488" s="42"/>
      <c r="P488" s="42"/>
      <c r="Q488" s="42"/>
      <c r="R488" s="42"/>
      <c r="S488" s="42"/>
      <c r="T488" s="1191"/>
      <c r="U488" s="42"/>
      <c r="V488" s="1191"/>
      <c r="W488" s="93"/>
      <c r="X488" s="1"/>
      <c r="Y488" s="105"/>
      <c r="Z488" s="218"/>
      <c r="AA488" s="66"/>
    </row>
    <row r="489" spans="1:27" s="331" customFormat="1" ht="15" customHeight="1">
      <c r="A489" s="141"/>
      <c r="B489" s="1850" t="s">
        <v>2442</v>
      </c>
      <c r="C489" s="1855"/>
      <c r="D489" s="817"/>
      <c r="E489" s="817"/>
      <c r="F489" s="817"/>
      <c r="G489" s="1780">
        <v>1.2954000000000001</v>
      </c>
      <c r="H489" s="1781">
        <v>841.98400000000004</v>
      </c>
      <c r="I489" s="281"/>
      <c r="L489" s="103"/>
      <c r="M489" s="103"/>
      <c r="N489" s="103"/>
      <c r="O489" s="42"/>
      <c r="P489" s="42"/>
      <c r="Q489" s="42"/>
      <c r="R489" s="42"/>
      <c r="S489" s="42"/>
      <c r="T489" s="1191"/>
      <c r="U489" s="42"/>
      <c r="V489" s="1191"/>
      <c r="W489" s="93"/>
      <c r="X489" s="1"/>
      <c r="Y489" s="105"/>
      <c r="Z489" s="218"/>
      <c r="AA489" s="66"/>
    </row>
    <row r="490" spans="1:27" s="331" customFormat="1" ht="15" customHeight="1">
      <c r="A490" s="141"/>
      <c r="B490" s="1850" t="s">
        <v>2443</v>
      </c>
      <c r="C490" s="1855"/>
      <c r="D490" s="817"/>
      <c r="E490" s="817"/>
      <c r="F490" s="817"/>
      <c r="G490" s="1780">
        <v>2.5907</v>
      </c>
      <c r="H490" s="1781">
        <v>1683.9680000000001</v>
      </c>
      <c r="I490" s="281"/>
      <c r="L490" s="103"/>
      <c r="M490" s="103"/>
      <c r="N490" s="103"/>
      <c r="O490" s="42"/>
      <c r="P490" s="42"/>
      <c r="Q490" s="42"/>
      <c r="R490" s="42"/>
      <c r="S490" s="42"/>
      <c r="T490" s="1191"/>
      <c r="U490" s="42"/>
      <c r="V490" s="1191"/>
      <c r="W490" s="93"/>
      <c r="X490" s="1"/>
      <c r="Y490" s="105"/>
      <c r="Z490" s="218"/>
      <c r="AA490" s="66"/>
    </row>
    <row r="491" spans="1:27" s="331" customFormat="1" ht="15" customHeight="1">
      <c r="A491" s="141"/>
      <c r="B491" s="1850" t="s">
        <v>2631</v>
      </c>
      <c r="C491" s="1855"/>
      <c r="D491" s="817"/>
      <c r="E491" s="817"/>
      <c r="F491" s="817"/>
      <c r="G491" s="1780">
        <v>9.1999999999999998E-2</v>
      </c>
      <c r="H491" s="1781">
        <v>59.8</v>
      </c>
      <c r="I491" s="281"/>
      <c r="L491" s="103"/>
      <c r="M491" s="103"/>
      <c r="N491" s="103"/>
      <c r="O491" s="42"/>
      <c r="P491" s="42"/>
      <c r="Q491" s="42"/>
      <c r="R491" s="42"/>
      <c r="S491" s="42"/>
      <c r="T491" s="1191"/>
      <c r="U491" s="42"/>
      <c r="V491" s="1191"/>
      <c r="W491" s="93"/>
      <c r="X491" s="1"/>
      <c r="Y491" s="105"/>
      <c r="Z491" s="218"/>
      <c r="AA491" s="66"/>
    </row>
    <row r="492" spans="1:27" s="331" customFormat="1" ht="15" customHeight="1">
      <c r="A492" s="141"/>
      <c r="B492" s="1850" t="s">
        <v>2632</v>
      </c>
      <c r="C492" s="1855"/>
      <c r="D492" s="817"/>
      <c r="E492" s="817"/>
      <c r="F492" s="817"/>
      <c r="G492" s="1780">
        <v>0.184</v>
      </c>
      <c r="H492" s="1781">
        <v>119.6</v>
      </c>
      <c r="I492" s="281"/>
      <c r="L492" s="103"/>
      <c r="M492" s="103"/>
      <c r="N492" s="103"/>
      <c r="O492" s="42"/>
      <c r="P492" s="42"/>
      <c r="Q492" s="42"/>
      <c r="R492" s="42"/>
      <c r="S492" s="42"/>
      <c r="T492" s="1191"/>
      <c r="U492" s="42"/>
      <c r="V492" s="1191"/>
      <c r="W492" s="93"/>
      <c r="X492" s="1"/>
      <c r="Y492" s="105"/>
      <c r="Z492" s="218"/>
      <c r="AA492" s="66"/>
    </row>
    <row r="493" spans="1:27" s="331" customFormat="1" ht="15" customHeight="1">
      <c r="A493" s="141"/>
      <c r="B493" s="1850" t="s">
        <v>2633</v>
      </c>
      <c r="C493" s="1855"/>
      <c r="D493" s="817"/>
      <c r="E493" s="817"/>
      <c r="F493" s="817"/>
      <c r="G493" s="1780">
        <v>0.36799999999999999</v>
      </c>
      <c r="H493" s="1781">
        <v>239.2</v>
      </c>
      <c r="I493" s="281"/>
      <c r="L493" s="103"/>
      <c r="M493" s="103"/>
      <c r="N493" s="103"/>
      <c r="O493" s="42"/>
      <c r="P493" s="42"/>
      <c r="Q493" s="42"/>
      <c r="R493" s="42"/>
      <c r="S493" s="42"/>
      <c r="T493" s="1191"/>
      <c r="U493" s="42"/>
      <c r="V493" s="1191"/>
      <c r="W493" s="93"/>
      <c r="X493" s="1"/>
      <c r="Y493" s="105"/>
      <c r="Z493" s="218"/>
      <c r="AA493" s="66"/>
    </row>
    <row r="494" spans="1:27" s="331" customFormat="1" ht="15" customHeight="1">
      <c r="A494" s="141"/>
      <c r="B494" s="1850" t="s">
        <v>2634</v>
      </c>
      <c r="C494" s="1855"/>
      <c r="D494" s="817"/>
      <c r="E494" s="817"/>
      <c r="F494" s="817"/>
      <c r="G494" s="1780">
        <v>0.55200000000000005</v>
      </c>
      <c r="H494" s="1781">
        <v>358.8</v>
      </c>
      <c r="I494" s="281"/>
      <c r="L494" s="103"/>
      <c r="M494" s="103"/>
      <c r="N494" s="103"/>
      <c r="O494" s="42"/>
      <c r="P494" s="42"/>
      <c r="Q494" s="42"/>
      <c r="R494" s="42"/>
      <c r="S494" s="42"/>
      <c r="T494" s="1191"/>
      <c r="U494" s="42"/>
      <c r="V494" s="1191"/>
      <c r="W494" s="93"/>
      <c r="X494" s="1"/>
      <c r="Y494" s="105"/>
      <c r="Z494" s="218"/>
      <c r="AA494" s="66"/>
    </row>
    <row r="495" spans="1:27" s="331" customFormat="1" ht="15" customHeight="1">
      <c r="A495" s="141"/>
      <c r="B495" s="1850" t="s">
        <v>2389</v>
      </c>
      <c r="C495" s="1855"/>
      <c r="D495" s="817"/>
      <c r="E495" s="817"/>
      <c r="F495" s="817"/>
      <c r="G495" s="1780">
        <v>0.73599999999999999</v>
      </c>
      <c r="H495" s="1781">
        <v>478.4</v>
      </c>
      <c r="I495" s="281"/>
      <c r="L495" s="103"/>
      <c r="M495" s="103"/>
      <c r="N495" s="103"/>
      <c r="O495" s="42"/>
      <c r="P495" s="42"/>
      <c r="Q495" s="42"/>
      <c r="R495" s="42"/>
      <c r="S495" s="42"/>
      <c r="T495" s="1191"/>
      <c r="U495" s="42"/>
      <c r="V495" s="1191"/>
      <c r="W495" s="93"/>
      <c r="X495" s="1"/>
      <c r="Y495" s="105"/>
      <c r="Z495" s="218"/>
      <c r="AA495" s="66"/>
    </row>
    <row r="496" spans="1:27" s="331" customFormat="1" ht="15" customHeight="1">
      <c r="A496" s="141"/>
      <c r="B496" s="1850" t="s">
        <v>2390</v>
      </c>
      <c r="C496" s="1855"/>
      <c r="D496" s="817"/>
      <c r="E496" s="817"/>
      <c r="F496" s="817"/>
      <c r="G496" s="1780">
        <v>1.1040000000000001</v>
      </c>
      <c r="H496" s="1781">
        <v>717.6</v>
      </c>
      <c r="I496" s="281"/>
      <c r="L496" s="103"/>
      <c r="M496" s="103"/>
      <c r="N496" s="103"/>
      <c r="O496" s="42"/>
      <c r="P496" s="42"/>
      <c r="Q496" s="42"/>
      <c r="R496" s="42"/>
      <c r="S496" s="42"/>
      <c r="T496" s="1191"/>
      <c r="U496" s="42"/>
      <c r="V496" s="1191"/>
      <c r="W496" s="93"/>
      <c r="X496" s="1"/>
      <c r="Y496" s="105"/>
      <c r="Z496" s="218"/>
      <c r="AA496" s="66"/>
    </row>
    <row r="497" spans="1:27" s="331" customFormat="1" ht="15" customHeight="1">
      <c r="A497" s="141"/>
      <c r="B497" s="1850" t="s">
        <v>2391</v>
      </c>
      <c r="C497" s="1855"/>
      <c r="D497" s="817"/>
      <c r="E497" s="817"/>
      <c r="F497" s="817"/>
      <c r="G497" s="1780">
        <v>1.2954000000000001</v>
      </c>
      <c r="H497" s="1781">
        <v>841.98400000000004</v>
      </c>
      <c r="I497" s="281"/>
      <c r="L497" s="103"/>
      <c r="M497" s="103"/>
      <c r="N497" s="103"/>
      <c r="O497" s="42"/>
      <c r="P497" s="42"/>
      <c r="Q497" s="42"/>
      <c r="R497" s="42"/>
      <c r="S497" s="42"/>
      <c r="T497" s="1191"/>
      <c r="U497" s="42"/>
      <c r="V497" s="1191"/>
      <c r="W497" s="93"/>
      <c r="X497" s="1"/>
      <c r="Y497" s="105"/>
      <c r="Z497" s="218"/>
      <c r="AA497" s="66"/>
    </row>
    <row r="498" spans="1:27" s="331" customFormat="1" ht="15" customHeight="1">
      <c r="A498" s="141"/>
      <c r="B498" s="1850" t="s">
        <v>2392</v>
      </c>
      <c r="C498" s="1855"/>
      <c r="D498" s="817"/>
      <c r="E498" s="817"/>
      <c r="F498" s="817"/>
      <c r="G498" s="1780">
        <v>2.5907</v>
      </c>
      <c r="H498" s="1781">
        <v>1683.9680000000001</v>
      </c>
      <c r="I498" s="281"/>
      <c r="L498" s="103"/>
      <c r="M498" s="103"/>
      <c r="N498" s="103"/>
      <c r="O498" s="42"/>
      <c r="P498" s="42"/>
      <c r="Q498" s="42"/>
      <c r="R498" s="42"/>
      <c r="S498" s="42"/>
      <c r="T498" s="1191"/>
      <c r="U498" s="42"/>
      <c r="V498" s="1191"/>
      <c r="W498" s="93"/>
      <c r="X498" s="1"/>
      <c r="Y498" s="105"/>
      <c r="Z498" s="218"/>
      <c r="AA498" s="66"/>
    </row>
    <row r="499" spans="1:27" s="331" customFormat="1" ht="15" customHeight="1">
      <c r="A499" s="141"/>
      <c r="B499" s="1898" t="s">
        <v>2885</v>
      </c>
      <c r="C499" s="1855"/>
      <c r="D499" s="817"/>
      <c r="E499" s="817"/>
      <c r="F499" s="817"/>
      <c r="G499" s="1780">
        <v>0.36799999999999999</v>
      </c>
      <c r="H499" s="1781">
        <v>239.2</v>
      </c>
      <c r="I499" s="281"/>
      <c r="L499" s="103"/>
      <c r="M499" s="103"/>
      <c r="N499" s="103"/>
      <c r="O499" s="42"/>
      <c r="P499" s="42"/>
      <c r="Q499" s="42"/>
      <c r="R499" s="42"/>
      <c r="S499" s="42"/>
      <c r="T499" s="1191"/>
      <c r="U499" s="42"/>
      <c r="V499" s="1191"/>
      <c r="W499" s="93"/>
      <c r="X499" s="1"/>
      <c r="Y499" s="105"/>
      <c r="Z499" s="218"/>
      <c r="AA499" s="66"/>
    </row>
    <row r="500" spans="1:27" s="331" customFormat="1" ht="15" customHeight="1">
      <c r="A500" s="141"/>
      <c r="B500" s="1898" t="s">
        <v>2886</v>
      </c>
      <c r="C500" s="1855"/>
      <c r="D500" s="817"/>
      <c r="E500" s="817"/>
      <c r="F500" s="817"/>
      <c r="G500" s="1780">
        <v>0.73599999999999999</v>
      </c>
      <c r="H500" s="1781">
        <v>478.4</v>
      </c>
      <c r="I500" s="281"/>
      <c r="L500" s="103"/>
      <c r="M500" s="103"/>
      <c r="N500" s="103"/>
      <c r="O500" s="42"/>
      <c r="P500" s="42"/>
      <c r="Q500" s="42"/>
      <c r="R500" s="42"/>
      <c r="S500" s="42"/>
      <c r="T500" s="1191"/>
      <c r="U500" s="42"/>
      <c r="V500" s="1191"/>
      <c r="W500" s="93"/>
      <c r="X500" s="1"/>
      <c r="Y500" s="105"/>
      <c r="Z500" s="218"/>
      <c r="AA500" s="66"/>
    </row>
    <row r="501" spans="1:27" s="331" customFormat="1" ht="15" customHeight="1">
      <c r="A501" s="141"/>
      <c r="B501" s="1898" t="s">
        <v>2887</v>
      </c>
      <c r="C501" s="1855"/>
      <c r="D501" s="817"/>
      <c r="E501" s="817"/>
      <c r="F501" s="817"/>
      <c r="G501" s="1780">
        <v>1.2954000000000001</v>
      </c>
      <c r="H501" s="1781">
        <v>841.98400000000004</v>
      </c>
      <c r="I501" s="281"/>
      <c r="L501" s="103"/>
      <c r="M501" s="103"/>
      <c r="N501" s="103"/>
      <c r="O501" s="42"/>
      <c r="P501" s="42"/>
      <c r="Q501" s="42"/>
      <c r="R501" s="42"/>
      <c r="S501" s="42"/>
      <c r="T501" s="1191"/>
      <c r="U501" s="42"/>
      <c r="V501" s="1191"/>
      <c r="W501" s="93"/>
      <c r="X501" s="1"/>
      <c r="Y501" s="105"/>
      <c r="Z501" s="218"/>
      <c r="AA501" s="66"/>
    </row>
    <row r="502" spans="1:27" s="1498" customFormat="1" ht="15" customHeight="1">
      <c r="A502" s="141"/>
      <c r="B502" s="1898" t="s">
        <v>2888</v>
      </c>
      <c r="C502" s="1855"/>
      <c r="D502" s="817"/>
      <c r="E502" s="817"/>
      <c r="F502" s="817"/>
      <c r="G502" s="1780">
        <v>1.1040000000000001</v>
      </c>
      <c r="H502" s="1781">
        <v>717.59999999999991</v>
      </c>
      <c r="I502" s="281"/>
      <c r="L502" s="1408"/>
      <c r="M502" s="1408"/>
      <c r="N502" s="1408"/>
      <c r="O502" s="1191"/>
      <c r="P502" s="1191"/>
      <c r="Q502" s="1191"/>
      <c r="R502" s="1191"/>
      <c r="S502" s="1191"/>
      <c r="T502" s="1191"/>
      <c r="U502" s="1191"/>
      <c r="V502" s="1191"/>
      <c r="W502" s="1190"/>
      <c r="X502" s="1"/>
      <c r="Y502" s="105"/>
      <c r="Z502" s="1492"/>
      <c r="AA502" s="1193"/>
    </row>
    <row r="503" spans="1:27" s="331" customFormat="1" ht="15" customHeight="1">
      <c r="A503" s="141"/>
      <c r="B503" s="1898" t="s">
        <v>2889</v>
      </c>
      <c r="C503" s="1855"/>
      <c r="D503" s="817"/>
      <c r="E503" s="817"/>
      <c r="F503" s="817"/>
      <c r="G503" s="1780">
        <v>1.9430000000000001</v>
      </c>
      <c r="H503" s="1781">
        <v>1262.9760000000001</v>
      </c>
      <c r="I503" s="281"/>
      <c r="L503" s="103"/>
      <c r="M503" s="103"/>
      <c r="N503" s="103"/>
      <c r="O503" s="42"/>
      <c r="P503" s="42"/>
      <c r="Q503" s="42"/>
      <c r="R503" s="42"/>
      <c r="S503" s="42"/>
      <c r="T503" s="1191"/>
      <c r="U503" s="42"/>
      <c r="V503" s="1191"/>
      <c r="W503" s="93"/>
      <c r="X503" s="1"/>
      <c r="Y503" s="105"/>
      <c r="Z503" s="218"/>
      <c r="AA503" s="66"/>
    </row>
    <row r="504" spans="1:27" s="331" customFormat="1" ht="15" customHeight="1">
      <c r="A504" s="141"/>
      <c r="B504" s="1898" t="s">
        <v>2890</v>
      </c>
      <c r="C504" s="1855"/>
      <c r="D504" s="817"/>
      <c r="E504" s="817"/>
      <c r="F504" s="817"/>
      <c r="G504" s="1780">
        <v>2.4287999999999998</v>
      </c>
      <c r="H504" s="1781">
        <v>1578.72</v>
      </c>
      <c r="I504" s="281"/>
      <c r="L504" s="103"/>
      <c r="M504" s="103"/>
      <c r="N504" s="103"/>
      <c r="O504" s="42"/>
      <c r="P504" s="42"/>
      <c r="Q504" s="42"/>
      <c r="R504" s="42"/>
      <c r="S504" s="42"/>
      <c r="T504" s="1191"/>
      <c r="U504" s="42"/>
      <c r="V504" s="1191"/>
      <c r="W504" s="93"/>
      <c r="X504" s="1"/>
      <c r="Y504" s="105"/>
      <c r="Z504" s="218"/>
      <c r="AA504" s="66"/>
    </row>
    <row r="505" spans="1:27" s="331" customFormat="1" ht="15" customHeight="1">
      <c r="A505" s="141"/>
      <c r="B505" s="817" t="s">
        <v>2689</v>
      </c>
      <c r="C505" s="1855"/>
      <c r="D505" s="817"/>
      <c r="E505" s="817"/>
      <c r="F505" s="817"/>
      <c r="G505" s="1780">
        <v>9.1999999999999998E-2</v>
      </c>
      <c r="H505" s="1781">
        <v>59.8</v>
      </c>
      <c r="I505" s="281"/>
      <c r="L505" s="103"/>
      <c r="M505" s="103"/>
      <c r="N505" s="103"/>
      <c r="O505" s="42"/>
      <c r="P505" s="42"/>
      <c r="Q505" s="42"/>
      <c r="R505" s="42"/>
      <c r="S505" s="42"/>
      <c r="T505" s="1191"/>
      <c r="U505" s="42"/>
      <c r="V505" s="1191"/>
      <c r="W505" s="93"/>
      <c r="X505" s="1"/>
      <c r="Y505" s="105"/>
      <c r="Z505" s="218"/>
      <c r="AA505" s="66"/>
    </row>
    <row r="506" spans="1:27" s="331" customFormat="1" ht="15" customHeight="1">
      <c r="A506" s="141"/>
      <c r="B506" s="817" t="s">
        <v>2690</v>
      </c>
      <c r="C506" s="1855"/>
      <c r="D506" s="817"/>
      <c r="E506" s="817"/>
      <c r="F506" s="817"/>
      <c r="G506" s="1780">
        <v>0.184</v>
      </c>
      <c r="H506" s="1781">
        <v>119.6</v>
      </c>
      <c r="I506" s="281"/>
      <c r="L506" s="103"/>
      <c r="M506" s="103"/>
      <c r="N506" s="103"/>
      <c r="O506" s="42"/>
      <c r="P506" s="42"/>
      <c r="Q506" s="42"/>
      <c r="R506" s="42"/>
      <c r="S506" s="42"/>
      <c r="T506" s="1191"/>
      <c r="U506" s="42"/>
      <c r="V506" s="1191"/>
      <c r="W506" s="93"/>
      <c r="X506" s="1"/>
      <c r="Y506" s="105"/>
      <c r="Z506" s="218"/>
      <c r="AA506" s="66"/>
    </row>
    <row r="507" spans="1:27" s="331" customFormat="1" ht="15" customHeight="1">
      <c r="A507" s="141"/>
      <c r="B507" s="817" t="s">
        <v>2691</v>
      </c>
      <c r="C507" s="1855"/>
      <c r="D507" s="817"/>
      <c r="E507" s="817"/>
      <c r="F507" s="817"/>
      <c r="G507" s="1780">
        <v>0.36799999999999999</v>
      </c>
      <c r="H507" s="1781">
        <v>239.2</v>
      </c>
      <c r="I507" s="281"/>
      <c r="L507" s="103"/>
      <c r="M507" s="103"/>
      <c r="N507" s="103"/>
      <c r="O507" s="42"/>
      <c r="P507" s="42"/>
      <c r="Q507" s="42"/>
      <c r="R507" s="42"/>
      <c r="S507" s="42"/>
      <c r="T507" s="1191"/>
      <c r="U507" s="42"/>
      <c r="V507" s="1191"/>
      <c r="W507" s="93"/>
      <c r="X507" s="1"/>
      <c r="Y507" s="105"/>
      <c r="Z507" s="218"/>
      <c r="AA507" s="66"/>
    </row>
    <row r="508" spans="1:27" s="331" customFormat="1" ht="15" customHeight="1">
      <c r="A508" s="141"/>
      <c r="B508" s="817" t="s">
        <v>2692</v>
      </c>
      <c r="C508" s="1855"/>
      <c r="D508" s="817"/>
      <c r="E508" s="817"/>
      <c r="F508" s="817"/>
      <c r="G508" s="1780">
        <v>0.73599999999999999</v>
      </c>
      <c r="H508" s="1781">
        <v>478.4</v>
      </c>
      <c r="I508" s="281"/>
      <c r="L508" s="103"/>
      <c r="M508" s="103"/>
      <c r="N508" s="103"/>
      <c r="O508" s="42"/>
      <c r="P508" s="42"/>
      <c r="Q508" s="42"/>
      <c r="R508" s="42"/>
      <c r="S508" s="42"/>
      <c r="T508" s="1191"/>
      <c r="U508" s="42"/>
      <c r="V508" s="1191"/>
      <c r="W508" s="93"/>
      <c r="X508" s="1"/>
      <c r="Y508" s="105"/>
      <c r="Z508" s="218"/>
      <c r="AA508" s="66"/>
    </row>
    <row r="509" spans="1:27" s="331" customFormat="1" ht="15" customHeight="1">
      <c r="A509" s="141"/>
      <c r="B509" s="817" t="s">
        <v>2693</v>
      </c>
      <c r="C509" s="1855"/>
      <c r="D509" s="817"/>
      <c r="E509" s="817"/>
      <c r="F509" s="817"/>
      <c r="G509" s="1780">
        <v>1.2954000000000001</v>
      </c>
      <c r="H509" s="1781">
        <v>841.98400000000004</v>
      </c>
      <c r="I509" s="281"/>
      <c r="L509" s="103"/>
      <c r="M509" s="103"/>
      <c r="N509" s="103"/>
      <c r="O509" s="42"/>
      <c r="P509" s="42"/>
      <c r="Q509" s="42"/>
      <c r="R509" s="42"/>
      <c r="S509" s="42"/>
      <c r="T509" s="1191"/>
      <c r="U509" s="42"/>
      <c r="V509" s="1191"/>
      <c r="W509" s="93"/>
      <c r="X509" s="1"/>
      <c r="Y509" s="105"/>
      <c r="Z509" s="218"/>
      <c r="AA509" s="66"/>
    </row>
    <row r="510" spans="1:27" s="331" customFormat="1" ht="15" customHeight="1">
      <c r="A510" s="141"/>
      <c r="B510" s="817" t="s">
        <v>2694</v>
      </c>
      <c r="C510" s="1855"/>
      <c r="D510" s="817"/>
      <c r="E510" s="817"/>
      <c r="F510" s="817"/>
      <c r="G510" s="1780">
        <v>9.1999999999999998E-2</v>
      </c>
      <c r="H510" s="1781">
        <v>59.8</v>
      </c>
      <c r="I510" s="281"/>
      <c r="L510" s="103"/>
      <c r="M510" s="103"/>
      <c r="N510" s="103"/>
      <c r="O510" s="42"/>
      <c r="P510" s="42"/>
      <c r="Q510" s="42"/>
      <c r="R510" s="42"/>
      <c r="S510" s="42"/>
      <c r="T510" s="1191"/>
      <c r="U510" s="42"/>
      <c r="V510" s="1191"/>
      <c r="W510" s="93"/>
      <c r="X510" s="1"/>
      <c r="Y510" s="105"/>
      <c r="Z510" s="218"/>
      <c r="AA510" s="66"/>
    </row>
    <row r="511" spans="1:27" s="331" customFormat="1" ht="15" customHeight="1">
      <c r="A511" s="141"/>
      <c r="B511" s="817" t="s">
        <v>2695</v>
      </c>
      <c r="C511" s="1855"/>
      <c r="D511" s="817"/>
      <c r="E511" s="817"/>
      <c r="F511" s="817"/>
      <c r="G511" s="1780">
        <v>0.184</v>
      </c>
      <c r="H511" s="1781">
        <v>119.6</v>
      </c>
      <c r="I511" s="281"/>
      <c r="L511" s="103"/>
      <c r="M511" s="103"/>
      <c r="N511" s="103"/>
      <c r="O511" s="42"/>
      <c r="P511" s="42"/>
      <c r="Q511" s="42"/>
      <c r="R511" s="42"/>
      <c r="S511" s="42"/>
      <c r="T511" s="1191"/>
      <c r="U511" s="42"/>
      <c r="V511" s="1191"/>
      <c r="W511" s="93"/>
      <c r="X511" s="1"/>
      <c r="Y511" s="105"/>
      <c r="Z511" s="218"/>
      <c r="AA511" s="66"/>
    </row>
    <row r="512" spans="1:27" s="331" customFormat="1" ht="15" customHeight="1">
      <c r="A512" s="141"/>
      <c r="B512" s="817" t="s">
        <v>2696</v>
      </c>
      <c r="C512" s="1855"/>
      <c r="D512" s="817"/>
      <c r="E512" s="817"/>
      <c r="F512" s="817"/>
      <c r="G512" s="1780">
        <v>0.36799999999999999</v>
      </c>
      <c r="H512" s="1781">
        <v>239.2</v>
      </c>
      <c r="I512" s="281"/>
      <c r="L512" s="103"/>
      <c r="M512" s="103"/>
      <c r="N512" s="103"/>
      <c r="O512" s="42"/>
      <c r="P512" s="42"/>
      <c r="Q512" s="42"/>
      <c r="R512" s="42"/>
      <c r="S512" s="42"/>
      <c r="T512" s="1191"/>
      <c r="U512" s="42"/>
      <c r="V512" s="1191"/>
      <c r="W512" s="93"/>
      <c r="X512" s="1"/>
      <c r="Y512" s="105"/>
      <c r="Z512" s="218"/>
      <c r="AA512" s="66"/>
    </row>
    <row r="513" spans="1:27" s="331" customFormat="1" ht="15" customHeight="1">
      <c r="A513" s="141"/>
      <c r="B513" s="817" t="s">
        <v>2697</v>
      </c>
      <c r="C513" s="1855"/>
      <c r="D513" s="817"/>
      <c r="E513" s="817"/>
      <c r="F513" s="817"/>
      <c r="G513" s="1780">
        <v>0.73599999999999999</v>
      </c>
      <c r="H513" s="1781">
        <v>478.4</v>
      </c>
      <c r="I513" s="281"/>
      <c r="L513" s="103"/>
      <c r="M513" s="103"/>
      <c r="N513" s="103"/>
      <c r="O513" s="42"/>
      <c r="P513" s="42"/>
      <c r="Q513" s="42"/>
      <c r="R513" s="42"/>
      <c r="S513" s="42"/>
      <c r="T513" s="1191"/>
      <c r="U513" s="42"/>
      <c r="V513" s="1191"/>
      <c r="W513" s="93"/>
      <c r="X513" s="1"/>
      <c r="Y513" s="105"/>
      <c r="Z513" s="218"/>
      <c r="AA513" s="66"/>
    </row>
    <row r="514" spans="1:27" s="104" customFormat="1">
      <c r="A514" s="141"/>
      <c r="B514" s="817" t="s">
        <v>2698</v>
      </c>
      <c r="C514" s="1857"/>
      <c r="D514" s="817"/>
      <c r="E514" s="817"/>
      <c r="F514" s="817"/>
      <c r="G514" s="1780">
        <v>1.2954000000000001</v>
      </c>
      <c r="H514" s="1781">
        <v>841.98400000000004</v>
      </c>
      <c r="I514" s="284"/>
      <c r="L514" s="283"/>
      <c r="M514" s="165"/>
      <c r="N514" s="42"/>
      <c r="O514" s="42"/>
      <c r="P514" s="42"/>
      <c r="Q514" s="42"/>
      <c r="R514" s="42"/>
      <c r="S514" s="42"/>
      <c r="T514" s="1191"/>
      <c r="U514" s="42"/>
      <c r="V514" s="1191"/>
      <c r="W514" s="93"/>
      <c r="Y514" s="280"/>
      <c r="Z514" s="218"/>
      <c r="AA514" s="66"/>
    </row>
    <row r="515" spans="1:27" s="331" customFormat="1">
      <c r="A515" s="256" t="s">
        <v>355</v>
      </c>
      <c r="B515" s="817" t="s">
        <v>2699</v>
      </c>
      <c r="C515" s="1857"/>
      <c r="D515" s="1858"/>
      <c r="E515" s="1858"/>
      <c r="F515" s="1858"/>
      <c r="G515" s="1859">
        <v>0.73599999999999999</v>
      </c>
      <c r="H515" s="1860">
        <v>478.4</v>
      </c>
      <c r="I515" s="284"/>
      <c r="L515" s="283"/>
      <c r="M515" s="693"/>
      <c r="N515" s="42"/>
      <c r="O515" s="42"/>
      <c r="P515" s="42"/>
      <c r="Q515" s="42"/>
      <c r="R515" s="42"/>
      <c r="S515" s="42"/>
      <c r="T515" s="1191"/>
      <c r="U515" s="42"/>
      <c r="V515" s="1191"/>
      <c r="W515" s="93"/>
      <c r="Y515" s="280"/>
      <c r="Z515" s="218"/>
      <c r="AA515" s="66"/>
    </row>
    <row r="516" spans="1:27" s="331" customFormat="1">
      <c r="A516" s="256"/>
      <c r="B516" s="817" t="s">
        <v>2593</v>
      </c>
      <c r="C516" s="1861"/>
      <c r="D516" s="1797"/>
      <c r="E516" s="1797"/>
      <c r="F516" s="1798"/>
      <c r="G516" s="1780">
        <v>4.5999999999999999E-2</v>
      </c>
      <c r="H516" s="1781">
        <v>29.9</v>
      </c>
      <c r="I516" s="284"/>
      <c r="L516" s="283"/>
      <c r="M516" s="693"/>
      <c r="N516" s="1191"/>
      <c r="O516" s="1191"/>
      <c r="P516" s="1191"/>
      <c r="Q516" s="1191"/>
      <c r="R516" s="1191"/>
      <c r="S516" s="1191"/>
      <c r="T516" s="1191"/>
      <c r="U516" s="1191"/>
      <c r="V516" s="1191"/>
      <c r="W516" s="1190"/>
      <c r="Y516" s="1170"/>
      <c r="Z516" s="1192"/>
      <c r="AA516" s="1193"/>
    </row>
    <row r="517" spans="1:27" s="331" customFormat="1">
      <c r="A517" s="256"/>
      <c r="B517" s="817" t="s">
        <v>2594</v>
      </c>
      <c r="C517" s="1861"/>
      <c r="D517" s="1797"/>
      <c r="E517" s="1797"/>
      <c r="F517" s="1798"/>
      <c r="G517" s="1780">
        <v>4.5999999999999999E-2</v>
      </c>
      <c r="H517" s="1781">
        <v>29.9</v>
      </c>
      <c r="I517" s="284"/>
      <c r="L517" s="283"/>
      <c r="M517" s="693"/>
      <c r="N517" s="1191"/>
      <c r="O517" s="1191"/>
      <c r="P517" s="1191"/>
      <c r="Q517" s="1191"/>
      <c r="R517" s="1191"/>
      <c r="S517" s="1191"/>
      <c r="T517" s="1191"/>
      <c r="U517" s="1191"/>
      <c r="V517" s="1191"/>
      <c r="W517" s="1190"/>
      <c r="Y517" s="1170"/>
      <c r="Z517" s="1192"/>
      <c r="AA517" s="1193"/>
    </row>
    <row r="518" spans="1:27" s="331" customFormat="1">
      <c r="A518" s="256"/>
      <c r="B518" s="817" t="s">
        <v>2595</v>
      </c>
      <c r="C518" s="1861"/>
      <c r="D518" s="1797"/>
      <c r="E518" s="1797"/>
      <c r="F518" s="1798"/>
      <c r="G518" s="1780">
        <v>9.1999999999999998E-2</v>
      </c>
      <c r="H518" s="1781">
        <v>59.8</v>
      </c>
      <c r="I518" s="284"/>
      <c r="L518" s="283"/>
      <c r="M518" s="693"/>
      <c r="N518" s="1191"/>
      <c r="O518" s="1191"/>
      <c r="P518" s="1191"/>
      <c r="Q518" s="1191"/>
      <c r="R518" s="1191"/>
      <c r="S518" s="1191"/>
      <c r="T518" s="1191"/>
      <c r="U518" s="1191"/>
      <c r="V518" s="1191"/>
      <c r="W518" s="1190"/>
      <c r="Y518" s="1170"/>
      <c r="Z518" s="1192"/>
      <c r="AA518" s="1193"/>
    </row>
    <row r="519" spans="1:27" s="331" customFormat="1">
      <c r="A519" s="256"/>
      <c r="B519" s="817" t="s">
        <v>2596</v>
      </c>
      <c r="C519" s="1861"/>
      <c r="D519" s="1797"/>
      <c r="E519" s="1797"/>
      <c r="F519" s="1798"/>
      <c r="G519" s="1780">
        <v>0.184</v>
      </c>
      <c r="H519" s="1781">
        <v>119.6</v>
      </c>
      <c r="I519" s="284"/>
      <c r="L519" s="283"/>
      <c r="M519" s="693"/>
      <c r="N519" s="1191"/>
      <c r="O519" s="1191"/>
      <c r="P519" s="1191"/>
      <c r="Q519" s="1191"/>
      <c r="R519" s="1191"/>
      <c r="S519" s="1191"/>
      <c r="T519" s="1191"/>
      <c r="U519" s="1191"/>
      <c r="V519" s="1191"/>
      <c r="W519" s="1190"/>
      <c r="Y519" s="1170"/>
      <c r="Z519" s="1192"/>
      <c r="AA519" s="1193"/>
    </row>
    <row r="520" spans="1:27" s="331" customFormat="1">
      <c r="A520" s="256"/>
      <c r="B520" s="817" t="s">
        <v>2597</v>
      </c>
      <c r="C520" s="1861"/>
      <c r="D520" s="1797"/>
      <c r="E520" s="1797"/>
      <c r="F520" s="1798"/>
      <c r="G520" s="1780">
        <v>0.36799999999999999</v>
      </c>
      <c r="H520" s="1781">
        <v>239.2</v>
      </c>
      <c r="I520" s="284"/>
      <c r="L520" s="283"/>
      <c r="M520" s="693"/>
      <c r="N520" s="1191"/>
      <c r="O520" s="1191"/>
      <c r="P520" s="1191"/>
      <c r="Q520" s="1191"/>
      <c r="R520" s="1191"/>
      <c r="S520" s="1191"/>
      <c r="T520" s="1191"/>
      <c r="U520" s="1191"/>
      <c r="V520" s="1191"/>
      <c r="W520" s="1190"/>
      <c r="Y520" s="1170"/>
      <c r="Z520" s="1192"/>
      <c r="AA520" s="1193"/>
    </row>
    <row r="521" spans="1:27" s="331" customFormat="1">
      <c r="A521" s="256"/>
      <c r="B521" s="817" t="s">
        <v>2599</v>
      </c>
      <c r="C521" s="1861"/>
      <c r="D521" s="1797"/>
      <c r="E521" s="1797"/>
      <c r="F521" s="1798"/>
      <c r="G521" s="1780">
        <v>4.5999999999999999E-2</v>
      </c>
      <c r="H521" s="1781">
        <v>29.9</v>
      </c>
      <c r="I521" s="284"/>
      <c r="L521" s="283"/>
      <c r="M521" s="693"/>
      <c r="N521" s="1191"/>
      <c r="O521" s="1191"/>
      <c r="P521" s="1191"/>
      <c r="Q521" s="1191"/>
      <c r="R521" s="1191"/>
      <c r="S521" s="1191"/>
      <c r="T521" s="1191"/>
      <c r="U521" s="1191"/>
      <c r="V521" s="1191"/>
      <c r="W521" s="1190"/>
      <c r="Y521" s="1170"/>
      <c r="Z521" s="1192"/>
      <c r="AA521" s="1193"/>
    </row>
    <row r="522" spans="1:27" s="331" customFormat="1">
      <c r="A522" s="256"/>
      <c r="B522" s="817" t="s">
        <v>2600</v>
      </c>
      <c r="C522" s="1861"/>
      <c r="D522" s="1797"/>
      <c r="E522" s="1797"/>
      <c r="F522" s="1798"/>
      <c r="G522" s="1780">
        <v>9.1999999999999998E-2</v>
      </c>
      <c r="H522" s="1781">
        <v>59.8</v>
      </c>
      <c r="I522" s="284"/>
      <c r="L522" s="283"/>
      <c r="M522" s="693"/>
      <c r="N522" s="1191"/>
      <c r="O522" s="1191"/>
      <c r="P522" s="1191"/>
      <c r="Q522" s="1191"/>
      <c r="R522" s="1191"/>
      <c r="S522" s="1191"/>
      <c r="T522" s="1191"/>
      <c r="U522" s="1191"/>
      <c r="V522" s="1191"/>
      <c r="W522" s="1190"/>
      <c r="Y522" s="1170"/>
      <c r="Z522" s="1192"/>
      <c r="AA522" s="1193"/>
    </row>
    <row r="523" spans="1:27" s="331" customFormat="1">
      <c r="A523" s="256"/>
      <c r="B523" s="817" t="s">
        <v>2601</v>
      </c>
      <c r="C523" s="1861"/>
      <c r="D523" s="1797"/>
      <c r="E523" s="1797"/>
      <c r="F523" s="1798"/>
      <c r="G523" s="1780">
        <v>0.184</v>
      </c>
      <c r="H523" s="1781">
        <v>119.6</v>
      </c>
      <c r="I523" s="284"/>
      <c r="L523" s="283"/>
      <c r="M523" s="693"/>
      <c r="N523" s="1191"/>
      <c r="O523" s="1191"/>
      <c r="P523" s="1191"/>
      <c r="Q523" s="1191"/>
      <c r="R523" s="1191"/>
      <c r="S523" s="1191"/>
      <c r="T523" s="1191"/>
      <c r="U523" s="1191"/>
      <c r="V523" s="1191"/>
      <c r="W523" s="1190"/>
      <c r="Y523" s="1170"/>
      <c r="Z523" s="1192"/>
      <c r="AA523" s="1193"/>
    </row>
    <row r="524" spans="1:27" s="331" customFormat="1">
      <c r="A524" s="256"/>
      <c r="B524" s="817" t="s">
        <v>2602</v>
      </c>
      <c r="C524" s="1861"/>
      <c r="D524" s="1797"/>
      <c r="E524" s="1797"/>
      <c r="F524" s="1798"/>
      <c r="G524" s="1780">
        <v>0.36799999999999999</v>
      </c>
      <c r="H524" s="1781">
        <v>239.2</v>
      </c>
      <c r="I524" s="284"/>
      <c r="L524" s="283"/>
      <c r="M524" s="693"/>
      <c r="N524" s="1191"/>
      <c r="O524" s="1191"/>
      <c r="P524" s="1191"/>
      <c r="Q524" s="1191"/>
      <c r="R524" s="1191"/>
      <c r="S524" s="1191"/>
      <c r="T524" s="1191"/>
      <c r="U524" s="1191"/>
      <c r="V524" s="1191"/>
      <c r="W524" s="1190"/>
      <c r="Y524" s="1170"/>
      <c r="Z524" s="1192"/>
      <c r="AA524" s="1193"/>
    </row>
    <row r="525" spans="1:27" s="1489" customFormat="1">
      <c r="B525" s="817" t="s">
        <v>2603</v>
      </c>
      <c r="C525" s="1861"/>
      <c r="D525" s="1797"/>
      <c r="E525" s="1797"/>
      <c r="F525" s="1798"/>
      <c r="G525" s="1780">
        <v>0.73599999999999999</v>
      </c>
      <c r="H525" s="1781">
        <v>478.4</v>
      </c>
      <c r="I525" s="1696"/>
      <c r="L525" s="1697"/>
      <c r="M525" s="1698"/>
      <c r="W525" s="99"/>
      <c r="Y525" s="1491"/>
      <c r="Z525" s="1699"/>
      <c r="AA525" s="1493"/>
    </row>
    <row r="526" spans="1:27" s="331" customFormat="1">
      <c r="A526" s="256"/>
      <c r="B526" s="817" t="s">
        <v>2653</v>
      </c>
      <c r="C526" s="1861"/>
      <c r="D526" s="1797"/>
      <c r="E526" s="1797"/>
      <c r="F526" s="1798"/>
      <c r="G526" s="1862">
        <v>0.1575</v>
      </c>
      <c r="H526" s="1781">
        <v>102.3973</v>
      </c>
      <c r="I526" s="284"/>
      <c r="L526" s="283"/>
      <c r="M526" s="693"/>
      <c r="N526" s="1191"/>
      <c r="O526" s="1191"/>
      <c r="P526" s="1191"/>
      <c r="Q526" s="1191"/>
      <c r="R526" s="1191"/>
      <c r="S526" s="1191"/>
      <c r="T526" s="1191"/>
      <c r="U526" s="1191"/>
      <c r="V526" s="1191"/>
      <c r="W526" s="1190"/>
      <c r="Y526" s="1170"/>
      <c r="Z526" s="1192"/>
      <c r="AA526" s="1193"/>
    </row>
    <row r="527" spans="1:27" s="331" customFormat="1">
      <c r="A527" s="256"/>
      <c r="B527" s="817" t="s">
        <v>2654</v>
      </c>
      <c r="C527" s="1861"/>
      <c r="D527" s="1797"/>
      <c r="E527" s="1797"/>
      <c r="F527" s="1798"/>
      <c r="G527" s="1862">
        <v>0.31509999999999999</v>
      </c>
      <c r="H527" s="1781">
        <v>204.7945</v>
      </c>
      <c r="I527" s="284"/>
      <c r="L527" s="283"/>
      <c r="M527" s="693"/>
      <c r="N527" s="1191"/>
      <c r="O527" s="1191"/>
      <c r="P527" s="1191"/>
      <c r="Q527" s="1191"/>
      <c r="R527" s="1191"/>
      <c r="S527" s="1191"/>
      <c r="T527" s="1191"/>
      <c r="U527" s="1191"/>
      <c r="V527" s="1191"/>
      <c r="W527" s="1190"/>
      <c r="Y527" s="1170"/>
      <c r="Z527" s="1192"/>
      <c r="AA527" s="1193"/>
    </row>
    <row r="528" spans="1:27" s="331" customFormat="1">
      <c r="A528" s="256"/>
      <c r="B528" s="817" t="s">
        <v>2655</v>
      </c>
      <c r="C528" s="1861"/>
      <c r="D528" s="1797"/>
      <c r="E528" s="1797"/>
      <c r="F528" s="1798"/>
      <c r="G528" s="1862">
        <v>0.63009999999999999</v>
      </c>
      <c r="H528" s="1781">
        <v>409.589</v>
      </c>
      <c r="I528" s="284"/>
      <c r="L528" s="283"/>
      <c r="M528" s="693"/>
      <c r="N528" s="1191"/>
      <c r="O528" s="1191"/>
      <c r="P528" s="1191"/>
      <c r="Q528" s="1191"/>
      <c r="R528" s="1191"/>
      <c r="S528" s="1191"/>
      <c r="T528" s="1191"/>
      <c r="U528" s="1191"/>
      <c r="V528" s="1191"/>
      <c r="W528" s="1190"/>
      <c r="Y528" s="1170"/>
      <c r="Z528" s="1192"/>
      <c r="AA528" s="1193"/>
    </row>
    <row r="529" spans="1:27" s="331" customFormat="1">
      <c r="A529" s="256"/>
      <c r="B529" s="817" t="s">
        <v>2656</v>
      </c>
      <c r="C529" s="1861"/>
      <c r="D529" s="1797"/>
      <c r="E529" s="1797"/>
      <c r="F529" s="1798"/>
      <c r="G529" s="1862">
        <v>0.94520000000000004</v>
      </c>
      <c r="H529" s="1781">
        <v>614.3836</v>
      </c>
      <c r="I529" s="284"/>
      <c r="L529" s="283"/>
      <c r="M529" s="693"/>
      <c r="N529" s="1191"/>
      <c r="O529" s="1191"/>
      <c r="P529" s="1191"/>
      <c r="Q529" s="1191"/>
      <c r="R529" s="1191"/>
      <c r="S529" s="1191"/>
      <c r="T529" s="1191"/>
      <c r="U529" s="1191"/>
      <c r="V529" s="1191"/>
      <c r="W529" s="1190"/>
      <c r="Y529" s="1170"/>
      <c r="Z529" s="1192"/>
      <c r="AA529" s="1193"/>
    </row>
    <row r="530" spans="1:27" s="331" customFormat="1">
      <c r="A530" s="256"/>
      <c r="B530" s="817" t="s">
        <v>2657</v>
      </c>
      <c r="C530" s="1861"/>
      <c r="D530" s="1797"/>
      <c r="E530" s="1797"/>
      <c r="F530" s="1798"/>
      <c r="G530" s="1862">
        <v>1.109</v>
      </c>
      <c r="H530" s="1781">
        <v>720.87670000000003</v>
      </c>
      <c r="I530" s="284"/>
      <c r="L530" s="283"/>
      <c r="M530" s="693"/>
      <c r="N530" s="1191"/>
      <c r="O530" s="1191"/>
      <c r="P530" s="1191"/>
      <c r="Q530" s="1191"/>
      <c r="R530" s="1191"/>
      <c r="S530" s="1191"/>
      <c r="T530" s="1191"/>
      <c r="U530" s="1191"/>
      <c r="V530" s="1191"/>
      <c r="W530" s="1190"/>
      <c r="Y530" s="1170"/>
      <c r="Z530" s="1192"/>
      <c r="AA530" s="1193"/>
    </row>
    <row r="531" spans="1:27" s="331" customFormat="1">
      <c r="A531" s="256"/>
      <c r="B531" s="817" t="s">
        <v>2728</v>
      </c>
      <c r="C531" s="1861"/>
      <c r="D531" s="1797"/>
      <c r="E531" s="1797"/>
      <c r="F531" s="1798"/>
      <c r="G531" s="1862">
        <v>1.6636</v>
      </c>
      <c r="H531" s="1781">
        <v>1081.3151</v>
      </c>
      <c r="I531" s="284"/>
      <c r="L531" s="283"/>
      <c r="M531" s="693"/>
      <c r="N531" s="1191"/>
      <c r="O531" s="1191"/>
      <c r="P531" s="1191"/>
      <c r="Q531" s="1191"/>
      <c r="R531" s="1191"/>
      <c r="S531" s="1191"/>
      <c r="T531" s="1191"/>
      <c r="U531" s="1191"/>
      <c r="V531" s="1191"/>
      <c r="W531" s="1190"/>
      <c r="Y531" s="1170"/>
      <c r="Z531" s="1192"/>
      <c r="AA531" s="1193"/>
    </row>
    <row r="532" spans="1:27" s="593" customFormat="1">
      <c r="A532" s="295"/>
      <c r="B532" s="817" t="s">
        <v>2705</v>
      </c>
      <c r="C532" s="529"/>
      <c r="D532" s="1797"/>
      <c r="E532" s="1797"/>
      <c r="F532" s="1798"/>
      <c r="G532" s="1780">
        <v>0.73599999999999999</v>
      </c>
      <c r="H532" s="1781">
        <v>478.4</v>
      </c>
      <c r="I532" s="771"/>
      <c r="L532" s="772"/>
      <c r="M532" s="611"/>
      <c r="N532" s="305"/>
      <c r="O532" s="305"/>
      <c r="P532" s="305"/>
      <c r="Q532" s="305"/>
      <c r="R532" s="305"/>
      <c r="S532" s="305"/>
      <c r="T532" s="305"/>
      <c r="U532" s="305"/>
      <c r="V532" s="305"/>
      <c r="W532" s="699"/>
      <c r="Y532" s="759"/>
      <c r="Z532" s="730"/>
      <c r="AA532" s="678"/>
    </row>
    <row r="533" spans="1:27" s="593" customFormat="1">
      <c r="A533" s="295"/>
      <c r="B533" s="817" t="s">
        <v>2741</v>
      </c>
      <c r="C533" s="529"/>
      <c r="D533" s="1797"/>
      <c r="E533" s="1797"/>
      <c r="F533" s="1798"/>
      <c r="G533" s="1780">
        <v>1.2954000000000001</v>
      </c>
      <c r="H533" s="1781">
        <v>841.98400000000004</v>
      </c>
      <c r="I533" s="771"/>
      <c r="L533" s="772"/>
      <c r="M533" s="611"/>
      <c r="N533" s="305"/>
      <c r="O533" s="305"/>
      <c r="P533" s="305"/>
      <c r="Q533" s="305"/>
      <c r="R533" s="305"/>
      <c r="S533" s="305"/>
      <c r="T533" s="305"/>
      <c r="U533" s="305"/>
      <c r="V533" s="305"/>
      <c r="W533" s="699"/>
      <c r="Y533" s="759"/>
      <c r="Z533" s="730"/>
      <c r="AA533" s="678"/>
    </row>
    <row r="534" spans="1:27" s="593" customFormat="1">
      <c r="A534" s="295"/>
      <c r="B534" s="817" t="s">
        <v>2740</v>
      </c>
      <c r="C534" s="529"/>
      <c r="D534" s="1797"/>
      <c r="E534" s="1797"/>
      <c r="F534" s="1798"/>
      <c r="G534" s="1780">
        <v>0.184</v>
      </c>
      <c r="H534" s="1781">
        <v>119.6</v>
      </c>
      <c r="I534" s="771"/>
      <c r="L534" s="772"/>
      <c r="M534" s="611"/>
      <c r="N534" s="305"/>
      <c r="O534" s="305"/>
      <c r="P534" s="305"/>
      <c r="Q534" s="305"/>
      <c r="R534" s="305"/>
      <c r="S534" s="305"/>
      <c r="T534" s="305"/>
      <c r="U534" s="305"/>
      <c r="V534" s="305"/>
      <c r="W534" s="699"/>
      <c r="Y534" s="759"/>
      <c r="Z534" s="730"/>
      <c r="AA534" s="678"/>
    </row>
    <row r="535" spans="1:27" s="331" customFormat="1">
      <c r="A535" s="256"/>
      <c r="B535" s="817" t="s">
        <v>2729</v>
      </c>
      <c r="C535" s="817"/>
      <c r="D535" s="817"/>
      <c r="E535" s="817"/>
      <c r="F535" s="817"/>
      <c r="G535" s="1780">
        <v>1.1040000000000001</v>
      </c>
      <c r="H535" s="1781">
        <v>717.6</v>
      </c>
      <c r="I535" s="284"/>
      <c r="L535" s="283"/>
      <c r="M535" s="693"/>
      <c r="N535" s="42"/>
      <c r="O535" s="42"/>
      <c r="P535" s="42"/>
      <c r="Q535" s="42"/>
      <c r="R535" s="42"/>
      <c r="S535" s="42"/>
      <c r="T535" s="1191"/>
      <c r="U535" s="42"/>
      <c r="V535" s="1191"/>
      <c r="W535" s="93"/>
      <c r="Y535" s="280"/>
      <c r="Z535" s="218"/>
      <c r="AA535" s="66"/>
    </row>
    <row r="536" spans="1:27" s="331" customFormat="1">
      <c r="A536" s="256"/>
      <c r="B536" s="817" t="s">
        <v>2730</v>
      </c>
      <c r="C536" s="817"/>
      <c r="D536" s="817"/>
      <c r="E536" s="817"/>
      <c r="F536" s="817"/>
      <c r="G536" s="1780">
        <v>1.9430000000000001</v>
      </c>
      <c r="H536" s="1781">
        <v>1262.9760000000001</v>
      </c>
      <c r="I536" s="284"/>
      <c r="L536" s="283"/>
      <c r="M536" s="693"/>
      <c r="N536" s="42"/>
      <c r="O536" s="42"/>
      <c r="P536" s="42"/>
      <c r="Q536" s="42"/>
      <c r="R536" s="42"/>
      <c r="S536" s="42"/>
      <c r="T536" s="1191"/>
      <c r="U536" s="42"/>
      <c r="V536" s="1191"/>
      <c r="W536" s="93"/>
      <c r="Y536" s="280"/>
      <c r="Z536" s="218"/>
      <c r="AA536" s="66"/>
    </row>
    <row r="537" spans="1:27" s="331" customFormat="1">
      <c r="A537" s="256"/>
      <c r="B537" s="817" t="s">
        <v>2731</v>
      </c>
      <c r="C537" s="817"/>
      <c r="D537" s="817"/>
      <c r="E537" s="817"/>
      <c r="F537" s="817"/>
      <c r="G537" s="1780">
        <v>3.8860999999999999</v>
      </c>
      <c r="H537" s="1781">
        <v>2525.9520000000002</v>
      </c>
      <c r="I537" s="284"/>
      <c r="L537" s="283"/>
      <c r="M537" s="693"/>
      <c r="N537" s="42"/>
      <c r="O537" s="42"/>
      <c r="P537" s="42"/>
      <c r="Q537" s="42"/>
      <c r="R537" s="42"/>
      <c r="S537" s="42"/>
      <c r="T537" s="1191"/>
      <c r="U537" s="42"/>
      <c r="V537" s="1191"/>
      <c r="W537" s="93"/>
      <c r="Y537" s="280"/>
      <c r="Z537" s="218"/>
      <c r="AA537" s="66"/>
    </row>
    <row r="538" spans="1:27" s="331" customFormat="1">
      <c r="A538" s="256"/>
      <c r="B538" s="817" t="s">
        <v>2732</v>
      </c>
      <c r="C538" s="817"/>
      <c r="D538" s="817"/>
      <c r="E538" s="817"/>
      <c r="F538" s="817"/>
      <c r="G538" s="1780">
        <v>7.7721999999999998</v>
      </c>
      <c r="H538" s="1781">
        <v>5051.9040000000005</v>
      </c>
      <c r="I538" s="284"/>
      <c r="L538" s="283"/>
      <c r="M538" s="693"/>
      <c r="N538" s="42"/>
      <c r="O538" s="42"/>
      <c r="P538" s="42"/>
      <c r="Q538" s="42"/>
      <c r="R538" s="42"/>
      <c r="S538" s="42"/>
      <c r="T538" s="1191"/>
      <c r="U538" s="42"/>
      <c r="V538" s="1191"/>
      <c r="W538" s="93"/>
      <c r="Y538" s="280"/>
      <c r="Z538" s="218"/>
      <c r="AA538" s="66"/>
    </row>
    <row r="539" spans="1:27" s="331" customFormat="1">
      <c r="A539" s="256"/>
      <c r="B539" s="817" t="s">
        <v>2733</v>
      </c>
      <c r="C539" s="817"/>
      <c r="D539" s="817"/>
      <c r="E539" s="817"/>
      <c r="F539" s="817"/>
      <c r="G539" s="1780">
        <v>1.1040000000000001</v>
      </c>
      <c r="H539" s="1781">
        <v>717.6</v>
      </c>
      <c r="I539" s="284"/>
      <c r="L539" s="283"/>
      <c r="M539" s="693"/>
      <c r="N539" s="42"/>
      <c r="O539" s="42"/>
      <c r="P539" s="42"/>
      <c r="Q539" s="42"/>
      <c r="R539" s="42"/>
      <c r="S539" s="42"/>
      <c r="T539" s="1191"/>
      <c r="U539" s="42"/>
      <c r="V539" s="1191"/>
      <c r="W539" s="93"/>
      <c r="Y539" s="280"/>
      <c r="Z539" s="218"/>
      <c r="AA539" s="66"/>
    </row>
    <row r="540" spans="1:27" s="331" customFormat="1">
      <c r="A540" s="256"/>
      <c r="B540" s="817" t="s">
        <v>2734</v>
      </c>
      <c r="C540" s="817"/>
      <c r="D540" s="817"/>
      <c r="E540" s="817"/>
      <c r="F540" s="817"/>
      <c r="G540" s="1780">
        <v>1.9430000000000001</v>
      </c>
      <c r="H540" s="1781">
        <v>1262.9760000000001</v>
      </c>
      <c r="I540" s="284"/>
      <c r="L540" s="283"/>
      <c r="M540" s="693"/>
      <c r="N540" s="42"/>
      <c r="O540" s="42"/>
      <c r="P540" s="42"/>
      <c r="Q540" s="42"/>
      <c r="R540" s="42"/>
      <c r="S540" s="42"/>
      <c r="T540" s="1191"/>
      <c r="U540" s="42"/>
      <c r="V540" s="1191"/>
      <c r="W540" s="93"/>
      <c r="Y540" s="280"/>
      <c r="Z540" s="218"/>
      <c r="AA540" s="66"/>
    </row>
    <row r="541" spans="1:27" s="331" customFormat="1">
      <c r="A541" s="256"/>
      <c r="B541" s="817" t="s">
        <v>2735</v>
      </c>
      <c r="C541" s="817"/>
      <c r="D541" s="817"/>
      <c r="E541" s="817"/>
      <c r="F541" s="817"/>
      <c r="G541" s="1780">
        <v>3.8860999999999999</v>
      </c>
      <c r="H541" s="1781">
        <v>2525.9520000000002</v>
      </c>
      <c r="I541" s="284"/>
      <c r="L541" s="283"/>
      <c r="M541" s="693"/>
      <c r="N541" s="42"/>
      <c r="O541" s="42"/>
      <c r="P541" s="42"/>
      <c r="Q541" s="42"/>
      <c r="R541" s="42"/>
      <c r="S541" s="42"/>
      <c r="T541" s="1191"/>
      <c r="U541" s="42"/>
      <c r="V541" s="1191"/>
      <c r="W541" s="93"/>
      <c r="Y541" s="280"/>
      <c r="Z541" s="218"/>
      <c r="AA541" s="66"/>
    </row>
    <row r="542" spans="1:27" s="331" customFormat="1">
      <c r="A542" s="256"/>
      <c r="B542" s="817" t="s">
        <v>2736</v>
      </c>
      <c r="C542" s="817"/>
      <c r="D542" s="817"/>
      <c r="E542" s="817"/>
      <c r="F542" s="817"/>
      <c r="G542" s="1780">
        <v>7.7721999999999998</v>
      </c>
      <c r="H542" s="1781">
        <v>5051.9040000000005</v>
      </c>
      <c r="I542" s="284"/>
      <c r="L542" s="283"/>
      <c r="M542" s="165"/>
      <c r="N542" s="42"/>
      <c r="O542" s="42"/>
      <c r="P542" s="42"/>
      <c r="Q542" s="42"/>
      <c r="R542" s="42"/>
      <c r="S542" s="42"/>
      <c r="T542" s="1191"/>
      <c r="U542" s="42"/>
      <c r="V542" s="1191"/>
      <c r="W542" s="93"/>
      <c r="Y542" s="280"/>
      <c r="Z542" s="218"/>
      <c r="AA542" s="66"/>
    </row>
    <row r="543" spans="1:27" s="1498" customFormat="1">
      <c r="A543" s="256"/>
      <c r="B543" s="1850" t="s">
        <v>2674</v>
      </c>
      <c r="C543" s="1858"/>
      <c r="D543" s="1858"/>
      <c r="E543" s="1858"/>
      <c r="F543" s="1863"/>
      <c r="G543" s="1859">
        <v>0.36799999999999999</v>
      </c>
      <c r="H543" s="1860">
        <v>239.2</v>
      </c>
      <c r="I543" s="284"/>
      <c r="L543" s="283"/>
      <c r="M543" s="693"/>
      <c r="N543" s="1191"/>
      <c r="O543" s="1191"/>
      <c r="P543" s="1191"/>
      <c r="Q543" s="1191"/>
      <c r="R543" s="1191"/>
      <c r="S543" s="1191"/>
      <c r="T543" s="1191"/>
      <c r="U543" s="1191"/>
      <c r="V543" s="1191"/>
      <c r="W543" s="1190"/>
      <c r="Y543" s="1170"/>
      <c r="Z543" s="1492"/>
      <c r="AA543" s="1193"/>
    </row>
    <row r="544" spans="1:27" s="1498" customFormat="1">
      <c r="A544" s="256"/>
      <c r="B544" s="1850" t="s">
        <v>2675</v>
      </c>
      <c r="C544" s="1858"/>
      <c r="D544" s="1858"/>
      <c r="E544" s="1858"/>
      <c r="F544" s="1863"/>
      <c r="G544" s="1859">
        <v>0.73599999999999999</v>
      </c>
      <c r="H544" s="1860">
        <v>478.4</v>
      </c>
      <c r="I544" s="284"/>
      <c r="L544" s="283"/>
      <c r="M544" s="693"/>
      <c r="N544" s="1191"/>
      <c r="O544" s="1191"/>
      <c r="P544" s="1191"/>
      <c r="Q544" s="1191"/>
      <c r="R544" s="1191"/>
      <c r="S544" s="1191"/>
      <c r="T544" s="1191"/>
      <c r="U544" s="1191"/>
      <c r="V544" s="1191"/>
      <c r="W544" s="1190"/>
      <c r="Y544" s="1170"/>
      <c r="Z544" s="1492"/>
      <c r="AA544" s="1193"/>
    </row>
    <row r="545" spans="1:27" s="1498" customFormat="1">
      <c r="A545" s="256"/>
      <c r="B545" s="1850" t="s">
        <v>2676</v>
      </c>
      <c r="C545" s="1858"/>
      <c r="D545" s="1858"/>
      <c r="E545" s="1858"/>
      <c r="F545" s="1863"/>
      <c r="G545" s="1859">
        <v>1.2954000000000001</v>
      </c>
      <c r="H545" s="1860">
        <v>842.0100000000001</v>
      </c>
      <c r="I545" s="284"/>
      <c r="L545" s="283"/>
      <c r="M545" s="693"/>
      <c r="N545" s="1191"/>
      <c r="O545" s="1191"/>
      <c r="P545" s="1191"/>
      <c r="Q545" s="1191"/>
      <c r="R545" s="1191"/>
      <c r="S545" s="1191"/>
      <c r="T545" s="1191"/>
      <c r="U545" s="1191"/>
      <c r="V545" s="1191"/>
      <c r="W545" s="1190"/>
      <c r="Y545" s="1170"/>
      <c r="Z545" s="1492"/>
      <c r="AA545" s="1193"/>
    </row>
    <row r="546" spans="1:27" s="163" customFormat="1" ht="15" customHeight="1">
      <c r="A546" s="72"/>
      <c r="B546" s="1169"/>
      <c r="C546" s="1169"/>
      <c r="D546" s="1169"/>
      <c r="E546" s="1169"/>
      <c r="F546" s="1169"/>
      <c r="G546" s="1169"/>
      <c r="H546" s="1167"/>
      <c r="I546" s="41"/>
      <c r="J546" s="331"/>
      <c r="K546" s="331"/>
      <c r="L546" s="218"/>
      <c r="M546" s="218"/>
      <c r="N546" s="218"/>
      <c r="O546" s="218"/>
      <c r="P546" s="218"/>
      <c r="Q546" s="218"/>
      <c r="R546" s="218"/>
      <c r="S546" s="218"/>
      <c r="T546" s="1192"/>
      <c r="U546" s="218"/>
      <c r="V546" s="1192"/>
      <c r="W546" s="93"/>
      <c r="X546" s="1"/>
      <c r="Y546" s="280"/>
      <c r="Z546" s="218"/>
      <c r="AA546" s="66"/>
    </row>
    <row r="547" spans="1:27" s="163" customFormat="1" ht="16.5" customHeight="1">
      <c r="A547" s="53"/>
      <c r="B547" s="1999" t="s">
        <v>272</v>
      </c>
      <c r="C547" s="2000"/>
      <c r="D547" s="2001"/>
      <c r="E547" s="26" t="s">
        <v>147</v>
      </c>
      <c r="F547" s="42"/>
      <c r="G547" s="4" t="s">
        <v>219</v>
      </c>
      <c r="H547" s="5"/>
      <c r="I547" s="5"/>
      <c r="J547" s="331"/>
      <c r="K547" s="331"/>
      <c r="L547" s="299"/>
      <c r="M547" s="299"/>
      <c r="N547" s="300"/>
      <c r="O547" s="299"/>
      <c r="P547" s="299"/>
      <c r="Q547" s="299"/>
      <c r="R547" s="299"/>
      <c r="S547" s="299"/>
      <c r="T547" s="299"/>
      <c r="U547" s="299"/>
      <c r="V547" s="299"/>
      <c r="W547" s="93"/>
      <c r="X547" s="1"/>
      <c r="Y547" s="280"/>
      <c r="Z547" s="218"/>
      <c r="AA547" s="66"/>
    </row>
    <row r="548" spans="1:27" s="163" customFormat="1" ht="45" customHeight="1">
      <c r="A548" s="53"/>
      <c r="B548" s="290" t="s">
        <v>2</v>
      </c>
      <c r="C548" s="287"/>
      <c r="D548" s="288"/>
      <c r="E548" s="288"/>
      <c r="F548" s="289"/>
      <c r="G548" s="291" t="s">
        <v>225</v>
      </c>
      <c r="H548" s="291" t="s">
        <v>226</v>
      </c>
      <c r="I548" s="5"/>
      <c r="J548" s="331"/>
      <c r="K548" s="331"/>
      <c r="L548" s="218"/>
      <c r="M548" s="218"/>
      <c r="N548" s="218"/>
      <c r="O548" s="218"/>
      <c r="P548" s="218"/>
      <c r="Q548" s="218"/>
      <c r="R548" s="218"/>
      <c r="S548" s="218"/>
      <c r="T548" s="1192"/>
      <c r="U548" s="218"/>
      <c r="V548" s="1192"/>
      <c r="W548" s="93"/>
      <c r="X548" s="1"/>
      <c r="Y548" s="280"/>
      <c r="Z548" s="218"/>
      <c r="AA548" s="66"/>
    </row>
    <row r="549" spans="1:27" s="163" customFormat="1" ht="15" customHeight="1">
      <c r="A549" s="53"/>
      <c r="B549" s="307" t="s">
        <v>581</v>
      </c>
      <c r="C549" s="308"/>
      <c r="D549" s="309"/>
      <c r="E549" s="309"/>
      <c r="F549" s="310"/>
      <c r="G549" s="1523">
        <v>0.4511</v>
      </c>
      <c r="H549" s="1524">
        <v>312.90350000000001</v>
      </c>
      <c r="I549" s="292"/>
      <c r="J549" s="331"/>
      <c r="K549" s="331"/>
      <c r="L549" s="300"/>
      <c r="M549" s="300"/>
      <c r="N549" s="300"/>
      <c r="O549" s="299"/>
      <c r="P549" s="299"/>
      <c r="Q549" s="299"/>
      <c r="R549" s="299"/>
      <c r="S549" s="299"/>
      <c r="T549" s="299"/>
      <c r="U549" s="299"/>
      <c r="V549" s="299"/>
      <c r="W549" s="93"/>
      <c r="X549" s="1"/>
      <c r="Y549" s="280"/>
      <c r="Z549" s="218"/>
      <c r="AA549" s="66"/>
    </row>
    <row r="550" spans="1:27" s="163" customFormat="1" ht="15" customHeight="1">
      <c r="A550" s="53"/>
      <c r="B550" s="307" t="s">
        <v>585</v>
      </c>
      <c r="C550" s="308"/>
      <c r="D550" s="309"/>
      <c r="E550" s="309"/>
      <c r="F550" s="310"/>
      <c r="G550" s="1523">
        <v>0.4511</v>
      </c>
      <c r="H550" s="1524">
        <v>312.90350000000001</v>
      </c>
      <c r="I550" s="292"/>
      <c r="J550" s="331"/>
      <c r="K550" s="331"/>
      <c r="L550" s="300"/>
      <c r="M550" s="300"/>
      <c r="N550" s="300"/>
      <c r="O550" s="299"/>
      <c r="P550" s="299"/>
      <c r="Q550" s="299"/>
      <c r="R550" s="299"/>
      <c r="S550" s="299"/>
      <c r="T550" s="299"/>
      <c r="U550" s="299"/>
      <c r="V550" s="299"/>
      <c r="W550" s="93"/>
      <c r="X550" s="1"/>
      <c r="Y550" s="280"/>
      <c r="Z550" s="218"/>
      <c r="AA550" s="66"/>
    </row>
    <row r="551" spans="1:27" s="163" customFormat="1" ht="15" customHeight="1">
      <c r="A551" s="53"/>
      <c r="B551" s="307" t="s">
        <v>582</v>
      </c>
      <c r="C551" s="308"/>
      <c r="D551" s="309"/>
      <c r="E551" s="309"/>
      <c r="F551" s="310"/>
      <c r="G551" s="1523">
        <v>0.4511</v>
      </c>
      <c r="H551" s="1524">
        <v>312.90350000000001</v>
      </c>
      <c r="I551" s="292"/>
      <c r="J551" s="331"/>
      <c r="K551" s="331"/>
      <c r="L551" s="218"/>
      <c r="M551" s="218"/>
      <c r="N551" s="218"/>
      <c r="O551" s="218"/>
      <c r="P551" s="218"/>
      <c r="Q551" s="218"/>
      <c r="R551" s="218"/>
      <c r="S551" s="218"/>
      <c r="T551" s="1192"/>
      <c r="U551" s="218"/>
      <c r="V551" s="1192"/>
      <c r="W551" s="93"/>
      <c r="X551" s="1"/>
      <c r="Y551" s="280"/>
      <c r="Z551" s="218"/>
      <c r="AA551" s="66"/>
    </row>
    <row r="552" spans="1:27" s="163" customFormat="1" ht="15" customHeight="1">
      <c r="A552" s="53"/>
      <c r="B552" s="307" t="s">
        <v>583</v>
      </c>
      <c r="C552" s="308"/>
      <c r="D552" s="309"/>
      <c r="E552" s="309"/>
      <c r="F552" s="310"/>
      <c r="G552" s="1523">
        <v>0.4511</v>
      </c>
      <c r="H552" s="1524">
        <v>312.90350000000001</v>
      </c>
      <c r="I552" s="292"/>
      <c r="J552" s="331"/>
      <c r="K552" s="331"/>
      <c r="L552" s="300"/>
      <c r="M552" s="300"/>
      <c r="N552" s="300"/>
      <c r="O552" s="299"/>
      <c r="P552" s="299"/>
      <c r="Q552" s="299"/>
      <c r="R552" s="299"/>
      <c r="S552" s="299"/>
      <c r="T552" s="299"/>
      <c r="U552" s="299"/>
      <c r="V552" s="299"/>
      <c r="W552" s="93"/>
      <c r="X552" s="1"/>
      <c r="Y552" s="280"/>
      <c r="Z552" s="218"/>
      <c r="AA552" s="66"/>
    </row>
    <row r="553" spans="1:27" s="163" customFormat="1" ht="15" customHeight="1">
      <c r="A553" s="53"/>
      <c r="B553" s="307" t="s">
        <v>584</v>
      </c>
      <c r="C553" s="308"/>
      <c r="D553" s="309"/>
      <c r="E553" s="309"/>
      <c r="F553" s="310"/>
      <c r="G553" s="1523">
        <v>0.4511</v>
      </c>
      <c r="H553" s="1524">
        <v>312.90350000000001</v>
      </c>
      <c r="I553" s="292"/>
      <c r="J553" s="104"/>
      <c r="K553" s="104"/>
      <c r="L553" s="218"/>
      <c r="M553" s="218"/>
      <c r="N553" s="218"/>
      <c r="O553" s="218"/>
      <c r="P553" s="218"/>
      <c r="Q553" s="218"/>
      <c r="R553" s="218"/>
      <c r="S553" s="218"/>
      <c r="T553" s="1192"/>
      <c r="U553" s="218"/>
      <c r="V553" s="1192"/>
      <c r="W553" s="93"/>
      <c r="X553" s="1"/>
      <c r="Y553" s="280"/>
      <c r="Z553" s="218"/>
      <c r="AA553" s="66"/>
    </row>
    <row r="554" spans="1:27" s="39" customFormat="1" ht="15" customHeight="1">
      <c r="A554" s="41"/>
      <c r="B554" s="41"/>
      <c r="C554" s="41"/>
      <c r="D554" s="41"/>
      <c r="E554" s="41"/>
      <c r="F554" s="41"/>
      <c r="G554" s="41"/>
      <c r="H554" s="5"/>
      <c r="I554" s="41"/>
      <c r="J554" s="104"/>
      <c r="K554" s="104"/>
      <c r="L554" s="41"/>
      <c r="M554" s="41"/>
      <c r="N554" s="41"/>
      <c r="O554" s="5"/>
      <c r="P554" s="5"/>
      <c r="Q554" s="5"/>
      <c r="R554" s="5"/>
      <c r="S554" s="5"/>
      <c r="T554" s="1175"/>
      <c r="U554" s="5"/>
      <c r="V554" s="1175"/>
      <c r="W554" s="93"/>
      <c r="X554" s="1"/>
      <c r="Y554" s="280"/>
      <c r="Z554" s="218"/>
      <c r="AA554" s="66"/>
    </row>
    <row r="555" spans="1:27" s="39" customFormat="1" ht="15" customHeight="1">
      <c r="A555" s="41"/>
      <c r="B555" s="41"/>
      <c r="C555" s="41"/>
      <c r="D555" s="41"/>
      <c r="E555" s="41"/>
      <c r="F555" s="41"/>
      <c r="G555" s="41"/>
      <c r="H555" s="5"/>
      <c r="I555" s="41"/>
      <c r="J555" s="104"/>
      <c r="K555" s="104"/>
      <c r="L555" s="41"/>
      <c r="M555" s="41"/>
      <c r="N555" s="41"/>
      <c r="O555" s="5"/>
      <c r="P555" s="5"/>
      <c r="Q555" s="5"/>
      <c r="R555" s="5"/>
      <c r="S555" s="5"/>
      <c r="T555" s="1175"/>
      <c r="U555" s="5"/>
      <c r="V555" s="1175"/>
      <c r="W555" s="93"/>
      <c r="X555" s="1"/>
      <c r="Y555" s="280"/>
      <c r="Z555" s="218"/>
      <c r="AA555" s="66"/>
    </row>
    <row r="556" spans="1:27" ht="15" customHeight="1">
      <c r="A556" s="53"/>
      <c r="B556" s="814"/>
      <c r="C556" s="814"/>
      <c r="D556" s="814"/>
      <c r="E556" s="814"/>
      <c r="F556" s="814"/>
      <c r="G556" s="58"/>
      <c r="H556" s="5"/>
      <c r="I556" s="5"/>
      <c r="J556" s="104"/>
      <c r="K556" s="104"/>
      <c r="L556" s="5"/>
      <c r="M556" s="5"/>
      <c r="N556" s="24"/>
      <c r="O556" s="5"/>
      <c r="P556" s="5"/>
      <c r="Q556" s="5"/>
      <c r="R556" s="5"/>
      <c r="S556" s="5"/>
      <c r="T556" s="1175"/>
      <c r="U556" s="5"/>
      <c r="V556" s="1175"/>
      <c r="W556" s="93"/>
      <c r="X556" s="1"/>
      <c r="Y556" s="280"/>
      <c r="Z556" s="218"/>
      <c r="AA556" s="66"/>
    </row>
    <row r="557" spans="1:27" ht="16.5" customHeight="1">
      <c r="A557" s="53"/>
      <c r="B557" s="137" t="s">
        <v>223</v>
      </c>
      <c r="C557" s="26" t="s">
        <v>147</v>
      </c>
      <c r="D557" s="42"/>
      <c r="E557" s="4" t="s">
        <v>219</v>
      </c>
      <c r="F557" s="42"/>
      <c r="G557" s="43"/>
      <c r="H557" s="5"/>
      <c r="I557" s="5"/>
      <c r="J557" s="5"/>
      <c r="K557" s="5"/>
      <c r="L557" s="5"/>
      <c r="M557" s="5"/>
      <c r="N557" s="41"/>
      <c r="O557" s="5"/>
      <c r="P557" s="5"/>
      <c r="Q557" s="5"/>
      <c r="R557" s="5"/>
      <c r="S557" s="5"/>
      <c r="T557" s="1175"/>
      <c r="U557" s="5"/>
      <c r="V557" s="1175"/>
      <c r="W557" s="93"/>
      <c r="X557" s="1"/>
      <c r="Y557" s="280"/>
      <c r="Z557" s="218"/>
      <c r="AA557" s="66"/>
    </row>
    <row r="558" spans="1:27" ht="60.75" customHeight="1">
      <c r="A558" s="53"/>
      <c r="B558" s="138" t="s">
        <v>2</v>
      </c>
      <c r="C558" s="108"/>
      <c r="D558" s="108"/>
      <c r="E558" s="108"/>
      <c r="F558" s="108"/>
      <c r="G558" s="108" t="s">
        <v>225</v>
      </c>
      <c r="H558" s="108" t="s">
        <v>226</v>
      </c>
      <c r="I558" s="5"/>
      <c r="J558" s="5"/>
      <c r="K558" s="5"/>
      <c r="L558" s="107"/>
      <c r="M558" s="127"/>
      <c r="N558" s="41"/>
      <c r="O558" s="5"/>
      <c r="P558" s="5"/>
      <c r="Q558" s="5"/>
      <c r="R558" s="5"/>
      <c r="S558" s="5"/>
      <c r="T558" s="1175"/>
      <c r="U558" s="5"/>
      <c r="V558" s="1175"/>
      <c r="W558" s="93"/>
      <c r="X558" s="1"/>
      <c r="Y558" s="40"/>
      <c r="Z558" s="132"/>
      <c r="AA558" s="7"/>
    </row>
    <row r="559" spans="1:27" ht="15" customHeight="1">
      <c r="A559" s="53"/>
      <c r="B559" s="1850" t="s">
        <v>2608</v>
      </c>
      <c r="C559" s="817"/>
      <c r="D559" s="817"/>
      <c r="E559" s="817"/>
      <c r="F559" s="817"/>
      <c r="G559" s="1783">
        <v>6.1400000000000003E-2</v>
      </c>
      <c r="H559" s="1525">
        <v>44.85</v>
      </c>
      <c r="I559" s="174"/>
      <c r="J559" s="164"/>
      <c r="K559" s="164"/>
      <c r="L559" s="24"/>
      <c r="M559" s="41"/>
      <c r="N559" s="41"/>
      <c r="O559" s="5"/>
      <c r="P559" s="5"/>
      <c r="Q559" s="5"/>
      <c r="R559" s="5"/>
      <c r="S559" s="5"/>
      <c r="T559" s="1175"/>
      <c r="U559" s="5"/>
      <c r="V559" s="1175"/>
      <c r="W559" s="93"/>
      <c r="X559" s="1"/>
      <c r="Y559" s="72"/>
      <c r="Z559" s="132"/>
      <c r="AA559" s="7"/>
    </row>
    <row r="560" spans="1:27" ht="15" customHeight="1">
      <c r="A560" s="53"/>
      <c r="B560" s="1850" t="s">
        <v>2609</v>
      </c>
      <c r="C560" s="817"/>
      <c r="D560" s="817"/>
      <c r="E560" s="817"/>
      <c r="F560" s="817"/>
      <c r="G560" s="1783">
        <v>6.1400000000000003E-2</v>
      </c>
      <c r="H560" s="1525">
        <v>44.85</v>
      </c>
      <c r="I560" s="174"/>
      <c r="J560" s="164"/>
      <c r="K560" s="164"/>
      <c r="L560" s="24"/>
      <c r="M560" s="41"/>
      <c r="N560" s="41"/>
      <c r="O560" s="5"/>
      <c r="P560" s="5"/>
      <c r="Q560" s="5"/>
      <c r="R560" s="5"/>
      <c r="S560" s="5"/>
      <c r="T560" s="1175"/>
      <c r="U560" s="5"/>
      <c r="V560" s="1175"/>
      <c r="W560" s="93"/>
      <c r="X560" s="1"/>
      <c r="Y560" s="72"/>
      <c r="Z560" s="132"/>
      <c r="AA560" s="7"/>
    </row>
    <row r="561" spans="1:27" s="613" customFormat="1" ht="15" customHeight="1">
      <c r="A561" s="53"/>
      <c r="B561" s="1850" t="s">
        <v>2722</v>
      </c>
      <c r="C561" s="817"/>
      <c r="D561" s="817"/>
      <c r="E561" s="817"/>
      <c r="F561" s="817"/>
      <c r="G561" s="1783">
        <v>6.1400000000000003E-2</v>
      </c>
      <c r="H561" s="1525">
        <v>44.85</v>
      </c>
      <c r="I561" s="174"/>
      <c r="J561" s="164"/>
      <c r="K561" s="164"/>
      <c r="L561" s="41"/>
      <c r="M561" s="41"/>
      <c r="N561" s="41"/>
      <c r="O561" s="5"/>
      <c r="P561" s="5"/>
      <c r="Q561" s="5"/>
      <c r="R561" s="5"/>
      <c r="S561" s="5"/>
      <c r="T561" s="1175"/>
      <c r="U561" s="5"/>
      <c r="V561" s="1175"/>
      <c r="W561" s="93"/>
      <c r="X561" s="1"/>
      <c r="Y561" s="72"/>
      <c r="Z561" s="218"/>
      <c r="AA561" s="7"/>
    </row>
    <row r="562" spans="1:27" s="613" customFormat="1" ht="15" customHeight="1">
      <c r="A562" s="53"/>
      <c r="B562" s="1850" t="s">
        <v>2723</v>
      </c>
      <c r="C562" s="817"/>
      <c r="D562" s="817"/>
      <c r="E562" s="817"/>
      <c r="F562" s="817"/>
      <c r="G562" s="1783">
        <v>0.1118</v>
      </c>
      <c r="H562" s="1525">
        <v>81.650000000000006</v>
      </c>
      <c r="I562" s="174"/>
      <c r="J562" s="164"/>
      <c r="K562" s="164"/>
      <c r="L562" s="41"/>
      <c r="M562" s="41"/>
      <c r="N562" s="41"/>
      <c r="O562" s="5"/>
      <c r="P562" s="5"/>
      <c r="Q562" s="5"/>
      <c r="R562" s="5"/>
      <c r="S562" s="5"/>
      <c r="T562" s="1175"/>
      <c r="U562" s="5"/>
      <c r="V562" s="1175"/>
      <c r="W562" s="93"/>
      <c r="X562" s="1"/>
      <c r="Y562" s="72"/>
      <c r="Z562" s="218"/>
      <c r="AA562" s="7"/>
    </row>
    <row r="563" spans="1:27" s="613" customFormat="1" ht="15" customHeight="1">
      <c r="A563" s="53"/>
      <c r="B563" s="1850" t="s">
        <v>2724</v>
      </c>
      <c r="C563" s="817"/>
      <c r="D563" s="817"/>
      <c r="E563" s="817"/>
      <c r="F563" s="817"/>
      <c r="G563" s="1783">
        <v>0.1118</v>
      </c>
      <c r="H563" s="1525">
        <v>81.650000000000006</v>
      </c>
      <c r="I563" s="174"/>
      <c r="J563" s="164"/>
      <c r="K563" s="164"/>
      <c r="L563" s="41"/>
      <c r="M563" s="41"/>
      <c r="N563" s="41"/>
      <c r="O563" s="5"/>
      <c r="P563" s="5"/>
      <c r="Q563" s="5"/>
      <c r="R563" s="5"/>
      <c r="S563" s="5"/>
      <c r="T563" s="1175"/>
      <c r="U563" s="5"/>
      <c r="V563" s="1175"/>
      <c r="W563" s="93"/>
      <c r="X563" s="1"/>
      <c r="Y563" s="72"/>
      <c r="Z563" s="218"/>
      <c r="AA563" s="7"/>
    </row>
    <row r="564" spans="1:27" s="613" customFormat="1" ht="15" customHeight="1">
      <c r="A564" s="53"/>
      <c r="B564" s="1850" t="s">
        <v>2604</v>
      </c>
      <c r="C564" s="817"/>
      <c r="D564" s="817"/>
      <c r="E564" s="817"/>
      <c r="F564" s="817"/>
      <c r="G564" s="1783">
        <v>6.1400000000000003E-2</v>
      </c>
      <c r="H564" s="1525">
        <v>44.85</v>
      </c>
      <c r="I564" s="174"/>
      <c r="J564" s="164"/>
      <c r="K564" s="164"/>
      <c r="L564" s="41"/>
      <c r="M564" s="41"/>
      <c r="N564" s="41"/>
      <c r="O564" s="5"/>
      <c r="P564" s="5"/>
      <c r="Q564" s="5"/>
      <c r="R564" s="5"/>
      <c r="S564" s="5"/>
      <c r="T564" s="1175"/>
      <c r="U564" s="5"/>
      <c r="V564" s="1175"/>
      <c r="W564" s="93"/>
      <c r="X564" s="1"/>
      <c r="Y564" s="72"/>
      <c r="Z564" s="218"/>
      <c r="AA564" s="7"/>
    </row>
    <row r="565" spans="1:27" s="613" customFormat="1" ht="15" customHeight="1">
      <c r="A565" s="53"/>
      <c r="B565" s="1850" t="s">
        <v>2605</v>
      </c>
      <c r="C565" s="817"/>
      <c r="D565" s="817"/>
      <c r="E565" s="817"/>
      <c r="F565" s="817"/>
      <c r="G565" s="1783">
        <v>6.1400000000000003E-2</v>
      </c>
      <c r="H565" s="1525">
        <v>44.85</v>
      </c>
      <c r="I565" s="174"/>
      <c r="J565" s="164"/>
      <c r="K565" s="164"/>
      <c r="L565" s="41"/>
      <c r="M565" s="41"/>
      <c r="N565" s="41"/>
      <c r="O565" s="5"/>
      <c r="P565" s="5"/>
      <c r="Q565" s="5"/>
      <c r="R565" s="5"/>
      <c r="S565" s="5"/>
      <c r="T565" s="1175"/>
      <c r="U565" s="5"/>
      <c r="V565" s="1175"/>
      <c r="W565" s="93"/>
      <c r="X565" s="1"/>
      <c r="Y565" s="72"/>
      <c r="Z565" s="218"/>
      <c r="AA565" s="7"/>
    </row>
    <row r="566" spans="1:27" s="613" customFormat="1" ht="15" customHeight="1">
      <c r="A566" s="53"/>
      <c r="B566" s="1850" t="s">
        <v>2394</v>
      </c>
      <c r="C566" s="817"/>
      <c r="D566" s="817"/>
      <c r="E566" s="817"/>
      <c r="F566" s="817"/>
      <c r="G566" s="1783">
        <v>6.1400000000000003E-2</v>
      </c>
      <c r="H566" s="1525">
        <v>44.85</v>
      </c>
      <c r="J566" s="164"/>
      <c r="K566" s="164"/>
      <c r="L566" s="41"/>
      <c r="M566" s="41"/>
      <c r="N566" s="41"/>
      <c r="O566" s="5"/>
      <c r="P566" s="5"/>
      <c r="Q566" s="5"/>
      <c r="R566" s="5"/>
      <c r="S566" s="5"/>
      <c r="T566" s="1175"/>
      <c r="U566" s="5"/>
      <c r="V566" s="1175"/>
      <c r="W566" s="93"/>
      <c r="X566" s="1"/>
      <c r="Y566" s="72"/>
      <c r="Z566" s="218"/>
      <c r="AA566" s="7"/>
    </row>
    <row r="567" spans="1:27" s="613" customFormat="1" ht="15" customHeight="1">
      <c r="A567" s="53"/>
      <c r="B567" s="1850" t="s">
        <v>2395</v>
      </c>
      <c r="C567" s="817"/>
      <c r="D567" s="817"/>
      <c r="E567" s="817"/>
      <c r="F567" s="817"/>
      <c r="G567" s="1783">
        <v>0.1118</v>
      </c>
      <c r="H567" s="1525">
        <v>81.650000000000006</v>
      </c>
      <c r="J567" s="164"/>
      <c r="K567" s="164"/>
      <c r="L567" s="41"/>
      <c r="M567" s="41"/>
      <c r="N567" s="41"/>
      <c r="O567" s="5"/>
      <c r="P567" s="5"/>
      <c r="Q567" s="5"/>
      <c r="R567" s="5"/>
      <c r="S567" s="5"/>
      <c r="T567" s="1175"/>
      <c r="U567" s="5"/>
      <c r="V567" s="1175"/>
      <c r="W567" s="93"/>
      <c r="X567" s="1"/>
      <c r="Y567" s="72"/>
      <c r="Z567" s="218"/>
      <c r="AA567" s="7"/>
    </row>
    <row r="568" spans="1:27" s="613" customFormat="1" ht="15" customHeight="1">
      <c r="A568" s="53"/>
      <c r="B568" s="1850" t="s">
        <v>2396</v>
      </c>
      <c r="C568" s="817"/>
      <c r="D568" s="817"/>
      <c r="E568" s="817"/>
      <c r="F568" s="817"/>
      <c r="G568" s="1783">
        <v>0.1118</v>
      </c>
      <c r="H568" s="1525">
        <v>81.650000000000006</v>
      </c>
      <c r="J568" s="164"/>
      <c r="K568" s="164"/>
      <c r="L568" s="41"/>
      <c r="M568" s="41"/>
      <c r="N568" s="41"/>
      <c r="O568" s="5"/>
      <c r="P568" s="5"/>
      <c r="Q568" s="5"/>
      <c r="R568" s="5"/>
      <c r="S568" s="5"/>
      <c r="T568" s="1175"/>
      <c r="U568" s="5"/>
      <c r="V568" s="1175"/>
      <c r="W568" s="93"/>
      <c r="X568" s="1"/>
      <c r="Y568" s="72"/>
      <c r="Z568" s="218"/>
      <c r="AA568" s="7"/>
    </row>
    <row r="569" spans="1:27" s="613" customFormat="1" ht="15" customHeight="1">
      <c r="A569" s="53"/>
      <c r="B569" s="1850" t="s">
        <v>2393</v>
      </c>
      <c r="C569" s="817"/>
      <c r="D569" s="817"/>
      <c r="E569" s="817"/>
      <c r="F569" s="817"/>
      <c r="G569" s="1783">
        <v>0.1118</v>
      </c>
      <c r="H569" s="1525">
        <v>81.650000000000006</v>
      </c>
      <c r="J569" s="164"/>
      <c r="K569" s="164"/>
      <c r="L569" s="41"/>
      <c r="M569" s="41"/>
      <c r="N569" s="41"/>
      <c r="O569" s="5"/>
      <c r="P569" s="5"/>
      <c r="Q569" s="5"/>
      <c r="R569" s="5"/>
      <c r="S569" s="5"/>
      <c r="T569" s="1175"/>
      <c r="U569" s="5"/>
      <c r="V569" s="1175"/>
      <c r="W569" s="93"/>
      <c r="X569" s="1"/>
      <c r="Y569" s="72"/>
      <c r="Z569" s="218"/>
      <c r="AA569" s="7"/>
    </row>
    <row r="570" spans="1:27" s="613" customFormat="1" ht="15" customHeight="1">
      <c r="A570" s="53"/>
      <c r="B570" s="1850" t="s">
        <v>2725</v>
      </c>
      <c r="C570" s="817"/>
      <c r="D570" s="817"/>
      <c r="E570" s="817"/>
      <c r="F570" s="817"/>
      <c r="G570" s="1783">
        <v>0.1118</v>
      </c>
      <c r="H570" s="1525">
        <v>81.650000000000006</v>
      </c>
      <c r="J570" s="164"/>
      <c r="K570" s="164"/>
      <c r="L570" s="41"/>
      <c r="M570" s="41"/>
      <c r="N570" s="41"/>
      <c r="O570" s="5"/>
      <c r="P570" s="5"/>
      <c r="Q570" s="5"/>
      <c r="R570" s="5"/>
      <c r="S570" s="5"/>
      <c r="T570" s="1175"/>
      <c r="U570" s="5"/>
      <c r="V570" s="1175"/>
      <c r="W570" s="93"/>
      <c r="X570" s="1"/>
      <c r="Y570" s="72"/>
      <c r="Z570" s="218"/>
      <c r="AA570" s="7"/>
    </row>
    <row r="571" spans="1:27" s="613" customFormat="1" ht="15" customHeight="1">
      <c r="A571" s="53"/>
      <c r="B571" s="1850" t="s">
        <v>2737</v>
      </c>
      <c r="C571" s="817"/>
      <c r="D571" s="817"/>
      <c r="E571" s="817"/>
      <c r="F571" s="817"/>
      <c r="G571" s="1783">
        <v>6.1400000000000003E-2</v>
      </c>
      <c r="H571" s="1525">
        <v>44.85</v>
      </c>
      <c r="J571" s="164"/>
      <c r="K571" s="164"/>
      <c r="L571" s="41"/>
      <c r="M571" s="41"/>
      <c r="N571" s="41"/>
      <c r="O571" s="5"/>
      <c r="P571" s="5"/>
      <c r="Q571" s="5"/>
      <c r="R571" s="5"/>
      <c r="S571" s="5"/>
      <c r="T571" s="1175"/>
      <c r="U571" s="5"/>
      <c r="V571" s="1175"/>
      <c r="W571" s="93"/>
      <c r="X571" s="1"/>
      <c r="Y571" s="72"/>
      <c r="Z571" s="218"/>
      <c r="AA571" s="7"/>
    </row>
    <row r="572" spans="1:27" s="613" customFormat="1" ht="15" customHeight="1">
      <c r="A572" s="53"/>
      <c r="B572" s="1850" t="s">
        <v>2607</v>
      </c>
      <c r="C572" s="817"/>
      <c r="D572" s="817"/>
      <c r="E572" s="817"/>
      <c r="F572" s="817"/>
      <c r="G572" s="1783">
        <v>6.1400000000000003E-2</v>
      </c>
      <c r="H572" s="1525">
        <v>44.85</v>
      </c>
      <c r="J572" s="164"/>
      <c r="K572" s="164"/>
      <c r="L572" s="41"/>
      <c r="M572" s="41"/>
      <c r="N572" s="41"/>
      <c r="O572" s="5"/>
      <c r="P572" s="5"/>
      <c r="Q572" s="5"/>
      <c r="R572" s="5"/>
      <c r="S572" s="5"/>
      <c r="T572" s="1175"/>
      <c r="U572" s="5"/>
      <c r="V572" s="1175"/>
      <c r="W572" s="93"/>
      <c r="X572" s="1"/>
      <c r="Y572" s="72"/>
      <c r="Z572" s="218"/>
      <c r="AA572" s="7"/>
    </row>
    <row r="573" spans="1:27" s="613" customFormat="1" ht="15" customHeight="1">
      <c r="A573" s="53"/>
      <c r="B573" s="1850" t="s">
        <v>2366</v>
      </c>
      <c r="C573" s="817"/>
      <c r="D573" s="817"/>
      <c r="E573" s="817"/>
      <c r="F573" s="817"/>
      <c r="G573" s="1783">
        <v>0.1118</v>
      </c>
      <c r="H573" s="1525">
        <v>81.650000000000006</v>
      </c>
      <c r="J573" s="164"/>
      <c r="K573" s="164"/>
      <c r="L573" s="41"/>
      <c r="M573" s="41"/>
      <c r="N573" s="41"/>
      <c r="O573" s="5"/>
      <c r="P573" s="5"/>
      <c r="Q573" s="5"/>
      <c r="R573" s="5"/>
      <c r="S573" s="5"/>
      <c r="T573" s="1175"/>
      <c r="U573" s="5"/>
      <c r="V573" s="1175"/>
      <c r="W573" s="93"/>
      <c r="X573" s="1"/>
      <c r="Y573" s="72"/>
      <c r="Z573" s="218"/>
      <c r="AA573" s="7"/>
    </row>
    <row r="574" spans="1:27" s="613" customFormat="1" ht="15" customHeight="1">
      <c r="A574" s="53"/>
      <c r="B574" s="1850" t="s">
        <v>2367</v>
      </c>
      <c r="C574" s="817"/>
      <c r="D574" s="817"/>
      <c r="E574" s="817"/>
      <c r="F574" s="817"/>
      <c r="G574" s="1783">
        <v>0.1118</v>
      </c>
      <c r="H574" s="1525">
        <v>81.650000000000006</v>
      </c>
      <c r="J574" s="164"/>
      <c r="K574" s="164"/>
      <c r="L574" s="41"/>
      <c r="M574" s="41"/>
      <c r="N574" s="41"/>
      <c r="O574" s="5"/>
      <c r="P574" s="5"/>
      <c r="Q574" s="5"/>
      <c r="R574" s="5"/>
      <c r="S574" s="5"/>
      <c r="T574" s="1175"/>
      <c r="U574" s="5"/>
      <c r="V574" s="1175"/>
      <c r="W574" s="93"/>
      <c r="X574" s="1"/>
      <c r="Y574" s="72"/>
      <c r="Z574" s="218"/>
      <c r="AA574" s="7"/>
    </row>
    <row r="575" spans="1:27" s="613" customFormat="1" ht="15" customHeight="1">
      <c r="A575" s="53"/>
      <c r="B575" s="1850" t="s">
        <v>2368</v>
      </c>
      <c r="C575" s="817"/>
      <c r="D575" s="817"/>
      <c r="E575" s="817"/>
      <c r="F575" s="817"/>
      <c r="G575" s="1783">
        <v>0.1118</v>
      </c>
      <c r="H575" s="1525">
        <v>81.650000000000006</v>
      </c>
      <c r="J575" s="164"/>
      <c r="K575" s="164"/>
      <c r="L575" s="41"/>
      <c r="M575" s="41"/>
      <c r="N575" s="41"/>
      <c r="O575" s="5"/>
      <c r="P575" s="5"/>
      <c r="Q575" s="5"/>
      <c r="R575" s="5"/>
      <c r="S575" s="5"/>
      <c r="T575" s="1175"/>
      <c r="U575" s="5"/>
      <c r="V575" s="1175"/>
      <c r="W575" s="93"/>
      <c r="X575" s="1"/>
      <c r="Y575" s="72"/>
      <c r="Z575" s="218"/>
      <c r="AA575" s="7"/>
    </row>
    <row r="576" spans="1:27" s="613" customFormat="1" ht="15" customHeight="1">
      <c r="A576" s="53"/>
      <c r="B576" s="1850" t="s">
        <v>2726</v>
      </c>
      <c r="C576" s="817"/>
      <c r="D576" s="817"/>
      <c r="E576" s="817"/>
      <c r="F576" s="817"/>
      <c r="G576" s="1783">
        <v>0.1118</v>
      </c>
      <c r="H576" s="1525">
        <v>81.650000000000006</v>
      </c>
      <c r="J576" s="164"/>
      <c r="K576" s="164"/>
      <c r="L576" s="41"/>
      <c r="M576" s="41"/>
      <c r="N576" s="41"/>
      <c r="O576" s="5"/>
      <c r="P576" s="5"/>
      <c r="Q576" s="5"/>
      <c r="R576" s="5"/>
      <c r="S576" s="5"/>
      <c r="T576" s="1175"/>
      <c r="U576" s="5"/>
      <c r="V576" s="1175"/>
      <c r="W576" s="93"/>
      <c r="X576" s="1"/>
      <c r="Y576" s="72"/>
      <c r="Z576" s="218"/>
      <c r="AA576" s="7"/>
    </row>
    <row r="577" spans="1:27" ht="15" customHeight="1">
      <c r="A577" s="53"/>
      <c r="B577" s="1850" t="s">
        <v>2649</v>
      </c>
      <c r="C577" s="817"/>
      <c r="D577" s="817"/>
      <c r="E577" s="817"/>
      <c r="F577" s="817"/>
      <c r="G577" s="1783">
        <v>6.1400000000000003E-2</v>
      </c>
      <c r="H577" s="1525">
        <v>44.85</v>
      </c>
      <c r="I577" s="174"/>
      <c r="J577" s="164"/>
      <c r="K577" s="164"/>
      <c r="L577" s="24"/>
      <c r="M577" s="41"/>
      <c r="N577" s="41"/>
      <c r="O577" s="5"/>
      <c r="P577" s="5"/>
      <c r="Q577" s="5"/>
      <c r="R577" s="5"/>
      <c r="S577" s="5"/>
      <c r="T577" s="1175"/>
      <c r="U577" s="5"/>
      <c r="V577" s="1175"/>
      <c r="W577" s="93"/>
      <c r="X577" s="1"/>
      <c r="Y577" s="72"/>
      <c r="Z577" s="132"/>
      <c r="AA577" s="7"/>
    </row>
    <row r="578" spans="1:27" ht="15" customHeight="1">
      <c r="A578" s="53"/>
      <c r="B578" s="1850" t="s">
        <v>2650</v>
      </c>
      <c r="C578" s="817"/>
      <c r="D578" s="817"/>
      <c r="E578" s="817"/>
      <c r="F578" s="817"/>
      <c r="G578" s="1783">
        <v>0.1118</v>
      </c>
      <c r="H578" s="1525">
        <v>81.650000000000006</v>
      </c>
      <c r="I578" s="174"/>
      <c r="J578" s="164"/>
      <c r="K578" s="164"/>
      <c r="L578" s="24"/>
      <c r="M578" s="41"/>
      <c r="N578" s="41"/>
      <c r="O578" s="5"/>
      <c r="P578" s="5"/>
      <c r="Q578" s="5"/>
      <c r="R578" s="5"/>
      <c r="S578" s="5"/>
      <c r="T578" s="1175"/>
      <c r="U578" s="5"/>
      <c r="V578" s="1175"/>
      <c r="W578" s="93"/>
      <c r="X578" s="1"/>
      <c r="Y578" s="72"/>
      <c r="Z578" s="132"/>
      <c r="AA578" s="7"/>
    </row>
    <row r="579" spans="1:27" ht="15" customHeight="1">
      <c r="A579" s="53"/>
      <c r="B579" s="1850" t="s">
        <v>2651</v>
      </c>
      <c r="C579" s="817"/>
      <c r="D579" s="817"/>
      <c r="E579" s="817"/>
      <c r="F579" s="817"/>
      <c r="G579" s="1783">
        <v>0.1118</v>
      </c>
      <c r="H579" s="1525">
        <v>81.650000000000006</v>
      </c>
      <c r="I579" s="174"/>
      <c r="J579" s="164"/>
      <c r="K579" s="164"/>
      <c r="L579" s="24"/>
      <c r="M579" s="41"/>
      <c r="N579" s="41"/>
      <c r="O579" s="5"/>
      <c r="P579" s="5"/>
      <c r="Q579" s="5"/>
      <c r="R579" s="5"/>
      <c r="S579" s="5"/>
      <c r="T579" s="1175"/>
      <c r="U579" s="5"/>
      <c r="V579" s="1175"/>
      <c r="W579" s="93"/>
      <c r="X579" s="1"/>
      <c r="Y579" s="72"/>
      <c r="Z579" s="132"/>
      <c r="AA579" s="7"/>
    </row>
    <row r="580" spans="1:27" ht="15" customHeight="1">
      <c r="A580" s="53"/>
      <c r="B580" s="1850" t="s">
        <v>2652</v>
      </c>
      <c r="C580" s="817"/>
      <c r="D580" s="817"/>
      <c r="E580" s="817"/>
      <c r="F580" s="817"/>
      <c r="G580" s="1783">
        <v>0.1118</v>
      </c>
      <c r="H580" s="1525">
        <v>81.650000000000006</v>
      </c>
      <c r="I580" s="174"/>
      <c r="J580" s="164"/>
      <c r="K580" s="164"/>
      <c r="L580" s="24"/>
      <c r="M580" s="41"/>
      <c r="N580" s="41"/>
      <c r="O580" s="5"/>
      <c r="P580" s="5"/>
      <c r="Q580" s="5"/>
      <c r="R580" s="5"/>
      <c r="S580" s="5"/>
      <c r="T580" s="1175"/>
      <c r="U580" s="5"/>
      <c r="V580" s="1175"/>
      <c r="W580" s="93"/>
      <c r="X580" s="1"/>
      <c r="Y580" s="72"/>
      <c r="Z580" s="132"/>
      <c r="AA580" s="7"/>
    </row>
    <row r="581" spans="1:27" s="613" customFormat="1" ht="15" customHeight="1">
      <c r="A581" s="53"/>
      <c r="B581" s="1850" t="s">
        <v>2644</v>
      </c>
      <c r="C581" s="817"/>
      <c r="D581" s="817"/>
      <c r="E581" s="817"/>
      <c r="F581" s="817"/>
      <c r="G581" s="1783">
        <v>6.1400000000000003E-2</v>
      </c>
      <c r="H581" s="1525">
        <v>44.85</v>
      </c>
      <c r="I581" s="174"/>
      <c r="J581" s="164"/>
      <c r="K581" s="164"/>
      <c r="L581" s="41"/>
      <c r="M581" s="41"/>
      <c r="N581" s="41"/>
      <c r="O581" s="5"/>
      <c r="P581" s="5"/>
      <c r="Q581" s="5"/>
      <c r="R581" s="5"/>
      <c r="S581" s="5"/>
      <c r="T581" s="1175"/>
      <c r="U581" s="5"/>
      <c r="V581" s="1175"/>
      <c r="W581" s="93"/>
      <c r="X581" s="1"/>
      <c r="Y581" s="72"/>
      <c r="Z581" s="218"/>
      <c r="AA581" s="7"/>
    </row>
    <row r="582" spans="1:27" s="613" customFormat="1" ht="15" customHeight="1">
      <c r="A582" s="53"/>
      <c r="B582" s="1850" t="s">
        <v>2645</v>
      </c>
      <c r="C582" s="817"/>
      <c r="D582" s="817"/>
      <c r="E582" s="817"/>
      <c r="F582" s="817"/>
      <c r="G582" s="1783">
        <v>0.1118</v>
      </c>
      <c r="H582" s="1525">
        <v>81.650000000000006</v>
      </c>
      <c r="I582" s="174"/>
      <c r="J582" s="164"/>
      <c r="K582" s="164"/>
      <c r="L582" s="41"/>
      <c r="M582" s="41"/>
      <c r="N582" s="41"/>
      <c r="O582" s="5"/>
      <c r="P582" s="5"/>
      <c r="Q582" s="5"/>
      <c r="R582" s="5"/>
      <c r="S582" s="5"/>
      <c r="T582" s="1175"/>
      <c r="U582" s="5"/>
      <c r="V582" s="1175"/>
      <c r="W582" s="93"/>
      <c r="X582" s="1"/>
      <c r="Y582" s="72"/>
      <c r="Z582" s="218"/>
      <c r="AA582" s="7"/>
    </row>
    <row r="583" spans="1:27" s="613" customFormat="1" ht="15" customHeight="1">
      <c r="A583" s="53"/>
      <c r="B583" s="1850" t="s">
        <v>2646</v>
      </c>
      <c r="C583" s="817"/>
      <c r="D583" s="817"/>
      <c r="E583" s="817"/>
      <c r="F583" s="817"/>
      <c r="G583" s="1783">
        <v>0.1118</v>
      </c>
      <c r="H583" s="1525">
        <v>81.650000000000006</v>
      </c>
      <c r="I583" s="174"/>
      <c r="J583" s="164"/>
      <c r="K583" s="164"/>
      <c r="L583" s="41"/>
      <c r="M583" s="41"/>
      <c r="N583" s="41"/>
      <c r="O583" s="5"/>
      <c r="P583" s="5"/>
      <c r="Q583" s="5"/>
      <c r="R583" s="5"/>
      <c r="S583" s="5"/>
      <c r="T583" s="1175"/>
      <c r="U583" s="5"/>
      <c r="V583" s="1175"/>
      <c r="W583" s="93"/>
      <c r="X583" s="1"/>
      <c r="Y583" s="72"/>
      <c r="Z583" s="218"/>
      <c r="AA583" s="7"/>
    </row>
    <row r="584" spans="1:27" s="613" customFormat="1" ht="15" customHeight="1">
      <c r="A584" s="53"/>
      <c r="B584" s="1850" t="s">
        <v>2647</v>
      </c>
      <c r="C584" s="817"/>
      <c r="D584" s="817"/>
      <c r="E584" s="817"/>
      <c r="F584" s="817"/>
      <c r="G584" s="1783">
        <v>0.1118</v>
      </c>
      <c r="H584" s="1525">
        <v>81.650000000000006</v>
      </c>
      <c r="I584" s="725"/>
      <c r="J584" s="164"/>
      <c r="K584" s="164"/>
      <c r="L584" s="41"/>
      <c r="M584" s="41"/>
      <c r="N584" s="41"/>
      <c r="O584" s="5"/>
      <c r="P584" s="5"/>
      <c r="Q584" s="5"/>
      <c r="R584" s="5"/>
      <c r="S584" s="5"/>
      <c r="T584" s="1175"/>
      <c r="U584" s="5"/>
      <c r="V584" s="1175"/>
      <c r="W584" s="93"/>
      <c r="X584" s="1"/>
      <c r="Y584" s="72"/>
      <c r="Z584" s="218"/>
      <c r="AA584" s="7"/>
    </row>
    <row r="585" spans="1:27" s="613" customFormat="1" ht="15" customHeight="1">
      <c r="A585" s="53"/>
      <c r="B585" s="1850" t="s">
        <v>2648</v>
      </c>
      <c r="C585" s="817"/>
      <c r="D585" s="817"/>
      <c r="E585" s="817"/>
      <c r="F585" s="817"/>
      <c r="G585" s="1783">
        <v>0.1118</v>
      </c>
      <c r="H585" s="1525">
        <v>81.650000000000006</v>
      </c>
      <c r="I585" s="174"/>
      <c r="J585" s="164"/>
      <c r="K585" s="164"/>
      <c r="L585" s="41"/>
      <c r="M585" s="41"/>
      <c r="N585" s="41"/>
      <c r="O585" s="5"/>
      <c r="P585" s="5"/>
      <c r="Q585" s="5"/>
      <c r="R585" s="5"/>
      <c r="S585" s="5"/>
      <c r="T585" s="1175"/>
      <c r="U585" s="5"/>
      <c r="V585" s="1175"/>
      <c r="W585" s="93"/>
      <c r="X585" s="1"/>
      <c r="Y585" s="72"/>
      <c r="Z585" s="218"/>
      <c r="AA585" s="7"/>
    </row>
    <row r="586" spans="1:27" s="613" customFormat="1" ht="15" customHeight="1">
      <c r="A586" s="53"/>
      <c r="B586" s="1850" t="s">
        <v>2642</v>
      </c>
      <c r="C586" s="817"/>
      <c r="D586" s="817"/>
      <c r="E586" s="817"/>
      <c r="F586" s="817"/>
      <c r="G586" s="1783">
        <v>6.1400000000000003E-2</v>
      </c>
      <c r="H586" s="1525">
        <v>44.85</v>
      </c>
      <c r="I586" s="174"/>
      <c r="J586" s="164"/>
      <c r="K586" s="164"/>
      <c r="L586" s="41"/>
      <c r="M586" s="41"/>
      <c r="N586" s="41"/>
      <c r="O586" s="5"/>
      <c r="P586" s="5"/>
      <c r="Q586" s="5"/>
      <c r="R586" s="5"/>
      <c r="S586" s="5"/>
      <c r="T586" s="1175"/>
      <c r="U586" s="5"/>
      <c r="V586" s="1175"/>
      <c r="W586" s="93"/>
      <c r="X586" s="1"/>
      <c r="Y586" s="72"/>
      <c r="Z586" s="218"/>
      <c r="AA586" s="7"/>
    </row>
    <row r="587" spans="1:27" s="613" customFormat="1" ht="15" customHeight="1">
      <c r="A587" s="53"/>
      <c r="B587" s="1850" t="s">
        <v>2643</v>
      </c>
      <c r="C587" s="817"/>
      <c r="D587" s="817"/>
      <c r="E587" s="817"/>
      <c r="F587" s="817"/>
      <c r="G587" s="1783">
        <v>0.1118</v>
      </c>
      <c r="H587" s="1525">
        <v>81.650000000000006</v>
      </c>
      <c r="I587" s="174"/>
      <c r="J587" s="164"/>
      <c r="K587" s="164"/>
      <c r="L587" s="41"/>
      <c r="M587" s="41"/>
      <c r="N587" s="41"/>
      <c r="O587" s="5"/>
      <c r="P587" s="5"/>
      <c r="Q587" s="5"/>
      <c r="R587" s="5"/>
      <c r="S587" s="5"/>
      <c r="T587" s="1175"/>
      <c r="U587" s="5"/>
      <c r="V587" s="1175"/>
      <c r="W587" s="93"/>
      <c r="X587" s="1"/>
      <c r="Y587" s="72"/>
      <c r="Z587" s="218"/>
      <c r="AA587" s="7"/>
    </row>
    <row r="588" spans="1:27" s="613" customFormat="1" ht="15" customHeight="1">
      <c r="A588" s="53"/>
      <c r="B588" s="1850" t="s">
        <v>2383</v>
      </c>
      <c r="C588" s="817"/>
      <c r="D588" s="817"/>
      <c r="E588" s="817"/>
      <c r="F588" s="817"/>
      <c r="G588" s="1783">
        <v>0.1118</v>
      </c>
      <c r="H588" s="1525">
        <v>81.650000000000006</v>
      </c>
      <c r="I588" s="174"/>
      <c r="J588" s="164"/>
      <c r="K588" s="164"/>
      <c r="L588" s="41"/>
      <c r="M588" s="41"/>
      <c r="N588" s="41"/>
      <c r="O588" s="5"/>
      <c r="P588" s="5"/>
      <c r="Q588" s="5"/>
      <c r="R588" s="5"/>
      <c r="S588" s="5"/>
      <c r="T588" s="1175"/>
      <c r="U588" s="5"/>
      <c r="V588" s="1175"/>
      <c r="W588" s="93"/>
      <c r="X588" s="1"/>
      <c r="Y588" s="72"/>
      <c r="Z588" s="218"/>
      <c r="AA588" s="7"/>
    </row>
    <row r="589" spans="1:27" s="613" customFormat="1" ht="15" customHeight="1">
      <c r="A589" s="53"/>
      <c r="B589" s="1850" t="s">
        <v>2440</v>
      </c>
      <c r="C589" s="817"/>
      <c r="D589" s="817"/>
      <c r="E589" s="817"/>
      <c r="F589" s="817"/>
      <c r="G589" s="1783">
        <v>0.1118</v>
      </c>
      <c r="H589" s="1525">
        <v>81.650000000000006</v>
      </c>
      <c r="I589" s="174"/>
      <c r="J589" s="164"/>
      <c r="K589" s="164"/>
      <c r="L589" s="41"/>
      <c r="M589" s="41"/>
      <c r="N589" s="41"/>
      <c r="O589" s="5"/>
      <c r="P589" s="5"/>
      <c r="Q589" s="5"/>
      <c r="R589" s="5"/>
      <c r="S589" s="5"/>
      <c r="T589" s="1175"/>
      <c r="U589" s="5"/>
      <c r="V589" s="1175"/>
      <c r="W589" s="93"/>
      <c r="X589" s="1"/>
      <c r="Y589" s="72"/>
      <c r="Z589" s="218"/>
      <c r="AA589" s="7"/>
    </row>
    <row r="590" spans="1:27" s="613" customFormat="1" ht="15" customHeight="1">
      <c r="A590" s="53"/>
      <c r="B590" s="1850" t="s">
        <v>2384</v>
      </c>
      <c r="C590" s="817"/>
      <c r="D590" s="817"/>
      <c r="E590" s="817"/>
      <c r="F590" s="817"/>
      <c r="G590" s="1783">
        <v>0.1118</v>
      </c>
      <c r="H590" s="1525">
        <v>81.650000000000006</v>
      </c>
      <c r="I590" s="174"/>
      <c r="J590" s="164"/>
      <c r="K590" s="164"/>
      <c r="L590" s="41"/>
      <c r="M590" s="41"/>
      <c r="N590" s="41"/>
      <c r="O590" s="5"/>
      <c r="P590" s="5"/>
      <c r="Q590" s="5"/>
      <c r="R590" s="5"/>
      <c r="S590" s="5"/>
      <c r="T590" s="1175"/>
      <c r="U590" s="5"/>
      <c r="V590" s="1175"/>
      <c r="W590" s="93"/>
      <c r="X590" s="1"/>
      <c r="Y590" s="72"/>
      <c r="Z590" s="218"/>
      <c r="AA590" s="7"/>
    </row>
    <row r="591" spans="1:27" s="613" customFormat="1" ht="15" customHeight="1">
      <c r="A591" s="53"/>
      <c r="B591" s="1850" t="s">
        <v>2441</v>
      </c>
      <c r="C591" s="817"/>
      <c r="D591" s="817"/>
      <c r="E591" s="817"/>
      <c r="F591" s="817"/>
      <c r="G591" s="1783">
        <v>0.1118</v>
      </c>
      <c r="H591" s="1525">
        <v>81.650000000000006</v>
      </c>
      <c r="I591" s="174"/>
      <c r="J591" s="164"/>
      <c r="K591" s="164"/>
      <c r="L591" s="41"/>
      <c r="M591" s="41"/>
      <c r="N591" s="41"/>
      <c r="O591" s="5"/>
      <c r="P591" s="5"/>
      <c r="Q591" s="5"/>
      <c r="R591" s="5"/>
      <c r="S591" s="5"/>
      <c r="T591" s="1175"/>
      <c r="U591" s="5"/>
      <c r="V591" s="1175"/>
      <c r="W591" s="93"/>
      <c r="X591" s="1"/>
      <c r="Y591" s="72"/>
      <c r="Z591" s="218"/>
      <c r="AA591" s="7"/>
    </row>
    <row r="592" spans="1:27" s="613" customFormat="1" ht="15" customHeight="1">
      <c r="A592" s="53"/>
      <c r="B592" s="1850" t="s">
        <v>2385</v>
      </c>
      <c r="C592" s="817"/>
      <c r="D592" s="817"/>
      <c r="E592" s="817"/>
      <c r="F592" s="817"/>
      <c r="G592" s="1783">
        <v>0.1118</v>
      </c>
      <c r="H592" s="1525">
        <v>81.650000000000006</v>
      </c>
      <c r="I592" s="174"/>
      <c r="J592" s="164"/>
      <c r="K592" s="164"/>
      <c r="L592" s="41"/>
      <c r="M592" s="41"/>
      <c r="N592" s="41"/>
      <c r="O592" s="5"/>
      <c r="P592" s="5"/>
      <c r="Q592" s="5"/>
      <c r="R592" s="5"/>
      <c r="S592" s="5"/>
      <c r="T592" s="1175"/>
      <c r="U592" s="5"/>
      <c r="V592" s="1175"/>
      <c r="W592" s="93"/>
      <c r="X592" s="1"/>
      <c r="Y592" s="72"/>
      <c r="Z592" s="218"/>
      <c r="AA592" s="7"/>
    </row>
    <row r="593" spans="1:27" s="613" customFormat="1" ht="15" customHeight="1">
      <c r="A593" s="53"/>
      <c r="B593" s="1850" t="s">
        <v>2386</v>
      </c>
      <c r="C593" s="817"/>
      <c r="D593" s="817"/>
      <c r="E593" s="817"/>
      <c r="F593" s="817"/>
      <c r="G593" s="1783">
        <v>0.1118</v>
      </c>
      <c r="H593" s="1525">
        <v>81.650000000000006</v>
      </c>
      <c r="I593" s="174"/>
      <c r="J593" s="164"/>
      <c r="K593" s="164"/>
      <c r="L593" s="41"/>
      <c r="M593" s="41"/>
      <c r="N593" s="41"/>
      <c r="O593" s="5"/>
      <c r="P593" s="5"/>
      <c r="Q593" s="5"/>
      <c r="R593" s="5"/>
      <c r="S593" s="5"/>
      <c r="T593" s="1175"/>
      <c r="U593" s="5"/>
      <c r="V593" s="1175"/>
      <c r="W593" s="93"/>
      <c r="X593" s="1"/>
      <c r="Y593" s="72"/>
      <c r="Z593" s="218"/>
      <c r="AA593" s="7"/>
    </row>
    <row r="594" spans="1:27" s="1489" customFormat="1" ht="15" customHeight="1">
      <c r="A594" s="1491"/>
      <c r="B594" s="1847" t="s">
        <v>2795</v>
      </c>
      <c r="C594" s="817"/>
      <c r="D594" s="817"/>
      <c r="E594" s="817"/>
      <c r="F594" s="817"/>
      <c r="G594" s="1783">
        <v>6.1400000000000003E-2</v>
      </c>
      <c r="H594" s="1864">
        <v>44.85</v>
      </c>
      <c r="I594" s="174"/>
      <c r="J594" s="164"/>
      <c r="K594" s="164"/>
      <c r="L594" s="1407"/>
      <c r="M594" s="1407"/>
      <c r="N594" s="1407"/>
      <c r="O594" s="1175"/>
      <c r="P594" s="1175"/>
      <c r="Q594" s="1175"/>
      <c r="R594" s="1175"/>
      <c r="S594" s="1175"/>
      <c r="T594" s="1175"/>
      <c r="U594" s="1175"/>
      <c r="V594" s="1175"/>
      <c r="W594" s="1190"/>
      <c r="X594" s="1"/>
      <c r="Y594" s="1189"/>
      <c r="Z594" s="1492"/>
      <c r="AA594" s="1493"/>
    </row>
    <row r="595" spans="1:27" s="1489" customFormat="1" ht="15" customHeight="1">
      <c r="A595" s="1491"/>
      <c r="B595" s="1847" t="s">
        <v>2796</v>
      </c>
      <c r="C595" s="817"/>
      <c r="D595" s="817"/>
      <c r="E595" s="817"/>
      <c r="F595" s="817"/>
      <c r="G595" s="1783">
        <v>0.1118</v>
      </c>
      <c r="H595" s="1864">
        <v>81.650000000000006</v>
      </c>
      <c r="I595" s="174"/>
      <c r="J595" s="164"/>
      <c r="K595" s="164"/>
      <c r="L595" s="1407"/>
      <c r="M595" s="1407"/>
      <c r="N595" s="1407"/>
      <c r="O595" s="1175"/>
      <c r="P595" s="1175"/>
      <c r="Q595" s="1175"/>
      <c r="R595" s="1175"/>
      <c r="S595" s="1175"/>
      <c r="T595" s="1175"/>
      <c r="U595" s="1175"/>
      <c r="V595" s="1175"/>
      <c r="W595" s="1190"/>
      <c r="X595" s="1"/>
      <c r="Y595" s="1189"/>
      <c r="Z595" s="1492"/>
      <c r="AA595" s="1493"/>
    </row>
    <row r="596" spans="1:27" s="1489" customFormat="1" ht="15" customHeight="1">
      <c r="A596" s="1491"/>
      <c r="B596" s="1847" t="s">
        <v>2797</v>
      </c>
      <c r="C596" s="817"/>
      <c r="D596" s="817"/>
      <c r="E596" s="817"/>
      <c r="F596" s="817"/>
      <c r="G596" s="1783">
        <v>0.1118</v>
      </c>
      <c r="H596" s="1864">
        <v>81.650000000000006</v>
      </c>
      <c r="I596" s="174"/>
      <c r="J596" s="164"/>
      <c r="K596" s="164"/>
      <c r="L596" s="1407"/>
      <c r="M596" s="1407"/>
      <c r="N596" s="1407"/>
      <c r="O596" s="1175"/>
      <c r="P596" s="1175"/>
      <c r="Q596" s="1175"/>
      <c r="R596" s="1175"/>
      <c r="S596" s="1175"/>
      <c r="T596" s="1175"/>
      <c r="U596" s="1175"/>
      <c r="V596" s="1175"/>
      <c r="W596" s="1190"/>
      <c r="X596" s="1"/>
      <c r="Y596" s="1189"/>
      <c r="Z596" s="1492"/>
      <c r="AA596" s="1493"/>
    </row>
    <row r="597" spans="1:27" s="1489" customFormat="1" ht="15" customHeight="1">
      <c r="A597" s="1491"/>
      <c r="B597" s="1847" t="s">
        <v>2798</v>
      </c>
      <c r="C597" s="817"/>
      <c r="D597" s="817"/>
      <c r="E597" s="817"/>
      <c r="F597" s="817"/>
      <c r="G597" s="1783">
        <v>0.1118</v>
      </c>
      <c r="H597" s="1864">
        <v>81.650000000000006</v>
      </c>
      <c r="I597" s="174"/>
      <c r="J597" s="164"/>
      <c r="K597" s="164"/>
      <c r="L597" s="1407"/>
      <c r="M597" s="1407"/>
      <c r="N597" s="1407"/>
      <c r="O597" s="1175"/>
      <c r="P597" s="1175"/>
      <c r="Q597" s="1175"/>
      <c r="R597" s="1175"/>
      <c r="S597" s="1175"/>
      <c r="T597" s="1175"/>
      <c r="U597" s="1175"/>
      <c r="V597" s="1175"/>
      <c r="W597" s="1190"/>
      <c r="X597" s="1"/>
      <c r="Y597" s="1189"/>
      <c r="Z597" s="1492"/>
      <c r="AA597" s="1493"/>
    </row>
    <row r="598" spans="1:27" s="1489" customFormat="1" ht="15" customHeight="1">
      <c r="A598" s="1491"/>
      <c r="B598" s="1847" t="s">
        <v>2799</v>
      </c>
      <c r="C598" s="817"/>
      <c r="D598" s="817"/>
      <c r="E598" s="817"/>
      <c r="F598" s="817"/>
      <c r="G598" s="1783">
        <v>0.1118</v>
      </c>
      <c r="H598" s="1864">
        <v>81.650000000000006</v>
      </c>
      <c r="I598" s="174"/>
      <c r="J598" s="164"/>
      <c r="K598" s="164"/>
      <c r="L598" s="1407"/>
      <c r="M598" s="1407"/>
      <c r="N598" s="1407"/>
      <c r="O598" s="1175"/>
      <c r="P598" s="1175"/>
      <c r="Q598" s="1175"/>
      <c r="R598" s="1175"/>
      <c r="S598" s="1175"/>
      <c r="T598" s="1175"/>
      <c r="U598" s="1175"/>
      <c r="V598" s="1175"/>
      <c r="W598" s="1190"/>
      <c r="X598" s="1"/>
      <c r="Y598" s="1189"/>
      <c r="Z598" s="1492"/>
      <c r="AA598" s="1493"/>
    </row>
    <row r="599" spans="1:27" s="1489" customFormat="1" ht="15" customHeight="1">
      <c r="A599" s="1491"/>
      <c r="B599" s="1847" t="s">
        <v>2800</v>
      </c>
      <c r="C599" s="817"/>
      <c r="D599" s="817"/>
      <c r="E599" s="817"/>
      <c r="F599" s="817"/>
      <c r="G599" s="1783">
        <v>0.1118</v>
      </c>
      <c r="H599" s="1864">
        <v>81.650000000000006</v>
      </c>
      <c r="I599" s="174"/>
      <c r="J599" s="164"/>
      <c r="K599" s="164"/>
      <c r="L599" s="1407"/>
      <c r="M599" s="1407"/>
      <c r="N599" s="1407"/>
      <c r="O599" s="1175"/>
      <c r="P599" s="1175"/>
      <c r="Q599" s="1175"/>
      <c r="R599" s="1175"/>
      <c r="S599" s="1175"/>
      <c r="T599" s="1175"/>
      <c r="U599" s="1175"/>
      <c r="V599" s="1175"/>
      <c r="W599" s="1190"/>
      <c r="X599" s="1"/>
      <c r="Y599" s="1189"/>
      <c r="Z599" s="1492"/>
      <c r="AA599" s="1493"/>
    </row>
    <row r="600" spans="1:27" s="1489" customFormat="1" ht="15" customHeight="1">
      <c r="A600" s="1491"/>
      <c r="B600" s="1847" t="s">
        <v>2801</v>
      </c>
      <c r="C600" s="817"/>
      <c r="D600" s="817"/>
      <c r="E600" s="817"/>
      <c r="F600" s="817"/>
      <c r="G600" s="1783">
        <v>0.1118</v>
      </c>
      <c r="H600" s="1864">
        <v>81.650000000000006</v>
      </c>
      <c r="I600" s="174"/>
      <c r="J600" s="164"/>
      <c r="K600" s="164"/>
      <c r="L600" s="1407"/>
      <c r="M600" s="1407"/>
      <c r="N600" s="1407"/>
      <c r="O600" s="1175"/>
      <c r="P600" s="1175"/>
      <c r="Q600" s="1175"/>
      <c r="R600" s="1175"/>
      <c r="S600" s="1175"/>
      <c r="T600" s="1175"/>
      <c r="U600" s="1175"/>
      <c r="V600" s="1175"/>
      <c r="W600" s="1190"/>
      <c r="X600" s="1"/>
      <c r="Y600" s="1189"/>
      <c r="Z600" s="1492"/>
      <c r="AA600" s="1493"/>
    </row>
    <row r="601" spans="1:27">
      <c r="A601" s="53"/>
      <c r="B601" s="1850" t="s">
        <v>2613</v>
      </c>
      <c r="C601" s="817"/>
      <c r="D601" s="817"/>
      <c r="E601" s="817"/>
      <c r="F601" s="817"/>
      <c r="G601" s="1783">
        <v>6.1400000000000003E-2</v>
      </c>
      <c r="H601" s="1525">
        <v>44.85</v>
      </c>
      <c r="I601" s="174"/>
      <c r="J601" s="164"/>
      <c r="K601" s="164"/>
      <c r="L601" s="24"/>
      <c r="M601" s="41"/>
      <c r="N601" s="41"/>
      <c r="O601" s="5"/>
      <c r="P601" s="5"/>
      <c r="Q601" s="5"/>
      <c r="R601" s="5"/>
      <c r="S601" s="5"/>
      <c r="T601" s="1175"/>
      <c r="U601" s="5"/>
      <c r="V601" s="1175"/>
      <c r="W601" s="93"/>
      <c r="X601" s="33"/>
      <c r="Y601" s="72"/>
      <c r="Z601" s="132"/>
      <c r="AA601" s="7"/>
    </row>
    <row r="602" spans="1:27" ht="15" customHeight="1">
      <c r="A602" s="53"/>
      <c r="B602" s="1850" t="s">
        <v>2614</v>
      </c>
      <c r="C602" s="817"/>
      <c r="D602" s="817"/>
      <c r="E602" s="817"/>
      <c r="F602" s="817"/>
      <c r="G602" s="1783">
        <v>6.1400000000000003E-2</v>
      </c>
      <c r="H602" s="1525">
        <v>44.85</v>
      </c>
      <c r="I602" s="174"/>
      <c r="J602" s="164"/>
      <c r="K602" s="164"/>
      <c r="L602" s="24"/>
      <c r="M602" s="41"/>
      <c r="N602" s="41"/>
      <c r="O602" s="5"/>
      <c r="P602" s="5"/>
      <c r="Q602" s="5"/>
      <c r="R602" s="5"/>
      <c r="S602" s="5"/>
      <c r="T602" s="1175"/>
      <c r="U602" s="5"/>
      <c r="V602" s="1175"/>
      <c r="W602" s="93"/>
      <c r="X602" s="33"/>
      <c r="Y602" s="72"/>
      <c r="Z602" s="132"/>
      <c r="AA602" s="7"/>
    </row>
    <row r="603" spans="1:27" ht="15" customHeight="1">
      <c r="A603" s="53"/>
      <c r="B603" s="817" t="s">
        <v>2615</v>
      </c>
      <c r="C603" s="817"/>
      <c r="D603" s="817"/>
      <c r="E603" s="817"/>
      <c r="F603" s="817"/>
      <c r="G603" s="1783">
        <v>0.1118</v>
      </c>
      <c r="H603" s="1525">
        <v>81.650000000000006</v>
      </c>
      <c r="I603" s="174"/>
      <c r="J603" s="164"/>
      <c r="K603" s="164"/>
      <c r="L603" s="24"/>
      <c r="M603" s="41"/>
      <c r="N603" s="41"/>
      <c r="O603" s="5"/>
      <c r="P603" s="5"/>
      <c r="Q603" s="5"/>
      <c r="R603" s="5"/>
      <c r="S603" s="5"/>
      <c r="T603" s="1175"/>
      <c r="U603" s="5"/>
      <c r="V603" s="1175"/>
      <c r="W603" s="93"/>
      <c r="X603" s="33"/>
      <c r="Y603" s="72"/>
      <c r="Z603" s="132"/>
      <c r="AA603" s="7"/>
    </row>
    <row r="604" spans="1:27">
      <c r="A604" s="53"/>
      <c r="B604" s="817" t="s">
        <v>2616</v>
      </c>
      <c r="C604" s="817"/>
      <c r="D604" s="817"/>
      <c r="E604" s="817"/>
      <c r="F604" s="817"/>
      <c r="G604" s="1783">
        <v>0.1118</v>
      </c>
      <c r="H604" s="1525">
        <v>81.650000000000006</v>
      </c>
      <c r="I604" s="174"/>
      <c r="J604" s="164"/>
      <c r="K604" s="164"/>
      <c r="L604" s="24"/>
      <c r="M604" s="41"/>
      <c r="N604" s="41"/>
      <c r="O604" s="5"/>
      <c r="P604" s="5"/>
      <c r="Q604" s="5"/>
      <c r="R604" s="5"/>
      <c r="S604" s="5"/>
      <c r="T604" s="1175"/>
      <c r="U604" s="5"/>
      <c r="V604" s="1175"/>
      <c r="W604" s="93"/>
      <c r="X604" s="33"/>
      <c r="Y604" s="72"/>
      <c r="Z604" s="132"/>
      <c r="AA604" s="7"/>
    </row>
    <row r="605" spans="1:27">
      <c r="A605" s="53"/>
      <c r="B605" s="817" t="s">
        <v>2617</v>
      </c>
      <c r="C605" s="817"/>
      <c r="D605" s="817"/>
      <c r="E605" s="817"/>
      <c r="F605" s="817"/>
      <c r="G605" s="1783">
        <v>0.1118</v>
      </c>
      <c r="H605" s="1525">
        <v>81.650000000000006</v>
      </c>
      <c r="I605" s="174"/>
      <c r="J605" s="164"/>
      <c r="K605" s="164"/>
      <c r="L605" s="24"/>
      <c r="M605" s="41"/>
      <c r="N605" s="41"/>
      <c r="O605" s="5"/>
      <c r="P605" s="5"/>
      <c r="Q605" s="5"/>
      <c r="R605" s="5"/>
      <c r="S605" s="5"/>
      <c r="T605" s="1175"/>
      <c r="U605" s="5"/>
      <c r="V605" s="1175"/>
      <c r="W605" s="93"/>
      <c r="X605" s="33"/>
      <c r="Y605" s="72"/>
      <c r="Z605" s="132"/>
      <c r="AA605" s="7"/>
    </row>
    <row r="606" spans="1:27" s="104" customFormat="1" ht="15" customHeight="1">
      <c r="A606" s="141"/>
      <c r="B606" s="817" t="s">
        <v>2618</v>
      </c>
      <c r="C606" s="817"/>
      <c r="D606" s="817"/>
      <c r="E606" s="817"/>
      <c r="F606" s="817"/>
      <c r="G606" s="1783">
        <v>0.1118</v>
      </c>
      <c r="H606" s="1525">
        <v>81.650000000000006</v>
      </c>
      <c r="I606" s="281"/>
      <c r="L606" s="42"/>
      <c r="M606" s="282"/>
      <c r="N606" s="282"/>
      <c r="O606" s="282"/>
      <c r="P606" s="282"/>
      <c r="Q606" s="282"/>
      <c r="R606" s="282"/>
      <c r="S606" s="282"/>
      <c r="T606" s="282"/>
      <c r="U606" s="282"/>
      <c r="V606" s="282"/>
      <c r="W606" s="93"/>
      <c r="X606" s="1"/>
      <c r="Y606" s="105"/>
      <c r="Z606" s="218"/>
      <c r="AA606" s="66"/>
    </row>
    <row r="607" spans="1:27" s="104" customFormat="1" ht="15" customHeight="1">
      <c r="A607" s="141"/>
      <c r="B607" s="817" t="s">
        <v>2623</v>
      </c>
      <c r="C607" s="817"/>
      <c r="D607" s="817"/>
      <c r="E607" s="817"/>
      <c r="F607" s="817"/>
      <c r="G607" s="1783">
        <v>6.1400000000000003E-2</v>
      </c>
      <c r="H607" s="1525">
        <v>44.85</v>
      </c>
      <c r="I607" s="281"/>
      <c r="J607" s="164"/>
      <c r="K607" s="164"/>
      <c r="L607" s="103"/>
      <c r="M607" s="103"/>
      <c r="N607" s="103"/>
      <c r="O607" s="42"/>
      <c r="P607" s="42"/>
      <c r="Q607" s="42"/>
      <c r="R607" s="42"/>
      <c r="S607" s="42"/>
      <c r="T607" s="1191"/>
      <c r="U607" s="42"/>
      <c r="V607" s="1191"/>
      <c r="W607" s="93"/>
      <c r="Y607" s="105"/>
      <c r="Z607" s="218"/>
      <c r="AA607" s="66"/>
    </row>
    <row r="608" spans="1:27" s="104" customFormat="1" ht="15" customHeight="1">
      <c r="A608" s="141"/>
      <c r="B608" s="817" t="s">
        <v>2624</v>
      </c>
      <c r="C608" s="817"/>
      <c r="D608" s="817"/>
      <c r="E608" s="817"/>
      <c r="F608" s="817"/>
      <c r="G608" s="1783">
        <v>0.1118</v>
      </c>
      <c r="H608" s="1525">
        <v>81.650000000000006</v>
      </c>
      <c r="I608" s="281"/>
      <c r="J608" s="164"/>
      <c r="K608" s="164"/>
      <c r="L608" s="103"/>
      <c r="M608" s="103"/>
      <c r="N608" s="103"/>
      <c r="O608" s="42"/>
      <c r="P608" s="42"/>
      <c r="Q608" s="42"/>
      <c r="R608" s="42"/>
      <c r="S608" s="42"/>
      <c r="T608" s="1191"/>
      <c r="U608" s="42"/>
      <c r="V608" s="1191"/>
      <c r="W608" s="93"/>
      <c r="Y608" s="105"/>
      <c r="Z608" s="218"/>
      <c r="AA608" s="66"/>
    </row>
    <row r="609" spans="1:27" s="331" customFormat="1" ht="15" customHeight="1">
      <c r="A609" s="141"/>
      <c r="B609" s="817" t="s">
        <v>2625</v>
      </c>
      <c r="C609" s="817"/>
      <c r="D609" s="817"/>
      <c r="E609" s="817"/>
      <c r="F609" s="817"/>
      <c r="G609" s="1783">
        <v>0.1118</v>
      </c>
      <c r="H609" s="1525">
        <v>81.650000000000006</v>
      </c>
      <c r="I609" s="281"/>
      <c r="J609" s="164"/>
      <c r="K609" s="164"/>
      <c r="L609" s="103"/>
      <c r="M609" s="103"/>
      <c r="N609" s="103"/>
      <c r="O609" s="42"/>
      <c r="P609" s="42"/>
      <c r="Q609" s="42"/>
      <c r="R609" s="42"/>
      <c r="S609" s="42"/>
      <c r="T609" s="1191"/>
      <c r="U609" s="42"/>
      <c r="V609" s="1191"/>
      <c r="W609" s="93"/>
      <c r="Y609" s="105"/>
      <c r="Z609" s="218"/>
      <c r="AA609" s="66"/>
    </row>
    <row r="610" spans="1:27" s="331" customFormat="1" ht="15" customHeight="1">
      <c r="A610" s="141"/>
      <c r="B610" s="817" t="s">
        <v>2619</v>
      </c>
      <c r="C610" s="817"/>
      <c r="D610" s="817"/>
      <c r="E610" s="817"/>
      <c r="F610" s="817"/>
      <c r="G610" s="1783">
        <v>6.1400000000000003E-2</v>
      </c>
      <c r="H610" s="1525">
        <v>44.85</v>
      </c>
      <c r="I610" s="281"/>
      <c r="J610" s="164"/>
      <c r="K610" s="164"/>
      <c r="L610" s="103"/>
      <c r="M610" s="103"/>
      <c r="N610" s="103"/>
      <c r="O610" s="42"/>
      <c r="P610" s="42"/>
      <c r="Q610" s="42"/>
      <c r="R610" s="42"/>
      <c r="S610" s="42"/>
      <c r="T610" s="1191"/>
      <c r="U610" s="42"/>
      <c r="V610" s="1191"/>
      <c r="W610" s="93"/>
      <c r="Y610" s="105"/>
      <c r="Z610" s="218"/>
      <c r="AA610" s="66"/>
    </row>
    <row r="611" spans="1:27" s="331" customFormat="1" ht="15" customHeight="1">
      <c r="A611" s="141"/>
      <c r="B611" s="817" t="s">
        <v>2620</v>
      </c>
      <c r="C611" s="817"/>
      <c r="D611" s="817"/>
      <c r="E611" s="817"/>
      <c r="F611" s="817"/>
      <c r="G611" s="1783">
        <v>0.1118</v>
      </c>
      <c r="H611" s="1525">
        <v>81.650000000000006</v>
      </c>
      <c r="I611" s="281"/>
      <c r="J611" s="164"/>
      <c r="K611" s="164"/>
      <c r="L611" s="103"/>
      <c r="M611" s="103"/>
      <c r="N611" s="103"/>
      <c r="O611" s="42"/>
      <c r="P611" s="42"/>
      <c r="Q611" s="42"/>
      <c r="R611" s="42"/>
      <c r="S611" s="42"/>
      <c r="T611" s="1191"/>
      <c r="U611" s="42"/>
      <c r="V611" s="1191"/>
      <c r="W611" s="93"/>
      <c r="Y611" s="105"/>
      <c r="Z611" s="218"/>
      <c r="AA611" s="66"/>
    </row>
    <row r="612" spans="1:27" s="331" customFormat="1" ht="15" customHeight="1">
      <c r="A612" s="141"/>
      <c r="B612" s="817" t="s">
        <v>2621</v>
      </c>
      <c r="C612" s="817"/>
      <c r="D612" s="817"/>
      <c r="E612" s="817"/>
      <c r="F612" s="817"/>
      <c r="G612" s="1783">
        <v>0.1118</v>
      </c>
      <c r="H612" s="1525">
        <v>81.650000000000006</v>
      </c>
      <c r="I612" s="281"/>
      <c r="J612" s="164"/>
      <c r="K612" s="164"/>
      <c r="L612" s="103"/>
      <c r="M612" s="103"/>
      <c r="N612" s="103"/>
      <c r="O612" s="42"/>
      <c r="P612" s="42"/>
      <c r="Q612" s="42"/>
      <c r="R612" s="42"/>
      <c r="S612" s="42"/>
      <c r="T612" s="1191"/>
      <c r="U612" s="42"/>
      <c r="V612" s="1191"/>
      <c r="W612" s="93"/>
      <c r="Y612" s="105"/>
      <c r="Z612" s="218"/>
      <c r="AA612" s="66"/>
    </row>
    <row r="613" spans="1:27" s="331" customFormat="1" ht="15" customHeight="1">
      <c r="A613" s="141"/>
      <c r="B613" s="817" t="s">
        <v>2622</v>
      </c>
      <c r="C613" s="817"/>
      <c r="D613" s="817"/>
      <c r="E613" s="817"/>
      <c r="F613" s="817"/>
      <c r="G613" s="1783">
        <v>0.1118</v>
      </c>
      <c r="H613" s="1525">
        <v>81.650000000000006</v>
      </c>
      <c r="I613" s="281"/>
      <c r="J613" s="164"/>
      <c r="K613" s="164"/>
      <c r="L613" s="103"/>
      <c r="M613" s="103"/>
      <c r="N613" s="103"/>
      <c r="O613" s="42"/>
      <c r="P613" s="42"/>
      <c r="Q613" s="42"/>
      <c r="R613" s="42"/>
      <c r="S613" s="42"/>
      <c r="T613" s="1191"/>
      <c r="U613" s="42"/>
      <c r="V613" s="1191"/>
      <c r="W613" s="93"/>
      <c r="Y613" s="105"/>
      <c r="Z613" s="218"/>
      <c r="AA613" s="66"/>
    </row>
    <row r="614" spans="1:27" s="331" customFormat="1" ht="15" customHeight="1">
      <c r="A614" s="141"/>
      <c r="B614" s="817" t="s">
        <v>2369</v>
      </c>
      <c r="C614" s="817"/>
      <c r="D614" s="817"/>
      <c r="E614" s="817"/>
      <c r="F614" s="817"/>
      <c r="G614" s="1783">
        <v>0.1118</v>
      </c>
      <c r="H614" s="1525">
        <v>81.650000000000006</v>
      </c>
      <c r="I614" s="281"/>
      <c r="J614" s="164"/>
      <c r="K614" s="164"/>
      <c r="L614" s="103"/>
      <c r="M614" s="103"/>
      <c r="N614" s="103"/>
      <c r="O614" s="42"/>
      <c r="P614" s="42"/>
      <c r="Q614" s="42"/>
      <c r="R614" s="42"/>
      <c r="S614" s="42"/>
      <c r="T614" s="1191"/>
      <c r="U614" s="42"/>
      <c r="V614" s="1191"/>
      <c r="W614" s="93"/>
      <c r="Y614" s="105"/>
      <c r="Z614" s="218"/>
      <c r="AA614" s="66"/>
    </row>
    <row r="615" spans="1:27" s="331" customFormat="1" ht="15" customHeight="1">
      <c r="A615" s="141"/>
      <c r="B615" s="817" t="s">
        <v>2370</v>
      </c>
      <c r="C615" s="817"/>
      <c r="D615" s="817"/>
      <c r="E615" s="817"/>
      <c r="F615" s="817"/>
      <c r="G615" s="1783">
        <v>0.1118</v>
      </c>
      <c r="H615" s="1525">
        <v>81.650000000000006</v>
      </c>
      <c r="I615" s="281"/>
      <c r="J615" s="164"/>
      <c r="K615" s="164"/>
      <c r="L615" s="103"/>
      <c r="M615" s="103"/>
      <c r="N615" s="103"/>
      <c r="O615" s="42"/>
      <c r="P615" s="42"/>
      <c r="Q615" s="42"/>
      <c r="R615" s="42"/>
      <c r="S615" s="42"/>
      <c r="T615" s="1191"/>
      <c r="U615" s="42"/>
      <c r="V615" s="1191"/>
      <c r="W615" s="93"/>
      <c r="Y615" s="105"/>
      <c r="Z615" s="218"/>
      <c r="AA615" s="66"/>
    </row>
    <row r="616" spans="1:27" s="331" customFormat="1" ht="15" customHeight="1">
      <c r="A616" s="141"/>
      <c r="B616" s="817" t="s">
        <v>2371</v>
      </c>
      <c r="C616" s="817"/>
      <c r="D616" s="817"/>
      <c r="E616" s="817"/>
      <c r="F616" s="817"/>
      <c r="G616" s="1783">
        <v>0.1118</v>
      </c>
      <c r="H616" s="1525">
        <v>81.650000000000006</v>
      </c>
      <c r="I616" s="281"/>
      <c r="J616" s="164"/>
      <c r="K616" s="164"/>
      <c r="L616" s="103"/>
      <c r="M616" s="103"/>
      <c r="N616" s="103"/>
      <c r="O616" s="42"/>
      <c r="P616" s="42"/>
      <c r="Q616" s="42"/>
      <c r="R616" s="42"/>
      <c r="S616" s="42"/>
      <c r="T616" s="1191"/>
      <c r="U616" s="42"/>
      <c r="V616" s="1191"/>
      <c r="W616" s="93"/>
      <c r="Y616" s="105"/>
      <c r="Z616" s="218"/>
      <c r="AA616" s="66"/>
    </row>
    <row r="617" spans="1:27" s="331" customFormat="1" ht="15" customHeight="1">
      <c r="A617" s="141"/>
      <c r="B617" s="817" t="s">
        <v>2372</v>
      </c>
      <c r="C617" s="817"/>
      <c r="D617" s="817"/>
      <c r="E617" s="817"/>
      <c r="F617" s="817"/>
      <c r="G617" s="1783">
        <v>0.1118</v>
      </c>
      <c r="H617" s="1525">
        <v>81.650000000000006</v>
      </c>
      <c r="I617" s="281"/>
      <c r="J617" s="164"/>
      <c r="K617" s="164"/>
      <c r="L617" s="103"/>
      <c r="M617" s="103"/>
      <c r="N617" s="103"/>
      <c r="O617" s="42"/>
      <c r="P617" s="42"/>
      <c r="Q617" s="42"/>
      <c r="R617" s="42"/>
      <c r="S617" s="42"/>
      <c r="T617" s="1191"/>
      <c r="U617" s="42"/>
      <c r="V617" s="1191"/>
      <c r="W617" s="93"/>
      <c r="Y617" s="105"/>
      <c r="Z617" s="218"/>
      <c r="AA617" s="66"/>
    </row>
    <row r="618" spans="1:27" s="331" customFormat="1" ht="15" customHeight="1">
      <c r="A618" s="141"/>
      <c r="B618" s="817" t="s">
        <v>2373</v>
      </c>
      <c r="C618" s="817"/>
      <c r="D618" s="817"/>
      <c r="E618" s="817"/>
      <c r="F618" s="817"/>
      <c r="G618" s="1783">
        <v>0.1118</v>
      </c>
      <c r="H618" s="1525">
        <v>81.650000000000006</v>
      </c>
      <c r="I618" s="281"/>
      <c r="J618" s="164"/>
      <c r="K618" s="164"/>
      <c r="L618" s="103"/>
      <c r="M618" s="103"/>
      <c r="N618" s="103"/>
      <c r="O618" s="42"/>
      <c r="P618" s="42"/>
      <c r="Q618" s="42"/>
      <c r="R618" s="42"/>
      <c r="S618" s="42"/>
      <c r="T618" s="1191"/>
      <c r="U618" s="42"/>
      <c r="V618" s="1191"/>
      <c r="W618" s="93"/>
      <c r="Y618" s="105"/>
      <c r="Z618" s="218"/>
      <c r="AA618" s="66"/>
    </row>
    <row r="619" spans="1:27" s="331" customFormat="1" ht="15" customHeight="1">
      <c r="A619" s="141"/>
      <c r="B619" s="817" t="s">
        <v>2374</v>
      </c>
      <c r="C619" s="817"/>
      <c r="D619" s="817"/>
      <c r="E619" s="817"/>
      <c r="F619" s="817"/>
      <c r="G619" s="1783">
        <v>0.1118</v>
      </c>
      <c r="H619" s="1525">
        <v>81.650000000000006</v>
      </c>
      <c r="I619" s="281"/>
      <c r="J619" s="164"/>
      <c r="K619" s="164"/>
      <c r="L619" s="103"/>
      <c r="M619" s="103"/>
      <c r="N619" s="103"/>
      <c r="O619" s="42"/>
      <c r="P619" s="42"/>
      <c r="Q619" s="42"/>
      <c r="R619" s="42"/>
      <c r="S619" s="42"/>
      <c r="T619" s="1191"/>
      <c r="U619" s="42"/>
      <c r="V619" s="1191"/>
      <c r="W619" s="93"/>
      <c r="Y619" s="105"/>
      <c r="Z619" s="218"/>
      <c r="AA619" s="66"/>
    </row>
    <row r="620" spans="1:27" s="331" customFormat="1" ht="15" customHeight="1">
      <c r="A620" s="141"/>
      <c r="B620" s="817" t="s">
        <v>2397</v>
      </c>
      <c r="C620" s="817"/>
      <c r="D620" s="817"/>
      <c r="E620" s="817"/>
      <c r="F620" s="817"/>
      <c r="G620" s="1783">
        <v>0.1118</v>
      </c>
      <c r="H620" s="1525">
        <v>81.650000000000006</v>
      </c>
      <c r="I620" s="281"/>
      <c r="J620" s="164"/>
      <c r="K620" s="164"/>
      <c r="L620" s="103"/>
      <c r="M620" s="103"/>
      <c r="N620" s="103"/>
      <c r="O620" s="42"/>
      <c r="P620" s="42"/>
      <c r="Q620" s="42"/>
      <c r="R620" s="42"/>
      <c r="S620" s="42"/>
      <c r="T620" s="1191"/>
      <c r="U620" s="42"/>
      <c r="V620" s="1191"/>
      <c r="W620" s="93"/>
      <c r="Y620" s="105"/>
      <c r="Z620" s="218"/>
      <c r="AA620" s="66"/>
    </row>
    <row r="621" spans="1:27" s="331" customFormat="1" ht="15" customHeight="1">
      <c r="A621" s="141"/>
      <c r="B621" s="817" t="s">
        <v>2659</v>
      </c>
      <c r="C621" s="817"/>
      <c r="D621" s="817"/>
      <c r="E621" s="817"/>
      <c r="F621" s="817"/>
      <c r="G621" s="1783">
        <v>0.1118</v>
      </c>
      <c r="H621" s="1525">
        <v>81.650000000000006</v>
      </c>
      <c r="I621" s="281"/>
      <c r="J621" s="164"/>
      <c r="K621" s="164"/>
      <c r="L621" s="103"/>
      <c r="M621" s="103"/>
      <c r="N621" s="103"/>
      <c r="O621" s="42"/>
      <c r="P621" s="42"/>
      <c r="Q621" s="42"/>
      <c r="R621" s="42"/>
      <c r="S621" s="42"/>
      <c r="T621" s="1191"/>
      <c r="U621" s="42"/>
      <c r="V621" s="1191"/>
      <c r="W621" s="93"/>
      <c r="Y621" s="105"/>
      <c r="Z621" s="218"/>
      <c r="AA621" s="66"/>
    </row>
    <row r="622" spans="1:27" s="331" customFormat="1" ht="15" customHeight="1">
      <c r="A622" s="141"/>
      <c r="B622" s="817" t="s">
        <v>2398</v>
      </c>
      <c r="C622" s="817"/>
      <c r="D622" s="817"/>
      <c r="E622" s="817"/>
      <c r="F622" s="817"/>
      <c r="G622" s="1783">
        <v>0.1118</v>
      </c>
      <c r="H622" s="1525">
        <v>81.650000000000006</v>
      </c>
      <c r="I622" s="281"/>
      <c r="J622" s="164"/>
      <c r="K622" s="164"/>
      <c r="L622" s="103"/>
      <c r="M622" s="103"/>
      <c r="N622" s="103"/>
      <c r="O622" s="42"/>
      <c r="P622" s="42"/>
      <c r="Q622" s="42"/>
      <c r="R622" s="42"/>
      <c r="S622" s="42"/>
      <c r="T622" s="1191"/>
      <c r="U622" s="42"/>
      <c r="V622" s="1191"/>
      <c r="W622" s="93"/>
      <c r="Y622" s="105"/>
      <c r="Z622" s="218"/>
      <c r="AA622" s="66"/>
    </row>
    <row r="623" spans="1:27" s="331" customFormat="1" ht="15" customHeight="1">
      <c r="A623" s="141"/>
      <c r="B623" s="817" t="s">
        <v>2660</v>
      </c>
      <c r="C623" s="817"/>
      <c r="D623" s="817"/>
      <c r="E623" s="817"/>
      <c r="F623" s="817"/>
      <c r="G623" s="1783">
        <v>0.1118</v>
      </c>
      <c r="H623" s="1525">
        <v>81.650000000000006</v>
      </c>
      <c r="I623" s="281"/>
      <c r="J623" s="164"/>
      <c r="K623" s="164"/>
      <c r="L623" s="103"/>
      <c r="M623" s="103"/>
      <c r="N623" s="103"/>
      <c r="O623" s="42"/>
      <c r="P623" s="42"/>
      <c r="Q623" s="42"/>
      <c r="R623" s="42"/>
      <c r="S623" s="42"/>
      <c r="T623" s="1191"/>
      <c r="U623" s="42"/>
      <c r="V623" s="1191"/>
      <c r="W623" s="93"/>
      <c r="Y623" s="105"/>
      <c r="Z623" s="218"/>
      <c r="AA623" s="66"/>
    </row>
    <row r="624" spans="1:27" s="1498" customFormat="1" ht="15" customHeight="1">
      <c r="A624" s="141"/>
      <c r="B624" s="817" t="s">
        <v>2661</v>
      </c>
      <c r="C624" s="817"/>
      <c r="D624" s="817"/>
      <c r="E624" s="817"/>
      <c r="F624" s="817"/>
      <c r="G624" s="1783">
        <v>0.1118</v>
      </c>
      <c r="H624" s="1525">
        <v>81.650000000000006</v>
      </c>
      <c r="I624" s="281"/>
      <c r="J624" s="164"/>
      <c r="K624" s="164"/>
      <c r="L624" s="1408"/>
      <c r="M624" s="1408"/>
      <c r="N624" s="1408"/>
      <c r="O624" s="1191"/>
      <c r="P624" s="1191"/>
      <c r="Q624" s="1191"/>
      <c r="R624" s="1191"/>
      <c r="S624" s="1191"/>
      <c r="T624" s="1191"/>
      <c r="U624" s="1191"/>
      <c r="V624" s="1191"/>
      <c r="W624" s="1190"/>
      <c r="Y624" s="105"/>
      <c r="Z624" s="1492"/>
      <c r="AA624" s="1193"/>
    </row>
    <row r="625" spans="1:27" s="331" customFormat="1" ht="15" customHeight="1">
      <c r="A625" s="141"/>
      <c r="B625" s="817" t="s">
        <v>2662</v>
      </c>
      <c r="C625" s="817"/>
      <c r="D625" s="817"/>
      <c r="E625" s="817"/>
      <c r="F625" s="817"/>
      <c r="G625" s="1783">
        <v>0.1118</v>
      </c>
      <c r="H625" s="1525">
        <v>81.650000000000006</v>
      </c>
      <c r="I625" s="281"/>
      <c r="J625" s="164"/>
      <c r="K625" s="164"/>
      <c r="L625" s="103"/>
      <c r="M625" s="103"/>
      <c r="N625" s="103"/>
      <c r="O625" s="42"/>
      <c r="P625" s="42"/>
      <c r="Q625" s="42"/>
      <c r="R625" s="42"/>
      <c r="S625" s="42"/>
      <c r="T625" s="1191"/>
      <c r="U625" s="42"/>
      <c r="V625" s="1191"/>
      <c r="W625" s="93"/>
      <c r="Y625" s="105"/>
      <c r="Z625" s="218"/>
      <c r="AA625" s="66"/>
    </row>
    <row r="626" spans="1:27" s="331" customFormat="1" ht="15" customHeight="1">
      <c r="A626" s="141"/>
      <c r="B626" s="817" t="s">
        <v>2663</v>
      </c>
      <c r="C626" s="817"/>
      <c r="D626" s="817"/>
      <c r="E626" s="817"/>
      <c r="F626" s="817"/>
      <c r="G626" s="1783">
        <v>0.1118</v>
      </c>
      <c r="H626" s="1525">
        <v>81.650000000000006</v>
      </c>
      <c r="I626" s="281"/>
      <c r="J626" s="164"/>
      <c r="K626" s="164"/>
      <c r="L626" s="103"/>
      <c r="M626" s="103"/>
      <c r="N626" s="103"/>
      <c r="O626" s="42"/>
      <c r="P626" s="42"/>
      <c r="Q626" s="42"/>
      <c r="R626" s="42"/>
      <c r="S626" s="42"/>
      <c r="T626" s="1191"/>
      <c r="U626" s="42"/>
      <c r="V626" s="1191"/>
      <c r="W626" s="93"/>
      <c r="Y626" s="105"/>
      <c r="Z626" s="218"/>
      <c r="AA626" s="66"/>
    </row>
    <row r="627" spans="1:27" s="331" customFormat="1" ht="15" customHeight="1">
      <c r="A627" s="141"/>
      <c r="B627" s="817" t="s">
        <v>2664</v>
      </c>
      <c r="C627" s="817"/>
      <c r="D627" s="817"/>
      <c r="E627" s="817"/>
      <c r="F627" s="817"/>
      <c r="G627" s="1783">
        <v>0.1118</v>
      </c>
      <c r="H627" s="1525">
        <v>81.650000000000006</v>
      </c>
      <c r="I627" s="281"/>
      <c r="J627" s="164"/>
      <c r="K627" s="164"/>
      <c r="L627" s="103"/>
      <c r="M627" s="103"/>
      <c r="N627" s="103"/>
      <c r="O627" s="42"/>
      <c r="P627" s="42"/>
      <c r="Q627" s="42"/>
      <c r="R627" s="42"/>
      <c r="S627" s="42"/>
      <c r="T627" s="1191"/>
      <c r="U627" s="42"/>
      <c r="V627" s="1191"/>
      <c r="W627" s="93"/>
      <c r="Y627" s="105"/>
      <c r="Z627" s="218"/>
      <c r="AA627" s="66"/>
    </row>
    <row r="628" spans="1:27" s="331" customFormat="1" ht="15" customHeight="1">
      <c r="A628" s="141"/>
      <c r="B628" s="817" t="s">
        <v>2665</v>
      </c>
      <c r="C628" s="817"/>
      <c r="D628" s="817"/>
      <c r="E628" s="817"/>
      <c r="F628" s="817"/>
      <c r="G628" s="1783">
        <v>0.1118</v>
      </c>
      <c r="H628" s="1525">
        <v>81.650000000000006</v>
      </c>
      <c r="I628" s="281"/>
      <c r="J628" s="164"/>
      <c r="K628" s="164"/>
      <c r="L628" s="103"/>
      <c r="M628" s="103"/>
      <c r="N628" s="103"/>
      <c r="O628" s="42"/>
      <c r="P628" s="42"/>
      <c r="Q628" s="42"/>
      <c r="R628" s="42"/>
      <c r="S628" s="42"/>
      <c r="T628" s="1191"/>
      <c r="U628" s="42"/>
      <c r="V628" s="1191"/>
      <c r="W628" s="93"/>
      <c r="Y628" s="105"/>
      <c r="Z628" s="218"/>
      <c r="AA628" s="66"/>
    </row>
    <row r="629" spans="1:27" s="331" customFormat="1" ht="15" customHeight="1">
      <c r="A629" s="141"/>
      <c r="B629" s="817" t="s">
        <v>2666</v>
      </c>
      <c r="C629" s="817"/>
      <c r="D629" s="817"/>
      <c r="E629" s="817"/>
      <c r="F629" s="817"/>
      <c r="G629" s="1783">
        <v>0.1118</v>
      </c>
      <c r="H629" s="1525">
        <v>81.650000000000006</v>
      </c>
      <c r="I629" s="281"/>
      <c r="J629" s="164"/>
      <c r="K629" s="164"/>
      <c r="L629" s="103"/>
      <c r="M629" s="103"/>
      <c r="N629" s="103"/>
      <c r="O629" s="42"/>
      <c r="P629" s="42"/>
      <c r="Q629" s="42"/>
      <c r="R629" s="42"/>
      <c r="S629" s="42"/>
      <c r="T629" s="1191"/>
      <c r="U629" s="42"/>
      <c r="V629" s="1191"/>
      <c r="W629" s="93"/>
      <c r="Y629" s="105"/>
      <c r="Z629" s="218"/>
      <c r="AA629" s="66"/>
    </row>
    <row r="630" spans="1:27" s="593" customFormat="1" ht="15" customHeight="1">
      <c r="A630" s="679"/>
      <c r="B630" s="817" t="s">
        <v>2667</v>
      </c>
      <c r="C630" s="817"/>
      <c r="D630" s="817"/>
      <c r="E630" s="817"/>
      <c r="F630" s="817"/>
      <c r="G630" s="1783">
        <v>0.1118</v>
      </c>
      <c r="H630" s="1525">
        <v>81.650000000000006</v>
      </c>
      <c r="I630" s="769"/>
      <c r="J630" s="304"/>
      <c r="K630" s="304"/>
      <c r="L630" s="549"/>
      <c r="M630" s="549"/>
      <c r="N630" s="549"/>
      <c r="O630" s="305"/>
      <c r="P630" s="305"/>
      <c r="Q630" s="305"/>
      <c r="R630" s="305"/>
      <c r="S630" s="305"/>
      <c r="T630" s="305"/>
      <c r="U630" s="305"/>
      <c r="V630" s="305"/>
      <c r="W630" s="699"/>
      <c r="Y630" s="770"/>
      <c r="Z630" s="730"/>
      <c r="AA630" s="678"/>
    </row>
    <row r="631" spans="1:27" s="331" customFormat="1" ht="15" customHeight="1">
      <c r="A631" s="141"/>
      <c r="B631" s="817" t="s">
        <v>2668</v>
      </c>
      <c r="C631" s="817"/>
      <c r="D631" s="817"/>
      <c r="E631" s="817"/>
      <c r="F631" s="817"/>
      <c r="G631" s="1783">
        <v>0.1118</v>
      </c>
      <c r="H631" s="1525">
        <v>81.650000000000006</v>
      </c>
      <c r="I631" s="281"/>
      <c r="J631" s="164"/>
      <c r="K631" s="164"/>
      <c r="L631" s="103"/>
      <c r="M631" s="103"/>
      <c r="N631" s="103"/>
      <c r="O631" s="42"/>
      <c r="P631" s="42"/>
      <c r="Q631" s="42"/>
      <c r="R631" s="42"/>
      <c r="S631" s="42"/>
      <c r="T631" s="1191"/>
      <c r="U631" s="42"/>
      <c r="V631" s="1191"/>
      <c r="W631" s="93"/>
      <c r="Y631" s="105"/>
      <c r="Z631" s="218"/>
      <c r="AA631" s="66"/>
    </row>
    <row r="632" spans="1:27" s="331" customFormat="1" ht="15" customHeight="1">
      <c r="A632" s="141"/>
      <c r="B632" s="817" t="s">
        <v>2639</v>
      </c>
      <c r="C632" s="817"/>
      <c r="D632" s="817"/>
      <c r="E632" s="817"/>
      <c r="F632" s="817"/>
      <c r="G632" s="1783">
        <v>6.1400000000000003E-2</v>
      </c>
      <c r="H632" s="1525">
        <v>44.85</v>
      </c>
      <c r="I632" s="281"/>
      <c r="J632" s="164"/>
      <c r="K632" s="164"/>
      <c r="L632" s="103"/>
      <c r="M632" s="103"/>
      <c r="N632" s="103"/>
      <c r="O632" s="42"/>
      <c r="P632" s="42"/>
      <c r="Q632" s="42"/>
      <c r="R632" s="42"/>
      <c r="S632" s="42"/>
      <c r="T632" s="1191"/>
      <c r="U632" s="42"/>
      <c r="V632" s="1191"/>
      <c r="W632" s="93"/>
      <c r="Y632" s="105"/>
      <c r="Z632" s="218"/>
      <c r="AA632" s="66"/>
    </row>
    <row r="633" spans="1:27" s="331" customFormat="1" ht="15" customHeight="1">
      <c r="A633" s="141"/>
      <c r="B633" s="1850" t="s">
        <v>2375</v>
      </c>
      <c r="C633" s="817"/>
      <c r="D633" s="817"/>
      <c r="E633" s="817"/>
      <c r="F633" s="817"/>
      <c r="G633" s="1783">
        <v>0.1118</v>
      </c>
      <c r="H633" s="1525">
        <v>81.650000000000006</v>
      </c>
      <c r="I633" s="281"/>
      <c r="J633" s="164"/>
      <c r="K633" s="164"/>
      <c r="L633" s="103"/>
      <c r="M633" s="103"/>
      <c r="N633" s="103"/>
      <c r="O633" s="42"/>
      <c r="P633" s="42"/>
      <c r="Q633" s="42"/>
      <c r="R633" s="42"/>
      <c r="S633" s="42"/>
      <c r="T633" s="1191"/>
      <c r="U633" s="42"/>
      <c r="V633" s="1191"/>
      <c r="W633" s="93"/>
      <c r="Y633" s="105"/>
      <c r="Z633" s="218"/>
      <c r="AA633" s="66"/>
    </row>
    <row r="634" spans="1:27" s="331" customFormat="1" ht="15" customHeight="1">
      <c r="A634" s="141"/>
      <c r="B634" s="817" t="s">
        <v>2376</v>
      </c>
      <c r="C634" s="817"/>
      <c r="D634" s="817"/>
      <c r="E634" s="817"/>
      <c r="F634" s="817"/>
      <c r="G634" s="1783">
        <v>0.1118</v>
      </c>
      <c r="H634" s="1525">
        <v>81.650000000000006</v>
      </c>
      <c r="I634" s="281"/>
      <c r="J634" s="164"/>
      <c r="K634" s="164"/>
      <c r="L634" s="103"/>
      <c r="M634" s="103"/>
      <c r="N634" s="103"/>
      <c r="O634" s="42"/>
      <c r="P634" s="42"/>
      <c r="Q634" s="42"/>
      <c r="R634" s="42"/>
      <c r="S634" s="42"/>
      <c r="T634" s="1191"/>
      <c r="U634" s="42"/>
      <c r="V634" s="1191"/>
      <c r="W634" s="93"/>
      <c r="Y634" s="105"/>
      <c r="Z634" s="218"/>
      <c r="AA634" s="66"/>
    </row>
    <row r="635" spans="1:27" s="331" customFormat="1" ht="15" customHeight="1">
      <c r="A635" s="141"/>
      <c r="B635" s="1850" t="s">
        <v>2377</v>
      </c>
      <c r="C635" s="817"/>
      <c r="D635" s="817"/>
      <c r="E635" s="817"/>
      <c r="F635" s="817"/>
      <c r="G635" s="1783">
        <v>0.1118</v>
      </c>
      <c r="H635" s="1525">
        <v>81.650000000000006</v>
      </c>
      <c r="I635" s="281"/>
      <c r="J635" s="164"/>
      <c r="K635" s="164"/>
      <c r="L635" s="103"/>
      <c r="M635" s="103"/>
      <c r="N635" s="103"/>
      <c r="O635" s="42"/>
      <c r="P635" s="42"/>
      <c r="Q635" s="42"/>
      <c r="R635" s="42"/>
      <c r="S635" s="42"/>
      <c r="T635" s="1191"/>
      <c r="U635" s="42"/>
      <c r="V635" s="1191"/>
      <c r="W635" s="93"/>
      <c r="Y635" s="105"/>
      <c r="Z635" s="218"/>
      <c r="AA635" s="66"/>
    </row>
    <row r="636" spans="1:27" s="331" customFormat="1" ht="15" customHeight="1">
      <c r="A636" s="141"/>
      <c r="B636" s="1850" t="s">
        <v>2378</v>
      </c>
      <c r="C636" s="817"/>
      <c r="D636" s="817"/>
      <c r="E636" s="817"/>
      <c r="F636" s="817"/>
      <c r="G636" s="1783">
        <v>0.1118</v>
      </c>
      <c r="H636" s="1525">
        <v>81.650000000000006</v>
      </c>
      <c r="I636" s="281"/>
      <c r="J636" s="164"/>
      <c r="K636" s="164"/>
      <c r="L636" s="103"/>
      <c r="M636" s="103"/>
      <c r="N636" s="103"/>
      <c r="O636" s="42"/>
      <c r="P636" s="42"/>
      <c r="Q636" s="42"/>
      <c r="R636" s="42"/>
      <c r="S636" s="42"/>
      <c r="T636" s="1191"/>
      <c r="U636" s="42"/>
      <c r="V636" s="1191"/>
      <c r="W636" s="93"/>
      <c r="Y636" s="105"/>
      <c r="Z636" s="218"/>
      <c r="AA636" s="66"/>
    </row>
    <row r="637" spans="1:27" s="331" customFormat="1" ht="15" customHeight="1">
      <c r="A637" s="141"/>
      <c r="B637" s="1850" t="s">
        <v>2710</v>
      </c>
      <c r="C637" s="817"/>
      <c r="D637" s="817"/>
      <c r="E637" s="817"/>
      <c r="F637" s="817"/>
      <c r="G637" s="1783">
        <v>0.1118</v>
      </c>
      <c r="H637" s="1525">
        <v>81.650000000000006</v>
      </c>
      <c r="I637" s="281"/>
      <c r="J637" s="164"/>
      <c r="K637" s="164"/>
      <c r="L637" s="103"/>
      <c r="M637" s="103"/>
      <c r="N637" s="103"/>
      <c r="O637" s="42"/>
      <c r="P637" s="42"/>
      <c r="Q637" s="42"/>
      <c r="R637" s="42"/>
      <c r="S637" s="42"/>
      <c r="T637" s="1191"/>
      <c r="U637" s="42"/>
      <c r="V637" s="1191"/>
      <c r="W637" s="93"/>
      <c r="Y637" s="105"/>
      <c r="Z637" s="218"/>
      <c r="AA637" s="66"/>
    </row>
    <row r="638" spans="1:27" s="331" customFormat="1" ht="15" customHeight="1">
      <c r="A638" s="141"/>
      <c r="B638" s="1850" t="s">
        <v>2641</v>
      </c>
      <c r="C638" s="817"/>
      <c r="D638" s="817"/>
      <c r="E638" s="817"/>
      <c r="F638" s="817"/>
      <c r="G638" s="1783">
        <v>0.1118</v>
      </c>
      <c r="H638" s="1525">
        <v>81.650000000000006</v>
      </c>
      <c r="I638" s="281"/>
      <c r="J638" s="164"/>
      <c r="K638" s="164"/>
      <c r="L638" s="103"/>
      <c r="M638" s="103"/>
      <c r="N638" s="103"/>
      <c r="O638" s="42"/>
      <c r="P638" s="42"/>
      <c r="Q638" s="42"/>
      <c r="R638" s="42"/>
      <c r="S638" s="42"/>
      <c r="T638" s="1191"/>
      <c r="U638" s="42"/>
      <c r="V638" s="1191"/>
      <c r="W638" s="93"/>
      <c r="Y638" s="105"/>
      <c r="Z638" s="218"/>
      <c r="AA638" s="66"/>
    </row>
    <row r="639" spans="1:27" s="331" customFormat="1" ht="15" customHeight="1">
      <c r="A639" s="141"/>
      <c r="B639" s="1850" t="s">
        <v>2635</v>
      </c>
      <c r="C639" s="817"/>
      <c r="D639" s="817"/>
      <c r="E639" s="817"/>
      <c r="F639" s="817"/>
      <c r="G639" s="1783">
        <v>6.1400000000000003E-2</v>
      </c>
      <c r="H639" s="1525">
        <v>44.85</v>
      </c>
      <c r="I639" s="281"/>
      <c r="J639" s="164"/>
      <c r="K639" s="164"/>
      <c r="L639" s="103"/>
      <c r="M639" s="103"/>
      <c r="N639" s="103"/>
      <c r="O639" s="42"/>
      <c r="P639" s="42"/>
      <c r="Q639" s="42"/>
      <c r="R639" s="42"/>
      <c r="S639" s="42"/>
      <c r="T639" s="1191"/>
      <c r="U639" s="42"/>
      <c r="V639" s="1191"/>
      <c r="W639" s="93"/>
      <c r="Y639" s="105"/>
      <c r="Z639" s="218"/>
      <c r="AA639" s="66"/>
    </row>
    <row r="640" spans="1:27" s="331" customFormat="1" ht="15" customHeight="1">
      <c r="A640" s="141"/>
      <c r="B640" s="1850" t="s">
        <v>2636</v>
      </c>
      <c r="C640" s="817"/>
      <c r="D640" s="817"/>
      <c r="E640" s="817"/>
      <c r="F640" s="817"/>
      <c r="G640" s="1783">
        <v>0.1118</v>
      </c>
      <c r="H640" s="1525">
        <v>81.650000000000006</v>
      </c>
      <c r="I640" s="281"/>
      <c r="J640" s="164"/>
      <c r="K640" s="164"/>
      <c r="L640" s="103"/>
      <c r="M640" s="103"/>
      <c r="N640" s="103"/>
      <c r="O640" s="42"/>
      <c r="P640" s="42"/>
      <c r="Q640" s="42"/>
      <c r="R640" s="42"/>
      <c r="S640" s="42"/>
      <c r="T640" s="1191"/>
      <c r="U640" s="42"/>
      <c r="V640" s="1191"/>
      <c r="W640" s="93"/>
      <c r="Y640" s="105"/>
      <c r="Z640" s="218"/>
      <c r="AA640" s="66"/>
    </row>
    <row r="641" spans="1:27" s="331" customFormat="1" ht="15" customHeight="1">
      <c r="A641" s="141"/>
      <c r="B641" s="1850" t="s">
        <v>2409</v>
      </c>
      <c r="C641" s="817"/>
      <c r="D641" s="817"/>
      <c r="E641" s="817"/>
      <c r="F641" s="817"/>
      <c r="G641" s="1783">
        <v>0.1118</v>
      </c>
      <c r="H641" s="1525">
        <v>81.650000000000006</v>
      </c>
      <c r="I641" s="281"/>
      <c r="J641" s="164"/>
      <c r="K641" s="164"/>
      <c r="L641" s="103"/>
      <c r="M641" s="103"/>
      <c r="N641" s="103"/>
      <c r="O641" s="42"/>
      <c r="P641" s="42"/>
      <c r="Q641" s="42"/>
      <c r="R641" s="42"/>
      <c r="S641" s="42"/>
      <c r="T641" s="1191"/>
      <c r="U641" s="42"/>
      <c r="V641" s="1191"/>
      <c r="W641" s="93"/>
      <c r="Y641" s="105"/>
      <c r="Z641" s="218"/>
      <c r="AA641" s="66"/>
    </row>
    <row r="642" spans="1:27" s="331" customFormat="1" ht="15" customHeight="1">
      <c r="A642" s="141"/>
      <c r="B642" s="1850" t="s">
        <v>2387</v>
      </c>
      <c r="C642" s="817"/>
      <c r="D642" s="817"/>
      <c r="E642" s="817"/>
      <c r="F642" s="817"/>
      <c r="G642" s="1783">
        <v>0.1118</v>
      </c>
      <c r="H642" s="1525">
        <v>81.650000000000006</v>
      </c>
      <c r="I642" s="281"/>
      <c r="J642" s="164"/>
      <c r="K642" s="164"/>
      <c r="L642" s="103"/>
      <c r="M642" s="103"/>
      <c r="N642" s="103"/>
      <c r="O642" s="42"/>
      <c r="P642" s="42"/>
      <c r="Q642" s="42"/>
      <c r="R642" s="42"/>
      <c r="S642" s="42"/>
      <c r="T642" s="1191"/>
      <c r="U642" s="42"/>
      <c r="V642" s="1191"/>
      <c r="W642" s="93"/>
      <c r="Y642" s="105"/>
      <c r="Z642" s="218"/>
      <c r="AA642" s="66"/>
    </row>
    <row r="643" spans="1:27" s="331" customFormat="1" ht="15" customHeight="1">
      <c r="A643" s="141"/>
      <c r="B643" s="1850" t="s">
        <v>2637</v>
      </c>
      <c r="C643" s="817"/>
      <c r="D643" s="817"/>
      <c r="E643" s="817"/>
      <c r="F643" s="817"/>
      <c r="G643" s="1783">
        <v>0.1118</v>
      </c>
      <c r="H643" s="1525">
        <v>81.650000000000006</v>
      </c>
      <c r="I643" s="281"/>
      <c r="J643" s="164"/>
      <c r="K643" s="164"/>
      <c r="L643" s="103"/>
      <c r="M643" s="103"/>
      <c r="N643" s="103"/>
      <c r="O643" s="42"/>
      <c r="P643" s="42"/>
      <c r="Q643" s="42"/>
      <c r="R643" s="42"/>
      <c r="S643" s="42"/>
      <c r="T643" s="1191"/>
      <c r="U643" s="42"/>
      <c r="V643" s="1191"/>
      <c r="W643" s="93"/>
      <c r="Y643" s="105"/>
      <c r="Z643" s="218"/>
      <c r="AA643" s="66"/>
    </row>
    <row r="644" spans="1:27" s="331" customFormat="1" ht="15" customHeight="1">
      <c r="A644" s="141"/>
      <c r="B644" s="1850" t="s">
        <v>2638</v>
      </c>
      <c r="C644" s="817"/>
      <c r="D644" s="817"/>
      <c r="E644" s="817"/>
      <c r="F644" s="817"/>
      <c r="G644" s="1783">
        <v>0.1118</v>
      </c>
      <c r="H644" s="1525">
        <v>81.650000000000006</v>
      </c>
      <c r="I644" s="281"/>
      <c r="J644" s="164"/>
      <c r="K644" s="164"/>
      <c r="L644" s="103"/>
      <c r="M644" s="103"/>
      <c r="N644" s="103"/>
      <c r="O644" s="42"/>
      <c r="P644" s="42"/>
      <c r="Q644" s="42"/>
      <c r="R644" s="42"/>
      <c r="S644" s="42"/>
      <c r="T644" s="1191"/>
      <c r="U644" s="42"/>
      <c r="V644" s="1191"/>
      <c r="W644" s="93"/>
      <c r="Y644" s="105"/>
      <c r="Z644" s="218"/>
      <c r="AA644" s="66"/>
    </row>
    <row r="645" spans="1:27" s="331" customFormat="1" ht="15" customHeight="1">
      <c r="A645" s="141"/>
      <c r="B645" s="1850" t="s">
        <v>2626</v>
      </c>
      <c r="C645" s="817"/>
      <c r="D645" s="817"/>
      <c r="E645" s="817"/>
      <c r="F645" s="817"/>
      <c r="G645" s="1783">
        <v>6.1400000000000003E-2</v>
      </c>
      <c r="H645" s="1525">
        <v>44.85</v>
      </c>
      <c r="I645" s="281"/>
      <c r="J645" s="164"/>
      <c r="K645" s="164"/>
      <c r="L645" s="103"/>
      <c r="M645" s="103"/>
      <c r="N645" s="103"/>
      <c r="O645" s="42"/>
      <c r="P645" s="42"/>
      <c r="Q645" s="42"/>
      <c r="R645" s="42"/>
      <c r="S645" s="42"/>
      <c r="T645" s="1191"/>
      <c r="U645" s="42"/>
      <c r="V645" s="1191"/>
      <c r="W645" s="93"/>
      <c r="Y645" s="105"/>
      <c r="Z645" s="218"/>
      <c r="AA645" s="66"/>
    </row>
    <row r="646" spans="1:27" s="331" customFormat="1" ht="15" customHeight="1">
      <c r="A646" s="141"/>
      <c r="B646" s="1850" t="s">
        <v>2627</v>
      </c>
      <c r="C646" s="817"/>
      <c r="D646" s="817"/>
      <c r="E646" s="817"/>
      <c r="F646" s="817"/>
      <c r="G646" s="1783">
        <v>0.1118</v>
      </c>
      <c r="H646" s="1525">
        <v>81.650000000000006</v>
      </c>
      <c r="I646" s="281"/>
      <c r="J646" s="164"/>
      <c r="K646" s="164"/>
      <c r="L646" s="103"/>
      <c r="M646" s="103"/>
      <c r="N646" s="103"/>
      <c r="O646" s="42"/>
      <c r="P646" s="42"/>
      <c r="Q646" s="42"/>
      <c r="R646" s="42"/>
      <c r="S646" s="42"/>
      <c r="T646" s="1191"/>
      <c r="U646" s="42"/>
      <c r="V646" s="1191"/>
      <c r="W646" s="93"/>
      <c r="Y646" s="105"/>
      <c r="Z646" s="218"/>
      <c r="AA646" s="66"/>
    </row>
    <row r="647" spans="1:27" s="331" customFormat="1" ht="15" customHeight="1">
      <c r="A647" s="141"/>
      <c r="B647" s="1850" t="s">
        <v>2628</v>
      </c>
      <c r="C647" s="817"/>
      <c r="D647" s="817"/>
      <c r="E647" s="817"/>
      <c r="F647" s="817"/>
      <c r="G647" s="1783">
        <v>0.1118</v>
      </c>
      <c r="H647" s="1525">
        <v>81.650000000000006</v>
      </c>
      <c r="I647" s="281"/>
      <c r="J647" s="164"/>
      <c r="K647" s="164"/>
      <c r="L647" s="103"/>
      <c r="M647" s="103"/>
      <c r="N647" s="103"/>
      <c r="O647" s="42"/>
      <c r="P647" s="42"/>
      <c r="Q647" s="42"/>
      <c r="R647" s="42"/>
      <c r="S647" s="42"/>
      <c r="T647" s="1191"/>
      <c r="U647" s="42"/>
      <c r="V647" s="1191"/>
      <c r="W647" s="93"/>
      <c r="Y647" s="105"/>
      <c r="Z647" s="218"/>
      <c r="AA647" s="66"/>
    </row>
    <row r="648" spans="1:27" s="331" customFormat="1" ht="15" customHeight="1">
      <c r="A648" s="141"/>
      <c r="B648" s="1850" t="s">
        <v>2629</v>
      </c>
      <c r="C648" s="817"/>
      <c r="D648" s="817"/>
      <c r="E648" s="817"/>
      <c r="F648" s="817"/>
      <c r="G648" s="1783">
        <v>0.1118</v>
      </c>
      <c r="H648" s="1525">
        <v>81.650000000000006</v>
      </c>
      <c r="I648" s="281"/>
      <c r="J648" s="164"/>
      <c r="K648" s="164"/>
      <c r="L648" s="103"/>
      <c r="M648" s="103"/>
      <c r="N648" s="103"/>
      <c r="O648" s="42"/>
      <c r="P648" s="42"/>
      <c r="Q648" s="42"/>
      <c r="R648" s="42"/>
      <c r="S648" s="42"/>
      <c r="T648" s="1191"/>
      <c r="U648" s="42"/>
      <c r="V648" s="1191"/>
      <c r="W648" s="93"/>
      <c r="Y648" s="105"/>
      <c r="Z648" s="218"/>
      <c r="AA648" s="66"/>
    </row>
    <row r="649" spans="1:27" s="331" customFormat="1" ht="15" customHeight="1">
      <c r="A649" s="141"/>
      <c r="B649" s="1850" t="s">
        <v>2388</v>
      </c>
      <c r="C649" s="817"/>
      <c r="D649" s="817"/>
      <c r="E649" s="817"/>
      <c r="F649" s="817"/>
      <c r="G649" s="1783">
        <v>0.1118</v>
      </c>
      <c r="H649" s="1525">
        <v>81.650000000000006</v>
      </c>
      <c r="I649" s="281"/>
      <c r="J649" s="164"/>
      <c r="K649" s="164"/>
      <c r="L649" s="103"/>
      <c r="M649" s="103"/>
      <c r="N649" s="103"/>
      <c r="O649" s="42"/>
      <c r="P649" s="42"/>
      <c r="Q649" s="42"/>
      <c r="R649" s="42"/>
      <c r="S649" s="42"/>
      <c r="T649" s="1191"/>
      <c r="U649" s="42"/>
      <c r="V649" s="1191"/>
      <c r="W649" s="93"/>
      <c r="Y649" s="105"/>
      <c r="Z649" s="218"/>
      <c r="AA649" s="66"/>
    </row>
    <row r="650" spans="1:27" s="331" customFormat="1" ht="15" customHeight="1">
      <c r="A650" s="141"/>
      <c r="B650" s="1850" t="s">
        <v>2630</v>
      </c>
      <c r="C650" s="817"/>
      <c r="D650" s="817"/>
      <c r="E650" s="817"/>
      <c r="F650" s="817"/>
      <c r="G650" s="1783">
        <v>0.1118</v>
      </c>
      <c r="H650" s="1525">
        <v>81.650000000000006</v>
      </c>
      <c r="I650" s="281"/>
      <c r="J650" s="164"/>
      <c r="K650" s="164"/>
      <c r="L650" s="103"/>
      <c r="M650" s="103"/>
      <c r="N650" s="103"/>
      <c r="O650" s="42"/>
      <c r="P650" s="42"/>
      <c r="Q650" s="42"/>
      <c r="R650" s="42"/>
      <c r="S650" s="42"/>
      <c r="T650" s="1191"/>
      <c r="U650" s="42"/>
      <c r="V650" s="1191"/>
      <c r="W650" s="93"/>
      <c r="Y650" s="105"/>
      <c r="Z650" s="218"/>
      <c r="AA650" s="66"/>
    </row>
    <row r="651" spans="1:27" s="331" customFormat="1" ht="15" customHeight="1">
      <c r="A651" s="141"/>
      <c r="B651" s="1850" t="s">
        <v>2442</v>
      </c>
      <c r="C651" s="817"/>
      <c r="D651" s="817"/>
      <c r="E651" s="817"/>
      <c r="F651" s="817"/>
      <c r="G651" s="1783">
        <v>0.1118</v>
      </c>
      <c r="H651" s="1525">
        <v>81.650000000000006</v>
      </c>
      <c r="I651" s="281"/>
      <c r="J651" s="164"/>
      <c r="K651" s="164"/>
      <c r="L651" s="103"/>
      <c r="M651" s="103"/>
      <c r="N651" s="103"/>
      <c r="O651" s="42"/>
      <c r="P651" s="42"/>
      <c r="Q651" s="42"/>
      <c r="R651" s="42"/>
      <c r="S651" s="42"/>
      <c r="T651" s="1191"/>
      <c r="U651" s="42"/>
      <c r="V651" s="1191"/>
      <c r="W651" s="93"/>
      <c r="Y651" s="105"/>
      <c r="Z651" s="218"/>
      <c r="AA651" s="66"/>
    </row>
    <row r="652" spans="1:27" s="331" customFormat="1" ht="15" customHeight="1">
      <c r="A652" s="141"/>
      <c r="B652" s="1850" t="s">
        <v>2443</v>
      </c>
      <c r="C652" s="817"/>
      <c r="D652" s="817"/>
      <c r="E652" s="817"/>
      <c r="F652" s="817"/>
      <c r="G652" s="1783">
        <v>0.1118</v>
      </c>
      <c r="H652" s="1525">
        <v>81.650000000000006</v>
      </c>
      <c r="I652" s="281"/>
      <c r="J652" s="164"/>
      <c r="K652" s="164"/>
      <c r="L652" s="103"/>
      <c r="M652" s="103"/>
      <c r="N652" s="103"/>
      <c r="O652" s="42"/>
      <c r="P652" s="42"/>
      <c r="Q652" s="42"/>
      <c r="R652" s="42"/>
      <c r="S652" s="42"/>
      <c r="T652" s="1191"/>
      <c r="U652" s="42"/>
      <c r="V652" s="1191"/>
      <c r="W652" s="93"/>
      <c r="Y652" s="105"/>
      <c r="Z652" s="218"/>
      <c r="AA652" s="66"/>
    </row>
    <row r="653" spans="1:27" s="593" customFormat="1" ht="15" customHeight="1">
      <c r="A653" s="679"/>
      <c r="B653" s="1850" t="s">
        <v>2631</v>
      </c>
      <c r="C653" s="817"/>
      <c r="D653" s="817"/>
      <c r="E653" s="817"/>
      <c r="F653" s="817"/>
      <c r="G653" s="1783">
        <v>6.1400000000000003E-2</v>
      </c>
      <c r="H653" s="1525">
        <v>44.85</v>
      </c>
      <c r="I653" s="769"/>
      <c r="J653" s="304"/>
      <c r="K653" s="304"/>
      <c r="L653" s="549"/>
      <c r="M653" s="549"/>
      <c r="N653" s="549"/>
      <c r="O653" s="305"/>
      <c r="P653" s="305"/>
      <c r="Q653" s="305"/>
      <c r="R653" s="305"/>
      <c r="S653" s="305"/>
      <c r="T653" s="305"/>
      <c r="U653" s="305"/>
      <c r="V653" s="305"/>
      <c r="W653" s="699"/>
      <c r="Y653" s="770"/>
      <c r="Z653" s="730"/>
      <c r="AA653" s="678"/>
    </row>
    <row r="654" spans="1:27" s="593" customFormat="1" ht="15" customHeight="1">
      <c r="A654" s="679"/>
      <c r="B654" s="1850" t="s">
        <v>2632</v>
      </c>
      <c r="C654" s="817"/>
      <c r="D654" s="817"/>
      <c r="E654" s="817"/>
      <c r="F654" s="817"/>
      <c r="G654" s="1783">
        <v>0.1118</v>
      </c>
      <c r="H654" s="1525">
        <v>81.650000000000006</v>
      </c>
      <c r="I654" s="769"/>
      <c r="J654" s="304"/>
      <c r="K654" s="304"/>
      <c r="L654" s="549"/>
      <c r="M654" s="549"/>
      <c r="N654" s="549"/>
      <c r="O654" s="305"/>
      <c r="P654" s="305"/>
      <c r="Q654" s="305"/>
      <c r="R654" s="305"/>
      <c r="S654" s="305"/>
      <c r="T654" s="305"/>
      <c r="U654" s="305"/>
      <c r="V654" s="305"/>
      <c r="W654" s="699"/>
      <c r="Y654" s="770"/>
      <c r="Z654" s="730"/>
      <c r="AA654" s="678"/>
    </row>
    <row r="655" spans="1:27" s="593" customFormat="1" ht="15" customHeight="1">
      <c r="A655" s="679"/>
      <c r="B655" s="1850" t="s">
        <v>2633</v>
      </c>
      <c r="C655" s="817"/>
      <c r="D655" s="817"/>
      <c r="E655" s="817"/>
      <c r="F655" s="817"/>
      <c r="G655" s="1783">
        <v>0.1118</v>
      </c>
      <c r="H655" s="1525">
        <v>81.650000000000006</v>
      </c>
      <c r="I655" s="769"/>
      <c r="J655" s="304"/>
      <c r="K655" s="304"/>
      <c r="L655" s="549"/>
      <c r="M655" s="549"/>
      <c r="N655" s="549"/>
      <c r="O655" s="305"/>
      <c r="P655" s="305"/>
      <c r="Q655" s="305"/>
      <c r="R655" s="305"/>
      <c r="S655" s="305"/>
      <c r="T655" s="305"/>
      <c r="U655" s="305"/>
      <c r="V655" s="305"/>
      <c r="W655" s="699"/>
      <c r="Y655" s="770"/>
      <c r="Z655" s="730"/>
      <c r="AA655" s="678"/>
    </row>
    <row r="656" spans="1:27" s="593" customFormat="1" ht="15" customHeight="1">
      <c r="A656" s="679"/>
      <c r="B656" s="1850" t="s">
        <v>2634</v>
      </c>
      <c r="C656" s="817"/>
      <c r="D656" s="817"/>
      <c r="E656" s="817"/>
      <c r="F656" s="817"/>
      <c r="G656" s="1783">
        <v>0.1118</v>
      </c>
      <c r="H656" s="1525">
        <v>81.650000000000006</v>
      </c>
      <c r="I656" s="769"/>
      <c r="J656" s="304"/>
      <c r="K656" s="304"/>
      <c r="L656" s="549"/>
      <c r="M656" s="549"/>
      <c r="N656" s="549"/>
      <c r="O656" s="305"/>
      <c r="P656" s="305"/>
      <c r="Q656" s="305"/>
      <c r="R656" s="305"/>
      <c r="S656" s="305"/>
      <c r="T656" s="305"/>
      <c r="U656" s="305"/>
      <c r="V656" s="305"/>
      <c r="W656" s="699"/>
      <c r="Y656" s="770"/>
      <c r="Z656" s="730"/>
      <c r="AA656" s="678"/>
    </row>
    <row r="657" spans="1:27" s="593" customFormat="1" ht="15" customHeight="1">
      <c r="A657" s="679"/>
      <c r="B657" s="1850" t="s">
        <v>2389</v>
      </c>
      <c r="C657" s="817"/>
      <c r="D657" s="817"/>
      <c r="E657" s="817"/>
      <c r="F657" s="817"/>
      <c r="G657" s="1783">
        <v>0.1118</v>
      </c>
      <c r="H657" s="1525">
        <v>81.650000000000006</v>
      </c>
      <c r="I657" s="769"/>
      <c r="J657" s="304"/>
      <c r="K657" s="304"/>
      <c r="L657" s="549"/>
      <c r="M657" s="549"/>
      <c r="N657" s="549"/>
      <c r="O657" s="305"/>
      <c r="P657" s="305"/>
      <c r="Q657" s="305"/>
      <c r="R657" s="305"/>
      <c r="S657" s="305"/>
      <c r="T657" s="305"/>
      <c r="U657" s="305"/>
      <c r="V657" s="305"/>
      <c r="W657" s="699"/>
      <c r="Y657" s="770"/>
      <c r="Z657" s="730"/>
      <c r="AA657" s="678"/>
    </row>
    <row r="658" spans="1:27" s="593" customFormat="1" ht="15" customHeight="1">
      <c r="A658" s="679"/>
      <c r="B658" s="1850" t="s">
        <v>2390</v>
      </c>
      <c r="C658" s="817"/>
      <c r="D658" s="817"/>
      <c r="E658" s="817"/>
      <c r="F658" s="817"/>
      <c r="G658" s="1783">
        <v>0.1118</v>
      </c>
      <c r="H658" s="1525">
        <v>81.650000000000006</v>
      </c>
      <c r="I658" s="769"/>
      <c r="J658" s="304"/>
      <c r="K658" s="304"/>
      <c r="L658" s="549"/>
      <c r="M658" s="549"/>
      <c r="N658" s="549"/>
      <c r="O658" s="305"/>
      <c r="P658" s="305"/>
      <c r="Q658" s="305"/>
      <c r="R658" s="305"/>
      <c r="S658" s="305"/>
      <c r="T658" s="305"/>
      <c r="U658" s="305"/>
      <c r="V658" s="305"/>
      <c r="W658" s="699"/>
      <c r="Y658" s="770"/>
      <c r="Z658" s="730"/>
      <c r="AA658" s="678"/>
    </row>
    <row r="659" spans="1:27" s="593" customFormat="1" ht="15" customHeight="1">
      <c r="A659" s="679"/>
      <c r="B659" s="1850" t="s">
        <v>2391</v>
      </c>
      <c r="C659" s="817"/>
      <c r="D659" s="817"/>
      <c r="E659" s="817"/>
      <c r="F659" s="817"/>
      <c r="G659" s="1783">
        <v>0.1118</v>
      </c>
      <c r="H659" s="1525">
        <v>81.650000000000006</v>
      </c>
      <c r="I659" s="769"/>
      <c r="J659" s="304"/>
      <c r="K659" s="304"/>
      <c r="L659" s="549"/>
      <c r="M659" s="549"/>
      <c r="N659" s="549"/>
      <c r="O659" s="305"/>
      <c r="P659" s="305"/>
      <c r="Q659" s="305"/>
      <c r="R659" s="305"/>
      <c r="S659" s="305"/>
      <c r="T659" s="305"/>
      <c r="U659" s="305"/>
      <c r="V659" s="305"/>
      <c r="W659" s="699"/>
      <c r="Y659" s="770"/>
      <c r="Z659" s="730"/>
      <c r="AA659" s="678"/>
    </row>
    <row r="660" spans="1:27" s="593" customFormat="1" ht="15" customHeight="1">
      <c r="A660" s="679"/>
      <c r="B660" s="1850" t="s">
        <v>2392</v>
      </c>
      <c r="C660" s="817"/>
      <c r="D660" s="817"/>
      <c r="E660" s="817"/>
      <c r="F660" s="817"/>
      <c r="G660" s="1783">
        <v>0.1118</v>
      </c>
      <c r="H660" s="1525">
        <v>81.650000000000006</v>
      </c>
      <c r="I660" s="769"/>
      <c r="J660" s="304"/>
      <c r="K660" s="304"/>
      <c r="L660" s="549"/>
      <c r="M660" s="549"/>
      <c r="N660" s="549"/>
      <c r="O660" s="305"/>
      <c r="P660" s="305"/>
      <c r="Q660" s="305"/>
      <c r="R660" s="305"/>
      <c r="S660" s="305"/>
      <c r="T660" s="305"/>
      <c r="U660" s="305"/>
      <c r="V660" s="305"/>
      <c r="W660" s="699"/>
      <c r="Y660" s="770"/>
      <c r="Z660" s="730"/>
      <c r="AA660" s="678"/>
    </row>
    <row r="661" spans="1:27" s="593" customFormat="1" ht="15" customHeight="1">
      <c r="A661" s="679"/>
      <c r="B661" s="817" t="s">
        <v>2689</v>
      </c>
      <c r="C661" s="817"/>
      <c r="D661" s="817"/>
      <c r="E661" s="817"/>
      <c r="F661" s="817"/>
      <c r="G661" s="1783">
        <v>6.1400000000000003E-2</v>
      </c>
      <c r="H661" s="1525">
        <v>44.85</v>
      </c>
      <c r="I661" s="769"/>
      <c r="J661" s="304"/>
      <c r="K661" s="304"/>
      <c r="L661" s="549"/>
      <c r="M661" s="549"/>
      <c r="N661" s="549"/>
      <c r="O661" s="305"/>
      <c r="P661" s="305"/>
      <c r="Q661" s="305"/>
      <c r="R661" s="305"/>
      <c r="S661" s="305"/>
      <c r="T661" s="305"/>
      <c r="U661" s="305"/>
      <c r="V661" s="305"/>
      <c r="W661" s="699"/>
      <c r="Y661" s="770"/>
      <c r="Z661" s="730"/>
      <c r="AA661" s="678"/>
    </row>
    <row r="662" spans="1:27" s="593" customFormat="1" ht="15" customHeight="1">
      <c r="A662" s="679"/>
      <c r="B662" s="817" t="s">
        <v>2690</v>
      </c>
      <c r="C662" s="817"/>
      <c r="D662" s="817"/>
      <c r="E662" s="817"/>
      <c r="F662" s="817"/>
      <c r="G662" s="1783">
        <v>0.1118</v>
      </c>
      <c r="H662" s="1525">
        <v>81.650000000000006</v>
      </c>
      <c r="I662" s="769"/>
      <c r="J662" s="304"/>
      <c r="K662" s="304"/>
      <c r="L662" s="549"/>
      <c r="M662" s="549"/>
      <c r="N662" s="549"/>
      <c r="O662" s="305"/>
      <c r="P662" s="305"/>
      <c r="Q662" s="305"/>
      <c r="R662" s="305"/>
      <c r="S662" s="305"/>
      <c r="T662" s="305"/>
      <c r="U662" s="305"/>
      <c r="V662" s="305"/>
      <c r="W662" s="699"/>
      <c r="Y662" s="770"/>
      <c r="Z662" s="730"/>
      <c r="AA662" s="678"/>
    </row>
    <row r="663" spans="1:27" s="593" customFormat="1" ht="15" customHeight="1">
      <c r="A663" s="679" t="s">
        <v>356</v>
      </c>
      <c r="B663" s="817" t="s">
        <v>2691</v>
      </c>
      <c r="C663" s="817"/>
      <c r="D663" s="817"/>
      <c r="E663" s="817"/>
      <c r="F663" s="817"/>
      <c r="G663" s="1783">
        <v>0.1118</v>
      </c>
      <c r="H663" s="1525">
        <v>81.650000000000006</v>
      </c>
      <c r="I663" s="769"/>
      <c r="J663" s="304"/>
      <c r="K663" s="304"/>
      <c r="L663" s="549"/>
      <c r="M663" s="549"/>
      <c r="N663" s="549"/>
      <c r="O663" s="305"/>
      <c r="P663" s="305"/>
      <c r="Q663" s="305"/>
      <c r="R663" s="305"/>
      <c r="S663" s="305"/>
      <c r="T663" s="305"/>
      <c r="U663" s="305"/>
      <c r="V663" s="305"/>
      <c r="W663" s="699"/>
      <c r="Y663" s="770"/>
      <c r="Z663" s="730"/>
      <c r="AA663" s="678"/>
    </row>
    <row r="664" spans="1:27" s="331" customFormat="1" ht="15" customHeight="1">
      <c r="A664" s="141"/>
      <c r="B664" s="817" t="s">
        <v>2692</v>
      </c>
      <c r="C664" s="817"/>
      <c r="D664" s="817"/>
      <c r="E664" s="817"/>
      <c r="F664" s="817"/>
      <c r="G664" s="1783">
        <v>0.1118</v>
      </c>
      <c r="H664" s="1525">
        <v>81.650000000000006</v>
      </c>
      <c r="I664" s="281"/>
      <c r="J664" s="164"/>
      <c r="K664" s="164"/>
      <c r="L664" s="103"/>
      <c r="M664" s="103"/>
      <c r="N664" s="103"/>
      <c r="O664" s="42"/>
      <c r="P664" s="42"/>
      <c r="Q664" s="42"/>
      <c r="R664" s="42"/>
      <c r="S664" s="42"/>
      <c r="T664" s="1191"/>
      <c r="U664" s="42"/>
      <c r="V664" s="1191"/>
      <c r="W664" s="93"/>
      <c r="Y664" s="105"/>
      <c r="Z664" s="218"/>
      <c r="AA664" s="66"/>
    </row>
    <row r="665" spans="1:27" s="331" customFormat="1" ht="15" customHeight="1">
      <c r="A665" s="141"/>
      <c r="B665" s="817" t="s">
        <v>2693</v>
      </c>
      <c r="C665" s="817"/>
      <c r="D665" s="817"/>
      <c r="E665" s="817"/>
      <c r="F665" s="817"/>
      <c r="G665" s="1783">
        <v>0.1118</v>
      </c>
      <c r="H665" s="1525">
        <v>81.650000000000006</v>
      </c>
      <c r="I665" s="281"/>
      <c r="J665" s="164"/>
      <c r="K665" s="164"/>
      <c r="L665" s="103"/>
      <c r="M665" s="103"/>
      <c r="N665" s="103"/>
      <c r="O665" s="42"/>
      <c r="P665" s="42"/>
      <c r="Q665" s="42"/>
      <c r="R665" s="42"/>
      <c r="S665" s="42"/>
      <c r="T665" s="1191"/>
      <c r="U665" s="42"/>
      <c r="V665" s="1191"/>
      <c r="W665" s="93"/>
      <c r="Y665" s="105"/>
      <c r="Z665" s="218"/>
      <c r="AA665" s="66"/>
    </row>
    <row r="666" spans="1:27" s="331" customFormat="1" ht="15" customHeight="1">
      <c r="A666" s="141"/>
      <c r="B666" s="817" t="s">
        <v>2694</v>
      </c>
      <c r="C666" s="817"/>
      <c r="D666" s="817"/>
      <c r="E666" s="817"/>
      <c r="F666" s="817"/>
      <c r="G666" s="1783">
        <v>6.1400000000000003E-2</v>
      </c>
      <c r="H666" s="1525">
        <v>44.85</v>
      </c>
      <c r="I666" s="281"/>
      <c r="J666" s="164"/>
      <c r="K666" s="164"/>
      <c r="L666" s="1408"/>
      <c r="M666" s="1408"/>
      <c r="N666" s="1408"/>
      <c r="O666" s="1191"/>
      <c r="P666" s="1191"/>
      <c r="Q666" s="1191"/>
      <c r="R666" s="1191"/>
      <c r="S666" s="1191"/>
      <c r="T666" s="1191"/>
      <c r="U666" s="1191"/>
      <c r="V666" s="1191"/>
      <c r="W666" s="1190"/>
      <c r="Y666" s="105"/>
      <c r="Z666" s="1192"/>
      <c r="AA666" s="1193"/>
    </row>
    <row r="667" spans="1:27" s="331" customFormat="1" ht="15" customHeight="1">
      <c r="A667" s="141"/>
      <c r="B667" s="817" t="s">
        <v>2695</v>
      </c>
      <c r="C667" s="817"/>
      <c r="D667" s="817"/>
      <c r="E667" s="817"/>
      <c r="F667" s="817"/>
      <c r="G667" s="1783">
        <v>0.1118</v>
      </c>
      <c r="H667" s="1525">
        <v>81.650000000000006</v>
      </c>
      <c r="I667" s="281"/>
      <c r="J667" s="164"/>
      <c r="K667" s="164"/>
      <c r="L667" s="1408"/>
      <c r="M667" s="1408"/>
      <c r="N667" s="1408"/>
      <c r="O667" s="1191"/>
      <c r="P667" s="1191"/>
      <c r="Q667" s="1191"/>
      <c r="R667" s="1191"/>
      <c r="S667" s="1191"/>
      <c r="T667" s="1191"/>
      <c r="U667" s="1191"/>
      <c r="V667" s="1191"/>
      <c r="W667" s="1190"/>
      <c r="Y667" s="105"/>
      <c r="Z667" s="1192"/>
      <c r="AA667" s="1193"/>
    </row>
    <row r="668" spans="1:27" s="331" customFormat="1" ht="15" customHeight="1">
      <c r="A668" s="141"/>
      <c r="B668" s="817" t="s">
        <v>2696</v>
      </c>
      <c r="C668" s="817"/>
      <c r="D668" s="817"/>
      <c r="E668" s="817"/>
      <c r="F668" s="817"/>
      <c r="G668" s="1783">
        <v>0.1118</v>
      </c>
      <c r="H668" s="1525">
        <v>81.650000000000006</v>
      </c>
      <c r="I668" s="281"/>
      <c r="J668" s="164"/>
      <c r="K668" s="164"/>
      <c r="L668" s="1408"/>
      <c r="M668" s="1408"/>
      <c r="N668" s="1408"/>
      <c r="O668" s="1191"/>
      <c r="P668" s="1191"/>
      <c r="Q668" s="1191"/>
      <c r="R668" s="1191"/>
      <c r="S668" s="1191"/>
      <c r="T668" s="1191"/>
      <c r="U668" s="1191"/>
      <c r="V668" s="1191"/>
      <c r="W668" s="1190"/>
      <c r="Y668" s="105"/>
      <c r="Z668" s="1192"/>
      <c r="AA668" s="1193"/>
    </row>
    <row r="669" spans="1:27" s="331" customFormat="1" ht="15" customHeight="1">
      <c r="A669" s="141"/>
      <c r="B669" s="817" t="s">
        <v>2697</v>
      </c>
      <c r="C669" s="817"/>
      <c r="D669" s="817"/>
      <c r="E669" s="817"/>
      <c r="F669" s="817"/>
      <c r="G669" s="1783">
        <v>0.1118</v>
      </c>
      <c r="H669" s="1525">
        <v>81.650000000000006</v>
      </c>
      <c r="I669" s="281"/>
      <c r="J669" s="164"/>
      <c r="K669" s="164"/>
      <c r="L669" s="1408"/>
      <c r="M669" s="1408"/>
      <c r="N669" s="1408"/>
      <c r="O669" s="1191"/>
      <c r="P669" s="1191"/>
      <c r="Q669" s="1191"/>
      <c r="R669" s="1191"/>
      <c r="S669" s="1191"/>
      <c r="T669" s="1191"/>
      <c r="U669" s="1191"/>
      <c r="V669" s="1191"/>
      <c r="W669" s="1190"/>
      <c r="Y669" s="105"/>
      <c r="Z669" s="1192"/>
      <c r="AA669" s="1193"/>
    </row>
    <row r="670" spans="1:27" s="331" customFormat="1" ht="15" customHeight="1">
      <c r="A670" s="141"/>
      <c r="B670" s="817" t="s">
        <v>2698</v>
      </c>
      <c r="C670" s="817"/>
      <c r="D670" s="817"/>
      <c r="E670" s="817"/>
      <c r="F670" s="817"/>
      <c r="G670" s="1783">
        <v>0.1118</v>
      </c>
      <c r="H670" s="1525">
        <v>81.650000000000006</v>
      </c>
      <c r="I670" s="281"/>
      <c r="J670" s="164"/>
      <c r="K670" s="164"/>
      <c r="L670" s="1408"/>
      <c r="M670" s="1408"/>
      <c r="N670" s="1408"/>
      <c r="O670" s="1191"/>
      <c r="P670" s="1191"/>
      <c r="Q670" s="1191"/>
      <c r="R670" s="1191"/>
      <c r="S670" s="1191"/>
      <c r="T670" s="1191"/>
      <c r="U670" s="1191"/>
      <c r="V670" s="1191"/>
      <c r="W670" s="1190"/>
      <c r="Y670" s="105"/>
      <c r="Z670" s="1192"/>
      <c r="AA670" s="1193"/>
    </row>
    <row r="671" spans="1:27" s="331" customFormat="1" ht="15" customHeight="1">
      <c r="A671" s="141"/>
      <c r="B671" s="817" t="s">
        <v>2699</v>
      </c>
      <c r="C671" s="817"/>
      <c r="D671" s="817"/>
      <c r="E671" s="817"/>
      <c r="F671" s="817"/>
      <c r="G671" s="1783">
        <v>0.1118</v>
      </c>
      <c r="H671" s="1525">
        <v>81.650000000000006</v>
      </c>
      <c r="I671" s="281"/>
      <c r="J671" s="164"/>
      <c r="K671" s="164"/>
      <c r="L671" s="1408"/>
      <c r="M671" s="1408"/>
      <c r="N671" s="1408"/>
      <c r="O671" s="1191"/>
      <c r="P671" s="1191"/>
      <c r="Q671" s="1191"/>
      <c r="R671" s="1191"/>
      <c r="S671" s="1191"/>
      <c r="T671" s="1191"/>
      <c r="U671" s="1191"/>
      <c r="V671" s="1191"/>
      <c r="W671" s="1190"/>
      <c r="Y671" s="105"/>
      <c r="Z671" s="1192"/>
      <c r="AA671" s="1193"/>
    </row>
    <row r="672" spans="1:27" s="331" customFormat="1" ht="15" customHeight="1">
      <c r="A672" s="141"/>
      <c r="B672" s="817" t="s">
        <v>2738</v>
      </c>
      <c r="C672" s="817"/>
      <c r="D672" s="817"/>
      <c r="E672" s="817"/>
      <c r="F672" s="817"/>
      <c r="G672" s="1783">
        <v>0.1118</v>
      </c>
      <c r="H672" s="1525">
        <v>81.650000000000006</v>
      </c>
      <c r="I672" s="281"/>
      <c r="J672" s="164"/>
      <c r="K672" s="164"/>
      <c r="L672" s="1408"/>
      <c r="M672" s="1408"/>
      <c r="N672" s="1408"/>
      <c r="O672" s="1191"/>
      <c r="P672" s="1191"/>
      <c r="Q672" s="1191"/>
      <c r="R672" s="1191"/>
      <c r="S672" s="1191"/>
      <c r="T672" s="1191"/>
      <c r="U672" s="1191"/>
      <c r="V672" s="1191"/>
      <c r="W672" s="1190"/>
      <c r="Y672" s="105"/>
      <c r="Z672" s="1192"/>
      <c r="AA672" s="1193"/>
    </row>
    <row r="673" spans="1:27" s="331" customFormat="1" ht="15" customHeight="1">
      <c r="A673" s="141"/>
      <c r="B673" s="817" t="s">
        <v>2739</v>
      </c>
      <c r="C673" s="817"/>
      <c r="D673" s="817"/>
      <c r="E673" s="817"/>
      <c r="F673" s="817"/>
      <c r="G673" s="1783">
        <v>0.1118</v>
      </c>
      <c r="H673" s="1525">
        <v>81.650000000000006</v>
      </c>
      <c r="I673" s="281"/>
      <c r="J673" s="164"/>
      <c r="K673" s="164"/>
      <c r="L673" s="1408"/>
      <c r="M673" s="1408"/>
      <c r="N673" s="1408"/>
      <c r="O673" s="1191"/>
      <c r="P673" s="1191"/>
      <c r="Q673" s="1191"/>
      <c r="R673" s="1191"/>
      <c r="S673" s="1191"/>
      <c r="T673" s="1191"/>
      <c r="U673" s="1191"/>
      <c r="V673" s="1191"/>
      <c r="W673" s="1190"/>
      <c r="Y673" s="105"/>
      <c r="Z673" s="1192"/>
      <c r="AA673" s="1193"/>
    </row>
    <row r="674" spans="1:27" s="1498" customFormat="1" ht="15" customHeight="1">
      <c r="A674" s="141"/>
      <c r="B674" s="817" t="s">
        <v>2700</v>
      </c>
      <c r="C674" s="817"/>
      <c r="D674" s="817"/>
      <c r="E674" s="817"/>
      <c r="F674" s="817"/>
      <c r="G674" s="1783">
        <v>0.1118</v>
      </c>
      <c r="H674" s="1525">
        <v>81.650000000000006</v>
      </c>
      <c r="I674" s="281"/>
      <c r="J674" s="164"/>
      <c r="K674" s="164"/>
      <c r="L674" s="1408"/>
      <c r="M674" s="1408"/>
      <c r="N674" s="1408"/>
      <c r="O674" s="1191"/>
      <c r="P674" s="1191"/>
      <c r="Q674" s="1191"/>
      <c r="R674" s="1191"/>
      <c r="S674" s="1191"/>
      <c r="T674" s="1191"/>
      <c r="U674" s="1191"/>
      <c r="V674" s="1191"/>
      <c r="W674" s="1190"/>
      <c r="Y674" s="105"/>
      <c r="Z674" s="1492"/>
      <c r="AA674" s="1193"/>
    </row>
    <row r="675" spans="1:27" s="1498" customFormat="1" ht="15" customHeight="1">
      <c r="A675" s="141"/>
      <c r="B675" s="817" t="s">
        <v>2701</v>
      </c>
      <c r="C675" s="817"/>
      <c r="D675" s="817"/>
      <c r="E675" s="817"/>
      <c r="F675" s="817"/>
      <c r="G675" s="1783">
        <v>0.1118</v>
      </c>
      <c r="H675" s="1525">
        <v>81.650000000000006</v>
      </c>
      <c r="I675" s="281"/>
      <c r="J675" s="164"/>
      <c r="K675" s="164"/>
      <c r="L675" s="1408"/>
      <c r="M675" s="1408"/>
      <c r="N675" s="1408"/>
      <c r="O675" s="1191"/>
      <c r="P675" s="1191"/>
      <c r="Q675" s="1191"/>
      <c r="R675" s="1191"/>
      <c r="S675" s="1191"/>
      <c r="T675" s="1191"/>
      <c r="U675" s="1191"/>
      <c r="V675" s="1191"/>
      <c r="W675" s="1190"/>
      <c r="Y675" s="105"/>
      <c r="Z675" s="1492"/>
      <c r="AA675" s="1193"/>
    </row>
    <row r="676" spans="1:27" s="1498" customFormat="1" ht="15" customHeight="1">
      <c r="A676" s="141"/>
      <c r="B676" s="817" t="s">
        <v>2702</v>
      </c>
      <c r="C676" s="817"/>
      <c r="D676" s="817"/>
      <c r="E676" s="817"/>
      <c r="F676" s="817"/>
      <c r="G676" s="1783">
        <v>0.1118</v>
      </c>
      <c r="H676" s="1525">
        <v>81.650000000000006</v>
      </c>
      <c r="I676" s="281"/>
      <c r="J676" s="164"/>
      <c r="K676" s="164"/>
      <c r="L676" s="1408"/>
      <c r="M676" s="1408"/>
      <c r="N676" s="1408"/>
      <c r="O676" s="1191"/>
      <c r="P676" s="1191"/>
      <c r="Q676" s="1191"/>
      <c r="R676" s="1191"/>
      <c r="S676" s="1191"/>
      <c r="T676" s="1191"/>
      <c r="U676" s="1191"/>
      <c r="V676" s="1191"/>
      <c r="W676" s="1190"/>
      <c r="Y676" s="105"/>
      <c r="Z676" s="1492"/>
      <c r="AA676" s="1193"/>
    </row>
    <row r="677" spans="1:27" s="1498" customFormat="1" ht="15" customHeight="1">
      <c r="A677" s="141"/>
      <c r="B677" s="817" t="s">
        <v>2703</v>
      </c>
      <c r="C677" s="817"/>
      <c r="D677" s="817"/>
      <c r="E677" s="817"/>
      <c r="F677" s="817"/>
      <c r="G677" s="1783">
        <v>0.1118</v>
      </c>
      <c r="H677" s="1525">
        <v>81.650000000000006</v>
      </c>
      <c r="I677" s="281"/>
      <c r="J677" s="164"/>
      <c r="K677" s="164"/>
      <c r="L677" s="1408"/>
      <c r="M677" s="1408"/>
      <c r="N677" s="1408"/>
      <c r="O677" s="1191"/>
      <c r="P677" s="1191"/>
      <c r="Q677" s="1191"/>
      <c r="R677" s="1191"/>
      <c r="S677" s="1191"/>
      <c r="T677" s="1191"/>
      <c r="U677" s="1191"/>
      <c r="V677" s="1191"/>
      <c r="W677" s="1190"/>
      <c r="Y677" s="105"/>
      <c r="Z677" s="1492"/>
      <c r="AA677" s="1193"/>
    </row>
    <row r="678" spans="1:27" s="1498" customFormat="1" ht="15" customHeight="1">
      <c r="A678" s="141"/>
      <c r="B678" s="817" t="s">
        <v>2704</v>
      </c>
      <c r="C678" s="817"/>
      <c r="D678" s="817"/>
      <c r="E678" s="817"/>
      <c r="F678" s="817"/>
      <c r="G678" s="1783">
        <v>0.1118</v>
      </c>
      <c r="H678" s="1525">
        <v>81.650000000000006</v>
      </c>
      <c r="I678" s="281"/>
      <c r="J678" s="164"/>
      <c r="K678" s="164"/>
      <c r="L678" s="1408"/>
      <c r="M678" s="1408"/>
      <c r="N678" s="1408"/>
      <c r="O678" s="1191"/>
      <c r="P678" s="1191"/>
      <c r="Q678" s="1191"/>
      <c r="R678" s="1191"/>
      <c r="S678" s="1191"/>
      <c r="T678" s="1191"/>
      <c r="U678" s="1191"/>
      <c r="V678" s="1191"/>
      <c r="W678" s="1190"/>
      <c r="Y678" s="105"/>
      <c r="Z678" s="1492"/>
      <c r="AA678" s="1193"/>
    </row>
    <row r="679" spans="1:27" s="331" customFormat="1" ht="15" customHeight="1">
      <c r="A679" s="141"/>
      <c r="B679" s="817" t="s">
        <v>2593</v>
      </c>
      <c r="C679" s="817"/>
      <c r="D679" s="817"/>
      <c r="E679" s="817"/>
      <c r="F679" s="817"/>
      <c r="G679" s="1783">
        <v>6.1400000000000003E-2</v>
      </c>
      <c r="H679" s="1865">
        <v>44.85</v>
      </c>
      <c r="I679" s="281"/>
      <c r="J679" s="164"/>
      <c r="K679" s="164"/>
      <c r="L679" s="1408"/>
      <c r="M679" s="1408"/>
      <c r="N679" s="1408"/>
      <c r="O679" s="1191"/>
      <c r="P679" s="1191"/>
      <c r="Q679" s="1191"/>
      <c r="R679" s="1191"/>
      <c r="S679" s="1191"/>
      <c r="T679" s="1191"/>
      <c r="U679" s="1191"/>
      <c r="V679" s="1191"/>
      <c r="W679" s="1190"/>
      <c r="Y679" s="105"/>
      <c r="Z679" s="1192"/>
      <c r="AA679" s="1193"/>
    </row>
    <row r="680" spans="1:27" s="331" customFormat="1" ht="13.5" customHeight="1">
      <c r="A680" s="141"/>
      <c r="B680" s="817" t="s">
        <v>2594</v>
      </c>
      <c r="C680" s="817"/>
      <c r="D680" s="817"/>
      <c r="E680" s="817"/>
      <c r="F680" s="817"/>
      <c r="G680" s="1783">
        <v>6.1400000000000003E-2</v>
      </c>
      <c r="H680" s="1865">
        <v>44.85</v>
      </c>
      <c r="I680" s="281"/>
      <c r="J680" s="164"/>
      <c r="K680" s="164"/>
      <c r="L680" s="1408"/>
      <c r="M680" s="1408"/>
      <c r="N680" s="1408"/>
      <c r="O680" s="1191"/>
      <c r="P680" s="1191"/>
      <c r="Q680" s="1191"/>
      <c r="R680" s="1191"/>
      <c r="S680" s="1191"/>
      <c r="T680" s="1191"/>
      <c r="U680" s="1191"/>
      <c r="V680" s="1191"/>
      <c r="W680" s="1190"/>
      <c r="Y680" s="105"/>
      <c r="Z680" s="1192"/>
      <c r="AA680" s="1193"/>
    </row>
    <row r="681" spans="1:27" s="331" customFormat="1" ht="15" customHeight="1">
      <c r="A681" s="141"/>
      <c r="B681" s="817" t="s">
        <v>2595</v>
      </c>
      <c r="C681" s="817"/>
      <c r="D681" s="817"/>
      <c r="E681" s="817"/>
      <c r="F681" s="817"/>
      <c r="G681" s="1783">
        <v>6.1400000000000003E-2</v>
      </c>
      <c r="H681" s="1865">
        <v>44.85</v>
      </c>
      <c r="I681" s="281"/>
      <c r="J681" s="164"/>
      <c r="K681" s="164"/>
      <c r="L681" s="103"/>
      <c r="M681" s="103"/>
      <c r="N681" s="103"/>
      <c r="O681" s="42"/>
      <c r="P681" s="42"/>
      <c r="Q681" s="42"/>
      <c r="R681" s="42"/>
      <c r="S681" s="42"/>
      <c r="T681" s="1191"/>
      <c r="U681" s="42"/>
      <c r="V681" s="1191"/>
      <c r="W681" s="93"/>
      <c r="Y681" s="105"/>
      <c r="Z681" s="218"/>
      <c r="AA681" s="66"/>
    </row>
    <row r="682" spans="1:27" s="331" customFormat="1" ht="15" customHeight="1">
      <c r="A682" s="141"/>
      <c r="B682" s="817" t="s">
        <v>2596</v>
      </c>
      <c r="C682" s="817"/>
      <c r="D682" s="817"/>
      <c r="E682" s="817"/>
      <c r="F682" s="817"/>
      <c r="G682" s="1783">
        <v>0.1118</v>
      </c>
      <c r="H682" s="1865">
        <v>81.650000000000006</v>
      </c>
      <c r="I682" s="281"/>
      <c r="J682" s="164"/>
      <c r="K682" s="164"/>
      <c r="L682" s="103"/>
      <c r="M682" s="103"/>
      <c r="N682" s="103"/>
      <c r="O682" s="42"/>
      <c r="P682" s="42"/>
      <c r="Q682" s="42"/>
      <c r="R682" s="42"/>
      <c r="S682" s="42"/>
      <c r="T682" s="1191"/>
      <c r="U682" s="42"/>
      <c r="V682" s="1191"/>
      <c r="W682" s="93"/>
      <c r="Y682" s="105"/>
      <c r="Z682" s="218"/>
      <c r="AA682" s="66"/>
    </row>
    <row r="683" spans="1:27" s="331" customFormat="1" ht="15" customHeight="1">
      <c r="A683" s="141"/>
      <c r="B683" s="817" t="s">
        <v>2597</v>
      </c>
      <c r="C683" s="817"/>
      <c r="D683" s="817"/>
      <c r="E683" s="817"/>
      <c r="F683" s="817"/>
      <c r="G683" s="1783">
        <v>0.1118</v>
      </c>
      <c r="H683" s="1865">
        <v>81.650000000000006</v>
      </c>
      <c r="I683" s="281"/>
      <c r="J683" s="164"/>
      <c r="K683" s="164"/>
      <c r="L683" s="103"/>
      <c r="M683" s="103"/>
      <c r="N683" s="103"/>
      <c r="O683" s="42"/>
      <c r="P683" s="42"/>
      <c r="Q683" s="42"/>
      <c r="R683" s="42"/>
      <c r="S683" s="42"/>
      <c r="T683" s="1191"/>
      <c r="U683" s="42"/>
      <c r="V683" s="1191"/>
      <c r="W683" s="93"/>
      <c r="Y683" s="105"/>
      <c r="Z683" s="218"/>
      <c r="AA683" s="66"/>
    </row>
    <row r="684" spans="1:27" s="331" customFormat="1" ht="15" customHeight="1">
      <c r="A684" s="141"/>
      <c r="B684" s="817" t="s">
        <v>2599</v>
      </c>
      <c r="C684" s="817"/>
      <c r="D684" s="817"/>
      <c r="E684" s="817"/>
      <c r="F684" s="817"/>
      <c r="G684" s="1783">
        <v>6.1400000000000003E-2</v>
      </c>
      <c r="H684" s="1865">
        <v>44.85</v>
      </c>
      <c r="I684" s="281"/>
      <c r="J684" s="164"/>
      <c r="K684" s="164"/>
      <c r="L684" s="103"/>
      <c r="M684" s="103"/>
      <c r="N684" s="103"/>
      <c r="O684" s="42"/>
      <c r="P684" s="42"/>
      <c r="Q684" s="42"/>
      <c r="R684" s="42"/>
      <c r="S684" s="42"/>
      <c r="T684" s="1191"/>
      <c r="U684" s="42"/>
      <c r="V684" s="1191"/>
      <c r="W684" s="93"/>
      <c r="Y684" s="105"/>
      <c r="Z684" s="218"/>
      <c r="AA684" s="66"/>
    </row>
    <row r="685" spans="1:27" s="331" customFormat="1" ht="15" customHeight="1">
      <c r="A685" s="141"/>
      <c r="B685" s="817" t="s">
        <v>2600</v>
      </c>
      <c r="C685" s="817"/>
      <c r="D685" s="817"/>
      <c r="E685" s="817"/>
      <c r="F685" s="817"/>
      <c r="G685" s="1783">
        <v>6.1400000000000003E-2</v>
      </c>
      <c r="H685" s="1865">
        <v>44.85</v>
      </c>
      <c r="I685" s="281"/>
      <c r="J685" s="164"/>
      <c r="K685" s="164"/>
      <c r="L685" s="103"/>
      <c r="M685" s="103"/>
      <c r="N685" s="103"/>
      <c r="O685" s="42"/>
      <c r="P685" s="42"/>
      <c r="Q685" s="42"/>
      <c r="R685" s="42"/>
      <c r="S685" s="42"/>
      <c r="T685" s="1191"/>
      <c r="U685" s="42"/>
      <c r="V685" s="1191"/>
      <c r="W685" s="93"/>
      <c r="Y685" s="105"/>
      <c r="Z685" s="218"/>
      <c r="AA685" s="66"/>
    </row>
    <row r="686" spans="1:27" s="331" customFormat="1" ht="15" customHeight="1">
      <c r="A686" s="141"/>
      <c r="B686" s="817" t="s">
        <v>2601</v>
      </c>
      <c r="C686" s="817"/>
      <c r="D686" s="817"/>
      <c r="E686" s="817"/>
      <c r="F686" s="817"/>
      <c r="G686" s="1783">
        <v>0.1118</v>
      </c>
      <c r="H686" s="1865">
        <v>81.650000000000006</v>
      </c>
      <c r="I686" s="281"/>
      <c r="J686" s="164"/>
      <c r="K686" s="164"/>
      <c r="L686" s="103"/>
      <c r="M686" s="103"/>
      <c r="N686" s="103"/>
      <c r="O686" s="42"/>
      <c r="P686" s="42"/>
      <c r="Q686" s="42"/>
      <c r="R686" s="42"/>
      <c r="S686" s="42"/>
      <c r="T686" s="1191"/>
      <c r="U686" s="42"/>
      <c r="V686" s="1191"/>
      <c r="W686" s="93"/>
      <c r="Y686" s="105"/>
      <c r="Z686" s="218"/>
      <c r="AA686" s="66"/>
    </row>
    <row r="687" spans="1:27" s="331" customFormat="1" ht="15" customHeight="1">
      <c r="A687" s="141"/>
      <c r="B687" s="817" t="s">
        <v>2602</v>
      </c>
      <c r="C687" s="817"/>
      <c r="D687" s="817"/>
      <c r="E687" s="817"/>
      <c r="F687" s="817"/>
      <c r="G687" s="1783">
        <v>0.1118</v>
      </c>
      <c r="H687" s="1865">
        <v>81.650000000000006</v>
      </c>
      <c r="I687" s="281"/>
      <c r="J687" s="164"/>
      <c r="K687" s="164"/>
      <c r="L687" s="103"/>
      <c r="M687" s="103"/>
      <c r="N687" s="103"/>
      <c r="O687" s="42"/>
      <c r="P687" s="42"/>
      <c r="Q687" s="42"/>
      <c r="R687" s="42"/>
      <c r="S687" s="42"/>
      <c r="T687" s="1191"/>
      <c r="U687" s="42"/>
      <c r="V687" s="1191"/>
      <c r="W687" s="93"/>
      <c r="Y687" s="105"/>
      <c r="Z687" s="218"/>
      <c r="AA687" s="66"/>
    </row>
    <row r="688" spans="1:27" s="1498" customFormat="1" ht="15" customHeight="1">
      <c r="A688" s="141"/>
      <c r="B688" s="817" t="s">
        <v>2603</v>
      </c>
      <c r="C688" s="1861"/>
      <c r="D688" s="1797"/>
      <c r="E688" s="1797"/>
      <c r="F688" s="1798"/>
      <c r="G688" s="1783">
        <v>0.1118</v>
      </c>
      <c r="H688" s="1865">
        <v>81.650000000000006</v>
      </c>
      <c r="I688" s="281"/>
      <c r="J688" s="164"/>
      <c r="K688" s="164"/>
      <c r="L688" s="1408"/>
      <c r="M688" s="1408"/>
      <c r="N688" s="1408"/>
      <c r="O688" s="1191"/>
      <c r="P688" s="1191"/>
      <c r="Q688" s="1191"/>
      <c r="R688" s="1191"/>
      <c r="S688" s="1191"/>
      <c r="T688" s="1191"/>
      <c r="U688" s="1191"/>
      <c r="V688" s="1191"/>
      <c r="W688" s="1190"/>
      <c r="Y688" s="105"/>
      <c r="Z688" s="1492"/>
      <c r="AA688" s="1193"/>
    </row>
    <row r="689" spans="1:27" s="331" customFormat="1" ht="15" customHeight="1">
      <c r="A689" s="141"/>
      <c r="B689" s="817" t="s">
        <v>2729</v>
      </c>
      <c r="C689" s="817"/>
      <c r="D689" s="817"/>
      <c r="E689" s="817"/>
      <c r="F689" s="817"/>
      <c r="G689" s="1783">
        <v>0.1118</v>
      </c>
      <c r="H689" s="1525">
        <v>81.650000000000006</v>
      </c>
      <c r="I689" s="281"/>
      <c r="J689" s="164"/>
      <c r="K689" s="164"/>
      <c r="L689" s="103"/>
      <c r="M689" s="103"/>
      <c r="N689" s="103"/>
      <c r="O689" s="42"/>
      <c r="P689" s="42"/>
      <c r="Q689" s="42"/>
      <c r="R689" s="42"/>
      <c r="S689" s="42"/>
      <c r="T689" s="1191"/>
      <c r="U689" s="42"/>
      <c r="V689" s="1191"/>
      <c r="W689" s="93"/>
      <c r="Y689" s="105"/>
      <c r="Z689" s="218"/>
      <c r="AA689" s="66"/>
    </row>
    <row r="690" spans="1:27" s="331" customFormat="1" ht="15" customHeight="1">
      <c r="A690" s="141"/>
      <c r="B690" s="817" t="s">
        <v>2730</v>
      </c>
      <c r="C690" s="817"/>
      <c r="D690" s="817"/>
      <c r="E690" s="817"/>
      <c r="F690" s="817"/>
      <c r="G690" s="1783">
        <v>0.1118</v>
      </c>
      <c r="H690" s="1525">
        <v>81.650000000000006</v>
      </c>
      <c r="I690" s="281"/>
      <c r="J690" s="164"/>
      <c r="K690" s="164"/>
      <c r="L690" s="103"/>
      <c r="M690" s="103"/>
      <c r="N690" s="103"/>
      <c r="O690" s="42"/>
      <c r="P690" s="42"/>
      <c r="Q690" s="42"/>
      <c r="R690" s="42"/>
      <c r="S690" s="42"/>
      <c r="T690" s="1191"/>
      <c r="U690" s="42"/>
      <c r="V690" s="1191"/>
      <c r="W690" s="93"/>
      <c r="Y690" s="105"/>
      <c r="Z690" s="218"/>
      <c r="AA690" s="66"/>
    </row>
    <row r="691" spans="1:27" s="331" customFormat="1" ht="15" customHeight="1">
      <c r="A691" s="141"/>
      <c r="B691" s="817" t="s">
        <v>2731</v>
      </c>
      <c r="C691" s="817"/>
      <c r="D691" s="817"/>
      <c r="E691" s="817"/>
      <c r="F691" s="817"/>
      <c r="G691" s="1783">
        <v>0.1118</v>
      </c>
      <c r="H691" s="1525">
        <v>81.650000000000006</v>
      </c>
      <c r="I691" s="281"/>
      <c r="J691" s="164"/>
      <c r="K691" s="164"/>
      <c r="L691" s="103"/>
      <c r="M691" s="103"/>
      <c r="N691" s="103"/>
      <c r="O691" s="42"/>
      <c r="P691" s="42"/>
      <c r="Q691" s="42"/>
      <c r="R691" s="42"/>
      <c r="S691" s="42"/>
      <c r="T691" s="1191"/>
      <c r="U691" s="42"/>
      <c r="V691" s="1191"/>
      <c r="W691" s="93"/>
      <c r="Y691" s="105"/>
      <c r="Z691" s="218"/>
      <c r="AA691" s="66"/>
    </row>
    <row r="692" spans="1:27" ht="15" customHeight="1">
      <c r="A692" s="53"/>
      <c r="B692" s="817" t="s">
        <v>2732</v>
      </c>
      <c r="C692" s="817"/>
      <c r="D692" s="817"/>
      <c r="E692" s="817"/>
      <c r="F692" s="817"/>
      <c r="G692" s="1783">
        <v>0.1118</v>
      </c>
      <c r="H692" s="1525">
        <v>81.650000000000006</v>
      </c>
      <c r="I692" s="41"/>
      <c r="J692" s="41"/>
      <c r="K692" s="41"/>
      <c r="L692" s="24"/>
      <c r="M692" s="41"/>
      <c r="N692" s="24"/>
      <c r="O692" s="41"/>
      <c r="P692" s="41"/>
      <c r="Q692" s="41"/>
      <c r="R692" s="41"/>
      <c r="S692" s="41"/>
      <c r="T692" s="1407"/>
      <c r="U692" s="41"/>
      <c r="V692" s="1188"/>
      <c r="W692" s="93"/>
      <c r="X692" s="33"/>
      <c r="Y692" s="72"/>
      <c r="Z692" s="132"/>
      <c r="AA692" s="7"/>
    </row>
    <row r="693" spans="1:27" s="1405" customFormat="1" ht="15" customHeight="1">
      <c r="A693" s="1186"/>
      <c r="B693" s="817" t="s">
        <v>2733</v>
      </c>
      <c r="C693" s="817"/>
      <c r="D693" s="817"/>
      <c r="E693" s="817"/>
      <c r="F693" s="817"/>
      <c r="G693" s="1783">
        <v>0.1118</v>
      </c>
      <c r="H693" s="1525">
        <v>81.650000000000006</v>
      </c>
      <c r="I693" s="1407"/>
      <c r="J693" s="1407"/>
      <c r="K693" s="1407"/>
      <c r="L693" s="1407"/>
      <c r="M693" s="1407"/>
      <c r="N693" s="1407"/>
      <c r="O693" s="1407"/>
      <c r="P693" s="1407"/>
      <c r="Q693" s="1407"/>
      <c r="R693" s="1407"/>
      <c r="S693" s="1407"/>
      <c r="T693" s="1407"/>
      <c r="U693" s="1407"/>
      <c r="V693" s="1407"/>
      <c r="W693" s="1190"/>
      <c r="Y693" s="1189"/>
      <c r="Z693" s="1192"/>
      <c r="AA693" s="1187"/>
    </row>
    <row r="694" spans="1:27" s="39" customFormat="1" ht="15" customHeight="1">
      <c r="A694" s="53"/>
      <c r="B694" s="817" t="s">
        <v>2734</v>
      </c>
      <c r="C694" s="817"/>
      <c r="D694" s="817"/>
      <c r="E694" s="817"/>
      <c r="F694" s="817"/>
      <c r="G694" s="1783">
        <v>0.1118</v>
      </c>
      <c r="H694" s="1525">
        <v>81.650000000000006</v>
      </c>
      <c r="I694" s="41"/>
      <c r="J694" s="41"/>
      <c r="K694" s="41"/>
      <c r="L694" s="41"/>
      <c r="M694" s="41"/>
      <c r="N694" s="41"/>
      <c r="O694" s="41"/>
      <c r="P694" s="41"/>
      <c r="Q694" s="41"/>
      <c r="R694" s="41"/>
      <c r="S694" s="41"/>
      <c r="T694" s="1407"/>
      <c r="U694" s="41"/>
      <c r="V694" s="1188"/>
      <c r="W694" s="93"/>
      <c r="Y694" s="72"/>
      <c r="Z694" s="132"/>
      <c r="AA694" s="7"/>
    </row>
    <row r="695" spans="1:27" s="613" customFormat="1" ht="15" customHeight="1">
      <c r="A695" s="53"/>
      <c r="B695" s="817" t="s">
        <v>2735</v>
      </c>
      <c r="C695" s="817"/>
      <c r="D695" s="817"/>
      <c r="E695" s="817"/>
      <c r="F695" s="817"/>
      <c r="G695" s="1783">
        <v>0.1118</v>
      </c>
      <c r="H695" s="1525">
        <v>81.650000000000006</v>
      </c>
      <c r="I695" s="41"/>
      <c r="J695" s="41"/>
      <c r="K695" s="41"/>
      <c r="L695" s="41"/>
      <c r="M695" s="41"/>
      <c r="N695" s="41"/>
      <c r="O695" s="41"/>
      <c r="P695" s="41"/>
      <c r="Q695" s="41"/>
      <c r="R695" s="41"/>
      <c r="S695" s="41"/>
      <c r="T695" s="1407"/>
      <c r="U695" s="41"/>
      <c r="V695" s="1188"/>
      <c r="W695" s="93"/>
      <c r="Y695" s="72"/>
      <c r="Z695" s="218"/>
      <c r="AA695" s="7"/>
    </row>
    <row r="696" spans="1:27" s="613" customFormat="1" ht="15" customHeight="1">
      <c r="A696" s="53"/>
      <c r="B696" s="1525" t="s">
        <v>2736</v>
      </c>
      <c r="C696" s="1525"/>
      <c r="D696" s="1525"/>
      <c r="E696" s="1525"/>
      <c r="F696" s="1525"/>
      <c r="G696" s="1784">
        <v>0.1118</v>
      </c>
      <c r="H696" s="1525">
        <v>81.650000000000006</v>
      </c>
      <c r="I696" s="41"/>
      <c r="J696" s="41"/>
      <c r="K696" s="41"/>
      <c r="L696" s="41"/>
      <c r="M696" s="41"/>
      <c r="N696" s="41"/>
      <c r="O696" s="41"/>
      <c r="P696" s="41"/>
      <c r="Q696" s="41"/>
      <c r="R696" s="41"/>
      <c r="S696" s="41"/>
      <c r="T696" s="1407"/>
      <c r="U696" s="41"/>
      <c r="V696" s="1188"/>
      <c r="W696" s="93"/>
      <c r="Y696" s="72"/>
      <c r="Z696" s="218"/>
      <c r="AA696" s="7"/>
    </row>
    <row r="697" spans="1:27" s="613" customFormat="1">
      <c r="A697" s="53"/>
      <c r="B697" s="817" t="s">
        <v>2733</v>
      </c>
      <c r="C697" s="817"/>
      <c r="D697" s="817"/>
      <c r="E697" s="817"/>
      <c r="F697" s="817"/>
      <c r="G697" s="1783">
        <v>9.7199999999999995E-2</v>
      </c>
      <c r="H697" s="512">
        <v>71</v>
      </c>
      <c r="I697" s="41"/>
      <c r="J697" s="41"/>
      <c r="K697" s="41"/>
      <c r="L697" s="41"/>
      <c r="M697" s="41"/>
      <c r="N697" s="41"/>
      <c r="O697" s="41"/>
      <c r="P697" s="41"/>
      <c r="Q697" s="41"/>
      <c r="R697" s="41"/>
      <c r="S697" s="41"/>
      <c r="T697" s="1407"/>
      <c r="U697" s="41"/>
      <c r="V697" s="1188"/>
      <c r="W697" s="93"/>
      <c r="Y697" s="72"/>
      <c r="Z697" s="218"/>
      <c r="AA697" s="7"/>
    </row>
    <row r="698" spans="1:27" s="613" customFormat="1" ht="15" customHeight="1">
      <c r="A698" s="53"/>
      <c r="B698" s="817" t="s">
        <v>2734</v>
      </c>
      <c r="C698" s="817"/>
      <c r="D698" s="817"/>
      <c r="E698" s="817"/>
      <c r="F698" s="817"/>
      <c r="G698" s="1783">
        <v>9.7199999999999995E-2</v>
      </c>
      <c r="H698" s="512">
        <v>71</v>
      </c>
      <c r="I698" s="41"/>
      <c r="J698" s="41"/>
      <c r="K698" s="41"/>
      <c r="L698" s="41"/>
      <c r="M698" s="41"/>
      <c r="N698" s="41"/>
      <c r="O698" s="41"/>
      <c r="P698" s="41"/>
      <c r="Q698" s="41"/>
      <c r="R698" s="41"/>
      <c r="S698" s="41"/>
      <c r="T698" s="1407"/>
      <c r="U698" s="41"/>
      <c r="V698" s="1188"/>
      <c r="W698" s="93"/>
      <c r="Y698" s="72"/>
      <c r="Z698" s="218"/>
      <c r="AA698" s="7"/>
    </row>
    <row r="699" spans="1:27" s="613" customFormat="1" ht="15" customHeight="1">
      <c r="A699" s="53"/>
      <c r="B699" s="817" t="s">
        <v>2735</v>
      </c>
      <c r="C699" s="817"/>
      <c r="D699" s="817"/>
      <c r="E699" s="817"/>
      <c r="F699" s="817"/>
      <c r="G699" s="1783">
        <v>9.7199999999999995E-2</v>
      </c>
      <c r="H699" s="512">
        <v>71</v>
      </c>
      <c r="I699" s="41"/>
      <c r="J699" s="41"/>
      <c r="K699" s="41"/>
      <c r="L699" s="41"/>
      <c r="M699" s="41"/>
      <c r="N699" s="41"/>
      <c r="O699" s="41"/>
      <c r="P699" s="41"/>
      <c r="Q699" s="41"/>
      <c r="R699" s="41"/>
      <c r="S699" s="41"/>
      <c r="T699" s="1407"/>
      <c r="U699" s="41"/>
      <c r="V699" s="1188"/>
      <c r="W699" s="93"/>
      <c r="Y699" s="72"/>
      <c r="Z699" s="218"/>
      <c r="AA699" s="7"/>
    </row>
    <row r="700" spans="1:27" s="613" customFormat="1" ht="15" customHeight="1">
      <c r="A700" s="53"/>
      <c r="B700" s="512" t="s">
        <v>2736</v>
      </c>
      <c r="C700" s="512"/>
      <c r="D700" s="512"/>
      <c r="E700" s="512"/>
      <c r="F700" s="512"/>
      <c r="G700" s="1784">
        <v>9.7199999999999995E-2</v>
      </c>
      <c r="H700" s="512">
        <v>71</v>
      </c>
      <c r="I700" s="41"/>
      <c r="J700" s="41"/>
      <c r="K700" s="41"/>
      <c r="L700" s="41"/>
      <c r="M700" s="41"/>
      <c r="N700" s="41"/>
      <c r="O700" s="41"/>
      <c r="P700" s="41"/>
      <c r="Q700" s="41"/>
      <c r="R700" s="41"/>
      <c r="S700" s="41"/>
      <c r="T700" s="1407"/>
      <c r="U700" s="41"/>
      <c r="V700" s="1188"/>
      <c r="W700" s="93"/>
      <c r="Y700" s="72"/>
      <c r="Z700" s="218"/>
      <c r="AA700" s="7"/>
    </row>
    <row r="701" spans="1:27" s="613" customFormat="1" ht="15" customHeight="1">
      <c r="A701" s="53"/>
      <c r="B701" s="164"/>
      <c r="C701" s="164"/>
      <c r="D701" s="164"/>
      <c r="E701" s="164"/>
      <c r="F701" s="164"/>
      <c r="G701" s="340"/>
      <c r="H701" s="164"/>
      <c r="I701" s="41"/>
      <c r="J701" s="41"/>
      <c r="K701" s="41"/>
      <c r="L701" s="41"/>
      <c r="M701" s="41"/>
      <c r="N701" s="41"/>
      <c r="O701" s="41"/>
      <c r="P701" s="41"/>
      <c r="Q701" s="41"/>
      <c r="R701" s="41"/>
      <c r="S701" s="41"/>
      <c r="T701" s="1407"/>
      <c r="U701" s="41"/>
      <c r="V701" s="1188"/>
      <c r="W701" s="93"/>
      <c r="Y701" s="72"/>
      <c r="Z701" s="218"/>
      <c r="AA701" s="7"/>
    </row>
    <row r="702" spans="1:27" s="613" customFormat="1" ht="15" customHeight="1">
      <c r="A702" s="53"/>
      <c r="B702" s="42"/>
      <c r="C702" s="42"/>
      <c r="D702" s="42"/>
      <c r="E702" s="42"/>
      <c r="F702" s="42"/>
      <c r="G702" s="45"/>
      <c r="H702" s="5"/>
      <c r="I702" s="41"/>
      <c r="J702" s="41"/>
      <c r="K702" s="41"/>
      <c r="L702" s="41"/>
      <c r="M702" s="41"/>
      <c r="N702" s="41"/>
      <c r="O702" s="41"/>
      <c r="P702" s="41"/>
      <c r="Q702" s="41"/>
      <c r="R702" s="41"/>
      <c r="S702" s="41"/>
      <c r="T702" s="1407"/>
      <c r="U702" s="41"/>
      <c r="V702" s="1188"/>
      <c r="W702" s="93"/>
      <c r="Y702" s="72"/>
      <c r="Z702" s="218"/>
      <c r="AA702" s="7"/>
    </row>
    <row r="703" spans="1:27" s="613" customFormat="1" ht="15" customHeight="1">
      <c r="A703" s="53"/>
      <c r="B703" s="42"/>
      <c r="C703" s="42"/>
      <c r="D703" s="42"/>
      <c r="E703" s="42"/>
      <c r="F703" s="42"/>
      <c r="G703" s="45"/>
      <c r="H703" s="5"/>
      <c r="I703" s="41"/>
      <c r="J703" s="41"/>
      <c r="K703" s="41"/>
      <c r="L703" s="41"/>
      <c r="M703" s="41"/>
      <c r="N703" s="41"/>
      <c r="O703" s="41"/>
      <c r="P703" s="41"/>
      <c r="Q703" s="41"/>
      <c r="R703" s="41"/>
      <c r="S703" s="41"/>
      <c r="T703" s="1407"/>
      <c r="U703" s="41"/>
      <c r="V703" s="1188"/>
      <c r="W703" s="93"/>
      <c r="Y703" s="72"/>
      <c r="Z703" s="218"/>
      <c r="AA703" s="7"/>
    </row>
    <row r="704" spans="1:27" s="613" customFormat="1" ht="15" customHeight="1">
      <c r="A704" s="53"/>
      <c r="B704" s="137" t="s">
        <v>815</v>
      </c>
      <c r="C704" s="26" t="s">
        <v>147</v>
      </c>
      <c r="D704" s="42"/>
      <c r="E704" s="4" t="s">
        <v>219</v>
      </c>
      <c r="F704" s="42"/>
      <c r="G704" s="43"/>
      <c r="H704" s="5"/>
      <c r="I704" s="41"/>
      <c r="J704" s="41"/>
      <c r="K704" s="41"/>
      <c r="L704" s="41"/>
      <c r="M704" s="41"/>
      <c r="N704" s="41"/>
      <c r="O704" s="41"/>
      <c r="P704" s="41"/>
      <c r="Q704" s="41"/>
      <c r="R704" s="41"/>
      <c r="S704" s="41"/>
      <c r="T704" s="1407"/>
      <c r="U704" s="41"/>
      <c r="V704" s="1188"/>
      <c r="W704" s="93"/>
      <c r="Y704" s="72"/>
      <c r="Z704" s="218"/>
      <c r="AA704" s="7"/>
    </row>
    <row r="705" spans="1:27" s="613" customFormat="1" ht="15" customHeight="1">
      <c r="A705" s="53"/>
      <c r="B705" s="138" t="s">
        <v>2</v>
      </c>
      <c r="C705" s="108"/>
      <c r="D705" s="108"/>
      <c r="E705" s="108"/>
      <c r="F705" s="108"/>
      <c r="G705" s="108" t="s">
        <v>225</v>
      </c>
      <c r="H705" s="108" t="s">
        <v>226</v>
      </c>
      <c r="I705" s="41"/>
      <c r="J705" s="41"/>
      <c r="K705" s="41"/>
      <c r="L705" s="41"/>
      <c r="M705" s="41"/>
      <c r="N705" s="41"/>
      <c r="O705" s="41"/>
      <c r="P705" s="41"/>
      <c r="Q705" s="41"/>
      <c r="R705" s="41"/>
      <c r="S705" s="41"/>
      <c r="T705" s="1407"/>
      <c r="U705" s="41"/>
      <c r="V705" s="1188"/>
      <c r="W705" s="93"/>
      <c r="Y705" s="72"/>
      <c r="Z705" s="218"/>
      <c r="AA705" s="7"/>
    </row>
    <row r="706" spans="1:27" s="613" customFormat="1" ht="15" customHeight="1">
      <c r="A706" s="53"/>
      <c r="B706" s="1850" t="s">
        <v>2608</v>
      </c>
      <c r="C706" s="817"/>
      <c r="D706" s="817"/>
      <c r="E706" s="817"/>
      <c r="F706" s="817"/>
      <c r="G706" s="1783">
        <v>0.1638</v>
      </c>
      <c r="H706" s="1525">
        <v>119.6</v>
      </c>
      <c r="I706" s="41"/>
      <c r="J706" s="41"/>
      <c r="K706" s="41"/>
      <c r="L706" s="41"/>
      <c r="M706" s="41"/>
      <c r="N706" s="41"/>
      <c r="O706" s="41"/>
      <c r="P706" s="41"/>
      <c r="Q706" s="41"/>
      <c r="R706" s="41"/>
      <c r="S706" s="41"/>
      <c r="T706" s="1407"/>
      <c r="U706" s="41"/>
      <c r="V706" s="1188"/>
      <c r="W706" s="93"/>
      <c r="Y706" s="72"/>
      <c r="Z706" s="218"/>
      <c r="AA706" s="7"/>
    </row>
    <row r="707" spans="1:27" s="613" customFormat="1" ht="15" customHeight="1">
      <c r="A707" s="53"/>
      <c r="B707" s="1850" t="s">
        <v>2609</v>
      </c>
      <c r="C707" s="817"/>
      <c r="D707" s="817"/>
      <c r="E707" s="817"/>
      <c r="F707" s="817"/>
      <c r="G707" s="1783">
        <v>0.1638</v>
      </c>
      <c r="H707" s="1525">
        <v>119.6</v>
      </c>
      <c r="I707" s="41"/>
      <c r="J707" s="41"/>
      <c r="K707" s="41"/>
      <c r="L707" s="41"/>
      <c r="M707" s="41"/>
      <c r="N707" s="41"/>
      <c r="O707" s="41"/>
      <c r="P707" s="41"/>
      <c r="Q707" s="41"/>
      <c r="R707" s="41"/>
      <c r="S707" s="41"/>
      <c r="T707" s="1407"/>
      <c r="U707" s="41"/>
      <c r="V707" s="1188"/>
      <c r="W707" s="93"/>
      <c r="Y707" s="72"/>
      <c r="Z707" s="218"/>
      <c r="AA707" s="7"/>
    </row>
    <row r="708" spans="1:27" s="613" customFormat="1" ht="15" customHeight="1">
      <c r="A708" s="53"/>
      <c r="B708" s="1850" t="s">
        <v>2722</v>
      </c>
      <c r="C708" s="817"/>
      <c r="D708" s="817"/>
      <c r="E708" s="817"/>
      <c r="F708" s="817"/>
      <c r="G708" s="1783">
        <v>0.1638</v>
      </c>
      <c r="H708" s="1525">
        <v>119.6</v>
      </c>
      <c r="I708" s="41"/>
      <c r="J708" s="41"/>
      <c r="K708" s="41"/>
      <c r="L708" s="41"/>
      <c r="M708" s="41"/>
      <c r="N708" s="41"/>
      <c r="O708" s="41"/>
      <c r="P708" s="41"/>
      <c r="Q708" s="41"/>
      <c r="R708" s="41"/>
      <c r="S708" s="41"/>
      <c r="T708" s="1407"/>
      <c r="U708" s="41"/>
      <c r="V708" s="1188"/>
      <c r="W708" s="93"/>
      <c r="Y708" s="72"/>
      <c r="Z708" s="218"/>
      <c r="AA708" s="7"/>
    </row>
    <row r="709" spans="1:27" s="613" customFormat="1" ht="15" customHeight="1">
      <c r="A709" s="53"/>
      <c r="B709" s="1850" t="s">
        <v>2723</v>
      </c>
      <c r="C709" s="817"/>
      <c r="D709" s="817"/>
      <c r="E709" s="817"/>
      <c r="F709" s="817"/>
      <c r="G709" s="1783">
        <v>0.32440000000000002</v>
      </c>
      <c r="H709" s="1525">
        <v>236.9</v>
      </c>
      <c r="I709" s="41"/>
      <c r="J709" s="41"/>
      <c r="K709" s="41"/>
      <c r="L709" s="41"/>
      <c r="M709" s="41"/>
      <c r="N709" s="41"/>
      <c r="O709" s="41"/>
      <c r="P709" s="41"/>
      <c r="Q709" s="41"/>
      <c r="R709" s="41"/>
      <c r="S709" s="41"/>
      <c r="T709" s="1407"/>
      <c r="U709" s="41"/>
      <c r="V709" s="1188"/>
      <c r="W709" s="93"/>
      <c r="Y709" s="72"/>
      <c r="Z709" s="218"/>
      <c r="AA709" s="7"/>
    </row>
    <row r="710" spans="1:27" s="613" customFormat="1" ht="15" customHeight="1">
      <c r="A710" s="53"/>
      <c r="B710" s="1850" t="s">
        <v>2724</v>
      </c>
      <c r="C710" s="817"/>
      <c r="D710" s="817"/>
      <c r="E710" s="817"/>
      <c r="F710" s="817"/>
      <c r="G710" s="1783">
        <v>0.39379999999999998</v>
      </c>
      <c r="H710" s="1525">
        <v>287.5</v>
      </c>
      <c r="I710" s="41"/>
      <c r="J710" s="41"/>
      <c r="K710" s="41"/>
      <c r="L710" s="41"/>
      <c r="M710" s="41"/>
      <c r="N710" s="41"/>
      <c r="O710" s="41"/>
      <c r="P710" s="41"/>
      <c r="Q710" s="41"/>
      <c r="R710" s="41"/>
      <c r="S710" s="41"/>
      <c r="T710" s="1407"/>
      <c r="U710" s="41"/>
      <c r="V710" s="1188"/>
      <c r="W710" s="93"/>
      <c r="Y710" s="72"/>
      <c r="Z710" s="218"/>
      <c r="AA710" s="7"/>
    </row>
    <row r="711" spans="1:27" s="613" customFormat="1" ht="15" customHeight="1">
      <c r="A711" s="53"/>
      <c r="B711" s="1850" t="s">
        <v>2604</v>
      </c>
      <c r="C711" s="817"/>
      <c r="D711" s="817"/>
      <c r="E711" s="817"/>
      <c r="F711" s="817"/>
      <c r="G711" s="1783">
        <v>0.1638</v>
      </c>
      <c r="H711" s="1525">
        <v>119.6</v>
      </c>
      <c r="I711" s="41"/>
      <c r="J711" s="41"/>
      <c r="K711" s="41"/>
      <c r="L711" s="41"/>
      <c r="M711" s="41"/>
      <c r="N711" s="41"/>
      <c r="O711" s="41"/>
      <c r="P711" s="41"/>
      <c r="Q711" s="41"/>
      <c r="R711" s="41"/>
      <c r="S711" s="41"/>
      <c r="T711" s="1407"/>
      <c r="U711" s="41"/>
      <c r="V711" s="1188"/>
      <c r="W711" s="93"/>
      <c r="Y711" s="72"/>
      <c r="Z711" s="218"/>
      <c r="AA711" s="7"/>
    </row>
    <row r="712" spans="1:27" s="613" customFormat="1" ht="15" customHeight="1">
      <c r="A712" s="53"/>
      <c r="B712" s="1850" t="s">
        <v>2605</v>
      </c>
      <c r="C712" s="817"/>
      <c r="D712" s="817"/>
      <c r="E712" s="817"/>
      <c r="F712" s="817"/>
      <c r="G712" s="1783">
        <v>0.1638</v>
      </c>
      <c r="H712" s="1525">
        <v>119.6</v>
      </c>
      <c r="I712" s="41"/>
      <c r="J712" s="41"/>
      <c r="K712" s="41"/>
      <c r="L712" s="41"/>
      <c r="M712" s="41"/>
      <c r="N712" s="41"/>
      <c r="O712" s="41"/>
      <c r="P712" s="41"/>
      <c r="Q712" s="41"/>
      <c r="R712" s="41"/>
      <c r="S712" s="41"/>
      <c r="T712" s="1407"/>
      <c r="U712" s="41"/>
      <c r="V712" s="1188"/>
      <c r="W712" s="93"/>
      <c r="Y712" s="72"/>
      <c r="Z712" s="218"/>
      <c r="AA712" s="7"/>
    </row>
    <row r="713" spans="1:27" s="613" customFormat="1" ht="15" customHeight="1">
      <c r="A713" s="53"/>
      <c r="B713" s="1850" t="s">
        <v>2394</v>
      </c>
      <c r="C713" s="817"/>
      <c r="D713" s="817"/>
      <c r="E713" s="817"/>
      <c r="F713" s="817"/>
      <c r="G713" s="1783">
        <v>0.1638</v>
      </c>
      <c r="H713" s="1525">
        <v>119.6</v>
      </c>
      <c r="I713" s="41"/>
      <c r="J713" s="41"/>
      <c r="K713" s="41"/>
      <c r="L713" s="41"/>
      <c r="M713" s="41"/>
      <c r="N713" s="41"/>
      <c r="O713" s="41"/>
      <c r="P713" s="41"/>
      <c r="Q713" s="41"/>
      <c r="R713" s="41"/>
      <c r="S713" s="41"/>
      <c r="T713" s="1407"/>
      <c r="U713" s="41"/>
      <c r="V713" s="1188"/>
      <c r="W713" s="93"/>
      <c r="Y713" s="72"/>
      <c r="Z713" s="218"/>
      <c r="AA713" s="7"/>
    </row>
    <row r="714" spans="1:27" s="613" customFormat="1" ht="15" customHeight="1">
      <c r="A714" s="53"/>
      <c r="B714" s="1850" t="s">
        <v>2395</v>
      </c>
      <c r="C714" s="817"/>
      <c r="D714" s="817"/>
      <c r="E714" s="817"/>
      <c r="F714" s="817"/>
      <c r="G714" s="1783">
        <v>0.32440000000000002</v>
      </c>
      <c r="H714" s="1525">
        <v>236.9</v>
      </c>
      <c r="I714" s="41"/>
      <c r="J714" s="41"/>
      <c r="K714" s="41"/>
      <c r="L714" s="41"/>
      <c r="M714" s="41"/>
      <c r="N714" s="41"/>
      <c r="O714" s="41"/>
      <c r="P714" s="41"/>
      <c r="Q714" s="41"/>
      <c r="R714" s="41"/>
      <c r="S714" s="41"/>
      <c r="T714" s="1407"/>
      <c r="U714" s="41"/>
      <c r="V714" s="1188"/>
      <c r="W714" s="93"/>
      <c r="Y714" s="72"/>
      <c r="Z714" s="218"/>
      <c r="AA714" s="7"/>
    </row>
    <row r="715" spans="1:27" s="613" customFormat="1" ht="15" customHeight="1">
      <c r="A715" s="53"/>
      <c r="B715" s="1850" t="s">
        <v>2396</v>
      </c>
      <c r="C715" s="817"/>
      <c r="D715" s="817"/>
      <c r="E715" s="817"/>
      <c r="F715" s="817"/>
      <c r="G715" s="1783">
        <v>0.39379999999999998</v>
      </c>
      <c r="H715" s="1525">
        <v>287.5</v>
      </c>
      <c r="I715" s="41"/>
      <c r="J715" s="41"/>
      <c r="K715" s="41"/>
      <c r="L715" s="41"/>
      <c r="M715" s="41"/>
      <c r="N715" s="41"/>
      <c r="O715" s="41"/>
      <c r="P715" s="41"/>
      <c r="Q715" s="41"/>
      <c r="R715" s="41"/>
      <c r="S715" s="41"/>
      <c r="T715" s="1407"/>
      <c r="U715" s="41"/>
      <c r="V715" s="1188"/>
      <c r="W715" s="93"/>
      <c r="Y715" s="72"/>
      <c r="Z715" s="218"/>
      <c r="AA715" s="7"/>
    </row>
    <row r="716" spans="1:27" s="613" customFormat="1" ht="15" customHeight="1">
      <c r="A716" s="53"/>
      <c r="B716" s="1850" t="s">
        <v>2393</v>
      </c>
      <c r="C716" s="817"/>
      <c r="D716" s="817"/>
      <c r="E716" s="817"/>
      <c r="F716" s="817"/>
      <c r="G716" s="1783">
        <v>0.39379999999999998</v>
      </c>
      <c r="H716" s="1525">
        <v>287.5</v>
      </c>
      <c r="I716" s="41"/>
      <c r="J716" s="41"/>
      <c r="K716" s="41"/>
      <c r="L716" s="41"/>
      <c r="M716" s="41"/>
      <c r="N716" s="41"/>
      <c r="O716" s="41"/>
      <c r="P716" s="41"/>
      <c r="Q716" s="41"/>
      <c r="R716" s="41"/>
      <c r="S716" s="41"/>
      <c r="T716" s="1407"/>
      <c r="U716" s="41"/>
      <c r="V716" s="1188"/>
      <c r="W716" s="93"/>
      <c r="Y716" s="72"/>
      <c r="Z716" s="218"/>
      <c r="AA716" s="7"/>
    </row>
    <row r="717" spans="1:27" s="613" customFormat="1" ht="15" customHeight="1">
      <c r="A717" s="53"/>
      <c r="B717" s="1850" t="s">
        <v>2725</v>
      </c>
      <c r="C717" s="817"/>
      <c r="D717" s="817"/>
      <c r="E717" s="817"/>
      <c r="F717" s="817"/>
      <c r="G717" s="1783">
        <v>0.39379999999999998</v>
      </c>
      <c r="H717" s="1525">
        <v>287.5</v>
      </c>
      <c r="I717" s="41"/>
      <c r="J717" s="41"/>
      <c r="K717" s="41"/>
      <c r="L717" s="41"/>
      <c r="M717" s="41"/>
      <c r="N717" s="41"/>
      <c r="O717" s="41"/>
      <c r="P717" s="41"/>
      <c r="Q717" s="41"/>
      <c r="R717" s="41"/>
      <c r="S717" s="41"/>
      <c r="T717" s="1407"/>
      <c r="U717" s="41"/>
      <c r="V717" s="1188"/>
      <c r="W717" s="93"/>
      <c r="Y717" s="72"/>
      <c r="Z717" s="218"/>
      <c r="AA717" s="7"/>
    </row>
    <row r="718" spans="1:27" s="613" customFormat="1" ht="15" customHeight="1">
      <c r="A718" s="53"/>
      <c r="B718" s="1850" t="s">
        <v>2606</v>
      </c>
      <c r="C718" s="817"/>
      <c r="D718" s="817"/>
      <c r="E718" s="817"/>
      <c r="F718" s="817"/>
      <c r="G718" s="1783">
        <v>0.1638</v>
      </c>
      <c r="H718" s="1525">
        <v>119.6</v>
      </c>
      <c r="I718" s="41"/>
      <c r="J718" s="41"/>
      <c r="K718" s="41"/>
      <c r="L718" s="41"/>
      <c r="M718" s="41"/>
      <c r="N718" s="41"/>
      <c r="O718" s="41"/>
      <c r="P718" s="41"/>
      <c r="Q718" s="41"/>
      <c r="R718" s="41"/>
      <c r="S718" s="41"/>
      <c r="T718" s="1407"/>
      <c r="U718" s="41"/>
      <c r="V718" s="1188"/>
      <c r="W718" s="93"/>
      <c r="Y718" s="72"/>
      <c r="Z718" s="218"/>
      <c r="AA718" s="7"/>
    </row>
    <row r="719" spans="1:27" s="613" customFormat="1" ht="15" customHeight="1">
      <c r="A719" s="53"/>
      <c r="B719" s="1850" t="s">
        <v>2607</v>
      </c>
      <c r="C719" s="817"/>
      <c r="D719" s="817"/>
      <c r="E719" s="817"/>
      <c r="F719" s="817"/>
      <c r="G719" s="1783">
        <v>0.1638</v>
      </c>
      <c r="H719" s="1525">
        <v>119.6</v>
      </c>
      <c r="I719" s="41"/>
      <c r="J719" s="41"/>
      <c r="K719" s="41"/>
      <c r="L719" s="41"/>
      <c r="M719" s="41"/>
      <c r="N719" s="41"/>
      <c r="O719" s="41"/>
      <c r="P719" s="41"/>
      <c r="Q719" s="41"/>
      <c r="R719" s="41"/>
      <c r="S719" s="41"/>
      <c r="T719" s="1407"/>
      <c r="U719" s="41"/>
      <c r="V719" s="1188"/>
      <c r="W719" s="93"/>
      <c r="Y719" s="72"/>
      <c r="Z719" s="218"/>
      <c r="AA719" s="7"/>
    </row>
    <row r="720" spans="1:27" s="613" customFormat="1" ht="15" customHeight="1">
      <c r="A720" s="53"/>
      <c r="B720" s="1850" t="s">
        <v>2366</v>
      </c>
      <c r="C720" s="817"/>
      <c r="D720" s="817"/>
      <c r="E720" s="817"/>
      <c r="F720" s="817"/>
      <c r="G720" s="1783">
        <v>0.32440000000000002</v>
      </c>
      <c r="H720" s="1525">
        <v>236.9</v>
      </c>
      <c r="I720" s="41"/>
      <c r="J720" s="41"/>
      <c r="K720" s="41"/>
      <c r="L720" s="41"/>
      <c r="M720" s="41"/>
      <c r="N720" s="41"/>
      <c r="O720" s="41"/>
      <c r="P720" s="41"/>
      <c r="Q720" s="41"/>
      <c r="R720" s="41"/>
      <c r="S720" s="41"/>
      <c r="T720" s="1407"/>
      <c r="U720" s="41"/>
      <c r="V720" s="1188"/>
      <c r="W720" s="93"/>
      <c r="Y720" s="72"/>
      <c r="Z720" s="218"/>
      <c r="AA720" s="7"/>
    </row>
    <row r="721" spans="1:27" s="613" customFormat="1" ht="15" customHeight="1">
      <c r="A721" s="53"/>
      <c r="B721" s="1850" t="s">
        <v>2367</v>
      </c>
      <c r="C721" s="817"/>
      <c r="D721" s="817"/>
      <c r="E721" s="817"/>
      <c r="F721" s="817"/>
      <c r="G721" s="1783">
        <v>0.39379999999999998</v>
      </c>
      <c r="H721" s="1525">
        <v>287.5</v>
      </c>
      <c r="I721" s="41"/>
      <c r="J721" s="41"/>
      <c r="K721" s="41"/>
      <c r="L721" s="41"/>
      <c r="M721" s="41"/>
      <c r="N721" s="41"/>
      <c r="O721" s="41"/>
      <c r="P721" s="41"/>
      <c r="Q721" s="41"/>
      <c r="R721" s="41"/>
      <c r="S721" s="41"/>
      <c r="T721" s="1407"/>
      <c r="U721" s="41"/>
      <c r="V721" s="1188"/>
      <c r="W721" s="93"/>
      <c r="Y721" s="72"/>
      <c r="Z721" s="218"/>
      <c r="AA721" s="7"/>
    </row>
    <row r="722" spans="1:27" s="613" customFormat="1" ht="15" customHeight="1">
      <c r="A722" s="53"/>
      <c r="B722" s="1850" t="s">
        <v>2368</v>
      </c>
      <c r="C722" s="817"/>
      <c r="D722" s="817"/>
      <c r="E722" s="817"/>
      <c r="F722" s="817"/>
      <c r="G722" s="1783">
        <v>0.39379999999999998</v>
      </c>
      <c r="H722" s="1525">
        <v>287.5</v>
      </c>
      <c r="I722" s="41"/>
      <c r="J722" s="41"/>
      <c r="K722" s="41"/>
      <c r="L722" s="41"/>
      <c r="M722" s="41"/>
      <c r="N722" s="41"/>
      <c r="O722" s="41"/>
      <c r="P722" s="41"/>
      <c r="Q722" s="41"/>
      <c r="R722" s="41"/>
      <c r="S722" s="41"/>
      <c r="T722" s="1407"/>
      <c r="U722" s="41"/>
      <c r="V722" s="1188"/>
      <c r="W722" s="93"/>
      <c r="Y722" s="72"/>
      <c r="Z722" s="218"/>
      <c r="AA722" s="7"/>
    </row>
    <row r="723" spans="1:27" s="613" customFormat="1" ht="15" customHeight="1">
      <c r="A723" s="53"/>
      <c r="B723" s="1850" t="s">
        <v>2726</v>
      </c>
      <c r="C723" s="817"/>
      <c r="D723" s="817"/>
      <c r="E723" s="817"/>
      <c r="F723" s="817"/>
      <c r="G723" s="1783">
        <v>0.39379999999999998</v>
      </c>
      <c r="H723" s="1525">
        <v>287.5</v>
      </c>
      <c r="I723" s="41"/>
      <c r="J723" s="41"/>
      <c r="K723" s="41"/>
      <c r="L723" s="41"/>
      <c r="M723" s="41"/>
      <c r="N723" s="41"/>
      <c r="O723" s="41"/>
      <c r="P723" s="41"/>
      <c r="Q723" s="41"/>
      <c r="R723" s="41"/>
      <c r="S723" s="41"/>
      <c r="T723" s="1407"/>
      <c r="U723" s="41"/>
      <c r="V723" s="1188"/>
      <c r="W723" s="93"/>
      <c r="Y723" s="72"/>
      <c r="Z723" s="218"/>
      <c r="AA723" s="7"/>
    </row>
    <row r="724" spans="1:27" s="613" customFormat="1" ht="15" customHeight="1">
      <c r="A724" s="53"/>
      <c r="B724" s="1850" t="s">
        <v>2649</v>
      </c>
      <c r="C724" s="817"/>
      <c r="D724" s="817"/>
      <c r="E724" s="817"/>
      <c r="F724" s="817"/>
      <c r="G724" s="1783">
        <v>0.1638</v>
      </c>
      <c r="H724" s="1525">
        <v>119.6</v>
      </c>
      <c r="I724" s="41"/>
      <c r="J724" s="41"/>
      <c r="K724" s="41"/>
      <c r="L724" s="41"/>
      <c r="M724" s="41"/>
      <c r="N724" s="41"/>
      <c r="O724" s="41"/>
      <c r="P724" s="41"/>
      <c r="Q724" s="41"/>
      <c r="R724" s="41"/>
      <c r="S724" s="41"/>
      <c r="T724" s="1407"/>
      <c r="U724" s="41"/>
      <c r="V724" s="1188"/>
      <c r="W724" s="93"/>
      <c r="Y724" s="72"/>
      <c r="Z724" s="218"/>
      <c r="AA724" s="7"/>
    </row>
    <row r="725" spans="1:27" s="613" customFormat="1" ht="15" customHeight="1">
      <c r="A725" s="53"/>
      <c r="B725" s="1850" t="s">
        <v>2650</v>
      </c>
      <c r="C725" s="817"/>
      <c r="D725" s="817"/>
      <c r="E725" s="817"/>
      <c r="F725" s="817"/>
      <c r="G725" s="1783">
        <v>0.32440000000000002</v>
      </c>
      <c r="H725" s="1525">
        <v>236.9</v>
      </c>
      <c r="I725" s="41"/>
      <c r="J725" s="41"/>
      <c r="K725" s="41"/>
      <c r="L725" s="41"/>
      <c r="M725" s="41"/>
      <c r="N725" s="41"/>
      <c r="O725" s="41"/>
      <c r="P725" s="41"/>
      <c r="Q725" s="41"/>
      <c r="R725" s="41"/>
      <c r="S725" s="41"/>
      <c r="T725" s="1407"/>
      <c r="U725" s="41"/>
      <c r="V725" s="1188"/>
      <c r="W725" s="93"/>
      <c r="Y725" s="72"/>
      <c r="Z725" s="218"/>
      <c r="AA725" s="7"/>
    </row>
    <row r="726" spans="1:27" s="613" customFormat="1" ht="15" customHeight="1">
      <c r="A726" s="53"/>
      <c r="B726" s="1850" t="s">
        <v>2651</v>
      </c>
      <c r="C726" s="817"/>
      <c r="D726" s="817"/>
      <c r="E726" s="817"/>
      <c r="F726" s="817"/>
      <c r="G726" s="1783">
        <v>0.39379999999999998</v>
      </c>
      <c r="H726" s="1525">
        <v>287.5</v>
      </c>
      <c r="I726" s="41"/>
      <c r="J726" s="41"/>
      <c r="K726" s="41"/>
      <c r="L726" s="41"/>
      <c r="M726" s="41"/>
      <c r="N726" s="41"/>
      <c r="O726" s="41"/>
      <c r="P726" s="41"/>
      <c r="Q726" s="41"/>
      <c r="R726" s="41"/>
      <c r="S726" s="41"/>
      <c r="T726" s="1407"/>
      <c r="U726" s="41"/>
      <c r="V726" s="1188"/>
      <c r="W726" s="93"/>
      <c r="Y726" s="72"/>
      <c r="Z726" s="218"/>
      <c r="AA726" s="7"/>
    </row>
    <row r="727" spans="1:27" s="613" customFormat="1" ht="15" customHeight="1">
      <c r="A727" s="53"/>
      <c r="B727" s="1850" t="s">
        <v>2652</v>
      </c>
      <c r="C727" s="817"/>
      <c r="D727" s="817"/>
      <c r="E727" s="817"/>
      <c r="F727" s="817"/>
      <c r="G727" s="1783">
        <v>0.39379999999999998</v>
      </c>
      <c r="H727" s="1525">
        <v>287.5</v>
      </c>
      <c r="I727" s="41"/>
      <c r="J727" s="41"/>
      <c r="K727" s="41"/>
      <c r="L727" s="41"/>
      <c r="M727" s="41"/>
      <c r="N727" s="41"/>
      <c r="O727" s="41"/>
      <c r="P727" s="41"/>
      <c r="Q727" s="41"/>
      <c r="R727" s="41"/>
      <c r="S727" s="41"/>
      <c r="T727" s="1407"/>
      <c r="U727" s="41"/>
      <c r="V727" s="1188"/>
      <c r="W727" s="93"/>
      <c r="Y727" s="72"/>
      <c r="Z727" s="218"/>
      <c r="AA727" s="7"/>
    </row>
    <row r="728" spans="1:27" s="613" customFormat="1" ht="15" customHeight="1">
      <c r="A728" s="53"/>
      <c r="B728" s="1850" t="s">
        <v>2644</v>
      </c>
      <c r="C728" s="817"/>
      <c r="D728" s="817"/>
      <c r="E728" s="817"/>
      <c r="F728" s="817"/>
      <c r="G728" s="1783">
        <v>0.1638</v>
      </c>
      <c r="H728" s="1525">
        <v>119.6</v>
      </c>
      <c r="I728" s="41"/>
      <c r="J728" s="41"/>
      <c r="K728" s="41"/>
      <c r="L728" s="41"/>
      <c r="M728" s="41"/>
      <c r="N728" s="41"/>
      <c r="O728" s="41"/>
      <c r="P728" s="41"/>
      <c r="Q728" s="41"/>
      <c r="R728" s="41"/>
      <c r="S728" s="41"/>
      <c r="T728" s="1407"/>
      <c r="U728" s="41"/>
      <c r="V728" s="1188"/>
      <c r="W728" s="93"/>
      <c r="Y728" s="72"/>
      <c r="Z728" s="218"/>
      <c r="AA728" s="7"/>
    </row>
    <row r="729" spans="1:27" s="613" customFormat="1" ht="15" customHeight="1">
      <c r="A729" s="53"/>
      <c r="B729" s="1850" t="s">
        <v>2645</v>
      </c>
      <c r="C729" s="817"/>
      <c r="D729" s="817"/>
      <c r="E729" s="817"/>
      <c r="F729" s="817"/>
      <c r="G729" s="1783">
        <v>0.32440000000000002</v>
      </c>
      <c r="H729" s="1525">
        <v>236.9</v>
      </c>
      <c r="I729" s="41"/>
      <c r="J729" s="41"/>
      <c r="K729" s="41"/>
      <c r="L729" s="41"/>
      <c r="M729" s="41"/>
      <c r="N729" s="41"/>
      <c r="O729" s="41"/>
      <c r="P729" s="41"/>
      <c r="Q729" s="41"/>
      <c r="R729" s="41"/>
      <c r="S729" s="41"/>
      <c r="T729" s="1407"/>
      <c r="U729" s="41"/>
      <c r="V729" s="1188"/>
      <c r="W729" s="93"/>
      <c r="Y729" s="72"/>
      <c r="Z729" s="218"/>
      <c r="AA729" s="7"/>
    </row>
    <row r="730" spans="1:27" s="613" customFormat="1" ht="15" customHeight="1">
      <c r="A730" s="53"/>
      <c r="B730" s="1850" t="s">
        <v>2646</v>
      </c>
      <c r="C730" s="817"/>
      <c r="D730" s="817"/>
      <c r="E730" s="817"/>
      <c r="F730" s="817"/>
      <c r="G730" s="1783">
        <v>0.39379999999999998</v>
      </c>
      <c r="H730" s="1525">
        <v>287.5</v>
      </c>
      <c r="I730" s="41"/>
      <c r="J730" s="41"/>
      <c r="K730" s="41"/>
      <c r="L730" s="41"/>
      <c r="M730" s="41"/>
      <c r="N730" s="41"/>
      <c r="O730" s="41"/>
      <c r="P730" s="41"/>
      <c r="Q730" s="41"/>
      <c r="R730" s="41"/>
      <c r="S730" s="41"/>
      <c r="T730" s="1407"/>
      <c r="U730" s="41"/>
      <c r="V730" s="1188"/>
      <c r="W730" s="93"/>
      <c r="Y730" s="72"/>
      <c r="Z730" s="218"/>
      <c r="AA730" s="7"/>
    </row>
    <row r="731" spans="1:27" s="613" customFormat="1" ht="15" customHeight="1">
      <c r="A731" s="53"/>
      <c r="B731" s="1850" t="s">
        <v>2647</v>
      </c>
      <c r="C731" s="817"/>
      <c r="D731" s="817"/>
      <c r="E731" s="817"/>
      <c r="F731" s="817"/>
      <c r="G731" s="1783">
        <v>0.39379999999999998</v>
      </c>
      <c r="H731" s="1525">
        <v>287.5</v>
      </c>
      <c r="I731" s="41"/>
      <c r="J731" s="41"/>
      <c r="K731" s="41"/>
      <c r="L731" s="41"/>
      <c r="M731" s="41"/>
      <c r="N731" s="41"/>
      <c r="O731" s="41"/>
      <c r="P731" s="41"/>
      <c r="Q731" s="41"/>
      <c r="R731" s="41"/>
      <c r="S731" s="41"/>
      <c r="T731" s="1407"/>
      <c r="U731" s="41"/>
      <c r="V731" s="1188"/>
      <c r="W731" s="93"/>
      <c r="Y731" s="72"/>
      <c r="Z731" s="218"/>
      <c r="AA731" s="7"/>
    </row>
    <row r="732" spans="1:27" s="613" customFormat="1" ht="15" customHeight="1">
      <c r="A732" s="53"/>
      <c r="B732" s="1850" t="s">
        <v>2648</v>
      </c>
      <c r="C732" s="817"/>
      <c r="D732" s="817"/>
      <c r="E732" s="817"/>
      <c r="F732" s="817"/>
      <c r="G732" s="1783">
        <v>0.39379999999999998</v>
      </c>
      <c r="H732" s="1525">
        <v>287.5</v>
      </c>
      <c r="I732" s="41"/>
      <c r="J732" s="41"/>
      <c r="K732" s="41"/>
      <c r="L732" s="41"/>
      <c r="M732" s="41"/>
      <c r="N732" s="41"/>
      <c r="O732" s="41"/>
      <c r="P732" s="41"/>
      <c r="Q732" s="41"/>
      <c r="R732" s="41"/>
      <c r="S732" s="41"/>
      <c r="T732" s="1407"/>
      <c r="U732" s="41"/>
      <c r="V732" s="1188"/>
      <c r="W732" s="93"/>
      <c r="Y732" s="72"/>
      <c r="Z732" s="218"/>
      <c r="AA732" s="7"/>
    </row>
    <row r="733" spans="1:27" s="613" customFormat="1" ht="15" customHeight="1">
      <c r="A733" s="53"/>
      <c r="B733" s="1850" t="s">
        <v>2642</v>
      </c>
      <c r="C733" s="817"/>
      <c r="D733" s="817"/>
      <c r="E733" s="817"/>
      <c r="F733" s="817"/>
      <c r="G733" s="1783">
        <v>0.1638</v>
      </c>
      <c r="H733" s="1525">
        <v>119.6</v>
      </c>
      <c r="I733" s="41"/>
      <c r="J733" s="41"/>
      <c r="K733" s="41"/>
      <c r="L733" s="41"/>
      <c r="M733" s="41"/>
      <c r="N733" s="41"/>
      <c r="O733" s="41"/>
      <c r="P733" s="41"/>
      <c r="Q733" s="41"/>
      <c r="R733" s="41"/>
      <c r="S733" s="41"/>
      <c r="T733" s="1407"/>
      <c r="U733" s="41"/>
      <c r="V733" s="1188"/>
      <c r="W733" s="93"/>
      <c r="Y733" s="72"/>
      <c r="Z733" s="218"/>
      <c r="AA733" s="7"/>
    </row>
    <row r="734" spans="1:27" s="613" customFormat="1" ht="15" customHeight="1">
      <c r="A734" s="53"/>
      <c r="B734" s="1850" t="s">
        <v>2643</v>
      </c>
      <c r="C734" s="817"/>
      <c r="D734" s="817"/>
      <c r="E734" s="817"/>
      <c r="F734" s="817"/>
      <c r="G734" s="1783">
        <v>0.32440000000000002</v>
      </c>
      <c r="H734" s="1525">
        <v>236.9</v>
      </c>
      <c r="I734" s="41"/>
      <c r="J734" s="41"/>
      <c r="K734" s="41"/>
      <c r="L734" s="41"/>
      <c r="M734" s="41"/>
      <c r="N734" s="41"/>
      <c r="O734" s="41"/>
      <c r="P734" s="41"/>
      <c r="Q734" s="41"/>
      <c r="R734" s="41"/>
      <c r="S734" s="41"/>
      <c r="T734" s="1407"/>
      <c r="U734" s="41"/>
      <c r="V734" s="1188"/>
      <c r="W734" s="93"/>
      <c r="Y734" s="72"/>
      <c r="Z734" s="218"/>
      <c r="AA734" s="7"/>
    </row>
    <row r="735" spans="1:27" s="613" customFormat="1" ht="15" customHeight="1">
      <c r="A735" s="53"/>
      <c r="B735" s="1850" t="s">
        <v>2383</v>
      </c>
      <c r="C735" s="817"/>
      <c r="D735" s="817"/>
      <c r="E735" s="817"/>
      <c r="F735" s="817"/>
      <c r="G735" s="1783">
        <v>0.39379999999999998</v>
      </c>
      <c r="H735" s="1525">
        <v>287.5</v>
      </c>
      <c r="I735" s="41"/>
      <c r="J735" s="41"/>
      <c r="K735" s="41"/>
      <c r="L735" s="41"/>
      <c r="M735" s="41"/>
      <c r="N735" s="41"/>
      <c r="O735" s="41"/>
      <c r="P735" s="41"/>
      <c r="Q735" s="41"/>
      <c r="R735" s="41"/>
      <c r="S735" s="41"/>
      <c r="T735" s="1407"/>
      <c r="U735" s="41"/>
      <c r="V735" s="1188"/>
      <c r="W735" s="93"/>
      <c r="Y735" s="72"/>
      <c r="Z735" s="218"/>
      <c r="AA735" s="7"/>
    </row>
    <row r="736" spans="1:27" s="613" customFormat="1" ht="15" customHeight="1">
      <c r="A736" s="53"/>
      <c r="B736" s="1850" t="s">
        <v>2440</v>
      </c>
      <c r="C736" s="817"/>
      <c r="D736" s="817"/>
      <c r="E736" s="817"/>
      <c r="F736" s="817"/>
      <c r="G736" s="1783">
        <v>0.39379999999999998</v>
      </c>
      <c r="H736" s="1525">
        <v>287.5</v>
      </c>
      <c r="I736" s="41"/>
      <c r="J736" s="41"/>
      <c r="K736" s="41"/>
      <c r="L736" s="41"/>
      <c r="M736" s="41"/>
      <c r="N736" s="41"/>
      <c r="O736" s="41"/>
      <c r="P736" s="41"/>
      <c r="Q736" s="41"/>
      <c r="R736" s="41"/>
      <c r="S736" s="41"/>
      <c r="T736" s="1407"/>
      <c r="U736" s="41"/>
      <c r="V736" s="1188"/>
      <c r="W736" s="93"/>
      <c r="Y736" s="72"/>
      <c r="Z736" s="218"/>
      <c r="AA736" s="7"/>
    </row>
    <row r="737" spans="1:27" s="613" customFormat="1" ht="15" customHeight="1">
      <c r="A737" s="53"/>
      <c r="B737" s="1850" t="s">
        <v>2384</v>
      </c>
      <c r="C737" s="817"/>
      <c r="D737" s="817"/>
      <c r="E737" s="817"/>
      <c r="F737" s="817"/>
      <c r="G737" s="1783">
        <v>0.39379999999999998</v>
      </c>
      <c r="H737" s="1525">
        <v>287.5</v>
      </c>
      <c r="I737" s="41"/>
      <c r="J737" s="41"/>
      <c r="K737" s="41"/>
      <c r="L737" s="41"/>
      <c r="M737" s="41"/>
      <c r="N737" s="41"/>
      <c r="O737" s="41"/>
      <c r="P737" s="41"/>
      <c r="Q737" s="41"/>
      <c r="R737" s="41"/>
      <c r="S737" s="41"/>
      <c r="T737" s="1407"/>
      <c r="U737" s="41"/>
      <c r="V737" s="1188"/>
      <c r="W737" s="93"/>
      <c r="Y737" s="72"/>
      <c r="Z737" s="218"/>
      <c r="AA737" s="7"/>
    </row>
    <row r="738" spans="1:27" s="613" customFormat="1" ht="15" customHeight="1">
      <c r="A738" s="53"/>
      <c r="B738" s="1850" t="s">
        <v>2441</v>
      </c>
      <c r="C738" s="817"/>
      <c r="D738" s="817"/>
      <c r="E738" s="817"/>
      <c r="F738" s="817"/>
      <c r="G738" s="1783">
        <v>0.39379999999999998</v>
      </c>
      <c r="H738" s="1525">
        <v>287.5</v>
      </c>
      <c r="I738" s="41"/>
      <c r="J738" s="41"/>
      <c r="K738" s="41"/>
      <c r="L738" s="41"/>
      <c r="M738" s="41"/>
      <c r="N738" s="41"/>
      <c r="O738" s="41"/>
      <c r="P738" s="41"/>
      <c r="Q738" s="41"/>
      <c r="R738" s="41"/>
      <c r="S738" s="41"/>
      <c r="T738" s="1407"/>
      <c r="U738" s="41"/>
      <c r="V738" s="1188"/>
      <c r="W738" s="93"/>
      <c r="Y738" s="72"/>
      <c r="Z738" s="218"/>
      <c r="AA738" s="7"/>
    </row>
    <row r="739" spans="1:27" s="613" customFormat="1" ht="15" customHeight="1">
      <c r="A739" s="53"/>
      <c r="B739" s="1850" t="s">
        <v>2385</v>
      </c>
      <c r="C739" s="817"/>
      <c r="D739" s="817"/>
      <c r="E739" s="817"/>
      <c r="F739" s="817"/>
      <c r="G739" s="1783">
        <v>0.39379999999999998</v>
      </c>
      <c r="H739" s="1525">
        <v>287.5</v>
      </c>
      <c r="I739" s="41"/>
      <c r="J739" s="41"/>
      <c r="K739" s="41"/>
      <c r="L739" s="41"/>
      <c r="M739" s="41"/>
      <c r="N739" s="41"/>
      <c r="O739" s="41"/>
      <c r="P739" s="41"/>
      <c r="Q739" s="41"/>
      <c r="R739" s="41"/>
      <c r="S739" s="41"/>
      <c r="T739" s="1407"/>
      <c r="U739" s="41"/>
      <c r="V739" s="1188"/>
      <c r="W739" s="93"/>
      <c r="Y739" s="72"/>
      <c r="Z739" s="218"/>
      <c r="AA739" s="7"/>
    </row>
    <row r="740" spans="1:27" s="613" customFormat="1" ht="15" customHeight="1">
      <c r="A740" s="53"/>
      <c r="B740" s="1850" t="s">
        <v>2386</v>
      </c>
      <c r="C740" s="817"/>
      <c r="D740" s="817"/>
      <c r="E740" s="817"/>
      <c r="F740" s="817"/>
      <c r="G740" s="1783">
        <v>0.39379999999999998</v>
      </c>
      <c r="H740" s="1525">
        <v>287.5</v>
      </c>
      <c r="I740" s="41"/>
      <c r="J740" s="41"/>
      <c r="K740" s="41"/>
      <c r="L740" s="41"/>
      <c r="M740" s="41"/>
      <c r="N740" s="41"/>
      <c r="O740" s="41"/>
      <c r="P740" s="41"/>
      <c r="Q740" s="41"/>
      <c r="R740" s="41"/>
      <c r="S740" s="41"/>
      <c r="T740" s="1407"/>
      <c r="U740" s="41"/>
      <c r="V740" s="1188"/>
      <c r="W740" s="93"/>
      <c r="Y740" s="72"/>
      <c r="Z740" s="218"/>
      <c r="AA740" s="7"/>
    </row>
    <row r="741" spans="1:27" s="1489" customFormat="1" ht="15" customHeight="1">
      <c r="A741" s="1491"/>
      <c r="B741" s="1847" t="s">
        <v>2795</v>
      </c>
      <c r="C741" s="817"/>
      <c r="D741" s="817"/>
      <c r="E741" s="817"/>
      <c r="F741" s="817"/>
      <c r="G741" s="1783">
        <v>0.1638</v>
      </c>
      <c r="H741" s="1864">
        <v>119.6</v>
      </c>
      <c r="I741" s="1407"/>
      <c r="J741" s="1407"/>
      <c r="K741" s="1407"/>
      <c r="L741" s="1407"/>
      <c r="M741" s="1407"/>
      <c r="N741" s="1407"/>
      <c r="O741" s="1407"/>
      <c r="P741" s="1407"/>
      <c r="Q741" s="1407"/>
      <c r="R741" s="1407"/>
      <c r="S741" s="1407"/>
      <c r="T741" s="1407"/>
      <c r="U741" s="1407"/>
      <c r="V741" s="1407"/>
      <c r="W741" s="1190"/>
      <c r="Y741" s="1189"/>
      <c r="Z741" s="1492"/>
      <c r="AA741" s="1493"/>
    </row>
    <row r="742" spans="1:27" s="1489" customFormat="1" ht="15" customHeight="1">
      <c r="A742" s="1491"/>
      <c r="B742" s="1847" t="s">
        <v>2796</v>
      </c>
      <c r="C742" s="817"/>
      <c r="D742" s="817"/>
      <c r="E742" s="817"/>
      <c r="F742" s="817"/>
      <c r="G742" s="1783">
        <v>0.32440000000000002</v>
      </c>
      <c r="H742" s="1864">
        <v>236.9</v>
      </c>
      <c r="I742" s="1407"/>
      <c r="J742" s="1407"/>
      <c r="K742" s="1407"/>
      <c r="L742" s="1407"/>
      <c r="M742" s="1407"/>
      <c r="N742" s="1407"/>
      <c r="O742" s="1407"/>
      <c r="P742" s="1407"/>
      <c r="Q742" s="1407"/>
      <c r="R742" s="1407"/>
      <c r="S742" s="1407"/>
      <c r="T742" s="1407"/>
      <c r="U742" s="1407"/>
      <c r="V742" s="1407"/>
      <c r="W742" s="1190"/>
      <c r="Y742" s="1189"/>
      <c r="Z742" s="1492"/>
      <c r="AA742" s="1493"/>
    </row>
    <row r="743" spans="1:27" s="1489" customFormat="1" ht="15" customHeight="1">
      <c r="A743" s="1491"/>
      <c r="B743" s="1847" t="s">
        <v>2797</v>
      </c>
      <c r="C743" s="817"/>
      <c r="D743" s="817"/>
      <c r="E743" s="817"/>
      <c r="F743" s="817"/>
      <c r="G743" s="1783">
        <v>0.39379999999999998</v>
      </c>
      <c r="H743" s="1864">
        <v>287.5</v>
      </c>
      <c r="I743" s="1407"/>
      <c r="J743" s="1407"/>
      <c r="K743" s="1407"/>
      <c r="L743" s="1407"/>
      <c r="M743" s="1407"/>
      <c r="N743" s="1407"/>
      <c r="O743" s="1407"/>
      <c r="P743" s="1407"/>
      <c r="Q743" s="1407"/>
      <c r="R743" s="1407"/>
      <c r="S743" s="1407"/>
      <c r="T743" s="1407"/>
      <c r="U743" s="1407"/>
      <c r="V743" s="1407"/>
      <c r="W743" s="1190"/>
      <c r="Y743" s="1189"/>
      <c r="Z743" s="1492"/>
      <c r="AA743" s="1493"/>
    </row>
    <row r="744" spans="1:27" s="1489" customFormat="1" ht="15" customHeight="1">
      <c r="A744" s="1491"/>
      <c r="B744" s="1847" t="s">
        <v>2798</v>
      </c>
      <c r="C744" s="817"/>
      <c r="D744" s="817"/>
      <c r="E744" s="817"/>
      <c r="F744" s="817"/>
      <c r="G744" s="1783">
        <v>0.39379999999999998</v>
      </c>
      <c r="H744" s="1864">
        <v>287.5</v>
      </c>
      <c r="I744" s="1407"/>
      <c r="J744" s="1407"/>
      <c r="K744" s="1407"/>
      <c r="L744" s="1407"/>
      <c r="M744" s="1407"/>
      <c r="N744" s="1407"/>
      <c r="O744" s="1407"/>
      <c r="P744" s="1407"/>
      <c r="Q744" s="1407"/>
      <c r="R744" s="1407"/>
      <c r="S744" s="1407"/>
      <c r="T744" s="1407"/>
      <c r="U744" s="1407"/>
      <c r="V744" s="1407"/>
      <c r="W744" s="1190"/>
      <c r="Y744" s="1189"/>
      <c r="Z744" s="1492"/>
      <c r="AA744" s="1493"/>
    </row>
    <row r="745" spans="1:27" s="1489" customFormat="1" ht="15" customHeight="1">
      <c r="A745" s="1491"/>
      <c r="B745" s="1847" t="s">
        <v>2799</v>
      </c>
      <c r="C745" s="817"/>
      <c r="D745" s="817"/>
      <c r="E745" s="817"/>
      <c r="F745" s="817"/>
      <c r="G745" s="1783">
        <v>0.39379999999999998</v>
      </c>
      <c r="H745" s="1864">
        <v>287.5</v>
      </c>
      <c r="I745" s="1407"/>
      <c r="J745" s="1407"/>
      <c r="K745" s="1407"/>
      <c r="L745" s="1407"/>
      <c r="M745" s="1407"/>
      <c r="N745" s="1407"/>
      <c r="O745" s="1407"/>
      <c r="P745" s="1407"/>
      <c r="Q745" s="1407"/>
      <c r="R745" s="1407"/>
      <c r="S745" s="1407"/>
      <c r="T745" s="1407"/>
      <c r="U745" s="1407"/>
      <c r="V745" s="1407"/>
      <c r="W745" s="1190"/>
      <c r="Y745" s="1189"/>
      <c r="Z745" s="1492"/>
      <c r="AA745" s="1493"/>
    </row>
    <row r="746" spans="1:27" s="1489" customFormat="1" ht="15" customHeight="1">
      <c r="A746" s="1491"/>
      <c r="B746" s="1847" t="s">
        <v>2800</v>
      </c>
      <c r="C746" s="817"/>
      <c r="D746" s="817"/>
      <c r="E746" s="817"/>
      <c r="F746" s="817"/>
      <c r="G746" s="1783">
        <v>0.39379999999999998</v>
      </c>
      <c r="H746" s="1864">
        <v>287.5</v>
      </c>
      <c r="I746" s="1407"/>
      <c r="J746" s="1407"/>
      <c r="K746" s="1407"/>
      <c r="L746" s="1407"/>
      <c r="M746" s="1407"/>
      <c r="N746" s="1407"/>
      <c r="O746" s="1407"/>
      <c r="P746" s="1407"/>
      <c r="Q746" s="1407"/>
      <c r="R746" s="1407"/>
      <c r="S746" s="1407"/>
      <c r="T746" s="1407"/>
      <c r="U746" s="1407"/>
      <c r="V746" s="1407"/>
      <c r="W746" s="1190"/>
      <c r="Y746" s="1189"/>
      <c r="Z746" s="1492"/>
      <c r="AA746" s="1493"/>
    </row>
    <row r="747" spans="1:27" s="1489" customFormat="1" ht="15" customHeight="1">
      <c r="A747" s="1491"/>
      <c r="B747" s="1847" t="s">
        <v>2801</v>
      </c>
      <c r="C747" s="817"/>
      <c r="D747" s="817"/>
      <c r="E747" s="817"/>
      <c r="F747" s="817"/>
      <c r="G747" s="1783">
        <v>0.39379999999999998</v>
      </c>
      <c r="H747" s="1864">
        <v>287.5</v>
      </c>
      <c r="I747" s="1407"/>
      <c r="J747" s="1407"/>
      <c r="K747" s="1407"/>
      <c r="L747" s="1407"/>
      <c r="M747" s="1407"/>
      <c r="N747" s="1407"/>
      <c r="O747" s="1407"/>
      <c r="P747" s="1407"/>
      <c r="Q747" s="1407"/>
      <c r="R747" s="1407"/>
      <c r="S747" s="1407"/>
      <c r="T747" s="1407"/>
      <c r="U747" s="1407"/>
      <c r="V747" s="1407"/>
      <c r="W747" s="1190"/>
      <c r="Y747" s="1189"/>
      <c r="Z747" s="1492"/>
      <c r="AA747" s="1493"/>
    </row>
    <row r="748" spans="1:27" s="613" customFormat="1" ht="15" customHeight="1">
      <c r="A748" s="53"/>
      <c r="B748" s="1850" t="s">
        <v>2613</v>
      </c>
      <c r="C748" s="817"/>
      <c r="D748" s="817"/>
      <c r="E748" s="817"/>
      <c r="F748" s="817"/>
      <c r="G748" s="1783">
        <v>0.1638</v>
      </c>
      <c r="H748" s="1525">
        <v>119.6</v>
      </c>
      <c r="I748" s="41"/>
      <c r="J748" s="41"/>
      <c r="K748" s="41"/>
      <c r="L748" s="41"/>
      <c r="M748" s="41"/>
      <c r="N748" s="41"/>
      <c r="O748" s="41"/>
      <c r="P748" s="41"/>
      <c r="Q748" s="41"/>
      <c r="R748" s="41"/>
      <c r="S748" s="41"/>
      <c r="T748" s="1407"/>
      <c r="U748" s="41"/>
      <c r="V748" s="1188"/>
      <c r="W748" s="93"/>
      <c r="Y748" s="72"/>
      <c r="Z748" s="218"/>
      <c r="AA748" s="7"/>
    </row>
    <row r="749" spans="1:27" s="613" customFormat="1" ht="15" customHeight="1">
      <c r="A749" s="53"/>
      <c r="B749" s="1850" t="s">
        <v>2614</v>
      </c>
      <c r="C749" s="817"/>
      <c r="D749" s="817"/>
      <c r="E749" s="817"/>
      <c r="F749" s="817"/>
      <c r="G749" s="1783">
        <v>0.1638</v>
      </c>
      <c r="H749" s="1525">
        <v>119.6</v>
      </c>
      <c r="I749" s="41"/>
      <c r="J749" s="41"/>
      <c r="K749" s="41"/>
      <c r="L749" s="41"/>
      <c r="M749" s="41"/>
      <c r="N749" s="41"/>
      <c r="O749" s="41"/>
      <c r="P749" s="41"/>
      <c r="Q749" s="41"/>
      <c r="R749" s="41"/>
      <c r="S749" s="41"/>
      <c r="T749" s="1407"/>
      <c r="U749" s="41"/>
      <c r="V749" s="1188"/>
      <c r="W749" s="93"/>
      <c r="Y749" s="72"/>
      <c r="Z749" s="218"/>
      <c r="AA749" s="7"/>
    </row>
    <row r="750" spans="1:27" s="613" customFormat="1" ht="15" customHeight="1">
      <c r="A750" s="53"/>
      <c r="B750" s="817" t="s">
        <v>2615</v>
      </c>
      <c r="C750" s="817"/>
      <c r="D750" s="817"/>
      <c r="E750" s="817"/>
      <c r="F750" s="817"/>
      <c r="G750" s="1783">
        <v>0.32440000000000002</v>
      </c>
      <c r="H750" s="1525">
        <v>236.9</v>
      </c>
      <c r="I750" s="41"/>
      <c r="J750" s="41"/>
      <c r="K750" s="41"/>
      <c r="L750" s="41"/>
      <c r="M750" s="41"/>
      <c r="N750" s="41"/>
      <c r="O750" s="41"/>
      <c r="P750" s="41"/>
      <c r="Q750" s="41"/>
      <c r="R750" s="41"/>
      <c r="S750" s="41"/>
      <c r="T750" s="1407"/>
      <c r="U750" s="41"/>
      <c r="V750" s="1188"/>
      <c r="W750" s="93"/>
      <c r="Y750" s="72"/>
      <c r="Z750" s="218"/>
      <c r="AA750" s="7"/>
    </row>
    <row r="751" spans="1:27" s="613" customFormat="1" ht="15" customHeight="1">
      <c r="A751" s="53"/>
      <c r="B751" s="817" t="s">
        <v>2616</v>
      </c>
      <c r="C751" s="817"/>
      <c r="D751" s="817"/>
      <c r="E751" s="817"/>
      <c r="F751" s="817"/>
      <c r="G751" s="1783">
        <v>0.39379999999999998</v>
      </c>
      <c r="H751" s="1525">
        <v>287.5</v>
      </c>
      <c r="I751" s="41"/>
      <c r="J751" s="41"/>
      <c r="K751" s="41"/>
      <c r="L751" s="41"/>
      <c r="M751" s="41"/>
      <c r="N751" s="41"/>
      <c r="O751" s="41"/>
      <c r="P751" s="41"/>
      <c r="Q751" s="41"/>
      <c r="R751" s="41"/>
      <c r="S751" s="41"/>
      <c r="T751" s="1407"/>
      <c r="U751" s="41"/>
      <c r="V751" s="1188"/>
      <c r="W751" s="93"/>
      <c r="Y751" s="72"/>
      <c r="Z751" s="218"/>
      <c r="AA751" s="7"/>
    </row>
    <row r="752" spans="1:27" s="613" customFormat="1" ht="15" customHeight="1">
      <c r="A752" s="53"/>
      <c r="B752" s="817" t="s">
        <v>2617</v>
      </c>
      <c r="C752" s="817"/>
      <c r="D752" s="817"/>
      <c r="E752" s="817"/>
      <c r="F752" s="817"/>
      <c r="G752" s="1783">
        <v>0.39379999999999998</v>
      </c>
      <c r="H752" s="1525">
        <v>287.5</v>
      </c>
      <c r="I752" s="41"/>
      <c r="J752" s="41"/>
      <c r="K752" s="41"/>
      <c r="L752" s="41"/>
      <c r="M752" s="41"/>
      <c r="N752" s="41"/>
      <c r="O752" s="41"/>
      <c r="P752" s="41"/>
      <c r="Q752" s="41"/>
      <c r="R752" s="41"/>
      <c r="S752" s="41"/>
      <c r="T752" s="1407"/>
      <c r="U752" s="41"/>
      <c r="V752" s="1188"/>
      <c r="W752" s="93"/>
      <c r="Y752" s="72"/>
      <c r="Z752" s="218"/>
      <c r="AA752" s="7"/>
    </row>
    <row r="753" spans="1:27" s="613" customFormat="1" ht="15" customHeight="1">
      <c r="A753" s="53"/>
      <c r="B753" s="817" t="s">
        <v>2618</v>
      </c>
      <c r="C753" s="817"/>
      <c r="D753" s="817"/>
      <c r="E753" s="817"/>
      <c r="F753" s="817"/>
      <c r="G753" s="1783">
        <v>0.39379999999999998</v>
      </c>
      <c r="H753" s="1525">
        <v>287.5</v>
      </c>
      <c r="I753" s="41"/>
      <c r="J753" s="41"/>
      <c r="K753" s="41"/>
      <c r="L753" s="41"/>
      <c r="M753" s="41"/>
      <c r="N753" s="41"/>
      <c r="O753" s="41"/>
      <c r="P753" s="41"/>
      <c r="Q753" s="41"/>
      <c r="R753" s="41"/>
      <c r="S753" s="41"/>
      <c r="T753" s="1407"/>
      <c r="U753" s="41"/>
      <c r="V753" s="1188"/>
      <c r="W753" s="93"/>
      <c r="Y753" s="72"/>
      <c r="Z753" s="218"/>
      <c r="AA753" s="7"/>
    </row>
    <row r="754" spans="1:27" s="613" customFormat="1" ht="15" customHeight="1">
      <c r="A754" s="53"/>
      <c r="B754" s="817" t="s">
        <v>2623</v>
      </c>
      <c r="C754" s="817"/>
      <c r="D754" s="817"/>
      <c r="E754" s="817"/>
      <c r="F754" s="817"/>
      <c r="G754" s="1783">
        <v>0.1638</v>
      </c>
      <c r="H754" s="1525">
        <v>119.6</v>
      </c>
      <c r="I754" s="41"/>
      <c r="J754" s="41"/>
      <c r="K754" s="41"/>
      <c r="L754" s="41"/>
      <c r="M754" s="41"/>
      <c r="N754" s="41"/>
      <c r="O754" s="41"/>
      <c r="P754" s="41"/>
      <c r="Q754" s="41"/>
      <c r="R754" s="41"/>
      <c r="S754" s="41"/>
      <c r="T754" s="1407"/>
      <c r="U754" s="41"/>
      <c r="V754" s="1188"/>
      <c r="W754" s="93"/>
      <c r="Y754" s="72"/>
      <c r="Z754" s="218"/>
      <c r="AA754" s="7"/>
    </row>
    <row r="755" spans="1:27" s="613" customFormat="1" ht="15" customHeight="1">
      <c r="A755" s="53"/>
      <c r="B755" s="817" t="s">
        <v>2624</v>
      </c>
      <c r="C755" s="817"/>
      <c r="D755" s="817"/>
      <c r="E755" s="817"/>
      <c r="F755" s="817"/>
      <c r="G755" s="1783">
        <v>0.32440000000000002</v>
      </c>
      <c r="H755" s="1525">
        <v>236.9</v>
      </c>
      <c r="I755" s="41"/>
      <c r="J755" s="41"/>
      <c r="K755" s="41"/>
      <c r="L755" s="41"/>
      <c r="M755" s="41"/>
      <c r="N755" s="41"/>
      <c r="O755" s="41"/>
      <c r="P755" s="41"/>
      <c r="Q755" s="41"/>
      <c r="R755" s="41"/>
      <c r="S755" s="41"/>
      <c r="T755" s="1407"/>
      <c r="U755" s="41"/>
      <c r="V755" s="1188"/>
      <c r="W755" s="93"/>
      <c r="Y755" s="72"/>
      <c r="Z755" s="218"/>
      <c r="AA755" s="7"/>
    </row>
    <row r="756" spans="1:27" s="613" customFormat="1" ht="15" customHeight="1">
      <c r="A756" s="53"/>
      <c r="B756" s="817" t="s">
        <v>2625</v>
      </c>
      <c r="C756" s="817"/>
      <c r="D756" s="817"/>
      <c r="E756" s="817"/>
      <c r="F756" s="817"/>
      <c r="G756" s="1783">
        <v>0.39379999999999998</v>
      </c>
      <c r="H756" s="1525">
        <v>287.5</v>
      </c>
      <c r="I756" s="41"/>
      <c r="J756" s="41"/>
      <c r="K756" s="41"/>
      <c r="L756" s="41"/>
      <c r="M756" s="41"/>
      <c r="N756" s="41"/>
      <c r="O756" s="41"/>
      <c r="P756" s="41"/>
      <c r="Q756" s="41"/>
      <c r="R756" s="41"/>
      <c r="S756" s="41"/>
      <c r="T756" s="1407"/>
      <c r="U756" s="41"/>
      <c r="V756" s="1188"/>
      <c r="W756" s="93"/>
      <c r="Y756" s="72"/>
      <c r="Z756" s="218"/>
      <c r="AA756" s="7"/>
    </row>
    <row r="757" spans="1:27" s="613" customFormat="1" ht="15" customHeight="1">
      <c r="A757" s="53"/>
      <c r="B757" s="817" t="s">
        <v>2619</v>
      </c>
      <c r="C757" s="817"/>
      <c r="D757" s="817"/>
      <c r="E757" s="817"/>
      <c r="F757" s="817"/>
      <c r="G757" s="1783">
        <v>0.1638</v>
      </c>
      <c r="H757" s="1525">
        <v>119.6</v>
      </c>
      <c r="I757" s="41"/>
      <c r="J757" s="41"/>
      <c r="K757" s="41"/>
      <c r="L757" s="41"/>
      <c r="M757" s="41"/>
      <c r="N757" s="41"/>
      <c r="O757" s="41"/>
      <c r="P757" s="41"/>
      <c r="Q757" s="41"/>
      <c r="R757" s="41"/>
      <c r="S757" s="41"/>
      <c r="T757" s="1407"/>
      <c r="U757" s="41"/>
      <c r="V757" s="1188"/>
      <c r="W757" s="93"/>
      <c r="Y757" s="72"/>
      <c r="Z757" s="218"/>
      <c r="AA757" s="7"/>
    </row>
    <row r="758" spans="1:27" s="613" customFormat="1" ht="15" customHeight="1">
      <c r="A758" s="53"/>
      <c r="B758" s="817" t="s">
        <v>2620</v>
      </c>
      <c r="C758" s="817"/>
      <c r="D758" s="817"/>
      <c r="E758" s="817"/>
      <c r="F758" s="817"/>
      <c r="G758" s="1783">
        <v>0.32440000000000002</v>
      </c>
      <c r="H758" s="1525">
        <v>236.9</v>
      </c>
      <c r="I758" s="41"/>
      <c r="J758" s="41"/>
      <c r="K758" s="41"/>
      <c r="L758" s="41"/>
      <c r="M758" s="41"/>
      <c r="N758" s="41"/>
      <c r="O758" s="41"/>
      <c r="P758" s="41"/>
      <c r="Q758" s="41"/>
      <c r="R758" s="41"/>
      <c r="S758" s="41"/>
      <c r="T758" s="1407"/>
      <c r="U758" s="41"/>
      <c r="V758" s="1188"/>
      <c r="W758" s="93"/>
      <c r="Y758" s="72"/>
      <c r="Z758" s="218"/>
      <c r="AA758" s="7"/>
    </row>
    <row r="759" spans="1:27" s="613" customFormat="1" ht="15" customHeight="1">
      <c r="A759" s="53"/>
      <c r="B759" s="817" t="s">
        <v>2621</v>
      </c>
      <c r="C759" s="817"/>
      <c r="D759" s="817"/>
      <c r="E759" s="817"/>
      <c r="F759" s="817"/>
      <c r="G759" s="1783">
        <v>0.39379999999999998</v>
      </c>
      <c r="H759" s="1525">
        <v>287.5</v>
      </c>
      <c r="I759" s="41"/>
      <c r="J759" s="41"/>
      <c r="K759" s="41"/>
      <c r="L759" s="41"/>
      <c r="M759" s="41"/>
      <c r="N759" s="41"/>
      <c r="O759" s="41"/>
      <c r="P759" s="41"/>
      <c r="Q759" s="41"/>
      <c r="R759" s="41"/>
      <c r="S759" s="41"/>
      <c r="T759" s="1407"/>
      <c r="U759" s="41"/>
      <c r="V759" s="1188"/>
      <c r="W759" s="93"/>
      <c r="Y759" s="72"/>
      <c r="Z759" s="218"/>
      <c r="AA759" s="7"/>
    </row>
    <row r="760" spans="1:27" s="613" customFormat="1" ht="15" customHeight="1">
      <c r="A760" s="53"/>
      <c r="B760" s="817" t="s">
        <v>2622</v>
      </c>
      <c r="C760" s="817"/>
      <c r="D760" s="817"/>
      <c r="E760" s="817"/>
      <c r="F760" s="817"/>
      <c r="G760" s="1783">
        <v>0.39379999999999998</v>
      </c>
      <c r="H760" s="1525">
        <v>287.5</v>
      </c>
      <c r="I760" s="41"/>
      <c r="J760" s="41"/>
      <c r="K760" s="41"/>
      <c r="L760" s="41"/>
      <c r="M760" s="41"/>
      <c r="N760" s="41"/>
      <c r="O760" s="41"/>
      <c r="P760" s="41"/>
      <c r="Q760" s="41"/>
      <c r="R760" s="41"/>
      <c r="S760" s="41"/>
      <c r="T760" s="1407"/>
      <c r="U760" s="41"/>
      <c r="V760" s="1188"/>
      <c r="W760" s="93"/>
      <c r="Y760" s="72"/>
      <c r="Z760" s="218"/>
      <c r="AA760" s="7"/>
    </row>
    <row r="761" spans="1:27" s="613" customFormat="1" ht="15" customHeight="1">
      <c r="A761" s="53"/>
      <c r="B761" s="817" t="s">
        <v>2369</v>
      </c>
      <c r="C761" s="817"/>
      <c r="D761" s="817"/>
      <c r="E761" s="817"/>
      <c r="F761" s="817"/>
      <c r="G761" s="1783">
        <v>0.39379999999999998</v>
      </c>
      <c r="H761" s="1525">
        <v>287.5</v>
      </c>
      <c r="I761" s="41"/>
      <c r="J761" s="41"/>
      <c r="K761" s="41"/>
      <c r="L761" s="41"/>
      <c r="M761" s="41"/>
      <c r="N761" s="41"/>
      <c r="O761" s="41"/>
      <c r="P761" s="41"/>
      <c r="Q761" s="41"/>
      <c r="R761" s="41"/>
      <c r="S761" s="41"/>
      <c r="T761" s="1407"/>
      <c r="U761" s="41"/>
      <c r="V761" s="1188"/>
      <c r="W761" s="93"/>
      <c r="Y761" s="72"/>
      <c r="Z761" s="218"/>
      <c r="AA761" s="7"/>
    </row>
    <row r="762" spans="1:27" s="613" customFormat="1" ht="15" customHeight="1">
      <c r="A762" s="53"/>
      <c r="B762" s="817" t="s">
        <v>2370</v>
      </c>
      <c r="C762" s="817"/>
      <c r="D762" s="817"/>
      <c r="E762" s="817"/>
      <c r="F762" s="817"/>
      <c r="G762" s="1783">
        <v>0.39379999999999998</v>
      </c>
      <c r="H762" s="1525">
        <v>287.5</v>
      </c>
      <c r="I762" s="41"/>
      <c r="J762" s="41"/>
      <c r="K762" s="41"/>
      <c r="L762" s="41"/>
      <c r="M762" s="41"/>
      <c r="N762" s="41"/>
      <c r="O762" s="41"/>
      <c r="P762" s="41"/>
      <c r="Q762" s="41"/>
      <c r="R762" s="41"/>
      <c r="S762" s="41"/>
      <c r="T762" s="1407"/>
      <c r="U762" s="41"/>
      <c r="V762" s="1188"/>
      <c r="W762" s="93"/>
      <c r="Y762" s="72"/>
      <c r="Z762" s="218"/>
      <c r="AA762" s="7"/>
    </row>
    <row r="763" spans="1:27" s="613" customFormat="1" ht="15" customHeight="1">
      <c r="A763" s="53"/>
      <c r="B763" s="817" t="s">
        <v>2371</v>
      </c>
      <c r="C763" s="817"/>
      <c r="D763" s="817"/>
      <c r="E763" s="817"/>
      <c r="F763" s="817"/>
      <c r="G763" s="1783">
        <v>0.39379999999999998</v>
      </c>
      <c r="H763" s="1525">
        <v>287.5</v>
      </c>
      <c r="I763" s="41"/>
      <c r="J763" s="41"/>
      <c r="K763" s="41"/>
      <c r="L763" s="41"/>
      <c r="M763" s="41"/>
      <c r="N763" s="41"/>
      <c r="O763" s="41"/>
      <c r="P763" s="41"/>
      <c r="Q763" s="41"/>
      <c r="R763" s="41"/>
      <c r="S763" s="41"/>
      <c r="T763" s="1407"/>
      <c r="U763" s="41"/>
      <c r="V763" s="1188"/>
      <c r="W763" s="93"/>
      <c r="Y763" s="72"/>
      <c r="Z763" s="218"/>
      <c r="AA763" s="7"/>
    </row>
    <row r="764" spans="1:27" s="613" customFormat="1" ht="15" customHeight="1">
      <c r="A764" s="53"/>
      <c r="B764" s="817" t="s">
        <v>2372</v>
      </c>
      <c r="C764" s="817"/>
      <c r="D764" s="817"/>
      <c r="E764" s="817"/>
      <c r="F764" s="817"/>
      <c r="G764" s="1783">
        <v>0.39379999999999998</v>
      </c>
      <c r="H764" s="1525">
        <v>287.5</v>
      </c>
      <c r="I764" s="41"/>
      <c r="J764" s="41"/>
      <c r="K764" s="41"/>
      <c r="L764" s="41"/>
      <c r="M764" s="41"/>
      <c r="N764" s="41"/>
      <c r="O764" s="41"/>
      <c r="P764" s="41"/>
      <c r="Q764" s="41"/>
      <c r="R764" s="41"/>
      <c r="S764" s="41"/>
      <c r="T764" s="1407"/>
      <c r="U764" s="41"/>
      <c r="V764" s="1188"/>
      <c r="W764" s="93"/>
      <c r="Y764" s="72"/>
      <c r="Z764" s="218"/>
      <c r="AA764" s="7"/>
    </row>
    <row r="765" spans="1:27" s="613" customFormat="1" ht="15" customHeight="1">
      <c r="A765" s="53"/>
      <c r="B765" s="817" t="s">
        <v>2373</v>
      </c>
      <c r="C765" s="817"/>
      <c r="D765" s="817"/>
      <c r="E765" s="817"/>
      <c r="F765" s="817"/>
      <c r="G765" s="1783">
        <v>0.32440000000000002</v>
      </c>
      <c r="H765" s="1525">
        <v>236.9</v>
      </c>
      <c r="I765" s="41"/>
      <c r="J765" s="41"/>
      <c r="K765" s="41"/>
      <c r="L765" s="41"/>
      <c r="M765" s="41"/>
      <c r="N765" s="41"/>
      <c r="O765" s="41"/>
      <c r="P765" s="41"/>
      <c r="Q765" s="41"/>
      <c r="R765" s="41"/>
      <c r="S765" s="41"/>
      <c r="T765" s="1407"/>
      <c r="U765" s="41"/>
      <c r="V765" s="1188"/>
      <c r="W765" s="93"/>
      <c r="Y765" s="72"/>
      <c r="Z765" s="218"/>
      <c r="AA765" s="7"/>
    </row>
    <row r="766" spans="1:27" s="613" customFormat="1" ht="15" customHeight="1">
      <c r="A766" s="53"/>
      <c r="B766" s="817" t="s">
        <v>2374</v>
      </c>
      <c r="C766" s="817"/>
      <c r="D766" s="817"/>
      <c r="E766" s="817"/>
      <c r="F766" s="817"/>
      <c r="G766" s="1783">
        <v>0.39379999999999998</v>
      </c>
      <c r="H766" s="1525">
        <v>287.5</v>
      </c>
      <c r="I766" s="41"/>
      <c r="J766" s="41"/>
      <c r="K766" s="41"/>
      <c r="L766" s="41"/>
      <c r="M766" s="41"/>
      <c r="N766" s="41"/>
      <c r="O766" s="41"/>
      <c r="P766" s="41"/>
      <c r="Q766" s="41"/>
      <c r="R766" s="41"/>
      <c r="S766" s="41"/>
      <c r="T766" s="1407"/>
      <c r="U766" s="41"/>
      <c r="V766" s="1188"/>
      <c r="W766" s="93"/>
      <c r="Y766" s="72"/>
      <c r="Z766" s="218"/>
      <c r="AA766" s="7"/>
    </row>
    <row r="767" spans="1:27" s="613" customFormat="1" ht="15" customHeight="1">
      <c r="A767" s="53"/>
      <c r="B767" s="817" t="s">
        <v>2397</v>
      </c>
      <c r="C767" s="817"/>
      <c r="D767" s="817"/>
      <c r="E767" s="817"/>
      <c r="F767" s="817"/>
      <c r="G767" s="1783">
        <v>0.39379999999999998</v>
      </c>
      <c r="H767" s="1525">
        <v>287.5</v>
      </c>
      <c r="I767" s="41"/>
      <c r="J767" s="41"/>
      <c r="K767" s="41"/>
      <c r="L767" s="41"/>
      <c r="M767" s="41"/>
      <c r="N767" s="41"/>
      <c r="O767" s="41"/>
      <c r="P767" s="41"/>
      <c r="Q767" s="41"/>
      <c r="R767" s="41"/>
      <c r="S767" s="41"/>
      <c r="T767" s="1407"/>
      <c r="U767" s="41"/>
      <c r="V767" s="1188"/>
      <c r="W767" s="93"/>
      <c r="Y767" s="72"/>
      <c r="Z767" s="218"/>
      <c r="AA767" s="7"/>
    </row>
    <row r="768" spans="1:27" s="613" customFormat="1" ht="15" customHeight="1">
      <c r="A768" s="53"/>
      <c r="B768" s="817" t="s">
        <v>2659</v>
      </c>
      <c r="C768" s="817"/>
      <c r="D768" s="817"/>
      <c r="E768" s="817"/>
      <c r="F768" s="817"/>
      <c r="G768" s="1783">
        <v>0.39379999999999998</v>
      </c>
      <c r="H768" s="1525">
        <v>287.5</v>
      </c>
      <c r="I768" s="41"/>
      <c r="J768" s="41"/>
      <c r="K768" s="41"/>
      <c r="L768" s="41"/>
      <c r="M768" s="41"/>
      <c r="N768" s="41"/>
      <c r="O768" s="41"/>
      <c r="P768" s="41"/>
      <c r="Q768" s="41"/>
      <c r="R768" s="41"/>
      <c r="S768" s="41"/>
      <c r="T768" s="1407"/>
      <c r="U768" s="41"/>
      <c r="V768" s="1188"/>
      <c r="W768" s="93"/>
      <c r="Y768" s="72"/>
      <c r="Z768" s="218"/>
      <c r="AA768" s="7"/>
    </row>
    <row r="769" spans="1:27" s="593" customFormat="1" ht="15" customHeight="1">
      <c r="A769" s="679"/>
      <c r="B769" s="817" t="s">
        <v>2398</v>
      </c>
      <c r="C769" s="817"/>
      <c r="D769" s="817"/>
      <c r="E769" s="817"/>
      <c r="F769" s="817"/>
      <c r="G769" s="1783">
        <v>0.39379999999999998</v>
      </c>
      <c r="H769" s="1525">
        <v>287.5</v>
      </c>
      <c r="I769" s="549"/>
      <c r="J769" s="549"/>
      <c r="K769" s="549"/>
      <c r="L769" s="549"/>
      <c r="M769" s="549"/>
      <c r="N769" s="549"/>
      <c r="O769" s="549"/>
      <c r="P769" s="549"/>
      <c r="Q769" s="549"/>
      <c r="R769" s="549"/>
      <c r="S769" s="549"/>
      <c r="T769" s="549"/>
      <c r="U769" s="549"/>
      <c r="V769" s="549"/>
      <c r="W769" s="699"/>
      <c r="Y769" s="770"/>
      <c r="Z769" s="730"/>
      <c r="AA769" s="678"/>
    </row>
    <row r="770" spans="1:27" s="613" customFormat="1" ht="15" customHeight="1">
      <c r="A770" s="53"/>
      <c r="B770" s="817" t="s">
        <v>2660</v>
      </c>
      <c r="C770" s="817"/>
      <c r="D770" s="817"/>
      <c r="E770" s="817"/>
      <c r="F770" s="817"/>
      <c r="G770" s="1783">
        <v>0.39379999999999998</v>
      </c>
      <c r="H770" s="1525">
        <v>287.5</v>
      </c>
      <c r="I770" s="41"/>
      <c r="J770" s="41"/>
      <c r="K770" s="41"/>
      <c r="L770" s="41"/>
      <c r="M770" s="41"/>
      <c r="N770" s="41"/>
      <c r="O770" s="41"/>
      <c r="P770" s="41"/>
      <c r="Q770" s="41"/>
      <c r="R770" s="41"/>
      <c r="S770" s="41"/>
      <c r="T770" s="1407"/>
      <c r="U770" s="41"/>
      <c r="V770" s="1188"/>
      <c r="W770" s="93"/>
      <c r="Y770" s="72"/>
      <c r="Z770" s="218"/>
      <c r="AA770" s="7"/>
    </row>
    <row r="771" spans="1:27" s="613" customFormat="1" ht="15" customHeight="1">
      <c r="A771" s="53"/>
      <c r="B771" s="1850" t="s">
        <v>2639</v>
      </c>
      <c r="C771" s="817"/>
      <c r="D771" s="817"/>
      <c r="E771" s="817"/>
      <c r="F771" s="817"/>
      <c r="G771" s="1783">
        <v>0.1638</v>
      </c>
      <c r="H771" s="1525">
        <v>119.6</v>
      </c>
      <c r="I771" s="41"/>
      <c r="J771" s="41"/>
      <c r="K771" s="41"/>
      <c r="L771" s="41"/>
      <c r="M771" s="41"/>
      <c r="N771" s="41"/>
      <c r="O771" s="41"/>
      <c r="P771" s="41"/>
      <c r="Q771" s="41"/>
      <c r="R771" s="41"/>
      <c r="S771" s="41"/>
      <c r="T771" s="1407"/>
      <c r="U771" s="41"/>
      <c r="V771" s="1188"/>
      <c r="W771" s="93"/>
      <c r="Y771" s="72"/>
      <c r="Z771" s="218"/>
      <c r="AA771" s="7"/>
    </row>
    <row r="772" spans="1:27" s="613" customFormat="1" ht="15" customHeight="1">
      <c r="A772" s="53"/>
      <c r="B772" s="1850" t="s">
        <v>2375</v>
      </c>
      <c r="C772" s="817"/>
      <c r="D772" s="817"/>
      <c r="E772" s="817"/>
      <c r="F772" s="817"/>
      <c r="G772" s="1783">
        <v>0.32440000000000002</v>
      </c>
      <c r="H772" s="1525">
        <v>236.9</v>
      </c>
      <c r="I772" s="41"/>
      <c r="J772" s="41"/>
      <c r="K772" s="41"/>
      <c r="L772" s="41"/>
      <c r="M772" s="41"/>
      <c r="N772" s="41"/>
      <c r="O772" s="41"/>
      <c r="P772" s="41"/>
      <c r="Q772" s="41"/>
      <c r="R772" s="41"/>
      <c r="S772" s="41"/>
      <c r="T772" s="1407"/>
      <c r="U772" s="41"/>
      <c r="V772" s="1188"/>
      <c r="W772" s="93"/>
      <c r="Y772" s="72"/>
      <c r="Z772" s="218"/>
      <c r="AA772" s="7"/>
    </row>
    <row r="773" spans="1:27" s="613" customFormat="1" ht="15" customHeight="1">
      <c r="A773" s="53"/>
      <c r="B773" s="817" t="s">
        <v>2376</v>
      </c>
      <c r="C773" s="817"/>
      <c r="D773" s="817"/>
      <c r="E773" s="817"/>
      <c r="F773" s="817"/>
      <c r="G773" s="1783">
        <v>0.39379999999999998</v>
      </c>
      <c r="H773" s="1525">
        <v>287.5</v>
      </c>
      <c r="I773" s="41"/>
      <c r="J773" s="41"/>
      <c r="K773" s="41"/>
      <c r="L773" s="41"/>
      <c r="M773" s="41"/>
      <c r="N773" s="41"/>
      <c r="O773" s="41"/>
      <c r="P773" s="41"/>
      <c r="Q773" s="41"/>
      <c r="R773" s="41"/>
      <c r="S773" s="41"/>
      <c r="T773" s="1407"/>
      <c r="U773" s="41"/>
      <c r="V773" s="1188"/>
      <c r="W773" s="93"/>
      <c r="Y773" s="72"/>
      <c r="Z773" s="218"/>
      <c r="AA773" s="7"/>
    </row>
    <row r="774" spans="1:27" s="613" customFormat="1" ht="15" customHeight="1">
      <c r="A774" s="53"/>
      <c r="B774" s="1850" t="s">
        <v>2377</v>
      </c>
      <c r="C774" s="817"/>
      <c r="D774" s="817"/>
      <c r="E774" s="817"/>
      <c r="F774" s="817"/>
      <c r="G774" s="1783">
        <v>0.39379999999999998</v>
      </c>
      <c r="H774" s="1525">
        <v>287.5</v>
      </c>
      <c r="I774" s="41"/>
      <c r="J774" s="41"/>
      <c r="K774" s="41"/>
      <c r="L774" s="41"/>
      <c r="M774" s="41"/>
      <c r="N774" s="41"/>
      <c r="O774" s="41"/>
      <c r="P774" s="41"/>
      <c r="Q774" s="41"/>
      <c r="R774" s="41"/>
      <c r="S774" s="41"/>
      <c r="T774" s="1407"/>
      <c r="U774" s="41"/>
      <c r="V774" s="1188"/>
      <c r="W774" s="93"/>
      <c r="Y774" s="72"/>
      <c r="Z774" s="218"/>
      <c r="AA774" s="7"/>
    </row>
    <row r="775" spans="1:27" s="613" customFormat="1" ht="15" customHeight="1">
      <c r="A775" s="53"/>
      <c r="B775" s="1850" t="s">
        <v>2378</v>
      </c>
      <c r="C775" s="817"/>
      <c r="D775" s="817"/>
      <c r="E775" s="817"/>
      <c r="F775" s="817"/>
      <c r="G775" s="1783">
        <v>0.39379999999999998</v>
      </c>
      <c r="H775" s="1525">
        <v>287.5</v>
      </c>
      <c r="I775" s="41"/>
      <c r="J775" s="41"/>
      <c r="K775" s="41"/>
      <c r="L775" s="41"/>
      <c r="M775" s="41"/>
      <c r="N775" s="41"/>
      <c r="O775" s="41"/>
      <c r="P775" s="41"/>
      <c r="Q775" s="41"/>
      <c r="R775" s="41"/>
      <c r="S775" s="41"/>
      <c r="T775" s="1407"/>
      <c r="U775" s="41"/>
      <c r="V775" s="1188"/>
      <c r="W775" s="93"/>
      <c r="Y775" s="72"/>
      <c r="Z775" s="218"/>
      <c r="AA775" s="7"/>
    </row>
    <row r="776" spans="1:27" s="613" customFormat="1" ht="15" customHeight="1">
      <c r="A776" s="53"/>
      <c r="B776" s="1850" t="s">
        <v>2710</v>
      </c>
      <c r="C776" s="817"/>
      <c r="D776" s="817"/>
      <c r="E776" s="817"/>
      <c r="F776" s="817"/>
      <c r="G776" s="1783">
        <v>0.39379999999999998</v>
      </c>
      <c r="H776" s="1525">
        <v>287.5</v>
      </c>
      <c r="I776" s="41"/>
      <c r="J776" s="41"/>
      <c r="K776" s="41"/>
      <c r="L776" s="41"/>
      <c r="M776" s="41"/>
      <c r="N776" s="41"/>
      <c r="O776" s="41"/>
      <c r="P776" s="41"/>
      <c r="Q776" s="41"/>
      <c r="R776" s="41"/>
      <c r="S776" s="41"/>
      <c r="T776" s="1407"/>
      <c r="U776" s="41"/>
      <c r="V776" s="1188"/>
      <c r="W776" s="93"/>
      <c r="Y776" s="72"/>
      <c r="Z776" s="218"/>
      <c r="AA776" s="7"/>
    </row>
    <row r="777" spans="1:27" s="613" customFormat="1" ht="15" customHeight="1">
      <c r="A777" s="53"/>
      <c r="B777" s="1850" t="s">
        <v>2641</v>
      </c>
      <c r="C777" s="817"/>
      <c r="D777" s="817"/>
      <c r="E777" s="817"/>
      <c r="F777" s="817"/>
      <c r="G777" s="1783">
        <v>0.39379999999999998</v>
      </c>
      <c r="H777" s="1525">
        <v>287.5</v>
      </c>
      <c r="I777" s="41"/>
      <c r="J777" s="41"/>
      <c r="K777" s="41"/>
      <c r="L777" s="41"/>
      <c r="M777" s="41"/>
      <c r="N777" s="41"/>
      <c r="O777" s="41"/>
      <c r="P777" s="41"/>
      <c r="Q777" s="41"/>
      <c r="R777" s="41"/>
      <c r="S777" s="41"/>
      <c r="T777" s="1407"/>
      <c r="U777" s="41"/>
      <c r="V777" s="1188"/>
      <c r="W777" s="93"/>
      <c r="Y777" s="72"/>
      <c r="Z777" s="218"/>
      <c r="AA777" s="7"/>
    </row>
    <row r="778" spans="1:27" s="613" customFormat="1" ht="15" customHeight="1">
      <c r="A778" s="53"/>
      <c r="B778" s="1850" t="s">
        <v>2635</v>
      </c>
      <c r="C778" s="817"/>
      <c r="D778" s="817"/>
      <c r="E778" s="817"/>
      <c r="F778" s="817"/>
      <c r="G778" s="1783">
        <v>0.1638</v>
      </c>
      <c r="H778" s="1525">
        <v>119.6</v>
      </c>
      <c r="I778" s="41"/>
      <c r="J778" s="41"/>
      <c r="K778" s="41"/>
      <c r="L778" s="41"/>
      <c r="M778" s="41"/>
      <c r="N778" s="41"/>
      <c r="O778" s="41"/>
      <c r="P778" s="41"/>
      <c r="Q778" s="41"/>
      <c r="R778" s="41"/>
      <c r="S778" s="41"/>
      <c r="T778" s="1407"/>
      <c r="U778" s="41"/>
      <c r="V778" s="1188"/>
      <c r="W778" s="93"/>
      <c r="Y778" s="72"/>
      <c r="Z778" s="218"/>
      <c r="AA778" s="7"/>
    </row>
    <row r="779" spans="1:27" s="613" customFormat="1" ht="15" customHeight="1">
      <c r="A779" s="53"/>
      <c r="B779" s="1850" t="s">
        <v>2636</v>
      </c>
      <c r="C779" s="817"/>
      <c r="D779" s="817"/>
      <c r="E779" s="817"/>
      <c r="F779" s="817"/>
      <c r="G779" s="1783">
        <v>0.32440000000000002</v>
      </c>
      <c r="H779" s="1525">
        <v>236.9</v>
      </c>
      <c r="I779" s="41"/>
      <c r="J779" s="41"/>
      <c r="K779" s="41"/>
      <c r="L779" s="41"/>
      <c r="M779" s="41"/>
      <c r="N779" s="41"/>
      <c r="O779" s="41"/>
      <c r="P779" s="41"/>
      <c r="Q779" s="41"/>
      <c r="R779" s="41"/>
      <c r="S779" s="41"/>
      <c r="T779" s="1407"/>
      <c r="U779" s="41"/>
      <c r="V779" s="1188"/>
      <c r="W779" s="93"/>
      <c r="Y779" s="72"/>
      <c r="Z779" s="218"/>
      <c r="AA779" s="7"/>
    </row>
    <row r="780" spans="1:27" s="613" customFormat="1" ht="15" customHeight="1">
      <c r="A780" s="53"/>
      <c r="B780" s="1850" t="s">
        <v>2409</v>
      </c>
      <c r="C780" s="817"/>
      <c r="D780" s="817"/>
      <c r="E780" s="817"/>
      <c r="F780" s="817"/>
      <c r="G780" s="1783">
        <v>0.39379999999999998</v>
      </c>
      <c r="H780" s="1525">
        <v>287.5</v>
      </c>
      <c r="I780" s="41"/>
      <c r="J780" s="41"/>
      <c r="K780" s="41"/>
      <c r="L780" s="41"/>
      <c r="M780" s="41"/>
      <c r="N780" s="41"/>
      <c r="O780" s="41"/>
      <c r="P780" s="41"/>
      <c r="Q780" s="41"/>
      <c r="R780" s="41"/>
      <c r="S780" s="41"/>
      <c r="T780" s="1407"/>
      <c r="U780" s="41"/>
      <c r="V780" s="1188"/>
      <c r="W780" s="93"/>
      <c r="Y780" s="72"/>
      <c r="Z780" s="218"/>
      <c r="AA780" s="7"/>
    </row>
    <row r="781" spans="1:27" s="613" customFormat="1" ht="15" customHeight="1">
      <c r="A781" s="53"/>
      <c r="B781" s="1850" t="s">
        <v>2387</v>
      </c>
      <c r="C781" s="817"/>
      <c r="D781" s="817"/>
      <c r="E781" s="817"/>
      <c r="F781" s="817"/>
      <c r="G781" s="1783">
        <v>0.39379999999999998</v>
      </c>
      <c r="H781" s="1525">
        <v>287.5</v>
      </c>
      <c r="I781" s="41"/>
      <c r="J781" s="41"/>
      <c r="K781" s="41"/>
      <c r="L781" s="41"/>
      <c r="M781" s="41"/>
      <c r="N781" s="41"/>
      <c r="O781" s="41"/>
      <c r="P781" s="41"/>
      <c r="Q781" s="41"/>
      <c r="R781" s="41"/>
      <c r="S781" s="41"/>
      <c r="T781" s="1407"/>
      <c r="U781" s="41"/>
      <c r="V781" s="1188"/>
      <c r="W781" s="93"/>
      <c r="Y781" s="72"/>
      <c r="Z781" s="218"/>
      <c r="AA781" s="7"/>
    </row>
    <row r="782" spans="1:27" s="613" customFormat="1" ht="15" customHeight="1">
      <c r="A782" s="53"/>
      <c r="B782" s="1850" t="s">
        <v>2637</v>
      </c>
      <c r="C782" s="817"/>
      <c r="D782" s="817"/>
      <c r="E782" s="817"/>
      <c r="F782" s="817"/>
      <c r="G782" s="1783">
        <v>0.39379999999999998</v>
      </c>
      <c r="H782" s="1525">
        <v>287.5</v>
      </c>
      <c r="I782" s="41"/>
      <c r="J782" s="41"/>
      <c r="K782" s="41"/>
      <c r="L782" s="41"/>
      <c r="M782" s="41"/>
      <c r="N782" s="41"/>
      <c r="O782" s="41"/>
      <c r="P782" s="41"/>
      <c r="Q782" s="41"/>
      <c r="R782" s="41"/>
      <c r="S782" s="41"/>
      <c r="T782" s="1407"/>
      <c r="U782" s="41"/>
      <c r="V782" s="1188"/>
      <c r="W782" s="93"/>
      <c r="Y782" s="72"/>
      <c r="Z782" s="218"/>
      <c r="AA782" s="7"/>
    </row>
    <row r="783" spans="1:27" s="613" customFormat="1" ht="15" customHeight="1">
      <c r="A783" s="53"/>
      <c r="B783" s="1850" t="s">
        <v>2638</v>
      </c>
      <c r="C783" s="817"/>
      <c r="D783" s="817"/>
      <c r="E783" s="817"/>
      <c r="F783" s="817"/>
      <c r="G783" s="1783">
        <v>0.39379999999999998</v>
      </c>
      <c r="H783" s="1525">
        <v>287.5</v>
      </c>
      <c r="I783" s="41"/>
      <c r="J783" s="41"/>
      <c r="K783" s="41"/>
      <c r="L783" s="41"/>
      <c r="M783" s="41"/>
      <c r="N783" s="41"/>
      <c r="O783" s="41"/>
      <c r="P783" s="41"/>
      <c r="Q783" s="41"/>
      <c r="R783" s="41"/>
      <c r="S783" s="41"/>
      <c r="T783" s="1407"/>
      <c r="U783" s="41"/>
      <c r="V783" s="1188"/>
      <c r="W783" s="93"/>
      <c r="Y783" s="72"/>
      <c r="Z783" s="218"/>
      <c r="AA783" s="7"/>
    </row>
    <row r="784" spans="1:27" s="613" customFormat="1" ht="15" customHeight="1">
      <c r="A784" s="53"/>
      <c r="B784" s="1850" t="s">
        <v>2626</v>
      </c>
      <c r="C784" s="817"/>
      <c r="D784" s="817"/>
      <c r="E784" s="817"/>
      <c r="F784" s="817"/>
      <c r="G784" s="1783">
        <v>0.1638</v>
      </c>
      <c r="H784" s="1525">
        <v>119.6</v>
      </c>
      <c r="I784" s="41"/>
      <c r="J784" s="41"/>
      <c r="K784" s="41"/>
      <c r="L784" s="41"/>
      <c r="M784" s="41"/>
      <c r="N784" s="41"/>
      <c r="O784" s="41"/>
      <c r="P784" s="41"/>
      <c r="Q784" s="41"/>
      <c r="R784" s="41"/>
      <c r="S784" s="41"/>
      <c r="T784" s="1407"/>
      <c r="U784" s="41"/>
      <c r="V784" s="1188"/>
      <c r="W784" s="93"/>
      <c r="Y784" s="72"/>
      <c r="Z784" s="218"/>
      <c r="AA784" s="7"/>
    </row>
    <row r="785" spans="1:27" s="613" customFormat="1" ht="15" customHeight="1">
      <c r="A785" s="53"/>
      <c r="B785" s="1850" t="s">
        <v>2627</v>
      </c>
      <c r="C785" s="817"/>
      <c r="D785" s="817"/>
      <c r="E785" s="817"/>
      <c r="F785" s="817"/>
      <c r="G785" s="1783">
        <v>0.32440000000000002</v>
      </c>
      <c r="H785" s="1525">
        <v>236.9</v>
      </c>
      <c r="I785" s="41"/>
      <c r="J785" s="41"/>
      <c r="K785" s="41"/>
      <c r="L785" s="41"/>
      <c r="M785" s="41"/>
      <c r="N785" s="41"/>
      <c r="O785" s="41"/>
      <c r="P785" s="41"/>
      <c r="Q785" s="41"/>
      <c r="R785" s="41"/>
      <c r="S785" s="41"/>
      <c r="T785" s="1407"/>
      <c r="U785" s="41"/>
      <c r="V785" s="1188"/>
      <c r="W785" s="93"/>
      <c r="Y785" s="72"/>
      <c r="Z785" s="218"/>
      <c r="AA785" s="7"/>
    </row>
    <row r="786" spans="1:27" s="613" customFormat="1" ht="15" customHeight="1">
      <c r="A786" s="53"/>
      <c r="B786" s="1850" t="s">
        <v>2628</v>
      </c>
      <c r="C786" s="817"/>
      <c r="D786" s="817"/>
      <c r="E786" s="817"/>
      <c r="F786" s="817"/>
      <c r="G786" s="1783">
        <v>0.39379999999999998</v>
      </c>
      <c r="H786" s="1525">
        <v>287.5</v>
      </c>
      <c r="I786" s="41"/>
      <c r="J786" s="41"/>
      <c r="K786" s="41"/>
      <c r="L786" s="41"/>
      <c r="M786" s="41"/>
      <c r="N786" s="41"/>
      <c r="O786" s="41"/>
      <c r="P786" s="41"/>
      <c r="Q786" s="41"/>
      <c r="R786" s="41"/>
      <c r="S786" s="41"/>
      <c r="T786" s="1407"/>
      <c r="U786" s="41"/>
      <c r="V786" s="1188"/>
      <c r="W786" s="93"/>
      <c r="Y786" s="72"/>
      <c r="Z786" s="218"/>
      <c r="AA786" s="7"/>
    </row>
    <row r="787" spans="1:27" s="613" customFormat="1" ht="15" customHeight="1">
      <c r="A787" s="53"/>
      <c r="B787" s="1850" t="s">
        <v>2629</v>
      </c>
      <c r="C787" s="817"/>
      <c r="D787" s="817"/>
      <c r="E787" s="817"/>
      <c r="F787" s="817"/>
      <c r="G787" s="1783">
        <v>0.39379999999999998</v>
      </c>
      <c r="H787" s="1525">
        <v>287.5</v>
      </c>
      <c r="I787" s="41"/>
      <c r="J787" s="41"/>
      <c r="K787" s="41"/>
      <c r="L787" s="41"/>
      <c r="M787" s="41"/>
      <c r="N787" s="41"/>
      <c r="O787" s="41"/>
      <c r="P787" s="41"/>
      <c r="Q787" s="41"/>
      <c r="R787" s="41"/>
      <c r="S787" s="41"/>
      <c r="T787" s="1407"/>
      <c r="U787" s="41"/>
      <c r="V787" s="1188"/>
      <c r="W787" s="93"/>
      <c r="Y787" s="72"/>
      <c r="Z787" s="218"/>
      <c r="AA787" s="7"/>
    </row>
    <row r="788" spans="1:27" s="613" customFormat="1" ht="15" customHeight="1">
      <c r="A788" s="53"/>
      <c r="B788" s="1850" t="s">
        <v>2388</v>
      </c>
      <c r="C788" s="817"/>
      <c r="D788" s="817"/>
      <c r="E788" s="817"/>
      <c r="F788" s="817"/>
      <c r="G788" s="1783">
        <v>0.39379999999999998</v>
      </c>
      <c r="H788" s="1525">
        <v>287.5</v>
      </c>
      <c r="I788" s="41"/>
      <c r="J788" s="41"/>
      <c r="K788" s="41"/>
      <c r="L788" s="41"/>
      <c r="M788" s="41"/>
      <c r="N788" s="41"/>
      <c r="O788" s="41"/>
      <c r="P788" s="41"/>
      <c r="Q788" s="41"/>
      <c r="R788" s="41"/>
      <c r="S788" s="41"/>
      <c r="T788" s="1407"/>
      <c r="U788" s="41"/>
      <c r="V788" s="1188"/>
      <c r="W788" s="93"/>
      <c r="Y788" s="72"/>
      <c r="Z788" s="218"/>
      <c r="AA788" s="7"/>
    </row>
    <row r="789" spans="1:27" s="613" customFormat="1" ht="15" customHeight="1">
      <c r="A789" s="53"/>
      <c r="B789" s="1850" t="s">
        <v>2630</v>
      </c>
      <c r="C789" s="817"/>
      <c r="D789" s="817"/>
      <c r="E789" s="817"/>
      <c r="F789" s="817"/>
      <c r="G789" s="1783">
        <v>0.39379999999999998</v>
      </c>
      <c r="H789" s="1525">
        <v>287.5</v>
      </c>
      <c r="I789" s="41"/>
      <c r="J789" s="41"/>
      <c r="K789" s="41"/>
      <c r="L789" s="41"/>
      <c r="M789" s="41"/>
      <c r="N789" s="41"/>
      <c r="O789" s="41"/>
      <c r="P789" s="41"/>
      <c r="Q789" s="41"/>
      <c r="R789" s="41"/>
      <c r="S789" s="41"/>
      <c r="T789" s="1407"/>
      <c r="U789" s="41"/>
      <c r="V789" s="1188"/>
      <c r="W789" s="93"/>
      <c r="Y789" s="72"/>
      <c r="Z789" s="218"/>
      <c r="AA789" s="7"/>
    </row>
    <row r="790" spans="1:27" s="613" customFormat="1" ht="15" customHeight="1">
      <c r="A790" s="53"/>
      <c r="B790" s="1850" t="s">
        <v>2442</v>
      </c>
      <c r="C790" s="817"/>
      <c r="D790" s="817"/>
      <c r="E790" s="817"/>
      <c r="F790" s="817"/>
      <c r="G790" s="1783">
        <v>0.39379999999999998</v>
      </c>
      <c r="H790" s="1525">
        <v>287.5</v>
      </c>
      <c r="I790" s="41"/>
      <c r="J790" s="41"/>
      <c r="K790" s="41"/>
      <c r="L790" s="41"/>
      <c r="M790" s="41"/>
      <c r="N790" s="41"/>
      <c r="O790" s="41"/>
      <c r="P790" s="41"/>
      <c r="Q790" s="41"/>
      <c r="R790" s="41"/>
      <c r="S790" s="41"/>
      <c r="T790" s="1407"/>
      <c r="U790" s="41"/>
      <c r="V790" s="1188"/>
      <c r="W790" s="93"/>
      <c r="Y790" s="72"/>
      <c r="Z790" s="218"/>
      <c r="AA790" s="7"/>
    </row>
    <row r="791" spans="1:27" s="613" customFormat="1" ht="15" customHeight="1">
      <c r="A791" s="53"/>
      <c r="B791" s="1850" t="s">
        <v>2443</v>
      </c>
      <c r="C791" s="817"/>
      <c r="D791" s="817"/>
      <c r="E791" s="817"/>
      <c r="F791" s="817"/>
      <c r="G791" s="1783">
        <v>0.39379999999999998</v>
      </c>
      <c r="H791" s="1525">
        <v>287.5</v>
      </c>
      <c r="I791" s="41"/>
      <c r="J791" s="41"/>
      <c r="K791" s="41"/>
      <c r="L791" s="41"/>
      <c r="M791" s="41"/>
      <c r="N791" s="41"/>
      <c r="O791" s="41"/>
      <c r="P791" s="41"/>
      <c r="Q791" s="41"/>
      <c r="R791" s="41"/>
      <c r="S791" s="41"/>
      <c r="T791" s="1407"/>
      <c r="U791" s="41"/>
      <c r="V791" s="1188"/>
      <c r="W791" s="93"/>
      <c r="Y791" s="72"/>
      <c r="Z791" s="218"/>
      <c r="AA791" s="7"/>
    </row>
    <row r="792" spans="1:27" s="593" customFormat="1" ht="15" customHeight="1">
      <c r="A792" s="679"/>
      <c r="B792" s="1850" t="s">
        <v>2631</v>
      </c>
      <c r="C792" s="817"/>
      <c r="D792" s="817"/>
      <c r="E792" s="817"/>
      <c r="F792" s="817"/>
      <c r="G792" s="1783">
        <v>0.1638</v>
      </c>
      <c r="H792" s="1525">
        <v>119.6</v>
      </c>
      <c r="I792" s="549"/>
      <c r="J792" s="549"/>
      <c r="K792" s="549"/>
      <c r="L792" s="549"/>
      <c r="M792" s="549"/>
      <c r="N792" s="549"/>
      <c r="O792" s="549"/>
      <c r="P792" s="549"/>
      <c r="Q792" s="549"/>
      <c r="R792" s="549"/>
      <c r="S792" s="549"/>
      <c r="T792" s="549"/>
      <c r="U792" s="549"/>
      <c r="V792" s="549"/>
      <c r="W792" s="699"/>
      <c r="Y792" s="770"/>
      <c r="Z792" s="730"/>
      <c r="AA792" s="678"/>
    </row>
    <row r="793" spans="1:27" s="593" customFormat="1" ht="15" customHeight="1">
      <c r="A793" s="679"/>
      <c r="B793" s="1850" t="s">
        <v>2632</v>
      </c>
      <c r="C793" s="817"/>
      <c r="D793" s="817"/>
      <c r="E793" s="817"/>
      <c r="F793" s="817"/>
      <c r="G793" s="1783">
        <v>0.32440000000000002</v>
      </c>
      <c r="H793" s="1525">
        <v>236.9</v>
      </c>
      <c r="I793" s="549"/>
      <c r="J793" s="549"/>
      <c r="K793" s="549"/>
      <c r="L793" s="549"/>
      <c r="M793" s="549"/>
      <c r="N793" s="549"/>
      <c r="O793" s="549"/>
      <c r="P793" s="549"/>
      <c r="Q793" s="549"/>
      <c r="R793" s="549"/>
      <c r="S793" s="549"/>
      <c r="T793" s="549"/>
      <c r="U793" s="549"/>
      <c r="V793" s="549"/>
      <c r="W793" s="699"/>
      <c r="Y793" s="770"/>
      <c r="Z793" s="730"/>
      <c r="AA793" s="678"/>
    </row>
    <row r="794" spans="1:27" s="593" customFormat="1" ht="15" customHeight="1">
      <c r="A794" s="679"/>
      <c r="B794" s="1850" t="s">
        <v>2633</v>
      </c>
      <c r="C794" s="817"/>
      <c r="D794" s="817"/>
      <c r="E794" s="817"/>
      <c r="F794" s="817"/>
      <c r="G794" s="1783">
        <v>0.39379999999999998</v>
      </c>
      <c r="H794" s="1525">
        <v>287.5</v>
      </c>
      <c r="I794" s="549"/>
      <c r="J794" s="549"/>
      <c r="K794" s="549"/>
      <c r="L794" s="549"/>
      <c r="M794" s="549"/>
      <c r="N794" s="549"/>
      <c r="O794" s="549"/>
      <c r="P794" s="549"/>
      <c r="Q794" s="549"/>
      <c r="R794" s="549"/>
      <c r="S794" s="549"/>
      <c r="T794" s="549"/>
      <c r="U794" s="549"/>
      <c r="V794" s="549"/>
      <c r="W794" s="699"/>
      <c r="Y794" s="770"/>
      <c r="Z794" s="730"/>
      <c r="AA794" s="678"/>
    </row>
    <row r="795" spans="1:27" s="593" customFormat="1" ht="15" customHeight="1">
      <c r="A795" s="679"/>
      <c r="B795" s="1850" t="s">
        <v>2634</v>
      </c>
      <c r="C795" s="817"/>
      <c r="D795" s="817"/>
      <c r="E795" s="817"/>
      <c r="F795" s="817"/>
      <c r="G795" s="1783">
        <v>0.39379999999999998</v>
      </c>
      <c r="H795" s="1525">
        <v>287.5</v>
      </c>
      <c r="I795" s="549"/>
      <c r="J795" s="549"/>
      <c r="K795" s="549"/>
      <c r="L795" s="549"/>
      <c r="M795" s="549"/>
      <c r="N795" s="549"/>
      <c r="O795" s="549"/>
      <c r="P795" s="549"/>
      <c r="Q795" s="549"/>
      <c r="R795" s="549"/>
      <c r="S795" s="549"/>
      <c r="T795" s="549"/>
      <c r="U795" s="549"/>
      <c r="V795" s="549"/>
      <c r="W795" s="699"/>
      <c r="Y795" s="770"/>
      <c r="Z795" s="730"/>
      <c r="AA795" s="678"/>
    </row>
    <row r="796" spans="1:27" s="593" customFormat="1" ht="15" customHeight="1">
      <c r="A796" s="679"/>
      <c r="B796" s="1850" t="s">
        <v>2389</v>
      </c>
      <c r="C796" s="817"/>
      <c r="D796" s="817"/>
      <c r="E796" s="817"/>
      <c r="F796" s="817"/>
      <c r="G796" s="1783">
        <v>0.39379999999999998</v>
      </c>
      <c r="H796" s="1525">
        <v>287.5</v>
      </c>
      <c r="I796" s="549"/>
      <c r="J796" s="549"/>
      <c r="K796" s="549"/>
      <c r="L796" s="549"/>
      <c r="M796" s="549"/>
      <c r="N796" s="549"/>
      <c r="O796" s="549"/>
      <c r="P796" s="549"/>
      <c r="Q796" s="549"/>
      <c r="R796" s="549"/>
      <c r="S796" s="549"/>
      <c r="T796" s="549"/>
      <c r="U796" s="549"/>
      <c r="V796" s="549"/>
      <c r="W796" s="699"/>
      <c r="Y796" s="770"/>
      <c r="Z796" s="730"/>
      <c r="AA796" s="678"/>
    </row>
    <row r="797" spans="1:27" s="593" customFormat="1" ht="15" customHeight="1">
      <c r="A797" s="679"/>
      <c r="B797" s="1850" t="s">
        <v>2390</v>
      </c>
      <c r="C797" s="817"/>
      <c r="D797" s="817"/>
      <c r="E797" s="817"/>
      <c r="F797" s="817"/>
      <c r="G797" s="1783">
        <v>0.39379999999999998</v>
      </c>
      <c r="H797" s="1525">
        <v>287.5</v>
      </c>
      <c r="I797" s="549"/>
      <c r="J797" s="549"/>
      <c r="K797" s="549"/>
      <c r="L797" s="549"/>
      <c r="M797" s="549"/>
      <c r="N797" s="549"/>
      <c r="O797" s="549"/>
      <c r="P797" s="549"/>
      <c r="Q797" s="549"/>
      <c r="R797" s="549"/>
      <c r="S797" s="549"/>
      <c r="T797" s="549"/>
      <c r="U797" s="549"/>
      <c r="V797" s="549"/>
      <c r="W797" s="699"/>
      <c r="Y797" s="770"/>
      <c r="Z797" s="730"/>
      <c r="AA797" s="678"/>
    </row>
    <row r="798" spans="1:27" s="593" customFormat="1" ht="15" customHeight="1">
      <c r="A798" s="679"/>
      <c r="B798" s="1850" t="s">
        <v>2391</v>
      </c>
      <c r="C798" s="817"/>
      <c r="D798" s="817"/>
      <c r="E798" s="817"/>
      <c r="F798" s="817"/>
      <c r="G798" s="1783">
        <v>0.39379999999999998</v>
      </c>
      <c r="H798" s="1525">
        <v>287.5</v>
      </c>
      <c r="I798" s="549"/>
      <c r="J798" s="549"/>
      <c r="K798" s="549"/>
      <c r="L798" s="549"/>
      <c r="M798" s="549"/>
      <c r="N798" s="549"/>
      <c r="O798" s="549"/>
      <c r="P798" s="549"/>
      <c r="Q798" s="549"/>
      <c r="R798" s="549"/>
      <c r="S798" s="549"/>
      <c r="T798" s="549"/>
      <c r="U798" s="549"/>
      <c r="V798" s="549"/>
      <c r="W798" s="699"/>
      <c r="Y798" s="770"/>
      <c r="Z798" s="730"/>
      <c r="AA798" s="678"/>
    </row>
    <row r="799" spans="1:27" s="593" customFormat="1" ht="15" customHeight="1">
      <c r="A799" s="679"/>
      <c r="B799" s="1850" t="s">
        <v>2392</v>
      </c>
      <c r="C799" s="817"/>
      <c r="D799" s="817"/>
      <c r="E799" s="817"/>
      <c r="F799" s="817"/>
      <c r="G799" s="1783">
        <v>0.39379999999999998</v>
      </c>
      <c r="H799" s="1525">
        <v>287.5</v>
      </c>
      <c r="I799" s="549"/>
      <c r="J799" s="549"/>
      <c r="K799" s="549"/>
      <c r="L799" s="549"/>
      <c r="M799" s="549"/>
      <c r="N799" s="549"/>
      <c r="O799" s="549"/>
      <c r="P799" s="549"/>
      <c r="Q799" s="549"/>
      <c r="R799" s="549"/>
      <c r="S799" s="549"/>
      <c r="T799" s="549"/>
      <c r="U799" s="549"/>
      <c r="V799" s="549"/>
      <c r="W799" s="699"/>
      <c r="Y799" s="770"/>
      <c r="Z799" s="730"/>
      <c r="AA799" s="678"/>
    </row>
    <row r="800" spans="1:27" s="593" customFormat="1" ht="15" customHeight="1">
      <c r="A800" s="679"/>
      <c r="B800" s="817" t="s">
        <v>2689</v>
      </c>
      <c r="C800" s="817"/>
      <c r="D800" s="817"/>
      <c r="E800" s="817"/>
      <c r="F800" s="817"/>
      <c r="G800" s="1783">
        <v>0.1638</v>
      </c>
      <c r="H800" s="1525">
        <v>119.6</v>
      </c>
      <c r="I800" s="549"/>
      <c r="J800" s="549"/>
      <c r="K800" s="549"/>
      <c r="L800" s="549"/>
      <c r="M800" s="549"/>
      <c r="N800" s="549"/>
      <c r="O800" s="549"/>
      <c r="P800" s="549"/>
      <c r="Q800" s="549"/>
      <c r="R800" s="549"/>
      <c r="S800" s="549"/>
      <c r="T800" s="549"/>
      <c r="U800" s="549"/>
      <c r="V800" s="549"/>
      <c r="W800" s="699"/>
      <c r="Y800" s="770"/>
      <c r="Z800" s="730"/>
      <c r="AA800" s="678"/>
    </row>
    <row r="801" spans="1:27" s="593" customFormat="1" ht="15" customHeight="1">
      <c r="A801" s="679"/>
      <c r="B801" s="817" t="s">
        <v>2690</v>
      </c>
      <c r="C801" s="817"/>
      <c r="D801" s="817"/>
      <c r="E801" s="817"/>
      <c r="F801" s="817"/>
      <c r="G801" s="1783">
        <v>0.32440000000000002</v>
      </c>
      <c r="H801" s="1525">
        <v>236.9</v>
      </c>
      <c r="I801" s="549"/>
      <c r="J801" s="549"/>
      <c r="K801" s="549"/>
      <c r="L801" s="549"/>
      <c r="M801" s="549"/>
      <c r="N801" s="549"/>
      <c r="O801" s="549"/>
      <c r="P801" s="549"/>
      <c r="Q801" s="549"/>
      <c r="R801" s="549"/>
      <c r="S801" s="549"/>
      <c r="T801" s="549"/>
      <c r="U801" s="549"/>
      <c r="V801" s="549"/>
      <c r="W801" s="699"/>
      <c r="Y801" s="770"/>
      <c r="Z801" s="730"/>
      <c r="AA801" s="678"/>
    </row>
    <row r="802" spans="1:27" s="593" customFormat="1" ht="15" customHeight="1">
      <c r="A802" s="679"/>
      <c r="B802" s="817" t="s">
        <v>2691</v>
      </c>
      <c r="C802" s="817"/>
      <c r="D802" s="817"/>
      <c r="E802" s="817"/>
      <c r="F802" s="817"/>
      <c r="G802" s="1783">
        <v>0.39379999999999998</v>
      </c>
      <c r="H802" s="1525">
        <v>287.5</v>
      </c>
      <c r="I802" s="549"/>
      <c r="J802" s="549"/>
      <c r="K802" s="549"/>
      <c r="L802" s="549"/>
      <c r="M802" s="549"/>
      <c r="N802" s="549"/>
      <c r="O802" s="549"/>
      <c r="P802" s="549"/>
      <c r="Q802" s="549"/>
      <c r="R802" s="549"/>
      <c r="S802" s="549"/>
      <c r="T802" s="549"/>
      <c r="U802" s="549"/>
      <c r="V802" s="549"/>
      <c r="W802" s="699"/>
      <c r="Y802" s="770"/>
      <c r="Z802" s="730"/>
      <c r="AA802" s="678"/>
    </row>
    <row r="803" spans="1:27" s="613" customFormat="1" ht="15" customHeight="1">
      <c r="A803" s="53"/>
      <c r="B803" s="817" t="s">
        <v>2692</v>
      </c>
      <c r="C803" s="817"/>
      <c r="D803" s="817"/>
      <c r="E803" s="817"/>
      <c r="F803" s="817"/>
      <c r="G803" s="1783">
        <v>0.39379999999999998</v>
      </c>
      <c r="H803" s="1525">
        <v>287.5</v>
      </c>
      <c r="I803" s="41"/>
      <c r="J803" s="41"/>
      <c r="K803" s="41"/>
      <c r="L803" s="41"/>
      <c r="M803" s="41"/>
      <c r="N803" s="41"/>
      <c r="O803" s="41"/>
      <c r="P803" s="41"/>
      <c r="Q803" s="41"/>
      <c r="R803" s="41"/>
      <c r="S803" s="41"/>
      <c r="T803" s="1407"/>
      <c r="U803" s="41"/>
      <c r="V803" s="1188"/>
      <c r="W803" s="93"/>
      <c r="Y803" s="72"/>
      <c r="Z803" s="218"/>
      <c r="AA803" s="7"/>
    </row>
    <row r="804" spans="1:27" s="613" customFormat="1" ht="15" customHeight="1">
      <c r="A804" s="53"/>
      <c r="B804" s="817" t="s">
        <v>2693</v>
      </c>
      <c r="C804" s="817"/>
      <c r="D804" s="817"/>
      <c r="E804" s="817"/>
      <c r="F804" s="817"/>
      <c r="G804" s="1783">
        <v>0.39379999999999998</v>
      </c>
      <c r="H804" s="1525">
        <v>287.5</v>
      </c>
      <c r="I804" s="41"/>
      <c r="J804" s="41"/>
      <c r="K804" s="41"/>
      <c r="L804" s="41"/>
      <c r="M804" s="41"/>
      <c r="N804" s="41"/>
      <c r="O804" s="41"/>
      <c r="P804" s="41"/>
      <c r="Q804" s="41"/>
      <c r="R804" s="41"/>
      <c r="S804" s="41"/>
      <c r="T804" s="1407"/>
      <c r="U804" s="41"/>
      <c r="V804" s="1188"/>
      <c r="W804" s="93"/>
      <c r="Y804" s="72"/>
      <c r="Z804" s="218"/>
      <c r="AA804" s="7"/>
    </row>
    <row r="805" spans="1:27" s="1405" customFormat="1" ht="15" customHeight="1">
      <c r="A805" s="1186"/>
      <c r="B805" s="817" t="s">
        <v>2694</v>
      </c>
      <c r="C805" s="817"/>
      <c r="D805" s="817"/>
      <c r="E805" s="817"/>
      <c r="F805" s="817"/>
      <c r="G805" s="1783">
        <v>0.1638</v>
      </c>
      <c r="H805" s="1525">
        <v>119.6</v>
      </c>
      <c r="I805" s="1407"/>
      <c r="J805" s="1407"/>
      <c r="K805" s="1407"/>
      <c r="L805" s="1407"/>
      <c r="M805" s="1407"/>
      <c r="N805" s="1407"/>
      <c r="O805" s="1407"/>
      <c r="P805" s="1407"/>
      <c r="Q805" s="1407"/>
      <c r="R805" s="1407"/>
      <c r="S805" s="1407"/>
      <c r="T805" s="1407"/>
      <c r="U805" s="1407"/>
      <c r="V805" s="1407"/>
      <c r="W805" s="1190"/>
      <c r="Y805" s="1189"/>
      <c r="Z805" s="1192"/>
      <c r="AA805" s="1187"/>
    </row>
    <row r="806" spans="1:27" s="1405" customFormat="1" ht="15" customHeight="1">
      <c r="A806" s="1186"/>
      <c r="B806" s="817" t="s">
        <v>2695</v>
      </c>
      <c r="C806" s="817"/>
      <c r="D806" s="817"/>
      <c r="E806" s="817"/>
      <c r="F806" s="817"/>
      <c r="G806" s="1783">
        <v>0.32440000000000002</v>
      </c>
      <c r="H806" s="1525">
        <v>236.9</v>
      </c>
      <c r="I806" s="1407"/>
      <c r="J806" s="1407"/>
      <c r="K806" s="1407"/>
      <c r="L806" s="1407"/>
      <c r="M806" s="1407"/>
      <c r="N806" s="1407"/>
      <c r="O806" s="1407"/>
      <c r="P806" s="1407"/>
      <c r="Q806" s="1407"/>
      <c r="R806" s="1407"/>
      <c r="S806" s="1407"/>
      <c r="T806" s="1407"/>
      <c r="U806" s="1407"/>
      <c r="V806" s="1407"/>
      <c r="W806" s="1190"/>
      <c r="Y806" s="1189"/>
      <c r="Z806" s="1192"/>
      <c r="AA806" s="1187"/>
    </row>
    <row r="807" spans="1:27" s="1405" customFormat="1" ht="15" customHeight="1">
      <c r="A807" s="1186"/>
      <c r="B807" s="817" t="s">
        <v>2696</v>
      </c>
      <c r="C807" s="817"/>
      <c r="D807" s="817"/>
      <c r="E807" s="817"/>
      <c r="F807" s="817"/>
      <c r="G807" s="1783">
        <v>0.39379999999999998</v>
      </c>
      <c r="H807" s="1525">
        <v>287.5</v>
      </c>
      <c r="I807" s="1407"/>
      <c r="J807" s="1407"/>
      <c r="K807" s="1407"/>
      <c r="L807" s="1407"/>
      <c r="M807" s="1407"/>
      <c r="N807" s="1407"/>
      <c r="O807" s="1407"/>
      <c r="P807" s="1407"/>
      <c r="Q807" s="1407"/>
      <c r="R807" s="1407"/>
      <c r="S807" s="1407"/>
      <c r="T807" s="1407"/>
      <c r="U807" s="1407"/>
      <c r="V807" s="1407"/>
      <c r="W807" s="1190"/>
      <c r="Y807" s="1189"/>
      <c r="Z807" s="1192"/>
      <c r="AA807" s="1187"/>
    </row>
    <row r="808" spans="1:27" s="1405" customFormat="1" ht="15" customHeight="1">
      <c r="A808" s="1186"/>
      <c r="B808" s="817" t="s">
        <v>2697</v>
      </c>
      <c r="C808" s="817"/>
      <c r="D808" s="817"/>
      <c r="E808" s="817"/>
      <c r="F808" s="817"/>
      <c r="G808" s="1783">
        <v>0.39379999999999998</v>
      </c>
      <c r="H808" s="1525">
        <v>287.5</v>
      </c>
      <c r="I808" s="1407"/>
      <c r="J808" s="1407"/>
      <c r="K808" s="1407"/>
      <c r="L808" s="1407"/>
      <c r="M808" s="1407"/>
      <c r="N808" s="1407"/>
      <c r="O808" s="1407"/>
      <c r="P808" s="1407"/>
      <c r="Q808" s="1407"/>
      <c r="R808" s="1407"/>
      <c r="S808" s="1407"/>
      <c r="T808" s="1407"/>
      <c r="U808" s="1407"/>
      <c r="V808" s="1407"/>
      <c r="W808" s="1190"/>
      <c r="Y808" s="1189"/>
      <c r="Z808" s="1192"/>
      <c r="AA808" s="1187"/>
    </row>
    <row r="809" spans="1:27" s="1405" customFormat="1" ht="15" customHeight="1">
      <c r="A809" s="1186"/>
      <c r="B809" s="817" t="s">
        <v>2698</v>
      </c>
      <c r="C809" s="817"/>
      <c r="D809" s="817"/>
      <c r="E809" s="817"/>
      <c r="F809" s="817"/>
      <c r="G809" s="1783">
        <v>0.39379999999999998</v>
      </c>
      <c r="H809" s="1525">
        <v>287.5</v>
      </c>
      <c r="I809" s="1407"/>
      <c r="J809" s="1407"/>
      <c r="K809" s="1407"/>
      <c r="L809" s="1407"/>
      <c r="M809" s="1407"/>
      <c r="N809" s="1407"/>
      <c r="O809" s="1407"/>
      <c r="P809" s="1407"/>
      <c r="Q809" s="1407"/>
      <c r="R809" s="1407"/>
      <c r="S809" s="1407"/>
      <c r="T809" s="1407"/>
      <c r="U809" s="1407"/>
      <c r="V809" s="1407"/>
      <c r="W809" s="1190"/>
      <c r="Y809" s="1189"/>
      <c r="Z809" s="1192"/>
      <c r="AA809" s="1187"/>
    </row>
    <row r="810" spans="1:27" s="1405" customFormat="1" ht="15" customHeight="1">
      <c r="A810" s="1186"/>
      <c r="B810" s="817" t="s">
        <v>2699</v>
      </c>
      <c r="C810" s="817"/>
      <c r="D810" s="817"/>
      <c r="E810" s="817"/>
      <c r="F810" s="817"/>
      <c r="G810" s="1783">
        <v>0.39379999999999998</v>
      </c>
      <c r="H810" s="1525">
        <v>287.5</v>
      </c>
      <c r="I810" s="1407"/>
      <c r="J810" s="1407"/>
      <c r="K810" s="1407"/>
      <c r="L810" s="1407"/>
      <c r="M810" s="1407"/>
      <c r="N810" s="1407"/>
      <c r="O810" s="1407"/>
      <c r="P810" s="1407"/>
      <c r="Q810" s="1407"/>
      <c r="R810" s="1407"/>
      <c r="S810" s="1407"/>
      <c r="T810" s="1407"/>
      <c r="U810" s="1407"/>
      <c r="V810" s="1407"/>
      <c r="W810" s="1190"/>
      <c r="Y810" s="1189"/>
      <c r="Z810" s="1192"/>
      <c r="AA810" s="1187"/>
    </row>
    <row r="811" spans="1:27" s="1405" customFormat="1" ht="15" customHeight="1">
      <c r="A811" s="1186"/>
      <c r="B811" s="817" t="s">
        <v>2738</v>
      </c>
      <c r="C811" s="817"/>
      <c r="D811" s="817"/>
      <c r="E811" s="817"/>
      <c r="F811" s="817"/>
      <c r="G811" s="1783">
        <v>0.39379999999999998</v>
      </c>
      <c r="H811" s="1525">
        <v>287.5</v>
      </c>
      <c r="I811" s="1407"/>
      <c r="J811" s="1407"/>
      <c r="K811" s="1407"/>
      <c r="L811" s="1407"/>
      <c r="M811" s="1407"/>
      <c r="N811" s="1407"/>
      <c r="O811" s="1407"/>
      <c r="P811" s="1407"/>
      <c r="Q811" s="1407"/>
      <c r="R811" s="1407"/>
      <c r="S811" s="1407"/>
      <c r="T811" s="1407"/>
      <c r="U811" s="1407"/>
      <c r="V811" s="1407"/>
      <c r="W811" s="1190"/>
      <c r="Y811" s="1189"/>
      <c r="Z811" s="1192"/>
      <c r="AA811" s="1187"/>
    </row>
    <row r="812" spans="1:27" s="1405" customFormat="1" ht="15" customHeight="1">
      <c r="A812" s="1186"/>
      <c r="B812" s="817" t="s">
        <v>2739</v>
      </c>
      <c r="C812" s="817"/>
      <c r="D812" s="817"/>
      <c r="E812" s="817"/>
      <c r="F812" s="817"/>
      <c r="G812" s="1783">
        <v>0.39379999999999998</v>
      </c>
      <c r="H812" s="1525">
        <v>287.5</v>
      </c>
      <c r="I812" s="1407"/>
      <c r="J812" s="1407"/>
      <c r="K812" s="1407"/>
      <c r="L812" s="1407"/>
      <c r="M812" s="1407"/>
      <c r="N812" s="1407"/>
      <c r="O812" s="1407"/>
      <c r="P812" s="1407"/>
      <c r="Q812" s="1407"/>
      <c r="R812" s="1407"/>
      <c r="S812" s="1407"/>
      <c r="T812" s="1407"/>
      <c r="U812" s="1407"/>
      <c r="V812" s="1407"/>
      <c r="W812" s="1190"/>
      <c r="Y812" s="1189"/>
      <c r="Z812" s="1192"/>
      <c r="AA812" s="1187"/>
    </row>
    <row r="813" spans="1:27" s="1405" customFormat="1" ht="15" customHeight="1">
      <c r="A813" s="1186"/>
      <c r="B813" s="817" t="s">
        <v>2593</v>
      </c>
      <c r="C813" s="817"/>
      <c r="D813" s="817"/>
      <c r="E813" s="817"/>
      <c r="F813" s="817"/>
      <c r="G813" s="1783">
        <v>0.1638</v>
      </c>
      <c r="H813" s="1866">
        <v>119.6</v>
      </c>
      <c r="I813" s="1407"/>
      <c r="J813" s="1407"/>
      <c r="K813" s="1407"/>
      <c r="L813" s="1407"/>
      <c r="M813" s="1407"/>
      <c r="N813" s="1407"/>
      <c r="O813" s="1407"/>
      <c r="P813" s="1407"/>
      <c r="Q813" s="1407"/>
      <c r="R813" s="1407"/>
      <c r="S813" s="1407"/>
      <c r="T813" s="1407"/>
      <c r="U813" s="1407"/>
      <c r="V813" s="1407"/>
      <c r="W813" s="1190"/>
      <c r="Y813" s="1189"/>
      <c r="Z813" s="1192"/>
      <c r="AA813" s="1187"/>
    </row>
    <row r="814" spans="1:27" s="613" customFormat="1" ht="15" customHeight="1">
      <c r="A814" s="53"/>
      <c r="B814" s="817" t="s">
        <v>2594</v>
      </c>
      <c r="C814" s="817"/>
      <c r="D814" s="817"/>
      <c r="E814" s="817"/>
      <c r="F814" s="817"/>
      <c r="G814" s="1783">
        <v>0.1638</v>
      </c>
      <c r="H814" s="1866">
        <v>119.6</v>
      </c>
      <c r="I814" s="41"/>
      <c r="J814" s="41"/>
      <c r="K814" s="41"/>
      <c r="L814" s="41"/>
      <c r="M814" s="41"/>
      <c r="N814" s="41"/>
      <c r="O814" s="41"/>
      <c r="P814" s="41"/>
      <c r="Q814" s="41"/>
      <c r="R814" s="41"/>
      <c r="S814" s="41"/>
      <c r="T814" s="1407"/>
      <c r="U814" s="41"/>
      <c r="V814" s="1188"/>
      <c r="W814" s="93"/>
      <c r="Y814" s="72"/>
      <c r="Z814" s="218"/>
      <c r="AA814" s="7"/>
    </row>
    <row r="815" spans="1:27" s="613" customFormat="1" ht="15" customHeight="1">
      <c r="A815" s="53"/>
      <c r="B815" s="817" t="s">
        <v>2595</v>
      </c>
      <c r="C815" s="817"/>
      <c r="D815" s="817"/>
      <c r="E815" s="817"/>
      <c r="F815" s="817"/>
      <c r="G815" s="1783">
        <v>0.1638</v>
      </c>
      <c r="H815" s="1866">
        <v>119.6</v>
      </c>
      <c r="I815" s="41"/>
      <c r="J815" s="41"/>
      <c r="K815" s="41"/>
      <c r="L815" s="41"/>
      <c r="M815" s="41"/>
      <c r="N815" s="41"/>
      <c r="O815" s="41"/>
      <c r="P815" s="41"/>
      <c r="Q815" s="41"/>
      <c r="R815" s="41"/>
      <c r="S815" s="41"/>
      <c r="T815" s="1407"/>
      <c r="U815" s="41"/>
      <c r="V815" s="1188"/>
      <c r="W815" s="93"/>
      <c r="Y815" s="72"/>
      <c r="Z815" s="218"/>
      <c r="AA815" s="7"/>
    </row>
    <row r="816" spans="1:27" s="613" customFormat="1" ht="15" customHeight="1">
      <c r="A816" s="53"/>
      <c r="B816" s="817" t="s">
        <v>2596</v>
      </c>
      <c r="C816" s="817"/>
      <c r="D816" s="817"/>
      <c r="E816" s="817"/>
      <c r="F816" s="817"/>
      <c r="G816" s="1783">
        <v>0.32440000000000002</v>
      </c>
      <c r="H816" s="1866">
        <v>236.9</v>
      </c>
      <c r="I816" s="41"/>
      <c r="J816" s="41"/>
      <c r="K816" s="41"/>
      <c r="L816" s="41"/>
      <c r="M816" s="41"/>
      <c r="N816" s="41"/>
      <c r="O816" s="41"/>
      <c r="P816" s="41"/>
      <c r="Q816" s="41"/>
      <c r="R816" s="41"/>
      <c r="S816" s="41"/>
      <c r="T816" s="1407"/>
      <c r="U816" s="41"/>
      <c r="V816" s="1188"/>
      <c r="W816" s="93"/>
      <c r="Y816" s="72"/>
      <c r="Z816" s="218"/>
      <c r="AA816" s="7"/>
    </row>
    <row r="817" spans="1:27" s="613" customFormat="1" ht="15" customHeight="1">
      <c r="A817" s="53"/>
      <c r="B817" s="817" t="s">
        <v>2597</v>
      </c>
      <c r="C817" s="817"/>
      <c r="D817" s="817"/>
      <c r="E817" s="817"/>
      <c r="F817" s="817"/>
      <c r="G817" s="1783">
        <v>0.39379999999999998</v>
      </c>
      <c r="H817" s="1866">
        <v>287.5</v>
      </c>
      <c r="I817" s="41"/>
      <c r="J817" s="41"/>
      <c r="K817" s="41"/>
      <c r="L817" s="41"/>
      <c r="M817" s="41"/>
      <c r="N817" s="41"/>
      <c r="O817" s="41"/>
      <c r="P817" s="41"/>
      <c r="Q817" s="41"/>
      <c r="R817" s="41"/>
      <c r="S817" s="41"/>
      <c r="T817" s="1407"/>
      <c r="U817" s="41"/>
      <c r="V817" s="1188"/>
      <c r="W817" s="93"/>
      <c r="Y817" s="72"/>
      <c r="Z817" s="218"/>
      <c r="AA817" s="7"/>
    </row>
    <row r="818" spans="1:27" s="613" customFormat="1" ht="15" customHeight="1">
      <c r="A818" s="53"/>
      <c r="B818" s="817" t="s">
        <v>2599</v>
      </c>
      <c r="C818" s="817"/>
      <c r="D818" s="817"/>
      <c r="E818" s="817"/>
      <c r="F818" s="817"/>
      <c r="G818" s="1783">
        <v>0.1638</v>
      </c>
      <c r="H818" s="1866">
        <v>119.6</v>
      </c>
      <c r="I818" s="41"/>
      <c r="J818" s="41"/>
      <c r="K818" s="41"/>
      <c r="L818" s="41"/>
      <c r="M818" s="41"/>
      <c r="N818" s="41"/>
      <c r="O818" s="41"/>
      <c r="P818" s="41"/>
      <c r="Q818" s="41"/>
      <c r="R818" s="41"/>
      <c r="S818" s="41"/>
      <c r="T818" s="1407"/>
      <c r="U818" s="41"/>
      <c r="V818" s="1188"/>
      <c r="W818" s="93"/>
      <c r="Y818" s="72"/>
      <c r="Z818" s="218"/>
      <c r="AA818" s="7"/>
    </row>
    <row r="819" spans="1:27" s="613" customFormat="1" ht="15" customHeight="1">
      <c r="A819" s="53"/>
      <c r="B819" s="817" t="s">
        <v>2600</v>
      </c>
      <c r="C819" s="817"/>
      <c r="D819" s="817"/>
      <c r="E819" s="817"/>
      <c r="F819" s="817"/>
      <c r="G819" s="1783">
        <v>0.1638</v>
      </c>
      <c r="H819" s="1866">
        <v>119.6</v>
      </c>
      <c r="I819" s="41"/>
      <c r="J819" s="41"/>
      <c r="K819" s="41"/>
      <c r="L819" s="41"/>
      <c r="M819" s="41"/>
      <c r="N819" s="41"/>
      <c r="O819" s="41"/>
      <c r="P819" s="41"/>
      <c r="Q819" s="41"/>
      <c r="R819" s="41"/>
      <c r="S819" s="41"/>
      <c r="T819" s="1407"/>
      <c r="U819" s="41"/>
      <c r="V819" s="1188"/>
      <c r="W819" s="93"/>
      <c r="Y819" s="72"/>
      <c r="Z819" s="218"/>
      <c r="AA819" s="7"/>
    </row>
    <row r="820" spans="1:27" s="613" customFormat="1" ht="15" customHeight="1">
      <c r="A820" s="53"/>
      <c r="B820" s="817" t="s">
        <v>2601</v>
      </c>
      <c r="C820" s="817"/>
      <c r="D820" s="817"/>
      <c r="E820" s="817"/>
      <c r="F820" s="817"/>
      <c r="G820" s="1783">
        <v>0.32440000000000002</v>
      </c>
      <c r="H820" s="1866">
        <v>236.9</v>
      </c>
      <c r="I820" s="41"/>
      <c r="J820" s="41"/>
      <c r="K820" s="41"/>
      <c r="L820" s="41"/>
      <c r="M820" s="41"/>
      <c r="N820" s="41"/>
      <c r="O820" s="41"/>
      <c r="P820" s="41"/>
      <c r="Q820" s="41"/>
      <c r="R820" s="41"/>
      <c r="S820" s="41"/>
      <c r="T820" s="1407"/>
      <c r="U820" s="41"/>
      <c r="V820" s="1188"/>
      <c r="W820" s="93"/>
      <c r="Y820" s="72"/>
      <c r="Z820" s="218"/>
      <c r="AA820" s="7"/>
    </row>
    <row r="821" spans="1:27" s="613" customFormat="1" ht="15" customHeight="1">
      <c r="A821" s="53"/>
      <c r="B821" s="817" t="s">
        <v>2602</v>
      </c>
      <c r="C821" s="817"/>
      <c r="D821" s="817"/>
      <c r="E821" s="817"/>
      <c r="F821" s="817"/>
      <c r="G821" s="1783">
        <v>0.39379999999999998</v>
      </c>
      <c r="H821" s="1866">
        <v>287.5</v>
      </c>
      <c r="I821" s="41"/>
      <c r="J821" s="41"/>
      <c r="K821" s="41"/>
      <c r="L821" s="41"/>
      <c r="M821" s="41"/>
      <c r="N821" s="41"/>
      <c r="O821" s="41"/>
      <c r="P821" s="41"/>
      <c r="Q821" s="41"/>
      <c r="R821" s="41"/>
      <c r="S821" s="41"/>
      <c r="T821" s="1407"/>
      <c r="U821" s="41"/>
      <c r="V821" s="1188"/>
      <c r="W821" s="93"/>
      <c r="Y821" s="72"/>
      <c r="Z821" s="218"/>
      <c r="AA821" s="7"/>
    </row>
    <row r="822" spans="1:27" s="613" customFormat="1" ht="15" customHeight="1">
      <c r="A822" s="53"/>
      <c r="B822" s="817" t="s">
        <v>2729</v>
      </c>
      <c r="C822" s="817"/>
      <c r="D822" s="817"/>
      <c r="E822" s="817"/>
      <c r="F822" s="817"/>
      <c r="G822" s="1783">
        <v>0.39379999999999998</v>
      </c>
      <c r="H822" s="1525">
        <v>287.5</v>
      </c>
      <c r="I822" s="41"/>
      <c r="J822" s="41"/>
      <c r="K822" s="41"/>
      <c r="L822" s="41"/>
      <c r="M822" s="41"/>
      <c r="N822" s="41"/>
      <c r="O822" s="41"/>
      <c r="P822" s="41"/>
      <c r="Q822" s="41"/>
      <c r="R822" s="41"/>
      <c r="S822" s="41"/>
      <c r="T822" s="1407"/>
      <c r="U822" s="41"/>
      <c r="V822" s="1188"/>
      <c r="W822" s="93"/>
      <c r="Y822" s="72"/>
      <c r="Z822" s="218"/>
      <c r="AA822" s="7"/>
    </row>
    <row r="823" spans="1:27" ht="15" customHeight="1">
      <c r="A823" s="53"/>
      <c r="B823" s="817" t="s">
        <v>2730</v>
      </c>
      <c r="C823" s="817"/>
      <c r="D823" s="817"/>
      <c r="E823" s="817"/>
      <c r="F823" s="817"/>
      <c r="G823" s="1783">
        <v>0.39379999999999998</v>
      </c>
      <c r="H823" s="1525">
        <v>287.5</v>
      </c>
      <c r="I823" s="41"/>
      <c r="J823" s="41"/>
      <c r="K823" s="41"/>
      <c r="L823" s="24"/>
      <c r="M823" s="41"/>
      <c r="N823" s="24"/>
      <c r="O823" s="41"/>
      <c r="P823" s="41"/>
      <c r="Q823" s="41"/>
      <c r="R823" s="41"/>
      <c r="S823" s="41"/>
      <c r="T823" s="1407"/>
      <c r="U823" s="41"/>
      <c r="V823" s="1188"/>
      <c r="W823" s="93"/>
      <c r="X823" s="33"/>
      <c r="Y823" s="72"/>
      <c r="Z823" s="132"/>
      <c r="AA823" s="7"/>
    </row>
    <row r="824" spans="1:27" s="163" customFormat="1" ht="16.5" customHeight="1">
      <c r="A824" s="53"/>
      <c r="B824" s="817" t="s">
        <v>2731</v>
      </c>
      <c r="C824" s="817"/>
      <c r="D824" s="817"/>
      <c r="E824" s="817"/>
      <c r="F824" s="817"/>
      <c r="G824" s="1783">
        <v>0.39379999999999998</v>
      </c>
      <c r="H824" s="1525">
        <v>287.5</v>
      </c>
      <c r="I824" s="5"/>
      <c r="J824" s="5"/>
      <c r="K824" s="5"/>
      <c r="L824" s="5"/>
      <c r="M824" s="5"/>
      <c r="N824" s="41"/>
      <c r="O824" s="5"/>
      <c r="P824" s="5"/>
      <c r="Q824" s="5"/>
      <c r="R824" s="5"/>
      <c r="S824" s="5"/>
      <c r="T824" s="1175"/>
      <c r="U824" s="5"/>
      <c r="V824" s="1175"/>
      <c r="W824" s="93"/>
      <c r="X824" s="1"/>
      <c r="Y824" s="40"/>
      <c r="Z824" s="218"/>
      <c r="AA824" s="7"/>
    </row>
    <row r="825" spans="1:27" s="163" customFormat="1" ht="15.45" customHeight="1">
      <c r="A825" s="53"/>
      <c r="B825" s="817" t="s">
        <v>2732</v>
      </c>
      <c r="C825" s="817"/>
      <c r="D825" s="817"/>
      <c r="E825" s="817"/>
      <c r="F825" s="817"/>
      <c r="G825" s="1783">
        <v>0.39379999999999998</v>
      </c>
      <c r="H825" s="1525">
        <v>287.5</v>
      </c>
      <c r="I825" s="5"/>
      <c r="J825" s="5"/>
      <c r="K825" s="5"/>
      <c r="L825" s="127"/>
      <c r="M825" s="127"/>
      <c r="N825" s="41"/>
      <c r="O825" s="5"/>
      <c r="P825" s="5"/>
      <c r="Q825" s="5"/>
      <c r="R825" s="5"/>
      <c r="S825" s="5"/>
      <c r="T825" s="1175"/>
      <c r="U825" s="5"/>
      <c r="V825" s="1175"/>
      <c r="W825" s="93"/>
      <c r="X825" s="1"/>
      <c r="Y825" s="40"/>
      <c r="Z825" s="218"/>
      <c r="AA825" s="7"/>
    </row>
    <row r="826" spans="1:27" s="163" customFormat="1" ht="15" customHeight="1">
      <c r="A826" s="53"/>
      <c r="B826" s="817" t="s">
        <v>2733</v>
      </c>
      <c r="C826" s="817"/>
      <c r="D826" s="817"/>
      <c r="E826" s="817"/>
      <c r="F826" s="817"/>
      <c r="G826" s="1783">
        <v>0.39379999999999998</v>
      </c>
      <c r="H826" s="1525">
        <v>287.5</v>
      </c>
      <c r="I826" s="174"/>
      <c r="J826" s="164"/>
      <c r="K826" s="164"/>
      <c r="L826" s="41"/>
      <c r="M826" s="41"/>
      <c r="N826" s="41"/>
      <c r="O826" s="5"/>
      <c r="P826" s="5"/>
      <c r="Q826" s="5"/>
      <c r="R826" s="5"/>
      <c r="S826" s="5"/>
      <c r="T826" s="1175"/>
      <c r="U826" s="5"/>
      <c r="V826" s="1175"/>
      <c r="W826" s="93"/>
      <c r="X826" s="1"/>
      <c r="Y826" s="72"/>
      <c r="Z826" s="218"/>
      <c r="AA826" s="7"/>
    </row>
    <row r="827" spans="1:27" s="163" customFormat="1" ht="15" customHeight="1">
      <c r="A827" s="53"/>
      <c r="B827" s="817" t="s">
        <v>2734</v>
      </c>
      <c r="C827" s="817"/>
      <c r="D827" s="817"/>
      <c r="E827" s="817"/>
      <c r="F827" s="817"/>
      <c r="G827" s="1783">
        <v>0.39379999999999998</v>
      </c>
      <c r="H827" s="1525">
        <v>287.5</v>
      </c>
      <c r="I827" s="174"/>
      <c r="J827" s="164"/>
      <c r="K827" s="164"/>
      <c r="L827" s="41"/>
      <c r="M827" s="41"/>
      <c r="N827" s="41"/>
      <c r="O827" s="5"/>
      <c r="P827" s="5"/>
      <c r="Q827" s="5"/>
      <c r="R827" s="5"/>
      <c r="S827" s="5"/>
      <c r="T827" s="1175"/>
      <c r="U827" s="5"/>
      <c r="V827" s="1175"/>
      <c r="W827" s="93"/>
      <c r="X827" s="1"/>
      <c r="Y827" s="72"/>
      <c r="Z827" s="218"/>
      <c r="AA827" s="7"/>
    </row>
    <row r="828" spans="1:27" s="613" customFormat="1" ht="15" customHeight="1">
      <c r="A828" s="53"/>
      <c r="B828" s="817" t="s">
        <v>2735</v>
      </c>
      <c r="C828" s="817"/>
      <c r="D828" s="817"/>
      <c r="E828" s="817"/>
      <c r="F828" s="817"/>
      <c r="G828" s="1783">
        <v>0.39379999999999998</v>
      </c>
      <c r="H828" s="1525">
        <v>287.5</v>
      </c>
      <c r="I828" s="174"/>
      <c r="J828" s="164"/>
      <c r="K828" s="164"/>
      <c r="L828" s="41"/>
      <c r="M828" s="41"/>
      <c r="N828" s="41"/>
      <c r="O828" s="5"/>
      <c r="P828" s="5"/>
      <c r="Q828" s="5"/>
      <c r="R828" s="5"/>
      <c r="S828" s="5"/>
      <c r="T828" s="1175"/>
      <c r="U828" s="5"/>
      <c r="V828" s="1175"/>
      <c r="W828" s="93"/>
      <c r="X828" s="1"/>
      <c r="Y828" s="72"/>
      <c r="Z828" s="218"/>
      <c r="AA828" s="7"/>
    </row>
    <row r="829" spans="1:27" s="613" customFormat="1" ht="15" customHeight="1">
      <c r="A829" s="53"/>
      <c r="B829" s="1525" t="s">
        <v>2736</v>
      </c>
      <c r="C829" s="1525"/>
      <c r="D829" s="1525"/>
      <c r="E829" s="1525"/>
      <c r="F829" s="1525"/>
      <c r="G829" s="1784">
        <v>0.39379999999999998</v>
      </c>
      <c r="H829" s="1525">
        <v>287.5</v>
      </c>
      <c r="I829" s="174"/>
      <c r="J829" s="164"/>
      <c r="K829" s="164"/>
      <c r="L829" s="41"/>
      <c r="M829" s="41"/>
      <c r="N829" s="41"/>
      <c r="O829" s="5"/>
      <c r="P829" s="5"/>
      <c r="Q829" s="5"/>
      <c r="R829" s="5"/>
      <c r="S829" s="5"/>
      <c r="T829" s="1175"/>
      <c r="U829" s="5"/>
      <c r="V829" s="1175"/>
      <c r="W829" s="93"/>
      <c r="X829" s="1"/>
      <c r="Y829" s="72"/>
      <c r="Z829" s="218"/>
      <c r="AA829" s="7"/>
    </row>
    <row r="830" spans="1:27" s="613" customFormat="1" ht="15" customHeight="1">
      <c r="A830" s="53"/>
      <c r="B830" s="42"/>
      <c r="C830" s="42"/>
      <c r="D830" s="42"/>
      <c r="E830" s="42"/>
      <c r="F830" s="42"/>
      <c r="G830" s="45"/>
      <c r="H830" s="5"/>
      <c r="I830" s="174"/>
      <c r="J830" s="164"/>
      <c r="K830" s="164"/>
      <c r="L830" s="41"/>
      <c r="M830" s="41"/>
      <c r="N830" s="41"/>
      <c r="O830" s="5"/>
      <c r="P830" s="5"/>
      <c r="Q830" s="5"/>
      <c r="R830" s="5"/>
      <c r="S830" s="5"/>
      <c r="T830" s="1175"/>
      <c r="U830" s="5"/>
      <c r="V830" s="1175"/>
      <c r="W830" s="93"/>
      <c r="X830" s="1"/>
      <c r="Y830" s="72"/>
      <c r="Z830" s="218"/>
      <c r="AA830" s="7"/>
    </row>
    <row r="831" spans="1:27" s="613" customFormat="1" ht="15" customHeight="1">
      <c r="A831" s="53"/>
      <c r="B831" s="42"/>
      <c r="C831" s="42"/>
      <c r="D831" s="42"/>
      <c r="E831" s="42"/>
      <c r="F831" s="42"/>
      <c r="G831" s="45"/>
      <c r="H831" s="5"/>
      <c r="I831" s="174"/>
      <c r="J831" s="164"/>
      <c r="K831" s="164"/>
      <c r="L831" s="41"/>
      <c r="M831" s="41"/>
      <c r="N831" s="41"/>
      <c r="O831" s="5"/>
      <c r="P831" s="5"/>
      <c r="Q831" s="5"/>
      <c r="R831" s="5"/>
      <c r="S831" s="5"/>
      <c r="T831" s="1175"/>
      <c r="U831" s="5"/>
      <c r="V831" s="1175"/>
      <c r="W831" s="93"/>
      <c r="X831" s="1"/>
      <c r="Y831" s="72"/>
      <c r="Z831" s="218"/>
      <c r="AA831" s="7"/>
    </row>
    <row r="832" spans="1:27" s="613" customFormat="1" ht="15" customHeight="1">
      <c r="A832" s="53"/>
      <c r="B832" s="137" t="s">
        <v>224</v>
      </c>
      <c r="C832" s="26" t="s">
        <v>147</v>
      </c>
      <c r="D832" s="42"/>
      <c r="E832" s="4" t="s">
        <v>219</v>
      </c>
      <c r="F832" s="42"/>
      <c r="G832" s="43"/>
      <c r="H832" s="5"/>
      <c r="I832" s="174"/>
      <c r="J832" s="164"/>
      <c r="K832" s="164"/>
      <c r="L832" s="41"/>
      <c r="M832" s="41"/>
      <c r="N832" s="41"/>
      <c r="O832" s="5"/>
      <c r="P832" s="5"/>
      <c r="Q832" s="5"/>
      <c r="R832" s="5"/>
      <c r="S832" s="5"/>
      <c r="T832" s="1175"/>
      <c r="U832" s="5"/>
      <c r="V832" s="1175"/>
      <c r="W832" s="93"/>
      <c r="X832" s="1"/>
      <c r="Y832" s="72"/>
      <c r="Z832" s="218"/>
      <c r="AA832" s="7"/>
    </row>
    <row r="833" spans="1:27" s="613" customFormat="1" ht="15" customHeight="1">
      <c r="A833" s="53"/>
      <c r="B833" s="138" t="s">
        <v>2</v>
      </c>
      <c r="C833" s="108"/>
      <c r="D833" s="108"/>
      <c r="E833" s="108"/>
      <c r="F833" s="108"/>
      <c r="G833" s="108" t="s">
        <v>225</v>
      </c>
      <c r="H833" s="108" t="s">
        <v>226</v>
      </c>
      <c r="I833" s="174"/>
      <c r="J833" s="164"/>
      <c r="K833" s="164"/>
      <c r="L833" s="41"/>
      <c r="M833" s="41"/>
      <c r="N833" s="41"/>
      <c r="O833" s="5"/>
      <c r="P833" s="5"/>
      <c r="Q833" s="5"/>
      <c r="R833" s="5"/>
      <c r="S833" s="5"/>
      <c r="T833" s="1175"/>
      <c r="U833" s="5"/>
      <c r="V833" s="1175"/>
      <c r="W833" s="93"/>
      <c r="X833" s="1"/>
      <c r="Y833" s="72"/>
      <c r="Z833" s="218"/>
      <c r="AA833" s="7"/>
    </row>
    <row r="834" spans="1:27" s="613" customFormat="1" ht="15" customHeight="1">
      <c r="A834" s="53"/>
      <c r="B834" s="1850" t="s">
        <v>2608</v>
      </c>
      <c r="C834" s="817"/>
      <c r="D834" s="817"/>
      <c r="E834" s="817"/>
      <c r="F834" s="817"/>
      <c r="G834" s="1784">
        <v>5.67E-2</v>
      </c>
      <c r="H834" s="1525">
        <v>41.4</v>
      </c>
      <c r="I834" s="174"/>
      <c r="J834" s="164"/>
      <c r="K834" s="164"/>
      <c r="L834" s="41"/>
      <c r="M834" s="41"/>
      <c r="N834" s="41"/>
      <c r="O834" s="5"/>
      <c r="P834" s="5"/>
      <c r="Q834" s="5"/>
      <c r="R834" s="5"/>
      <c r="S834" s="5"/>
      <c r="T834" s="1175"/>
      <c r="U834" s="5"/>
      <c r="V834" s="1175"/>
      <c r="W834" s="93"/>
      <c r="X834" s="1"/>
      <c r="Y834" s="72"/>
      <c r="Z834" s="218"/>
      <c r="AA834" s="7"/>
    </row>
    <row r="835" spans="1:27" s="613" customFormat="1" ht="15" customHeight="1">
      <c r="A835" s="53"/>
      <c r="B835" s="1850" t="s">
        <v>2609</v>
      </c>
      <c r="C835" s="817"/>
      <c r="D835" s="817"/>
      <c r="E835" s="817"/>
      <c r="F835" s="817"/>
      <c r="G835" s="1784">
        <v>5.67E-2</v>
      </c>
      <c r="H835" s="1525">
        <v>41.4</v>
      </c>
      <c r="I835" s="174"/>
      <c r="J835" s="164"/>
      <c r="K835" s="164"/>
      <c r="L835" s="41"/>
      <c r="M835" s="41"/>
      <c r="N835" s="41"/>
      <c r="O835" s="5"/>
      <c r="P835" s="5"/>
      <c r="Q835" s="5"/>
      <c r="R835" s="5"/>
      <c r="S835" s="5"/>
      <c r="T835" s="1175"/>
      <c r="U835" s="5"/>
      <c r="V835" s="1175"/>
      <c r="W835" s="93"/>
      <c r="X835" s="1"/>
      <c r="Y835" s="72"/>
      <c r="Z835" s="218"/>
      <c r="AA835" s="7"/>
    </row>
    <row r="836" spans="1:27" s="613" customFormat="1" ht="15" customHeight="1">
      <c r="A836" s="53"/>
      <c r="B836" s="1850" t="s">
        <v>2722</v>
      </c>
      <c r="C836" s="529"/>
      <c r="D836" s="1797"/>
      <c r="E836" s="1797"/>
      <c r="F836" s="1798"/>
      <c r="G836" s="1867">
        <v>5.67E-2</v>
      </c>
      <c r="H836" s="1525">
        <v>41.4</v>
      </c>
      <c r="I836" s="174"/>
      <c r="J836" s="164"/>
      <c r="K836" s="164"/>
      <c r="L836" s="41"/>
      <c r="M836" s="41"/>
      <c r="N836" s="41"/>
      <c r="O836" s="5"/>
      <c r="P836" s="5"/>
      <c r="Q836" s="5"/>
      <c r="R836" s="5"/>
      <c r="S836" s="5"/>
      <c r="T836" s="1175"/>
      <c r="U836" s="5"/>
      <c r="V836" s="1175"/>
      <c r="W836" s="93"/>
      <c r="X836" s="1"/>
      <c r="Y836" s="72"/>
      <c r="Z836" s="218"/>
      <c r="AA836" s="7"/>
    </row>
    <row r="837" spans="1:27" s="613" customFormat="1" ht="15" customHeight="1">
      <c r="A837" s="53"/>
      <c r="B837" s="1850" t="s">
        <v>2723</v>
      </c>
      <c r="C837" s="529"/>
      <c r="D837" s="1797"/>
      <c r="E837" s="1797"/>
      <c r="F837" s="1798"/>
      <c r="G837" s="1867">
        <v>5.67E-2</v>
      </c>
      <c r="H837" s="1525">
        <v>41.4</v>
      </c>
      <c r="I837" s="174"/>
      <c r="J837" s="164"/>
      <c r="K837" s="164"/>
      <c r="L837" s="41"/>
      <c r="M837" s="41"/>
      <c r="N837" s="41"/>
      <c r="O837" s="5"/>
      <c r="P837" s="5"/>
      <c r="Q837" s="5"/>
      <c r="R837" s="5"/>
      <c r="S837" s="5"/>
      <c r="T837" s="1175"/>
      <c r="U837" s="5"/>
      <c r="V837" s="1175"/>
      <c r="W837" s="93"/>
      <c r="X837" s="1"/>
      <c r="Y837" s="72"/>
      <c r="Z837" s="218"/>
      <c r="AA837" s="7"/>
    </row>
    <row r="838" spans="1:27" s="613" customFormat="1" ht="15" customHeight="1">
      <c r="A838" s="53"/>
      <c r="B838" s="1850" t="s">
        <v>2724</v>
      </c>
      <c r="C838" s="529"/>
      <c r="D838" s="1797"/>
      <c r="E838" s="1797"/>
      <c r="F838" s="1798"/>
      <c r="G838" s="1867">
        <v>0.12590000000000001</v>
      </c>
      <c r="H838" s="1525">
        <v>92</v>
      </c>
      <c r="I838" s="174"/>
      <c r="J838" s="164"/>
      <c r="K838" s="164"/>
      <c r="L838" s="41"/>
      <c r="M838" s="41"/>
      <c r="N838" s="41"/>
      <c r="O838" s="5"/>
      <c r="P838" s="5"/>
      <c r="Q838" s="5"/>
      <c r="R838" s="5"/>
      <c r="S838" s="5"/>
      <c r="T838" s="1175"/>
      <c r="U838" s="5"/>
      <c r="V838" s="1175"/>
      <c r="W838" s="93"/>
      <c r="X838" s="1"/>
      <c r="Y838" s="72"/>
      <c r="Z838" s="218"/>
      <c r="AA838" s="7"/>
    </row>
    <row r="839" spans="1:27" s="613" customFormat="1" ht="15" customHeight="1">
      <c r="A839" s="53"/>
      <c r="B839" s="1850" t="s">
        <v>2604</v>
      </c>
      <c r="C839" s="529"/>
      <c r="D839" s="1797"/>
      <c r="E839" s="1797"/>
      <c r="F839" s="1798"/>
      <c r="G839" s="1867">
        <v>5.67E-2</v>
      </c>
      <c r="H839" s="1525">
        <v>41.4</v>
      </c>
      <c r="I839" s="174"/>
      <c r="J839" s="164"/>
      <c r="K839" s="164"/>
      <c r="L839" s="41"/>
      <c r="M839" s="41"/>
      <c r="N839" s="41"/>
      <c r="O839" s="5"/>
      <c r="P839" s="5"/>
      <c r="Q839" s="5"/>
      <c r="R839" s="5"/>
      <c r="S839" s="5"/>
      <c r="T839" s="1175"/>
      <c r="U839" s="5"/>
      <c r="V839" s="1175"/>
      <c r="W839" s="93"/>
      <c r="X839" s="1"/>
      <c r="Y839" s="72"/>
      <c r="Z839" s="218"/>
      <c r="AA839" s="7"/>
    </row>
    <row r="840" spans="1:27" s="613" customFormat="1" ht="15" customHeight="1">
      <c r="A840" s="53"/>
      <c r="B840" s="1850" t="s">
        <v>2605</v>
      </c>
      <c r="C840" s="529"/>
      <c r="D840" s="1797"/>
      <c r="E840" s="1797"/>
      <c r="F840" s="1798"/>
      <c r="G840" s="1867">
        <v>5.67E-2</v>
      </c>
      <c r="H840" s="1525">
        <v>41.4</v>
      </c>
      <c r="I840" s="174"/>
      <c r="J840" s="164"/>
      <c r="K840" s="164"/>
      <c r="L840" s="41"/>
      <c r="M840" s="41"/>
      <c r="N840" s="41"/>
      <c r="O840" s="5"/>
      <c r="P840" s="5"/>
      <c r="Q840" s="5"/>
      <c r="R840" s="5"/>
      <c r="S840" s="5"/>
      <c r="T840" s="1175"/>
      <c r="U840" s="5"/>
      <c r="V840" s="1175"/>
      <c r="W840" s="93"/>
      <c r="X840" s="1"/>
      <c r="Y840" s="72"/>
      <c r="Z840" s="218"/>
      <c r="AA840" s="7"/>
    </row>
    <row r="841" spans="1:27" s="613" customFormat="1" ht="15" customHeight="1">
      <c r="A841" s="53"/>
      <c r="B841" s="1850" t="s">
        <v>2606</v>
      </c>
      <c r="C841" s="529"/>
      <c r="D841" s="1797"/>
      <c r="E841" s="1797"/>
      <c r="F841" s="1798"/>
      <c r="G841" s="1867">
        <v>5.67E-2</v>
      </c>
      <c r="H841" s="1525">
        <v>41.4</v>
      </c>
      <c r="I841" s="174"/>
      <c r="J841" s="164"/>
      <c r="K841" s="164"/>
      <c r="L841" s="41"/>
      <c r="M841" s="41"/>
      <c r="N841" s="41"/>
      <c r="O841" s="5"/>
      <c r="P841" s="5"/>
      <c r="Q841" s="5"/>
      <c r="R841" s="5"/>
      <c r="S841" s="5"/>
      <c r="T841" s="1175"/>
      <c r="U841" s="5"/>
      <c r="V841" s="1175"/>
      <c r="W841" s="93"/>
      <c r="X841" s="1"/>
      <c r="Y841" s="72"/>
      <c r="Z841" s="218"/>
      <c r="AA841" s="7"/>
    </row>
    <row r="842" spans="1:27" s="613" customFormat="1" ht="15" customHeight="1">
      <c r="A842" s="53"/>
      <c r="B842" s="1850" t="s">
        <v>2394</v>
      </c>
      <c r="C842" s="817"/>
      <c r="D842" s="817"/>
      <c r="E842" s="817"/>
      <c r="F842" s="817"/>
      <c r="G842" s="1784">
        <v>5.67E-2</v>
      </c>
      <c r="H842" s="1525">
        <v>41.4</v>
      </c>
      <c r="I842" s="174"/>
      <c r="J842" s="164"/>
      <c r="K842" s="164"/>
      <c r="L842" s="41"/>
      <c r="M842" s="41"/>
      <c r="N842" s="41"/>
      <c r="O842" s="5"/>
      <c r="P842" s="5"/>
      <c r="Q842" s="5"/>
      <c r="R842" s="5"/>
      <c r="S842" s="5"/>
      <c r="T842" s="1175"/>
      <c r="U842" s="5"/>
      <c r="V842" s="1175"/>
      <c r="W842" s="93"/>
      <c r="X842" s="1"/>
      <c r="Y842" s="72"/>
      <c r="Z842" s="218"/>
      <c r="AA842" s="7"/>
    </row>
    <row r="843" spans="1:27" s="613" customFormat="1" ht="15" customHeight="1">
      <c r="A843" s="53"/>
      <c r="B843" s="1850" t="s">
        <v>2395</v>
      </c>
      <c r="C843" s="817"/>
      <c r="D843" s="817"/>
      <c r="E843" s="817"/>
      <c r="F843" s="817"/>
      <c r="G843" s="1784">
        <v>5.67E-2</v>
      </c>
      <c r="H843" s="1525">
        <v>41.4</v>
      </c>
      <c r="I843" s="174"/>
      <c r="J843" s="164"/>
      <c r="K843" s="164"/>
      <c r="L843" s="41"/>
      <c r="M843" s="41"/>
      <c r="N843" s="41"/>
      <c r="O843" s="5"/>
      <c r="P843" s="5"/>
      <c r="Q843" s="5"/>
      <c r="R843" s="5"/>
      <c r="S843" s="5"/>
      <c r="T843" s="1175"/>
      <c r="U843" s="5"/>
      <c r="V843" s="1175"/>
      <c r="W843" s="93"/>
      <c r="X843" s="1"/>
      <c r="Y843" s="72"/>
      <c r="Z843" s="218"/>
      <c r="AA843" s="7"/>
    </row>
    <row r="844" spans="1:27" s="163" customFormat="1" ht="15" customHeight="1">
      <c r="A844" s="53"/>
      <c r="B844" s="1850" t="s">
        <v>2396</v>
      </c>
      <c r="C844" s="817"/>
      <c r="D844" s="817"/>
      <c r="E844" s="817"/>
      <c r="F844" s="817"/>
      <c r="G844" s="1784">
        <v>0.12590000000000001</v>
      </c>
      <c r="H844" s="1525">
        <v>92</v>
      </c>
      <c r="I844" s="174"/>
      <c r="J844" s="164"/>
      <c r="K844" s="164"/>
      <c r="L844" s="41"/>
      <c r="M844" s="41"/>
      <c r="N844" s="41"/>
      <c r="O844" s="5"/>
      <c r="P844" s="5"/>
      <c r="Q844" s="5"/>
      <c r="R844" s="5"/>
      <c r="S844" s="5"/>
      <c r="T844" s="1175"/>
      <c r="U844" s="5"/>
      <c r="V844" s="1175"/>
      <c r="W844" s="93"/>
      <c r="X844" s="1"/>
      <c r="Y844" s="72"/>
      <c r="Z844" s="218"/>
      <c r="AA844" s="7"/>
    </row>
    <row r="845" spans="1:27" s="163" customFormat="1" ht="15" customHeight="1">
      <c r="A845" s="53"/>
      <c r="B845" s="1850" t="s">
        <v>2393</v>
      </c>
      <c r="C845" s="817"/>
      <c r="D845" s="817"/>
      <c r="E845" s="817"/>
      <c r="F845" s="817"/>
      <c r="G845" s="1784">
        <v>0.12590000000000001</v>
      </c>
      <c r="H845" s="1525">
        <v>92</v>
      </c>
      <c r="I845" s="174"/>
      <c r="J845" s="164"/>
      <c r="K845" s="164"/>
      <c r="L845" s="41"/>
      <c r="M845" s="41"/>
      <c r="N845" s="41"/>
      <c r="O845" s="5"/>
      <c r="P845" s="5"/>
      <c r="Q845" s="5"/>
      <c r="R845" s="5"/>
      <c r="S845" s="5"/>
      <c r="T845" s="1175"/>
      <c r="U845" s="5"/>
      <c r="V845" s="1175"/>
      <c r="W845" s="93"/>
      <c r="X845" s="1"/>
      <c r="Y845" s="72"/>
      <c r="Z845" s="218"/>
      <c r="AA845" s="7"/>
    </row>
    <row r="846" spans="1:27" s="163" customFormat="1" ht="15" customHeight="1">
      <c r="A846" s="53"/>
      <c r="B846" s="1850" t="s">
        <v>2725</v>
      </c>
      <c r="C846" s="817"/>
      <c r="D846" s="817"/>
      <c r="E846" s="817"/>
      <c r="F846" s="817"/>
      <c r="G846" s="1784">
        <v>0.12590000000000001</v>
      </c>
      <c r="H846" s="1525">
        <v>92</v>
      </c>
      <c r="I846" s="174"/>
      <c r="J846" s="164"/>
      <c r="K846" s="164"/>
      <c r="L846" s="41"/>
      <c r="M846" s="41"/>
      <c r="N846" s="41"/>
      <c r="O846" s="5"/>
      <c r="P846" s="5"/>
      <c r="Q846" s="5"/>
      <c r="R846" s="5"/>
      <c r="S846" s="5"/>
      <c r="T846" s="1175"/>
      <c r="U846" s="5"/>
      <c r="V846" s="1175"/>
      <c r="W846" s="93"/>
      <c r="X846" s="1"/>
      <c r="Y846" s="72"/>
      <c r="Z846" s="218"/>
      <c r="AA846" s="7"/>
    </row>
    <row r="847" spans="1:27" s="163" customFormat="1" ht="15" customHeight="1">
      <c r="A847" s="53"/>
      <c r="B847" s="1850" t="s">
        <v>2607</v>
      </c>
      <c r="C847" s="817"/>
      <c r="D847" s="817"/>
      <c r="E847" s="817"/>
      <c r="F847" s="817"/>
      <c r="G847" s="1784">
        <v>5.67E-2</v>
      </c>
      <c r="H847" s="1525">
        <v>41.4</v>
      </c>
      <c r="I847" s="174"/>
      <c r="J847" s="164"/>
      <c r="K847" s="164"/>
      <c r="L847" s="41"/>
      <c r="M847" s="41"/>
      <c r="N847" s="41"/>
      <c r="O847" s="5"/>
      <c r="P847" s="5"/>
      <c r="Q847" s="5"/>
      <c r="R847" s="5"/>
      <c r="S847" s="5"/>
      <c r="T847" s="1175"/>
      <c r="U847" s="5"/>
      <c r="V847" s="1175"/>
      <c r="W847" s="93"/>
      <c r="X847" s="1"/>
      <c r="Y847" s="72"/>
      <c r="Z847" s="218"/>
      <c r="AA847" s="7"/>
    </row>
    <row r="848" spans="1:27" s="613" customFormat="1" ht="15" customHeight="1">
      <c r="A848" s="53"/>
      <c r="B848" s="1850" t="s">
        <v>2366</v>
      </c>
      <c r="C848" s="817"/>
      <c r="D848" s="817"/>
      <c r="E848" s="817"/>
      <c r="F848" s="817"/>
      <c r="G848" s="1784">
        <v>5.67E-2</v>
      </c>
      <c r="H848" s="1525">
        <v>41.4</v>
      </c>
      <c r="I848" s="174"/>
      <c r="J848" s="164"/>
      <c r="K848" s="164"/>
      <c r="L848" s="41"/>
      <c r="M848" s="41"/>
      <c r="N848" s="41"/>
      <c r="O848" s="5"/>
      <c r="P848" s="5"/>
      <c r="Q848" s="5"/>
      <c r="R848" s="5"/>
      <c r="S848" s="5"/>
      <c r="T848" s="1175"/>
      <c r="U848" s="5"/>
      <c r="V848" s="1175"/>
      <c r="W848" s="93"/>
      <c r="X848" s="1"/>
      <c r="Y848" s="72"/>
      <c r="Z848" s="218"/>
      <c r="AA848" s="7"/>
    </row>
    <row r="849" spans="1:27" s="613" customFormat="1" ht="15" customHeight="1">
      <c r="A849" s="53"/>
      <c r="B849" s="1850" t="s">
        <v>2367</v>
      </c>
      <c r="C849" s="817"/>
      <c r="D849" s="817"/>
      <c r="E849" s="817"/>
      <c r="F849" s="817"/>
      <c r="G849" s="1784">
        <v>0.12590000000000001</v>
      </c>
      <c r="H849" s="1525">
        <v>92</v>
      </c>
      <c r="I849" s="174"/>
      <c r="J849" s="164"/>
      <c r="K849" s="164"/>
      <c r="L849" s="41"/>
      <c r="M849" s="41"/>
      <c r="N849" s="41"/>
      <c r="O849" s="5"/>
      <c r="P849" s="5"/>
      <c r="Q849" s="5"/>
      <c r="R849" s="5"/>
      <c r="S849" s="5"/>
      <c r="T849" s="1175"/>
      <c r="U849" s="5"/>
      <c r="V849" s="1175"/>
      <c r="W849" s="93"/>
      <c r="X849" s="1"/>
      <c r="Y849" s="72"/>
      <c r="Z849" s="218"/>
      <c r="AA849" s="7"/>
    </row>
    <row r="850" spans="1:27" s="613" customFormat="1" ht="15" customHeight="1">
      <c r="A850" s="53"/>
      <c r="B850" s="1850" t="s">
        <v>2368</v>
      </c>
      <c r="C850" s="817"/>
      <c r="D850" s="817"/>
      <c r="E850" s="817"/>
      <c r="F850" s="817"/>
      <c r="G850" s="1784">
        <v>0.12590000000000001</v>
      </c>
      <c r="H850" s="1525">
        <v>92</v>
      </c>
      <c r="I850" s="174"/>
      <c r="J850" s="164"/>
      <c r="K850" s="164"/>
      <c r="L850" s="41"/>
      <c r="M850" s="41"/>
      <c r="N850" s="41"/>
      <c r="O850" s="5"/>
      <c r="P850" s="5"/>
      <c r="Q850" s="5"/>
      <c r="R850" s="5"/>
      <c r="S850" s="5"/>
      <c r="T850" s="1175"/>
      <c r="U850" s="5"/>
      <c r="V850" s="1175"/>
      <c r="W850" s="93"/>
      <c r="X850" s="1"/>
      <c r="Y850" s="72"/>
      <c r="Z850" s="218"/>
      <c r="AA850" s="7"/>
    </row>
    <row r="851" spans="1:27" s="613" customFormat="1" ht="15" customHeight="1">
      <c r="A851" s="53"/>
      <c r="B851" s="1850" t="s">
        <v>2726</v>
      </c>
      <c r="C851" s="817"/>
      <c r="D851" s="817"/>
      <c r="E851" s="817"/>
      <c r="F851" s="817"/>
      <c r="G851" s="1784">
        <v>0.12590000000000001</v>
      </c>
      <c r="H851" s="1525">
        <v>92</v>
      </c>
      <c r="I851" s="174"/>
      <c r="J851" s="164"/>
      <c r="K851" s="164"/>
      <c r="L851" s="41"/>
      <c r="M851" s="41"/>
      <c r="N851" s="41"/>
      <c r="O851" s="5"/>
      <c r="P851" s="5"/>
      <c r="Q851" s="5"/>
      <c r="R851" s="5"/>
      <c r="S851" s="5"/>
      <c r="T851" s="1175"/>
      <c r="U851" s="5"/>
      <c r="V851" s="1175"/>
      <c r="W851" s="93"/>
      <c r="X851" s="1"/>
      <c r="Y851" s="72"/>
      <c r="Z851" s="218"/>
      <c r="AA851" s="7"/>
    </row>
    <row r="852" spans="1:27" s="613" customFormat="1" ht="15" customHeight="1">
      <c r="A852" s="53"/>
      <c r="B852" s="1850" t="s">
        <v>2649</v>
      </c>
      <c r="C852" s="817"/>
      <c r="D852" s="817"/>
      <c r="E852" s="817"/>
      <c r="F852" s="817"/>
      <c r="G852" s="1784">
        <v>5.67E-2</v>
      </c>
      <c r="H852" s="1525">
        <v>41.4</v>
      </c>
      <c r="I852" s="174"/>
      <c r="J852" s="164"/>
      <c r="K852" s="164"/>
      <c r="L852" s="41"/>
      <c r="M852" s="41"/>
      <c r="N852" s="41"/>
      <c r="O852" s="5"/>
      <c r="P852" s="5"/>
      <c r="Q852" s="5"/>
      <c r="R852" s="5"/>
      <c r="S852" s="5"/>
      <c r="T852" s="1175"/>
      <c r="U852" s="5"/>
      <c r="V852" s="1175"/>
      <c r="W852" s="93"/>
      <c r="X852" s="1"/>
      <c r="Y852" s="72"/>
      <c r="Z852" s="218"/>
      <c r="AA852" s="7"/>
    </row>
    <row r="853" spans="1:27" s="613" customFormat="1" ht="15" customHeight="1">
      <c r="A853" s="53"/>
      <c r="B853" s="1850" t="s">
        <v>2650</v>
      </c>
      <c r="C853" s="817"/>
      <c r="D853" s="817"/>
      <c r="E853" s="817"/>
      <c r="F853" s="817"/>
      <c r="G853" s="1784">
        <v>5.67E-2</v>
      </c>
      <c r="H853" s="1525">
        <v>41.4</v>
      </c>
      <c r="I853" s="174"/>
      <c r="J853" s="164"/>
      <c r="K853" s="164"/>
      <c r="L853" s="41"/>
      <c r="M853" s="41"/>
      <c r="N853" s="41"/>
      <c r="O853" s="5"/>
      <c r="P853" s="5"/>
      <c r="Q853" s="5"/>
      <c r="R853" s="5"/>
      <c r="S853" s="5"/>
      <c r="T853" s="1175"/>
      <c r="U853" s="5"/>
      <c r="V853" s="1175"/>
      <c r="W853" s="93"/>
      <c r="X853" s="1"/>
      <c r="Y853" s="72"/>
      <c r="Z853" s="218"/>
      <c r="AA853" s="7"/>
    </row>
    <row r="854" spans="1:27" s="613" customFormat="1" ht="15" customHeight="1">
      <c r="A854" s="53"/>
      <c r="B854" s="1850" t="s">
        <v>2651</v>
      </c>
      <c r="C854" s="817"/>
      <c r="D854" s="817"/>
      <c r="E854" s="817"/>
      <c r="F854" s="817"/>
      <c r="G854" s="1784">
        <v>0.12590000000000001</v>
      </c>
      <c r="H854" s="1525">
        <v>92</v>
      </c>
      <c r="I854" s="174"/>
      <c r="J854" s="164"/>
      <c r="K854" s="164"/>
      <c r="L854" s="41"/>
      <c r="M854" s="41"/>
      <c r="N854" s="41"/>
      <c r="O854" s="5"/>
      <c r="P854" s="5"/>
      <c r="Q854" s="5"/>
      <c r="R854" s="5"/>
      <c r="S854" s="5"/>
      <c r="T854" s="1175"/>
      <c r="U854" s="5"/>
      <c r="V854" s="1175"/>
      <c r="W854" s="93"/>
      <c r="X854" s="1"/>
      <c r="Y854" s="72"/>
      <c r="Z854" s="218"/>
      <c r="AA854" s="7"/>
    </row>
    <row r="855" spans="1:27" s="613" customFormat="1" ht="15" customHeight="1">
      <c r="A855" s="53"/>
      <c r="B855" s="1850" t="s">
        <v>2652</v>
      </c>
      <c r="C855" s="817"/>
      <c r="D855" s="817"/>
      <c r="E855" s="817"/>
      <c r="F855" s="817"/>
      <c r="G855" s="1784">
        <v>0.12590000000000001</v>
      </c>
      <c r="H855" s="1525">
        <v>92</v>
      </c>
      <c r="I855" s="174"/>
      <c r="J855" s="164"/>
      <c r="K855" s="164"/>
      <c r="L855" s="41"/>
      <c r="M855" s="41"/>
      <c r="N855" s="41"/>
      <c r="O855" s="5"/>
      <c r="P855" s="5"/>
      <c r="Q855" s="5"/>
      <c r="R855" s="5"/>
      <c r="S855" s="5"/>
      <c r="T855" s="1175"/>
      <c r="U855" s="5"/>
      <c r="V855" s="1175"/>
      <c r="W855" s="93"/>
      <c r="X855" s="1"/>
      <c r="Y855" s="72"/>
      <c r="Z855" s="218"/>
      <c r="AA855" s="7"/>
    </row>
    <row r="856" spans="1:27" s="613" customFormat="1" ht="15" customHeight="1">
      <c r="A856" s="53"/>
      <c r="B856" s="1850" t="s">
        <v>2644</v>
      </c>
      <c r="C856" s="817"/>
      <c r="D856" s="817"/>
      <c r="E856" s="817"/>
      <c r="F856" s="817"/>
      <c r="G856" s="1784">
        <v>5.67E-2</v>
      </c>
      <c r="H856" s="1525">
        <v>41.4</v>
      </c>
      <c r="I856" s="174"/>
      <c r="J856" s="164"/>
      <c r="K856" s="164"/>
      <c r="L856" s="41"/>
      <c r="M856" s="41"/>
      <c r="N856" s="41"/>
      <c r="O856" s="5"/>
      <c r="P856" s="5"/>
      <c r="Q856" s="5"/>
      <c r="R856" s="5"/>
      <c r="S856" s="5"/>
      <c r="T856" s="1175"/>
      <c r="U856" s="5"/>
      <c r="V856" s="1175"/>
      <c r="W856" s="93"/>
      <c r="X856" s="1"/>
      <c r="Y856" s="72"/>
      <c r="Z856" s="218"/>
      <c r="AA856" s="7"/>
    </row>
    <row r="857" spans="1:27" s="613" customFormat="1" ht="15" customHeight="1">
      <c r="A857" s="53"/>
      <c r="B857" s="1850" t="s">
        <v>2645</v>
      </c>
      <c r="C857" s="817"/>
      <c r="D857" s="817"/>
      <c r="E857" s="817"/>
      <c r="F857" s="817"/>
      <c r="G857" s="1784">
        <v>5.67E-2</v>
      </c>
      <c r="H857" s="1525">
        <v>41.4</v>
      </c>
      <c r="I857" s="174"/>
      <c r="J857" s="164"/>
      <c r="K857" s="164"/>
      <c r="L857" s="41"/>
      <c r="M857" s="41"/>
      <c r="N857" s="41"/>
      <c r="O857" s="5"/>
      <c r="P857" s="5"/>
      <c r="Q857" s="5"/>
      <c r="R857" s="5"/>
      <c r="S857" s="5"/>
      <c r="T857" s="1175"/>
      <c r="U857" s="5"/>
      <c r="V857" s="1175"/>
      <c r="W857" s="93"/>
      <c r="X857" s="1"/>
      <c r="Y857" s="72"/>
      <c r="Z857" s="218"/>
      <c r="AA857" s="7"/>
    </row>
    <row r="858" spans="1:27" s="613" customFormat="1" ht="15" customHeight="1">
      <c r="A858" s="53"/>
      <c r="B858" s="1850" t="s">
        <v>2646</v>
      </c>
      <c r="C858" s="817"/>
      <c r="D858" s="817"/>
      <c r="E858" s="817"/>
      <c r="F858" s="817"/>
      <c r="G858" s="1784">
        <v>0.12590000000000001</v>
      </c>
      <c r="H858" s="1525">
        <v>92</v>
      </c>
      <c r="I858" s="174"/>
      <c r="J858" s="164"/>
      <c r="K858" s="164"/>
      <c r="L858" s="41"/>
      <c r="M858" s="41"/>
      <c r="N858" s="41"/>
      <c r="O858" s="5"/>
      <c r="P858" s="5"/>
      <c r="Q858" s="5"/>
      <c r="R858" s="5"/>
      <c r="S858" s="5"/>
      <c r="T858" s="1175"/>
      <c r="U858" s="5"/>
      <c r="V858" s="1175"/>
      <c r="W858" s="93"/>
      <c r="X858" s="1"/>
      <c r="Y858" s="72"/>
      <c r="Z858" s="218"/>
      <c r="AA858" s="7"/>
    </row>
    <row r="859" spans="1:27" s="613" customFormat="1" ht="15" customHeight="1">
      <c r="A859" s="53"/>
      <c r="B859" s="1850" t="s">
        <v>2647</v>
      </c>
      <c r="C859" s="817"/>
      <c r="D859" s="817"/>
      <c r="E859" s="817"/>
      <c r="F859" s="817"/>
      <c r="G859" s="1784">
        <v>0.12590000000000001</v>
      </c>
      <c r="H859" s="1525">
        <v>92</v>
      </c>
      <c r="I859" s="174"/>
      <c r="J859" s="164"/>
      <c r="K859" s="164"/>
      <c r="L859" s="41"/>
      <c r="M859" s="41"/>
      <c r="N859" s="41"/>
      <c r="O859" s="5"/>
      <c r="P859" s="5"/>
      <c r="Q859" s="5"/>
      <c r="R859" s="5"/>
      <c r="S859" s="5"/>
      <c r="T859" s="1175"/>
      <c r="U859" s="5"/>
      <c r="V859" s="1175"/>
      <c r="W859" s="93"/>
      <c r="X859" s="1"/>
      <c r="Y859" s="72"/>
      <c r="Z859" s="218"/>
      <c r="AA859" s="7"/>
    </row>
    <row r="860" spans="1:27" s="613" customFormat="1" ht="15" customHeight="1">
      <c r="A860" s="53"/>
      <c r="B860" s="1850" t="s">
        <v>2648</v>
      </c>
      <c r="C860" s="817"/>
      <c r="D860" s="817"/>
      <c r="E860" s="817"/>
      <c r="F860" s="817"/>
      <c r="G860" s="1784">
        <v>0.12590000000000001</v>
      </c>
      <c r="H860" s="1525">
        <v>92</v>
      </c>
      <c r="I860" s="174"/>
      <c r="J860" s="164"/>
      <c r="K860" s="164"/>
      <c r="L860" s="41"/>
      <c r="M860" s="41"/>
      <c r="N860" s="41"/>
      <c r="O860" s="5"/>
      <c r="P860" s="5"/>
      <c r="Q860" s="5"/>
      <c r="R860" s="5"/>
      <c r="S860" s="5"/>
      <c r="T860" s="1175"/>
      <c r="U860" s="5"/>
      <c r="V860" s="1175"/>
      <c r="W860" s="93"/>
      <c r="X860" s="1"/>
      <c r="Y860" s="72"/>
      <c r="Z860" s="218"/>
      <c r="AA860" s="7"/>
    </row>
    <row r="861" spans="1:27" s="163" customFormat="1">
      <c r="A861" s="53"/>
      <c r="B861" s="1850" t="s">
        <v>2642</v>
      </c>
      <c r="C861" s="817"/>
      <c r="D861" s="817"/>
      <c r="E861" s="817"/>
      <c r="F861" s="817"/>
      <c r="G861" s="1784">
        <v>5.67E-2</v>
      </c>
      <c r="H861" s="1525">
        <v>41.4</v>
      </c>
      <c r="I861" s="174"/>
      <c r="J861" s="164"/>
      <c r="K861" s="164"/>
      <c r="L861" s="41"/>
      <c r="M861" s="41"/>
      <c r="N861" s="41"/>
      <c r="O861" s="5"/>
      <c r="P861" s="5"/>
      <c r="Q861" s="5"/>
      <c r="R861" s="5"/>
      <c r="S861" s="5"/>
      <c r="T861" s="1175"/>
      <c r="U861" s="5"/>
      <c r="V861" s="1175"/>
      <c r="W861" s="93"/>
      <c r="Y861" s="72"/>
      <c r="Z861" s="218"/>
      <c r="AA861" s="7"/>
    </row>
    <row r="862" spans="1:27" s="163" customFormat="1" ht="15" customHeight="1">
      <c r="A862" s="53"/>
      <c r="B862" s="1850" t="s">
        <v>2643</v>
      </c>
      <c r="C862" s="817"/>
      <c r="D862" s="817"/>
      <c r="E862" s="817"/>
      <c r="F862" s="817"/>
      <c r="G862" s="1784">
        <v>5.67E-2</v>
      </c>
      <c r="H862" s="1525">
        <v>41.4</v>
      </c>
      <c r="I862" s="174"/>
      <c r="J862" s="164"/>
      <c r="K862" s="164"/>
      <c r="L862" s="41"/>
      <c r="M862" s="41"/>
      <c r="N862" s="41"/>
      <c r="O862" s="5"/>
      <c r="P862" s="5"/>
      <c r="Q862" s="5"/>
      <c r="R862" s="5"/>
      <c r="S862" s="5"/>
      <c r="T862" s="1175"/>
      <c r="U862" s="5"/>
      <c r="V862" s="1175"/>
      <c r="W862" s="93"/>
      <c r="Y862" s="72"/>
      <c r="Z862" s="218"/>
      <c r="AA862" s="7"/>
    </row>
    <row r="863" spans="1:27" s="163" customFormat="1" ht="15" customHeight="1">
      <c r="A863" s="53"/>
      <c r="B863" s="1850" t="s">
        <v>2383</v>
      </c>
      <c r="C863" s="817"/>
      <c r="D863" s="817"/>
      <c r="E863" s="817"/>
      <c r="F863" s="817"/>
      <c r="G863" s="1784">
        <v>0.12590000000000001</v>
      </c>
      <c r="H863" s="1525">
        <v>92</v>
      </c>
      <c r="I863" s="174"/>
      <c r="J863" s="164"/>
      <c r="K863" s="164"/>
      <c r="L863" s="41"/>
      <c r="M863" s="41"/>
      <c r="N863" s="41"/>
      <c r="O863" s="5"/>
      <c r="P863" s="5"/>
      <c r="Q863" s="5"/>
      <c r="R863" s="5"/>
      <c r="S863" s="5"/>
      <c r="T863" s="1175"/>
      <c r="U863" s="5"/>
      <c r="V863" s="1175"/>
      <c r="W863" s="93"/>
      <c r="Y863" s="72"/>
      <c r="Z863" s="218"/>
      <c r="AA863" s="7"/>
    </row>
    <row r="864" spans="1:27" s="163" customFormat="1">
      <c r="A864" s="53"/>
      <c r="B864" s="1850" t="s">
        <v>2440</v>
      </c>
      <c r="C864" s="817"/>
      <c r="D864" s="817"/>
      <c r="E864" s="817"/>
      <c r="F864" s="817"/>
      <c r="G864" s="1784">
        <v>0.12590000000000001</v>
      </c>
      <c r="H864" s="1525">
        <v>92</v>
      </c>
      <c r="I864" s="174"/>
      <c r="J864" s="164"/>
      <c r="K864" s="164"/>
      <c r="L864" s="41"/>
      <c r="M864" s="41"/>
      <c r="N864" s="41"/>
      <c r="O864" s="5"/>
      <c r="P864" s="5"/>
      <c r="Q864" s="5"/>
      <c r="R864" s="5"/>
      <c r="S864" s="5"/>
      <c r="T864" s="1175"/>
      <c r="U864" s="5"/>
      <c r="V864" s="1175"/>
      <c r="W864" s="93"/>
      <c r="Y864" s="72"/>
      <c r="Z864" s="218"/>
      <c r="AA864" s="7"/>
    </row>
    <row r="865" spans="1:27" s="163" customFormat="1">
      <c r="A865" s="53"/>
      <c r="B865" s="1850" t="s">
        <v>2384</v>
      </c>
      <c r="C865" s="817"/>
      <c r="D865" s="817"/>
      <c r="E865" s="817"/>
      <c r="F865" s="817"/>
      <c r="G865" s="1784">
        <v>0.12590000000000001</v>
      </c>
      <c r="H865" s="1525">
        <v>92</v>
      </c>
      <c r="I865" s="174"/>
      <c r="J865" s="164"/>
      <c r="K865" s="164"/>
      <c r="L865" s="41"/>
      <c r="M865" s="41"/>
      <c r="N865" s="41"/>
      <c r="O865" s="5"/>
      <c r="P865" s="5"/>
      <c r="Q865" s="5"/>
      <c r="R865" s="5"/>
      <c r="S865" s="5"/>
      <c r="T865" s="1175"/>
      <c r="U865" s="5"/>
      <c r="V865" s="1175"/>
      <c r="W865" s="93"/>
      <c r="Y865" s="72"/>
      <c r="Z865" s="218"/>
      <c r="AA865" s="7"/>
    </row>
    <row r="866" spans="1:27" s="163" customFormat="1">
      <c r="A866" s="53"/>
      <c r="B866" s="1850" t="s">
        <v>2441</v>
      </c>
      <c r="C866" s="817"/>
      <c r="D866" s="817"/>
      <c r="E866" s="817"/>
      <c r="F866" s="817"/>
      <c r="G866" s="1784">
        <v>0.12590000000000001</v>
      </c>
      <c r="H866" s="1525">
        <v>92</v>
      </c>
      <c r="I866" s="174"/>
      <c r="J866" s="164"/>
      <c r="K866" s="164"/>
      <c r="L866" s="41"/>
      <c r="M866" s="41"/>
      <c r="N866" s="41"/>
      <c r="O866" s="5"/>
      <c r="P866" s="5"/>
      <c r="Q866" s="5"/>
      <c r="R866" s="5"/>
      <c r="S866" s="5"/>
      <c r="T866" s="1175"/>
      <c r="U866" s="5"/>
      <c r="V866" s="1175"/>
      <c r="W866" s="93"/>
      <c r="Y866" s="72"/>
      <c r="Z866" s="218"/>
      <c r="AA866" s="7"/>
    </row>
    <row r="867" spans="1:27" s="333" customFormat="1">
      <c r="A867" s="53"/>
      <c r="B867" s="1850" t="s">
        <v>2385</v>
      </c>
      <c r="C867" s="817"/>
      <c r="D867" s="817"/>
      <c r="E867" s="817"/>
      <c r="F867" s="817"/>
      <c r="G867" s="1784">
        <v>0.12590000000000001</v>
      </c>
      <c r="H867" s="1525">
        <v>92</v>
      </c>
      <c r="I867" s="174"/>
      <c r="J867" s="164"/>
      <c r="K867" s="164"/>
      <c r="L867" s="41"/>
      <c r="M867" s="41"/>
      <c r="N867" s="41"/>
      <c r="O867" s="5"/>
      <c r="P867" s="5"/>
      <c r="Q867" s="5"/>
      <c r="R867" s="5"/>
      <c r="S867" s="5"/>
      <c r="T867" s="1175"/>
      <c r="U867" s="5"/>
      <c r="V867" s="1175"/>
      <c r="W867" s="93"/>
      <c r="Y867" s="72"/>
      <c r="Z867" s="218"/>
      <c r="AA867" s="7"/>
    </row>
    <row r="868" spans="1:27" s="333" customFormat="1">
      <c r="A868" s="53"/>
      <c r="B868" s="1850" t="s">
        <v>2386</v>
      </c>
      <c r="C868" s="817"/>
      <c r="D868" s="817"/>
      <c r="E868" s="817"/>
      <c r="F868" s="817"/>
      <c r="G868" s="1784">
        <v>0.12590000000000001</v>
      </c>
      <c r="H868" s="1525">
        <v>92</v>
      </c>
      <c r="I868" s="174"/>
      <c r="J868" s="164"/>
      <c r="K868" s="164"/>
      <c r="L868" s="41"/>
      <c r="M868" s="41"/>
      <c r="N868" s="41"/>
      <c r="O868" s="5"/>
      <c r="P868" s="5"/>
      <c r="Q868" s="5"/>
      <c r="R868" s="5"/>
      <c r="S868" s="5"/>
      <c r="T868" s="1175"/>
      <c r="U868" s="5"/>
      <c r="V868" s="1175"/>
      <c r="W868" s="93"/>
      <c r="Y868" s="72"/>
      <c r="Z868" s="218"/>
      <c r="AA868" s="7"/>
    </row>
    <row r="869" spans="1:27" s="1489" customFormat="1">
      <c r="A869" s="1491"/>
      <c r="B869" s="1847" t="s">
        <v>2795</v>
      </c>
      <c r="C869" s="817"/>
      <c r="D869" s="817"/>
      <c r="E869" s="817"/>
      <c r="F869" s="817"/>
      <c r="G869" s="1784">
        <v>5.67E-2</v>
      </c>
      <c r="H869" s="1864">
        <v>41.4</v>
      </c>
      <c r="I869" s="174"/>
      <c r="J869" s="164"/>
      <c r="K869" s="164"/>
      <c r="L869" s="1407"/>
      <c r="M869" s="1407"/>
      <c r="N869" s="1407"/>
      <c r="O869" s="1175"/>
      <c r="P869" s="1175"/>
      <c r="Q869" s="1175"/>
      <c r="R869" s="1175"/>
      <c r="S869" s="1175"/>
      <c r="T869" s="1175"/>
      <c r="U869" s="1175"/>
      <c r="V869" s="1175"/>
      <c r="W869" s="1190"/>
      <c r="Y869" s="1189"/>
      <c r="Z869" s="1492"/>
      <c r="AA869" s="1493"/>
    </row>
    <row r="870" spans="1:27" s="1489" customFormat="1">
      <c r="A870" s="1491"/>
      <c r="B870" s="1847" t="s">
        <v>2796</v>
      </c>
      <c r="C870" s="817"/>
      <c r="D870" s="817"/>
      <c r="E870" s="817"/>
      <c r="F870" s="817"/>
      <c r="G870" s="1784">
        <v>5.67E-2</v>
      </c>
      <c r="H870" s="1864">
        <v>41.4</v>
      </c>
      <c r="I870" s="174"/>
      <c r="J870" s="164"/>
      <c r="K870" s="164"/>
      <c r="L870" s="1407"/>
      <c r="M870" s="1407"/>
      <c r="N870" s="1407"/>
      <c r="O870" s="1175"/>
      <c r="P870" s="1175"/>
      <c r="Q870" s="1175"/>
      <c r="R870" s="1175"/>
      <c r="S870" s="1175"/>
      <c r="T870" s="1175"/>
      <c r="U870" s="1175"/>
      <c r="V870" s="1175"/>
      <c r="W870" s="1190"/>
      <c r="Y870" s="1189"/>
      <c r="Z870" s="1492"/>
      <c r="AA870" s="1493"/>
    </row>
    <row r="871" spans="1:27" s="1489" customFormat="1">
      <c r="A871" s="1491"/>
      <c r="B871" s="1847" t="s">
        <v>2797</v>
      </c>
      <c r="C871" s="817"/>
      <c r="D871" s="817"/>
      <c r="E871" s="817"/>
      <c r="F871" s="817"/>
      <c r="G871" s="1784">
        <v>0.12590000000000001</v>
      </c>
      <c r="H871" s="1864">
        <v>92</v>
      </c>
      <c r="I871" s="174"/>
      <c r="J871" s="164"/>
      <c r="K871" s="164"/>
      <c r="L871" s="1407"/>
      <c r="M871" s="1407"/>
      <c r="N871" s="1407"/>
      <c r="O871" s="1175"/>
      <c r="P871" s="1175"/>
      <c r="Q871" s="1175"/>
      <c r="R871" s="1175"/>
      <c r="S871" s="1175"/>
      <c r="T871" s="1175"/>
      <c r="U871" s="1175"/>
      <c r="V871" s="1175"/>
      <c r="W871" s="1190"/>
      <c r="Y871" s="1189"/>
      <c r="Z871" s="1492"/>
      <c r="AA871" s="1493"/>
    </row>
    <row r="872" spans="1:27" s="1489" customFormat="1">
      <c r="A872" s="1491"/>
      <c r="B872" s="1847" t="s">
        <v>2798</v>
      </c>
      <c r="C872" s="817"/>
      <c r="D872" s="817"/>
      <c r="E872" s="817"/>
      <c r="F872" s="817"/>
      <c r="G872" s="1784">
        <v>0.12590000000000001</v>
      </c>
      <c r="H872" s="1864">
        <v>92</v>
      </c>
      <c r="I872" s="174"/>
      <c r="J872" s="164"/>
      <c r="K872" s="164"/>
      <c r="L872" s="1407"/>
      <c r="M872" s="1407"/>
      <c r="N872" s="1407"/>
      <c r="O872" s="1175"/>
      <c r="P872" s="1175"/>
      <c r="Q872" s="1175"/>
      <c r="R872" s="1175"/>
      <c r="S872" s="1175"/>
      <c r="T872" s="1175"/>
      <c r="U872" s="1175"/>
      <c r="V872" s="1175"/>
      <c r="W872" s="1190"/>
      <c r="Y872" s="1189"/>
      <c r="Z872" s="1492"/>
      <c r="AA872" s="1493"/>
    </row>
    <row r="873" spans="1:27" s="1489" customFormat="1">
      <c r="A873" s="1491"/>
      <c r="B873" s="1847" t="s">
        <v>2799</v>
      </c>
      <c r="C873" s="817"/>
      <c r="D873" s="817"/>
      <c r="E873" s="817"/>
      <c r="F873" s="817"/>
      <c r="G873" s="1784">
        <v>0.12590000000000001</v>
      </c>
      <c r="H873" s="1864">
        <v>92</v>
      </c>
      <c r="I873" s="174"/>
      <c r="J873" s="164"/>
      <c r="K873" s="164"/>
      <c r="L873" s="1407"/>
      <c r="M873" s="1407"/>
      <c r="N873" s="1407"/>
      <c r="O873" s="1175"/>
      <c r="P873" s="1175"/>
      <c r="Q873" s="1175"/>
      <c r="R873" s="1175"/>
      <c r="S873" s="1175"/>
      <c r="T873" s="1175"/>
      <c r="U873" s="1175"/>
      <c r="V873" s="1175"/>
      <c r="W873" s="1190"/>
      <c r="Y873" s="1189"/>
      <c r="Z873" s="1492"/>
      <c r="AA873" s="1493"/>
    </row>
    <row r="874" spans="1:27" s="1489" customFormat="1">
      <c r="A874" s="1491"/>
      <c r="B874" s="1847" t="s">
        <v>2800</v>
      </c>
      <c r="C874" s="817"/>
      <c r="D874" s="817"/>
      <c r="E874" s="817"/>
      <c r="F874" s="817"/>
      <c r="G874" s="1784">
        <v>0.12590000000000001</v>
      </c>
      <c r="H874" s="1864">
        <v>92</v>
      </c>
      <c r="I874" s="174"/>
      <c r="J874" s="164"/>
      <c r="K874" s="164"/>
      <c r="L874" s="1407"/>
      <c r="M874" s="1407"/>
      <c r="N874" s="1407"/>
      <c r="O874" s="1175"/>
      <c r="P874" s="1175"/>
      <c r="Q874" s="1175"/>
      <c r="R874" s="1175"/>
      <c r="S874" s="1175"/>
      <c r="T874" s="1175"/>
      <c r="U874" s="1175"/>
      <c r="V874" s="1175"/>
      <c r="W874" s="1190"/>
      <c r="Y874" s="1189"/>
      <c r="Z874" s="1492"/>
      <c r="AA874" s="1493"/>
    </row>
    <row r="875" spans="1:27" s="1489" customFormat="1">
      <c r="A875" s="1491"/>
      <c r="B875" s="1847" t="s">
        <v>2801</v>
      </c>
      <c r="C875" s="817"/>
      <c r="D875" s="817"/>
      <c r="E875" s="817"/>
      <c r="F875" s="817"/>
      <c r="G875" s="1784">
        <v>0.12590000000000001</v>
      </c>
      <c r="H875" s="1864">
        <v>92</v>
      </c>
      <c r="I875" s="174"/>
      <c r="J875" s="164"/>
      <c r="K875" s="164"/>
      <c r="L875" s="1407"/>
      <c r="M875" s="1407"/>
      <c r="N875" s="1407"/>
      <c r="O875" s="1175"/>
      <c r="P875" s="1175"/>
      <c r="Q875" s="1175"/>
      <c r="R875" s="1175"/>
      <c r="S875" s="1175"/>
      <c r="T875" s="1175"/>
      <c r="U875" s="1175"/>
      <c r="V875" s="1175"/>
      <c r="W875" s="1190"/>
      <c r="Y875" s="1189"/>
      <c r="Z875" s="1492"/>
      <c r="AA875" s="1493"/>
    </row>
    <row r="876" spans="1:27" s="333" customFormat="1">
      <c r="A876" s="53"/>
      <c r="B876" s="1850" t="s">
        <v>2613</v>
      </c>
      <c r="C876" s="817"/>
      <c r="D876" s="817"/>
      <c r="E876" s="817"/>
      <c r="F876" s="817"/>
      <c r="G876" s="1784">
        <v>5.67E-2</v>
      </c>
      <c r="H876" s="1525">
        <v>41.4</v>
      </c>
      <c r="I876" s="174"/>
      <c r="J876" s="164"/>
      <c r="K876" s="164"/>
      <c r="L876" s="41"/>
      <c r="M876" s="41"/>
      <c r="N876" s="41"/>
      <c r="O876" s="5"/>
      <c r="P876" s="5"/>
      <c r="Q876" s="5"/>
      <c r="R876" s="5"/>
      <c r="S876" s="5"/>
      <c r="T876" s="1175"/>
      <c r="U876" s="5"/>
      <c r="V876" s="1175"/>
      <c r="W876" s="93"/>
      <c r="Y876" s="72"/>
      <c r="Z876" s="218"/>
      <c r="AA876" s="7"/>
    </row>
    <row r="877" spans="1:27" s="333" customFormat="1">
      <c r="A877" s="53"/>
      <c r="B877" s="1850" t="s">
        <v>2614</v>
      </c>
      <c r="C877" s="817"/>
      <c r="D877" s="817"/>
      <c r="E877" s="817"/>
      <c r="F877" s="817"/>
      <c r="G877" s="1784">
        <v>5.67E-2</v>
      </c>
      <c r="H877" s="1525">
        <v>41.4</v>
      </c>
      <c r="I877" s="174"/>
      <c r="J877" s="164"/>
      <c r="K877" s="164"/>
      <c r="L877" s="41"/>
      <c r="M877" s="41"/>
      <c r="N877" s="41"/>
      <c r="O877" s="5"/>
      <c r="P877" s="5"/>
      <c r="Q877" s="5"/>
      <c r="R877" s="5"/>
      <c r="S877" s="5"/>
      <c r="T877" s="1175"/>
      <c r="U877" s="5"/>
      <c r="V877" s="1175"/>
      <c r="W877" s="93"/>
      <c r="Y877" s="72"/>
      <c r="Z877" s="218"/>
      <c r="AA877" s="7"/>
    </row>
    <row r="878" spans="1:27" s="104" customFormat="1" ht="15" customHeight="1">
      <c r="A878" s="141"/>
      <c r="B878" s="817" t="s">
        <v>2615</v>
      </c>
      <c r="C878" s="817"/>
      <c r="D878" s="817"/>
      <c r="E878" s="817"/>
      <c r="F878" s="817"/>
      <c r="G878" s="1784">
        <v>5.67E-2</v>
      </c>
      <c r="H878" s="1525">
        <v>41.4</v>
      </c>
      <c r="I878" s="281"/>
      <c r="J878" s="164"/>
      <c r="K878" s="164"/>
      <c r="L878" s="103"/>
      <c r="M878" s="103"/>
      <c r="N878" s="103"/>
      <c r="O878" s="42"/>
      <c r="P878" s="42"/>
      <c r="Q878" s="42"/>
      <c r="R878" s="42"/>
      <c r="S878" s="42"/>
      <c r="T878" s="1191"/>
      <c r="U878" s="42"/>
      <c r="V878" s="1191"/>
      <c r="W878" s="93"/>
      <c r="Y878" s="105"/>
      <c r="Z878" s="218"/>
      <c r="AA878" s="66"/>
    </row>
    <row r="879" spans="1:27" s="104" customFormat="1" ht="15" customHeight="1">
      <c r="A879" s="141"/>
      <c r="B879" s="817" t="s">
        <v>2616</v>
      </c>
      <c r="C879" s="817"/>
      <c r="D879" s="817"/>
      <c r="E879" s="817"/>
      <c r="F879" s="817"/>
      <c r="G879" s="1784">
        <v>0.12590000000000001</v>
      </c>
      <c r="H879" s="1525">
        <v>92</v>
      </c>
      <c r="I879" s="281"/>
      <c r="J879" s="164"/>
      <c r="K879" s="164"/>
      <c r="L879" s="103"/>
      <c r="M879" s="103"/>
      <c r="N879" s="103"/>
      <c r="O879" s="42"/>
      <c r="P879" s="42"/>
      <c r="Q879" s="42"/>
      <c r="R879" s="42"/>
      <c r="S879" s="42"/>
      <c r="T879" s="1191"/>
      <c r="U879" s="42"/>
      <c r="V879" s="1191"/>
      <c r="W879" s="93"/>
      <c r="Y879" s="105"/>
      <c r="Z879" s="218"/>
      <c r="AA879" s="66"/>
    </row>
    <row r="880" spans="1:27" s="331" customFormat="1" ht="15" customHeight="1">
      <c r="A880" s="141"/>
      <c r="B880" s="817" t="s">
        <v>2617</v>
      </c>
      <c r="C880" s="817"/>
      <c r="D880" s="817"/>
      <c r="E880" s="817"/>
      <c r="F880" s="817"/>
      <c r="G880" s="1784">
        <v>0.12590000000000001</v>
      </c>
      <c r="H880" s="1525">
        <v>92</v>
      </c>
      <c r="I880" s="281"/>
      <c r="J880" s="164"/>
      <c r="K880" s="164"/>
      <c r="L880" s="103"/>
      <c r="M880" s="103"/>
      <c r="N880" s="103"/>
      <c r="O880" s="42"/>
      <c r="P880" s="42"/>
      <c r="Q880" s="42"/>
      <c r="R880" s="42"/>
      <c r="S880" s="42"/>
      <c r="T880" s="1191"/>
      <c r="U880" s="42"/>
      <c r="V880" s="1191"/>
      <c r="W880" s="93"/>
      <c r="Y880" s="105"/>
      <c r="Z880" s="218"/>
      <c r="AA880" s="66"/>
    </row>
    <row r="881" spans="1:27" s="331" customFormat="1" ht="15" customHeight="1">
      <c r="A881" s="141"/>
      <c r="B881" s="817" t="s">
        <v>2618</v>
      </c>
      <c r="C881" s="817"/>
      <c r="D881" s="817"/>
      <c r="E881" s="817"/>
      <c r="F881" s="817"/>
      <c r="G881" s="1784">
        <v>0.12590000000000001</v>
      </c>
      <c r="H881" s="1525">
        <v>92</v>
      </c>
      <c r="I881" s="281"/>
      <c r="J881" s="164"/>
      <c r="K881" s="164"/>
      <c r="L881" s="103"/>
      <c r="M881" s="103"/>
      <c r="N881" s="103"/>
      <c r="O881" s="42"/>
      <c r="P881" s="42"/>
      <c r="Q881" s="42"/>
      <c r="R881" s="42"/>
      <c r="S881" s="42"/>
      <c r="T881" s="1191"/>
      <c r="U881" s="42"/>
      <c r="V881" s="1191"/>
      <c r="W881" s="93"/>
      <c r="Y881" s="105"/>
      <c r="Z881" s="218"/>
      <c r="AA881" s="66"/>
    </row>
    <row r="882" spans="1:27" s="331" customFormat="1" ht="15" customHeight="1">
      <c r="A882" s="141"/>
      <c r="B882" s="817" t="s">
        <v>2619</v>
      </c>
      <c r="C882" s="817"/>
      <c r="D882" s="817"/>
      <c r="E882" s="817"/>
      <c r="F882" s="817"/>
      <c r="G882" s="1784">
        <v>5.67E-2</v>
      </c>
      <c r="H882" s="1525">
        <v>41.4</v>
      </c>
      <c r="I882" s="281"/>
      <c r="J882" s="164"/>
      <c r="K882" s="164"/>
      <c r="L882" s="103"/>
      <c r="M882" s="103"/>
      <c r="N882" s="103"/>
      <c r="O882" s="42"/>
      <c r="P882" s="42"/>
      <c r="Q882" s="42"/>
      <c r="R882" s="42"/>
      <c r="S882" s="42"/>
      <c r="T882" s="1191"/>
      <c r="U882" s="42"/>
      <c r="V882" s="1191"/>
      <c r="W882" s="93"/>
      <c r="Y882" s="105"/>
      <c r="Z882" s="218"/>
      <c r="AA882" s="66"/>
    </row>
    <row r="883" spans="1:27" s="331" customFormat="1" ht="15" customHeight="1">
      <c r="A883" s="141"/>
      <c r="B883" s="817" t="s">
        <v>2620</v>
      </c>
      <c r="C883" s="817"/>
      <c r="D883" s="817"/>
      <c r="E883" s="817"/>
      <c r="F883" s="817"/>
      <c r="G883" s="1784">
        <v>5.67E-2</v>
      </c>
      <c r="H883" s="1525">
        <v>41.4</v>
      </c>
      <c r="I883" s="281"/>
      <c r="J883" s="164"/>
      <c r="K883" s="164"/>
      <c r="L883" s="103"/>
      <c r="M883" s="103"/>
      <c r="N883" s="103"/>
      <c r="O883" s="42"/>
      <c r="P883" s="42"/>
      <c r="Q883" s="42"/>
      <c r="R883" s="42"/>
      <c r="S883" s="42"/>
      <c r="T883" s="1191"/>
      <c r="U883" s="42"/>
      <c r="V883" s="1191"/>
      <c r="W883" s="93"/>
      <c r="Y883" s="105"/>
      <c r="Z883" s="218"/>
      <c r="AA883" s="66"/>
    </row>
    <row r="884" spans="1:27" s="331" customFormat="1" ht="15" customHeight="1">
      <c r="A884" s="141"/>
      <c r="B884" s="817" t="s">
        <v>2621</v>
      </c>
      <c r="C884" s="817"/>
      <c r="D884" s="817"/>
      <c r="E884" s="817"/>
      <c r="F884" s="817"/>
      <c r="G884" s="1784">
        <v>0.12590000000000001</v>
      </c>
      <c r="H884" s="1525">
        <v>92</v>
      </c>
      <c r="I884" s="281"/>
      <c r="J884" s="164"/>
      <c r="K884" s="164"/>
      <c r="L884" s="103"/>
      <c r="M884" s="103"/>
      <c r="N884" s="103"/>
      <c r="O884" s="42"/>
      <c r="P884" s="42"/>
      <c r="Q884" s="42"/>
      <c r="R884" s="42"/>
      <c r="S884" s="42"/>
      <c r="T884" s="1191"/>
      <c r="U884" s="42"/>
      <c r="V884" s="1191"/>
      <c r="W884" s="93"/>
      <c r="Y884" s="105"/>
      <c r="Z884" s="218"/>
      <c r="AA884" s="66"/>
    </row>
    <row r="885" spans="1:27" s="331" customFormat="1" ht="15" customHeight="1">
      <c r="A885" s="141"/>
      <c r="B885" s="817" t="s">
        <v>2622</v>
      </c>
      <c r="C885" s="817"/>
      <c r="D885" s="817"/>
      <c r="E885" s="817"/>
      <c r="F885" s="817"/>
      <c r="G885" s="1784">
        <v>0.12590000000000001</v>
      </c>
      <c r="H885" s="1525">
        <v>92</v>
      </c>
      <c r="I885" s="281"/>
      <c r="J885" s="164"/>
      <c r="K885" s="164"/>
      <c r="L885" s="103"/>
      <c r="M885" s="103"/>
      <c r="N885" s="103"/>
      <c r="O885" s="42"/>
      <c r="P885" s="42"/>
      <c r="Q885" s="42"/>
      <c r="R885" s="42"/>
      <c r="S885" s="42"/>
      <c r="T885" s="1191"/>
      <c r="U885" s="42"/>
      <c r="V885" s="1191"/>
      <c r="W885" s="93"/>
      <c r="Y885" s="105"/>
      <c r="Z885" s="218"/>
      <c r="AA885" s="66"/>
    </row>
    <row r="886" spans="1:27" s="331" customFormat="1" ht="15" customHeight="1">
      <c r="A886" s="141"/>
      <c r="B886" s="817" t="s">
        <v>2623</v>
      </c>
      <c r="C886" s="817"/>
      <c r="D886" s="817"/>
      <c r="E886" s="817"/>
      <c r="F886" s="817"/>
      <c r="G886" s="1784">
        <v>5.67E-2</v>
      </c>
      <c r="H886" s="1525">
        <v>41.4</v>
      </c>
      <c r="I886" s="281"/>
      <c r="J886" s="164"/>
      <c r="K886" s="164"/>
      <c r="L886" s="103"/>
      <c r="M886" s="103"/>
      <c r="N886" s="103"/>
      <c r="O886" s="42"/>
      <c r="P886" s="42"/>
      <c r="Q886" s="42"/>
      <c r="R886" s="42"/>
      <c r="S886" s="42"/>
      <c r="T886" s="1191"/>
      <c r="U886" s="42"/>
      <c r="V886" s="1191"/>
      <c r="W886" s="93"/>
      <c r="Y886" s="105"/>
      <c r="Z886" s="218"/>
      <c r="AA886" s="66"/>
    </row>
    <row r="887" spans="1:27" s="331" customFormat="1" ht="15" customHeight="1">
      <c r="A887" s="141"/>
      <c r="B887" s="817" t="s">
        <v>2624</v>
      </c>
      <c r="C887" s="817"/>
      <c r="D887" s="817"/>
      <c r="E887" s="817"/>
      <c r="F887" s="817"/>
      <c r="G887" s="1784">
        <v>5.67E-2</v>
      </c>
      <c r="H887" s="1525">
        <v>41.4</v>
      </c>
      <c r="I887" s="281"/>
      <c r="J887" s="164"/>
      <c r="K887" s="164"/>
      <c r="L887" s="103"/>
      <c r="M887" s="103"/>
      <c r="N887" s="103"/>
      <c r="O887" s="42"/>
      <c r="P887" s="42"/>
      <c r="Q887" s="42"/>
      <c r="R887" s="42"/>
      <c r="S887" s="42"/>
      <c r="T887" s="1191"/>
      <c r="U887" s="42"/>
      <c r="V887" s="1191"/>
      <c r="W887" s="93"/>
      <c r="Y887" s="105"/>
      <c r="Z887" s="218"/>
      <c r="AA887" s="66"/>
    </row>
    <row r="888" spans="1:27" s="331" customFormat="1" ht="15" customHeight="1">
      <c r="A888" s="141"/>
      <c r="B888" s="817" t="s">
        <v>2625</v>
      </c>
      <c r="C888" s="817"/>
      <c r="D888" s="817"/>
      <c r="E888" s="817"/>
      <c r="F888" s="817"/>
      <c r="G888" s="1784">
        <v>0.12590000000000001</v>
      </c>
      <c r="H888" s="1525">
        <v>92</v>
      </c>
      <c r="I888" s="281"/>
      <c r="J888" s="164"/>
      <c r="K888" s="164"/>
      <c r="L888" s="103"/>
      <c r="M888" s="103"/>
      <c r="N888" s="103"/>
      <c r="O888" s="42"/>
      <c r="P888" s="42"/>
      <c r="Q888" s="42"/>
      <c r="R888" s="42"/>
      <c r="S888" s="42"/>
      <c r="T888" s="1191"/>
      <c r="U888" s="42"/>
      <c r="V888" s="1191"/>
      <c r="W888" s="93"/>
      <c r="Y888" s="105"/>
      <c r="Z888" s="218"/>
      <c r="AA888" s="66"/>
    </row>
    <row r="889" spans="1:27" s="331" customFormat="1" ht="15" customHeight="1">
      <c r="A889" s="141"/>
      <c r="B889" s="817" t="s">
        <v>2369</v>
      </c>
      <c r="C889" s="817"/>
      <c r="D889" s="817"/>
      <c r="E889" s="817"/>
      <c r="F889" s="817"/>
      <c r="G889" s="1784">
        <v>0.12590000000000001</v>
      </c>
      <c r="H889" s="1525">
        <v>92</v>
      </c>
      <c r="I889" s="281"/>
      <c r="J889" s="164"/>
      <c r="K889" s="164"/>
      <c r="L889" s="103"/>
      <c r="M889" s="103"/>
      <c r="N889" s="103"/>
      <c r="O889" s="42"/>
      <c r="P889" s="42"/>
      <c r="Q889" s="42"/>
      <c r="R889" s="42"/>
      <c r="S889" s="42"/>
      <c r="T889" s="1191"/>
      <c r="U889" s="42"/>
      <c r="V889" s="1191"/>
      <c r="W889" s="93"/>
      <c r="Y889" s="105"/>
      <c r="Z889" s="218"/>
      <c r="AA889" s="66"/>
    </row>
    <row r="890" spans="1:27" s="331" customFormat="1" ht="15" customHeight="1">
      <c r="A890" s="141"/>
      <c r="B890" s="817" t="s">
        <v>2370</v>
      </c>
      <c r="C890" s="817"/>
      <c r="D890" s="817"/>
      <c r="E890" s="817"/>
      <c r="F890" s="817"/>
      <c r="G890" s="1784">
        <v>0.12590000000000001</v>
      </c>
      <c r="H890" s="1525">
        <v>92</v>
      </c>
      <c r="I890" s="281"/>
      <c r="J890" s="164"/>
      <c r="K890" s="164"/>
      <c r="L890" s="103"/>
      <c r="M890" s="103"/>
      <c r="N890" s="103"/>
      <c r="O890" s="42"/>
      <c r="P890" s="42"/>
      <c r="Q890" s="42"/>
      <c r="R890" s="42"/>
      <c r="S890" s="42"/>
      <c r="T890" s="1191"/>
      <c r="U890" s="42"/>
      <c r="V890" s="1191"/>
      <c r="W890" s="93"/>
      <c r="Y890" s="105"/>
      <c r="Z890" s="218"/>
      <c r="AA890" s="66"/>
    </row>
    <row r="891" spans="1:27" s="331" customFormat="1" ht="15" customHeight="1">
      <c r="A891" s="141"/>
      <c r="B891" s="817" t="s">
        <v>2371</v>
      </c>
      <c r="C891" s="817"/>
      <c r="D891" s="817"/>
      <c r="E891" s="817"/>
      <c r="F891" s="817"/>
      <c r="G891" s="1784">
        <v>0.12590000000000001</v>
      </c>
      <c r="H891" s="1525">
        <v>92</v>
      </c>
      <c r="I891" s="281"/>
      <c r="J891" s="164"/>
      <c r="K891" s="164"/>
      <c r="L891" s="103"/>
      <c r="M891" s="103"/>
      <c r="N891" s="103"/>
      <c r="O891" s="42"/>
      <c r="P891" s="42"/>
      <c r="Q891" s="42"/>
      <c r="R891" s="42"/>
      <c r="S891" s="42"/>
      <c r="T891" s="1191"/>
      <c r="U891" s="42"/>
      <c r="V891" s="1191"/>
      <c r="W891" s="93"/>
      <c r="Y891" s="105"/>
      <c r="Z891" s="218"/>
      <c r="AA891" s="66"/>
    </row>
    <row r="892" spans="1:27" s="331" customFormat="1" ht="15" customHeight="1">
      <c r="A892" s="141"/>
      <c r="B892" s="817" t="s">
        <v>2372</v>
      </c>
      <c r="C892" s="817"/>
      <c r="D892" s="817"/>
      <c r="E892" s="817"/>
      <c r="F892" s="817"/>
      <c r="G892" s="1784">
        <v>0.12590000000000001</v>
      </c>
      <c r="H892" s="1525">
        <v>92</v>
      </c>
      <c r="I892" s="281"/>
      <c r="J892" s="164"/>
      <c r="K892" s="164"/>
      <c r="L892" s="103"/>
      <c r="M892" s="103"/>
      <c r="N892" s="103"/>
      <c r="O892" s="42"/>
      <c r="P892" s="42"/>
      <c r="Q892" s="42"/>
      <c r="R892" s="42"/>
      <c r="S892" s="42"/>
      <c r="T892" s="1191"/>
      <c r="U892" s="42"/>
      <c r="V892" s="1191"/>
      <c r="W892" s="93"/>
      <c r="Y892" s="105"/>
      <c r="Z892" s="218"/>
      <c r="AA892" s="66"/>
    </row>
    <row r="893" spans="1:27" s="331" customFormat="1" ht="15" customHeight="1">
      <c r="A893" s="141"/>
      <c r="B893" s="817" t="s">
        <v>2373</v>
      </c>
      <c r="C893" s="817"/>
      <c r="D893" s="817"/>
      <c r="E893" s="817"/>
      <c r="F893" s="817"/>
      <c r="G893" s="1784">
        <v>5.67E-2</v>
      </c>
      <c r="H893" s="1525">
        <v>41.4</v>
      </c>
      <c r="I893" s="281"/>
      <c r="J893" s="164"/>
      <c r="K893" s="164"/>
      <c r="L893" s="103"/>
      <c r="M893" s="103"/>
      <c r="N893" s="103"/>
      <c r="O893" s="42"/>
      <c r="P893" s="42"/>
      <c r="Q893" s="42"/>
      <c r="R893" s="42"/>
      <c r="S893" s="42"/>
      <c r="T893" s="1191"/>
      <c r="U893" s="42"/>
      <c r="V893" s="1191"/>
      <c r="W893" s="93"/>
      <c r="Y893" s="105"/>
      <c r="Z893" s="218"/>
      <c r="AA893" s="66"/>
    </row>
    <row r="894" spans="1:27" s="331" customFormat="1" ht="15" customHeight="1">
      <c r="A894" s="141"/>
      <c r="B894" s="817" t="s">
        <v>2374</v>
      </c>
      <c r="C894" s="817"/>
      <c r="D894" s="817"/>
      <c r="E894" s="817"/>
      <c r="F894" s="817"/>
      <c r="G894" s="1784">
        <v>0.12590000000000001</v>
      </c>
      <c r="H894" s="1525">
        <v>92</v>
      </c>
      <c r="I894" s="281"/>
      <c r="J894" s="164"/>
      <c r="K894" s="164"/>
      <c r="L894" s="103"/>
      <c r="M894" s="103"/>
      <c r="N894" s="103"/>
      <c r="O894" s="42"/>
      <c r="P894" s="42"/>
      <c r="Q894" s="42"/>
      <c r="R894" s="42"/>
      <c r="S894" s="42"/>
      <c r="T894" s="1191"/>
      <c r="U894" s="42"/>
      <c r="V894" s="1191"/>
      <c r="W894" s="93"/>
      <c r="Y894" s="105"/>
      <c r="Z894" s="218"/>
      <c r="AA894" s="66"/>
    </row>
    <row r="895" spans="1:27" s="331" customFormat="1" ht="15" customHeight="1">
      <c r="A895" s="141"/>
      <c r="B895" s="817" t="s">
        <v>2397</v>
      </c>
      <c r="C895" s="817"/>
      <c r="D895" s="817"/>
      <c r="E895" s="817"/>
      <c r="F895" s="817"/>
      <c r="G895" s="1784">
        <v>0.12590000000000001</v>
      </c>
      <c r="H895" s="1525">
        <v>92</v>
      </c>
      <c r="I895" s="281"/>
      <c r="J895" s="164"/>
      <c r="K895" s="164"/>
      <c r="L895" s="103"/>
      <c r="M895" s="103"/>
      <c r="N895" s="103"/>
      <c r="O895" s="42"/>
      <c r="P895" s="42"/>
      <c r="Q895" s="42"/>
      <c r="R895" s="42"/>
      <c r="S895" s="42"/>
      <c r="T895" s="1191"/>
      <c r="U895" s="42"/>
      <c r="V895" s="1191"/>
      <c r="W895" s="93"/>
      <c r="Y895" s="105"/>
      <c r="Z895" s="218"/>
      <c r="AA895" s="66"/>
    </row>
    <row r="896" spans="1:27" s="331" customFormat="1" ht="15" customHeight="1">
      <c r="A896" s="141"/>
      <c r="B896" s="817" t="s">
        <v>2659</v>
      </c>
      <c r="C896" s="817"/>
      <c r="D896" s="817"/>
      <c r="E896" s="817"/>
      <c r="F896" s="817"/>
      <c r="G896" s="1784">
        <v>0.12590000000000001</v>
      </c>
      <c r="H896" s="1525">
        <v>92</v>
      </c>
      <c r="I896" s="281"/>
      <c r="J896" s="164"/>
      <c r="K896" s="164"/>
      <c r="L896" s="103"/>
      <c r="M896" s="103"/>
      <c r="N896" s="103"/>
      <c r="O896" s="42"/>
      <c r="P896" s="42"/>
      <c r="Q896" s="42"/>
      <c r="R896" s="42"/>
      <c r="S896" s="42"/>
      <c r="T896" s="1191"/>
      <c r="U896" s="42"/>
      <c r="V896" s="1191"/>
      <c r="W896" s="93"/>
      <c r="Y896" s="105"/>
      <c r="Z896" s="218"/>
      <c r="AA896" s="66"/>
    </row>
    <row r="897" spans="1:27" s="331" customFormat="1" ht="15" customHeight="1">
      <c r="A897" s="141"/>
      <c r="B897" s="817" t="s">
        <v>2398</v>
      </c>
      <c r="C897" s="817"/>
      <c r="D897" s="817"/>
      <c r="E897" s="817"/>
      <c r="F897" s="817"/>
      <c r="G897" s="1784">
        <v>0.12590000000000001</v>
      </c>
      <c r="H897" s="1525">
        <v>92</v>
      </c>
      <c r="I897" s="281"/>
      <c r="J897" s="164"/>
      <c r="K897" s="164"/>
      <c r="L897" s="103"/>
      <c r="M897" s="103"/>
      <c r="N897" s="103"/>
      <c r="O897" s="42"/>
      <c r="P897" s="42"/>
      <c r="Q897" s="42"/>
      <c r="R897" s="42"/>
      <c r="S897" s="42"/>
      <c r="T897" s="1191"/>
      <c r="U897" s="42"/>
      <c r="V897" s="1191"/>
      <c r="W897" s="93"/>
      <c r="Y897" s="105"/>
      <c r="Z897" s="218"/>
      <c r="AA897" s="66"/>
    </row>
    <row r="898" spans="1:27" s="331" customFormat="1" ht="15" customHeight="1">
      <c r="A898" s="141"/>
      <c r="B898" s="817" t="s">
        <v>2660</v>
      </c>
      <c r="C898" s="817"/>
      <c r="D898" s="817"/>
      <c r="E898" s="817"/>
      <c r="F898" s="817"/>
      <c r="G898" s="1784">
        <v>0.12590000000000001</v>
      </c>
      <c r="H898" s="1525">
        <v>92</v>
      </c>
      <c r="I898" s="281"/>
      <c r="J898" s="164"/>
      <c r="K898" s="164"/>
      <c r="L898" s="103"/>
      <c r="M898" s="103"/>
      <c r="N898" s="103"/>
      <c r="O898" s="42"/>
      <c r="P898" s="42"/>
      <c r="Q898" s="42"/>
      <c r="R898" s="42"/>
      <c r="S898" s="42"/>
      <c r="T898" s="1191"/>
      <c r="U898" s="42"/>
      <c r="V898" s="1191"/>
      <c r="W898" s="93"/>
      <c r="Y898" s="105"/>
      <c r="Z898" s="218"/>
      <c r="AA898" s="66"/>
    </row>
    <row r="899" spans="1:27" s="1498" customFormat="1" ht="15" customHeight="1">
      <c r="A899" s="141"/>
      <c r="B899" s="817" t="s">
        <v>2379</v>
      </c>
      <c r="C899" s="817"/>
      <c r="D899" s="817"/>
      <c r="E899" s="817"/>
      <c r="F899" s="817"/>
      <c r="G899" s="1786">
        <v>5.67E-2</v>
      </c>
      <c r="H899" s="1787">
        <v>41.4</v>
      </c>
      <c r="I899" s="281"/>
      <c r="J899" s="164"/>
      <c r="K899" s="164"/>
      <c r="L899" s="1408"/>
      <c r="M899" s="1408"/>
      <c r="N899" s="1408"/>
      <c r="O899" s="1191"/>
      <c r="P899" s="1191"/>
      <c r="Q899" s="1191"/>
      <c r="R899" s="1191"/>
      <c r="S899" s="1191"/>
      <c r="T899" s="1191"/>
      <c r="U899" s="1191"/>
      <c r="V899" s="1191"/>
      <c r="W899" s="1190"/>
      <c r="Y899" s="105"/>
      <c r="Z899" s="1492"/>
      <c r="AA899" s="1193"/>
    </row>
    <row r="900" spans="1:27" s="1498" customFormat="1" ht="15" customHeight="1">
      <c r="A900" s="141"/>
      <c r="B900" s="817" t="s">
        <v>2380</v>
      </c>
      <c r="C900" s="817"/>
      <c r="D900" s="817"/>
      <c r="E900" s="817"/>
      <c r="F900" s="817"/>
      <c r="G900" s="1786">
        <v>0.12590000000000001</v>
      </c>
      <c r="H900" s="1787">
        <v>92</v>
      </c>
      <c r="I900" s="281"/>
      <c r="J900" s="164"/>
      <c r="K900" s="164"/>
      <c r="L900" s="1408"/>
      <c r="M900" s="1408"/>
      <c r="N900" s="1408"/>
      <c r="O900" s="1191"/>
      <c r="P900" s="1191"/>
      <c r="Q900" s="1191"/>
      <c r="R900" s="1191"/>
      <c r="S900" s="1191"/>
      <c r="T900" s="1191"/>
      <c r="U900" s="1191"/>
      <c r="V900" s="1191"/>
      <c r="W900" s="1190"/>
      <c r="Y900" s="105"/>
      <c r="Z900" s="1492"/>
      <c r="AA900" s="1193"/>
    </row>
    <row r="901" spans="1:27" s="1498" customFormat="1" ht="15" customHeight="1">
      <c r="A901" s="141"/>
      <c r="B901" s="817" t="s">
        <v>2399</v>
      </c>
      <c r="C901" s="817"/>
      <c r="D901" s="817"/>
      <c r="E901" s="817"/>
      <c r="F901" s="817"/>
      <c r="G901" s="1786">
        <v>0.12590000000000001</v>
      </c>
      <c r="H901" s="1787">
        <v>92</v>
      </c>
      <c r="I901" s="281"/>
      <c r="J901" s="164"/>
      <c r="K901" s="164"/>
      <c r="L901" s="1408"/>
      <c r="M901" s="1408"/>
      <c r="N901" s="1408"/>
      <c r="O901" s="1191"/>
      <c r="P901" s="1191"/>
      <c r="Q901" s="1191"/>
      <c r="R901" s="1191"/>
      <c r="S901" s="1191"/>
      <c r="T901" s="1191"/>
      <c r="U901" s="1191"/>
      <c r="V901" s="1191"/>
      <c r="W901" s="1190"/>
      <c r="Y901" s="105"/>
      <c r="Z901" s="1492"/>
      <c r="AA901" s="1193"/>
    </row>
    <row r="902" spans="1:27" s="1498" customFormat="1" ht="15" customHeight="1">
      <c r="A902" s="141"/>
      <c r="B902" s="817" t="s">
        <v>2400</v>
      </c>
      <c r="C902" s="817"/>
      <c r="D902" s="817"/>
      <c r="E902" s="817"/>
      <c r="F902" s="817"/>
      <c r="G902" s="1786">
        <v>0.12590000000000001</v>
      </c>
      <c r="H902" s="1787">
        <v>92</v>
      </c>
      <c r="I902" s="281"/>
      <c r="J902" s="164"/>
      <c r="K902" s="164"/>
      <c r="L902" s="1408"/>
      <c r="M902" s="1408"/>
      <c r="N902" s="1408"/>
      <c r="O902" s="1191"/>
      <c r="P902" s="1191"/>
      <c r="Q902" s="1191"/>
      <c r="R902" s="1191"/>
      <c r="S902" s="1191"/>
      <c r="T902" s="1191"/>
      <c r="U902" s="1191"/>
      <c r="V902" s="1191"/>
      <c r="W902" s="1190"/>
      <c r="Y902" s="105"/>
      <c r="Z902" s="1492"/>
      <c r="AA902" s="1193"/>
    </row>
    <row r="903" spans="1:27" s="1498" customFormat="1" ht="15" customHeight="1">
      <c r="A903" s="141"/>
      <c r="B903" s="817" t="s">
        <v>2401</v>
      </c>
      <c r="C903" s="817"/>
      <c r="D903" s="817"/>
      <c r="E903" s="817"/>
      <c r="F903" s="817"/>
      <c r="G903" s="1786">
        <v>0.12590000000000001</v>
      </c>
      <c r="H903" s="1787">
        <v>92</v>
      </c>
      <c r="I903" s="281"/>
      <c r="J903" s="164"/>
      <c r="K903" s="164"/>
      <c r="L903" s="1408"/>
      <c r="M903" s="1408"/>
      <c r="N903" s="1408"/>
      <c r="O903" s="1191"/>
      <c r="P903" s="1191"/>
      <c r="Q903" s="1191"/>
      <c r="R903" s="1191"/>
      <c r="S903" s="1191"/>
      <c r="T903" s="1191"/>
      <c r="U903" s="1191"/>
      <c r="V903" s="1191"/>
      <c r="W903" s="1190"/>
      <c r="Y903" s="105"/>
      <c r="Z903" s="1492"/>
      <c r="AA903" s="1193"/>
    </row>
    <row r="904" spans="1:27" s="1498" customFormat="1" ht="15" customHeight="1">
      <c r="A904" s="141"/>
      <c r="B904" s="817" t="s">
        <v>2402</v>
      </c>
      <c r="C904" s="817"/>
      <c r="D904" s="817"/>
      <c r="E904" s="817"/>
      <c r="F904" s="817"/>
      <c r="G904" s="1786">
        <v>0.12590000000000001</v>
      </c>
      <c r="H904" s="1787">
        <v>92</v>
      </c>
      <c r="I904" s="281"/>
      <c r="J904" s="164"/>
      <c r="K904" s="164"/>
      <c r="L904" s="1408"/>
      <c r="M904" s="1408"/>
      <c r="N904" s="1408"/>
      <c r="O904" s="1191"/>
      <c r="P904" s="1191"/>
      <c r="Q904" s="1191"/>
      <c r="R904" s="1191"/>
      <c r="S904" s="1191"/>
      <c r="T904" s="1191"/>
      <c r="U904" s="1191"/>
      <c r="V904" s="1191"/>
      <c r="W904" s="1190"/>
      <c r="Y904" s="105"/>
      <c r="Z904" s="1492"/>
      <c r="AA904" s="1193"/>
    </row>
    <row r="905" spans="1:27" s="1498" customFormat="1" ht="15" customHeight="1">
      <c r="A905" s="141"/>
      <c r="B905" s="817" t="s">
        <v>2403</v>
      </c>
      <c r="C905" s="817"/>
      <c r="D905" s="817"/>
      <c r="E905" s="817"/>
      <c r="F905" s="817"/>
      <c r="G905" s="1786">
        <v>0.12590000000000001</v>
      </c>
      <c r="H905" s="1787">
        <v>92</v>
      </c>
      <c r="I905" s="281"/>
      <c r="J905" s="164"/>
      <c r="K905" s="164"/>
      <c r="L905" s="1408"/>
      <c r="M905" s="1408"/>
      <c r="N905" s="1408"/>
      <c r="O905" s="1191"/>
      <c r="P905" s="1191"/>
      <c r="Q905" s="1191"/>
      <c r="R905" s="1191"/>
      <c r="S905" s="1191"/>
      <c r="T905" s="1191"/>
      <c r="U905" s="1191"/>
      <c r="V905" s="1191"/>
      <c r="W905" s="1190"/>
      <c r="Y905" s="105"/>
      <c r="Z905" s="1492"/>
      <c r="AA905" s="1193"/>
    </row>
    <row r="906" spans="1:27" s="331" customFormat="1" ht="15" customHeight="1">
      <c r="A906" s="141"/>
      <c r="B906" s="817" t="s">
        <v>2661</v>
      </c>
      <c r="C906" s="817"/>
      <c r="D906" s="817"/>
      <c r="E906" s="817"/>
      <c r="F906" s="817"/>
      <c r="G906" s="1784">
        <v>5.67E-2</v>
      </c>
      <c r="H906" s="1525">
        <v>41.4</v>
      </c>
      <c r="I906" s="281"/>
      <c r="J906" s="164"/>
      <c r="K906" s="164"/>
      <c r="L906" s="103"/>
      <c r="M906" s="103"/>
      <c r="N906" s="103"/>
      <c r="O906" s="42"/>
      <c r="P906" s="42"/>
      <c r="Q906" s="42"/>
      <c r="R906" s="42"/>
      <c r="S906" s="42"/>
      <c r="T906" s="1191"/>
      <c r="U906" s="42"/>
      <c r="V906" s="1191"/>
      <c r="W906" s="93"/>
      <c r="Y906" s="105"/>
      <c r="Z906" s="218"/>
      <c r="AA906" s="66"/>
    </row>
    <row r="907" spans="1:27" s="331" customFormat="1" ht="15" customHeight="1">
      <c r="A907" s="141"/>
      <c r="B907" s="817" t="s">
        <v>2662</v>
      </c>
      <c r="C907" s="817"/>
      <c r="D907" s="817"/>
      <c r="E907" s="817"/>
      <c r="F907" s="817"/>
      <c r="G907" s="1784">
        <v>0.12590000000000001</v>
      </c>
      <c r="H907" s="1525">
        <v>92</v>
      </c>
      <c r="I907" s="281"/>
      <c r="J907" s="164"/>
      <c r="K907" s="164"/>
      <c r="L907" s="103"/>
      <c r="M907" s="103"/>
      <c r="N907" s="103"/>
      <c r="O907" s="42"/>
      <c r="P907" s="42"/>
      <c r="Q907" s="42"/>
      <c r="R907" s="42"/>
      <c r="S907" s="42"/>
      <c r="T907" s="1191"/>
      <c r="U907" s="42"/>
      <c r="V907" s="1191"/>
      <c r="W907" s="93"/>
      <c r="Y907" s="105"/>
      <c r="Z907" s="218"/>
      <c r="AA907" s="66"/>
    </row>
    <row r="908" spans="1:27" s="331" customFormat="1" ht="15" customHeight="1">
      <c r="A908" s="141"/>
      <c r="B908" s="817" t="s">
        <v>2663</v>
      </c>
      <c r="C908" s="817"/>
      <c r="D908" s="817"/>
      <c r="E908" s="817"/>
      <c r="F908" s="817"/>
      <c r="G908" s="1784">
        <v>0.12590000000000001</v>
      </c>
      <c r="H908" s="1525">
        <v>92</v>
      </c>
      <c r="I908" s="281"/>
      <c r="J908" s="164"/>
      <c r="K908" s="164"/>
      <c r="L908" s="103"/>
      <c r="M908" s="103"/>
      <c r="N908" s="103"/>
      <c r="O908" s="42"/>
      <c r="P908" s="42"/>
      <c r="Q908" s="42"/>
      <c r="R908" s="42"/>
      <c r="S908" s="42"/>
      <c r="T908" s="1191"/>
      <c r="U908" s="42"/>
      <c r="V908" s="1191"/>
      <c r="W908" s="93"/>
      <c r="Y908" s="105"/>
      <c r="Z908" s="218"/>
      <c r="AA908" s="66"/>
    </row>
    <row r="909" spans="1:27" s="331" customFormat="1" ht="15" customHeight="1">
      <c r="A909" s="141"/>
      <c r="B909" s="817" t="s">
        <v>2664</v>
      </c>
      <c r="C909" s="817"/>
      <c r="D909" s="817"/>
      <c r="E909" s="817"/>
      <c r="F909" s="817"/>
      <c r="G909" s="1784">
        <v>0.12590000000000001</v>
      </c>
      <c r="H909" s="1525">
        <v>92</v>
      </c>
      <c r="I909" s="281"/>
      <c r="J909" s="164"/>
      <c r="K909" s="164"/>
      <c r="L909" s="103"/>
      <c r="M909" s="103"/>
      <c r="N909" s="103"/>
      <c r="O909" s="42"/>
      <c r="P909" s="42"/>
      <c r="Q909" s="42"/>
      <c r="R909" s="42"/>
      <c r="S909" s="42"/>
      <c r="T909" s="1191"/>
      <c r="U909" s="42"/>
      <c r="V909" s="1191"/>
      <c r="W909" s="93"/>
      <c r="Y909" s="105"/>
      <c r="Z909" s="218"/>
      <c r="AA909" s="66"/>
    </row>
    <row r="910" spans="1:27" s="331" customFormat="1" ht="15" customHeight="1">
      <c r="A910" s="141"/>
      <c r="B910" s="817" t="s">
        <v>2665</v>
      </c>
      <c r="C910" s="817"/>
      <c r="D910" s="817"/>
      <c r="E910" s="817"/>
      <c r="F910" s="817"/>
      <c r="G910" s="1784">
        <v>0.12590000000000001</v>
      </c>
      <c r="H910" s="1525">
        <v>92</v>
      </c>
      <c r="I910" s="281"/>
      <c r="J910" s="164"/>
      <c r="K910" s="164"/>
      <c r="L910" s="103"/>
      <c r="M910" s="103"/>
      <c r="N910" s="103"/>
      <c r="O910" s="42"/>
      <c r="P910" s="42"/>
      <c r="Q910" s="42"/>
      <c r="R910" s="42"/>
      <c r="S910" s="42"/>
      <c r="T910" s="1191"/>
      <c r="U910" s="42"/>
      <c r="V910" s="1191"/>
      <c r="W910" s="93"/>
      <c r="Y910" s="105"/>
      <c r="Z910" s="218"/>
      <c r="AA910" s="66"/>
    </row>
    <row r="911" spans="1:27" s="331" customFormat="1" ht="15" customHeight="1">
      <c r="A911" s="141"/>
      <c r="B911" s="817" t="s">
        <v>2666</v>
      </c>
      <c r="C911" s="817"/>
      <c r="D911" s="817"/>
      <c r="E911" s="817"/>
      <c r="F911" s="817"/>
      <c r="G911" s="1784">
        <v>0.12590000000000001</v>
      </c>
      <c r="H911" s="1525">
        <v>92</v>
      </c>
      <c r="I911" s="281"/>
      <c r="J911" s="164"/>
      <c r="K911" s="164"/>
      <c r="L911" s="103"/>
      <c r="M911" s="103"/>
      <c r="N911" s="103"/>
      <c r="O911" s="42"/>
      <c r="P911" s="42"/>
      <c r="Q911" s="42"/>
      <c r="R911" s="42"/>
      <c r="S911" s="42"/>
      <c r="T911" s="1191"/>
      <c r="U911" s="42"/>
      <c r="V911" s="1191"/>
      <c r="W911" s="93"/>
      <c r="Y911" s="105"/>
      <c r="Z911" s="218"/>
      <c r="AA911" s="66"/>
    </row>
    <row r="912" spans="1:27" s="331" customFormat="1" ht="15" customHeight="1">
      <c r="A912" s="141"/>
      <c r="B912" s="817" t="s">
        <v>2667</v>
      </c>
      <c r="C912" s="817"/>
      <c r="D912" s="817"/>
      <c r="E912" s="817"/>
      <c r="F912" s="817"/>
      <c r="G912" s="1784">
        <v>0.12590000000000001</v>
      </c>
      <c r="H912" s="1525">
        <v>92</v>
      </c>
      <c r="I912" s="281"/>
      <c r="J912" s="164"/>
      <c r="K912" s="164"/>
      <c r="L912" s="103"/>
      <c r="M912" s="103"/>
      <c r="N912" s="103"/>
      <c r="O912" s="42"/>
      <c r="P912" s="42"/>
      <c r="Q912" s="42"/>
      <c r="R912" s="42"/>
      <c r="S912" s="42"/>
      <c r="T912" s="1191"/>
      <c r="U912" s="42"/>
      <c r="V912" s="1191"/>
      <c r="W912" s="93"/>
      <c r="Y912" s="105"/>
      <c r="Z912" s="218"/>
      <c r="AA912" s="66"/>
    </row>
    <row r="913" spans="1:27" s="331" customFormat="1" ht="15" customHeight="1">
      <c r="A913" s="141"/>
      <c r="B913" s="817" t="s">
        <v>2668</v>
      </c>
      <c r="C913" s="817"/>
      <c r="D913" s="817"/>
      <c r="E913" s="817"/>
      <c r="F913" s="817"/>
      <c r="G913" s="1784">
        <v>0.12590000000000001</v>
      </c>
      <c r="H913" s="1525">
        <v>92</v>
      </c>
      <c r="I913" s="281"/>
      <c r="J913" s="164"/>
      <c r="K913" s="164"/>
      <c r="L913" s="103"/>
      <c r="M913" s="103"/>
      <c r="N913" s="103"/>
      <c r="O913" s="42"/>
      <c r="P913" s="42"/>
      <c r="Q913" s="42"/>
      <c r="R913" s="42"/>
      <c r="S913" s="42"/>
      <c r="T913" s="1191"/>
      <c r="U913" s="42"/>
      <c r="V913" s="1191"/>
      <c r="W913" s="93"/>
      <c r="Y913" s="105"/>
      <c r="Z913" s="218"/>
      <c r="AA913" s="66"/>
    </row>
    <row r="914" spans="1:27" s="331" customFormat="1" ht="15" customHeight="1">
      <c r="A914" s="141"/>
      <c r="B914" s="817" t="s">
        <v>2742</v>
      </c>
      <c r="C914" s="817"/>
      <c r="D914" s="817"/>
      <c r="E914" s="817"/>
      <c r="F914" s="817"/>
      <c r="G914" s="1784">
        <v>0.12590000000000001</v>
      </c>
      <c r="H914" s="1525">
        <v>92</v>
      </c>
      <c r="I914" s="281"/>
      <c r="J914" s="164"/>
      <c r="K914" s="164"/>
      <c r="L914" s="103"/>
      <c r="M914" s="103"/>
      <c r="N914" s="103"/>
      <c r="O914" s="42"/>
      <c r="P914" s="42"/>
      <c r="Q914" s="42"/>
      <c r="R914" s="42"/>
      <c r="S914" s="42"/>
      <c r="T914" s="1191"/>
      <c r="U914" s="42"/>
      <c r="V914" s="1191"/>
      <c r="W914" s="93"/>
      <c r="Y914" s="105"/>
      <c r="Z914" s="218"/>
      <c r="AA914" s="66"/>
    </row>
    <row r="915" spans="1:27" s="331" customFormat="1" ht="15" customHeight="1">
      <c r="A915" s="141"/>
      <c r="B915" s="817" t="s">
        <v>2743</v>
      </c>
      <c r="C915" s="817"/>
      <c r="D915" s="817"/>
      <c r="E915" s="817"/>
      <c r="F915" s="817"/>
      <c r="G915" s="1784">
        <v>0.12590000000000001</v>
      </c>
      <c r="H915" s="1525">
        <v>92</v>
      </c>
      <c r="I915" s="281"/>
      <c r="J915" s="164"/>
      <c r="K915" s="164"/>
      <c r="L915" s="103"/>
      <c r="M915" s="103"/>
      <c r="N915" s="103"/>
      <c r="O915" s="42"/>
      <c r="P915" s="42"/>
      <c r="Q915" s="42"/>
      <c r="R915" s="42"/>
      <c r="S915" s="42"/>
      <c r="T915" s="1191"/>
      <c r="U915" s="42"/>
      <c r="V915" s="1191"/>
      <c r="W915" s="93"/>
      <c r="Y915" s="105"/>
      <c r="Z915" s="218"/>
      <c r="AA915" s="66"/>
    </row>
    <row r="916" spans="1:27" s="331" customFormat="1" ht="15" customHeight="1">
      <c r="A916" s="141"/>
      <c r="B916" s="817" t="s">
        <v>2744</v>
      </c>
      <c r="C916" s="817"/>
      <c r="D916" s="817"/>
      <c r="E916" s="817"/>
      <c r="F916" s="817"/>
      <c r="G916" s="1784">
        <v>0.12590000000000001</v>
      </c>
      <c r="H916" s="1525">
        <v>92</v>
      </c>
      <c r="I916" s="281"/>
      <c r="J916" s="164"/>
      <c r="K916" s="164"/>
      <c r="L916" s="103"/>
      <c r="M916" s="103"/>
      <c r="N916" s="103"/>
      <c r="O916" s="42"/>
      <c r="P916" s="42"/>
      <c r="Q916" s="42"/>
      <c r="R916" s="42"/>
      <c r="S916" s="42"/>
      <c r="T916" s="1191"/>
      <c r="U916" s="42"/>
      <c r="V916" s="1191"/>
      <c r="W916" s="93"/>
      <c r="Y916" s="105"/>
      <c r="Z916" s="218"/>
      <c r="AA916" s="66"/>
    </row>
    <row r="917" spans="1:27" s="331" customFormat="1" ht="15" customHeight="1">
      <c r="A917" s="141"/>
      <c r="B917" s="817" t="s">
        <v>2670</v>
      </c>
      <c r="C917" s="817"/>
      <c r="D917" s="817"/>
      <c r="E917" s="817"/>
      <c r="F917" s="817"/>
      <c r="G917" s="1784">
        <v>0.12590000000000001</v>
      </c>
      <c r="H917" s="1525">
        <v>92</v>
      </c>
      <c r="I917" s="281"/>
      <c r="J917" s="164"/>
      <c r="K917" s="164"/>
      <c r="L917" s="103"/>
      <c r="M917" s="103"/>
      <c r="N917" s="103"/>
      <c r="O917" s="42"/>
      <c r="P917" s="42"/>
      <c r="Q917" s="42"/>
      <c r="R917" s="42"/>
      <c r="S917" s="42"/>
      <c r="T917" s="1191"/>
      <c r="U917" s="42"/>
      <c r="V917" s="1191"/>
      <c r="W917" s="93"/>
      <c r="Y917" s="105"/>
      <c r="Z917" s="218"/>
      <c r="AA917" s="66"/>
    </row>
    <row r="918" spans="1:27" s="331" customFormat="1" ht="15" customHeight="1">
      <c r="A918" s="141"/>
      <c r="B918" s="817" t="s">
        <v>2671</v>
      </c>
      <c r="C918" s="817"/>
      <c r="D918" s="817"/>
      <c r="E918" s="817"/>
      <c r="F918" s="817"/>
      <c r="G918" s="1784">
        <v>0.12590000000000001</v>
      </c>
      <c r="H918" s="1525">
        <v>92</v>
      </c>
      <c r="I918" s="281"/>
      <c r="J918" s="164"/>
      <c r="K918" s="164"/>
      <c r="L918" s="103"/>
      <c r="M918" s="103"/>
      <c r="N918" s="103"/>
      <c r="O918" s="42"/>
      <c r="P918" s="42"/>
      <c r="Q918" s="42"/>
      <c r="R918" s="42"/>
      <c r="S918" s="42"/>
      <c r="T918" s="1191"/>
      <c r="U918" s="42"/>
      <c r="V918" s="1191"/>
      <c r="W918" s="93"/>
      <c r="Y918" s="105"/>
      <c r="Z918" s="218"/>
      <c r="AA918" s="66"/>
    </row>
    <row r="919" spans="1:27" s="331" customFormat="1" ht="15" customHeight="1">
      <c r="A919" s="141"/>
      <c r="B919" s="817" t="s">
        <v>2672</v>
      </c>
      <c r="C919" s="817"/>
      <c r="D919" s="817"/>
      <c r="E919" s="817"/>
      <c r="F919" s="817"/>
      <c r="G919" s="1784">
        <v>0.12590000000000001</v>
      </c>
      <c r="H919" s="1525">
        <v>92</v>
      </c>
      <c r="I919" s="281"/>
      <c r="J919" s="164"/>
      <c r="K919" s="164"/>
      <c r="L919" s="103"/>
      <c r="M919" s="103"/>
      <c r="N919" s="103"/>
      <c r="O919" s="42"/>
      <c r="P919" s="42"/>
      <c r="Q919" s="42"/>
      <c r="R919" s="42"/>
      <c r="S919" s="42"/>
      <c r="T919" s="1191"/>
      <c r="U919" s="42"/>
      <c r="V919" s="1191"/>
      <c r="W919" s="93"/>
      <c r="Y919" s="105"/>
      <c r="Z919" s="218"/>
      <c r="AA919" s="66"/>
    </row>
    <row r="920" spans="1:27" s="331" customFormat="1" ht="15" customHeight="1">
      <c r="A920" s="141"/>
      <c r="B920" s="817" t="s">
        <v>2673</v>
      </c>
      <c r="C920" s="817"/>
      <c r="D920" s="817"/>
      <c r="E920" s="817"/>
      <c r="F920" s="817"/>
      <c r="G920" s="1784">
        <v>0.12590000000000001</v>
      </c>
      <c r="H920" s="1525">
        <v>92</v>
      </c>
      <c r="I920" s="281"/>
      <c r="J920" s="164"/>
      <c r="K920" s="164"/>
      <c r="L920" s="103"/>
      <c r="M920" s="103"/>
      <c r="N920" s="103"/>
      <c r="O920" s="42"/>
      <c r="P920" s="42"/>
      <c r="Q920" s="42"/>
      <c r="R920" s="42"/>
      <c r="S920" s="42"/>
      <c r="T920" s="1191"/>
      <c r="U920" s="42"/>
      <c r="V920" s="1191"/>
      <c r="W920" s="93"/>
      <c r="Y920" s="105"/>
      <c r="Z920" s="218"/>
      <c r="AA920" s="66"/>
    </row>
    <row r="921" spans="1:27" s="331" customFormat="1" ht="15" customHeight="1">
      <c r="A921" s="141"/>
      <c r="B921" s="1850" t="s">
        <v>2639</v>
      </c>
      <c r="C921" s="817"/>
      <c r="D921" s="817"/>
      <c r="E921" s="817"/>
      <c r="F921" s="817"/>
      <c r="G921" s="1784">
        <v>5.67E-2</v>
      </c>
      <c r="H921" s="1525">
        <v>41.4</v>
      </c>
      <c r="I921" s="281"/>
      <c r="J921" s="164"/>
      <c r="K921" s="164"/>
      <c r="L921" s="103"/>
      <c r="M921" s="103"/>
      <c r="N921" s="103"/>
      <c r="O921" s="42"/>
      <c r="P921" s="42"/>
      <c r="Q921" s="42"/>
      <c r="R921" s="42"/>
      <c r="S921" s="42"/>
      <c r="T921" s="1191"/>
      <c r="U921" s="42"/>
      <c r="V921" s="1191"/>
      <c r="W921" s="93"/>
      <c r="Y921" s="105"/>
      <c r="Z921" s="218"/>
      <c r="AA921" s="66"/>
    </row>
    <row r="922" spans="1:27" s="331" customFormat="1" ht="15" customHeight="1">
      <c r="A922" s="141"/>
      <c r="B922" s="1850" t="s">
        <v>2375</v>
      </c>
      <c r="C922" s="817"/>
      <c r="D922" s="817"/>
      <c r="E922" s="817"/>
      <c r="F922" s="817"/>
      <c r="G922" s="1784">
        <v>5.67E-2</v>
      </c>
      <c r="H922" s="1525">
        <v>41.4</v>
      </c>
      <c r="I922" s="281"/>
      <c r="J922" s="164"/>
      <c r="K922" s="164"/>
      <c r="L922" s="103"/>
      <c r="M922" s="103"/>
      <c r="N922" s="103"/>
      <c r="O922" s="42"/>
      <c r="P922" s="42"/>
      <c r="Q922" s="42"/>
      <c r="R922" s="42"/>
      <c r="S922" s="42"/>
      <c r="T922" s="1191"/>
      <c r="U922" s="42"/>
      <c r="V922" s="1191"/>
      <c r="W922" s="93"/>
      <c r="Y922" s="105"/>
      <c r="Z922" s="218"/>
      <c r="AA922" s="66"/>
    </row>
    <row r="923" spans="1:27" s="331" customFormat="1" ht="15" customHeight="1">
      <c r="A923" s="141"/>
      <c r="B923" s="817" t="s">
        <v>2376</v>
      </c>
      <c r="C923" s="817"/>
      <c r="D923" s="817"/>
      <c r="E923" s="817"/>
      <c r="F923" s="817"/>
      <c r="G923" s="1784">
        <v>0.12590000000000001</v>
      </c>
      <c r="H923" s="1525">
        <v>92</v>
      </c>
      <c r="I923" s="281"/>
      <c r="J923" s="164"/>
      <c r="K923" s="164"/>
      <c r="L923" s="103"/>
      <c r="M923" s="103"/>
      <c r="N923" s="103"/>
      <c r="O923" s="42"/>
      <c r="P923" s="42"/>
      <c r="Q923" s="42"/>
      <c r="R923" s="42"/>
      <c r="S923" s="42"/>
      <c r="T923" s="1191"/>
      <c r="U923" s="42"/>
      <c r="V923" s="1191"/>
      <c r="W923" s="93"/>
      <c r="Y923" s="105"/>
      <c r="Z923" s="218"/>
      <c r="AA923" s="66"/>
    </row>
    <row r="924" spans="1:27" s="331" customFormat="1" ht="15" customHeight="1">
      <c r="A924" s="141"/>
      <c r="B924" s="1850" t="s">
        <v>2377</v>
      </c>
      <c r="C924" s="817"/>
      <c r="D924" s="817"/>
      <c r="E924" s="817"/>
      <c r="F924" s="817"/>
      <c r="G924" s="1784">
        <v>0.12590000000000001</v>
      </c>
      <c r="H924" s="1525">
        <v>92</v>
      </c>
      <c r="I924" s="281"/>
      <c r="J924" s="164"/>
      <c r="K924" s="164"/>
      <c r="L924" s="103"/>
      <c r="M924" s="103"/>
      <c r="N924" s="103"/>
      <c r="O924" s="42"/>
      <c r="P924" s="42"/>
      <c r="Q924" s="42"/>
      <c r="R924" s="42"/>
      <c r="S924" s="42"/>
      <c r="T924" s="1191"/>
      <c r="U924" s="42"/>
      <c r="V924" s="1191"/>
      <c r="W924" s="93"/>
      <c r="Y924" s="105"/>
      <c r="Z924" s="218"/>
      <c r="AA924" s="66"/>
    </row>
    <row r="925" spans="1:27" s="331" customFormat="1" ht="15" customHeight="1">
      <c r="A925" s="141"/>
      <c r="B925" s="1850" t="s">
        <v>2378</v>
      </c>
      <c r="C925" s="817"/>
      <c r="D925" s="817"/>
      <c r="E925" s="817"/>
      <c r="F925" s="817"/>
      <c r="G925" s="1784">
        <v>0.12590000000000001</v>
      </c>
      <c r="H925" s="1525">
        <v>92</v>
      </c>
      <c r="I925" s="281"/>
      <c r="J925" s="164"/>
      <c r="K925" s="164"/>
      <c r="L925" s="103"/>
      <c r="M925" s="103"/>
      <c r="N925" s="103"/>
      <c r="O925" s="42"/>
      <c r="P925" s="42"/>
      <c r="Q925" s="42"/>
      <c r="R925" s="42"/>
      <c r="S925" s="42"/>
      <c r="T925" s="1191"/>
      <c r="U925" s="42"/>
      <c r="V925" s="1191"/>
      <c r="W925" s="93"/>
      <c r="Y925" s="105"/>
      <c r="Z925" s="218"/>
      <c r="AA925" s="66"/>
    </row>
    <row r="926" spans="1:27" s="331" customFormat="1" ht="15" customHeight="1">
      <c r="A926" s="141"/>
      <c r="B926" s="1850" t="s">
        <v>2710</v>
      </c>
      <c r="C926" s="817"/>
      <c r="D926" s="817"/>
      <c r="E926" s="817"/>
      <c r="F926" s="817"/>
      <c r="G926" s="1784">
        <v>0.12590000000000001</v>
      </c>
      <c r="H926" s="1525">
        <v>92</v>
      </c>
      <c r="I926" s="281"/>
      <c r="J926" s="164"/>
      <c r="K926" s="164"/>
      <c r="L926" s="103"/>
      <c r="M926" s="103"/>
      <c r="N926" s="103"/>
      <c r="O926" s="42"/>
      <c r="P926" s="42"/>
      <c r="Q926" s="42"/>
      <c r="R926" s="42"/>
      <c r="S926" s="42"/>
      <c r="T926" s="1191"/>
      <c r="U926" s="42"/>
      <c r="V926" s="1191"/>
      <c r="W926" s="93"/>
      <c r="Y926" s="105"/>
      <c r="Z926" s="218"/>
      <c r="AA926" s="66"/>
    </row>
    <row r="927" spans="1:27" s="331" customFormat="1" ht="15" customHeight="1">
      <c r="A927" s="141"/>
      <c r="B927" s="1850" t="s">
        <v>2641</v>
      </c>
      <c r="C927" s="817"/>
      <c r="D927" s="817"/>
      <c r="E927" s="817"/>
      <c r="F927" s="817"/>
      <c r="G927" s="1784">
        <v>0.12590000000000001</v>
      </c>
      <c r="H927" s="1525">
        <v>92</v>
      </c>
      <c r="I927" s="281"/>
      <c r="J927" s="164"/>
      <c r="K927" s="164"/>
      <c r="L927" s="103"/>
      <c r="M927" s="103"/>
      <c r="N927" s="103"/>
      <c r="O927" s="42"/>
      <c r="P927" s="42"/>
      <c r="Q927" s="42"/>
      <c r="R927" s="42"/>
      <c r="S927" s="42"/>
      <c r="T927" s="1191"/>
      <c r="U927" s="42"/>
      <c r="V927" s="1191"/>
      <c r="W927" s="93"/>
      <c r="Y927" s="105"/>
      <c r="Z927" s="218"/>
      <c r="AA927" s="66"/>
    </row>
    <row r="928" spans="1:27" s="331" customFormat="1" ht="15" customHeight="1">
      <c r="A928" s="141"/>
      <c r="B928" s="1850" t="s">
        <v>2635</v>
      </c>
      <c r="C928" s="817"/>
      <c r="D928" s="817"/>
      <c r="E928" s="817"/>
      <c r="F928" s="817"/>
      <c r="G928" s="1784">
        <v>5.67E-2</v>
      </c>
      <c r="H928" s="1525">
        <v>41.4</v>
      </c>
      <c r="I928" s="281"/>
      <c r="J928" s="164"/>
      <c r="K928" s="164"/>
      <c r="L928" s="103"/>
      <c r="M928" s="103"/>
      <c r="N928" s="103"/>
      <c r="O928" s="42"/>
      <c r="P928" s="42"/>
      <c r="Q928" s="42"/>
      <c r="R928" s="42"/>
      <c r="S928" s="42"/>
      <c r="T928" s="1191"/>
      <c r="U928" s="42"/>
      <c r="V928" s="1191"/>
      <c r="W928" s="93"/>
      <c r="Y928" s="105"/>
      <c r="Z928" s="218"/>
      <c r="AA928" s="66"/>
    </row>
    <row r="929" spans="1:27" s="331" customFormat="1" ht="15" customHeight="1">
      <c r="A929" s="141"/>
      <c r="B929" s="1850" t="s">
        <v>2636</v>
      </c>
      <c r="C929" s="817"/>
      <c r="D929" s="817"/>
      <c r="E929" s="817"/>
      <c r="F929" s="817"/>
      <c r="G929" s="1784">
        <v>5.67E-2</v>
      </c>
      <c r="H929" s="1525">
        <v>41.4</v>
      </c>
      <c r="I929" s="281"/>
      <c r="J929" s="164"/>
      <c r="K929" s="164"/>
      <c r="L929" s="103"/>
      <c r="M929" s="103"/>
      <c r="N929" s="103"/>
      <c r="O929" s="42"/>
      <c r="P929" s="42"/>
      <c r="Q929" s="42"/>
      <c r="R929" s="42"/>
      <c r="S929" s="42"/>
      <c r="T929" s="1191"/>
      <c r="U929" s="42"/>
      <c r="V929" s="1191"/>
      <c r="W929" s="93"/>
      <c r="Y929" s="105"/>
      <c r="Z929" s="218"/>
      <c r="AA929" s="66"/>
    </row>
    <row r="930" spans="1:27" s="331" customFormat="1" ht="15" customHeight="1">
      <c r="A930" s="141"/>
      <c r="B930" s="1850" t="s">
        <v>2409</v>
      </c>
      <c r="C930" s="817"/>
      <c r="D930" s="817"/>
      <c r="E930" s="817"/>
      <c r="F930" s="817"/>
      <c r="G930" s="1784">
        <v>0.12590000000000001</v>
      </c>
      <c r="H930" s="1525">
        <v>92</v>
      </c>
      <c r="I930" s="281"/>
      <c r="J930" s="164"/>
      <c r="K930" s="164"/>
      <c r="L930" s="103"/>
      <c r="M930" s="103"/>
      <c r="N930" s="103"/>
      <c r="O930" s="42"/>
      <c r="P930" s="42"/>
      <c r="Q930" s="42"/>
      <c r="R930" s="42"/>
      <c r="S930" s="42"/>
      <c r="T930" s="1191"/>
      <c r="U930" s="42"/>
      <c r="V930" s="1191"/>
      <c r="W930" s="93"/>
      <c r="Y930" s="105"/>
      <c r="Z930" s="218"/>
      <c r="AA930" s="66"/>
    </row>
    <row r="931" spans="1:27" s="331" customFormat="1" ht="15" customHeight="1">
      <c r="A931" s="141"/>
      <c r="B931" s="1850" t="s">
        <v>2387</v>
      </c>
      <c r="C931" s="817"/>
      <c r="D931" s="817"/>
      <c r="E931" s="817"/>
      <c r="F931" s="817"/>
      <c r="G931" s="1784">
        <v>0.12590000000000001</v>
      </c>
      <c r="H931" s="1525">
        <v>92</v>
      </c>
      <c r="I931" s="281"/>
      <c r="J931" s="164"/>
      <c r="K931" s="164"/>
      <c r="L931" s="103"/>
      <c r="M931" s="103"/>
      <c r="N931" s="103"/>
      <c r="O931" s="42"/>
      <c r="P931" s="42"/>
      <c r="Q931" s="42"/>
      <c r="R931" s="42"/>
      <c r="S931" s="42"/>
      <c r="T931" s="1191"/>
      <c r="U931" s="42"/>
      <c r="V931" s="1191"/>
      <c r="W931" s="93"/>
      <c r="Y931" s="105"/>
      <c r="Z931" s="218"/>
      <c r="AA931" s="66"/>
    </row>
    <row r="932" spans="1:27" s="331" customFormat="1" ht="15" customHeight="1">
      <c r="A932" s="141"/>
      <c r="B932" s="1850" t="s">
        <v>2637</v>
      </c>
      <c r="C932" s="817"/>
      <c r="D932" s="817"/>
      <c r="E932" s="817"/>
      <c r="F932" s="817"/>
      <c r="G932" s="1784">
        <v>0.12590000000000001</v>
      </c>
      <c r="H932" s="1525">
        <v>92</v>
      </c>
      <c r="I932" s="281"/>
      <c r="J932" s="164"/>
      <c r="K932" s="164"/>
      <c r="L932" s="103"/>
      <c r="M932" s="103"/>
      <c r="N932" s="103"/>
      <c r="O932" s="42"/>
      <c r="P932" s="42"/>
      <c r="Q932" s="42"/>
      <c r="R932" s="42"/>
      <c r="S932" s="42"/>
      <c r="T932" s="1191"/>
      <c r="U932" s="42"/>
      <c r="V932" s="1191"/>
      <c r="W932" s="93"/>
      <c r="Y932" s="105"/>
      <c r="Z932" s="218"/>
      <c r="AA932" s="66"/>
    </row>
    <row r="933" spans="1:27" s="331" customFormat="1" ht="15" customHeight="1">
      <c r="A933" s="141"/>
      <c r="B933" s="1850" t="s">
        <v>2638</v>
      </c>
      <c r="C933" s="817"/>
      <c r="D933" s="817"/>
      <c r="E933" s="817"/>
      <c r="F933" s="817"/>
      <c r="G933" s="1784">
        <v>0.12590000000000001</v>
      </c>
      <c r="H933" s="1525">
        <v>92</v>
      </c>
      <c r="I933" s="281"/>
      <c r="J933" s="164"/>
      <c r="K933" s="164"/>
      <c r="L933" s="103"/>
      <c r="M933" s="103"/>
      <c r="N933" s="103"/>
      <c r="O933" s="42"/>
      <c r="P933" s="42"/>
      <c r="Q933" s="42"/>
      <c r="R933" s="42"/>
      <c r="S933" s="42"/>
      <c r="T933" s="1191"/>
      <c r="U933" s="42"/>
      <c r="V933" s="1191"/>
      <c r="W933" s="93"/>
      <c r="Y933" s="105"/>
      <c r="Z933" s="218"/>
      <c r="AA933" s="66"/>
    </row>
    <row r="934" spans="1:27" s="331" customFormat="1" ht="15" customHeight="1">
      <c r="A934" s="141"/>
      <c r="B934" s="1850" t="s">
        <v>2626</v>
      </c>
      <c r="C934" s="529"/>
      <c r="D934" s="1797"/>
      <c r="E934" s="1797"/>
      <c r="F934" s="1798"/>
      <c r="G934" s="1784">
        <v>5.67E-2</v>
      </c>
      <c r="H934" s="1525">
        <v>41.4</v>
      </c>
      <c r="I934" s="281"/>
      <c r="J934" s="164"/>
      <c r="K934" s="164"/>
      <c r="L934" s="103"/>
      <c r="M934" s="103"/>
      <c r="N934" s="103"/>
      <c r="O934" s="42"/>
      <c r="P934" s="42"/>
      <c r="Q934" s="42"/>
      <c r="R934" s="42"/>
      <c r="S934" s="42"/>
      <c r="T934" s="1191"/>
      <c r="U934" s="42"/>
      <c r="V934" s="1191"/>
      <c r="W934" s="93"/>
      <c r="Y934" s="105"/>
      <c r="Z934" s="218"/>
      <c r="AA934" s="66"/>
    </row>
    <row r="935" spans="1:27" s="331" customFormat="1" ht="15" customHeight="1">
      <c r="A935" s="141"/>
      <c r="B935" s="1850" t="s">
        <v>2627</v>
      </c>
      <c r="C935" s="529"/>
      <c r="D935" s="1797"/>
      <c r="E935" s="1797"/>
      <c r="F935" s="1798"/>
      <c r="G935" s="1784">
        <v>5.67E-2</v>
      </c>
      <c r="H935" s="1525">
        <v>41.4</v>
      </c>
      <c r="I935" s="281"/>
      <c r="J935" s="164"/>
      <c r="K935" s="164"/>
      <c r="L935" s="103"/>
      <c r="M935" s="103"/>
      <c r="N935" s="103"/>
      <c r="O935" s="42"/>
      <c r="P935" s="42"/>
      <c r="Q935" s="42"/>
      <c r="R935" s="42"/>
      <c r="S935" s="42"/>
      <c r="T935" s="1191"/>
      <c r="U935" s="42"/>
      <c r="V935" s="1191"/>
      <c r="W935" s="93"/>
      <c r="Y935" s="105"/>
      <c r="Z935" s="218"/>
      <c r="AA935" s="66"/>
    </row>
    <row r="936" spans="1:27" s="331" customFormat="1" ht="15" customHeight="1">
      <c r="A936" s="141"/>
      <c r="B936" s="1850" t="s">
        <v>2628</v>
      </c>
      <c r="C936" s="529"/>
      <c r="D936" s="1797"/>
      <c r="E936" s="1797"/>
      <c r="F936" s="1798"/>
      <c r="G936" s="1784">
        <v>0.12590000000000001</v>
      </c>
      <c r="H936" s="1525">
        <v>92</v>
      </c>
      <c r="I936" s="281"/>
      <c r="J936" s="164"/>
      <c r="K936" s="164"/>
      <c r="L936" s="1408"/>
      <c r="M936" s="1408"/>
      <c r="N936" s="1408"/>
      <c r="O936" s="1191"/>
      <c r="P936" s="1191"/>
      <c r="Q936" s="1191"/>
      <c r="R936" s="1191"/>
      <c r="S936" s="1191"/>
      <c r="T936" s="1191"/>
      <c r="U936" s="1191"/>
      <c r="V936" s="1191"/>
      <c r="W936" s="1190"/>
      <c r="Y936" s="105"/>
      <c r="Z936" s="1192"/>
      <c r="AA936" s="1193"/>
    </row>
    <row r="937" spans="1:27" s="331" customFormat="1" ht="15" customHeight="1">
      <c r="A937" s="141"/>
      <c r="B937" s="1850" t="s">
        <v>2629</v>
      </c>
      <c r="C937" s="529"/>
      <c r="D937" s="1797"/>
      <c r="E937" s="1797"/>
      <c r="F937" s="1798"/>
      <c r="G937" s="1784">
        <v>0.12590000000000001</v>
      </c>
      <c r="H937" s="1525">
        <v>92</v>
      </c>
      <c r="I937" s="281"/>
      <c r="J937" s="164"/>
      <c r="K937" s="164"/>
      <c r="L937" s="1408"/>
      <c r="M937" s="1408"/>
      <c r="N937" s="1408"/>
      <c r="O937" s="1191"/>
      <c r="P937" s="1191"/>
      <c r="Q937" s="1191"/>
      <c r="R937" s="1191"/>
      <c r="S937" s="1191"/>
      <c r="T937" s="1191"/>
      <c r="U937" s="1191"/>
      <c r="V937" s="1191"/>
      <c r="W937" s="1190"/>
      <c r="Y937" s="105"/>
      <c r="Z937" s="1192"/>
      <c r="AA937" s="1193"/>
    </row>
    <row r="938" spans="1:27" s="331" customFormat="1" ht="15" customHeight="1">
      <c r="A938" s="141"/>
      <c r="B938" s="1850" t="s">
        <v>2388</v>
      </c>
      <c r="C938" s="529"/>
      <c r="D938" s="1797"/>
      <c r="E938" s="1797"/>
      <c r="F938" s="1798"/>
      <c r="G938" s="1784">
        <v>0.12590000000000001</v>
      </c>
      <c r="H938" s="1525">
        <v>92</v>
      </c>
      <c r="I938" s="281"/>
      <c r="J938" s="164"/>
      <c r="K938" s="164"/>
      <c r="L938" s="1408"/>
      <c r="M938" s="1408"/>
      <c r="N938" s="1408"/>
      <c r="O938" s="1191"/>
      <c r="P938" s="1191"/>
      <c r="Q938" s="1191"/>
      <c r="R938" s="1191"/>
      <c r="S938" s="1191"/>
      <c r="T938" s="1191"/>
      <c r="U938" s="1191"/>
      <c r="V938" s="1191"/>
      <c r="W938" s="1190"/>
      <c r="Y938" s="105"/>
      <c r="Z938" s="1192"/>
      <c r="AA938" s="1193"/>
    </row>
    <row r="939" spans="1:27" s="331" customFormat="1" ht="15" customHeight="1">
      <c r="A939" s="141"/>
      <c r="B939" s="1850" t="s">
        <v>2630</v>
      </c>
      <c r="C939" s="529"/>
      <c r="D939" s="1797"/>
      <c r="E939" s="1797"/>
      <c r="F939" s="1798"/>
      <c r="G939" s="1784">
        <v>0.12590000000000001</v>
      </c>
      <c r="H939" s="1525">
        <v>92</v>
      </c>
      <c r="I939" s="281"/>
      <c r="J939" s="164"/>
      <c r="K939" s="164"/>
      <c r="L939" s="1408"/>
      <c r="M939" s="1408"/>
      <c r="N939" s="1408"/>
      <c r="O939" s="1191"/>
      <c r="P939" s="1191"/>
      <c r="Q939" s="1191"/>
      <c r="R939" s="1191"/>
      <c r="S939" s="1191"/>
      <c r="T939" s="1191"/>
      <c r="U939" s="1191"/>
      <c r="V939" s="1191"/>
      <c r="W939" s="1190"/>
      <c r="Y939" s="105"/>
      <c r="Z939" s="1192"/>
      <c r="AA939" s="1193"/>
    </row>
    <row r="940" spans="1:27" s="331" customFormat="1" ht="15" customHeight="1">
      <c r="A940" s="141"/>
      <c r="B940" s="1850" t="s">
        <v>2442</v>
      </c>
      <c r="C940" s="529"/>
      <c r="D940" s="1797"/>
      <c r="E940" s="1797"/>
      <c r="F940" s="1798"/>
      <c r="G940" s="1784">
        <v>0.12590000000000001</v>
      </c>
      <c r="H940" s="1525">
        <v>92</v>
      </c>
      <c r="I940" s="281"/>
      <c r="J940" s="164"/>
      <c r="K940" s="164"/>
      <c r="L940" s="1408"/>
      <c r="M940" s="1408"/>
      <c r="N940" s="1408"/>
      <c r="O940" s="1191"/>
      <c r="P940" s="1191"/>
      <c r="Q940" s="1191"/>
      <c r="R940" s="1191"/>
      <c r="S940" s="1191"/>
      <c r="T940" s="1191"/>
      <c r="U940" s="1191"/>
      <c r="V940" s="1191"/>
      <c r="W940" s="1190"/>
      <c r="Y940" s="105"/>
      <c r="Z940" s="1192"/>
      <c r="AA940" s="1193"/>
    </row>
    <row r="941" spans="1:27" s="331" customFormat="1" ht="15" customHeight="1">
      <c r="A941" s="141"/>
      <c r="B941" s="1850" t="s">
        <v>2443</v>
      </c>
      <c r="C941" s="529"/>
      <c r="D941" s="1797"/>
      <c r="E941" s="1797"/>
      <c r="F941" s="1798"/>
      <c r="G941" s="1784">
        <v>0.12590000000000001</v>
      </c>
      <c r="H941" s="1525">
        <v>92</v>
      </c>
      <c r="I941" s="281"/>
      <c r="J941" s="164"/>
      <c r="K941" s="164"/>
      <c r="L941" s="1408"/>
      <c r="M941" s="1408"/>
      <c r="N941" s="1408"/>
      <c r="O941" s="1191"/>
      <c r="P941" s="1191"/>
      <c r="Q941" s="1191"/>
      <c r="R941" s="1191"/>
      <c r="S941" s="1191"/>
      <c r="T941" s="1191"/>
      <c r="U941" s="1191"/>
      <c r="V941" s="1191"/>
      <c r="W941" s="1190"/>
      <c r="Y941" s="105"/>
      <c r="Z941" s="1192"/>
      <c r="AA941" s="1193"/>
    </row>
    <row r="942" spans="1:27" s="331" customFormat="1" ht="15" customHeight="1">
      <c r="A942" s="141"/>
      <c r="B942" s="1850" t="s">
        <v>2631</v>
      </c>
      <c r="C942" s="529"/>
      <c r="D942" s="1797"/>
      <c r="E942" s="1797"/>
      <c r="F942" s="1798"/>
      <c r="G942" s="1784">
        <v>5.67E-2</v>
      </c>
      <c r="H942" s="1525">
        <v>41.4</v>
      </c>
      <c r="I942" s="281"/>
      <c r="J942" s="164"/>
      <c r="K942" s="164"/>
      <c r="L942" s="1408"/>
      <c r="M942" s="1408"/>
      <c r="N942" s="1408"/>
      <c r="O942" s="1191"/>
      <c r="P942" s="1191"/>
      <c r="Q942" s="1191"/>
      <c r="R942" s="1191"/>
      <c r="S942" s="1191"/>
      <c r="T942" s="1191"/>
      <c r="U942" s="1191"/>
      <c r="V942" s="1191"/>
      <c r="W942" s="1190"/>
      <c r="Y942" s="105"/>
      <c r="Z942" s="1192"/>
      <c r="AA942" s="1193"/>
    </row>
    <row r="943" spans="1:27" s="331" customFormat="1" ht="15" customHeight="1">
      <c r="A943" s="141"/>
      <c r="B943" s="1850" t="s">
        <v>2632</v>
      </c>
      <c r="C943" s="529"/>
      <c r="D943" s="1797"/>
      <c r="E943" s="1797"/>
      <c r="F943" s="1798"/>
      <c r="G943" s="1784">
        <v>5.67E-2</v>
      </c>
      <c r="H943" s="1525">
        <v>41.4</v>
      </c>
      <c r="I943" s="281"/>
      <c r="J943" s="164"/>
      <c r="K943" s="164"/>
      <c r="L943" s="1408"/>
      <c r="M943" s="1408"/>
      <c r="N943" s="1408"/>
      <c r="O943" s="1191"/>
      <c r="P943" s="1191"/>
      <c r="Q943" s="1191"/>
      <c r="R943" s="1191"/>
      <c r="S943" s="1191"/>
      <c r="T943" s="1191"/>
      <c r="U943" s="1191"/>
      <c r="V943" s="1191"/>
      <c r="W943" s="1190"/>
      <c r="Y943" s="105"/>
      <c r="Z943" s="1192"/>
      <c r="AA943" s="1193"/>
    </row>
    <row r="944" spans="1:27" s="331" customFormat="1" ht="15" customHeight="1">
      <c r="A944" s="141"/>
      <c r="B944" s="1850" t="s">
        <v>2633</v>
      </c>
      <c r="C944" s="529"/>
      <c r="D944" s="1797"/>
      <c r="E944" s="1797"/>
      <c r="F944" s="1798"/>
      <c r="G944" s="1784">
        <v>0.12590000000000001</v>
      </c>
      <c r="H944" s="1525">
        <v>92</v>
      </c>
      <c r="I944" s="281"/>
      <c r="J944" s="164"/>
      <c r="K944" s="164"/>
      <c r="L944" s="1408"/>
      <c r="M944" s="1408"/>
      <c r="N944" s="1408"/>
      <c r="O944" s="1191"/>
      <c r="P944" s="1191"/>
      <c r="Q944" s="1191"/>
      <c r="R944" s="1191"/>
      <c r="S944" s="1191"/>
      <c r="T944" s="1191"/>
      <c r="U944" s="1191"/>
      <c r="V944" s="1191"/>
      <c r="W944" s="1190"/>
      <c r="Y944" s="105"/>
      <c r="Z944" s="1192"/>
      <c r="AA944" s="1193"/>
    </row>
    <row r="945" spans="1:27" s="331" customFormat="1" ht="15" customHeight="1">
      <c r="A945" s="141"/>
      <c r="B945" s="1850" t="s">
        <v>2634</v>
      </c>
      <c r="C945" s="529"/>
      <c r="D945" s="1797"/>
      <c r="E945" s="1797"/>
      <c r="F945" s="1798"/>
      <c r="G945" s="1784">
        <v>0.12590000000000001</v>
      </c>
      <c r="H945" s="1525">
        <v>92</v>
      </c>
      <c r="I945" s="281"/>
      <c r="J945" s="164"/>
      <c r="K945" s="164"/>
      <c r="L945" s="103"/>
      <c r="M945" s="103"/>
      <c r="N945" s="103"/>
      <c r="O945" s="42"/>
      <c r="P945" s="42"/>
      <c r="Q945" s="42"/>
      <c r="R945" s="42"/>
      <c r="S945" s="42"/>
      <c r="T945" s="1191"/>
      <c r="U945" s="42"/>
      <c r="V945" s="1191"/>
      <c r="W945" s="93"/>
      <c r="Y945" s="105"/>
      <c r="Z945" s="218"/>
      <c r="AA945" s="66"/>
    </row>
    <row r="946" spans="1:27" s="331" customFormat="1" ht="15" customHeight="1">
      <c r="A946" s="141"/>
      <c r="B946" s="1850" t="s">
        <v>2389</v>
      </c>
      <c r="C946" s="529"/>
      <c r="D946" s="1797"/>
      <c r="E946" s="1797"/>
      <c r="F946" s="1798"/>
      <c r="G946" s="1784">
        <v>0.12590000000000001</v>
      </c>
      <c r="H946" s="1525">
        <v>92</v>
      </c>
      <c r="I946" s="281"/>
      <c r="J946" s="164"/>
      <c r="K946" s="164"/>
      <c r="L946" s="103"/>
      <c r="M946" s="103"/>
      <c r="N946" s="103"/>
      <c r="O946" s="42"/>
      <c r="P946" s="42"/>
      <c r="Q946" s="42"/>
      <c r="R946" s="42"/>
      <c r="S946" s="42"/>
      <c r="T946" s="1191"/>
      <c r="U946" s="42"/>
      <c r="V946" s="1191"/>
      <c r="W946" s="93"/>
      <c r="Y946" s="105"/>
      <c r="Z946" s="218"/>
      <c r="AA946" s="66"/>
    </row>
    <row r="947" spans="1:27" s="331" customFormat="1" ht="15" customHeight="1">
      <c r="A947" s="141"/>
      <c r="B947" s="1850" t="s">
        <v>2390</v>
      </c>
      <c r="C947" s="529"/>
      <c r="D947" s="1797"/>
      <c r="E947" s="1797"/>
      <c r="F947" s="1798"/>
      <c r="G947" s="1784">
        <v>0.12590000000000001</v>
      </c>
      <c r="H947" s="1525">
        <v>92</v>
      </c>
      <c r="I947" s="281"/>
      <c r="J947" s="164"/>
      <c r="K947" s="164"/>
      <c r="L947" s="103"/>
      <c r="M947" s="103"/>
      <c r="N947" s="103"/>
      <c r="O947" s="42"/>
      <c r="P947" s="42"/>
      <c r="Q947" s="42"/>
      <c r="R947" s="42"/>
      <c r="S947" s="42"/>
      <c r="T947" s="1191"/>
      <c r="U947" s="42"/>
      <c r="V947" s="1191"/>
      <c r="W947" s="93"/>
      <c r="Y947" s="105"/>
      <c r="Z947" s="218"/>
      <c r="AA947" s="66"/>
    </row>
    <row r="948" spans="1:27" s="331" customFormat="1" ht="15" customHeight="1">
      <c r="A948" s="141"/>
      <c r="B948" s="1850" t="s">
        <v>2391</v>
      </c>
      <c r="C948" s="529"/>
      <c r="D948" s="1797"/>
      <c r="E948" s="1797"/>
      <c r="F948" s="1798"/>
      <c r="G948" s="1784">
        <v>0.12590000000000001</v>
      </c>
      <c r="H948" s="1525">
        <v>92</v>
      </c>
      <c r="I948" s="281"/>
      <c r="J948" s="164"/>
      <c r="K948" s="164"/>
      <c r="L948" s="103"/>
      <c r="M948" s="103"/>
      <c r="N948" s="103"/>
      <c r="O948" s="42"/>
      <c r="P948" s="42"/>
      <c r="Q948" s="42"/>
      <c r="R948" s="42"/>
      <c r="S948" s="42"/>
      <c r="T948" s="1191"/>
      <c r="U948" s="42"/>
      <c r="V948" s="1191"/>
      <c r="W948" s="93"/>
      <c r="Y948" s="105"/>
      <c r="Z948" s="218"/>
      <c r="AA948" s="66"/>
    </row>
    <row r="949" spans="1:27" s="1498" customFormat="1" ht="15" customHeight="1">
      <c r="A949" s="141"/>
      <c r="B949" s="817" t="s">
        <v>2700</v>
      </c>
      <c r="C949" s="817"/>
      <c r="D949" s="817"/>
      <c r="E949" s="817"/>
      <c r="F949" s="817"/>
      <c r="G949" s="1784">
        <v>5.67E-2</v>
      </c>
      <c r="H949" s="1525">
        <v>41.4</v>
      </c>
      <c r="I949" s="281"/>
      <c r="J949" s="164"/>
      <c r="K949" s="164"/>
      <c r="L949" s="1408"/>
      <c r="M949" s="1408"/>
      <c r="N949" s="1408"/>
      <c r="O949" s="1191"/>
      <c r="P949" s="1191"/>
      <c r="Q949" s="1191"/>
      <c r="R949" s="1191"/>
      <c r="S949" s="1191"/>
      <c r="T949" s="1191"/>
      <c r="U949" s="1191"/>
      <c r="V949" s="1191"/>
      <c r="W949" s="1190"/>
      <c r="Y949" s="105"/>
      <c r="Z949" s="1492"/>
      <c r="AA949" s="1193"/>
    </row>
    <row r="950" spans="1:27" s="1498" customFormat="1" ht="15" customHeight="1">
      <c r="A950" s="141"/>
      <c r="B950" s="817" t="s">
        <v>2701</v>
      </c>
      <c r="C950" s="817"/>
      <c r="D950" s="817"/>
      <c r="E950" s="817"/>
      <c r="F950" s="817"/>
      <c r="G950" s="1784">
        <v>0.12590000000000001</v>
      </c>
      <c r="H950" s="1525">
        <v>92</v>
      </c>
      <c r="I950" s="281"/>
      <c r="J950" s="164"/>
      <c r="K950" s="164"/>
      <c r="L950" s="1408"/>
      <c r="M950" s="1408"/>
      <c r="N950" s="1408"/>
      <c r="O950" s="1191"/>
      <c r="P950" s="1191"/>
      <c r="Q950" s="1191"/>
      <c r="R950" s="1191"/>
      <c r="S950" s="1191"/>
      <c r="T950" s="1191"/>
      <c r="U950" s="1191"/>
      <c r="V950" s="1191"/>
      <c r="W950" s="1190"/>
      <c r="Y950" s="105"/>
      <c r="Z950" s="1492"/>
      <c r="AA950" s="1193"/>
    </row>
    <row r="951" spans="1:27" s="1498" customFormat="1" ht="15" customHeight="1">
      <c r="A951" s="141"/>
      <c r="B951" s="817" t="s">
        <v>2702</v>
      </c>
      <c r="C951" s="817"/>
      <c r="D951" s="817"/>
      <c r="E951" s="817"/>
      <c r="F951" s="817"/>
      <c r="G951" s="1784">
        <v>0.12590000000000001</v>
      </c>
      <c r="H951" s="1525">
        <v>92</v>
      </c>
      <c r="I951" s="281"/>
      <c r="J951" s="164"/>
      <c r="K951" s="164"/>
      <c r="L951" s="1408"/>
      <c r="M951" s="1408"/>
      <c r="N951" s="1408"/>
      <c r="O951" s="1191"/>
      <c r="P951" s="1191"/>
      <c r="Q951" s="1191"/>
      <c r="R951" s="1191"/>
      <c r="S951" s="1191"/>
      <c r="T951" s="1191"/>
      <c r="U951" s="1191"/>
      <c r="V951" s="1191"/>
      <c r="W951" s="1190"/>
      <c r="Y951" s="105"/>
      <c r="Z951" s="1492"/>
      <c r="AA951" s="1193"/>
    </row>
    <row r="952" spans="1:27" s="1498" customFormat="1" ht="15" customHeight="1">
      <c r="A952" s="141"/>
      <c r="B952" s="817" t="s">
        <v>2703</v>
      </c>
      <c r="C952" s="817"/>
      <c r="D952" s="817"/>
      <c r="E952" s="817"/>
      <c r="F952" s="817"/>
      <c r="G952" s="1784">
        <v>0.12590000000000001</v>
      </c>
      <c r="H952" s="1525">
        <v>92</v>
      </c>
      <c r="I952" s="281"/>
      <c r="J952" s="164"/>
      <c r="K952" s="164"/>
      <c r="L952" s="1408"/>
      <c r="M952" s="1408"/>
      <c r="N952" s="1408"/>
      <c r="O952" s="1191"/>
      <c r="P952" s="1191"/>
      <c r="Q952" s="1191"/>
      <c r="R952" s="1191"/>
      <c r="S952" s="1191"/>
      <c r="T952" s="1191"/>
      <c r="U952" s="1191"/>
      <c r="V952" s="1191"/>
      <c r="W952" s="1190"/>
      <c r="Y952" s="105"/>
      <c r="Z952" s="1492"/>
      <c r="AA952" s="1193"/>
    </row>
    <row r="953" spans="1:27" s="1498" customFormat="1" ht="15" customHeight="1">
      <c r="A953" s="141"/>
      <c r="B953" s="817" t="s">
        <v>2704</v>
      </c>
      <c r="C953" s="817"/>
      <c r="D953" s="817"/>
      <c r="E953" s="817"/>
      <c r="F953" s="817"/>
      <c r="G953" s="1784">
        <v>0.12590000000000001</v>
      </c>
      <c r="H953" s="1525">
        <v>92</v>
      </c>
      <c r="I953" s="281"/>
      <c r="J953" s="164"/>
      <c r="K953" s="164"/>
      <c r="L953" s="1408"/>
      <c r="M953" s="1408"/>
      <c r="N953" s="1408"/>
      <c r="O953" s="1191"/>
      <c r="P953" s="1191"/>
      <c r="Q953" s="1191"/>
      <c r="R953" s="1191"/>
      <c r="S953" s="1191"/>
      <c r="T953" s="1191"/>
      <c r="U953" s="1191"/>
      <c r="V953" s="1191"/>
      <c r="W953" s="1190"/>
      <c r="Y953" s="105"/>
      <c r="Z953" s="1492"/>
      <c r="AA953" s="1193"/>
    </row>
    <row r="954" spans="1:27" s="331" customFormat="1" ht="15" customHeight="1">
      <c r="A954" s="141"/>
      <c r="B954" s="1850" t="s">
        <v>2392</v>
      </c>
      <c r="C954" s="529"/>
      <c r="D954" s="1797"/>
      <c r="E954" s="1797"/>
      <c r="F954" s="1798"/>
      <c r="G954" s="1784">
        <v>0.12590000000000001</v>
      </c>
      <c r="H954" s="1525">
        <v>92</v>
      </c>
      <c r="I954" s="281"/>
      <c r="J954" s="164"/>
      <c r="K954" s="164"/>
      <c r="L954" s="103"/>
      <c r="M954" s="103"/>
      <c r="N954" s="103"/>
      <c r="O954" s="42"/>
      <c r="P954" s="42"/>
      <c r="Q954" s="42"/>
      <c r="R954" s="42"/>
      <c r="S954" s="42"/>
      <c r="T954" s="1191"/>
      <c r="U954" s="42"/>
      <c r="V954" s="1191"/>
      <c r="W954" s="93"/>
      <c r="Y954" s="105"/>
      <c r="Z954" s="218"/>
      <c r="AA954" s="66"/>
    </row>
    <row r="955" spans="1:27" s="331" customFormat="1" ht="15" customHeight="1">
      <c r="A955" s="141"/>
      <c r="B955" s="817" t="s">
        <v>2738</v>
      </c>
      <c r="C955" s="529"/>
      <c r="D955" s="1797"/>
      <c r="E955" s="1797"/>
      <c r="F955" s="1798"/>
      <c r="G955" s="1784">
        <v>0.12590000000000001</v>
      </c>
      <c r="H955" s="1525">
        <v>92</v>
      </c>
      <c r="I955" s="281"/>
      <c r="J955" s="164"/>
      <c r="K955" s="164"/>
      <c r="L955" s="103"/>
      <c r="M955" s="103"/>
      <c r="N955" s="103"/>
      <c r="O955" s="42"/>
      <c r="P955" s="42"/>
      <c r="Q955" s="42"/>
      <c r="R955" s="42"/>
      <c r="S955" s="42"/>
      <c r="T955" s="1191"/>
      <c r="U955" s="42"/>
      <c r="V955" s="1191"/>
      <c r="W955" s="93"/>
      <c r="Y955" s="105"/>
      <c r="Z955" s="218"/>
      <c r="AA955" s="66"/>
    </row>
    <row r="956" spans="1:27" s="331" customFormat="1" ht="15" customHeight="1">
      <c r="A956" s="141"/>
      <c r="B956" s="817" t="s">
        <v>2739</v>
      </c>
      <c r="C956" s="529"/>
      <c r="D956" s="1797"/>
      <c r="E956" s="1797"/>
      <c r="F956" s="1798"/>
      <c r="G956" s="1784">
        <v>0.12590000000000001</v>
      </c>
      <c r="H956" s="1525">
        <v>92</v>
      </c>
      <c r="I956" s="281"/>
      <c r="J956" s="164"/>
      <c r="K956" s="164"/>
      <c r="L956" s="103"/>
      <c r="M956" s="103"/>
      <c r="N956" s="103"/>
      <c r="O956" s="42"/>
      <c r="P956" s="42"/>
      <c r="Q956" s="42"/>
      <c r="R956" s="42"/>
      <c r="S956" s="42"/>
      <c r="T956" s="1191"/>
      <c r="U956" s="42"/>
      <c r="V956" s="1191"/>
      <c r="W956" s="93"/>
      <c r="Y956" s="105"/>
      <c r="Z956" s="218"/>
      <c r="AA956" s="66"/>
    </row>
    <row r="957" spans="1:27" s="331" customFormat="1" ht="15" customHeight="1">
      <c r="A957" s="141"/>
      <c r="B957" s="817" t="s">
        <v>2593</v>
      </c>
      <c r="C957" s="817"/>
      <c r="D957" s="817"/>
      <c r="E957" s="817"/>
      <c r="F957" s="817"/>
      <c r="G957" s="1867">
        <v>5.67E-2</v>
      </c>
      <c r="H957" s="1866">
        <v>41.4</v>
      </c>
      <c r="I957" s="281"/>
      <c r="J957" s="164"/>
      <c r="K957" s="164"/>
      <c r="L957" s="103"/>
      <c r="M957" s="103"/>
      <c r="N957" s="103"/>
      <c r="O957" s="42"/>
      <c r="P957" s="42"/>
      <c r="Q957" s="42"/>
      <c r="R957" s="42"/>
      <c r="S957" s="42"/>
      <c r="T957" s="1191"/>
      <c r="U957" s="42"/>
      <c r="V957" s="1191"/>
      <c r="W957" s="93"/>
      <c r="Y957" s="105"/>
      <c r="Z957" s="218"/>
      <c r="AA957" s="66"/>
    </row>
    <row r="958" spans="1:27" s="331" customFormat="1" ht="15" customHeight="1">
      <c r="A958" s="141"/>
      <c r="B958" s="817" t="s">
        <v>2594</v>
      </c>
      <c r="C958" s="817"/>
      <c r="D958" s="817"/>
      <c r="E958" s="817"/>
      <c r="F958" s="817"/>
      <c r="G958" s="1867">
        <v>5.67E-2</v>
      </c>
      <c r="H958" s="1866">
        <v>41.4</v>
      </c>
      <c r="I958" s="281"/>
      <c r="J958" s="164"/>
      <c r="K958" s="164"/>
      <c r="L958" s="103"/>
      <c r="M958" s="103"/>
      <c r="N958" s="103"/>
      <c r="O958" s="42"/>
      <c r="P958" s="42"/>
      <c r="Q958" s="42"/>
      <c r="R958" s="42"/>
      <c r="S958" s="42"/>
      <c r="T958" s="1191"/>
      <c r="U958" s="42"/>
      <c r="V958" s="1191"/>
      <c r="W958" s="93"/>
      <c r="Y958" s="105"/>
      <c r="Z958" s="218"/>
      <c r="AA958" s="66"/>
    </row>
    <row r="959" spans="1:27" s="331" customFormat="1" ht="15" customHeight="1">
      <c r="A959" s="141"/>
      <c r="B959" s="817" t="s">
        <v>2595</v>
      </c>
      <c r="C959" s="817"/>
      <c r="D959" s="817"/>
      <c r="E959" s="817"/>
      <c r="F959" s="817"/>
      <c r="G959" s="1867">
        <v>5.67E-2</v>
      </c>
      <c r="H959" s="1866">
        <v>41.4</v>
      </c>
      <c r="I959" s="281"/>
      <c r="J959" s="164"/>
      <c r="K959" s="164"/>
      <c r="L959" s="103"/>
      <c r="M959" s="103"/>
      <c r="N959" s="103"/>
      <c r="O959" s="42"/>
      <c r="P959" s="42"/>
      <c r="Q959" s="42"/>
      <c r="R959" s="42"/>
      <c r="S959" s="42"/>
      <c r="T959" s="1191"/>
      <c r="U959" s="42"/>
      <c r="V959" s="1191"/>
      <c r="W959" s="93"/>
      <c r="Y959" s="105"/>
      <c r="Z959" s="218"/>
      <c r="AA959" s="66"/>
    </row>
    <row r="960" spans="1:27" s="331" customFormat="1" ht="15" customHeight="1">
      <c r="A960" s="141"/>
      <c r="B960" s="817" t="s">
        <v>2596</v>
      </c>
      <c r="C960" s="817"/>
      <c r="D960" s="817"/>
      <c r="E960" s="817"/>
      <c r="F960" s="817"/>
      <c r="G960" s="1867">
        <v>5.67E-2</v>
      </c>
      <c r="H960" s="1866">
        <v>41.4</v>
      </c>
      <c r="I960" s="281"/>
      <c r="J960" s="164"/>
      <c r="K960" s="164"/>
      <c r="L960" s="103"/>
      <c r="M960" s="103"/>
      <c r="N960" s="103"/>
      <c r="O960" s="42"/>
      <c r="P960" s="42"/>
      <c r="Q960" s="42"/>
      <c r="R960" s="42"/>
      <c r="S960" s="42"/>
      <c r="T960" s="1191"/>
      <c r="U960" s="42"/>
      <c r="V960" s="1191"/>
      <c r="W960" s="93"/>
      <c r="Y960" s="105"/>
      <c r="Z960" s="218"/>
      <c r="AA960" s="66"/>
    </row>
    <row r="961" spans="1:27" s="331" customFormat="1" ht="15" customHeight="1">
      <c r="A961" s="141"/>
      <c r="B961" s="817" t="s">
        <v>2597</v>
      </c>
      <c r="C961" s="817"/>
      <c r="D961" s="817"/>
      <c r="E961" s="817"/>
      <c r="F961" s="817"/>
      <c r="G961" s="1784">
        <v>0.12590000000000001</v>
      </c>
      <c r="H961" s="1866">
        <v>92</v>
      </c>
      <c r="I961" s="281"/>
      <c r="J961" s="164"/>
      <c r="K961" s="164"/>
      <c r="L961" s="103"/>
      <c r="M961" s="103"/>
      <c r="N961" s="103"/>
      <c r="O961" s="42"/>
      <c r="P961" s="42"/>
      <c r="Q961" s="42"/>
      <c r="R961" s="42"/>
      <c r="S961" s="42"/>
      <c r="T961" s="1191"/>
      <c r="U961" s="42"/>
      <c r="V961" s="1191"/>
      <c r="W961" s="93"/>
      <c r="Y961" s="105"/>
      <c r="Z961" s="218"/>
      <c r="AA961" s="66"/>
    </row>
    <row r="962" spans="1:27" s="331" customFormat="1" ht="15" customHeight="1">
      <c r="A962" s="141"/>
      <c r="B962" s="817" t="s">
        <v>2599</v>
      </c>
      <c r="C962" s="817"/>
      <c r="D962" s="817"/>
      <c r="E962" s="817"/>
      <c r="F962" s="817"/>
      <c r="G962" s="1867">
        <v>5.67E-2</v>
      </c>
      <c r="H962" s="1866">
        <v>41.4</v>
      </c>
      <c r="I962" s="281"/>
      <c r="J962" s="164"/>
      <c r="K962" s="164"/>
      <c r="L962" s="103"/>
      <c r="M962" s="103"/>
      <c r="N962" s="103"/>
      <c r="O962" s="42"/>
      <c r="P962" s="42"/>
      <c r="Q962" s="42"/>
      <c r="R962" s="42"/>
      <c r="S962" s="42"/>
      <c r="T962" s="1191"/>
      <c r="U962" s="42"/>
      <c r="V962" s="1191"/>
      <c r="W962" s="93"/>
      <c r="Y962" s="105"/>
      <c r="Z962" s="218"/>
      <c r="AA962" s="66"/>
    </row>
    <row r="963" spans="1:27" s="331" customFormat="1" ht="15" customHeight="1">
      <c r="A963" s="141"/>
      <c r="B963" s="817" t="s">
        <v>2600</v>
      </c>
      <c r="C963" s="817"/>
      <c r="D963" s="817"/>
      <c r="E963" s="817"/>
      <c r="F963" s="817"/>
      <c r="G963" s="1867">
        <v>5.67E-2</v>
      </c>
      <c r="H963" s="1866">
        <v>41.4</v>
      </c>
      <c r="I963" s="281"/>
      <c r="J963" s="164"/>
      <c r="K963" s="164"/>
      <c r="L963" s="103"/>
      <c r="M963" s="103"/>
      <c r="N963" s="103"/>
      <c r="O963" s="42"/>
      <c r="P963" s="42"/>
      <c r="Q963" s="42"/>
      <c r="R963" s="42"/>
      <c r="S963" s="42"/>
      <c r="T963" s="1191"/>
      <c r="U963" s="42"/>
      <c r="V963" s="1191"/>
      <c r="W963" s="93"/>
      <c r="Y963" s="105"/>
      <c r="Z963" s="218"/>
      <c r="AA963" s="66"/>
    </row>
    <row r="964" spans="1:27" s="331" customFormat="1" ht="15" customHeight="1">
      <c r="A964" s="141"/>
      <c r="B964" s="817" t="s">
        <v>2601</v>
      </c>
      <c r="C964" s="817"/>
      <c r="D964" s="817"/>
      <c r="E964" s="817"/>
      <c r="F964" s="817"/>
      <c r="G964" s="1867">
        <v>5.67E-2</v>
      </c>
      <c r="H964" s="1866">
        <v>41.4</v>
      </c>
      <c r="I964" s="281"/>
      <c r="J964" s="164"/>
      <c r="K964" s="164"/>
      <c r="L964" s="103"/>
      <c r="M964" s="103"/>
      <c r="N964" s="103"/>
      <c r="O964" s="42"/>
      <c r="P964" s="42"/>
      <c r="Q964" s="42"/>
      <c r="R964" s="42"/>
      <c r="S964" s="42"/>
      <c r="T964" s="1191"/>
      <c r="U964" s="42"/>
      <c r="V964" s="1191"/>
      <c r="W964" s="93"/>
      <c r="Y964" s="105"/>
      <c r="Z964" s="218"/>
      <c r="AA964" s="66"/>
    </row>
    <row r="965" spans="1:27" s="331" customFormat="1" ht="15" customHeight="1">
      <c r="A965" s="141"/>
      <c r="B965" s="817" t="s">
        <v>2602</v>
      </c>
      <c r="C965" s="817"/>
      <c r="D965" s="817"/>
      <c r="E965" s="817"/>
      <c r="F965" s="817"/>
      <c r="G965" s="1784">
        <v>0.12590000000000001</v>
      </c>
      <c r="H965" s="1866">
        <v>92</v>
      </c>
      <c r="I965" s="281"/>
      <c r="J965" s="164"/>
      <c r="K965" s="164"/>
      <c r="L965" s="103"/>
      <c r="M965" s="103"/>
      <c r="N965" s="103"/>
      <c r="O965" s="42"/>
      <c r="P965" s="42"/>
      <c r="Q965" s="42"/>
      <c r="R965" s="42"/>
      <c r="S965" s="42"/>
      <c r="T965" s="1191"/>
      <c r="U965" s="42"/>
      <c r="V965" s="1191"/>
      <c r="W965" s="93"/>
      <c r="Y965" s="105"/>
      <c r="Z965" s="218"/>
      <c r="AA965" s="66"/>
    </row>
    <row r="966" spans="1:27" s="1498" customFormat="1" ht="15" customHeight="1">
      <c r="A966" s="141"/>
      <c r="B966" s="817" t="s">
        <v>2603</v>
      </c>
      <c r="C966" s="1861"/>
      <c r="D966" s="1797"/>
      <c r="E966" s="1797"/>
      <c r="F966" s="1798"/>
      <c r="G966" s="1784">
        <v>0.12590000000000001</v>
      </c>
      <c r="H966" s="1866">
        <v>92</v>
      </c>
      <c r="I966" s="281"/>
      <c r="J966" s="164"/>
      <c r="K966" s="164"/>
      <c r="L966" s="1408"/>
      <c r="M966" s="1408"/>
      <c r="N966" s="1408"/>
      <c r="O966" s="1191"/>
      <c r="P966" s="1191"/>
      <c r="Q966" s="1191"/>
      <c r="R966" s="1191"/>
      <c r="S966" s="1191"/>
      <c r="T966" s="1191"/>
      <c r="U966" s="1191"/>
      <c r="V966" s="1191"/>
      <c r="W966" s="1190"/>
      <c r="Y966" s="105"/>
      <c r="Z966" s="1492"/>
      <c r="AA966" s="1193"/>
    </row>
    <row r="967" spans="1:27" s="39" customFormat="1">
      <c r="A967" s="53"/>
      <c r="B967" s="1850" t="s">
        <v>2729</v>
      </c>
      <c r="C967" s="529"/>
      <c r="D967" s="1797"/>
      <c r="E967" s="1797"/>
      <c r="F967" s="1798"/>
      <c r="G967" s="1784">
        <v>0.12590000000000001</v>
      </c>
      <c r="H967" s="1525">
        <v>92</v>
      </c>
      <c r="I967" s="10"/>
      <c r="J967" s="10"/>
      <c r="K967" s="10"/>
      <c r="L967" s="10"/>
      <c r="M967" s="10"/>
      <c r="N967" s="10"/>
      <c r="O967" s="10"/>
      <c r="P967" s="10"/>
      <c r="Q967" s="10"/>
      <c r="R967" s="10"/>
      <c r="S967" s="10"/>
      <c r="T967" s="10"/>
      <c r="U967" s="10"/>
      <c r="V967" s="10"/>
      <c r="W967" s="98"/>
      <c r="Y967" s="53"/>
      <c r="Z967" s="132"/>
      <c r="AA967" s="22"/>
    </row>
    <row r="968" spans="1:27" ht="15" customHeight="1">
      <c r="A968" s="53"/>
      <c r="B968" s="1850" t="s">
        <v>2730</v>
      </c>
      <c r="C968" s="529"/>
      <c r="D968" s="1797"/>
      <c r="E968" s="1797"/>
      <c r="F968" s="1798"/>
      <c r="G968" s="1784">
        <v>0.12590000000000001</v>
      </c>
      <c r="H968" s="1525">
        <v>92</v>
      </c>
      <c r="I968" s="124"/>
      <c r="J968" s="124"/>
      <c r="K968" s="124"/>
      <c r="L968" s="38"/>
      <c r="M968" s="124"/>
      <c r="N968" s="38"/>
      <c r="O968" s="117"/>
      <c r="P968" s="124"/>
      <c r="Q968" s="124"/>
      <c r="R968" s="124"/>
      <c r="S968" s="124"/>
      <c r="T968" s="124"/>
      <c r="U968" s="124"/>
      <c r="V968" s="124"/>
      <c r="W968" s="94"/>
      <c r="Y968" s="73"/>
      <c r="Z968" s="2062" t="s">
        <v>159</v>
      </c>
      <c r="AA968" s="25"/>
    </row>
    <row r="969" spans="1:27" s="39" customFormat="1" ht="15" customHeight="1">
      <c r="A969" s="53"/>
      <c r="B969" s="1850" t="s">
        <v>2731</v>
      </c>
      <c r="C969" s="529"/>
      <c r="D969" s="1797"/>
      <c r="E969" s="1797"/>
      <c r="F969" s="1798"/>
      <c r="G969" s="1784">
        <v>0.12590000000000001</v>
      </c>
      <c r="H969" s="1525">
        <v>92</v>
      </c>
      <c r="I969" s="124"/>
      <c r="J969" s="124"/>
      <c r="K969" s="124"/>
      <c r="L969" s="124"/>
      <c r="M969" s="124"/>
      <c r="N969" s="124"/>
      <c r="O969" s="124"/>
      <c r="P969" s="124"/>
      <c r="Q969" s="124"/>
      <c r="R969" s="124"/>
      <c r="S969" s="124"/>
      <c r="T969" s="124"/>
      <c r="U969" s="124"/>
      <c r="V969" s="124"/>
      <c r="W969" s="94"/>
      <c r="X969" s="4"/>
      <c r="Y969" s="73"/>
      <c r="Z969" s="2062"/>
      <c r="AA969" s="25"/>
    </row>
    <row r="970" spans="1:27" ht="15" customHeight="1">
      <c r="A970" s="53"/>
      <c r="B970" s="1850" t="s">
        <v>2732</v>
      </c>
      <c r="C970" s="529"/>
      <c r="D970" s="1797"/>
      <c r="E970" s="1797"/>
      <c r="F970" s="1798"/>
      <c r="G970" s="1784">
        <v>0.12590000000000001</v>
      </c>
      <c r="H970" s="1525">
        <v>92</v>
      </c>
      <c r="I970" s="124"/>
      <c r="J970" s="124"/>
      <c r="K970" s="124"/>
      <c r="L970" s="38"/>
      <c r="M970" s="124"/>
      <c r="N970" s="38"/>
      <c r="O970" s="117"/>
      <c r="P970" s="124"/>
      <c r="Q970" s="124"/>
      <c r="R970" s="124"/>
      <c r="S970" s="124"/>
      <c r="T970" s="124"/>
      <c r="U970" s="124"/>
      <c r="V970" s="124"/>
      <c r="W970" s="94"/>
      <c r="Y970" s="73"/>
      <c r="Z970" s="132"/>
      <c r="AA970" s="25"/>
    </row>
    <row r="971" spans="1:27" hidden="1">
      <c r="A971" s="53"/>
      <c r="B971" s="1850" t="s">
        <v>2733</v>
      </c>
      <c r="C971" s="529"/>
      <c r="D971" s="1797"/>
      <c r="E971" s="1797"/>
      <c r="F971" s="1798"/>
      <c r="G971" s="1784">
        <v>0.12590000000000001</v>
      </c>
      <c r="H971" s="1525">
        <v>92</v>
      </c>
      <c r="I971" s="56"/>
      <c r="J971" s="56"/>
      <c r="K971" s="56"/>
      <c r="L971" s="36"/>
      <c r="M971" s="56"/>
      <c r="N971" s="36"/>
      <c r="O971" s="56"/>
      <c r="P971" s="56"/>
      <c r="Q971" s="56"/>
      <c r="R971" s="56"/>
      <c r="S971" s="56"/>
      <c r="T971" s="56"/>
      <c r="U971" s="56"/>
      <c r="V971" s="56"/>
      <c r="W971" s="95"/>
      <c r="Y971" s="74"/>
      <c r="Z971" s="132"/>
      <c r="AA971" s="23"/>
    </row>
    <row r="972" spans="1:27" s="39" customFormat="1">
      <c r="A972" s="53"/>
      <c r="B972" s="1850" t="s">
        <v>2734</v>
      </c>
      <c r="C972" s="529"/>
      <c r="D972" s="1797"/>
      <c r="E972" s="1797"/>
      <c r="F972" s="1798"/>
      <c r="G972" s="1784">
        <v>0.12590000000000001</v>
      </c>
      <c r="H972" s="1525">
        <v>92</v>
      </c>
      <c r="I972" s="56"/>
      <c r="J972" s="56"/>
      <c r="K972" s="56"/>
      <c r="L972" s="48"/>
      <c r="M972" s="56"/>
      <c r="N972" s="48"/>
      <c r="O972" s="56"/>
      <c r="P972" s="56"/>
      <c r="Q972" s="56"/>
      <c r="R972" s="56"/>
      <c r="S972" s="56"/>
      <c r="T972" s="56"/>
      <c r="U972" s="56"/>
      <c r="V972" s="56"/>
      <c r="W972" s="95"/>
      <c r="X972" s="4"/>
      <c r="Y972" s="74"/>
      <c r="Z972" s="132"/>
      <c r="AA972" s="23"/>
    </row>
    <row r="973" spans="1:27" s="39" customFormat="1">
      <c r="A973" s="53"/>
      <c r="B973" s="1850" t="s">
        <v>2735</v>
      </c>
      <c r="C973" s="529"/>
      <c r="D973" s="1797"/>
      <c r="E973" s="1797"/>
      <c r="F973" s="1798"/>
      <c r="G973" s="1784">
        <v>0.12590000000000001</v>
      </c>
      <c r="H973" s="1525">
        <v>92</v>
      </c>
      <c r="I973" s="56"/>
      <c r="J973" s="56"/>
      <c r="K973" s="56"/>
      <c r="L973" s="56"/>
      <c r="M973" s="56"/>
      <c r="N973" s="56"/>
      <c r="O973" s="56"/>
      <c r="P973" s="56"/>
      <c r="Q973" s="56"/>
      <c r="R973" s="56"/>
      <c r="S973" s="56"/>
      <c r="T973" s="56"/>
      <c r="U973" s="56"/>
      <c r="V973" s="56"/>
      <c r="W973" s="95"/>
      <c r="X973" s="4"/>
      <c r="Y973" s="74"/>
      <c r="Z973" s="132"/>
      <c r="AA973" s="23"/>
    </row>
    <row r="974" spans="1:27" s="613" customFormat="1">
      <c r="A974" s="53"/>
      <c r="B974" s="1850" t="s">
        <v>2736</v>
      </c>
      <c r="C974" s="529"/>
      <c r="D974" s="1797"/>
      <c r="E974" s="1797"/>
      <c r="F974" s="1798"/>
      <c r="G974" s="1784">
        <v>0.12590000000000001</v>
      </c>
      <c r="H974" s="1525">
        <v>92</v>
      </c>
      <c r="I974" s="56"/>
      <c r="J974" s="56"/>
      <c r="K974" s="56"/>
      <c r="L974" s="56"/>
      <c r="M974" s="56"/>
      <c r="N974" s="56"/>
      <c r="O974" s="56"/>
      <c r="P974" s="56"/>
      <c r="Q974" s="56"/>
      <c r="R974" s="56"/>
      <c r="S974" s="56"/>
      <c r="T974" s="56"/>
      <c r="U974" s="56"/>
      <c r="V974" s="56"/>
      <c r="W974" s="95"/>
      <c r="X974" s="4"/>
      <c r="Y974" s="74"/>
      <c r="Z974" s="218"/>
      <c r="AA974" s="23"/>
    </row>
    <row r="975" spans="1:27" s="613" customFormat="1">
      <c r="A975" s="53"/>
      <c r="B975" s="42"/>
      <c r="C975" s="42"/>
      <c r="D975" s="42"/>
      <c r="E975" s="42"/>
      <c r="F975" s="42"/>
      <c r="G975" s="6"/>
      <c r="H975" s="5"/>
      <c r="I975" s="56"/>
      <c r="J975" s="56"/>
      <c r="K975" s="56"/>
      <c r="L975" s="56"/>
      <c r="M975" s="56"/>
      <c r="N975" s="56"/>
      <c r="O975" s="56"/>
      <c r="P975" s="56"/>
      <c r="Q975" s="56"/>
      <c r="R975" s="56"/>
      <c r="S975" s="56"/>
      <c r="T975" s="56"/>
      <c r="U975" s="56"/>
      <c r="V975" s="56"/>
      <c r="W975" s="95"/>
      <c r="X975" s="4"/>
      <c r="Y975" s="74"/>
      <c r="Z975" s="218"/>
      <c r="AA975" s="23"/>
    </row>
    <row r="976" spans="1:27" s="613" customFormat="1">
      <c r="A976" s="53"/>
      <c r="B976" s="137" t="s">
        <v>701</v>
      </c>
      <c r="C976" s="1675" t="s">
        <v>2414</v>
      </c>
      <c r="D976" s="42"/>
      <c r="E976" s="42"/>
      <c r="F976" s="42"/>
      <c r="G976" s="6"/>
      <c r="H976" s="5"/>
      <c r="I976" s="56"/>
      <c r="J976" s="56"/>
      <c r="K976" s="56"/>
      <c r="L976" s="56"/>
      <c r="M976" s="56"/>
      <c r="N976" s="56"/>
      <c r="O976" s="56"/>
      <c r="P976" s="56"/>
      <c r="Q976" s="56"/>
      <c r="R976" s="56"/>
      <c r="S976" s="56"/>
      <c r="T976" s="56"/>
      <c r="U976" s="56"/>
      <c r="V976" s="56"/>
      <c r="W976" s="95"/>
      <c r="X976" s="4"/>
      <c r="Y976" s="74"/>
      <c r="Z976" s="218"/>
      <c r="AA976" s="23"/>
    </row>
    <row r="977" spans="1:27" s="613" customFormat="1" ht="43.2">
      <c r="A977" s="53"/>
      <c r="B977" s="138" t="s">
        <v>8</v>
      </c>
      <c r="C977" s="108"/>
      <c r="D977" s="108"/>
      <c r="E977" s="108"/>
      <c r="F977" s="108"/>
      <c r="G977" s="108" t="s">
        <v>2415</v>
      </c>
      <c r="H977" s="108" t="s">
        <v>226</v>
      </c>
      <c r="I977" s="56"/>
      <c r="J977" s="56"/>
      <c r="K977" s="56"/>
      <c r="L977" s="56"/>
      <c r="M977" s="56"/>
      <c r="N977" s="56"/>
      <c r="O977" s="56"/>
      <c r="P977" s="56"/>
      <c r="Q977" s="56"/>
      <c r="R977" s="56"/>
      <c r="S977" s="56"/>
      <c r="T977" s="56"/>
      <c r="U977" s="56"/>
      <c r="V977" s="56"/>
      <c r="W977" s="95"/>
      <c r="X977" s="4"/>
      <c r="Y977" s="74"/>
      <c r="Z977" s="218"/>
      <c r="AA977" s="23"/>
    </row>
    <row r="978" spans="1:27" s="613" customFormat="1">
      <c r="A978" s="53"/>
      <c r="B978" s="513" t="s">
        <v>351</v>
      </c>
      <c r="C978" s="513"/>
      <c r="D978" s="513"/>
      <c r="E978" s="513"/>
      <c r="F978" s="513"/>
      <c r="G978" s="514">
        <v>0</v>
      </c>
      <c r="H978" s="514">
        <v>0</v>
      </c>
      <c r="I978" s="56"/>
      <c r="J978" s="56"/>
      <c r="K978" s="56"/>
      <c r="L978" s="56"/>
      <c r="M978" s="56"/>
      <c r="N978" s="56"/>
      <c r="O978" s="56"/>
      <c r="P978" s="56"/>
      <c r="Q978" s="56"/>
      <c r="R978" s="56"/>
      <c r="S978" s="56"/>
      <c r="T978" s="56"/>
      <c r="U978" s="56"/>
      <c r="V978" s="56"/>
      <c r="W978" s="95"/>
      <c r="X978" s="4"/>
      <c r="Y978" s="74"/>
      <c r="Z978" s="218"/>
      <c r="AA978" s="23"/>
    </row>
    <row r="979" spans="1:27" s="613" customFormat="1">
      <c r="A979" s="53"/>
      <c r="B979" s="303" t="s">
        <v>349</v>
      </c>
      <c r="C979" s="513"/>
      <c r="D979" s="513"/>
      <c r="E979" s="513"/>
      <c r="F979" s="513"/>
      <c r="G979" s="1676">
        <v>0.1522</v>
      </c>
      <c r="H979" s="672">
        <v>98.9</v>
      </c>
      <c r="I979" s="56"/>
      <c r="J979" s="56"/>
      <c r="K979" s="56"/>
      <c r="L979" s="56"/>
      <c r="M979" s="56"/>
      <c r="N979" s="56"/>
      <c r="O979" s="56"/>
      <c r="P979" s="56"/>
      <c r="Q979" s="56"/>
      <c r="R979" s="56"/>
      <c r="S979" s="56"/>
      <c r="T979" s="56"/>
      <c r="U979" s="56"/>
      <c r="V979" s="56"/>
      <c r="W979" s="95"/>
      <c r="X979" s="4"/>
      <c r="Y979" s="74"/>
      <c r="Z979" s="218"/>
      <c r="AA979" s="23"/>
    </row>
    <row r="980" spans="1:27" s="39" customFormat="1">
      <c r="A980" s="53"/>
      <c r="B980" s="1496" t="s">
        <v>591</v>
      </c>
      <c r="C980" s="1488"/>
      <c r="D980" s="1488"/>
      <c r="E980" s="1488"/>
      <c r="F980" s="1488"/>
      <c r="G980" s="1676">
        <v>0.12379999999999999</v>
      </c>
      <c r="H980" s="672">
        <v>80.5</v>
      </c>
      <c r="I980" s="56"/>
      <c r="J980" s="56"/>
      <c r="K980" s="56"/>
      <c r="L980" s="56"/>
      <c r="M980" s="56"/>
      <c r="N980" s="56"/>
      <c r="O980" s="56"/>
      <c r="P980" s="56"/>
      <c r="Q980" s="56"/>
      <c r="R980" s="56"/>
      <c r="S980" s="56"/>
      <c r="T980" s="56"/>
      <c r="U980" s="56"/>
      <c r="V980" s="56"/>
      <c r="W980" s="95"/>
      <c r="X980" s="4"/>
      <c r="Y980" s="74"/>
      <c r="Z980" s="132"/>
      <c r="AA980" s="23"/>
    </row>
    <row r="981" spans="1:27" s="39" customFormat="1">
      <c r="A981" s="53"/>
      <c r="B981" s="303" t="s">
        <v>350</v>
      </c>
      <c r="C981" s="513"/>
      <c r="D981" s="513"/>
      <c r="E981" s="513"/>
      <c r="F981" s="513"/>
      <c r="G981" s="1676">
        <v>0.1522</v>
      </c>
      <c r="H981" s="672">
        <v>98.9</v>
      </c>
      <c r="I981" s="56"/>
      <c r="J981" s="56"/>
      <c r="K981" s="56"/>
      <c r="L981" s="56"/>
      <c r="M981" s="56"/>
      <c r="N981" s="56"/>
      <c r="O981" s="56"/>
      <c r="P981" s="56"/>
      <c r="Q981" s="56"/>
      <c r="R981" s="56"/>
      <c r="S981" s="56"/>
      <c r="T981" s="56"/>
      <c r="U981" s="56"/>
      <c r="V981" s="56"/>
      <c r="W981" s="95"/>
      <c r="X981" s="4"/>
      <c r="Y981" s="74"/>
      <c r="Z981" s="132"/>
      <c r="AA981" s="23"/>
    </row>
    <row r="982" spans="1:27" s="39" customFormat="1">
      <c r="A982" s="53"/>
      <c r="B982" s="517"/>
      <c r="C982" s="305"/>
      <c r="D982" s="305"/>
      <c r="E982" s="305"/>
      <c r="F982" s="305"/>
      <c r="G982" s="736"/>
      <c r="H982" s="737"/>
      <c r="I982" s="56"/>
      <c r="J982" s="56"/>
      <c r="K982" s="56"/>
      <c r="L982" s="56"/>
      <c r="M982" s="56"/>
      <c r="N982" s="56"/>
      <c r="O982" s="56"/>
      <c r="P982" s="56"/>
      <c r="Q982" s="56"/>
      <c r="R982" s="56"/>
      <c r="S982" s="56"/>
      <c r="T982" s="56"/>
      <c r="U982" s="56"/>
      <c r="V982" s="56"/>
      <c r="W982" s="95"/>
      <c r="X982" s="4"/>
      <c r="Y982" s="74"/>
      <c r="Z982" s="132"/>
      <c r="AA982" s="23"/>
    </row>
    <row r="983" spans="1:27" s="613" customFormat="1">
      <c r="A983" s="53"/>
      <c r="B983" s="135"/>
      <c r="C983" s="49"/>
      <c r="D983" s="11"/>
      <c r="E983" s="11"/>
      <c r="F983" s="11"/>
      <c r="G983" s="10"/>
      <c r="H983" s="10"/>
      <c r="I983" s="56"/>
      <c r="J983" s="56"/>
      <c r="K983" s="56"/>
      <c r="L983" s="56"/>
      <c r="M983" s="56"/>
      <c r="N983" s="56"/>
      <c r="O983" s="56"/>
      <c r="P983" s="56"/>
      <c r="Q983" s="56"/>
      <c r="R983" s="56"/>
      <c r="S983" s="56"/>
      <c r="T983" s="56"/>
      <c r="U983" s="56"/>
      <c r="V983" s="56"/>
      <c r="W983" s="95"/>
      <c r="X983" s="4"/>
      <c r="Y983" s="74"/>
      <c r="Z983" s="218"/>
      <c r="AA983" s="23"/>
    </row>
    <row r="984" spans="1:27" s="613" customFormat="1">
      <c r="A984" s="53"/>
      <c r="B984" s="1988" t="s">
        <v>1072</v>
      </c>
      <c r="C984" s="1989"/>
      <c r="D984" s="1990"/>
      <c r="E984"/>
      <c r="F984" s="42"/>
      <c r="G984" s="5"/>
      <c r="H984" s="38"/>
      <c r="I984" s="56"/>
      <c r="J984" s="56"/>
      <c r="K984" s="56"/>
      <c r="L984" s="56"/>
      <c r="M984" s="56"/>
      <c r="N984" s="56"/>
      <c r="O984" s="56"/>
      <c r="P984" s="56"/>
      <c r="Q984" s="56"/>
      <c r="R984" s="56"/>
      <c r="S984" s="56"/>
      <c r="T984" s="56"/>
      <c r="U984" s="56"/>
      <c r="V984" s="56"/>
      <c r="W984" s="95"/>
      <c r="X984" s="4"/>
      <c r="Y984" s="74"/>
      <c r="Z984" s="218"/>
      <c r="AA984" s="23"/>
    </row>
    <row r="985" spans="1:27" s="39" customFormat="1">
      <c r="A985" s="53"/>
      <c r="B985" s="110" t="s">
        <v>32</v>
      </c>
      <c r="C985" s="113" t="s">
        <v>4</v>
      </c>
      <c r="D985" s="110" t="s">
        <v>26</v>
      </c>
      <c r="E985"/>
      <c r="F985" s="42"/>
      <c r="G985" s="5"/>
      <c r="H985" s="124"/>
      <c r="I985" s="56"/>
      <c r="J985" s="56"/>
      <c r="K985" s="56"/>
      <c r="L985" s="56"/>
      <c r="M985" s="56"/>
      <c r="N985" s="56"/>
      <c r="O985" s="56"/>
      <c r="P985" s="56"/>
      <c r="Q985" s="56"/>
      <c r="R985" s="56"/>
      <c r="S985" s="56"/>
      <c r="T985" s="56"/>
      <c r="U985" s="56"/>
      <c r="V985" s="56"/>
      <c r="W985" s="95"/>
      <c r="X985" s="4"/>
      <c r="Y985" s="74"/>
      <c r="Z985" s="132"/>
      <c r="AA985" s="23"/>
    </row>
    <row r="986" spans="1:27" s="333" customFormat="1">
      <c r="A986" s="53"/>
      <c r="B986" s="1566" t="s">
        <v>999</v>
      </c>
      <c r="C986" s="1567">
        <v>5.1999999999999998E-2</v>
      </c>
      <c r="D986" s="564">
        <v>7.3200000000000004E-5</v>
      </c>
      <c r="E986" s="1489"/>
      <c r="F986" s="42"/>
      <c r="G986" s="5"/>
      <c r="H986" s="38"/>
      <c r="I986" s="56"/>
      <c r="J986" s="56"/>
      <c r="K986" s="56"/>
      <c r="L986" s="56"/>
      <c r="M986" s="56"/>
      <c r="N986" s="56"/>
      <c r="O986" s="56"/>
      <c r="P986" s="56"/>
      <c r="Q986" s="56"/>
      <c r="R986" s="56"/>
      <c r="S986" s="56"/>
      <c r="T986" s="56"/>
      <c r="U986" s="56"/>
      <c r="V986" s="56"/>
      <c r="W986" s="95"/>
      <c r="X986" s="4"/>
      <c r="Y986" s="74"/>
      <c r="Z986" s="218"/>
      <c r="AA986" s="23"/>
    </row>
    <row r="987" spans="1:27" s="333" customFormat="1">
      <c r="A987" s="53"/>
      <c r="B987" s="1566" t="s">
        <v>15</v>
      </c>
      <c r="C987" s="1567">
        <v>4.2999999999999997E-2</v>
      </c>
      <c r="D987" s="564">
        <v>6.0514999999999999E-5</v>
      </c>
      <c r="E987" s="1489"/>
      <c r="F987" s="42"/>
      <c r="G987" s="5"/>
      <c r="H987" s="36"/>
      <c r="I987" s="56"/>
      <c r="J987" s="56"/>
      <c r="K987" s="56"/>
      <c r="L987" s="56"/>
      <c r="M987" s="56"/>
      <c r="N987" s="56"/>
      <c r="O987" s="56"/>
      <c r="P987" s="56"/>
      <c r="Q987" s="56"/>
      <c r="R987" s="56"/>
      <c r="S987" s="56"/>
      <c r="T987" s="56"/>
      <c r="U987" s="56"/>
      <c r="V987" s="56"/>
      <c r="W987" s="95"/>
      <c r="X987" s="4"/>
      <c r="Y987" s="74"/>
      <c r="Z987" s="218"/>
      <c r="AA987" s="23"/>
    </row>
    <row r="988" spans="1:27" s="333" customFormat="1">
      <c r="A988" s="53"/>
      <c r="B988" s="1566" t="s">
        <v>220</v>
      </c>
      <c r="C988" s="1567">
        <v>5.1999999999999998E-2</v>
      </c>
      <c r="D988" s="564">
        <v>7.3200000000000004E-5</v>
      </c>
      <c r="E988" s="1489"/>
      <c r="F988" s="42"/>
      <c r="G988" s="5"/>
      <c r="H988" s="48"/>
      <c r="I988" s="56"/>
      <c r="J988" s="56"/>
      <c r="K988" s="56"/>
      <c r="L988" s="56"/>
      <c r="M988" s="56"/>
      <c r="N988" s="56"/>
      <c r="O988" s="56"/>
      <c r="P988" s="56"/>
      <c r="Q988" s="56"/>
      <c r="R988" s="56"/>
      <c r="S988" s="56"/>
      <c r="T988" s="56"/>
      <c r="U988" s="56"/>
      <c r="V988" s="56"/>
      <c r="W988" s="95"/>
      <c r="X988" s="4"/>
      <c r="Y988" s="74"/>
      <c r="Z988" s="218"/>
      <c r="AA988" s="23"/>
    </row>
    <row r="989" spans="1:27" s="1489" customFormat="1">
      <c r="A989" s="1491"/>
      <c r="B989" s="1688"/>
      <c r="C989" s="1689"/>
      <c r="F989" s="1191"/>
      <c r="G989" s="1175"/>
      <c r="H989" s="56"/>
      <c r="I989" s="56"/>
      <c r="J989" s="56"/>
      <c r="K989" s="56"/>
      <c r="L989" s="56"/>
      <c r="M989" s="56"/>
      <c r="N989" s="56"/>
      <c r="O989" s="56"/>
      <c r="P989" s="56"/>
      <c r="Q989" s="56"/>
      <c r="R989" s="56"/>
      <c r="S989" s="56"/>
      <c r="T989" s="56"/>
      <c r="U989" s="56"/>
      <c r="V989" s="56"/>
      <c r="W989" s="95"/>
      <c r="X989" s="1490"/>
      <c r="Y989" s="74"/>
      <c r="Z989" s="1492"/>
      <c r="AA989" s="23"/>
    </row>
    <row r="990" spans="1:27" s="613" customFormat="1">
      <c r="A990" s="53"/>
      <c r="B990" s="1944" t="s">
        <v>1074</v>
      </c>
      <c r="C990" s="1945"/>
      <c r="D990" s="1946"/>
      <c r="E990" s="1489"/>
      <c r="F990" s="42"/>
      <c r="G990" s="5"/>
      <c r="H990" s="56"/>
      <c r="I990" s="56"/>
      <c r="J990" s="56"/>
      <c r="K990" s="56"/>
      <c r="L990" s="56"/>
      <c r="M990" s="56"/>
      <c r="N990" s="56"/>
      <c r="O990" s="56"/>
      <c r="P990" s="56"/>
      <c r="Q990" s="56"/>
      <c r="R990" s="56"/>
      <c r="S990" s="56"/>
      <c r="T990" s="56"/>
      <c r="U990" s="56"/>
      <c r="V990" s="56"/>
      <c r="W990" s="95"/>
      <c r="X990" s="4"/>
      <c r="Y990" s="74"/>
      <c r="Z990" s="218"/>
      <c r="AA990" s="23"/>
    </row>
    <row r="991" spans="1:27" s="613" customFormat="1">
      <c r="A991" s="53"/>
      <c r="B991" s="1568" t="s">
        <v>32</v>
      </c>
      <c r="C991" s="1567" t="s">
        <v>24</v>
      </c>
      <c r="D991" s="564" t="s">
        <v>26</v>
      </c>
      <c r="E991" s="1489"/>
      <c r="F991" s="42"/>
      <c r="G991" s="5"/>
      <c r="H991" s="56"/>
      <c r="I991" s="56"/>
      <c r="J991" s="56"/>
      <c r="K991" s="56"/>
      <c r="L991" s="56"/>
      <c r="M991" s="56"/>
      <c r="N991" s="56"/>
      <c r="O991" s="56"/>
      <c r="P991" s="56"/>
      <c r="Q991" s="56"/>
      <c r="R991" s="56"/>
      <c r="S991" s="56"/>
      <c r="T991" s="56"/>
      <c r="U991" s="56"/>
      <c r="V991" s="56"/>
      <c r="W991" s="95"/>
      <c r="X991" s="4"/>
      <c r="Y991" s="74"/>
      <c r="Z991" s="218"/>
      <c r="AA991" s="23"/>
    </row>
    <row r="992" spans="1:27" s="613" customFormat="1">
      <c r="A992" s="53"/>
      <c r="B992" s="1566" t="s">
        <v>960</v>
      </c>
      <c r="C992" s="1567">
        <v>5.1999999999999998E-2</v>
      </c>
      <c r="D992" s="564">
        <v>7.3200000000000004E-5</v>
      </c>
      <c r="E992" s="1489"/>
      <c r="F992" s="42"/>
      <c r="G992" s="5"/>
      <c r="H992" s="56"/>
      <c r="I992" s="56"/>
      <c r="J992" s="56"/>
      <c r="K992" s="56"/>
      <c r="L992" s="56"/>
      <c r="M992" s="56"/>
      <c r="N992" s="56"/>
      <c r="O992" s="56"/>
      <c r="P992" s="56"/>
      <c r="Q992" s="56"/>
      <c r="R992" s="56"/>
      <c r="S992" s="56"/>
      <c r="T992" s="56"/>
      <c r="U992" s="56"/>
      <c r="V992" s="56"/>
      <c r="W992" s="95"/>
      <c r="X992" s="4"/>
      <c r="Y992" s="74"/>
      <c r="Z992" s="218"/>
      <c r="AA992" s="23"/>
    </row>
    <row r="993" spans="1:27" s="613" customFormat="1">
      <c r="A993" s="53"/>
      <c r="B993" s="1566" t="s">
        <v>220</v>
      </c>
      <c r="C993" s="1567">
        <v>5.1999999999999998E-2</v>
      </c>
      <c r="D993" s="564">
        <v>7.3200000000000004E-5</v>
      </c>
      <c r="E993" s="1489"/>
      <c r="F993" s="42"/>
      <c r="G993" s="5"/>
      <c r="H993" s="56"/>
      <c r="I993" s="56"/>
      <c r="J993" s="56"/>
      <c r="K993" s="56"/>
      <c r="L993" s="56"/>
      <c r="M993" s="56"/>
      <c r="N993" s="56"/>
      <c r="O993" s="56"/>
      <c r="P993" s="56"/>
      <c r="Q993" s="56"/>
      <c r="R993" s="56"/>
      <c r="S993" s="56"/>
      <c r="T993" s="56"/>
      <c r="U993" s="56"/>
      <c r="V993" s="56"/>
      <c r="W993" s="95"/>
      <c r="X993" s="4"/>
      <c r="Y993" s="74"/>
      <c r="Z993" s="218"/>
      <c r="AA993" s="23"/>
    </row>
    <row r="994" spans="1:27" s="1489" customFormat="1">
      <c r="A994" s="1491"/>
      <c r="B994" s="764"/>
      <c r="C994" s="765"/>
      <c r="D994" s="1687"/>
      <c r="F994" s="1191"/>
      <c r="G994" s="1175"/>
      <c r="H994" s="56"/>
      <c r="I994" s="56"/>
      <c r="J994" s="56"/>
      <c r="K994" s="56"/>
      <c r="L994" s="56"/>
      <c r="M994" s="56"/>
      <c r="N994" s="56"/>
      <c r="O994" s="56"/>
      <c r="P994" s="56"/>
      <c r="Q994" s="56"/>
      <c r="R994" s="56"/>
      <c r="S994" s="56"/>
      <c r="T994" s="56"/>
      <c r="U994" s="56"/>
      <c r="V994" s="56"/>
      <c r="W994" s="95"/>
      <c r="X994" s="1490"/>
      <c r="Y994" s="74"/>
      <c r="Z994" s="1492"/>
      <c r="AA994" s="23"/>
    </row>
    <row r="995" spans="1:27" s="1489" customFormat="1">
      <c r="A995" s="1491"/>
      <c r="B995" s="1944" t="s">
        <v>2432</v>
      </c>
      <c r="C995" s="1945"/>
      <c r="F995" s="1191"/>
      <c r="G995" s="1175"/>
      <c r="H995" s="56"/>
      <c r="I995" s="56"/>
      <c r="J995" s="56"/>
      <c r="K995" s="56"/>
      <c r="L995" s="56"/>
      <c r="M995" s="56"/>
      <c r="N995" s="56"/>
      <c r="O995" s="56"/>
      <c r="P995" s="56"/>
      <c r="Q995" s="56"/>
      <c r="R995" s="56"/>
      <c r="S995" s="56"/>
      <c r="T995" s="56"/>
      <c r="U995" s="56"/>
      <c r="V995" s="56"/>
      <c r="W995" s="95"/>
      <c r="X995" s="1490"/>
      <c r="Y995" s="74"/>
      <c r="Z995" s="1492"/>
      <c r="AA995" s="23"/>
    </row>
    <row r="996" spans="1:27" s="1489" customFormat="1">
      <c r="A996" s="1491"/>
      <c r="B996" s="110" t="s">
        <v>32</v>
      </c>
      <c r="C996" s="113" t="s">
        <v>4</v>
      </c>
      <c r="F996" s="1191"/>
      <c r="G996" s="1175"/>
      <c r="H996" s="56"/>
      <c r="I996" s="56"/>
      <c r="J996" s="56"/>
      <c r="K996" s="56"/>
      <c r="L996" s="56"/>
      <c r="M996" s="56"/>
      <c r="N996" s="56"/>
      <c r="O996" s="56"/>
      <c r="P996" s="56"/>
      <c r="Q996" s="56"/>
      <c r="R996" s="56"/>
      <c r="S996" s="56"/>
      <c r="T996" s="56"/>
      <c r="U996" s="56"/>
      <c r="V996" s="56"/>
      <c r="W996" s="95"/>
      <c r="X996" s="1490"/>
      <c r="Y996" s="74"/>
      <c r="Z996" s="1492"/>
      <c r="AA996" s="23"/>
    </row>
    <row r="997" spans="1:27" s="1489" customFormat="1">
      <c r="A997" s="1491"/>
      <c r="B997" s="1566" t="s">
        <v>2430</v>
      </c>
      <c r="C997" s="1717">
        <v>8.5000000000000006E-2</v>
      </c>
      <c r="F997" s="1191"/>
      <c r="G997" s="1175"/>
      <c r="H997" s="56"/>
      <c r="I997" s="56"/>
      <c r="J997" s="56"/>
      <c r="K997" s="56"/>
      <c r="L997" s="56"/>
      <c r="M997" s="56"/>
      <c r="N997" s="56"/>
      <c r="O997" s="56"/>
      <c r="P997" s="56"/>
      <c r="Q997" s="56"/>
      <c r="R997" s="56"/>
      <c r="S997" s="56"/>
      <c r="T997" s="56"/>
      <c r="U997" s="56"/>
      <c r="V997" s="56"/>
      <c r="W997" s="95"/>
      <c r="X997" s="1490"/>
      <c r="Y997" s="74"/>
      <c r="Z997" s="1492"/>
      <c r="AA997" s="23"/>
    </row>
    <row r="998" spans="1:27" s="613" customFormat="1">
      <c r="A998" s="53"/>
      <c r="B998" s="1566" t="s">
        <v>2431</v>
      </c>
      <c r="C998" s="1717">
        <v>0.24</v>
      </c>
      <c r="D998" s="1489"/>
      <c r="E998" s="1489"/>
      <c r="F998" s="42"/>
      <c r="G998" s="5"/>
      <c r="H998" s="56"/>
      <c r="I998" s="56"/>
      <c r="J998" s="56"/>
      <c r="K998" s="56"/>
      <c r="L998" s="56"/>
      <c r="M998" s="56"/>
      <c r="N998" s="56"/>
      <c r="O998" s="56"/>
      <c r="P998" s="56"/>
      <c r="Q998" s="56"/>
      <c r="R998" s="56"/>
      <c r="S998" s="56"/>
      <c r="T998" s="56"/>
      <c r="U998" s="56"/>
      <c r="V998" s="56"/>
      <c r="W998" s="95"/>
      <c r="X998" s="4"/>
      <c r="Y998" s="74"/>
      <c r="Z998" s="218"/>
      <c r="AA998" s="23"/>
    </row>
    <row r="999" spans="1:27" s="613" customFormat="1">
      <c r="A999" s="53"/>
      <c r="B999" s="593"/>
      <c r="C999" s="869"/>
      <c r="D999" s="853"/>
      <c r="E999" s="1489"/>
      <c r="F999" s="42"/>
      <c r="G999" s="5"/>
      <c r="H999" s="56"/>
      <c r="I999" s="56"/>
      <c r="J999" s="56"/>
      <c r="K999" s="56"/>
      <c r="L999" s="56"/>
      <c r="M999" s="56"/>
      <c r="N999" s="56"/>
      <c r="O999" s="56"/>
      <c r="P999" s="56"/>
      <c r="Q999" s="56"/>
      <c r="R999" s="56"/>
      <c r="S999" s="56"/>
      <c r="T999" s="56"/>
      <c r="U999" s="56"/>
      <c r="V999" s="56"/>
      <c r="W999" s="95"/>
      <c r="X999" s="4"/>
      <c r="Y999" s="74"/>
      <c r="Z999" s="218"/>
      <c r="AA999" s="23"/>
    </row>
    <row r="1000" spans="1:27" s="613" customFormat="1">
      <c r="A1000" s="53"/>
      <c r="B1000" s="1944" t="s">
        <v>1073</v>
      </c>
      <c r="C1000" s="1945"/>
      <c r="D1000" s="1946"/>
      <c r="E1000" s="1489"/>
      <c r="F1000" s="13"/>
      <c r="G1000" s="5"/>
      <c r="H1000" s="56"/>
      <c r="I1000" s="56"/>
      <c r="J1000" s="56"/>
      <c r="K1000" s="56"/>
      <c r="L1000" s="56"/>
      <c r="M1000" s="56"/>
      <c r="N1000" s="56"/>
      <c r="O1000" s="56"/>
      <c r="P1000" s="56"/>
      <c r="Q1000" s="56"/>
      <c r="R1000" s="56"/>
      <c r="S1000" s="56"/>
      <c r="T1000" s="56"/>
      <c r="U1000" s="56"/>
      <c r="V1000" s="56"/>
      <c r="W1000" s="95"/>
      <c r="X1000" s="4"/>
      <c r="Y1000" s="74"/>
      <c r="Z1000" s="218"/>
      <c r="AA1000" s="23"/>
    </row>
    <row r="1001" spans="1:27" s="613" customFormat="1">
      <c r="A1001" s="53"/>
      <c r="B1001" s="110" t="s">
        <v>32</v>
      </c>
      <c r="C1001" s="111" t="s">
        <v>24</v>
      </c>
      <c r="D1001" s="112" t="s">
        <v>26</v>
      </c>
      <c r="E1001" s="1489"/>
      <c r="F1001" s="13"/>
      <c r="G1001" s="5"/>
      <c r="H1001" s="56"/>
      <c r="I1001" s="56"/>
      <c r="J1001" s="56"/>
      <c r="K1001" s="56"/>
      <c r="L1001" s="56"/>
      <c r="M1001" s="56"/>
      <c r="N1001" s="56"/>
      <c r="O1001" s="56"/>
      <c r="P1001" s="56"/>
      <c r="Q1001" s="56"/>
      <c r="R1001" s="56"/>
      <c r="S1001" s="56"/>
      <c r="T1001" s="56"/>
      <c r="U1001" s="56"/>
      <c r="V1001" s="56"/>
      <c r="W1001" s="95"/>
      <c r="X1001" s="4"/>
      <c r="Y1001" s="74"/>
      <c r="Z1001" s="218"/>
      <c r="AA1001" s="23"/>
    </row>
    <row r="1002" spans="1:27" s="613" customFormat="1">
      <c r="A1002" s="53"/>
      <c r="B1002" s="1566" t="s">
        <v>1075</v>
      </c>
      <c r="C1002" s="1567">
        <v>0.115</v>
      </c>
      <c r="D1002" s="564">
        <v>1.6200000000000001E-4</v>
      </c>
      <c r="E1002" s="1489"/>
      <c r="F1002" s="13"/>
      <c r="G1002" s="5"/>
      <c r="H1002" s="56"/>
      <c r="I1002" s="56"/>
      <c r="J1002" s="56"/>
      <c r="K1002" s="56"/>
      <c r="L1002" s="56"/>
      <c r="M1002" s="56"/>
      <c r="N1002" s="56"/>
      <c r="O1002" s="56"/>
      <c r="P1002" s="56"/>
      <c r="Q1002" s="56"/>
      <c r="R1002" s="56"/>
      <c r="S1002" s="56"/>
      <c r="T1002" s="56"/>
      <c r="U1002" s="56"/>
      <c r="V1002" s="56"/>
      <c r="W1002" s="95"/>
      <c r="X1002" s="4"/>
      <c r="Y1002" s="74"/>
      <c r="Z1002" s="218"/>
      <c r="AA1002" s="23"/>
    </row>
    <row r="1003" spans="1:27" s="613" customFormat="1">
      <c r="A1003" s="53"/>
      <c r="B1003" s="1566" t="s">
        <v>220</v>
      </c>
      <c r="C1003" s="1567">
        <v>5.1999999999999998E-2</v>
      </c>
      <c r="D1003" s="564">
        <v>7.3200000000000004E-5</v>
      </c>
      <c r="E1003"/>
      <c r="F1003" s="13"/>
      <c r="G1003" s="5"/>
      <c r="H1003" s="56"/>
      <c r="I1003" s="56"/>
      <c r="J1003" s="56"/>
      <c r="K1003" s="56"/>
      <c r="L1003" s="56"/>
      <c r="M1003" s="56"/>
      <c r="N1003" s="56"/>
      <c r="O1003" s="56"/>
      <c r="P1003" s="56"/>
      <c r="Q1003" s="56"/>
      <c r="R1003" s="56"/>
      <c r="S1003" s="56"/>
      <c r="T1003" s="56"/>
      <c r="U1003" s="56"/>
      <c r="V1003" s="56"/>
      <c r="W1003" s="95"/>
      <c r="X1003" s="4"/>
      <c r="Y1003" s="74"/>
      <c r="Z1003" s="218"/>
      <c r="AA1003" s="23"/>
    </row>
    <row r="1004" spans="1:27" s="613" customFormat="1">
      <c r="A1004" s="53"/>
      <c r="B1004" s="815" t="s">
        <v>1076</v>
      </c>
      <c r="C1004" s="1569">
        <v>0.157</v>
      </c>
      <c r="D1004" s="1570">
        <v>2.2110000000000001E-4</v>
      </c>
      <c r="E1004"/>
      <c r="F1004" s="13"/>
      <c r="G1004" s="5"/>
      <c r="H1004" s="56"/>
      <c r="I1004" s="56"/>
      <c r="J1004" s="56"/>
      <c r="K1004" s="56"/>
      <c r="L1004" s="56"/>
      <c r="M1004" s="56"/>
      <c r="N1004" s="56"/>
      <c r="O1004" s="56"/>
      <c r="P1004" s="56"/>
      <c r="Q1004" s="56"/>
      <c r="R1004" s="56"/>
      <c r="S1004" s="56"/>
      <c r="T1004" s="56"/>
      <c r="U1004" s="56"/>
      <c r="V1004" s="56"/>
      <c r="W1004" s="95"/>
      <c r="X1004" s="4"/>
      <c r="Y1004" s="74"/>
      <c r="Z1004" s="218"/>
      <c r="AA1004" s="23"/>
    </row>
    <row r="1005" spans="1:27" s="613" customFormat="1">
      <c r="A1005" s="53"/>
      <c r="B1005" s="39"/>
      <c r="C1005" s="39"/>
      <c r="D1005" s="39"/>
      <c r="E1005" s="13"/>
      <c r="F1005" s="13"/>
      <c r="G1005" s="5"/>
      <c r="H1005" s="56"/>
      <c r="I1005" s="56"/>
      <c r="J1005" s="56"/>
      <c r="K1005" s="56"/>
      <c r="L1005" s="56"/>
      <c r="M1005" s="56"/>
      <c r="N1005" s="56"/>
      <c r="O1005" s="56"/>
      <c r="P1005" s="56"/>
      <c r="Q1005" s="56"/>
      <c r="R1005" s="56"/>
      <c r="S1005" s="56"/>
      <c r="T1005" s="56"/>
      <c r="U1005" s="56"/>
      <c r="V1005" s="56"/>
      <c r="W1005" s="95"/>
      <c r="X1005" s="4"/>
      <c r="Y1005" s="74"/>
      <c r="Z1005" s="218"/>
      <c r="AA1005" s="23"/>
    </row>
    <row r="1006" spans="1:27" s="613" customFormat="1">
      <c r="A1006" s="53"/>
      <c r="B1006" s="1991" t="s">
        <v>1588</v>
      </c>
      <c r="C1006" s="1946"/>
      <c r="D1006" s="13"/>
      <c r="E1006" s="709"/>
      <c r="F1006" s="708"/>
      <c r="G1006" s="5"/>
      <c r="H1006" s="56"/>
      <c r="I1006" s="56"/>
      <c r="J1006" s="56"/>
      <c r="K1006" s="56"/>
      <c r="L1006" s="56"/>
      <c r="M1006" s="56"/>
      <c r="N1006" s="56"/>
      <c r="O1006" s="56"/>
      <c r="P1006" s="56"/>
      <c r="Q1006" s="56"/>
      <c r="R1006" s="56"/>
      <c r="S1006" s="56"/>
      <c r="T1006" s="56"/>
      <c r="U1006" s="56"/>
      <c r="V1006" s="56"/>
      <c r="W1006" s="95"/>
      <c r="X1006" s="4"/>
      <c r="Y1006" s="74"/>
      <c r="Z1006" s="218"/>
      <c r="AA1006" s="23"/>
    </row>
    <row r="1007" spans="1:27" s="613" customFormat="1">
      <c r="A1007" s="53"/>
      <c r="B1007" s="594" t="s">
        <v>32</v>
      </c>
      <c r="C1007" s="595" t="s">
        <v>24</v>
      </c>
      <c r="D1007" s="13"/>
      <c r="E1007" s="708"/>
      <c r="F1007" s="708"/>
      <c r="G1007" s="5"/>
      <c r="H1007" s="56"/>
      <c r="I1007" s="56"/>
      <c r="J1007" s="56"/>
      <c r="K1007" s="56"/>
      <c r="L1007" s="56"/>
      <c r="M1007" s="56"/>
      <c r="N1007" s="56"/>
      <c r="O1007" s="56"/>
      <c r="P1007" s="56"/>
      <c r="Q1007" s="56"/>
      <c r="R1007" s="56"/>
      <c r="S1007" s="56"/>
      <c r="T1007" s="56"/>
      <c r="U1007" s="56"/>
      <c r="V1007" s="56"/>
      <c r="W1007" s="95"/>
      <c r="X1007" s="4"/>
      <c r="Y1007" s="74"/>
      <c r="Z1007" s="218"/>
      <c r="AA1007" s="23"/>
    </row>
    <row r="1008" spans="1:27" s="1185" customFormat="1">
      <c r="A1008" s="1186"/>
      <c r="B1008" s="815" t="s">
        <v>1590</v>
      </c>
      <c r="C1008" s="1571">
        <v>1.2699999999999999E-2</v>
      </c>
      <c r="D1008" s="13"/>
      <c r="E1008" s="708"/>
      <c r="F1008" s="708"/>
      <c r="G1008" s="5"/>
      <c r="H1008" s="56"/>
      <c r="I1008" s="56"/>
      <c r="J1008" s="56"/>
      <c r="K1008" s="56"/>
      <c r="L1008" s="56"/>
      <c r="M1008" s="56"/>
      <c r="N1008" s="56"/>
      <c r="O1008" s="56"/>
      <c r="P1008" s="56"/>
      <c r="Q1008" s="56"/>
      <c r="R1008" s="56"/>
      <c r="S1008" s="56"/>
      <c r="T1008" s="56"/>
      <c r="U1008" s="56"/>
      <c r="V1008" s="56"/>
      <c r="W1008" s="95"/>
      <c r="X1008" s="4"/>
      <c r="Y1008" s="74"/>
      <c r="Z1008" s="1192"/>
      <c r="AA1008" s="23"/>
    </row>
    <row r="1009" spans="1:27" s="613" customFormat="1">
      <c r="A1009" s="53"/>
      <c r="B1009" s="764"/>
      <c r="C1009" s="765"/>
      <c r="D1009" s="13"/>
      <c r="E1009" s="708"/>
      <c r="F1009" s="709"/>
      <c r="G1009" s="5"/>
      <c r="H1009" s="56"/>
      <c r="I1009" s="56"/>
      <c r="J1009" s="56"/>
      <c r="K1009" s="56"/>
      <c r="L1009" s="56"/>
      <c r="M1009" s="56"/>
      <c r="N1009" s="56"/>
      <c r="O1009" s="56"/>
      <c r="P1009" s="56"/>
      <c r="Q1009" s="56"/>
      <c r="R1009" s="56"/>
      <c r="S1009" s="56"/>
      <c r="T1009" s="56"/>
      <c r="U1009" s="56"/>
      <c r="V1009" s="56"/>
      <c r="W1009" s="95"/>
      <c r="X1009" s="4"/>
      <c r="Y1009" s="74"/>
      <c r="Z1009" s="218"/>
      <c r="AA1009" s="23"/>
    </row>
    <row r="1010" spans="1:27" s="613" customFormat="1">
      <c r="A1010" s="53"/>
      <c r="B1010" s="2044" t="s">
        <v>1574</v>
      </c>
      <c r="C1010" s="2044"/>
      <c r="D1010" s="818"/>
      <c r="E1010" s="818"/>
      <c r="F1010" s="709"/>
      <c r="G1010" s="5"/>
      <c r="H1010" s="56"/>
      <c r="I1010" s="56"/>
      <c r="J1010" s="56"/>
      <c r="K1010" s="56"/>
      <c r="L1010" s="56"/>
      <c r="M1010" s="56"/>
      <c r="N1010" s="56"/>
      <c r="O1010" s="56"/>
      <c r="P1010" s="56"/>
      <c r="Q1010" s="56"/>
      <c r="R1010" s="56"/>
      <c r="S1010" s="56"/>
      <c r="T1010" s="56"/>
      <c r="U1010" s="56"/>
      <c r="V1010" s="56"/>
      <c r="W1010" s="95"/>
      <c r="X1010" s="4"/>
      <c r="Y1010" s="74"/>
      <c r="Z1010" s="218"/>
      <c r="AA1010" s="23"/>
    </row>
    <row r="1011" spans="1:27" s="613" customFormat="1">
      <c r="A1011" s="53"/>
      <c r="B1011" s="594" t="s">
        <v>1575</v>
      </c>
      <c r="C1011" s="1195" t="s">
        <v>112</v>
      </c>
      <c r="D1011" s="1195" t="s">
        <v>113</v>
      </c>
      <c r="E1011" s="766" t="s">
        <v>1589</v>
      </c>
      <c r="F1011" s="709"/>
      <c r="G1011" s="5"/>
      <c r="H1011" s="56"/>
      <c r="I1011" s="56"/>
      <c r="J1011" s="56"/>
      <c r="K1011" s="56"/>
      <c r="L1011" s="56"/>
      <c r="M1011" s="56"/>
      <c r="N1011" s="56"/>
      <c r="O1011" s="56"/>
      <c r="P1011" s="56"/>
      <c r="Q1011" s="56"/>
      <c r="R1011" s="56"/>
      <c r="S1011" s="56"/>
      <c r="T1011" s="56"/>
      <c r="U1011" s="56"/>
      <c r="V1011" s="56"/>
      <c r="W1011" s="95"/>
      <c r="X1011" s="4"/>
      <c r="Y1011" s="74"/>
      <c r="Z1011" s="218"/>
      <c r="AA1011" s="23"/>
    </row>
    <row r="1012" spans="1:27" s="613" customFormat="1">
      <c r="A1012" s="53"/>
      <c r="B1012" s="1572" t="s">
        <v>1576</v>
      </c>
      <c r="C1012" s="1572">
        <v>0</v>
      </c>
      <c r="D1012" s="1572">
        <v>1000</v>
      </c>
      <c r="E1012" s="1573">
        <v>0.1008</v>
      </c>
      <c r="F1012" s="709"/>
      <c r="G1012" s="5"/>
      <c r="H1012" s="56"/>
      <c r="I1012" s="56"/>
      <c r="J1012" s="56"/>
      <c r="K1012" s="56"/>
      <c r="L1012" s="56"/>
      <c r="M1012" s="56"/>
      <c r="N1012" s="56"/>
      <c r="O1012" s="56"/>
      <c r="P1012" s="56"/>
      <c r="Q1012" s="56"/>
      <c r="R1012" s="56"/>
      <c r="S1012" s="56"/>
      <c r="T1012" s="56"/>
      <c r="U1012" s="56"/>
      <c r="V1012" s="56"/>
      <c r="W1012" s="95"/>
      <c r="X1012" s="4"/>
      <c r="Y1012" s="74"/>
      <c r="Z1012" s="218"/>
      <c r="AA1012" s="23"/>
    </row>
    <row r="1013" spans="1:27" s="613" customFormat="1">
      <c r="A1013" s="53"/>
      <c r="B1013" s="1572" t="s">
        <v>1577</v>
      </c>
      <c r="C1013" s="1572">
        <v>1000</v>
      </c>
      <c r="D1013" s="1572">
        <v>5000</v>
      </c>
      <c r="E1013" s="1573">
        <v>8.6199999999999999E-2</v>
      </c>
      <c r="F1013" s="709"/>
      <c r="G1013" s="5"/>
      <c r="H1013" s="56"/>
      <c r="I1013" s="56"/>
      <c r="J1013" s="56"/>
      <c r="K1013" s="56"/>
      <c r="L1013" s="56"/>
      <c r="M1013" s="56"/>
      <c r="N1013" s="56"/>
      <c r="O1013" s="56"/>
      <c r="P1013" s="56"/>
      <c r="Q1013" s="56"/>
      <c r="R1013" s="56"/>
      <c r="S1013" s="56"/>
      <c r="T1013" s="56"/>
      <c r="U1013" s="56"/>
      <c r="V1013" s="56"/>
      <c r="W1013" s="95"/>
      <c r="X1013" s="4"/>
      <c r="Y1013" s="74"/>
      <c r="Z1013" s="218"/>
      <c r="AA1013" s="23"/>
    </row>
    <row r="1014" spans="1:27" s="613" customFormat="1">
      <c r="A1014" s="53"/>
      <c r="B1014" s="1572" t="s">
        <v>1578</v>
      </c>
      <c r="C1014" s="1572">
        <v>5000</v>
      </c>
      <c r="D1014" s="1572">
        <v>10000</v>
      </c>
      <c r="E1014" s="1573">
        <v>7.2800000000000004E-2</v>
      </c>
      <c r="F1014" s="709"/>
      <c r="G1014" s="1194"/>
      <c r="H1014" s="1194"/>
      <c r="I1014" s="56"/>
      <c r="J1014" s="56"/>
      <c r="K1014" s="56"/>
      <c r="L1014" s="56"/>
      <c r="M1014" s="56"/>
      <c r="N1014" s="56"/>
      <c r="O1014" s="56"/>
      <c r="P1014" s="56"/>
      <c r="Q1014" s="56"/>
      <c r="R1014" s="56"/>
      <c r="S1014" s="56"/>
      <c r="T1014" s="56"/>
      <c r="U1014" s="56"/>
      <c r="V1014" s="56"/>
      <c r="W1014" s="95"/>
      <c r="X1014" s="4"/>
      <c r="Y1014" s="74"/>
      <c r="Z1014" s="218"/>
      <c r="AA1014" s="23"/>
    </row>
    <row r="1015" spans="1:27" s="613" customFormat="1">
      <c r="A1015" s="53"/>
      <c r="B1015" s="1572" t="s">
        <v>1579</v>
      </c>
      <c r="C1015" s="1572">
        <v>10000</v>
      </c>
      <c r="D1015" s="1572">
        <v>15000</v>
      </c>
      <c r="E1015" s="1573">
        <v>6.1600000000000002E-2</v>
      </c>
      <c r="F1015" s="709"/>
      <c r="G1015" s="1194"/>
      <c r="H1015" s="1194"/>
      <c r="I1015" s="56"/>
      <c r="J1015" s="56"/>
      <c r="K1015" s="56"/>
      <c r="L1015" s="56"/>
      <c r="M1015" s="56"/>
      <c r="N1015" s="56"/>
      <c r="O1015" s="56"/>
      <c r="P1015" s="56"/>
      <c r="Q1015" s="56"/>
      <c r="R1015" s="56"/>
      <c r="S1015" s="56"/>
      <c r="T1015" s="56"/>
      <c r="U1015" s="56"/>
      <c r="V1015" s="56"/>
      <c r="W1015" s="95"/>
      <c r="X1015" s="4"/>
      <c r="Y1015" s="74"/>
      <c r="Z1015" s="218"/>
      <c r="AA1015" s="23"/>
    </row>
    <row r="1016" spans="1:27" s="613" customFormat="1">
      <c r="A1016" s="53"/>
      <c r="B1016" s="1572" t="s">
        <v>1580</v>
      </c>
      <c r="C1016" s="1572">
        <v>15000</v>
      </c>
      <c r="D1016" s="1572">
        <v>10000000</v>
      </c>
      <c r="E1016" s="1573">
        <v>5.2600000000000001E-2</v>
      </c>
      <c r="F1016" s="709"/>
      <c r="G1016" s="1175"/>
      <c r="H1016" s="56"/>
      <c r="I1016" s="56"/>
      <c r="J1016" s="56"/>
      <c r="K1016" s="56"/>
      <c r="L1016" s="56"/>
      <c r="M1016" s="56"/>
      <c r="N1016" s="56"/>
      <c r="O1016" s="56"/>
      <c r="P1016" s="56"/>
      <c r="Q1016" s="56"/>
      <c r="R1016" s="56"/>
      <c r="S1016" s="56"/>
      <c r="T1016" s="56"/>
      <c r="U1016" s="56"/>
      <c r="V1016" s="56"/>
      <c r="W1016" s="95"/>
      <c r="X1016" s="4"/>
      <c r="Y1016" s="74"/>
      <c r="Z1016" s="218"/>
      <c r="AA1016" s="23"/>
    </row>
    <row r="1017" spans="1:27" s="333" customFormat="1">
      <c r="A1017" s="53"/>
      <c r="B1017" s="1053"/>
      <c r="C1017" s="1053"/>
      <c r="D1017" s="1053"/>
      <c r="E1017" s="578"/>
      <c r="F1017" s="709"/>
      <c r="G1017" s="5"/>
      <c r="H1017" s="56"/>
      <c r="I1017" s="56"/>
      <c r="J1017" s="56"/>
      <c r="K1017" s="56"/>
      <c r="L1017" s="56"/>
      <c r="M1017" s="56"/>
      <c r="N1017" s="56"/>
      <c r="O1017" s="56"/>
      <c r="P1017" s="56"/>
      <c r="Q1017" s="56"/>
      <c r="R1017" s="56"/>
      <c r="S1017" s="56"/>
      <c r="T1017" s="56"/>
      <c r="U1017" s="56"/>
      <c r="V1017" s="56"/>
      <c r="W1017" s="95"/>
      <c r="X1017" s="4"/>
      <c r="Y1017" s="74"/>
      <c r="Z1017" s="218"/>
      <c r="AA1017" s="23"/>
    </row>
    <row r="1018" spans="1:27" s="333" customFormat="1">
      <c r="A1018" s="53"/>
      <c r="B1018" s="764"/>
      <c r="C1018" s="765"/>
      <c r="D1018" s="13"/>
      <c r="E1018" s="708"/>
      <c r="F1018" s="709"/>
      <c r="G1018" s="5"/>
      <c r="H1018" s="56"/>
      <c r="I1018" s="56"/>
      <c r="J1018" s="56"/>
      <c r="K1018" s="56"/>
      <c r="L1018" s="56"/>
      <c r="M1018" s="56"/>
      <c r="N1018" s="56"/>
      <c r="O1018" s="56"/>
      <c r="P1018" s="56"/>
      <c r="Q1018" s="56"/>
      <c r="R1018" s="56"/>
      <c r="S1018" s="56"/>
      <c r="T1018" s="56"/>
      <c r="U1018" s="56"/>
      <c r="V1018" s="56"/>
      <c r="W1018" s="95"/>
      <c r="X1018" s="4"/>
      <c r="Y1018" s="74"/>
      <c r="Z1018" s="218"/>
      <c r="AA1018" s="23"/>
    </row>
    <row r="1019" spans="1:27" s="613" customFormat="1">
      <c r="A1019" s="53"/>
      <c r="B1019" s="2044" t="s">
        <v>1572</v>
      </c>
      <c r="C1019" s="2045"/>
      <c r="D1019" s="578"/>
      <c r="E1019" s="578"/>
      <c r="F1019" s="709"/>
      <c r="G1019" s="5"/>
      <c r="H1019" s="56"/>
      <c r="I1019" s="56"/>
      <c r="J1019" s="56"/>
      <c r="K1019" s="56"/>
      <c r="L1019" s="56"/>
      <c r="M1019" s="56"/>
      <c r="N1019" s="56"/>
      <c r="O1019" s="56"/>
      <c r="P1019" s="56"/>
      <c r="Q1019" s="56"/>
      <c r="R1019" s="56"/>
      <c r="S1019" s="56"/>
      <c r="T1019" s="56"/>
      <c r="U1019" s="56"/>
      <c r="V1019" s="56"/>
      <c r="W1019" s="95"/>
      <c r="X1019" s="4"/>
      <c r="Y1019" s="74"/>
      <c r="Z1019" s="218"/>
      <c r="AA1019" s="23"/>
    </row>
    <row r="1020" spans="1:27" s="613" customFormat="1">
      <c r="A1020" s="53"/>
      <c r="B1020" s="594" t="s">
        <v>1573</v>
      </c>
      <c r="C1020" s="1195" t="s">
        <v>112</v>
      </c>
      <c r="D1020" s="1195" t="s">
        <v>113</v>
      </c>
      <c r="E1020" s="766" t="s">
        <v>1586</v>
      </c>
      <c r="F1020" s="709"/>
      <c r="G1020" s="5"/>
      <c r="H1020" s="56"/>
      <c r="I1020" s="56"/>
      <c r="J1020" s="56"/>
      <c r="K1020" s="56"/>
      <c r="L1020" s="56"/>
      <c r="M1020" s="56"/>
      <c r="N1020" s="56"/>
      <c r="O1020" s="56"/>
      <c r="P1020" s="56"/>
      <c r="Q1020" s="56"/>
      <c r="R1020" s="56"/>
      <c r="S1020" s="56"/>
      <c r="T1020" s="56"/>
      <c r="U1020" s="56"/>
      <c r="V1020" s="56"/>
      <c r="W1020" s="95"/>
      <c r="X1020" s="4"/>
      <c r="Y1020" s="74"/>
      <c r="Z1020" s="218"/>
      <c r="AA1020" s="23"/>
    </row>
    <row r="1021" spans="1:27" s="39" customFormat="1">
      <c r="A1021" s="53"/>
      <c r="B1021" s="1572" t="s">
        <v>1581</v>
      </c>
      <c r="C1021" s="1572">
        <v>0</v>
      </c>
      <c r="D1021" s="1572">
        <v>50</v>
      </c>
      <c r="E1021" s="1574">
        <v>3.24</v>
      </c>
      <c r="F1021" s="709"/>
      <c r="G1021" s="5"/>
      <c r="H1021" s="56"/>
      <c r="I1021" s="56"/>
      <c r="J1021" s="56"/>
      <c r="K1021" s="56"/>
      <c r="L1021" s="56"/>
      <c r="M1021" s="56"/>
      <c r="N1021" s="56"/>
      <c r="O1021" s="56"/>
      <c r="P1021" s="56"/>
      <c r="Q1021" s="56"/>
      <c r="R1021" s="56"/>
      <c r="S1021" s="56"/>
      <c r="T1021" s="56"/>
      <c r="U1021" s="56"/>
      <c r="V1021" s="56"/>
      <c r="W1021" s="95"/>
      <c r="X1021" s="4"/>
      <c r="Y1021" s="40"/>
      <c r="Z1021" s="132"/>
      <c r="AA1021" s="23"/>
    </row>
    <row r="1022" spans="1:27" ht="31.5" customHeight="1">
      <c r="A1022" s="53"/>
      <c r="B1022" s="1572" t="s">
        <v>1582</v>
      </c>
      <c r="C1022" s="1572">
        <v>50</v>
      </c>
      <c r="D1022" s="1572">
        <v>100</v>
      </c>
      <c r="E1022" s="1574">
        <v>2.76</v>
      </c>
      <c r="F1022" s="709"/>
      <c r="G1022" s="5"/>
      <c r="H1022" s="56"/>
      <c r="I1022" s="56"/>
      <c r="J1022" s="56"/>
      <c r="K1022" s="56"/>
      <c r="L1022" s="56"/>
      <c r="M1022" s="56"/>
      <c r="N1022" s="56"/>
      <c r="O1022" s="10"/>
      <c r="P1022" s="10"/>
      <c r="Q1022" s="10"/>
      <c r="R1022" s="10"/>
      <c r="S1022" s="10"/>
      <c r="T1022" s="10"/>
      <c r="U1022" s="10"/>
      <c r="V1022" s="10"/>
      <c r="W1022" s="91"/>
      <c r="Y1022" s="40"/>
      <c r="Z1022" s="2062" t="s">
        <v>36</v>
      </c>
      <c r="AA1022" s="23"/>
    </row>
    <row r="1023" spans="1:27" ht="15" customHeight="1">
      <c r="A1023" s="53"/>
      <c r="B1023" s="1572" t="s">
        <v>1583</v>
      </c>
      <c r="C1023" s="1572">
        <v>100</v>
      </c>
      <c r="D1023" s="1572">
        <v>200</v>
      </c>
      <c r="E1023" s="1574">
        <v>2.34</v>
      </c>
      <c r="F1023" s="709"/>
      <c r="G1023" s="5"/>
      <c r="H1023" s="56"/>
      <c r="I1023" s="56"/>
      <c r="J1023" s="56"/>
      <c r="K1023" s="56"/>
      <c r="L1023" s="56"/>
      <c r="M1023" s="56"/>
      <c r="N1023" s="56"/>
      <c r="O1023" s="117"/>
      <c r="P1023" s="124"/>
      <c r="Q1023" s="124"/>
      <c r="R1023" s="124"/>
      <c r="S1023" s="124"/>
      <c r="T1023" s="124"/>
      <c r="U1023" s="124"/>
      <c r="V1023" s="124"/>
      <c r="W1023" s="91"/>
      <c r="Y1023" s="53"/>
      <c r="Z1023" s="2062"/>
      <c r="AA1023" s="15"/>
    </row>
    <row r="1024" spans="1:27" ht="15" customHeight="1">
      <c r="A1024" s="53"/>
      <c r="B1024" s="1572" t="s">
        <v>1584</v>
      </c>
      <c r="C1024" s="1572">
        <v>200</v>
      </c>
      <c r="D1024" s="1572">
        <v>500</v>
      </c>
      <c r="E1024" s="1574">
        <v>1.98</v>
      </c>
      <c r="F1024" s="709"/>
      <c r="G1024" s="1175"/>
      <c r="H1024" s="56"/>
      <c r="I1024" s="56"/>
      <c r="J1024" s="56"/>
      <c r="K1024" s="56"/>
      <c r="L1024" s="56"/>
      <c r="M1024" s="56"/>
      <c r="N1024" s="56"/>
      <c r="O1024" s="117"/>
      <c r="P1024" s="124"/>
      <c r="Q1024" s="124"/>
      <c r="R1024" s="124"/>
      <c r="S1024" s="124"/>
      <c r="T1024" s="124"/>
      <c r="U1024" s="124"/>
      <c r="V1024" s="124"/>
      <c r="W1024" s="91"/>
      <c r="Y1024" s="73"/>
      <c r="Z1024" s="132"/>
      <c r="AA1024" s="15"/>
    </row>
    <row r="1025" spans="1:38" ht="15" customHeight="1">
      <c r="A1025" s="53"/>
      <c r="B1025" s="1572" t="s">
        <v>1585</v>
      </c>
      <c r="C1025" s="1572">
        <v>500</v>
      </c>
      <c r="D1025" s="1572">
        <v>5000000</v>
      </c>
      <c r="E1025" s="1574">
        <v>1.69</v>
      </c>
      <c r="F1025" s="709"/>
      <c r="G1025" s="5"/>
      <c r="H1025" s="56"/>
      <c r="I1025" s="56"/>
      <c r="J1025" s="56"/>
      <c r="K1025" s="56"/>
      <c r="L1025" s="56"/>
      <c r="M1025" s="56"/>
      <c r="N1025" s="56"/>
      <c r="O1025" s="117"/>
      <c r="P1025" s="124"/>
      <c r="Q1025" s="124"/>
      <c r="R1025" s="124"/>
      <c r="S1025" s="124"/>
      <c r="T1025" s="124"/>
      <c r="U1025" s="124"/>
      <c r="V1025" s="124"/>
      <c r="W1025" s="91"/>
      <c r="Y1025" s="73"/>
      <c r="Z1025" s="132"/>
      <c r="AA1025" s="9"/>
    </row>
    <row r="1026" spans="1:38" s="163" customFormat="1" ht="15" customHeight="1">
      <c r="A1026" s="53"/>
      <c r="B1026" s="764"/>
      <c r="C1026" s="765"/>
      <c r="D1026" s="13"/>
      <c r="E1026" s="708"/>
      <c r="F1026" s="709"/>
      <c r="G1026" s="5"/>
      <c r="H1026" s="56"/>
      <c r="I1026" s="56"/>
      <c r="J1026" s="56"/>
      <c r="K1026" s="56"/>
      <c r="L1026" s="56"/>
      <c r="M1026" s="56"/>
      <c r="N1026" s="56"/>
      <c r="O1026" s="124"/>
      <c r="P1026" s="124"/>
      <c r="Q1026" s="124"/>
      <c r="R1026" s="124"/>
      <c r="S1026" s="124"/>
      <c r="T1026" s="124"/>
      <c r="U1026" s="124"/>
      <c r="V1026" s="124"/>
      <c r="W1026" s="91"/>
      <c r="X1026" s="4"/>
      <c r="Y1026" s="73"/>
      <c r="Z1026" s="218"/>
      <c r="AA1026" s="9"/>
    </row>
    <row r="1027" spans="1:38" s="163" customFormat="1" ht="15" customHeight="1">
      <c r="A1027" s="53"/>
      <c r="B1027" s="1944" t="s">
        <v>464</v>
      </c>
      <c r="C1027" s="1945"/>
      <c r="D1027" s="1946"/>
      <c r="E1027" s="708"/>
      <c r="F1027" s="709" t="s">
        <v>465</v>
      </c>
      <c r="G1027" s="5"/>
      <c r="H1027" s="56"/>
      <c r="I1027" s="56"/>
      <c r="J1027" s="56"/>
      <c r="K1027" s="56"/>
      <c r="L1027" s="56"/>
      <c r="M1027" s="56"/>
      <c r="N1027" s="56"/>
      <c r="O1027" s="124"/>
      <c r="P1027" s="124"/>
      <c r="Q1027" s="124"/>
      <c r="R1027" s="124"/>
      <c r="S1027" s="124"/>
      <c r="T1027" s="124"/>
      <c r="U1027" s="124"/>
      <c r="V1027" s="124"/>
      <c r="W1027" s="91"/>
      <c r="X1027" s="4"/>
      <c r="Y1027" s="73"/>
      <c r="Z1027" s="218"/>
      <c r="AA1027" s="9"/>
    </row>
    <row r="1028" spans="1:38" s="163" customFormat="1" ht="15" customHeight="1">
      <c r="A1028" s="53"/>
      <c r="B1028" s="594" t="s">
        <v>32</v>
      </c>
      <c r="C1028" s="595" t="s">
        <v>160</v>
      </c>
      <c r="D1028" s="112" t="s">
        <v>459</v>
      </c>
      <c r="E1028" s="708"/>
      <c r="F1028" s="708"/>
      <c r="G1028" s="5"/>
      <c r="H1028" s="56"/>
      <c r="I1028" s="1489"/>
      <c r="J1028" s="1489"/>
      <c r="K1028" s="1489"/>
      <c r="L1028" s="1489"/>
      <c r="M1028" s="1489"/>
      <c r="N1028" s="1489"/>
      <c r="O1028" s="1489"/>
      <c r="P1028" s="1489"/>
      <c r="Q1028" s="1489"/>
      <c r="R1028" s="1489"/>
      <c r="S1028" s="1489"/>
      <c r="T1028" s="1489"/>
      <c r="U1028" s="1489"/>
      <c r="V1028" s="1489"/>
      <c r="W1028" s="1489"/>
      <c r="X1028" s="1489"/>
      <c r="Y1028" s="1489"/>
      <c r="Z1028" s="1489"/>
      <c r="AA1028" s="1489"/>
      <c r="AB1028" s="1489"/>
      <c r="AC1028" s="1489"/>
      <c r="AD1028" s="1489"/>
      <c r="AE1028" s="1489"/>
      <c r="AF1028" s="1489"/>
      <c r="AG1028" s="1489"/>
      <c r="AH1028" s="1489"/>
      <c r="AI1028" s="1489"/>
      <c r="AJ1028" s="1489"/>
      <c r="AK1028" s="1489"/>
      <c r="AL1028" s="1489"/>
    </row>
    <row r="1029" spans="1:38" s="163" customFormat="1" ht="15" customHeight="1">
      <c r="A1029" s="53"/>
      <c r="B1029" s="815" t="s">
        <v>466</v>
      </c>
      <c r="C1029" s="543" t="s">
        <v>461</v>
      </c>
      <c r="D1029" s="596">
        <v>9.9600000000000009</v>
      </c>
      <c r="E1029" s="13"/>
      <c r="F1029" s="613"/>
      <c r="G1029" s="5"/>
      <c r="H1029" s="56"/>
      <c r="I1029" s="1489"/>
      <c r="J1029" s="1489"/>
      <c r="K1029" s="1489"/>
      <c r="L1029" s="1489"/>
      <c r="M1029" s="1489"/>
      <c r="N1029" s="1489"/>
      <c r="O1029" s="1489"/>
      <c r="P1029" s="1489"/>
      <c r="Q1029" s="1489"/>
      <c r="R1029" s="1489"/>
      <c r="S1029" s="1489"/>
      <c r="T1029" s="1489"/>
      <c r="U1029" s="1489"/>
      <c r="V1029" s="1489"/>
      <c r="W1029" s="1489"/>
      <c r="X1029" s="1489"/>
      <c r="Y1029" s="1489"/>
      <c r="Z1029" s="1489"/>
      <c r="AA1029" s="1489"/>
      <c r="AB1029" s="1489"/>
      <c r="AC1029" s="1489"/>
      <c r="AD1029" s="1489"/>
      <c r="AE1029" s="1489"/>
      <c r="AF1029" s="1489"/>
      <c r="AG1029" s="1489"/>
      <c r="AH1029" s="1489"/>
      <c r="AI1029" s="1489"/>
      <c r="AJ1029" s="1489"/>
      <c r="AK1029" s="1489"/>
      <c r="AL1029" s="1489"/>
    </row>
    <row r="1030" spans="1:38" s="1489" customFormat="1" ht="15" customHeight="1">
      <c r="A1030" s="1491"/>
      <c r="B1030" s="815" t="s">
        <v>463</v>
      </c>
      <c r="C1030" s="543" t="s">
        <v>462</v>
      </c>
      <c r="D1030" s="596" t="s">
        <v>460</v>
      </c>
      <c r="E1030" s="13"/>
      <c r="F1030" s="13"/>
      <c r="G1030" s="5"/>
      <c r="H1030" s="56"/>
    </row>
    <row r="1031" spans="1:38" s="1489" customFormat="1" ht="15" customHeight="1">
      <c r="A1031" s="1491"/>
      <c r="B1031" s="57"/>
      <c r="C1031" s="12"/>
      <c r="D1031" s="35"/>
      <c r="E1031" s="13"/>
      <c r="F1031" s="13"/>
      <c r="G1031" s="5"/>
      <c r="H1031" s="56"/>
    </row>
    <row r="1032" spans="1:38" s="1489" customFormat="1" ht="15" customHeight="1">
      <c r="A1032" s="1491"/>
      <c r="B1032" s="1944" t="s">
        <v>359</v>
      </c>
      <c r="C1032" s="1945"/>
      <c r="D1032" s="1946"/>
      <c r="E1032" s="13"/>
      <c r="F1032" s="13"/>
      <c r="G1032" s="5"/>
      <c r="H1032" s="56"/>
    </row>
    <row r="1033" spans="1:38" s="1489" customFormat="1" ht="15" customHeight="1">
      <c r="A1033" s="1491"/>
      <c r="B1033" s="110" t="s">
        <v>32</v>
      </c>
      <c r="C1033" s="111" t="s">
        <v>24</v>
      </c>
      <c r="D1033" s="112" t="s">
        <v>26</v>
      </c>
      <c r="E1033" s="13"/>
      <c r="F1033" s="13"/>
      <c r="G1033" s="5"/>
      <c r="H1033" s="56"/>
    </row>
    <row r="1034" spans="1:38" s="1489" customFormat="1" ht="15" customHeight="1">
      <c r="A1034" s="1491"/>
      <c r="B1034" s="815" t="s">
        <v>360</v>
      </c>
      <c r="C1034" s="1725">
        <v>0.161</v>
      </c>
      <c r="D1034" s="1726">
        <v>2.2100000000000001E-4</v>
      </c>
      <c r="E1034" s="2050"/>
      <c r="F1034" s="13"/>
      <c r="G1034" s="5"/>
      <c r="H1034" s="56"/>
    </row>
    <row r="1035" spans="1:38" s="1489" customFormat="1" ht="15" customHeight="1">
      <c r="A1035" s="1491"/>
      <c r="B1035" s="815" t="s">
        <v>1209</v>
      </c>
      <c r="C1035" s="1725">
        <v>0.22</v>
      </c>
      <c r="D1035" s="1726">
        <v>3.0555555555555598E-4</v>
      </c>
      <c r="E1035" s="2050"/>
      <c r="F1035" s="13"/>
      <c r="G1035" s="5"/>
      <c r="H1035" s="56"/>
    </row>
    <row r="1036" spans="1:38" s="1489" customFormat="1" ht="15" customHeight="1">
      <c r="A1036" s="1491"/>
      <c r="B1036" s="815" t="s">
        <v>1210</v>
      </c>
      <c r="C1036" s="1725">
        <v>0.35339999999999999</v>
      </c>
      <c r="D1036" s="1735">
        <v>4.9083333333333336E-4</v>
      </c>
      <c r="E1036" s="2050"/>
      <c r="F1036" s="13"/>
      <c r="G1036" s="5"/>
      <c r="H1036" s="56"/>
    </row>
    <row r="1037" spans="1:38" s="1489" customFormat="1" ht="15" customHeight="1">
      <c r="A1037" s="1491"/>
      <c r="B1037" s="57"/>
      <c r="C1037" s="12"/>
      <c r="D1037" s="35"/>
      <c r="E1037" s="13"/>
      <c r="F1037" s="13"/>
      <c r="G1037" s="5"/>
      <c r="H1037" s="56"/>
    </row>
    <row r="1038" spans="1:38" s="1489" customFormat="1" ht="15" customHeight="1">
      <c r="A1038" s="1491"/>
      <c r="B1038" s="1985" t="s">
        <v>257</v>
      </c>
      <c r="C1038" s="1986"/>
      <c r="D1038" s="1986"/>
      <c r="E1038" s="1987"/>
      <c r="F1038" s="5"/>
      <c r="G1038" s="5"/>
      <c r="H1038" s="56"/>
    </row>
    <row r="1039" spans="1:38" s="1489" customFormat="1" ht="15" customHeight="1">
      <c r="A1039" s="1491"/>
      <c r="B1039" s="139" t="s">
        <v>16</v>
      </c>
      <c r="C1039" s="139" t="s">
        <v>112</v>
      </c>
      <c r="D1039" s="139" t="s">
        <v>113</v>
      </c>
      <c r="E1039" s="116" t="s">
        <v>6</v>
      </c>
      <c r="F1039" s="13"/>
      <c r="G1039" s="5"/>
      <c r="H1039" s="56"/>
    </row>
    <row r="1040" spans="1:38" s="1489" customFormat="1" ht="15" customHeight="1">
      <c r="A1040" s="1491"/>
      <c r="B1040" s="1547" t="s">
        <v>586</v>
      </c>
      <c r="C1040" s="1547">
        <v>0</v>
      </c>
      <c r="D1040" s="1547">
        <v>15</v>
      </c>
      <c r="E1040" s="1548">
        <v>0</v>
      </c>
      <c r="F1040" s="13"/>
      <c r="G1040" s="5"/>
      <c r="H1040" s="56"/>
    </row>
    <row r="1041" spans="1:38" s="163" customFormat="1" ht="15" customHeight="1">
      <c r="A1041" s="53"/>
      <c r="B1041" s="1547" t="s">
        <v>116</v>
      </c>
      <c r="C1041" s="1547">
        <v>15</v>
      </c>
      <c r="D1041" s="1547">
        <v>10000</v>
      </c>
      <c r="E1041" s="1549">
        <v>8.8099999999999998E-2</v>
      </c>
      <c r="F1041" s="13"/>
      <c r="G1041" s="5"/>
      <c r="H1041" s="56"/>
      <c r="I1041" s="1489"/>
      <c r="J1041" s="1489"/>
      <c r="K1041" s="1489"/>
      <c r="L1041" s="1489"/>
      <c r="M1041" s="1489"/>
      <c r="N1041" s="1489"/>
      <c r="O1041" s="1489"/>
      <c r="P1041" s="1489"/>
      <c r="Q1041" s="1489"/>
      <c r="R1041" s="1489"/>
      <c r="S1041" s="1489"/>
      <c r="T1041" s="1489"/>
      <c r="U1041" s="1489"/>
      <c r="V1041" s="1489"/>
      <c r="W1041" s="1489"/>
      <c r="X1041" s="1489"/>
      <c r="Y1041" s="1489"/>
      <c r="Z1041" s="1489"/>
      <c r="AA1041" s="1489"/>
      <c r="AB1041" s="1489"/>
      <c r="AC1041" s="1489"/>
      <c r="AD1041" s="1489"/>
      <c r="AE1041" s="1489"/>
      <c r="AF1041" s="1489"/>
      <c r="AG1041" s="1489"/>
      <c r="AH1041" s="1489"/>
      <c r="AI1041" s="1489"/>
      <c r="AJ1041" s="1489"/>
      <c r="AK1041" s="1489"/>
      <c r="AL1041" s="1489"/>
    </row>
    <row r="1042" spans="1:38" s="613" customFormat="1" ht="15" customHeight="1">
      <c r="A1042" s="53"/>
      <c r="B1042" s="1547" t="s">
        <v>109</v>
      </c>
      <c r="C1042" s="1547">
        <v>10000</v>
      </c>
      <c r="D1042" s="1547">
        <v>50000</v>
      </c>
      <c r="E1042" s="1549">
        <v>8.2199999999999995E-2</v>
      </c>
      <c r="F1042" s="13"/>
      <c r="G1042" s="5"/>
      <c r="H1042" s="56"/>
      <c r="I1042" s="1489"/>
      <c r="J1042" s="1489"/>
      <c r="K1042" s="1489"/>
      <c r="L1042" s="1489"/>
      <c r="M1042" s="1489"/>
      <c r="N1042" s="1489"/>
      <c r="O1042" s="1489"/>
      <c r="P1042" s="1489"/>
      <c r="Q1042" s="1489"/>
      <c r="R1042" s="1489"/>
      <c r="S1042" s="1489"/>
      <c r="T1042" s="1489"/>
      <c r="U1042" s="1489"/>
      <c r="V1042" s="1489"/>
      <c r="W1042" s="1489"/>
      <c r="X1042" s="1489"/>
      <c r="Y1042" s="1489"/>
      <c r="Z1042" s="1489"/>
      <c r="AA1042" s="1489"/>
      <c r="AB1042" s="1489"/>
      <c r="AC1042" s="1489"/>
      <c r="AD1042" s="1489"/>
      <c r="AE1042" s="1489"/>
      <c r="AF1042" s="1489"/>
      <c r="AG1042" s="1489"/>
      <c r="AH1042" s="1489"/>
      <c r="AI1042" s="1489"/>
      <c r="AJ1042" s="1489"/>
      <c r="AK1042" s="1489"/>
      <c r="AL1042" s="1489"/>
    </row>
    <row r="1043" spans="1:38" s="613" customFormat="1" ht="15" customHeight="1">
      <c r="A1043" s="53"/>
      <c r="B1043" s="1547" t="s">
        <v>262</v>
      </c>
      <c r="C1043" s="1547">
        <v>50000</v>
      </c>
      <c r="D1043" s="1547">
        <v>150000</v>
      </c>
      <c r="E1043" s="1549">
        <v>6.7900000000000002E-2</v>
      </c>
      <c r="F1043" s="13"/>
      <c r="G1043" s="5"/>
      <c r="H1043" s="56"/>
      <c r="I1043" s="1489"/>
      <c r="J1043" s="1489"/>
      <c r="K1043" s="1489"/>
      <c r="L1043" s="1489"/>
      <c r="M1043" s="1489"/>
      <c r="N1043" s="1489"/>
      <c r="O1043" s="1489"/>
      <c r="P1043" s="1489"/>
      <c r="Q1043" s="1489"/>
      <c r="R1043" s="1489"/>
      <c r="S1043" s="1489"/>
      <c r="T1043" s="1489"/>
      <c r="U1043" s="1489"/>
      <c r="V1043" s="1489"/>
      <c r="W1043" s="1489"/>
      <c r="X1043" s="1489"/>
      <c r="Y1043" s="1489"/>
      <c r="Z1043" s="1489"/>
      <c r="AA1043" s="1489"/>
      <c r="AB1043" s="1489"/>
      <c r="AC1043" s="1489"/>
      <c r="AD1043" s="1489"/>
      <c r="AE1043" s="1489"/>
      <c r="AF1043" s="1489"/>
      <c r="AG1043" s="1489"/>
      <c r="AH1043" s="1489"/>
      <c r="AI1043" s="1489"/>
      <c r="AJ1043" s="1489"/>
      <c r="AK1043" s="1489"/>
      <c r="AL1043" s="1489"/>
    </row>
    <row r="1044" spans="1:38" s="613" customFormat="1" ht="15" customHeight="1">
      <c r="A1044" s="53"/>
      <c r="B1044" s="1547" t="s">
        <v>110</v>
      </c>
      <c r="C1044" s="1547">
        <v>150000</v>
      </c>
      <c r="D1044" s="1547">
        <v>500000</v>
      </c>
      <c r="E1044" s="1549">
        <v>4.7600000000000003E-2</v>
      </c>
      <c r="F1044" s="13"/>
      <c r="G1044" s="301" t="s">
        <v>271</v>
      </c>
      <c r="H1044" s="302"/>
      <c r="I1044" s="302"/>
      <c r="J1044" s="302"/>
      <c r="K1044" s="302"/>
      <c r="L1044" s="56"/>
      <c r="M1044" s="56"/>
      <c r="N1044" s="56"/>
      <c r="O1044" s="124"/>
      <c r="P1044" s="124"/>
      <c r="Q1044" s="124"/>
      <c r="R1044" s="124"/>
      <c r="S1044" s="124"/>
      <c r="T1044" s="124"/>
      <c r="U1044" s="124"/>
      <c r="V1044" s="124"/>
      <c r="W1044" s="91"/>
      <c r="X1044" s="4"/>
      <c r="Y1044" s="73"/>
      <c r="Z1044" s="218"/>
      <c r="AA1044" s="9"/>
      <c r="AB1044" s="163"/>
      <c r="AC1044" s="163"/>
      <c r="AD1044" s="163"/>
      <c r="AE1044" s="163"/>
      <c r="AF1044" s="163"/>
      <c r="AG1044" s="163"/>
      <c r="AH1044" s="163"/>
      <c r="AI1044" s="163"/>
      <c r="AJ1044" s="163"/>
      <c r="AK1044" s="163"/>
      <c r="AL1044" s="163"/>
    </row>
    <row r="1045" spans="1:38" s="613" customFormat="1" ht="15" customHeight="1">
      <c r="A1045" s="53"/>
      <c r="B1045" s="1547" t="s">
        <v>111</v>
      </c>
      <c r="C1045" s="1547">
        <v>500000</v>
      </c>
      <c r="D1045" s="1547"/>
      <c r="E1045" s="1550" t="s">
        <v>260</v>
      </c>
      <c r="F1045" s="13"/>
      <c r="G1045" s="5"/>
      <c r="H1045" s="56"/>
      <c r="I1045" s="56"/>
      <c r="J1045" s="56"/>
      <c r="K1045" s="56"/>
      <c r="L1045" s="56"/>
      <c r="M1045" s="56"/>
      <c r="N1045" s="56"/>
      <c r="O1045" s="124"/>
      <c r="P1045" s="124"/>
      <c r="Q1045" s="124"/>
      <c r="R1045" s="124"/>
      <c r="S1045" s="124"/>
      <c r="T1045" s="124"/>
      <c r="U1045" s="124"/>
      <c r="V1045" s="124"/>
      <c r="W1045" s="91"/>
      <c r="X1045" s="4"/>
      <c r="Y1045" s="73"/>
      <c r="Z1045" s="218"/>
      <c r="AA1045" s="9"/>
      <c r="AB1045" s="163"/>
      <c r="AC1045" s="163"/>
      <c r="AD1045" s="163"/>
      <c r="AE1045" s="163"/>
      <c r="AF1045" s="163"/>
      <c r="AG1045" s="163"/>
      <c r="AH1045" s="163"/>
      <c r="AI1045" s="163"/>
      <c r="AJ1045" s="163"/>
      <c r="AK1045" s="163"/>
      <c r="AL1045" s="163"/>
    </row>
    <row r="1046" spans="1:38" s="613" customFormat="1" ht="15" customHeight="1">
      <c r="A1046" s="53"/>
      <c r="B1046" s="1053"/>
      <c r="C1046" s="1053"/>
      <c r="D1046" s="1053"/>
      <c r="E1046" s="1621"/>
      <c r="F1046" s="13"/>
      <c r="G1046" s="1175"/>
      <c r="H1046" s="56"/>
      <c r="I1046" s="56"/>
      <c r="J1046" s="56"/>
      <c r="K1046" s="56"/>
      <c r="L1046" s="56"/>
      <c r="M1046" s="56"/>
      <c r="N1046" s="56"/>
      <c r="O1046" s="124"/>
      <c r="P1046" s="124"/>
      <c r="Q1046" s="124"/>
      <c r="R1046" s="124"/>
      <c r="S1046" s="124"/>
      <c r="T1046" s="124"/>
      <c r="U1046" s="124"/>
      <c r="V1046" s="124"/>
      <c r="W1046" s="91"/>
      <c r="X1046" s="1490"/>
      <c r="Y1046" s="73"/>
      <c r="Z1046" s="1492"/>
      <c r="AA1046" s="9"/>
      <c r="AB1046" s="1489"/>
      <c r="AC1046" s="1489"/>
      <c r="AD1046" s="1489"/>
      <c r="AE1046" s="1489"/>
      <c r="AF1046" s="1489"/>
      <c r="AG1046" s="1489"/>
      <c r="AH1046" s="1489"/>
      <c r="AI1046" s="1489"/>
      <c r="AJ1046" s="1489"/>
      <c r="AK1046" s="1489"/>
      <c r="AL1046" s="1489"/>
    </row>
    <row r="1047" spans="1:38" ht="15" customHeight="1">
      <c r="A1047" s="53"/>
      <c r="B1047" s="1985" t="s">
        <v>2303</v>
      </c>
      <c r="C1047" s="1986"/>
      <c r="D1047" s="1986"/>
      <c r="E1047" s="1987"/>
      <c r="F1047" s="13"/>
      <c r="G1047" s="1175"/>
      <c r="H1047" s="56"/>
      <c r="I1047" s="56"/>
      <c r="J1047" s="56"/>
      <c r="K1047" s="56"/>
      <c r="L1047" s="56"/>
      <c r="M1047" s="56"/>
      <c r="N1047" s="56"/>
      <c r="O1047" s="124"/>
      <c r="P1047" s="124"/>
      <c r="Q1047" s="124"/>
      <c r="R1047" s="124"/>
      <c r="S1047" s="124"/>
      <c r="T1047" s="124"/>
      <c r="U1047" s="124"/>
      <c r="V1047" s="124"/>
      <c r="W1047" s="91"/>
      <c r="X1047" s="1490"/>
      <c r="Y1047" s="73"/>
      <c r="Z1047" s="1492"/>
      <c r="AA1047" s="9"/>
      <c r="AB1047" s="1489"/>
      <c r="AC1047" s="1489"/>
      <c r="AD1047" s="1489"/>
      <c r="AE1047" s="1489"/>
      <c r="AF1047" s="1489"/>
      <c r="AG1047" s="1489"/>
      <c r="AH1047" s="1489"/>
      <c r="AI1047" s="1489"/>
      <c r="AJ1047" s="1489"/>
      <c r="AK1047" s="1489"/>
      <c r="AL1047" s="1489"/>
    </row>
    <row r="1048" spans="1:38" ht="15" customHeight="1">
      <c r="A1048" s="53"/>
      <c r="B1048" s="139" t="s">
        <v>16</v>
      </c>
      <c r="C1048" s="139" t="s">
        <v>112</v>
      </c>
      <c r="D1048" s="139" t="s">
        <v>113</v>
      </c>
      <c r="E1048" s="116" t="s">
        <v>2304</v>
      </c>
      <c r="F1048" s="13"/>
      <c r="G1048" s="1175"/>
      <c r="H1048" s="56"/>
      <c r="I1048" s="56"/>
      <c r="J1048" s="56"/>
      <c r="K1048" s="56"/>
      <c r="L1048" s="56"/>
      <c r="M1048" s="56"/>
      <c r="N1048" s="56"/>
      <c r="O1048" s="124"/>
      <c r="P1048" s="124"/>
      <c r="Q1048" s="124"/>
      <c r="R1048" s="124"/>
      <c r="S1048" s="124"/>
      <c r="T1048" s="124"/>
      <c r="U1048" s="124"/>
      <c r="V1048" s="124"/>
      <c r="W1048" s="91"/>
      <c r="X1048" s="1490"/>
      <c r="Y1048" s="73"/>
      <c r="Z1048" s="1492"/>
      <c r="AA1048" s="9"/>
      <c r="AB1048" s="1489"/>
      <c r="AC1048" s="1489"/>
      <c r="AD1048" s="1489"/>
      <c r="AE1048" s="1489"/>
      <c r="AF1048" s="1489"/>
      <c r="AG1048" s="1489"/>
      <c r="AH1048" s="1489"/>
      <c r="AI1048" s="1489"/>
      <c r="AJ1048" s="1489"/>
      <c r="AK1048" s="1489"/>
      <c r="AL1048" s="1489"/>
    </row>
    <row r="1049" spans="1:38" ht="15" customHeight="1">
      <c r="A1049" s="14"/>
      <c r="B1049" s="1547" t="s">
        <v>2295</v>
      </c>
      <c r="C1049" s="1547">
        <v>0</v>
      </c>
      <c r="D1049" s="1547">
        <v>20</v>
      </c>
      <c r="E1049" s="1548">
        <v>3.5</v>
      </c>
      <c r="F1049" s="13"/>
      <c r="G1049" s="1175"/>
      <c r="H1049" s="56"/>
      <c r="I1049" s="56"/>
      <c r="J1049" s="56"/>
      <c r="K1049" s="56"/>
      <c r="L1049" s="56"/>
      <c r="M1049" s="56"/>
      <c r="N1049" s="56"/>
      <c r="O1049" s="124"/>
      <c r="P1049" s="124"/>
      <c r="Q1049" s="124"/>
      <c r="R1049" s="124"/>
      <c r="S1049" s="124"/>
      <c r="T1049" s="124"/>
      <c r="U1049" s="124"/>
      <c r="V1049" s="124"/>
      <c r="W1049" s="91"/>
      <c r="X1049" s="1490"/>
      <c r="Y1049" s="73"/>
      <c r="Z1049" s="1492"/>
      <c r="AA1049" s="9"/>
      <c r="AB1049" s="1489"/>
      <c r="AC1049" s="1489"/>
      <c r="AD1049" s="1489"/>
      <c r="AE1049" s="1489"/>
      <c r="AF1049" s="1489"/>
      <c r="AG1049" s="1489"/>
      <c r="AH1049" s="1489"/>
      <c r="AI1049" s="1489"/>
      <c r="AJ1049" s="1489"/>
      <c r="AK1049" s="1489"/>
      <c r="AL1049" s="1489"/>
    </row>
    <row r="1050" spans="1:38" s="613" customFormat="1" ht="15" customHeight="1">
      <c r="A1050" s="14"/>
      <c r="B1050" s="1547" t="s">
        <v>2296</v>
      </c>
      <c r="C1050" s="1547">
        <v>21</v>
      </c>
      <c r="D1050" s="1547">
        <v>50</v>
      </c>
      <c r="E1050" s="1549">
        <v>3.25</v>
      </c>
      <c r="F1050" s="13"/>
      <c r="G1050" s="1175"/>
      <c r="H1050" s="56"/>
      <c r="I1050" s="56"/>
      <c r="J1050" s="56"/>
      <c r="K1050" s="56"/>
      <c r="L1050" s="56"/>
      <c r="M1050" s="56"/>
      <c r="N1050" s="56"/>
      <c r="O1050" s="124"/>
      <c r="P1050" s="124"/>
      <c r="Q1050" s="124"/>
      <c r="R1050" s="124"/>
      <c r="S1050" s="124"/>
      <c r="T1050" s="124"/>
      <c r="U1050" s="124"/>
      <c r="V1050" s="124"/>
      <c r="W1050" s="91"/>
      <c r="X1050" s="1490"/>
      <c r="Y1050" s="73"/>
      <c r="Z1050" s="1492"/>
      <c r="AA1050" s="9"/>
      <c r="AB1050" s="1489"/>
      <c r="AC1050" s="1489"/>
      <c r="AD1050" s="1489"/>
      <c r="AE1050" s="1489"/>
      <c r="AF1050" s="1489"/>
      <c r="AG1050" s="1489"/>
      <c r="AH1050" s="1489"/>
      <c r="AI1050" s="1489"/>
      <c r="AJ1050" s="1489"/>
      <c r="AK1050" s="1489"/>
      <c r="AL1050" s="1489"/>
    </row>
    <row r="1051" spans="1:38" s="613" customFormat="1">
      <c r="A1051" s="14"/>
      <c r="B1051" s="1547" t="s">
        <v>2297</v>
      </c>
      <c r="C1051" s="1547">
        <v>51</v>
      </c>
      <c r="D1051" s="1547">
        <v>200</v>
      </c>
      <c r="E1051" s="1549">
        <v>2.9</v>
      </c>
      <c r="F1051" s="13"/>
      <c r="G1051" s="1175"/>
      <c r="H1051" s="56"/>
      <c r="I1051" s="56"/>
      <c r="J1051" s="56"/>
      <c r="K1051" s="56"/>
      <c r="L1051" s="56"/>
      <c r="M1051" s="56"/>
      <c r="N1051" s="56"/>
      <c r="O1051" s="124"/>
      <c r="P1051" s="124"/>
      <c r="Q1051" s="124"/>
      <c r="R1051" s="124"/>
      <c r="S1051" s="124"/>
      <c r="T1051" s="124"/>
      <c r="U1051" s="124"/>
      <c r="V1051" s="124"/>
      <c r="W1051" s="91"/>
      <c r="X1051" s="1490"/>
      <c r="Y1051" s="73"/>
      <c r="Z1051" s="1492"/>
      <c r="AA1051" s="9"/>
      <c r="AB1051" s="1489"/>
      <c r="AC1051" s="1489"/>
      <c r="AD1051" s="1489"/>
      <c r="AE1051" s="1489"/>
      <c r="AF1051" s="1489"/>
      <c r="AG1051" s="1489"/>
      <c r="AH1051" s="1489"/>
      <c r="AI1051" s="1489"/>
      <c r="AJ1051" s="1489"/>
      <c r="AK1051" s="1489"/>
      <c r="AL1051" s="1489"/>
    </row>
    <row r="1052" spans="1:38" s="613" customFormat="1" ht="15" customHeight="1">
      <c r="A1052" s="14"/>
      <c r="B1052" s="1547" t="s">
        <v>2298</v>
      </c>
      <c r="C1052" s="1547">
        <v>201</v>
      </c>
      <c r="D1052" s="1547">
        <v>500</v>
      </c>
      <c r="E1052" s="1549">
        <v>2.5</v>
      </c>
      <c r="F1052" s="13"/>
      <c r="G1052" s="1175"/>
      <c r="H1052" s="56"/>
      <c r="I1052" s="56"/>
      <c r="J1052" s="56"/>
      <c r="K1052" s="56"/>
      <c r="L1052" s="56"/>
      <c r="M1052" s="56"/>
      <c r="N1052" s="56"/>
      <c r="O1052" s="124"/>
      <c r="P1052" s="124"/>
      <c r="Q1052" s="124"/>
      <c r="R1052" s="124"/>
      <c r="S1052" s="124"/>
      <c r="T1052" s="124"/>
      <c r="U1052" s="124"/>
      <c r="V1052" s="124"/>
      <c r="W1052" s="91"/>
      <c r="X1052" s="1490"/>
      <c r="Y1052" s="73"/>
      <c r="Z1052" s="1492"/>
      <c r="AA1052" s="9"/>
      <c r="AB1052" s="1489"/>
      <c r="AC1052" s="1489"/>
      <c r="AD1052" s="1489"/>
      <c r="AE1052" s="1489"/>
      <c r="AF1052" s="1489"/>
      <c r="AG1052" s="1489"/>
      <c r="AH1052" s="1489"/>
      <c r="AI1052" s="1489"/>
      <c r="AJ1052" s="1489"/>
      <c r="AK1052" s="1489"/>
      <c r="AL1052" s="1489"/>
    </row>
    <row r="1053" spans="1:38" s="613" customFormat="1" ht="15" customHeight="1">
      <c r="A1053" s="14"/>
      <c r="B1053" s="1547" t="s">
        <v>2299</v>
      </c>
      <c r="C1053" s="1547">
        <v>501</v>
      </c>
      <c r="D1053" s="1547">
        <v>750</v>
      </c>
      <c r="E1053" s="1549">
        <v>2.1</v>
      </c>
      <c r="F1053" s="13"/>
      <c r="G1053" s="1175"/>
      <c r="H1053" s="56"/>
      <c r="I1053" s="56"/>
      <c r="J1053" s="56"/>
      <c r="K1053" s="56"/>
      <c r="L1053" s="56"/>
      <c r="M1053" s="56"/>
      <c r="N1053" s="56"/>
      <c r="O1053" s="124"/>
      <c r="P1053" s="124"/>
      <c r="Q1053" s="124"/>
      <c r="R1053" s="124"/>
      <c r="S1053" s="124"/>
      <c r="T1053" s="124"/>
      <c r="U1053" s="124"/>
      <c r="V1053" s="124"/>
      <c r="W1053" s="91"/>
      <c r="X1053" s="1490"/>
      <c r="Y1053" s="73"/>
      <c r="Z1053" s="1492"/>
      <c r="AA1053" s="9"/>
      <c r="AB1053" s="1489"/>
      <c r="AC1053" s="1489"/>
      <c r="AD1053" s="1489"/>
      <c r="AE1053" s="1489"/>
      <c r="AF1053" s="1489"/>
      <c r="AG1053" s="1489"/>
      <c r="AH1053" s="1489"/>
      <c r="AI1053" s="1489"/>
      <c r="AJ1053" s="1489"/>
      <c r="AK1053" s="1489"/>
      <c r="AL1053" s="1489"/>
    </row>
    <row r="1054" spans="1:38" s="613" customFormat="1" ht="15" customHeight="1">
      <c r="A1054" s="14"/>
      <c r="B1054" s="1547" t="s">
        <v>2300</v>
      </c>
      <c r="C1054" s="1547">
        <v>751</v>
      </c>
      <c r="D1054" s="1547">
        <v>1000</v>
      </c>
      <c r="E1054" s="1550">
        <v>1.82</v>
      </c>
      <c r="F1054" s="13"/>
      <c r="G1054" s="1175"/>
      <c r="H1054" s="56"/>
      <c r="I1054" s="56"/>
      <c r="J1054" s="56"/>
      <c r="K1054" s="56"/>
      <c r="L1054" s="56"/>
      <c r="M1054" s="56"/>
      <c r="N1054" s="56"/>
      <c r="O1054" s="124"/>
      <c r="P1054" s="124"/>
      <c r="Q1054" s="124"/>
      <c r="R1054" s="124"/>
      <c r="S1054" s="124"/>
      <c r="T1054" s="124"/>
      <c r="U1054" s="124"/>
      <c r="V1054" s="124"/>
      <c r="W1054" s="91"/>
      <c r="X1054" s="1490"/>
      <c r="Y1054" s="73"/>
      <c r="Z1054" s="1492"/>
      <c r="AA1054" s="9"/>
      <c r="AB1054" s="1489"/>
      <c r="AC1054" s="1489"/>
      <c r="AD1054" s="1489"/>
      <c r="AE1054" s="1489"/>
      <c r="AF1054" s="1489"/>
      <c r="AG1054" s="1489"/>
      <c r="AH1054" s="1489"/>
      <c r="AI1054" s="1489"/>
      <c r="AJ1054" s="1489"/>
      <c r="AK1054" s="1489"/>
      <c r="AL1054" s="1489"/>
    </row>
    <row r="1055" spans="1:38" s="613" customFormat="1" ht="15" customHeight="1">
      <c r="A1055" s="14"/>
      <c r="B1055" s="1547" t="s">
        <v>2301</v>
      </c>
      <c r="C1055" s="1547">
        <v>1001</v>
      </c>
      <c r="D1055" s="1547">
        <v>2000</v>
      </c>
      <c r="E1055" s="1548">
        <v>1.73</v>
      </c>
      <c r="F1055" s="13"/>
      <c r="G1055" s="1175"/>
      <c r="H1055" s="56"/>
      <c r="I1055" s="56"/>
      <c r="J1055" s="56"/>
      <c r="K1055" s="56"/>
      <c r="L1055" s="56"/>
      <c r="M1055" s="56"/>
      <c r="N1055" s="56"/>
      <c r="O1055" s="124"/>
      <c r="P1055" s="124"/>
      <c r="Q1055" s="124"/>
      <c r="R1055" s="124"/>
      <c r="S1055" s="124"/>
      <c r="T1055" s="124"/>
      <c r="U1055" s="124"/>
      <c r="V1055" s="124"/>
      <c r="W1055" s="91"/>
      <c r="X1055" s="1490"/>
      <c r="Y1055" s="73"/>
      <c r="Z1055" s="1492"/>
      <c r="AA1055" s="9"/>
      <c r="AB1055" s="1489"/>
      <c r="AC1055" s="1489"/>
      <c r="AD1055" s="1489"/>
      <c r="AE1055" s="1489"/>
      <c r="AF1055" s="1489"/>
      <c r="AG1055" s="1489"/>
      <c r="AH1055" s="1489"/>
      <c r="AI1055" s="1489"/>
      <c r="AJ1055" s="1489"/>
      <c r="AK1055" s="1489"/>
      <c r="AL1055" s="1489"/>
    </row>
    <row r="1056" spans="1:38" s="39" customFormat="1" ht="15" customHeight="1">
      <c r="A1056" s="53"/>
      <c r="B1056" s="1547" t="s">
        <v>2302</v>
      </c>
      <c r="C1056" s="1547">
        <v>2001</v>
      </c>
      <c r="D1056" s="1547"/>
      <c r="E1056" s="1550" t="s">
        <v>260</v>
      </c>
      <c r="F1056" s="13"/>
      <c r="G1056" s="1175"/>
      <c r="H1056" s="56"/>
      <c r="I1056" s="56"/>
      <c r="J1056" s="56"/>
      <c r="K1056" s="56"/>
      <c r="L1056" s="56"/>
      <c r="M1056" s="56"/>
      <c r="N1056" s="56"/>
      <c r="O1056" s="124"/>
      <c r="P1056" s="124"/>
      <c r="Q1056" s="124"/>
      <c r="R1056" s="124"/>
      <c r="S1056" s="124"/>
      <c r="T1056" s="124"/>
      <c r="U1056" s="124"/>
      <c r="V1056" s="124"/>
      <c r="W1056" s="91"/>
      <c r="X1056" s="1490"/>
      <c r="Y1056" s="73"/>
      <c r="Z1056" s="1492"/>
      <c r="AA1056" s="9"/>
      <c r="AB1056" s="1489"/>
      <c r="AC1056" s="1489"/>
      <c r="AD1056" s="1489"/>
      <c r="AE1056" s="1489"/>
      <c r="AF1056" s="1489"/>
      <c r="AG1056" s="1489"/>
      <c r="AH1056" s="1489"/>
      <c r="AI1056" s="1489"/>
      <c r="AJ1056" s="1489"/>
      <c r="AK1056" s="1489"/>
      <c r="AL1056" s="1489"/>
    </row>
    <row r="1057" spans="1:38" ht="15" customHeight="1">
      <c r="A1057" s="53"/>
      <c r="B1057" s="14"/>
      <c r="C1057" s="163"/>
      <c r="D1057" s="163"/>
      <c r="E1057" s="163"/>
      <c r="F1057" s="13"/>
      <c r="G1057" s="5"/>
      <c r="H1057" s="56"/>
      <c r="I1057" s="56"/>
      <c r="J1057" s="56"/>
      <c r="K1057" s="56"/>
      <c r="L1057" s="56"/>
      <c r="M1057" s="56"/>
      <c r="N1057" s="56"/>
      <c r="O1057" s="124"/>
      <c r="P1057" s="124"/>
      <c r="Q1057" s="124"/>
      <c r="R1057" s="124"/>
      <c r="S1057" s="124"/>
      <c r="T1057" s="124"/>
      <c r="U1057" s="124"/>
      <c r="V1057" s="124"/>
      <c r="W1057" s="91"/>
      <c r="Y1057" s="73"/>
      <c r="Z1057" s="218"/>
      <c r="AA1057" s="9"/>
      <c r="AB1057" s="163"/>
      <c r="AC1057" s="163"/>
      <c r="AD1057" s="163"/>
      <c r="AE1057" s="163"/>
      <c r="AF1057" s="163"/>
      <c r="AG1057" s="163"/>
      <c r="AH1057" s="163"/>
      <c r="AI1057" s="163"/>
      <c r="AJ1057" s="163"/>
      <c r="AK1057" s="163"/>
      <c r="AL1057" s="163"/>
    </row>
    <row r="1058" spans="1:38" s="39" customFormat="1" ht="15" customHeight="1">
      <c r="A1058" s="53"/>
      <c r="B1058" s="1060" t="s">
        <v>1295</v>
      </c>
      <c r="C1058" s="1061" t="s">
        <v>1287</v>
      </c>
      <c r="D1058" s="613"/>
      <c r="E1058" s="613"/>
      <c r="F1058" s="13"/>
      <c r="G1058" s="5"/>
      <c r="H1058" s="56"/>
      <c r="I1058" s="56"/>
      <c r="J1058" s="56"/>
      <c r="K1058" s="56"/>
      <c r="L1058" s="56"/>
      <c r="M1058" s="56"/>
      <c r="N1058" s="56"/>
      <c r="O1058" s="124"/>
      <c r="P1058" s="124"/>
      <c r="Q1058" s="124"/>
      <c r="R1058" s="124"/>
      <c r="S1058" s="124"/>
      <c r="T1058" s="124"/>
      <c r="U1058" s="124"/>
      <c r="V1058" s="124"/>
      <c r="W1058" s="91"/>
      <c r="X1058" s="4"/>
      <c r="Y1058" s="73"/>
      <c r="Z1058" s="218"/>
      <c r="AA1058" s="9"/>
      <c r="AB1058" s="613"/>
      <c r="AC1058" s="613"/>
      <c r="AD1058" s="613"/>
      <c r="AE1058" s="613"/>
      <c r="AF1058" s="613"/>
      <c r="AG1058" s="613"/>
      <c r="AH1058" s="613"/>
      <c r="AI1058" s="613"/>
      <c r="AJ1058" s="613"/>
      <c r="AK1058" s="613"/>
      <c r="AL1058" s="613"/>
    </row>
    <row r="1059" spans="1:38" ht="15" customHeight="1">
      <c r="A1059" s="53"/>
      <c r="B1059" s="1575" t="s">
        <v>1284</v>
      </c>
      <c r="C1059" s="1576">
        <v>7879.7999999999993</v>
      </c>
      <c r="D1059" s="1486">
        <v>1.1499999999999999</v>
      </c>
      <c r="E1059" s="613"/>
      <c r="F1059" s="13"/>
      <c r="G1059" s="5"/>
      <c r="H1059" s="56"/>
      <c r="I1059" s="56"/>
      <c r="J1059" s="56"/>
      <c r="K1059" s="56"/>
      <c r="L1059" s="56"/>
      <c r="M1059" s="56"/>
      <c r="N1059" s="56"/>
      <c r="O1059" s="124"/>
      <c r="P1059" s="124"/>
      <c r="Q1059" s="124"/>
      <c r="R1059" s="124"/>
      <c r="S1059" s="124"/>
      <c r="T1059" s="124"/>
      <c r="U1059" s="124"/>
      <c r="V1059" s="124"/>
      <c r="W1059" s="91"/>
      <c r="Y1059" s="73"/>
      <c r="Z1059" s="218"/>
      <c r="AA1059" s="9"/>
      <c r="AB1059" s="613"/>
      <c r="AC1059" s="613"/>
      <c r="AD1059" s="613"/>
      <c r="AE1059" s="613"/>
      <c r="AF1059" s="613"/>
      <c r="AG1059" s="613"/>
      <c r="AH1059" s="613"/>
      <c r="AI1059" s="613"/>
      <c r="AJ1059" s="613"/>
      <c r="AK1059" s="613"/>
      <c r="AL1059" s="613"/>
    </row>
    <row r="1060" spans="1:38" ht="15" hidden="1" customHeight="1">
      <c r="A1060" s="53"/>
      <c r="B1060" s="1575" t="s">
        <v>1285</v>
      </c>
      <c r="C1060" s="1576">
        <v>0</v>
      </c>
      <c r="D1060" s="1486"/>
      <c r="E1060" s="613"/>
      <c r="F1060" s="13"/>
      <c r="G1060" s="5"/>
      <c r="H1060" s="56"/>
      <c r="I1060" s="56"/>
      <c r="J1060" s="56"/>
      <c r="K1060" s="56"/>
      <c r="L1060" s="56"/>
      <c r="M1060" s="56"/>
      <c r="N1060" s="56"/>
      <c r="O1060" s="124"/>
      <c r="P1060" s="124"/>
      <c r="Q1060" s="124"/>
      <c r="R1060" s="124"/>
      <c r="S1060" s="124"/>
      <c r="T1060" s="124"/>
      <c r="U1060" s="124"/>
      <c r="V1060" s="124"/>
      <c r="W1060" s="91"/>
      <c r="Y1060" s="73"/>
      <c r="Z1060" s="218"/>
      <c r="AA1060" s="9"/>
      <c r="AB1060" s="613"/>
      <c r="AC1060" s="613"/>
      <c r="AD1060" s="613"/>
      <c r="AE1060" s="613"/>
      <c r="AF1060" s="613"/>
      <c r="AG1060" s="613"/>
      <c r="AH1060" s="613"/>
      <c r="AI1060" s="613"/>
      <c r="AJ1060" s="613"/>
      <c r="AK1060" s="613"/>
      <c r="AL1060" s="613"/>
    </row>
    <row r="1061" spans="1:38" ht="15" customHeight="1">
      <c r="A1061" s="53"/>
      <c r="B1061" s="1575" t="s">
        <v>1286</v>
      </c>
      <c r="C1061" s="1576">
        <v>2.2539999999999998E-2</v>
      </c>
      <c r="D1061" s="1486"/>
      <c r="E1061" s="613"/>
      <c r="F1061" s="13"/>
      <c r="G1061" s="5"/>
      <c r="H1061" s="56"/>
      <c r="I1061" s="56"/>
      <c r="J1061" s="56"/>
      <c r="K1061" s="56"/>
      <c r="L1061" s="56"/>
      <c r="M1061" s="56"/>
      <c r="N1061" s="56"/>
      <c r="O1061" s="124"/>
      <c r="P1061" s="124"/>
      <c r="Q1061" s="124"/>
      <c r="R1061" s="124"/>
      <c r="S1061" s="124"/>
      <c r="T1061" s="124"/>
      <c r="U1061" s="124"/>
      <c r="V1061" s="124"/>
      <c r="W1061" s="91"/>
      <c r="Y1061" s="73"/>
      <c r="Z1061" s="218"/>
      <c r="AA1061" s="9"/>
      <c r="AB1061" s="613"/>
      <c r="AC1061" s="613"/>
      <c r="AD1061" s="613"/>
      <c r="AE1061" s="613"/>
      <c r="AF1061" s="613"/>
      <c r="AG1061" s="613"/>
      <c r="AH1061" s="613"/>
      <c r="AI1061" s="613"/>
      <c r="AJ1061" s="613"/>
      <c r="AK1061" s="613"/>
      <c r="AL1061" s="613"/>
    </row>
    <row r="1062" spans="1:38" s="613" customFormat="1" ht="15" customHeight="1">
      <c r="A1062" s="53"/>
      <c r="B1062" s="14"/>
      <c r="F1062" s="13"/>
      <c r="G1062" s="5"/>
      <c r="H1062" s="56"/>
      <c r="I1062" s="56"/>
      <c r="J1062" s="56"/>
      <c r="K1062" s="56"/>
      <c r="L1062" s="56"/>
      <c r="M1062" s="56"/>
      <c r="N1062" s="56"/>
      <c r="O1062" s="124"/>
      <c r="P1062" s="124"/>
      <c r="Q1062" s="124"/>
      <c r="R1062" s="124"/>
      <c r="S1062" s="124"/>
      <c r="T1062" s="124"/>
      <c r="U1062" s="124"/>
      <c r="V1062" s="124"/>
      <c r="W1062" s="91"/>
      <c r="X1062" s="4"/>
      <c r="Y1062" s="73"/>
      <c r="Z1062" s="218"/>
      <c r="AA1062" s="9"/>
    </row>
    <row r="1063" spans="1:38" s="613" customFormat="1" ht="15" customHeight="1">
      <c r="A1063" s="53"/>
      <c r="B1063" s="1983" t="s">
        <v>119</v>
      </c>
      <c r="C1063" s="1984"/>
      <c r="D1063" s="31"/>
      <c r="E1063" s="14"/>
      <c r="F1063" s="33"/>
      <c r="G1063" s="669"/>
      <c r="H1063" s="727"/>
      <c r="I1063" s="727"/>
      <c r="J1063" s="727"/>
      <c r="K1063" s="727"/>
      <c r="L1063" s="56"/>
      <c r="M1063" s="56"/>
      <c r="N1063" s="56"/>
      <c r="O1063" s="117"/>
      <c r="P1063" s="124"/>
      <c r="Q1063" s="124"/>
      <c r="R1063" s="124"/>
      <c r="S1063" s="124"/>
      <c r="T1063" s="124"/>
      <c r="U1063" s="124"/>
      <c r="V1063" s="124"/>
      <c r="W1063" s="91"/>
      <c r="X1063" s="4"/>
      <c r="Y1063" s="53"/>
      <c r="Z1063" s="132"/>
      <c r="AA1063" s="9"/>
      <c r="AB1063" s="33"/>
      <c r="AC1063" s="33"/>
      <c r="AD1063" s="33"/>
      <c r="AE1063" s="33"/>
      <c r="AF1063" s="33"/>
      <c r="AG1063" s="33"/>
      <c r="AH1063" s="33"/>
      <c r="AI1063" s="33"/>
      <c r="AJ1063" s="33"/>
      <c r="AK1063" s="33"/>
      <c r="AL1063" s="33"/>
    </row>
    <row r="1064" spans="1:38" s="613" customFormat="1" ht="15" customHeight="1">
      <c r="A1064" s="53"/>
      <c r="B1064" s="150" t="s">
        <v>120</v>
      </c>
      <c r="C1064" s="227">
        <v>4.2000000000000003E-2</v>
      </c>
      <c r="D1064" s="31"/>
      <c r="E1064" s="14"/>
      <c r="F1064" s="33"/>
      <c r="G1064" s="669"/>
      <c r="H1064" s="727"/>
      <c r="I1064" s="727"/>
      <c r="J1064" s="727"/>
      <c r="K1064" s="727"/>
      <c r="L1064" s="56"/>
      <c r="M1064" s="56"/>
      <c r="N1064" s="56"/>
      <c r="O1064" s="56"/>
      <c r="P1064" s="56"/>
      <c r="Q1064" s="56"/>
      <c r="R1064" s="56"/>
      <c r="S1064" s="56"/>
      <c r="T1064" s="56"/>
      <c r="U1064" s="56"/>
      <c r="V1064" s="56"/>
      <c r="W1064" s="91"/>
      <c r="X1064" s="4"/>
      <c r="Y1064" s="74"/>
      <c r="Z1064" s="132"/>
      <c r="AA1064" s="9"/>
      <c r="AB1064" s="33"/>
      <c r="AC1064" s="33"/>
      <c r="AD1064" s="33"/>
      <c r="AE1064" s="33"/>
      <c r="AF1064" s="33"/>
      <c r="AG1064" s="33"/>
      <c r="AH1064" s="33"/>
      <c r="AI1064" s="33"/>
      <c r="AJ1064" s="33"/>
      <c r="AK1064" s="33"/>
      <c r="AL1064" s="33"/>
    </row>
    <row r="1065" spans="1:38" s="613" customFormat="1" ht="15" customHeight="1">
      <c r="A1065" s="53"/>
      <c r="B1065" s="14"/>
      <c r="C1065" s="14"/>
      <c r="D1065" s="14"/>
      <c r="E1065" s="14"/>
      <c r="F1065" s="33"/>
      <c r="G1065" s="728"/>
      <c r="H1065" s="669"/>
      <c r="I1065" s="669"/>
      <c r="J1065" s="669"/>
      <c r="K1065" s="669"/>
      <c r="L1065" s="36"/>
      <c r="M1065" s="56"/>
      <c r="N1065" s="36"/>
      <c r="O1065" s="56"/>
      <c r="P1065" s="56"/>
      <c r="Q1065" s="56"/>
      <c r="R1065" s="56"/>
      <c r="S1065" s="56"/>
      <c r="T1065" s="56"/>
      <c r="U1065" s="56"/>
      <c r="V1065" s="56"/>
      <c r="W1065" s="91"/>
      <c r="X1065" s="4"/>
      <c r="Y1065" s="40"/>
      <c r="Z1065" s="132"/>
      <c r="AA1065" s="9"/>
      <c r="AB1065" s="33"/>
      <c r="AC1065" s="33"/>
      <c r="AD1065" s="33"/>
      <c r="AE1065" s="33"/>
      <c r="AF1065" s="33"/>
      <c r="AG1065" s="33"/>
      <c r="AH1065" s="33"/>
      <c r="AI1065" s="33"/>
      <c r="AJ1065" s="33"/>
      <c r="AK1065" s="33"/>
      <c r="AL1065" s="33"/>
    </row>
    <row r="1066" spans="1:38" s="613" customFormat="1">
      <c r="A1066" s="53"/>
      <c r="B1066" s="2020" t="s">
        <v>598</v>
      </c>
      <c r="C1066" s="2049"/>
      <c r="D1066" s="1927"/>
      <c r="E1066" s="14"/>
      <c r="G1066" s="728"/>
      <c r="H1066" s="669"/>
      <c r="I1066" s="669"/>
      <c r="J1066" s="669"/>
      <c r="K1066" s="669"/>
      <c r="L1066" s="56"/>
      <c r="M1066" s="56"/>
      <c r="N1066" s="56"/>
      <c r="O1066" s="56"/>
      <c r="P1066" s="56"/>
      <c r="Q1066" s="56"/>
      <c r="R1066" s="56"/>
      <c r="S1066" s="56"/>
      <c r="T1066" s="56"/>
      <c r="U1066" s="56"/>
      <c r="V1066" s="56"/>
      <c r="W1066" s="91"/>
      <c r="X1066" s="4"/>
      <c r="Y1066" s="40"/>
      <c r="Z1066" s="218"/>
      <c r="AA1066" s="9"/>
    </row>
    <row r="1067" spans="1:38" s="613" customFormat="1" ht="28.8">
      <c r="A1067" s="53"/>
      <c r="B1067" s="647" t="s">
        <v>592</v>
      </c>
      <c r="C1067" s="648" t="s">
        <v>600</v>
      </c>
      <c r="D1067" s="649" t="s">
        <v>601</v>
      </c>
      <c r="E1067" s="650" t="s">
        <v>160</v>
      </c>
      <c r="F1067" s="651" t="s">
        <v>459</v>
      </c>
      <c r="G1067" s="728"/>
      <c r="H1067" s="669"/>
      <c r="I1067" s="669"/>
      <c r="J1067" s="669"/>
      <c r="K1067" s="669"/>
      <c r="L1067" s="56"/>
      <c r="M1067" s="56"/>
      <c r="N1067" s="56"/>
      <c r="O1067" s="56"/>
      <c r="P1067" s="56"/>
      <c r="Q1067" s="56"/>
      <c r="R1067" s="56"/>
      <c r="S1067" s="56"/>
      <c r="T1067" s="56"/>
      <c r="U1067" s="56"/>
      <c r="V1067" s="56"/>
      <c r="W1067" s="91"/>
      <c r="X1067" s="4"/>
      <c r="Y1067" s="40"/>
      <c r="Z1067" s="218"/>
      <c r="AA1067" s="9"/>
    </row>
    <row r="1068" spans="1:38" s="613" customFormat="1" ht="15" customHeight="1">
      <c r="A1068" s="53"/>
      <c r="B1068" s="815" t="s">
        <v>593</v>
      </c>
      <c r="C1068" s="1766">
        <v>10000</v>
      </c>
      <c r="D1068" s="1767">
        <v>1000</v>
      </c>
      <c r="E1068" s="543" t="s">
        <v>597</v>
      </c>
      <c r="F1068" s="1577">
        <v>2.5299999999999996E-2</v>
      </c>
      <c r="G1068" s="1578"/>
      <c r="H1068" s="669"/>
      <c r="I1068" s="669"/>
      <c r="J1068" s="669"/>
      <c r="K1068" s="669"/>
      <c r="L1068" s="56"/>
      <c r="M1068" s="56"/>
      <c r="N1068" s="56"/>
      <c r="O1068" s="56"/>
      <c r="P1068" s="56"/>
      <c r="Q1068" s="56"/>
      <c r="R1068" s="56"/>
      <c r="S1068" s="56"/>
      <c r="T1068" s="56"/>
      <c r="U1068" s="56"/>
      <c r="V1068" s="56"/>
      <c r="W1068" s="91"/>
      <c r="X1068" s="4"/>
      <c r="Y1068" s="40"/>
      <c r="Z1068" s="218"/>
      <c r="AA1068" s="9"/>
    </row>
    <row r="1069" spans="1:38" ht="15" customHeight="1">
      <c r="A1069" s="53"/>
      <c r="B1069" s="815" t="s">
        <v>594</v>
      </c>
      <c r="C1069" s="1766">
        <v>50000</v>
      </c>
      <c r="D1069" s="1767">
        <v>5000</v>
      </c>
      <c r="E1069" s="543" t="s">
        <v>597</v>
      </c>
      <c r="F1069" s="1577">
        <v>0.1265</v>
      </c>
      <c r="G1069" s="1579"/>
      <c r="H1069" s="669"/>
      <c r="I1069" s="669"/>
      <c r="J1069" s="669"/>
      <c r="K1069" s="669"/>
      <c r="L1069" s="56"/>
      <c r="M1069" s="56"/>
      <c r="N1069" s="56"/>
      <c r="O1069" s="56"/>
      <c r="P1069" s="56"/>
      <c r="Q1069" s="56"/>
      <c r="R1069" s="56"/>
      <c r="S1069" s="56"/>
      <c r="T1069" s="56"/>
      <c r="U1069" s="56"/>
      <c r="V1069" s="56"/>
      <c r="W1069" s="91"/>
      <c r="Y1069" s="40"/>
      <c r="Z1069" s="218"/>
      <c r="AA1069" s="9"/>
      <c r="AB1069" s="613"/>
      <c r="AC1069" s="613"/>
      <c r="AD1069" s="613"/>
      <c r="AE1069" s="613"/>
      <c r="AF1069" s="613"/>
      <c r="AG1069" s="613"/>
      <c r="AH1069" s="613"/>
      <c r="AI1069" s="613"/>
      <c r="AJ1069" s="613"/>
      <c r="AK1069" s="613"/>
      <c r="AL1069" s="613"/>
    </row>
    <row r="1070" spans="1:38" ht="15" customHeight="1">
      <c r="A1070" s="53"/>
      <c r="B1070" s="815" t="s">
        <v>595</v>
      </c>
      <c r="C1070" s="1766">
        <v>200000</v>
      </c>
      <c r="D1070" s="1767">
        <v>10000</v>
      </c>
      <c r="E1070" s="543" t="s">
        <v>597</v>
      </c>
      <c r="F1070" s="1577">
        <v>0.50600000000000001</v>
      </c>
      <c r="G1070" s="1579"/>
      <c r="H1070" s="669"/>
      <c r="I1070" s="669"/>
      <c r="J1070" s="669"/>
      <c r="K1070" s="669"/>
      <c r="L1070" s="56"/>
      <c r="M1070" s="56"/>
      <c r="N1070" s="56"/>
      <c r="O1070" s="56"/>
      <c r="P1070" s="56"/>
      <c r="Q1070" s="56"/>
      <c r="R1070" s="56"/>
      <c r="S1070" s="56"/>
      <c r="T1070" s="56"/>
      <c r="U1070" s="56"/>
      <c r="V1070" s="56"/>
      <c r="W1070" s="91"/>
      <c r="Y1070" s="40"/>
      <c r="Z1070" s="218"/>
      <c r="AA1070" s="9"/>
      <c r="AB1070" s="613"/>
      <c r="AC1070" s="613"/>
      <c r="AD1070" s="613"/>
      <c r="AE1070" s="613"/>
      <c r="AF1070" s="613"/>
      <c r="AG1070" s="613"/>
      <c r="AH1070" s="613"/>
      <c r="AI1070" s="613"/>
      <c r="AJ1070" s="613"/>
      <c r="AK1070" s="613"/>
      <c r="AL1070" s="613"/>
    </row>
    <row r="1071" spans="1:38" ht="15" customHeight="1">
      <c r="A1071" s="53"/>
      <c r="B1071" s="815" t="s">
        <v>596</v>
      </c>
      <c r="C1071" s="1766">
        <v>1000000</v>
      </c>
      <c r="D1071" s="1767">
        <v>30000</v>
      </c>
      <c r="E1071" s="543" t="s">
        <v>597</v>
      </c>
      <c r="F1071" s="1577">
        <v>2.5299999999999998</v>
      </c>
      <c r="G1071" s="1579"/>
      <c r="H1071" s="669"/>
      <c r="I1071" s="669"/>
      <c r="J1071" s="669"/>
      <c r="K1071" s="669"/>
      <c r="L1071" s="56"/>
      <c r="M1071" s="56"/>
      <c r="N1071" s="56"/>
      <c r="O1071" s="56"/>
      <c r="P1071" s="56"/>
      <c r="Q1071" s="56"/>
      <c r="R1071" s="56"/>
      <c r="S1071" s="56"/>
      <c r="T1071" s="56"/>
      <c r="U1071" s="56"/>
      <c r="V1071" s="56"/>
      <c r="W1071" s="91"/>
      <c r="Y1071" s="40"/>
      <c r="Z1071" s="218"/>
      <c r="AA1071" s="9"/>
      <c r="AB1071" s="613"/>
      <c r="AC1071" s="613"/>
      <c r="AD1071" s="613"/>
      <c r="AE1071" s="613"/>
      <c r="AF1071" s="613"/>
      <c r="AG1071" s="613"/>
      <c r="AH1071" s="613"/>
      <c r="AI1071" s="613"/>
      <c r="AJ1071" s="613"/>
      <c r="AK1071" s="613"/>
      <c r="AL1071" s="613"/>
    </row>
    <row r="1072" spans="1:38" s="1489" customFormat="1" ht="15" customHeight="1">
      <c r="A1072" s="1491"/>
      <c r="B1072" s="764"/>
      <c r="C1072" s="1763"/>
      <c r="D1072" s="1764"/>
      <c r="E1072" s="765"/>
      <c r="F1072" s="1765"/>
      <c r="G1072" s="1579"/>
      <c r="H1072" s="669"/>
      <c r="I1072" s="669"/>
      <c r="J1072" s="669"/>
      <c r="K1072" s="669"/>
      <c r="L1072" s="56"/>
      <c r="M1072" s="56"/>
      <c r="N1072" s="56"/>
      <c r="O1072" s="56"/>
      <c r="P1072" s="56"/>
      <c r="Q1072" s="56"/>
      <c r="R1072" s="56"/>
      <c r="S1072" s="56"/>
      <c r="T1072" s="56"/>
      <c r="U1072" s="56"/>
      <c r="V1072" s="56"/>
      <c r="W1072" s="91"/>
      <c r="X1072" s="1490"/>
      <c r="Y1072" s="40"/>
      <c r="Z1072" s="1492"/>
      <c r="AA1072" s="9"/>
    </row>
    <row r="1073" spans="1:38" s="1489" customFormat="1" ht="15" customHeight="1">
      <c r="A1073" s="1491"/>
      <c r="B1073" s="2020" t="s">
        <v>2569</v>
      </c>
      <c r="C1073" s="2049"/>
      <c r="D1073" s="1927"/>
      <c r="E1073" s="14"/>
      <c r="G1073" s="1579"/>
      <c r="H1073" s="669"/>
      <c r="I1073" s="669"/>
      <c r="J1073" s="669"/>
      <c r="K1073" s="669"/>
      <c r="L1073" s="56"/>
      <c r="M1073" s="56"/>
      <c r="N1073" s="56"/>
      <c r="O1073" s="56"/>
      <c r="P1073" s="56"/>
      <c r="Q1073" s="56"/>
      <c r="R1073" s="56"/>
      <c r="S1073" s="56"/>
      <c r="T1073" s="56"/>
      <c r="U1073" s="56"/>
      <c r="V1073" s="56"/>
      <c r="W1073" s="91"/>
      <c r="X1073" s="1490"/>
      <c r="Y1073" s="40"/>
      <c r="Z1073" s="1492"/>
      <c r="AA1073" s="9"/>
    </row>
    <row r="1074" spans="1:38" s="1489" customFormat="1" ht="15" customHeight="1">
      <c r="A1074" s="1491"/>
      <c r="B1074" s="647" t="s">
        <v>592</v>
      </c>
      <c r="C1074" s="648" t="s">
        <v>600</v>
      </c>
      <c r="D1074" s="650" t="s">
        <v>160</v>
      </c>
      <c r="E1074" s="651" t="s">
        <v>459</v>
      </c>
      <c r="G1074" s="1579"/>
      <c r="H1074" s="669"/>
      <c r="I1074" s="669"/>
      <c r="J1074" s="669"/>
      <c r="K1074" s="669"/>
      <c r="L1074" s="56"/>
      <c r="M1074" s="56"/>
      <c r="N1074" s="56"/>
      <c r="O1074" s="56"/>
      <c r="P1074" s="56"/>
      <c r="Q1074" s="56"/>
      <c r="R1074" s="56"/>
      <c r="S1074" s="56"/>
      <c r="T1074" s="56"/>
      <c r="U1074" s="56"/>
      <c r="V1074" s="56"/>
      <c r="W1074" s="91"/>
      <c r="X1074" s="1490"/>
      <c r="Y1074" s="40"/>
      <c r="Z1074" s="1492"/>
      <c r="AA1074" s="9"/>
    </row>
    <row r="1075" spans="1:38" s="1489" customFormat="1" ht="15" customHeight="1">
      <c r="A1075" s="1491"/>
      <c r="B1075" s="1788" t="s">
        <v>593</v>
      </c>
      <c r="C1075" s="1789">
        <v>2000</v>
      </c>
      <c r="D1075" s="1790" t="s">
        <v>597</v>
      </c>
      <c r="E1075" s="1791">
        <v>2.5299999999999996E-2</v>
      </c>
      <c r="G1075" s="1579"/>
      <c r="H1075" s="669"/>
      <c r="I1075" s="669"/>
      <c r="J1075" s="669"/>
      <c r="K1075" s="669"/>
      <c r="L1075" s="56"/>
      <c r="M1075" s="56"/>
      <c r="N1075" s="56"/>
      <c r="O1075" s="56"/>
      <c r="P1075" s="56"/>
      <c r="Q1075" s="56"/>
      <c r="R1075" s="56"/>
      <c r="S1075" s="56"/>
      <c r="T1075" s="56"/>
      <c r="U1075" s="56"/>
      <c r="V1075" s="56"/>
      <c r="W1075" s="91"/>
      <c r="X1075" s="1490"/>
      <c r="Y1075" s="40"/>
      <c r="Z1075" s="1492"/>
      <c r="AA1075" s="9"/>
    </row>
    <row r="1076" spans="1:38" s="1489" customFormat="1" ht="15" customHeight="1">
      <c r="A1076" s="1491"/>
      <c r="B1076" s="1788" t="s">
        <v>594</v>
      </c>
      <c r="C1076" s="1789">
        <v>5000</v>
      </c>
      <c r="D1076" s="1790" t="s">
        <v>597</v>
      </c>
      <c r="E1076" s="1791">
        <v>0.1265</v>
      </c>
      <c r="G1076" s="1579"/>
      <c r="H1076" s="669"/>
      <c r="I1076" s="669"/>
      <c r="J1076" s="669"/>
      <c r="K1076" s="669"/>
      <c r="L1076" s="56"/>
      <c r="M1076" s="56"/>
      <c r="N1076" s="56"/>
      <c r="O1076" s="56"/>
      <c r="P1076" s="56"/>
      <c r="Q1076" s="56"/>
      <c r="R1076" s="56"/>
      <c r="S1076" s="56"/>
      <c r="T1076" s="56"/>
      <c r="U1076" s="56"/>
      <c r="V1076" s="56"/>
      <c r="W1076" s="91"/>
      <c r="X1076" s="1490"/>
      <c r="Y1076" s="40"/>
      <c r="Z1076" s="1492"/>
      <c r="AA1076" s="9"/>
    </row>
    <row r="1077" spans="1:38" s="1489" customFormat="1" ht="15" customHeight="1">
      <c r="A1077" s="1491"/>
      <c r="B1077" s="1788" t="s">
        <v>595</v>
      </c>
      <c r="C1077" s="1789">
        <v>20000</v>
      </c>
      <c r="D1077" s="1790" t="s">
        <v>597</v>
      </c>
      <c r="E1077" s="1791">
        <v>0.50600000000000001</v>
      </c>
      <c r="G1077" s="1579"/>
      <c r="H1077" s="669"/>
      <c r="I1077" s="669"/>
      <c r="J1077" s="669"/>
      <c r="K1077" s="669"/>
      <c r="L1077" s="56"/>
      <c r="M1077" s="56"/>
      <c r="N1077" s="56"/>
      <c r="O1077" s="56"/>
      <c r="P1077" s="56"/>
      <c r="Q1077" s="56"/>
      <c r="R1077" s="56"/>
      <c r="S1077" s="56"/>
      <c r="T1077" s="56"/>
      <c r="U1077" s="56"/>
      <c r="V1077" s="56"/>
      <c r="W1077" s="91"/>
      <c r="X1077" s="1490"/>
      <c r="Y1077" s="40"/>
      <c r="Z1077" s="1492"/>
      <c r="AA1077" s="9"/>
    </row>
    <row r="1078" spans="1:38" s="1489" customFormat="1" ht="15" customHeight="1">
      <c r="A1078" s="1491"/>
      <c r="B1078" s="1788" t="s">
        <v>596</v>
      </c>
      <c r="C1078" s="1789">
        <v>50000</v>
      </c>
      <c r="D1078" s="1790" t="s">
        <v>597</v>
      </c>
      <c r="E1078" s="1791">
        <v>2.5299999999999998</v>
      </c>
      <c r="G1078" s="1579"/>
      <c r="H1078" s="669"/>
      <c r="I1078" s="669"/>
      <c r="J1078" s="669"/>
      <c r="K1078" s="669"/>
      <c r="L1078" s="56"/>
      <c r="M1078" s="56"/>
      <c r="N1078" s="56"/>
      <c r="O1078" s="56"/>
      <c r="P1078" s="56"/>
      <c r="Q1078" s="56"/>
      <c r="R1078" s="56"/>
      <c r="S1078" s="56"/>
      <c r="T1078" s="56"/>
      <c r="U1078" s="56"/>
      <c r="V1078" s="56"/>
      <c r="W1078" s="91"/>
      <c r="X1078" s="1490"/>
      <c r="Y1078" s="40"/>
      <c r="Z1078" s="1492"/>
      <c r="AA1078" s="9"/>
    </row>
    <row r="1079" spans="1:38" ht="15" customHeight="1">
      <c r="A1079" s="53"/>
      <c r="B1079" s="57"/>
      <c r="C1079" s="60"/>
      <c r="D1079" s="14"/>
      <c r="E1079" s="14"/>
      <c r="F1079" s="14"/>
      <c r="G1079" s="728"/>
      <c r="H1079" s="669"/>
      <c r="I1079" s="669"/>
      <c r="J1079" s="669"/>
      <c r="K1079" s="669"/>
      <c r="L1079" s="5"/>
      <c r="M1079" s="5"/>
      <c r="N1079" s="5"/>
      <c r="O1079" s="5"/>
      <c r="P1079" s="5"/>
      <c r="Q1079" s="5"/>
      <c r="R1079" s="5"/>
      <c r="S1079" s="5"/>
      <c r="T1079" s="1175"/>
      <c r="U1079" s="5"/>
      <c r="V1079" s="1175"/>
      <c r="W1079" s="91"/>
      <c r="Y1079" s="40"/>
      <c r="Z1079" s="132"/>
      <c r="AA1079" s="9"/>
      <c r="AB1079" s="39"/>
      <c r="AC1079" s="39"/>
      <c r="AD1079" s="39"/>
      <c r="AE1079" s="39"/>
      <c r="AF1079" s="39"/>
      <c r="AG1079" s="39"/>
      <c r="AH1079" s="39"/>
      <c r="AI1079" s="39"/>
      <c r="AJ1079" s="39"/>
      <c r="AK1079" s="39"/>
      <c r="AL1079" s="39"/>
    </row>
    <row r="1080" spans="1:38" ht="15" customHeight="1">
      <c r="A1080" s="53"/>
      <c r="B1080" s="143" t="s">
        <v>221</v>
      </c>
      <c r="C1080" s="134"/>
      <c r="E1080" s="42"/>
      <c r="F1080" s="42"/>
      <c r="G1080" s="669"/>
      <c r="H1080" s="669"/>
      <c r="I1080" s="669"/>
      <c r="J1080" s="669"/>
      <c r="K1080" s="669"/>
      <c r="L1080" s="5"/>
      <c r="M1080" s="5"/>
      <c r="N1080" s="5"/>
      <c r="O1080" s="5"/>
      <c r="P1080" s="5"/>
      <c r="Q1080" s="5"/>
      <c r="R1080" s="5"/>
      <c r="S1080" s="5"/>
      <c r="T1080" s="1175"/>
      <c r="U1080" s="5"/>
      <c r="V1080" s="1175"/>
      <c r="W1080" s="91"/>
      <c r="Y1080" s="40"/>
      <c r="Z1080" s="132"/>
      <c r="AA1080" s="9"/>
    </row>
    <row r="1081" spans="1:38" ht="15" customHeight="1">
      <c r="A1081" s="53"/>
      <c r="B1081" s="110" t="s">
        <v>32</v>
      </c>
      <c r="C1081" s="114" t="s">
        <v>10</v>
      </c>
      <c r="E1081" s="42"/>
      <c r="F1081" s="42"/>
      <c r="G1081" s="669"/>
      <c r="H1081" s="669"/>
      <c r="I1081" s="669"/>
      <c r="J1081" s="669"/>
      <c r="K1081" s="669"/>
      <c r="L1081" s="5"/>
      <c r="M1081" s="5"/>
      <c r="N1081" s="5"/>
      <c r="O1081" s="5"/>
      <c r="P1081" s="5"/>
      <c r="Q1081" s="5"/>
      <c r="R1081" s="5"/>
      <c r="S1081" s="5"/>
      <c r="T1081" s="1175"/>
      <c r="U1081" s="5"/>
      <c r="V1081" s="1175"/>
      <c r="W1081" s="91"/>
      <c r="Y1081" s="40"/>
      <c r="Z1081" s="132"/>
      <c r="AA1081" s="9"/>
      <c r="AB1081" s="39"/>
      <c r="AC1081" s="39"/>
      <c r="AD1081" s="39"/>
      <c r="AE1081" s="39"/>
      <c r="AF1081" s="39"/>
      <c r="AG1081" s="39"/>
      <c r="AH1081" s="39"/>
      <c r="AI1081" s="39"/>
      <c r="AJ1081" s="39"/>
      <c r="AK1081" s="39"/>
      <c r="AL1081" s="39"/>
    </row>
    <row r="1082" spans="1:38" ht="15" customHeight="1">
      <c r="A1082" s="53"/>
      <c r="B1082" s="1568" t="s">
        <v>1087</v>
      </c>
      <c r="C1082" s="1577">
        <v>3.9200000000000007E-3</v>
      </c>
      <c r="D1082" s="1485">
        <v>1.1200000000000001</v>
      </c>
      <c r="E1082" s="42"/>
      <c r="F1082" s="42"/>
      <c r="G1082" s="669"/>
      <c r="H1082" s="669"/>
      <c r="I1082" s="669"/>
      <c r="J1082" s="669"/>
      <c r="K1082" s="669"/>
      <c r="L1082" s="5"/>
      <c r="M1082" s="5"/>
      <c r="N1082" s="5"/>
      <c r="O1082" s="5"/>
      <c r="P1082" s="5"/>
      <c r="Q1082" s="5"/>
      <c r="R1082" s="5"/>
      <c r="S1082" s="5"/>
      <c r="T1082" s="1175"/>
      <c r="U1082" s="5"/>
      <c r="V1082" s="1175"/>
      <c r="W1082" s="91"/>
      <c r="Y1082" s="40"/>
      <c r="Z1082" s="132"/>
      <c r="AA1082" s="9"/>
    </row>
    <row r="1083" spans="1:38" ht="15" customHeight="1">
      <c r="A1083" s="53"/>
      <c r="B1083" s="35"/>
      <c r="C1083" s="35"/>
      <c r="D1083" s="35"/>
      <c r="G1083" s="669"/>
      <c r="H1083" s="669"/>
      <c r="I1083" s="669"/>
      <c r="J1083" s="669"/>
      <c r="K1083" s="669"/>
      <c r="L1083" s="5"/>
      <c r="M1083" s="5"/>
      <c r="N1083" s="5"/>
      <c r="O1083" s="5"/>
      <c r="P1083" s="5"/>
      <c r="Q1083" s="5"/>
      <c r="R1083" s="5"/>
      <c r="S1083" s="5"/>
      <c r="T1083" s="1175"/>
      <c r="U1083" s="5"/>
      <c r="V1083" s="1175"/>
      <c r="W1083" s="91"/>
      <c r="Y1083" s="40"/>
      <c r="Z1083" s="132"/>
      <c r="AA1083" s="9"/>
    </row>
    <row r="1084" spans="1:38" ht="15" customHeight="1">
      <c r="A1084" s="53"/>
      <c r="B1084" s="57"/>
      <c r="C1084" s="62"/>
      <c r="F1084" s="612"/>
      <c r="G1084" s="669"/>
      <c r="H1084" s="669"/>
      <c r="I1084" s="669"/>
      <c r="J1084" s="669"/>
      <c r="K1084" s="669"/>
      <c r="L1084" s="5"/>
      <c r="M1084" s="5"/>
      <c r="N1084" s="5"/>
      <c r="O1084" s="5"/>
      <c r="P1084" s="5"/>
      <c r="Q1084" s="5"/>
      <c r="R1084" s="5"/>
      <c r="S1084" s="5"/>
      <c r="T1084" s="1175"/>
      <c r="U1084" s="5"/>
      <c r="V1084" s="1175"/>
      <c r="W1084" s="91"/>
      <c r="Y1084" s="40"/>
      <c r="Z1084" s="132"/>
      <c r="AA1084" s="9"/>
    </row>
    <row r="1085" spans="1:38" s="613" customFormat="1" ht="15" customHeight="1">
      <c r="A1085" s="53"/>
      <c r="B1085" s="2046" t="s">
        <v>649</v>
      </c>
      <c r="C1085" s="2047"/>
      <c r="D1085" s="2048"/>
      <c r="E1085" s="4"/>
      <c r="F1085" s="612" t="s">
        <v>511</v>
      </c>
      <c r="G1085" s="5"/>
      <c r="H1085" s="5"/>
      <c r="I1085" s="5"/>
      <c r="J1085" s="5"/>
      <c r="K1085" s="5"/>
      <c r="L1085" s="5"/>
      <c r="M1085" s="5"/>
      <c r="N1085" s="5"/>
      <c r="O1085" s="5"/>
      <c r="P1085" s="5"/>
      <c r="Q1085" s="5"/>
      <c r="R1085" s="5"/>
      <c r="S1085" s="5"/>
      <c r="T1085" s="1175"/>
      <c r="U1085" s="5"/>
      <c r="V1085" s="1175"/>
      <c r="W1085" s="91"/>
      <c r="X1085" s="4"/>
      <c r="Y1085" s="40"/>
      <c r="Z1085" s="218"/>
      <c r="AA1085" s="9"/>
    </row>
    <row r="1086" spans="1:38" s="613" customFormat="1" ht="15" customHeight="1">
      <c r="A1086" s="53"/>
      <c r="B1086" s="110" t="s">
        <v>510</v>
      </c>
      <c r="C1086" s="113" t="s">
        <v>106</v>
      </c>
      <c r="D1086" s="110" t="s">
        <v>469</v>
      </c>
      <c r="E1086" s="4"/>
      <c r="F1086" s="612"/>
      <c r="G1086" s="5"/>
      <c r="H1086" s="5"/>
      <c r="I1086" s="5"/>
      <c r="J1086" s="5"/>
      <c r="K1086" s="5"/>
      <c r="L1086" s="5"/>
      <c r="M1086" s="5"/>
      <c r="N1086" s="5"/>
      <c r="O1086" s="5"/>
      <c r="P1086" s="5"/>
      <c r="Q1086" s="5"/>
      <c r="R1086" s="5"/>
      <c r="S1086" s="5"/>
      <c r="T1086" s="1175"/>
      <c r="U1086" s="5"/>
      <c r="V1086" s="1175"/>
      <c r="W1086" s="91"/>
      <c r="X1086" s="4"/>
      <c r="Y1086" s="40"/>
      <c r="Z1086" s="218"/>
      <c r="AA1086" s="9"/>
    </row>
    <row r="1087" spans="1:38" s="613" customFormat="1" ht="15" customHeight="1">
      <c r="A1087" s="53"/>
      <c r="B1087" s="542" t="s">
        <v>507</v>
      </c>
      <c r="C1087" s="634" t="s">
        <v>508</v>
      </c>
      <c r="D1087" s="596">
        <v>0.41</v>
      </c>
      <c r="E1087" s="4"/>
      <c r="F1087" s="612" t="s">
        <v>512</v>
      </c>
      <c r="G1087" s="5"/>
      <c r="H1087" s="5"/>
      <c r="I1087" s="5"/>
      <c r="J1087" s="5"/>
      <c r="K1087" s="5"/>
      <c r="L1087" s="5"/>
      <c r="M1087" s="5"/>
      <c r="N1087" s="5"/>
      <c r="O1087" s="5"/>
      <c r="P1087" s="5"/>
      <c r="Q1087" s="5"/>
      <c r="R1087" s="5"/>
      <c r="S1087" s="5"/>
      <c r="T1087" s="1175"/>
      <c r="U1087" s="5"/>
      <c r="V1087" s="1175"/>
      <c r="W1087" s="91"/>
      <c r="X1087" s="4"/>
      <c r="Y1087" s="40"/>
      <c r="Z1087" s="218"/>
      <c r="AA1087" s="9"/>
    </row>
    <row r="1088" spans="1:38" s="613" customFormat="1" ht="15" customHeight="1">
      <c r="A1088" s="53"/>
      <c r="B1088" s="542" t="s">
        <v>509</v>
      </c>
      <c r="C1088" s="634" t="s">
        <v>508</v>
      </c>
      <c r="D1088" s="596">
        <v>0.08</v>
      </c>
      <c r="E1088" s="4"/>
      <c r="F1088" s="612"/>
      <c r="G1088" s="5"/>
      <c r="H1088" s="5"/>
      <c r="I1088" s="5"/>
      <c r="J1088" s="5"/>
      <c r="K1088" s="5"/>
      <c r="L1088" s="5"/>
      <c r="M1088" s="5"/>
      <c r="N1088" s="5"/>
      <c r="O1088" s="5"/>
      <c r="P1088" s="5"/>
      <c r="Q1088" s="5"/>
      <c r="R1088" s="5"/>
      <c r="S1088" s="5"/>
      <c r="T1088" s="1175"/>
      <c r="U1088" s="5"/>
      <c r="V1088" s="1175"/>
      <c r="W1088" s="91"/>
      <c r="X1088" s="4"/>
      <c r="Y1088" s="40"/>
      <c r="Z1088" s="218"/>
      <c r="AA1088" s="9"/>
    </row>
    <row r="1089" spans="1:38" s="613" customFormat="1" ht="15" customHeight="1">
      <c r="A1089" s="53"/>
      <c r="B1089" s="542" t="s">
        <v>791</v>
      </c>
      <c r="C1089" s="618" t="s">
        <v>747</v>
      </c>
      <c r="D1089" s="596">
        <v>0.33</v>
      </c>
      <c r="E1089" s="4"/>
      <c r="F1089" s="612"/>
      <c r="G1089" s="5"/>
      <c r="H1089" s="5"/>
      <c r="I1089" s="5"/>
      <c r="J1089" s="5"/>
      <c r="K1089" s="5"/>
      <c r="L1089" s="5"/>
      <c r="M1089" s="5"/>
      <c r="N1089" s="5"/>
      <c r="O1089" s="5"/>
      <c r="P1089" s="5"/>
      <c r="Q1089" s="5"/>
      <c r="R1089" s="5"/>
      <c r="S1089" s="5"/>
      <c r="T1089" s="1175"/>
      <c r="U1089" s="5"/>
      <c r="V1089" s="1175"/>
      <c r="W1089" s="91"/>
      <c r="X1089" s="4"/>
      <c r="Y1089" s="40"/>
      <c r="Z1089" s="218"/>
      <c r="AA1089" s="9"/>
    </row>
    <row r="1090" spans="1:38" s="613" customFormat="1" ht="15" customHeight="1">
      <c r="A1090" s="53"/>
      <c r="B1090" s="542" t="s">
        <v>792</v>
      </c>
      <c r="C1090" s="618" t="s">
        <v>747</v>
      </c>
      <c r="D1090" s="596">
        <v>0.16</v>
      </c>
      <c r="E1090" s="4"/>
      <c r="F1090" s="4"/>
      <c r="G1090" s="5"/>
      <c r="H1090" s="5"/>
      <c r="I1090" s="5"/>
      <c r="J1090" s="5"/>
      <c r="K1090" s="5"/>
      <c r="L1090" s="5"/>
      <c r="M1090" s="5"/>
      <c r="N1090" s="5"/>
      <c r="O1090" s="5"/>
      <c r="P1090" s="5"/>
      <c r="Q1090" s="5"/>
      <c r="R1090" s="5"/>
      <c r="S1090" s="5"/>
      <c r="T1090" s="1175"/>
      <c r="U1090" s="5"/>
      <c r="V1090" s="1175"/>
      <c r="W1090" s="91"/>
      <c r="X1090" s="4"/>
      <c r="Y1090" s="40"/>
      <c r="Z1090" s="218"/>
      <c r="AA1090" s="9"/>
    </row>
    <row r="1091" spans="1:38" s="613" customFormat="1" ht="15" customHeight="1">
      <c r="A1091" s="53"/>
      <c r="B1091" s="57"/>
      <c r="C1091" s="62"/>
      <c r="D1091" s="4"/>
      <c r="E1091" s="4"/>
      <c r="F1091" s="4"/>
      <c r="G1091" s="5"/>
      <c r="H1091" s="5"/>
      <c r="I1091" s="5"/>
      <c r="J1091" s="5"/>
      <c r="K1091" s="5"/>
      <c r="L1091" s="5"/>
      <c r="M1091" s="5"/>
      <c r="N1091" s="5"/>
      <c r="O1091" s="5"/>
      <c r="P1091" s="5"/>
      <c r="Q1091" s="5"/>
      <c r="R1091" s="5"/>
      <c r="S1091" s="5"/>
      <c r="T1091" s="1175"/>
      <c r="U1091" s="5"/>
      <c r="V1091" s="1175"/>
      <c r="W1091" s="91"/>
      <c r="X1091" s="4"/>
      <c r="Y1091" s="40"/>
      <c r="Z1091" s="218"/>
      <c r="AA1091" s="9"/>
    </row>
    <row r="1092" spans="1:38" s="613" customFormat="1" ht="15" customHeight="1">
      <c r="A1092" s="53"/>
      <c r="B1092" s="199" t="s">
        <v>1077</v>
      </c>
      <c r="C1092" s="1908" t="s">
        <v>228</v>
      </c>
      <c r="D1092" s="1909"/>
      <c r="E1092" s="1910"/>
      <c r="F1092"/>
      <c r="G1092" s="5"/>
      <c r="H1092" s="5"/>
      <c r="I1092" s="5"/>
      <c r="J1092" s="5"/>
      <c r="K1092" s="5"/>
      <c r="L1092" s="5"/>
      <c r="M1092" s="5"/>
      <c r="N1092" s="5"/>
      <c r="O1092" s="5"/>
      <c r="P1092" s="5"/>
      <c r="Q1092" s="5"/>
      <c r="R1092" s="5"/>
      <c r="S1092" s="5"/>
      <c r="T1092" s="1175"/>
      <c r="U1092" s="5"/>
      <c r="V1092" s="1175"/>
      <c r="W1092" s="93"/>
      <c r="X1092" s="4"/>
      <c r="Y1092" s="40"/>
      <c r="Z1092" s="2062" t="s">
        <v>35</v>
      </c>
      <c r="AA1092" s="75"/>
      <c r="AB1092" s="33"/>
      <c r="AC1092" s="33"/>
      <c r="AD1092" s="33"/>
      <c r="AE1092" s="33"/>
      <c r="AF1092" s="33"/>
      <c r="AG1092" s="33"/>
      <c r="AH1092" s="33"/>
      <c r="AI1092" s="33"/>
      <c r="AJ1092" s="33"/>
      <c r="AK1092" s="33"/>
      <c r="AL1092" s="33"/>
    </row>
    <row r="1093" spans="1:38" s="613" customFormat="1" ht="15" customHeight="1">
      <c r="A1093" s="53"/>
      <c r="B1093" s="140" t="s">
        <v>29</v>
      </c>
      <c r="C1093" s="139" t="s">
        <v>112</v>
      </c>
      <c r="D1093" s="139" t="s">
        <v>113</v>
      </c>
      <c r="E1093" s="115" t="s">
        <v>5</v>
      </c>
      <c r="F1093"/>
      <c r="G1093" s="5"/>
      <c r="H1093" s="5"/>
      <c r="I1093" s="5"/>
      <c r="J1093" s="5"/>
      <c r="K1093" s="5"/>
      <c r="L1093" s="5"/>
      <c r="M1093" s="5"/>
      <c r="N1093" s="5"/>
      <c r="O1093" s="5"/>
      <c r="P1093" s="5"/>
      <c r="Q1093" s="5"/>
      <c r="R1093" s="5"/>
      <c r="S1093" s="5"/>
      <c r="T1093" s="1175"/>
      <c r="U1093" s="5"/>
      <c r="V1093" s="1175"/>
      <c r="W1093" s="93"/>
      <c r="X1093" s="4"/>
      <c r="Y1093" s="53"/>
      <c r="Z1093" s="2062"/>
      <c r="AA1093" s="17"/>
      <c r="AB1093" s="33"/>
      <c r="AC1093" s="33"/>
      <c r="AD1093" s="33"/>
      <c r="AE1093" s="33"/>
      <c r="AF1093" s="33"/>
      <c r="AG1093" s="33"/>
      <c r="AH1093" s="33"/>
      <c r="AI1093" s="33"/>
      <c r="AJ1093" s="33"/>
      <c r="AK1093" s="33"/>
      <c r="AL1093" s="33"/>
    </row>
    <row r="1094" spans="1:38" s="613" customFormat="1" ht="15" customHeight="1">
      <c r="A1094" s="53"/>
      <c r="B1094" s="1547" t="s">
        <v>117</v>
      </c>
      <c r="C1094" s="1547">
        <v>0</v>
      </c>
      <c r="D1094" s="1547">
        <v>5</v>
      </c>
      <c r="E1094" s="1574" t="s">
        <v>2128</v>
      </c>
      <c r="F1094"/>
      <c r="G1094" s="5"/>
      <c r="H1094" s="5"/>
      <c r="I1094" s="5"/>
      <c r="J1094" s="5"/>
      <c r="K1094" s="5"/>
      <c r="L1094" s="5"/>
      <c r="M1094" s="5"/>
      <c r="N1094" s="5"/>
      <c r="O1094" s="5"/>
      <c r="P1094" s="5"/>
      <c r="Q1094" s="5"/>
      <c r="R1094" s="5"/>
      <c r="S1094" s="5"/>
      <c r="T1094" s="1175"/>
      <c r="U1094" s="5"/>
      <c r="V1094" s="1175"/>
      <c r="W1094" s="93"/>
      <c r="X1094" s="4"/>
      <c r="Y1094" s="76"/>
      <c r="Z1094" s="132"/>
      <c r="AA1094" s="17"/>
      <c r="AB1094" s="33"/>
      <c r="AC1094" s="33"/>
      <c r="AD1094" s="33"/>
      <c r="AE1094" s="33"/>
      <c r="AF1094" s="33"/>
      <c r="AG1094" s="33"/>
      <c r="AH1094" s="33"/>
      <c r="AI1094" s="33"/>
      <c r="AJ1094" s="33"/>
      <c r="AK1094" s="33"/>
      <c r="AL1094" s="33"/>
    </row>
    <row r="1095" spans="1:38" s="333" customFormat="1" ht="15" customHeight="1">
      <c r="A1095" s="53"/>
      <c r="B1095" s="1547" t="s">
        <v>118</v>
      </c>
      <c r="C1095" s="1547">
        <v>5</v>
      </c>
      <c r="D1095" s="1547">
        <v>50000</v>
      </c>
      <c r="E1095" s="1549">
        <v>2.12E-2</v>
      </c>
      <c r="F1095"/>
      <c r="G1095" s="5"/>
      <c r="H1095" s="5"/>
      <c r="I1095" s="5"/>
      <c r="J1095" s="5"/>
      <c r="K1095" s="5"/>
      <c r="L1095" s="5"/>
      <c r="M1095" s="5"/>
      <c r="N1095" s="5"/>
      <c r="O1095" s="5"/>
      <c r="P1095" s="5"/>
      <c r="Q1095" s="5"/>
      <c r="R1095" s="5"/>
      <c r="S1095" s="5"/>
      <c r="T1095" s="1175"/>
      <c r="U1095" s="5"/>
      <c r="V1095" s="1175"/>
      <c r="W1095" s="93"/>
      <c r="X1095" s="4"/>
      <c r="Y1095" s="76"/>
      <c r="Z1095" s="132"/>
      <c r="AA1095" s="17"/>
      <c r="AB1095" s="33"/>
      <c r="AC1095" s="33"/>
      <c r="AD1095" s="33"/>
      <c r="AE1095" s="33"/>
      <c r="AF1095" s="33"/>
      <c r="AG1095" s="33"/>
      <c r="AH1095" s="33"/>
      <c r="AI1095" s="33"/>
      <c r="AJ1095" s="33"/>
      <c r="AK1095" s="33"/>
      <c r="AL1095" s="33"/>
    </row>
    <row r="1096" spans="1:38" s="333" customFormat="1" ht="15" customHeight="1">
      <c r="A1096" s="53"/>
      <c r="B1096" s="1547" t="s">
        <v>114</v>
      </c>
      <c r="C1096" s="1547">
        <v>50000</v>
      </c>
      <c r="D1096" s="1547">
        <v>500000</v>
      </c>
      <c r="E1096" s="1549">
        <v>2.0299999999999999E-2</v>
      </c>
      <c r="F1096"/>
      <c r="G1096" s="5"/>
      <c r="H1096" s="5"/>
      <c r="I1096" s="5"/>
      <c r="J1096" s="5"/>
      <c r="K1096" s="5"/>
      <c r="L1096" s="5"/>
      <c r="M1096" s="5"/>
      <c r="N1096" s="5"/>
      <c r="O1096" s="5"/>
      <c r="P1096" s="5"/>
      <c r="Q1096" s="5"/>
      <c r="R1096" s="5"/>
      <c r="S1096" s="5"/>
      <c r="T1096" s="1175"/>
      <c r="U1096" s="5"/>
      <c r="V1096" s="1175"/>
      <c r="W1096" s="93"/>
      <c r="X1096" s="4"/>
      <c r="Y1096" s="76"/>
      <c r="Z1096" s="132"/>
      <c r="AA1096" s="17"/>
      <c r="AB1096" s="33"/>
      <c r="AC1096" s="33"/>
      <c r="AD1096" s="33"/>
      <c r="AE1096" s="33"/>
      <c r="AF1096" s="33"/>
      <c r="AG1096" s="33"/>
      <c r="AH1096" s="33"/>
      <c r="AI1096" s="33"/>
      <c r="AJ1096" s="33"/>
      <c r="AK1096" s="33"/>
      <c r="AL1096" s="33"/>
    </row>
    <row r="1097" spans="1:38" s="333" customFormat="1" ht="15" customHeight="1">
      <c r="A1097" s="53"/>
      <c r="B1097" s="1547" t="s">
        <v>115</v>
      </c>
      <c r="C1097" s="1547">
        <v>500000</v>
      </c>
      <c r="D1097" s="1547">
        <v>5000000</v>
      </c>
      <c r="E1097" s="1549">
        <v>1.95E-2</v>
      </c>
      <c r="F1097"/>
      <c r="G1097" s="5"/>
      <c r="H1097" s="5"/>
      <c r="I1097" s="5"/>
      <c r="J1097" s="5"/>
      <c r="K1097" s="5"/>
      <c r="L1097" s="5"/>
      <c r="M1097" s="5"/>
      <c r="N1097" s="5"/>
      <c r="O1097" s="5"/>
      <c r="P1097" s="5"/>
      <c r="Q1097" s="5"/>
      <c r="R1097" s="5"/>
      <c r="S1097" s="5"/>
      <c r="T1097" s="1175"/>
      <c r="U1097" s="5"/>
      <c r="V1097" s="1175"/>
      <c r="W1097" s="93"/>
      <c r="X1097" s="4"/>
      <c r="Y1097" s="76"/>
      <c r="Z1097" s="132"/>
      <c r="AA1097" s="17"/>
      <c r="AB1097" s="33"/>
      <c r="AC1097" s="33"/>
      <c r="AD1097" s="33"/>
      <c r="AE1097" s="33"/>
      <c r="AF1097" s="33"/>
      <c r="AG1097" s="33"/>
      <c r="AH1097" s="33"/>
      <c r="AI1097" s="33"/>
      <c r="AJ1097" s="33"/>
      <c r="AK1097" s="33"/>
      <c r="AL1097" s="33"/>
    </row>
    <row r="1098" spans="1:38" s="333" customFormat="1" ht="15" customHeight="1">
      <c r="A1098" s="53"/>
      <c r="B1098" s="1547"/>
      <c r="C1098" s="1547">
        <v>5000000</v>
      </c>
      <c r="D1098" s="1547">
        <v>10000000</v>
      </c>
      <c r="E1098" s="1549">
        <v>1.95E-2</v>
      </c>
      <c r="F1098"/>
      <c r="G1098" s="5"/>
      <c r="H1098" s="5"/>
      <c r="I1098" s="5"/>
      <c r="J1098" s="5"/>
      <c r="K1098" s="5"/>
      <c r="L1098" s="5"/>
      <c r="M1098" s="5"/>
      <c r="N1098" s="5"/>
      <c r="O1098" s="5"/>
      <c r="P1098" s="5"/>
      <c r="Q1098" s="5"/>
      <c r="R1098" s="5"/>
      <c r="S1098" s="5"/>
      <c r="T1098" s="1175"/>
      <c r="U1098" s="5"/>
      <c r="V1098" s="1175"/>
      <c r="W1098" s="93"/>
      <c r="X1098" s="4"/>
      <c r="Y1098" s="77"/>
      <c r="Z1098" s="132"/>
      <c r="AA1098" s="17"/>
      <c r="AB1098" s="33"/>
      <c r="AC1098" s="33"/>
      <c r="AD1098" s="33"/>
      <c r="AE1098" s="33"/>
      <c r="AF1098" s="33"/>
      <c r="AG1098" s="33"/>
      <c r="AH1098" s="33"/>
      <c r="AI1098" s="33"/>
      <c r="AJ1098" s="33"/>
      <c r="AK1098" s="33"/>
      <c r="AL1098" s="33"/>
    </row>
    <row r="1099" spans="1:38" s="333" customFormat="1" ht="15" customHeight="1">
      <c r="A1099" s="53"/>
      <c r="B1099" s="1547"/>
      <c r="C1099" s="1547">
        <v>10000000</v>
      </c>
      <c r="D1099" s="1547">
        <v>200000000</v>
      </c>
      <c r="E1099" s="1549">
        <v>1.95E-2</v>
      </c>
      <c r="F1099"/>
      <c r="G1099" s="5"/>
      <c r="H1099" s="5"/>
      <c r="I1099" s="5"/>
      <c r="J1099" s="5"/>
      <c r="K1099" s="5"/>
      <c r="L1099" s="5"/>
      <c r="M1099" s="5"/>
      <c r="N1099" s="5"/>
      <c r="O1099" s="5"/>
      <c r="P1099" s="5"/>
      <c r="Q1099" s="5"/>
      <c r="R1099" s="5"/>
      <c r="S1099" s="5"/>
      <c r="T1099" s="1175"/>
      <c r="U1099" s="5"/>
      <c r="V1099" s="1175"/>
      <c r="W1099" s="93"/>
      <c r="X1099" s="4"/>
      <c r="Y1099" s="77"/>
      <c r="Z1099" s="132"/>
      <c r="AA1099" s="17"/>
      <c r="AB1099" s="33"/>
      <c r="AC1099" s="33"/>
      <c r="AD1099" s="33"/>
      <c r="AE1099" s="33"/>
      <c r="AF1099" s="33"/>
      <c r="AG1099" s="33"/>
      <c r="AH1099" s="33"/>
      <c r="AI1099" s="33"/>
      <c r="AJ1099" s="33"/>
      <c r="AK1099" s="33"/>
      <c r="AL1099" s="33"/>
    </row>
    <row r="1100" spans="1:38" s="333" customFormat="1" ht="15" customHeight="1">
      <c r="A1100" s="53"/>
      <c r="B1100" s="1547"/>
      <c r="C1100" s="1550"/>
      <c r="D1100" s="1580"/>
      <c r="E1100" s="1581"/>
      <c r="F1100"/>
      <c r="G1100" s="5"/>
      <c r="H1100" s="5"/>
      <c r="I1100" s="5"/>
      <c r="J1100" s="5"/>
      <c r="K1100" s="5"/>
      <c r="L1100" s="5"/>
      <c r="M1100" s="5"/>
      <c r="N1100" s="5"/>
      <c r="O1100" s="5"/>
      <c r="P1100" s="5"/>
      <c r="Q1100" s="5"/>
      <c r="R1100" s="5"/>
      <c r="S1100" s="5"/>
      <c r="T1100" s="1175"/>
      <c r="U1100" s="5"/>
      <c r="V1100" s="1175"/>
      <c r="W1100" s="93"/>
      <c r="X1100" s="33"/>
      <c r="Y1100" s="16"/>
      <c r="Z1100" s="132"/>
      <c r="AA1100" s="20"/>
      <c r="AB1100" s="33"/>
      <c r="AC1100" s="33"/>
      <c r="AD1100" s="33"/>
      <c r="AE1100" s="33"/>
      <c r="AF1100" s="33"/>
      <c r="AG1100" s="33"/>
      <c r="AH1100" s="33"/>
      <c r="AI1100" s="33"/>
      <c r="AJ1100" s="33"/>
      <c r="AK1100" s="33"/>
      <c r="AL1100" s="33"/>
    </row>
    <row r="1101" spans="1:38" s="333" customFormat="1" ht="15" customHeight="1">
      <c r="A1101" s="53"/>
      <c r="B1101" s="224"/>
      <c r="C1101" s="223"/>
      <c r="D1101" s="569"/>
      <c r="E1101" s="569"/>
      <c r="F1101" s="1489"/>
      <c r="G1101" s="5"/>
      <c r="H1101" s="5"/>
      <c r="I1101" s="5"/>
      <c r="J1101" s="5"/>
      <c r="K1101" s="5"/>
      <c r="L1101" s="5"/>
      <c r="M1101" s="5"/>
      <c r="N1101" s="5"/>
      <c r="O1101" s="5"/>
      <c r="P1101" s="5"/>
      <c r="Q1101" s="5"/>
      <c r="R1101" s="5"/>
      <c r="S1101" s="5"/>
      <c r="T1101" s="1175"/>
      <c r="U1101" s="5"/>
      <c r="V1101" s="1175"/>
      <c r="W1101" s="93"/>
      <c r="X1101" s="613"/>
      <c r="Y1101" s="16"/>
      <c r="Z1101" s="218"/>
      <c r="AA1101" s="20"/>
      <c r="AB1101" s="613"/>
      <c r="AC1101" s="613"/>
      <c r="AD1101" s="613"/>
      <c r="AE1101" s="613"/>
      <c r="AF1101" s="613"/>
      <c r="AG1101" s="613"/>
      <c r="AH1101" s="613"/>
      <c r="AI1101" s="613"/>
      <c r="AJ1101" s="613"/>
      <c r="AK1101" s="613"/>
      <c r="AL1101" s="613"/>
    </row>
    <row r="1102" spans="1:38" s="333" customFormat="1" ht="30" customHeight="1">
      <c r="A1102" s="53"/>
      <c r="B1102" s="199" t="s">
        <v>1542</v>
      </c>
      <c r="C1102" s="1908" t="s">
        <v>1538</v>
      </c>
      <c r="D1102" s="1909"/>
      <c r="E1102" s="1910"/>
      <c r="F1102" s="1489"/>
      <c r="G1102" s="5"/>
      <c r="H1102" s="5"/>
      <c r="I1102" s="5"/>
      <c r="J1102" s="5"/>
      <c r="K1102" s="5"/>
      <c r="L1102" s="5"/>
      <c r="M1102" s="5"/>
      <c r="N1102" s="5"/>
      <c r="O1102" s="5"/>
      <c r="P1102" s="5"/>
      <c r="Q1102" s="5"/>
      <c r="R1102" s="5"/>
      <c r="S1102" s="5"/>
      <c r="T1102" s="1175"/>
      <c r="U1102" s="5"/>
      <c r="V1102" s="1175"/>
      <c r="W1102" s="93"/>
      <c r="X1102" s="613"/>
      <c r="Y1102" s="16"/>
      <c r="Z1102" s="218"/>
      <c r="AA1102" s="20"/>
      <c r="AB1102" s="613"/>
      <c r="AC1102" s="613"/>
      <c r="AD1102" s="613"/>
      <c r="AE1102" s="613"/>
      <c r="AF1102" s="613"/>
      <c r="AG1102" s="613"/>
      <c r="AH1102" s="613"/>
      <c r="AI1102" s="613"/>
      <c r="AJ1102" s="613"/>
      <c r="AK1102" s="613"/>
      <c r="AL1102" s="613"/>
    </row>
    <row r="1103" spans="1:38" s="333" customFormat="1" ht="15" customHeight="1">
      <c r="A1103" s="53"/>
      <c r="B1103" s="1597" t="s">
        <v>29</v>
      </c>
      <c r="C1103" s="1718" t="s">
        <v>112</v>
      </c>
      <c r="D1103" s="1718" t="s">
        <v>113</v>
      </c>
      <c r="E1103" s="1719" t="s">
        <v>5</v>
      </c>
      <c r="F1103" s="1489"/>
      <c r="G1103" s="5"/>
      <c r="H1103" s="5"/>
      <c r="I1103" s="5"/>
      <c r="J1103" s="5"/>
      <c r="K1103" s="5"/>
      <c r="L1103" s="5"/>
      <c r="M1103" s="5"/>
      <c r="N1103" s="5"/>
      <c r="O1103" s="5"/>
      <c r="P1103" s="5"/>
      <c r="Q1103" s="5"/>
      <c r="R1103" s="5"/>
      <c r="S1103" s="5"/>
      <c r="T1103" s="1175"/>
      <c r="U1103" s="5"/>
      <c r="V1103" s="1175"/>
      <c r="W1103" s="93"/>
      <c r="X1103" s="613"/>
      <c r="Y1103" s="16"/>
      <c r="Z1103" s="218"/>
      <c r="AA1103" s="20"/>
      <c r="AB1103" s="613"/>
      <c r="AC1103" s="613"/>
      <c r="AD1103" s="613"/>
      <c r="AE1103" s="613"/>
      <c r="AF1103" s="613"/>
      <c r="AG1103" s="613"/>
      <c r="AH1103" s="613"/>
      <c r="AI1103" s="613"/>
      <c r="AJ1103" s="613"/>
      <c r="AK1103" s="613"/>
      <c r="AL1103" s="613"/>
    </row>
    <row r="1104" spans="1:38" s="333" customFormat="1" ht="15" customHeight="1">
      <c r="A1104" s="53"/>
      <c r="B1104" s="1547" t="s">
        <v>117</v>
      </c>
      <c r="C1104" s="1547">
        <v>0</v>
      </c>
      <c r="D1104" s="1547">
        <v>5</v>
      </c>
      <c r="E1104" s="1582">
        <v>0</v>
      </c>
      <c r="F1104" s="1489"/>
      <c r="G1104" s="5"/>
      <c r="H1104" s="5"/>
      <c r="I1104" s="5"/>
      <c r="J1104" s="5"/>
      <c r="K1104" s="5"/>
      <c r="L1104" s="5"/>
      <c r="M1104" s="5"/>
      <c r="N1104" s="5"/>
      <c r="O1104" s="5"/>
      <c r="P1104" s="5"/>
      <c r="Q1104" s="5"/>
      <c r="R1104" s="5"/>
      <c r="S1104" s="5"/>
      <c r="T1104" s="1175"/>
      <c r="U1104" s="5"/>
      <c r="V1104" s="1175"/>
      <c r="W1104" s="93"/>
      <c r="X1104" s="613"/>
      <c r="Y1104" s="16"/>
      <c r="Z1104" s="218"/>
      <c r="AA1104" s="20"/>
      <c r="AB1104" s="613"/>
      <c r="AC1104" s="613"/>
      <c r="AD1104" s="613"/>
      <c r="AE1104" s="613"/>
      <c r="AF1104" s="613"/>
      <c r="AG1104" s="613"/>
      <c r="AH1104" s="613"/>
      <c r="AI1104" s="613"/>
      <c r="AJ1104" s="613"/>
      <c r="AK1104" s="613"/>
      <c r="AL1104" s="613"/>
    </row>
    <row r="1105" spans="1:38" s="333" customFormat="1" ht="15" customHeight="1">
      <c r="A1105" s="53"/>
      <c r="B1105" s="1547" t="s">
        <v>118</v>
      </c>
      <c r="C1105" s="1547">
        <v>5</v>
      </c>
      <c r="D1105" s="1547">
        <v>50000</v>
      </c>
      <c r="E1105" s="1549">
        <v>2.12E-2</v>
      </c>
      <c r="F1105" s="1489"/>
      <c r="G1105" s="5"/>
      <c r="H1105" s="5"/>
      <c r="I1105" s="5"/>
      <c r="J1105" s="5"/>
      <c r="K1105" s="5"/>
      <c r="L1105" s="5"/>
      <c r="M1105" s="5"/>
      <c r="N1105" s="5"/>
      <c r="O1105" s="5"/>
      <c r="P1105" s="5"/>
      <c r="Q1105" s="5"/>
      <c r="R1105" s="5"/>
      <c r="S1105" s="5"/>
      <c r="T1105" s="1175"/>
      <c r="U1105" s="5"/>
      <c r="V1105" s="1175"/>
      <c r="W1105" s="93"/>
      <c r="X1105" s="613"/>
      <c r="Y1105" s="16"/>
      <c r="Z1105" s="218"/>
      <c r="AA1105" s="20"/>
      <c r="AB1105" s="613"/>
      <c r="AC1105" s="613"/>
      <c r="AD1105" s="613"/>
      <c r="AE1105" s="613"/>
      <c r="AF1105" s="613"/>
      <c r="AG1105" s="613"/>
      <c r="AH1105" s="613"/>
      <c r="AI1105" s="613"/>
      <c r="AJ1105" s="613"/>
      <c r="AK1105" s="613"/>
      <c r="AL1105" s="613"/>
    </row>
    <row r="1106" spans="1:38" s="333" customFormat="1" ht="15" customHeight="1">
      <c r="A1106" s="53"/>
      <c r="B1106" s="1547" t="s">
        <v>114</v>
      </c>
      <c r="C1106" s="1547">
        <v>50000</v>
      </c>
      <c r="D1106" s="1547">
        <v>500000</v>
      </c>
      <c r="E1106" s="1549">
        <v>2.0299999999999999E-2</v>
      </c>
      <c r="F1106" s="1489"/>
      <c r="G1106" s="5"/>
      <c r="H1106" s="5"/>
      <c r="I1106" s="5"/>
      <c r="J1106" s="5"/>
      <c r="K1106" s="5"/>
      <c r="L1106" s="5"/>
      <c r="M1106" s="5"/>
      <c r="N1106" s="5"/>
      <c r="O1106" s="5"/>
      <c r="P1106" s="5"/>
      <c r="Q1106" s="5"/>
      <c r="R1106" s="5"/>
      <c r="S1106" s="5"/>
      <c r="T1106" s="1175"/>
      <c r="U1106" s="5"/>
      <c r="V1106" s="1175"/>
      <c r="W1106" s="93"/>
      <c r="X1106" s="613"/>
      <c r="Y1106" s="16"/>
      <c r="Z1106" s="218"/>
      <c r="AA1106" s="20"/>
      <c r="AB1106" s="613"/>
      <c r="AC1106" s="613"/>
      <c r="AD1106" s="613"/>
      <c r="AE1106" s="613"/>
      <c r="AF1106" s="613"/>
      <c r="AG1106" s="613"/>
      <c r="AH1106" s="613"/>
      <c r="AI1106" s="613"/>
      <c r="AJ1106" s="613"/>
      <c r="AK1106" s="613"/>
      <c r="AL1106" s="613"/>
    </row>
    <row r="1107" spans="1:38" s="333" customFormat="1" ht="15" customHeight="1">
      <c r="A1107" s="53"/>
      <c r="B1107" s="1547" t="s">
        <v>115</v>
      </c>
      <c r="C1107" s="1547">
        <v>500000</v>
      </c>
      <c r="D1107" s="1547">
        <v>5000000</v>
      </c>
      <c r="E1107" s="1549">
        <v>1.95E-2</v>
      </c>
      <c r="F1107" s="1489"/>
      <c r="G1107" s="5"/>
      <c r="H1107" s="5"/>
      <c r="I1107" s="5"/>
      <c r="J1107" s="5"/>
      <c r="K1107" s="5"/>
      <c r="L1107" s="5"/>
      <c r="M1107" s="5"/>
      <c r="N1107" s="5"/>
      <c r="O1107" s="5"/>
      <c r="P1107" s="5"/>
      <c r="Q1107" s="5"/>
      <c r="R1107" s="5"/>
      <c r="S1107" s="5"/>
      <c r="T1107" s="1175"/>
      <c r="U1107" s="5"/>
      <c r="V1107" s="1175"/>
      <c r="W1107" s="93"/>
      <c r="X1107" s="613"/>
      <c r="Y1107" s="16"/>
      <c r="Z1107" s="218"/>
      <c r="AA1107" s="20"/>
      <c r="AB1107" s="613"/>
      <c r="AC1107" s="613"/>
      <c r="AD1107" s="613"/>
      <c r="AE1107" s="613"/>
      <c r="AF1107" s="613"/>
      <c r="AG1107" s="613"/>
      <c r="AH1107" s="613"/>
      <c r="AI1107" s="613"/>
      <c r="AJ1107" s="613"/>
      <c r="AK1107" s="613"/>
      <c r="AL1107" s="613"/>
    </row>
    <row r="1108" spans="1:38" s="333" customFormat="1" ht="15" customHeight="1">
      <c r="A1108" s="53"/>
      <c r="B1108" s="1547"/>
      <c r="C1108" s="1547">
        <v>5000000</v>
      </c>
      <c r="D1108" s="1547">
        <v>10000000</v>
      </c>
      <c r="E1108" s="1549">
        <v>1.95E-2</v>
      </c>
      <c r="F1108" s="1489"/>
      <c r="G1108" s="5"/>
      <c r="H1108" s="5"/>
      <c r="I1108" s="5"/>
      <c r="J1108" s="5"/>
      <c r="K1108" s="5"/>
      <c r="L1108" s="5"/>
      <c r="M1108" s="5"/>
      <c r="N1108" s="5"/>
      <c r="O1108" s="5"/>
      <c r="P1108" s="5"/>
      <c r="Q1108" s="5"/>
      <c r="R1108" s="5"/>
      <c r="S1108" s="5"/>
      <c r="T1108" s="1175"/>
      <c r="U1108" s="5"/>
      <c r="V1108" s="1175"/>
      <c r="W1108" s="93"/>
      <c r="X1108" s="613"/>
      <c r="Y1108" s="16"/>
      <c r="Z1108" s="218"/>
      <c r="AA1108" s="20"/>
      <c r="AB1108" s="613"/>
      <c r="AC1108" s="613"/>
      <c r="AD1108" s="613"/>
      <c r="AE1108" s="613"/>
      <c r="AF1108" s="613"/>
      <c r="AG1108" s="613"/>
      <c r="AH1108" s="613"/>
      <c r="AI1108" s="613"/>
      <c r="AJ1108" s="613"/>
      <c r="AK1108" s="613"/>
      <c r="AL1108" s="613"/>
    </row>
    <row r="1109" spans="1:38" s="333" customFormat="1" ht="15" customHeight="1">
      <c r="A1109" s="53"/>
      <c r="B1109" s="1547"/>
      <c r="C1109" s="1547">
        <v>10000000</v>
      </c>
      <c r="D1109" s="1547">
        <v>200000000</v>
      </c>
      <c r="E1109" s="1549">
        <v>1.95E-2</v>
      </c>
      <c r="F1109" s="1489"/>
      <c r="G1109" s="5"/>
      <c r="H1109" s="5"/>
      <c r="I1109" s="5"/>
      <c r="J1109" s="5"/>
      <c r="K1109" s="5"/>
      <c r="L1109" s="5"/>
      <c r="M1109" s="5"/>
      <c r="N1109" s="5"/>
      <c r="O1109" s="5"/>
      <c r="P1109" s="5"/>
      <c r="Q1109" s="5"/>
      <c r="R1109" s="5"/>
      <c r="S1109" s="5"/>
      <c r="T1109" s="1175"/>
      <c r="U1109" s="5"/>
      <c r="V1109" s="1175"/>
      <c r="W1109" s="93"/>
      <c r="X1109" s="613"/>
      <c r="Y1109" s="16"/>
      <c r="Z1109" s="218"/>
      <c r="AA1109" s="20"/>
      <c r="AB1109" s="613"/>
      <c r="AC1109" s="613"/>
      <c r="AD1109" s="613"/>
      <c r="AE1109" s="613"/>
      <c r="AF1109" s="613"/>
      <c r="AG1109" s="613"/>
      <c r="AH1109" s="613"/>
      <c r="AI1109" s="613"/>
      <c r="AJ1109" s="613"/>
      <c r="AK1109" s="613"/>
      <c r="AL1109" s="613"/>
    </row>
    <row r="1110" spans="1:38" s="333" customFormat="1" ht="15" customHeight="1">
      <c r="A1110" s="53"/>
      <c r="B1110" s="1489"/>
      <c r="C1110" s="1489"/>
      <c r="D1110" s="1489"/>
      <c r="E1110" s="1489"/>
      <c r="F1110" s="613"/>
      <c r="G1110" s="5"/>
      <c r="H1110" s="5"/>
      <c r="I1110" s="5"/>
      <c r="J1110" s="5"/>
      <c r="K1110" s="5"/>
      <c r="L1110" s="5"/>
      <c r="M1110" s="5"/>
      <c r="N1110" s="5"/>
      <c r="O1110" s="5"/>
      <c r="P1110" s="5"/>
      <c r="Q1110" s="5"/>
      <c r="R1110" s="5"/>
      <c r="S1110" s="5"/>
      <c r="T1110" s="1175"/>
      <c r="U1110" s="5"/>
      <c r="V1110" s="1175"/>
      <c r="W1110" s="93"/>
      <c r="X1110" s="613"/>
      <c r="Y1110" s="16"/>
      <c r="Z1110" s="218"/>
      <c r="AA1110" s="20"/>
      <c r="AB1110" s="613"/>
      <c r="AC1110" s="613"/>
      <c r="AD1110" s="613"/>
      <c r="AE1110" s="613"/>
      <c r="AF1110" s="613"/>
      <c r="AG1110" s="613"/>
      <c r="AH1110" s="613"/>
      <c r="AI1110" s="613"/>
      <c r="AJ1110" s="613"/>
      <c r="AK1110" s="613"/>
      <c r="AL1110" s="613"/>
    </row>
    <row r="1111" spans="1:38" s="333" customFormat="1" ht="15" customHeight="1">
      <c r="A1111" s="53"/>
      <c r="B1111" s="224"/>
      <c r="C1111" s="223"/>
      <c r="D1111" s="569"/>
      <c r="E1111" s="569"/>
      <c r="F1111" s="4"/>
      <c r="G1111" s="5"/>
      <c r="H1111" s="5"/>
      <c r="I1111" s="5"/>
      <c r="J1111" s="5"/>
      <c r="K1111" s="5"/>
      <c r="L1111" s="5"/>
      <c r="M1111" s="5"/>
      <c r="N1111" s="5"/>
      <c r="O1111" s="5"/>
      <c r="P1111" s="5"/>
      <c r="Q1111" s="5"/>
      <c r="R1111" s="5"/>
      <c r="S1111" s="5"/>
      <c r="T1111" s="1175"/>
      <c r="U1111" s="5"/>
      <c r="V1111" s="1175"/>
      <c r="W1111" s="93"/>
      <c r="Y1111" s="16"/>
      <c r="Z1111" s="218"/>
      <c r="AA1111" s="20"/>
    </row>
    <row r="1112" spans="1:38" s="333" customFormat="1" ht="15" customHeight="1">
      <c r="A1112" s="53"/>
      <c r="B1112" s="695" t="s">
        <v>442</v>
      </c>
      <c r="C1112" s="1908" t="s">
        <v>228</v>
      </c>
      <c r="D1112" s="1909"/>
      <c r="E1112" s="1910"/>
      <c r="F1112"/>
      <c r="G1112" s="5"/>
      <c r="H1112" s="5"/>
      <c r="I1112" s="5"/>
      <c r="J1112" s="5"/>
      <c r="K1112" s="5"/>
      <c r="L1112" s="5"/>
      <c r="M1112" s="5"/>
      <c r="N1112" s="5"/>
      <c r="O1112" s="5"/>
      <c r="P1112" s="5"/>
      <c r="Q1112" s="5"/>
      <c r="R1112" s="5"/>
      <c r="S1112" s="5"/>
      <c r="T1112" s="1175"/>
      <c r="U1112" s="5"/>
      <c r="V1112" s="1175"/>
      <c r="W1112" s="93"/>
      <c r="Y1112" s="16"/>
      <c r="Z1112" s="218"/>
      <c r="AA1112" s="20"/>
    </row>
    <row r="1113" spans="1:38" s="333" customFormat="1" ht="15" customHeight="1">
      <c r="A1113" s="53"/>
      <c r="B1113" s="140" t="s">
        <v>29</v>
      </c>
      <c r="C1113" s="139" t="s">
        <v>112</v>
      </c>
      <c r="D1113" s="139" t="s">
        <v>113</v>
      </c>
      <c r="E1113" s="115" t="s">
        <v>5</v>
      </c>
      <c r="F1113"/>
      <c r="G1113" s="5"/>
      <c r="H1113" s="5"/>
      <c r="I1113" s="5"/>
      <c r="J1113" s="5"/>
      <c r="K1113" s="5"/>
      <c r="L1113" s="5"/>
      <c r="M1113" s="5"/>
      <c r="N1113" s="5"/>
      <c r="O1113" s="5"/>
      <c r="P1113" s="5"/>
      <c r="Q1113" s="5"/>
      <c r="R1113" s="5"/>
      <c r="S1113" s="5"/>
      <c r="T1113" s="1175"/>
      <c r="U1113" s="5"/>
      <c r="V1113" s="1175"/>
      <c r="W1113" s="93"/>
      <c r="Y1113" s="16"/>
      <c r="Z1113" s="218"/>
      <c r="AA1113" s="20"/>
    </row>
    <row r="1114" spans="1:38" ht="15" customHeight="1">
      <c r="A1114" s="53"/>
      <c r="B1114" s="1547" t="s">
        <v>117</v>
      </c>
      <c r="C1114" s="1547">
        <v>0</v>
      </c>
      <c r="D1114" s="1547">
        <v>5</v>
      </c>
      <c r="E1114" s="1583">
        <v>0</v>
      </c>
      <c r="F1114"/>
      <c r="G1114" s="5"/>
      <c r="H1114" s="5"/>
      <c r="I1114" s="5"/>
      <c r="J1114" s="5"/>
      <c r="K1114" s="5"/>
      <c r="L1114" s="5"/>
      <c r="M1114" s="5"/>
      <c r="N1114" s="5"/>
      <c r="O1114" s="5"/>
      <c r="P1114" s="5"/>
      <c r="Q1114" s="5"/>
      <c r="R1114" s="5"/>
      <c r="S1114" s="5"/>
      <c r="T1114" s="1175"/>
      <c r="U1114" s="5"/>
      <c r="V1114" s="1175"/>
      <c r="W1114" s="93"/>
      <c r="X1114" s="333"/>
      <c r="Y1114" s="16"/>
      <c r="Z1114" s="218"/>
      <c r="AA1114" s="20"/>
      <c r="AB1114" s="333"/>
      <c r="AC1114" s="333"/>
      <c r="AD1114" s="333"/>
      <c r="AE1114" s="333"/>
      <c r="AF1114" s="333"/>
      <c r="AG1114" s="333"/>
      <c r="AH1114" s="333"/>
      <c r="AI1114" s="333"/>
      <c r="AJ1114" s="333"/>
      <c r="AK1114" s="333"/>
      <c r="AL1114" s="333"/>
    </row>
    <row r="1115" spans="1:38" ht="30" customHeight="1">
      <c r="A1115" s="53"/>
      <c r="B1115" s="1547" t="s">
        <v>1078</v>
      </c>
      <c r="C1115" s="1547">
        <v>5</v>
      </c>
      <c r="D1115" s="1547">
        <v>50000</v>
      </c>
      <c r="E1115" s="1583">
        <v>1.24E-2</v>
      </c>
      <c r="F1115"/>
      <c r="G1115" s="5"/>
      <c r="H1115" s="5"/>
      <c r="I1115" s="5"/>
      <c r="J1115" s="5"/>
      <c r="K1115" s="5"/>
      <c r="L1115" s="5"/>
      <c r="M1115" s="5"/>
      <c r="N1115" s="5"/>
      <c r="O1115" s="5"/>
      <c r="P1115" s="5"/>
      <c r="Q1115" s="5"/>
      <c r="R1115" s="5"/>
      <c r="S1115" s="5"/>
      <c r="T1115" s="1175"/>
      <c r="U1115" s="5"/>
      <c r="V1115" s="1175"/>
      <c r="W1115" s="93"/>
      <c r="X1115" s="333"/>
      <c r="Y1115" s="16"/>
      <c r="Z1115" s="218"/>
      <c r="AA1115" s="20"/>
      <c r="AB1115" s="333"/>
      <c r="AC1115" s="333"/>
      <c r="AD1115" s="333"/>
      <c r="AE1115" s="333"/>
      <c r="AF1115" s="333"/>
      <c r="AG1115" s="333"/>
      <c r="AH1115" s="333"/>
      <c r="AI1115" s="333"/>
      <c r="AJ1115" s="333"/>
      <c r="AK1115" s="333"/>
      <c r="AL1115" s="333"/>
    </row>
    <row r="1116" spans="1:38" ht="15" hidden="1" customHeight="1">
      <c r="A1116" s="53"/>
      <c r="B1116" s="892" t="s">
        <v>114</v>
      </c>
      <c r="C1116" s="892">
        <v>50000</v>
      </c>
      <c r="D1116" s="892">
        <v>500000</v>
      </c>
      <c r="E1116" s="893">
        <v>1.1299999999999999E-2</v>
      </c>
      <c r="F1116"/>
      <c r="G1116" s="5"/>
      <c r="H1116" s="5"/>
      <c r="I1116" s="5"/>
      <c r="J1116" s="5"/>
      <c r="K1116" s="5"/>
      <c r="L1116" s="5"/>
      <c r="M1116" s="5"/>
      <c r="N1116" s="5"/>
      <c r="O1116" s="5"/>
      <c r="P1116" s="5"/>
      <c r="Q1116" s="5"/>
      <c r="R1116" s="5"/>
      <c r="S1116" s="5"/>
      <c r="T1116" s="1175"/>
      <c r="U1116" s="5"/>
      <c r="V1116" s="1175"/>
      <c r="W1116" s="93"/>
      <c r="X1116" s="333"/>
      <c r="Y1116" s="16"/>
      <c r="Z1116" s="218"/>
      <c r="AA1116" s="20"/>
      <c r="AB1116" s="333"/>
      <c r="AC1116" s="333"/>
      <c r="AD1116" s="333"/>
      <c r="AE1116" s="333"/>
      <c r="AF1116" s="333"/>
      <c r="AG1116" s="333"/>
      <c r="AH1116" s="333"/>
      <c r="AI1116" s="333"/>
      <c r="AJ1116" s="333"/>
      <c r="AK1116" s="333"/>
      <c r="AL1116" s="333"/>
    </row>
    <row r="1117" spans="1:38" ht="15" hidden="1" customHeight="1">
      <c r="A1117" s="53"/>
      <c r="B1117" s="892" t="s">
        <v>115</v>
      </c>
      <c r="C1117" s="892">
        <v>500000</v>
      </c>
      <c r="D1117" s="892">
        <v>5000000</v>
      </c>
      <c r="E1117" s="893">
        <v>1.1299999999999999E-2</v>
      </c>
      <c r="F1117"/>
      <c r="G1117" s="5"/>
      <c r="H1117" s="5"/>
      <c r="I1117" s="5"/>
      <c r="J1117" s="5"/>
      <c r="K1117" s="5"/>
      <c r="L1117" s="5"/>
      <c r="M1117" s="5"/>
      <c r="N1117" s="5"/>
      <c r="O1117" s="5"/>
      <c r="P1117" s="5"/>
      <c r="Q1117" s="5"/>
      <c r="R1117" s="5"/>
      <c r="S1117" s="5"/>
      <c r="T1117" s="1175"/>
      <c r="U1117" s="5"/>
      <c r="V1117" s="1175"/>
      <c r="W1117" s="93"/>
      <c r="X1117" s="333"/>
      <c r="Y1117" s="16"/>
      <c r="Z1117" s="218"/>
      <c r="AA1117" s="20"/>
      <c r="AB1117" s="333"/>
      <c r="AC1117" s="333"/>
      <c r="AD1117" s="333"/>
      <c r="AE1117" s="333"/>
      <c r="AF1117" s="333"/>
      <c r="AG1117" s="333"/>
      <c r="AH1117" s="333"/>
      <c r="AI1117" s="333"/>
      <c r="AJ1117" s="333"/>
      <c r="AK1117" s="333"/>
      <c r="AL1117" s="333"/>
    </row>
    <row r="1118" spans="1:38" hidden="1">
      <c r="A1118" s="53"/>
      <c r="B1118" s="892"/>
      <c r="C1118" s="892">
        <v>5000000</v>
      </c>
      <c r="D1118" s="892">
        <v>10000000</v>
      </c>
      <c r="E1118" s="893">
        <v>1.1299999999999999E-2</v>
      </c>
      <c r="F1118"/>
      <c r="G1118" s="5"/>
      <c r="H1118" s="5"/>
      <c r="I1118" s="5"/>
      <c r="J1118" s="5"/>
      <c r="K1118" s="5"/>
      <c r="L1118" s="5"/>
      <c r="M1118" s="5"/>
      <c r="N1118" s="5"/>
      <c r="O1118" s="5"/>
      <c r="P1118" s="5"/>
      <c r="Q1118" s="5"/>
      <c r="R1118" s="5"/>
      <c r="S1118" s="5"/>
      <c r="T1118" s="1175"/>
      <c r="U1118" s="5"/>
      <c r="V1118" s="1175"/>
      <c r="W1118" s="93"/>
      <c r="X1118" s="333"/>
      <c r="Y1118" s="16"/>
      <c r="Z1118" s="218"/>
      <c r="AA1118" s="20"/>
      <c r="AB1118" s="333"/>
      <c r="AC1118" s="333"/>
      <c r="AD1118" s="333"/>
      <c r="AE1118" s="333"/>
      <c r="AF1118" s="333"/>
      <c r="AG1118" s="333"/>
      <c r="AH1118" s="333"/>
      <c r="AI1118" s="333"/>
      <c r="AJ1118" s="333"/>
      <c r="AK1118" s="333"/>
      <c r="AL1118" s="333"/>
    </row>
    <row r="1119" spans="1:38" hidden="1">
      <c r="A1119" s="53"/>
      <c r="B1119" s="892"/>
      <c r="C1119" s="892">
        <v>10000000</v>
      </c>
      <c r="D1119" s="892">
        <v>200000000</v>
      </c>
      <c r="E1119" s="893">
        <v>1.1299999999999999E-2</v>
      </c>
      <c r="F1119"/>
      <c r="G1119" s="5"/>
      <c r="H1119" s="5"/>
      <c r="I1119" s="5"/>
      <c r="J1119" s="5"/>
      <c r="K1119" s="5"/>
      <c r="L1119" s="5"/>
      <c r="M1119" s="5"/>
      <c r="N1119" s="5"/>
      <c r="O1119" s="5"/>
      <c r="P1119" s="5"/>
      <c r="Q1119" s="5"/>
      <c r="R1119" s="5"/>
      <c r="S1119" s="5"/>
      <c r="T1119" s="1175"/>
      <c r="U1119" s="5"/>
      <c r="V1119" s="1175"/>
      <c r="W1119" s="93"/>
      <c r="X1119" s="333"/>
      <c r="Y1119" s="16"/>
      <c r="Z1119" s="218"/>
      <c r="AA1119" s="20"/>
      <c r="AB1119" s="333"/>
      <c r="AC1119" s="333"/>
      <c r="AD1119" s="333"/>
      <c r="AE1119" s="333"/>
      <c r="AF1119" s="333"/>
      <c r="AG1119" s="333"/>
      <c r="AH1119" s="333"/>
      <c r="AI1119" s="333"/>
      <c r="AJ1119" s="333"/>
      <c r="AK1119" s="333"/>
      <c r="AL1119" s="333"/>
    </row>
    <row r="1120" spans="1:38" ht="15" hidden="1" customHeight="1">
      <c r="A1120" s="53"/>
      <c r="B1120" s="224"/>
      <c r="C1120" s="224"/>
      <c r="D1120" s="224"/>
      <c r="E1120" s="5"/>
      <c r="G1120" s="5"/>
      <c r="H1120" s="5"/>
      <c r="I1120" s="5"/>
      <c r="J1120" s="5"/>
      <c r="K1120" s="5"/>
      <c r="L1120" s="5"/>
      <c r="M1120" s="5"/>
      <c r="N1120" s="5"/>
      <c r="O1120" s="5"/>
      <c r="P1120" s="5"/>
      <c r="Q1120" s="5"/>
      <c r="R1120" s="5"/>
      <c r="S1120" s="5"/>
      <c r="T1120" s="1175"/>
      <c r="U1120" s="5"/>
      <c r="V1120" s="1175"/>
      <c r="W1120" s="93"/>
      <c r="X1120" s="333"/>
      <c r="Y1120" s="16"/>
      <c r="Z1120" s="218"/>
      <c r="AA1120" s="20"/>
      <c r="AB1120" s="333"/>
      <c r="AC1120" s="333"/>
      <c r="AD1120" s="333"/>
      <c r="AE1120" s="333"/>
      <c r="AF1120" s="333"/>
      <c r="AG1120" s="333"/>
      <c r="AH1120" s="333"/>
      <c r="AI1120" s="333"/>
      <c r="AJ1120" s="333"/>
      <c r="AK1120" s="333"/>
      <c r="AL1120" s="333"/>
    </row>
    <row r="1121" spans="1:38">
      <c r="A1121" s="53"/>
      <c r="B1121" s="224"/>
      <c r="C1121" s="223"/>
      <c r="D1121" s="569"/>
      <c r="E1121" s="569"/>
      <c r="G1121" s="5"/>
      <c r="H1121" s="5"/>
      <c r="I1121" s="5"/>
      <c r="J1121" s="5"/>
      <c r="K1121" s="5"/>
      <c r="L1121" s="5"/>
      <c r="M1121" s="5"/>
      <c r="N1121" s="5"/>
      <c r="O1121" s="5"/>
      <c r="P1121" s="5"/>
      <c r="Q1121" s="5"/>
      <c r="R1121" s="5"/>
      <c r="S1121" s="5"/>
      <c r="T1121" s="1175"/>
      <c r="U1121" s="5"/>
      <c r="V1121" s="1175"/>
      <c r="W1121" s="93"/>
      <c r="X1121" s="333"/>
      <c r="Y1121" s="16"/>
      <c r="Z1121" s="218"/>
      <c r="AA1121" s="20"/>
      <c r="AB1121" s="333"/>
      <c r="AC1121" s="333"/>
      <c r="AD1121" s="333"/>
      <c r="AE1121" s="333"/>
      <c r="AF1121" s="333"/>
      <c r="AG1121" s="333"/>
      <c r="AH1121" s="333"/>
      <c r="AI1121" s="333"/>
      <c r="AJ1121" s="333"/>
      <c r="AK1121" s="333"/>
      <c r="AL1121" s="333"/>
    </row>
    <row r="1122" spans="1:38" s="163" customFormat="1">
      <c r="A1122" s="53"/>
      <c r="B1122" s="695" t="s">
        <v>443</v>
      </c>
      <c r="C1122" s="574" t="s">
        <v>228</v>
      </c>
      <c r="D1122" s="575"/>
      <c r="E1122" s="576"/>
      <c r="F1122"/>
      <c r="G1122" s="5"/>
      <c r="H1122" s="5"/>
      <c r="I1122" s="5"/>
      <c r="J1122" s="5"/>
      <c r="K1122" s="5"/>
      <c r="L1122" s="5"/>
      <c r="M1122" s="5"/>
      <c r="N1122" s="5"/>
      <c r="O1122" s="5"/>
      <c r="P1122" s="5"/>
      <c r="Q1122" s="5"/>
      <c r="R1122" s="5"/>
      <c r="S1122" s="5"/>
      <c r="T1122" s="1175"/>
      <c r="U1122" s="5"/>
      <c r="V1122" s="1175"/>
      <c r="W1122" s="93"/>
      <c r="X1122" s="333"/>
      <c r="Y1122" s="16"/>
      <c r="Z1122" s="218"/>
      <c r="AA1122" s="20"/>
      <c r="AB1122" s="333"/>
      <c r="AC1122" s="333"/>
      <c r="AD1122" s="333"/>
      <c r="AE1122" s="333"/>
      <c r="AF1122" s="333"/>
      <c r="AG1122" s="333"/>
      <c r="AH1122" s="333"/>
      <c r="AI1122" s="333"/>
      <c r="AJ1122" s="333"/>
      <c r="AK1122" s="333"/>
      <c r="AL1122" s="333"/>
    </row>
    <row r="1123" spans="1:38" s="163" customFormat="1">
      <c r="A1123" s="53"/>
      <c r="B1123" s="140" t="s">
        <v>29</v>
      </c>
      <c r="C1123" s="139" t="s">
        <v>112</v>
      </c>
      <c r="D1123" s="139" t="s">
        <v>113</v>
      </c>
      <c r="E1123" s="115" t="s">
        <v>5</v>
      </c>
      <c r="F1123"/>
      <c r="G1123" s="5"/>
      <c r="H1123" s="5"/>
      <c r="I1123" s="5"/>
      <c r="J1123" s="5"/>
      <c r="K1123" s="5"/>
      <c r="L1123" s="5"/>
      <c r="M1123" s="5"/>
      <c r="N1123" s="5"/>
      <c r="O1123" s="5"/>
      <c r="P1123" s="5"/>
      <c r="Q1123" s="5"/>
      <c r="R1123" s="5"/>
      <c r="S1123" s="5"/>
      <c r="T1123" s="1175"/>
      <c r="U1123" s="5"/>
      <c r="V1123" s="1175"/>
      <c r="W1123" s="93"/>
      <c r="X1123" s="333"/>
      <c r="Y1123" s="16"/>
      <c r="Z1123" s="218"/>
      <c r="AA1123" s="20"/>
      <c r="AB1123" s="333"/>
      <c r="AC1123" s="333"/>
      <c r="AD1123" s="333"/>
      <c r="AE1123" s="333"/>
      <c r="AF1123" s="333"/>
      <c r="AG1123" s="333"/>
      <c r="AH1123" s="333"/>
      <c r="AI1123" s="333"/>
      <c r="AJ1123" s="333"/>
      <c r="AK1123" s="333"/>
      <c r="AL1123" s="333"/>
    </row>
    <row r="1124" spans="1:38" s="613" customFormat="1">
      <c r="A1124" s="53"/>
      <c r="B1124" s="1547" t="s">
        <v>117</v>
      </c>
      <c r="C1124" s="1547">
        <v>0</v>
      </c>
      <c r="D1124" s="1547">
        <v>5</v>
      </c>
      <c r="E1124" s="1583">
        <v>0</v>
      </c>
      <c r="F1124"/>
      <c r="G1124" s="5"/>
      <c r="H1124" s="5"/>
      <c r="I1124" s="5"/>
      <c r="J1124" s="5"/>
      <c r="K1124" s="5"/>
      <c r="L1124" s="5"/>
      <c r="M1124" s="5"/>
      <c r="N1124" s="5"/>
      <c r="O1124" s="5"/>
      <c r="P1124" s="5"/>
      <c r="Q1124" s="5"/>
      <c r="R1124" s="5"/>
      <c r="S1124" s="5"/>
      <c r="T1124" s="1175"/>
      <c r="U1124" s="5"/>
      <c r="V1124" s="1175"/>
      <c r="W1124" s="93"/>
      <c r="X1124" s="333"/>
      <c r="Y1124" s="16"/>
      <c r="Z1124" s="218"/>
      <c r="AA1124" s="20"/>
      <c r="AB1124" s="333"/>
      <c r="AC1124" s="333"/>
      <c r="AD1124" s="333"/>
      <c r="AE1124" s="333"/>
      <c r="AF1124" s="333"/>
      <c r="AG1124" s="333"/>
      <c r="AH1124" s="333"/>
      <c r="AI1124" s="333"/>
      <c r="AJ1124" s="333"/>
      <c r="AK1124" s="333"/>
      <c r="AL1124" s="333"/>
    </row>
    <row r="1125" spans="1:38" s="613" customFormat="1">
      <c r="A1125" s="53"/>
      <c r="B1125" s="1547" t="s">
        <v>1078</v>
      </c>
      <c r="C1125" s="1547">
        <v>5</v>
      </c>
      <c r="D1125" s="1547">
        <v>50000</v>
      </c>
      <c r="E1125" s="1583">
        <v>3.8E-3</v>
      </c>
      <c r="F1125"/>
      <c r="G1125" s="5"/>
      <c r="H1125" s="5"/>
      <c r="I1125" s="5"/>
      <c r="J1125" s="5"/>
      <c r="K1125" s="5"/>
      <c r="L1125" s="5"/>
      <c r="M1125" s="5"/>
      <c r="N1125" s="5"/>
      <c r="O1125" s="5"/>
      <c r="P1125" s="5"/>
      <c r="Q1125" s="5"/>
      <c r="R1125" s="5"/>
      <c r="S1125" s="5"/>
      <c r="T1125" s="1175"/>
      <c r="U1125" s="5"/>
      <c r="V1125" s="1175"/>
      <c r="W1125" s="93"/>
      <c r="X1125" s="333"/>
      <c r="Y1125" s="16"/>
      <c r="Z1125" s="218"/>
      <c r="AA1125" s="20"/>
      <c r="AB1125" s="333"/>
      <c r="AC1125" s="333"/>
      <c r="AD1125" s="333"/>
      <c r="AE1125" s="333"/>
      <c r="AF1125" s="333"/>
      <c r="AG1125" s="333"/>
      <c r="AH1125" s="333"/>
      <c r="AI1125" s="333"/>
      <c r="AJ1125" s="333"/>
      <c r="AK1125" s="333"/>
      <c r="AL1125" s="333"/>
    </row>
    <row r="1126" spans="1:38" s="613" customFormat="1" hidden="1">
      <c r="A1126" s="53"/>
      <c r="B1126" s="892" t="s">
        <v>114</v>
      </c>
      <c r="C1126" s="892">
        <v>50000</v>
      </c>
      <c r="D1126" s="892">
        <v>500000</v>
      </c>
      <c r="E1126" s="893">
        <v>3.8E-3</v>
      </c>
      <c r="F1126"/>
      <c r="G1126" s="5"/>
      <c r="H1126" s="5"/>
      <c r="I1126" s="5"/>
      <c r="J1126" s="5"/>
      <c r="K1126" s="5"/>
      <c r="L1126" s="5"/>
      <c r="M1126" s="5"/>
      <c r="N1126" s="5"/>
      <c r="O1126" s="5"/>
      <c r="P1126" s="5"/>
      <c r="Q1126" s="5"/>
      <c r="R1126" s="5"/>
      <c r="S1126" s="5"/>
      <c r="T1126" s="1175"/>
      <c r="U1126" s="5"/>
      <c r="V1126" s="1175"/>
      <c r="W1126" s="93"/>
      <c r="X1126" s="333"/>
      <c r="Y1126" s="16"/>
      <c r="Z1126" s="218"/>
      <c r="AA1126" s="20"/>
      <c r="AB1126" s="333"/>
      <c r="AC1126" s="333"/>
      <c r="AD1126" s="333"/>
      <c r="AE1126" s="333"/>
      <c r="AF1126" s="333"/>
      <c r="AG1126" s="333"/>
      <c r="AH1126" s="333"/>
      <c r="AI1126" s="333"/>
      <c r="AJ1126" s="333"/>
      <c r="AK1126" s="333"/>
      <c r="AL1126" s="333"/>
    </row>
    <row r="1127" spans="1:38" s="163" customFormat="1" hidden="1">
      <c r="A1127" s="53"/>
      <c r="B1127" s="892" t="s">
        <v>115</v>
      </c>
      <c r="C1127" s="892">
        <v>500000</v>
      </c>
      <c r="D1127" s="892">
        <v>5000000</v>
      </c>
      <c r="E1127" s="893">
        <v>3.8E-3</v>
      </c>
      <c r="F1127"/>
      <c r="G1127" s="5"/>
      <c r="H1127" s="5"/>
      <c r="I1127" s="5"/>
      <c r="J1127" s="5"/>
      <c r="K1127" s="5"/>
      <c r="L1127" s="5"/>
      <c r="M1127" s="5"/>
      <c r="N1127" s="5"/>
      <c r="O1127" s="5"/>
      <c r="P1127" s="5"/>
      <c r="Q1127" s="5"/>
      <c r="R1127" s="5"/>
      <c r="S1127" s="5"/>
      <c r="T1127" s="1175"/>
      <c r="U1127" s="5"/>
      <c r="V1127" s="1175"/>
      <c r="W1127" s="93"/>
      <c r="X1127" s="333"/>
      <c r="Y1127" s="16"/>
      <c r="Z1127" s="218"/>
      <c r="AA1127" s="20"/>
      <c r="AB1127" s="333"/>
      <c r="AC1127" s="333"/>
      <c r="AD1127" s="333"/>
      <c r="AE1127" s="333"/>
      <c r="AF1127" s="333"/>
      <c r="AG1127" s="333"/>
      <c r="AH1127" s="333"/>
      <c r="AI1127" s="333"/>
      <c r="AJ1127" s="333"/>
      <c r="AK1127" s="333"/>
      <c r="AL1127" s="333"/>
    </row>
    <row r="1128" spans="1:38" s="163" customFormat="1" hidden="1">
      <c r="A1128" s="53"/>
      <c r="B1128" s="892"/>
      <c r="C1128" s="892">
        <v>5000000</v>
      </c>
      <c r="D1128" s="892">
        <v>10000000</v>
      </c>
      <c r="E1128" s="893">
        <v>3.8E-3</v>
      </c>
      <c r="F1128"/>
      <c r="G1128" s="5"/>
      <c r="H1128" s="5"/>
      <c r="I1128" s="5"/>
      <c r="J1128" s="5"/>
      <c r="K1128" s="5"/>
      <c r="L1128" s="5"/>
      <c r="M1128" s="5"/>
      <c r="N1128" s="5"/>
      <c r="O1128" s="5"/>
      <c r="P1128" s="5"/>
      <c r="Q1128" s="5"/>
      <c r="R1128" s="5"/>
      <c r="S1128" s="5"/>
      <c r="T1128" s="1175"/>
      <c r="U1128" s="5"/>
      <c r="V1128" s="1175"/>
      <c r="W1128" s="93"/>
      <c r="X1128" s="333"/>
      <c r="Y1128" s="16"/>
      <c r="Z1128" s="218"/>
      <c r="AA1128" s="20"/>
      <c r="AB1128" s="333"/>
      <c r="AC1128" s="333"/>
      <c r="AD1128" s="333"/>
      <c r="AE1128" s="333"/>
      <c r="AF1128" s="333"/>
      <c r="AG1128" s="333"/>
      <c r="AH1128" s="333"/>
      <c r="AI1128" s="333"/>
      <c r="AJ1128" s="333"/>
      <c r="AK1128" s="333"/>
      <c r="AL1128" s="333"/>
    </row>
    <row r="1129" spans="1:38" s="163" customFormat="1" hidden="1">
      <c r="A1129" s="53"/>
      <c r="B1129" s="892"/>
      <c r="C1129" s="892">
        <v>10000000</v>
      </c>
      <c r="D1129" s="892">
        <v>200000000</v>
      </c>
      <c r="E1129" s="893">
        <v>3.8E-3</v>
      </c>
      <c r="F1129"/>
      <c r="G1129" s="5"/>
      <c r="H1129" s="5"/>
      <c r="I1129" s="5"/>
      <c r="J1129" s="5"/>
      <c r="K1129" s="5"/>
      <c r="L1129" s="5"/>
      <c r="M1129" s="5"/>
      <c r="N1129" s="5"/>
      <c r="O1129" s="5"/>
      <c r="P1129" s="5"/>
      <c r="Q1129" s="5"/>
      <c r="R1129" s="5"/>
      <c r="S1129" s="5"/>
      <c r="T1129" s="1175"/>
      <c r="U1129" s="5"/>
      <c r="V1129" s="1175"/>
      <c r="W1129" s="93"/>
      <c r="X1129" s="333"/>
      <c r="Y1129" s="16"/>
      <c r="Z1129" s="218"/>
      <c r="AA1129" s="20"/>
      <c r="AB1129" s="333"/>
      <c r="AC1129" s="333"/>
      <c r="AD1129" s="333"/>
      <c r="AE1129" s="333"/>
      <c r="AF1129" s="333"/>
      <c r="AG1129" s="333"/>
      <c r="AH1129" s="333"/>
      <c r="AI1129" s="333"/>
      <c r="AJ1129" s="333"/>
      <c r="AK1129" s="333"/>
      <c r="AL1129" s="333"/>
    </row>
    <row r="1130" spans="1:38" s="163" customFormat="1">
      <c r="A1130" s="53"/>
      <c r="B1130" s="10"/>
      <c r="C1130" s="19"/>
      <c r="D1130" s="18"/>
      <c r="E1130" s="8"/>
      <c r="F1130" s="4"/>
      <c r="G1130" s="4"/>
      <c r="H1130" s="5"/>
      <c r="I1130" s="5"/>
      <c r="J1130" s="5"/>
      <c r="K1130" s="5"/>
      <c r="L1130" s="5"/>
      <c r="M1130" s="5"/>
      <c r="N1130" s="5"/>
      <c r="O1130" s="5"/>
      <c r="P1130" s="5"/>
      <c r="Q1130" s="5"/>
      <c r="R1130" s="5"/>
      <c r="S1130" s="5"/>
      <c r="T1130" s="1175"/>
      <c r="U1130" s="5"/>
      <c r="V1130" s="1175"/>
      <c r="W1130" s="93"/>
      <c r="X1130" s="33"/>
      <c r="Y1130" s="16"/>
      <c r="Z1130" s="132"/>
      <c r="AA1130" s="21"/>
      <c r="AB1130" s="33"/>
      <c r="AC1130" s="33"/>
      <c r="AD1130" s="33"/>
      <c r="AE1130" s="33"/>
      <c r="AF1130" s="33"/>
      <c r="AG1130" s="33"/>
      <c r="AH1130" s="33"/>
      <c r="AI1130" s="33"/>
      <c r="AJ1130" s="33"/>
      <c r="AK1130" s="33"/>
      <c r="AL1130" s="33"/>
    </row>
    <row r="1131" spans="1:38" s="613" customFormat="1" ht="14.55" customHeight="1">
      <c r="A1131" s="53"/>
      <c r="B1131" s="1985" t="s">
        <v>230</v>
      </c>
      <c r="C1131" s="1986"/>
      <c r="D1131" s="1986"/>
      <c r="E1131" s="1987"/>
      <c r="F1131" s="4"/>
      <c r="G1131" s="10"/>
      <c r="H1131" s="5"/>
      <c r="I1131" s="5"/>
      <c r="J1131" s="5"/>
      <c r="K1131" s="5"/>
      <c r="L1131" s="5"/>
      <c r="M1131" s="5"/>
      <c r="N1131" s="5"/>
      <c r="O1131" s="5"/>
      <c r="P1131" s="5"/>
      <c r="Q1131" s="5"/>
      <c r="R1131" s="5"/>
      <c r="S1131" s="5"/>
      <c r="T1131" s="1175"/>
      <c r="U1131" s="5"/>
      <c r="V1131" s="1175"/>
      <c r="W1131" s="93"/>
      <c r="X1131" s="33"/>
      <c r="Y1131" s="16"/>
      <c r="Z1131" s="218"/>
      <c r="AA1131" s="22"/>
      <c r="AB1131" s="33"/>
      <c r="AC1131" s="33"/>
      <c r="AD1131" s="33"/>
      <c r="AE1131" s="33"/>
      <c r="AF1131" s="33"/>
      <c r="AG1131" s="33"/>
      <c r="AH1131" s="33"/>
      <c r="AI1131" s="33"/>
      <c r="AJ1131" s="33"/>
      <c r="AK1131" s="33"/>
      <c r="AL1131" s="33"/>
    </row>
    <row r="1132" spans="1:38" s="163" customFormat="1">
      <c r="A1132" s="53"/>
      <c r="B1132" s="139" t="s">
        <v>16</v>
      </c>
      <c r="C1132" s="139" t="s">
        <v>112</v>
      </c>
      <c r="D1132" s="139" t="s">
        <v>113</v>
      </c>
      <c r="E1132" s="116" t="s">
        <v>6</v>
      </c>
      <c r="F1132" s="4"/>
      <c r="G1132" s="10"/>
      <c r="H1132" s="10"/>
      <c r="I1132" s="5"/>
      <c r="J1132" s="37"/>
      <c r="K1132" s="37"/>
      <c r="L1132" s="36"/>
      <c r="M1132" s="56"/>
      <c r="N1132" s="36"/>
      <c r="O1132" s="56"/>
      <c r="P1132" s="56"/>
      <c r="Q1132" s="56"/>
      <c r="R1132" s="56"/>
      <c r="S1132" s="56"/>
      <c r="T1132" s="56"/>
      <c r="U1132" s="56"/>
      <c r="V1132" s="56"/>
      <c r="W1132" s="96"/>
      <c r="X1132" s="33"/>
      <c r="Y1132" s="40"/>
      <c r="Z1132" s="2062" t="s">
        <v>254</v>
      </c>
      <c r="AA1132" s="23"/>
      <c r="AB1132" s="33"/>
      <c r="AC1132" s="33"/>
      <c r="AD1132" s="33"/>
      <c r="AE1132" s="33"/>
      <c r="AF1132" s="33"/>
      <c r="AG1132" s="33"/>
      <c r="AH1132" s="33"/>
      <c r="AI1132" s="33"/>
      <c r="AJ1132" s="33"/>
      <c r="AK1132" s="33"/>
      <c r="AL1132" s="33"/>
    </row>
    <row r="1133" spans="1:38" s="613" customFormat="1">
      <c r="A1133" s="53"/>
      <c r="B1133" s="1547" t="s">
        <v>586</v>
      </c>
      <c r="C1133" s="1547">
        <v>0</v>
      </c>
      <c r="D1133" s="1547">
        <v>15</v>
      </c>
      <c r="E1133" s="1574">
        <v>0</v>
      </c>
      <c r="F1133" s="4"/>
      <c r="G1133" s="4"/>
      <c r="H1133" s="56"/>
      <c r="I1133" s="5"/>
      <c r="J1133" s="37"/>
      <c r="K1133" s="37"/>
      <c r="L1133" s="56"/>
      <c r="M1133" s="56"/>
      <c r="N1133" s="36"/>
      <c r="O1133" s="56"/>
      <c r="P1133" s="56"/>
      <c r="Q1133" s="56"/>
      <c r="R1133" s="56"/>
      <c r="S1133" s="56"/>
      <c r="T1133" s="56"/>
      <c r="U1133" s="56"/>
      <c r="V1133" s="56"/>
      <c r="W1133" s="96"/>
      <c r="X1133" s="33"/>
      <c r="Y1133" s="53"/>
      <c r="Z1133" s="2062"/>
      <c r="AA1133" s="20"/>
      <c r="AB1133" s="33"/>
      <c r="AC1133" s="33"/>
      <c r="AD1133" s="33"/>
      <c r="AE1133" s="33"/>
      <c r="AF1133" s="33"/>
      <c r="AG1133" s="33"/>
      <c r="AH1133" s="33"/>
      <c r="AI1133" s="33"/>
      <c r="AJ1133" s="33"/>
      <c r="AK1133" s="33"/>
      <c r="AL1133" s="33"/>
    </row>
    <row r="1134" spans="1:38" s="163" customFormat="1">
      <c r="A1134" s="53"/>
      <c r="B1134" s="1547" t="s">
        <v>116</v>
      </c>
      <c r="C1134" s="1547">
        <v>15</v>
      </c>
      <c r="D1134" s="1547">
        <v>10000</v>
      </c>
      <c r="E1134" s="1549">
        <v>8.8099999999999998E-2</v>
      </c>
      <c r="F1134" s="224"/>
      <c r="G1134" s="4"/>
      <c r="H1134" s="56"/>
      <c r="I1134" s="5"/>
      <c r="J1134" s="37"/>
      <c r="K1134" s="37"/>
      <c r="L1134" s="56"/>
      <c r="M1134" s="56"/>
      <c r="N1134" s="56"/>
      <c r="O1134" s="56"/>
      <c r="P1134" s="56"/>
      <c r="Q1134" s="56"/>
      <c r="R1134" s="56"/>
      <c r="S1134" s="56"/>
      <c r="T1134" s="56"/>
      <c r="U1134" s="56"/>
      <c r="V1134" s="56"/>
      <c r="W1134" s="97"/>
      <c r="X1134" s="33"/>
      <c r="Y1134" s="74"/>
      <c r="Z1134" s="132"/>
      <c r="AA1134" s="20"/>
      <c r="AB1134" s="33"/>
      <c r="AC1134" s="33"/>
      <c r="AD1134" s="33"/>
      <c r="AE1134" s="33"/>
      <c r="AF1134" s="33"/>
      <c r="AG1134" s="33"/>
      <c r="AH1134" s="33"/>
      <c r="AI1134" s="33"/>
      <c r="AJ1134" s="33"/>
      <c r="AK1134" s="33"/>
      <c r="AL1134" s="33"/>
    </row>
    <row r="1135" spans="1:38" s="613" customFormat="1">
      <c r="A1135" s="53"/>
      <c r="B1135" s="1547" t="s">
        <v>109</v>
      </c>
      <c r="C1135" s="1547">
        <v>10000</v>
      </c>
      <c r="D1135" s="1547">
        <v>50000</v>
      </c>
      <c r="E1135" s="1549">
        <v>8.2199999999999995E-2</v>
      </c>
      <c r="F1135" s="224"/>
      <c r="G1135" s="4"/>
      <c r="H1135" s="56"/>
      <c r="I1135" s="56"/>
      <c r="J1135" s="56"/>
      <c r="K1135" s="56"/>
      <c r="L1135" s="56"/>
      <c r="M1135" s="56"/>
      <c r="N1135" s="56"/>
      <c r="O1135" s="56"/>
      <c r="P1135" s="56"/>
      <c r="Q1135" s="56"/>
      <c r="R1135" s="56"/>
      <c r="S1135" s="56"/>
      <c r="T1135" s="56"/>
      <c r="U1135" s="56"/>
      <c r="V1135" s="56"/>
      <c r="W1135" s="98"/>
      <c r="X1135" s="33"/>
      <c r="Y1135" s="74"/>
      <c r="Z1135" s="132"/>
      <c r="AA1135" s="21"/>
      <c r="AB1135" s="33"/>
      <c r="AC1135" s="33"/>
      <c r="AD1135" s="33"/>
      <c r="AE1135" s="33"/>
      <c r="AF1135" s="33"/>
      <c r="AG1135" s="33"/>
      <c r="AH1135" s="33"/>
      <c r="AI1135" s="33"/>
      <c r="AJ1135" s="33"/>
      <c r="AK1135" s="33"/>
      <c r="AL1135" s="33"/>
    </row>
    <row r="1136" spans="1:38" s="163" customFormat="1">
      <c r="A1136" s="53"/>
      <c r="B1136" s="1547" t="s">
        <v>262</v>
      </c>
      <c r="C1136" s="1547">
        <v>50000</v>
      </c>
      <c r="D1136" s="1547">
        <v>150000</v>
      </c>
      <c r="E1136" s="1549">
        <v>6.7900000000000002E-2</v>
      </c>
      <c r="F1136" s="224"/>
      <c r="G1136" s="4"/>
      <c r="H1136" s="56"/>
      <c r="I1136" s="56"/>
      <c r="J1136" s="56"/>
      <c r="K1136" s="56"/>
      <c r="L1136" s="56"/>
      <c r="M1136" s="56"/>
      <c r="N1136" s="56"/>
      <c r="O1136" s="10"/>
      <c r="P1136" s="10"/>
      <c r="Q1136" s="10"/>
      <c r="R1136" s="10"/>
      <c r="S1136" s="10"/>
      <c r="T1136" s="10"/>
      <c r="U1136" s="10"/>
      <c r="V1136" s="10"/>
      <c r="W1136" s="98"/>
      <c r="X1136" s="33"/>
      <c r="Y1136" s="16"/>
      <c r="Z1136" s="132"/>
      <c r="AA1136" s="22"/>
      <c r="AB1136" s="33"/>
      <c r="AC1136" s="33"/>
      <c r="AD1136" s="33"/>
      <c r="AE1136" s="33"/>
      <c r="AF1136" s="33"/>
      <c r="AG1136" s="33"/>
      <c r="AH1136" s="33"/>
      <c r="AI1136" s="33"/>
      <c r="AJ1136" s="33"/>
      <c r="AK1136" s="33"/>
      <c r="AL1136" s="33"/>
    </row>
    <row r="1137" spans="1:38" s="333" customFormat="1">
      <c r="A1137" s="53"/>
      <c r="B1137" s="1547" t="s">
        <v>110</v>
      </c>
      <c r="C1137" s="1547">
        <v>150000</v>
      </c>
      <c r="D1137" s="1547">
        <v>500000</v>
      </c>
      <c r="E1137" s="1549">
        <v>4.7600000000000003E-2</v>
      </c>
      <c r="F1137" s="224"/>
      <c r="G1137" s="4" t="s">
        <v>271</v>
      </c>
      <c r="H1137" s="302"/>
      <c r="I1137" s="302"/>
      <c r="J1137" s="302"/>
      <c r="K1137" s="302"/>
      <c r="L1137" s="56"/>
      <c r="M1137" s="56"/>
      <c r="N1137" s="56"/>
      <c r="O1137" s="10"/>
      <c r="P1137" s="10"/>
      <c r="Q1137" s="10"/>
      <c r="R1137" s="10"/>
      <c r="S1137" s="10"/>
      <c r="T1137" s="10"/>
      <c r="U1137" s="10"/>
      <c r="V1137" s="10"/>
      <c r="W1137" s="98"/>
      <c r="X1137" s="33"/>
      <c r="Y1137" s="16"/>
      <c r="Z1137" s="132"/>
      <c r="AA1137" s="22"/>
      <c r="AB1137" s="33"/>
      <c r="AC1137" s="33"/>
      <c r="AD1137" s="33"/>
      <c r="AE1137" s="33"/>
      <c r="AF1137" s="33"/>
      <c r="AG1137" s="33"/>
      <c r="AH1137" s="33"/>
      <c r="AI1137" s="33"/>
      <c r="AJ1137" s="33"/>
      <c r="AK1137" s="33"/>
      <c r="AL1137" s="33"/>
    </row>
    <row r="1138" spans="1:38" s="333" customFormat="1">
      <c r="A1138" s="53"/>
      <c r="B1138" s="1547" t="s">
        <v>111</v>
      </c>
      <c r="C1138" s="1547">
        <v>500000</v>
      </c>
      <c r="D1138" s="1547"/>
      <c r="E1138" s="1550" t="s">
        <v>260</v>
      </c>
      <c r="F1138" s="4"/>
      <c r="G1138" s="163"/>
      <c r="H1138" s="56"/>
      <c r="I1138" s="56"/>
      <c r="J1138" s="56"/>
      <c r="K1138" s="56"/>
      <c r="L1138" s="56"/>
      <c r="M1138" s="56"/>
      <c r="N1138" s="56"/>
      <c r="O1138" s="10"/>
      <c r="P1138" s="10"/>
      <c r="Q1138" s="10"/>
      <c r="R1138" s="10"/>
      <c r="S1138" s="10"/>
      <c r="T1138" s="10"/>
      <c r="U1138" s="10"/>
      <c r="V1138" s="10"/>
      <c r="W1138" s="98"/>
      <c r="X1138" s="163"/>
      <c r="Y1138" s="16"/>
      <c r="Z1138" s="218"/>
      <c r="AA1138" s="22"/>
      <c r="AB1138" s="163"/>
      <c r="AC1138" s="163"/>
      <c r="AD1138" s="163"/>
      <c r="AE1138" s="163"/>
      <c r="AF1138" s="163"/>
      <c r="AG1138" s="163"/>
      <c r="AH1138" s="163"/>
      <c r="AI1138" s="163"/>
      <c r="AJ1138" s="163"/>
      <c r="AK1138" s="163"/>
      <c r="AL1138" s="163"/>
    </row>
    <row r="1139" spans="1:38" s="333" customFormat="1">
      <c r="A1139" s="53"/>
      <c r="B1139" s="163"/>
      <c r="C1139" s="163"/>
      <c r="D1139" s="163"/>
      <c r="E1139" s="163"/>
      <c r="F1139" s="14"/>
      <c r="G1139" s="10"/>
      <c r="H1139" s="56"/>
      <c r="I1139" s="56"/>
      <c r="J1139" s="56"/>
      <c r="K1139" s="56"/>
      <c r="L1139" s="56"/>
      <c r="M1139" s="56"/>
      <c r="N1139" s="56"/>
      <c r="O1139" s="10"/>
      <c r="P1139" s="10"/>
      <c r="Q1139" s="10"/>
      <c r="R1139" s="10"/>
      <c r="S1139" s="10"/>
      <c r="T1139" s="10"/>
      <c r="U1139" s="10"/>
      <c r="V1139" s="10"/>
      <c r="W1139" s="98"/>
      <c r="X1139" s="163"/>
      <c r="Y1139" s="16"/>
      <c r="Z1139" s="218"/>
      <c r="AA1139" s="22"/>
      <c r="AB1139" s="163"/>
      <c r="AC1139" s="163"/>
      <c r="AD1139" s="163"/>
      <c r="AE1139" s="163"/>
      <c r="AF1139" s="163"/>
      <c r="AG1139" s="163"/>
      <c r="AH1139" s="163"/>
      <c r="AI1139" s="163"/>
      <c r="AJ1139" s="163"/>
      <c r="AK1139" s="163"/>
      <c r="AL1139" s="163"/>
    </row>
    <row r="1140" spans="1:38" ht="15" customHeight="1">
      <c r="A1140" s="53"/>
      <c r="B1140" s="694" t="s">
        <v>965</v>
      </c>
      <c r="C1140" s="12"/>
      <c r="D1140" s="11"/>
      <c r="E1140" s="11"/>
      <c r="F1140" s="11"/>
      <c r="G1140" s="10"/>
      <c r="H1140" s="56"/>
      <c r="I1140" s="56"/>
      <c r="J1140" s="56"/>
      <c r="K1140" s="56"/>
      <c r="L1140" s="56"/>
      <c r="M1140" s="56"/>
      <c r="N1140" s="56"/>
      <c r="O1140" s="10"/>
      <c r="P1140" s="10"/>
      <c r="Q1140" s="10"/>
      <c r="R1140" s="10"/>
      <c r="S1140" s="10"/>
      <c r="T1140" s="10"/>
      <c r="U1140" s="10"/>
      <c r="V1140" s="10"/>
      <c r="W1140" s="98"/>
      <c r="X1140" s="613"/>
      <c r="Y1140" s="16"/>
      <c r="Z1140" s="218"/>
      <c r="AA1140" s="22"/>
      <c r="AB1140" s="613"/>
      <c r="AC1140" s="613"/>
      <c r="AD1140" s="613"/>
      <c r="AE1140" s="613"/>
      <c r="AF1140" s="613"/>
      <c r="AG1140" s="613"/>
      <c r="AH1140" s="613"/>
      <c r="AI1140" s="613"/>
      <c r="AJ1140" s="613"/>
      <c r="AK1140" s="613"/>
      <c r="AL1140" s="613"/>
    </row>
    <row r="1141" spans="1:38" s="333" customFormat="1" ht="15" customHeight="1">
      <c r="A1141" s="53"/>
      <c r="B1141" s="220" t="s">
        <v>2</v>
      </c>
      <c r="C1141" s="220" t="s">
        <v>106</v>
      </c>
      <c r="D1141" s="221" t="s">
        <v>105</v>
      </c>
      <c r="E1141"/>
      <c r="F1141" s="11"/>
      <c r="G1141" s="10"/>
      <c r="H1141" s="56"/>
      <c r="I1141" s="56"/>
      <c r="J1141" s="56"/>
      <c r="K1141" s="56"/>
      <c r="L1141" s="56"/>
      <c r="M1141" s="56"/>
      <c r="N1141" s="56"/>
      <c r="O1141" s="10"/>
      <c r="P1141" s="10"/>
      <c r="Q1141" s="10"/>
      <c r="R1141" s="10"/>
      <c r="S1141" s="10"/>
      <c r="T1141" s="10"/>
      <c r="U1141" s="10"/>
      <c r="V1141" s="10"/>
      <c r="W1141" s="98"/>
      <c r="X1141" s="613"/>
      <c r="Y1141" s="16"/>
      <c r="Z1141" s="218"/>
      <c r="AA1141" s="22"/>
      <c r="AB1141" s="613"/>
      <c r="AC1141" s="613"/>
      <c r="AD1141" s="613"/>
      <c r="AE1141" s="613"/>
      <c r="AF1141" s="613"/>
      <c r="AG1141" s="613"/>
      <c r="AH1141" s="613"/>
      <c r="AI1141" s="613"/>
      <c r="AJ1141" s="613"/>
      <c r="AK1141" s="613"/>
      <c r="AL1141" s="613"/>
    </row>
    <row r="1142" spans="1:38" s="333" customFormat="1" ht="15" customHeight="1">
      <c r="A1142" s="53"/>
      <c r="B1142" s="1496" t="s">
        <v>962</v>
      </c>
      <c r="C1142" s="1584" t="s">
        <v>961</v>
      </c>
      <c r="D1142" s="579">
        <v>2.0500000000000001E-2</v>
      </c>
      <c r="E1142"/>
      <c r="F1142" s="11"/>
      <c r="G1142" s="10"/>
      <c r="H1142" s="56"/>
      <c r="I1142" s="56"/>
      <c r="J1142" s="56"/>
      <c r="K1142" s="56"/>
      <c r="L1142" s="56"/>
      <c r="M1142" s="56"/>
      <c r="N1142" s="56"/>
      <c r="O1142" s="10"/>
      <c r="P1142" s="10"/>
      <c r="Q1142" s="10"/>
      <c r="R1142" s="10"/>
      <c r="S1142" s="10"/>
      <c r="T1142" s="10"/>
      <c r="U1142" s="10"/>
      <c r="V1142" s="10"/>
      <c r="W1142" s="98"/>
      <c r="X1142" s="613"/>
      <c r="Y1142" s="16"/>
      <c r="Z1142" s="218"/>
      <c r="AA1142" s="22"/>
      <c r="AB1142" s="613"/>
      <c r="AC1142" s="613"/>
      <c r="AD1142" s="613"/>
      <c r="AE1142" s="613"/>
      <c r="AF1142" s="613"/>
      <c r="AG1142" s="613"/>
      <c r="AH1142" s="613"/>
      <c r="AI1142" s="613"/>
      <c r="AJ1142" s="613"/>
      <c r="AK1142" s="613"/>
      <c r="AL1142" s="613"/>
    </row>
    <row r="1143" spans="1:38" s="333" customFormat="1" ht="15" customHeight="1">
      <c r="A1143" s="53"/>
      <c r="B1143" s="1496" t="s">
        <v>963</v>
      </c>
      <c r="C1143" s="1584" t="s">
        <v>961</v>
      </c>
      <c r="D1143" s="579" t="s">
        <v>964</v>
      </c>
      <c r="E1143"/>
      <c r="F1143" s="11"/>
      <c r="G1143" s="10"/>
      <c r="H1143" s="10"/>
      <c r="I1143" s="10"/>
      <c r="J1143" s="10"/>
      <c r="K1143" s="10"/>
      <c r="L1143" s="10"/>
      <c r="M1143" s="10"/>
      <c r="N1143" s="10"/>
      <c r="O1143" s="10"/>
      <c r="P1143" s="10"/>
      <c r="Q1143" s="10"/>
      <c r="R1143" s="10"/>
      <c r="S1143" s="10"/>
      <c r="T1143" s="10"/>
      <c r="U1143" s="10"/>
      <c r="V1143" s="10"/>
      <c r="W1143" s="98"/>
      <c r="X1143" s="163"/>
      <c r="Y1143" s="16"/>
      <c r="Z1143" s="218"/>
      <c r="AA1143" s="22"/>
      <c r="AB1143" s="163"/>
      <c r="AC1143" s="163"/>
      <c r="AD1143" s="163"/>
      <c r="AE1143" s="163"/>
      <c r="AF1143" s="163"/>
      <c r="AG1143" s="163"/>
      <c r="AH1143" s="163"/>
      <c r="AI1143" s="163"/>
      <c r="AJ1143" s="163"/>
      <c r="AK1143" s="163"/>
      <c r="AL1143" s="163"/>
    </row>
    <row r="1144" spans="1:38" s="333" customFormat="1" ht="15" customHeight="1">
      <c r="A1144" s="53"/>
      <c r="B1144" s="4"/>
      <c r="C1144" s="4"/>
      <c r="D1144" s="4"/>
      <c r="E1144" s="4"/>
      <c r="F1144" s="4"/>
      <c r="G1144" s="4"/>
      <c r="H1144" s="4"/>
      <c r="I1144" s="4"/>
      <c r="J1144" s="4"/>
      <c r="K1144" s="4"/>
      <c r="L1144" s="4"/>
      <c r="M1144" s="4"/>
      <c r="N1144" s="4"/>
      <c r="O1144" s="4"/>
      <c r="P1144" s="4"/>
      <c r="Q1144" s="4"/>
      <c r="R1144" s="4"/>
      <c r="S1144" s="4"/>
      <c r="T1144" s="4"/>
      <c r="U1144" s="4"/>
      <c r="V1144" s="4"/>
      <c r="W1144" s="93"/>
      <c r="X1144" s="4"/>
      <c r="Y1144" s="53"/>
      <c r="Z1144" s="218"/>
      <c r="AA1144" s="7"/>
      <c r="AB1144" s="163"/>
      <c r="AC1144" s="163"/>
      <c r="AD1144" s="163"/>
      <c r="AE1144" s="163"/>
      <c r="AF1144" s="163"/>
      <c r="AG1144" s="163"/>
      <c r="AH1144" s="163"/>
      <c r="AI1144" s="163"/>
      <c r="AJ1144" s="163"/>
      <c r="AK1144" s="163"/>
      <c r="AL1144" s="163"/>
    </row>
    <row r="1145" spans="1:38" s="333" customFormat="1" ht="15" customHeight="1">
      <c r="A1145" s="53"/>
      <c r="B1145" s="694" t="s">
        <v>444</v>
      </c>
      <c r="C1145" s="4"/>
      <c r="D1145" s="4"/>
      <c r="E1145" s="4"/>
      <c r="F1145" s="4"/>
      <c r="G1145" s="4"/>
      <c r="H1145" s="4"/>
      <c r="I1145" s="4"/>
      <c r="J1145" s="4"/>
      <c r="K1145" s="4"/>
      <c r="L1145" s="4"/>
      <c r="M1145" s="4"/>
      <c r="N1145" s="4"/>
      <c r="O1145" s="4"/>
      <c r="P1145" s="4"/>
      <c r="Q1145" s="4"/>
      <c r="R1145" s="4"/>
      <c r="S1145" s="4"/>
      <c r="T1145" s="4"/>
      <c r="U1145" s="4"/>
      <c r="V1145" s="4"/>
      <c r="W1145" s="93"/>
      <c r="X1145" s="4"/>
      <c r="Y1145" s="53"/>
      <c r="Z1145" s="218"/>
      <c r="AA1145" s="7"/>
      <c r="AB1145" s="163"/>
      <c r="AC1145" s="163"/>
      <c r="AD1145" s="163"/>
      <c r="AE1145" s="163"/>
      <c r="AF1145" s="163"/>
      <c r="AG1145" s="163"/>
      <c r="AH1145" s="163"/>
      <c r="AI1145" s="163"/>
      <c r="AJ1145" s="163"/>
      <c r="AK1145" s="163"/>
      <c r="AL1145" s="163"/>
    </row>
    <row r="1146" spans="1:38" s="333" customFormat="1" ht="15" customHeight="1">
      <c r="A1146" s="53"/>
      <c r="B1146" s="220" t="s">
        <v>2</v>
      </c>
      <c r="C1146" s="220" t="s">
        <v>106</v>
      </c>
      <c r="D1146" s="221"/>
      <c r="E1146" s="221" t="s">
        <v>105</v>
      </c>
      <c r="F1146" s="4"/>
      <c r="G1146" s="4"/>
      <c r="H1146" s="4"/>
      <c r="I1146" s="4"/>
      <c r="J1146" s="4"/>
      <c r="K1146" s="4"/>
      <c r="L1146" s="4"/>
      <c r="M1146" s="4"/>
      <c r="N1146" s="4"/>
      <c r="O1146" s="4"/>
      <c r="P1146" s="4"/>
      <c r="Q1146" s="4"/>
      <c r="R1146" s="4"/>
      <c r="S1146" s="4"/>
      <c r="T1146" s="4"/>
      <c r="U1146" s="4"/>
      <c r="V1146" s="4"/>
      <c r="W1146" s="93"/>
      <c r="X1146" s="4"/>
      <c r="Y1146" s="53"/>
      <c r="Z1146" s="218"/>
      <c r="AA1146" s="7"/>
      <c r="AB1146" s="163"/>
      <c r="AC1146" s="163"/>
      <c r="AD1146" s="163"/>
      <c r="AE1146" s="163"/>
      <c r="AF1146" s="163"/>
      <c r="AG1146" s="163"/>
      <c r="AH1146" s="163"/>
      <c r="AI1146" s="163"/>
      <c r="AJ1146" s="163"/>
      <c r="AK1146" s="163"/>
      <c r="AL1146" s="163"/>
    </row>
    <row r="1147" spans="1:38" s="333" customFormat="1" ht="15" customHeight="1">
      <c r="A1147" s="53"/>
      <c r="B1147" s="526"/>
      <c r="C1147" s="526" t="s">
        <v>1539</v>
      </c>
      <c r="D1147" s="527" t="s">
        <v>1540</v>
      </c>
      <c r="E1147" s="527"/>
      <c r="F1147" s="4"/>
      <c r="G1147" s="4"/>
      <c r="H1147" s="4"/>
      <c r="I1147" s="4"/>
      <c r="J1147" s="4"/>
      <c r="K1147" s="4"/>
      <c r="L1147" s="4"/>
      <c r="M1147" s="4"/>
      <c r="N1147" s="4"/>
      <c r="O1147" s="4"/>
      <c r="P1147" s="4"/>
      <c r="Q1147" s="4"/>
      <c r="R1147" s="4"/>
      <c r="S1147" s="4"/>
      <c r="T1147" s="4"/>
      <c r="U1147" s="4"/>
      <c r="V1147" s="4"/>
      <c r="W1147" s="93"/>
      <c r="X1147" s="4"/>
      <c r="Y1147" s="53"/>
      <c r="Z1147" s="218"/>
      <c r="AA1147" s="7"/>
      <c r="AB1147" s="613"/>
      <c r="AC1147" s="613"/>
      <c r="AD1147" s="613"/>
      <c r="AE1147" s="613"/>
      <c r="AF1147" s="613"/>
      <c r="AG1147" s="613"/>
      <c r="AH1147" s="613"/>
      <c r="AI1147" s="613"/>
      <c r="AJ1147" s="613"/>
      <c r="AK1147" s="613"/>
      <c r="AL1147" s="613"/>
    </row>
    <row r="1148" spans="1:38" s="333" customFormat="1" ht="15" customHeight="1">
      <c r="A1148" s="53"/>
      <c r="B1148" s="1496" t="s">
        <v>1080</v>
      </c>
      <c r="C1148" s="1584">
        <v>0</v>
      </c>
      <c r="D1148" s="1585">
        <v>10</v>
      </c>
      <c r="E1148" s="579">
        <v>3.8999999999999998E-3</v>
      </c>
      <c r="F1148" s="4"/>
      <c r="G1148" s="4"/>
      <c r="H1148" s="4"/>
      <c r="I1148" s="4"/>
      <c r="J1148" s="4"/>
      <c r="K1148" s="4"/>
      <c r="L1148" s="4"/>
      <c r="M1148" s="4"/>
      <c r="N1148" s="4"/>
      <c r="O1148" s="4"/>
      <c r="P1148" s="4"/>
      <c r="Q1148" s="4"/>
      <c r="R1148" s="4"/>
      <c r="S1148" s="4"/>
      <c r="T1148" s="4"/>
      <c r="U1148" s="4"/>
      <c r="V1148" s="4"/>
      <c r="W1148" s="93"/>
      <c r="X1148" s="4"/>
      <c r="Y1148" s="53"/>
      <c r="Z1148" s="218"/>
      <c r="AA1148" s="7"/>
      <c r="AB1148" s="163"/>
      <c r="AC1148" s="163"/>
      <c r="AD1148" s="163"/>
      <c r="AE1148" s="163"/>
      <c r="AF1148" s="163"/>
      <c r="AG1148" s="163"/>
      <c r="AH1148" s="163"/>
      <c r="AI1148" s="163"/>
      <c r="AJ1148" s="163"/>
      <c r="AK1148" s="163"/>
      <c r="AL1148" s="163"/>
    </row>
    <row r="1149" spans="1:38" s="333" customFormat="1" ht="15" customHeight="1">
      <c r="A1149" s="53"/>
      <c r="B1149" s="1496"/>
      <c r="C1149" s="538">
        <v>10</v>
      </c>
      <c r="D1149" s="1585"/>
      <c r="E1149" s="1586">
        <v>2.8999999999999998E-3</v>
      </c>
      <c r="F1149" s="4"/>
      <c r="G1149" s="4"/>
      <c r="H1149" s="4"/>
      <c r="I1149" s="4"/>
      <c r="J1149" s="4"/>
      <c r="K1149" s="4"/>
      <c r="L1149" s="4"/>
      <c r="M1149" s="4"/>
      <c r="N1149" s="4"/>
      <c r="O1149" s="4"/>
      <c r="P1149" s="4"/>
      <c r="Q1149" s="4"/>
      <c r="R1149" s="4"/>
      <c r="S1149" s="4"/>
      <c r="T1149" s="4"/>
      <c r="U1149" s="4"/>
      <c r="V1149" s="4"/>
      <c r="W1149" s="93"/>
      <c r="X1149" s="4"/>
      <c r="Y1149" s="53"/>
      <c r="Z1149" s="218"/>
      <c r="AA1149" s="7"/>
      <c r="AB1149" s="613"/>
      <c r="AC1149" s="613"/>
      <c r="AD1149" s="613"/>
      <c r="AE1149" s="613"/>
      <c r="AF1149" s="613"/>
      <c r="AG1149" s="613"/>
      <c r="AH1149" s="613"/>
      <c r="AI1149" s="613"/>
      <c r="AJ1149" s="613"/>
      <c r="AK1149" s="613"/>
      <c r="AL1149" s="613"/>
    </row>
    <row r="1150" spans="1:38" s="333" customFormat="1" ht="15" customHeight="1">
      <c r="A1150" s="53"/>
      <c r="B1150" s="1496" t="s">
        <v>1081</v>
      </c>
      <c r="C1150" s="1584">
        <v>0</v>
      </c>
      <c r="D1150" s="1585">
        <v>1</v>
      </c>
      <c r="E1150" s="579">
        <v>3.5999999999999999E-3</v>
      </c>
      <c r="F1150" s="4"/>
      <c r="G1150" s="4"/>
      <c r="H1150" s="4"/>
      <c r="I1150" s="4"/>
      <c r="J1150" s="4"/>
      <c r="K1150" s="4"/>
      <c r="L1150" s="4"/>
      <c r="M1150" s="4"/>
      <c r="N1150" s="4"/>
      <c r="O1150" s="4"/>
      <c r="P1150" s="4"/>
      <c r="Q1150" s="4"/>
      <c r="R1150" s="4"/>
      <c r="S1150" s="4"/>
      <c r="T1150" s="4"/>
      <c r="U1150" s="4"/>
      <c r="V1150" s="4"/>
      <c r="W1150" s="93"/>
      <c r="X1150" s="4"/>
      <c r="Y1150" s="53"/>
      <c r="Z1150" s="218"/>
      <c r="AA1150" s="7"/>
      <c r="AB1150" s="163"/>
      <c r="AC1150" s="163"/>
      <c r="AD1150" s="163"/>
      <c r="AE1150" s="163"/>
      <c r="AF1150" s="163"/>
      <c r="AG1150" s="163"/>
      <c r="AH1150" s="163"/>
      <c r="AI1150" s="163"/>
      <c r="AJ1150" s="163"/>
      <c r="AK1150" s="163"/>
      <c r="AL1150" s="163"/>
    </row>
    <row r="1151" spans="1:38" s="333" customFormat="1" ht="15" customHeight="1">
      <c r="A1151" s="53"/>
      <c r="B1151" s="1496"/>
      <c r="C1151" s="538">
        <v>1</v>
      </c>
      <c r="D1151" s="1585"/>
      <c r="E1151" s="634">
        <v>2.5999999999999999E-3</v>
      </c>
      <c r="F1151" s="4"/>
      <c r="G1151" s="4"/>
      <c r="H1151" s="4"/>
      <c r="I1151" s="4"/>
      <c r="J1151" s="4"/>
      <c r="K1151" s="4"/>
      <c r="L1151" s="4"/>
      <c r="M1151" s="4"/>
      <c r="N1151" s="4"/>
      <c r="O1151" s="4"/>
      <c r="P1151" s="4"/>
      <c r="Q1151" s="4"/>
      <c r="R1151" s="4"/>
      <c r="S1151" s="4"/>
      <c r="T1151" s="4"/>
      <c r="U1151" s="4"/>
      <c r="V1151" s="4"/>
      <c r="W1151" s="93"/>
      <c r="X1151" s="4"/>
      <c r="Y1151" s="53"/>
      <c r="Z1151" s="218"/>
      <c r="AA1151" s="7"/>
      <c r="AB1151" s="613"/>
      <c r="AC1151" s="613"/>
      <c r="AD1151" s="613"/>
      <c r="AE1151" s="613"/>
      <c r="AF1151" s="613"/>
      <c r="AG1151" s="613"/>
      <c r="AH1151" s="613"/>
      <c r="AI1151" s="613"/>
      <c r="AJ1151" s="613"/>
      <c r="AK1151" s="613"/>
      <c r="AL1151" s="613"/>
    </row>
    <row r="1152" spans="1:38" s="1489" customFormat="1" ht="15" customHeight="1">
      <c r="A1152" s="1491"/>
      <c r="B1152" s="1496" t="s">
        <v>2438</v>
      </c>
      <c r="C1152" s="538">
        <v>0</v>
      </c>
      <c r="D1152" s="1486">
        <v>0</v>
      </c>
      <c r="E1152" s="634">
        <v>0</v>
      </c>
      <c r="F1152" s="1490"/>
      <c r="G1152" s="1490"/>
      <c r="H1152" s="1490"/>
      <c r="I1152" s="1490"/>
      <c r="J1152" s="1490"/>
      <c r="K1152" s="1490"/>
      <c r="L1152" s="1490"/>
      <c r="M1152" s="1490"/>
      <c r="N1152" s="1490"/>
      <c r="O1152" s="1490"/>
      <c r="P1152" s="1490"/>
      <c r="Q1152" s="1490"/>
      <c r="R1152" s="1490"/>
      <c r="S1152" s="1490"/>
      <c r="T1152" s="1490"/>
      <c r="U1152" s="1490"/>
      <c r="V1152" s="1490"/>
      <c r="W1152" s="1190"/>
      <c r="X1152" s="1490"/>
      <c r="Y1152" s="1491"/>
      <c r="Z1152" s="1492"/>
      <c r="AA1152" s="1493"/>
    </row>
    <row r="1153" spans="1:38" ht="15" customHeight="1">
      <c r="A1153" s="53"/>
      <c r="B1153" s="1496" t="s">
        <v>445</v>
      </c>
      <c r="C1153" s="1584" t="s">
        <v>162</v>
      </c>
      <c r="D1153" s="1587"/>
      <c r="E1153" s="579">
        <v>8.3000000000000001E-3</v>
      </c>
      <c r="W1153" s="93"/>
      <c r="Y1153" s="53"/>
      <c r="Z1153" s="2062" t="s">
        <v>419</v>
      </c>
      <c r="AA1153" s="7"/>
      <c r="AB1153" s="163"/>
      <c r="AC1153" s="163"/>
      <c r="AD1153" s="163"/>
      <c r="AE1153" s="163"/>
      <c r="AF1153" s="163"/>
      <c r="AG1153" s="163"/>
      <c r="AH1153" s="163"/>
      <c r="AI1153" s="163"/>
      <c r="AJ1153" s="163"/>
      <c r="AK1153" s="163"/>
      <c r="AL1153" s="163"/>
    </row>
    <row r="1154" spans="1:38" s="333" customFormat="1" ht="15" customHeight="1">
      <c r="A1154" s="53"/>
      <c r="B1154" s="1496" t="s">
        <v>446</v>
      </c>
      <c r="C1154" s="1584" t="s">
        <v>163</v>
      </c>
      <c r="D1154" s="1587"/>
      <c r="E1154" s="579">
        <v>8.3000000000000001E-3</v>
      </c>
      <c r="F1154" s="4"/>
      <c r="G1154" s="4"/>
      <c r="H1154" s="4"/>
      <c r="I1154" s="4"/>
      <c r="J1154" s="4"/>
      <c r="K1154" s="4"/>
      <c r="L1154" s="4"/>
      <c r="M1154" s="4"/>
      <c r="N1154" s="4"/>
      <c r="O1154" s="4"/>
      <c r="P1154" s="4"/>
      <c r="Q1154" s="4"/>
      <c r="R1154" s="4"/>
      <c r="S1154" s="4"/>
      <c r="T1154" s="4"/>
      <c r="U1154" s="4"/>
      <c r="V1154" s="4"/>
      <c r="W1154" s="93"/>
      <c r="X1154" s="4"/>
      <c r="Y1154" s="53"/>
      <c r="Z1154" s="2062"/>
      <c r="AA1154" s="7"/>
    </row>
    <row r="1155" spans="1:38" s="333" customFormat="1" ht="15" customHeight="1">
      <c r="A1155" s="53"/>
      <c r="B1155" s="1496" t="s">
        <v>447</v>
      </c>
      <c r="C1155" s="1584" t="s">
        <v>162</v>
      </c>
      <c r="D1155" s="1587"/>
      <c r="E1155" s="579">
        <v>8.3000000000000001E-3</v>
      </c>
      <c r="F1155" s="4"/>
      <c r="G1155" s="4"/>
      <c r="H1155" s="4"/>
      <c r="I1155" s="4"/>
      <c r="J1155" s="4"/>
      <c r="K1155" s="4"/>
      <c r="L1155" s="4"/>
      <c r="M1155" s="4"/>
      <c r="N1155" s="4"/>
      <c r="O1155" s="4"/>
      <c r="P1155" s="4"/>
      <c r="Q1155" s="4"/>
      <c r="R1155" s="4"/>
      <c r="S1155" s="4"/>
      <c r="T1155" s="4"/>
      <c r="U1155" s="4"/>
      <c r="V1155" s="4"/>
      <c r="W1155" s="93"/>
      <c r="X1155" s="4"/>
      <c r="Y1155" s="53"/>
      <c r="Z1155" s="218"/>
      <c r="AA1155" s="7"/>
    </row>
    <row r="1156" spans="1:38" s="613" customFormat="1" ht="15" customHeight="1">
      <c r="A1156" s="53"/>
      <c r="B1156" s="1496" t="s">
        <v>448</v>
      </c>
      <c r="C1156" s="1584" t="s">
        <v>162</v>
      </c>
      <c r="D1156" s="1587"/>
      <c r="E1156" s="579">
        <v>0.05</v>
      </c>
      <c r="F1156" s="4"/>
      <c r="G1156" s="4"/>
      <c r="H1156" s="4"/>
      <c r="I1156" s="4"/>
      <c r="J1156" s="4"/>
      <c r="K1156" s="4"/>
      <c r="L1156" s="4"/>
      <c r="M1156" s="4"/>
      <c r="N1156" s="4"/>
      <c r="O1156" s="4"/>
      <c r="P1156" s="4"/>
      <c r="Q1156" s="4"/>
      <c r="R1156" s="4"/>
      <c r="S1156" s="4"/>
      <c r="T1156" s="4"/>
      <c r="U1156" s="4"/>
      <c r="V1156" s="4"/>
      <c r="W1156" s="93"/>
      <c r="X1156" s="4"/>
      <c r="Y1156" s="53"/>
      <c r="Z1156" s="218"/>
      <c r="AA1156" s="7"/>
      <c r="AB1156" s="333"/>
      <c r="AC1156" s="333"/>
      <c r="AD1156" s="333"/>
      <c r="AE1156" s="333"/>
      <c r="AF1156" s="333"/>
      <c r="AG1156" s="333"/>
      <c r="AH1156" s="333"/>
      <c r="AI1156" s="333"/>
      <c r="AJ1156" s="333"/>
      <c r="AK1156" s="333"/>
      <c r="AL1156" s="333"/>
    </row>
    <row r="1157" spans="1:38" s="613" customFormat="1" ht="15" customHeight="1">
      <c r="A1157" s="53"/>
      <c r="B1157" s="1496" t="s">
        <v>449</v>
      </c>
      <c r="C1157" s="1584" t="s">
        <v>162</v>
      </c>
      <c r="D1157" s="1587"/>
      <c r="E1157" s="579">
        <v>0.05</v>
      </c>
      <c r="F1157" s="11"/>
      <c r="G1157" s="10"/>
      <c r="H1157" s="10"/>
      <c r="I1157" s="10"/>
      <c r="J1157" s="10"/>
      <c r="K1157" s="10"/>
      <c r="L1157" s="10"/>
      <c r="M1157" s="10"/>
      <c r="N1157" s="10"/>
      <c r="O1157" s="10"/>
      <c r="P1157" s="10"/>
      <c r="Q1157" s="10"/>
      <c r="R1157" s="10"/>
      <c r="S1157" s="10"/>
      <c r="T1157" s="10"/>
      <c r="U1157" s="10"/>
      <c r="V1157" s="10"/>
      <c r="W1157" s="98"/>
      <c r="X1157" s="33"/>
      <c r="Y1157" s="16"/>
      <c r="Z1157" s="132"/>
      <c r="AA1157" s="22"/>
      <c r="AB1157" s="33"/>
      <c r="AC1157" s="33"/>
      <c r="AD1157" s="33"/>
      <c r="AE1157" s="33"/>
      <c r="AF1157" s="33"/>
      <c r="AG1157" s="33"/>
      <c r="AH1157" s="33"/>
      <c r="AI1157" s="33"/>
      <c r="AJ1157" s="33"/>
      <c r="AK1157" s="33"/>
      <c r="AL1157" s="33"/>
    </row>
    <row r="1158" spans="1:38" s="613" customFormat="1" ht="15" customHeight="1">
      <c r="A1158" s="53"/>
      <c r="B1158" s="4"/>
      <c r="C1158" s="4"/>
      <c r="D1158" s="570"/>
      <c r="E1158" s="11"/>
      <c r="F1158" s="11"/>
      <c r="G1158" s="10"/>
      <c r="H1158" s="10"/>
      <c r="I1158" s="10"/>
      <c r="J1158" s="10"/>
      <c r="K1158" s="10"/>
      <c r="L1158" s="10"/>
      <c r="M1158" s="10"/>
      <c r="N1158" s="10"/>
      <c r="O1158" s="10"/>
      <c r="P1158" s="10"/>
      <c r="Q1158" s="10"/>
      <c r="R1158" s="10"/>
      <c r="S1158" s="10"/>
      <c r="T1158" s="10"/>
      <c r="U1158" s="10"/>
      <c r="V1158" s="10"/>
      <c r="W1158" s="98"/>
      <c r="X1158" s="333"/>
      <c r="Y1158" s="16"/>
      <c r="Z1158" s="218"/>
      <c r="AA1158" s="22"/>
      <c r="AB1158" s="333"/>
      <c r="AC1158" s="333"/>
      <c r="AD1158" s="333"/>
      <c r="AE1158" s="333"/>
      <c r="AF1158" s="333"/>
      <c r="AG1158" s="333"/>
      <c r="AH1158" s="333"/>
      <c r="AI1158" s="333"/>
      <c r="AJ1158" s="333"/>
      <c r="AK1158" s="333"/>
      <c r="AL1158" s="333"/>
    </row>
    <row r="1159" spans="1:38" s="613" customFormat="1" ht="15" customHeight="1">
      <c r="A1159" s="53"/>
      <c r="B1159" s="694" t="s">
        <v>452</v>
      </c>
      <c r="C1159" s="4"/>
      <c r="D1159" s="4"/>
      <c r="E1159" s="11"/>
      <c r="F1159" s="11"/>
      <c r="G1159" s="10"/>
      <c r="H1159" s="10"/>
      <c r="I1159" s="10"/>
      <c r="J1159" s="10"/>
      <c r="K1159" s="10"/>
      <c r="L1159" s="10"/>
      <c r="M1159" s="10"/>
      <c r="N1159" s="10"/>
      <c r="O1159" s="10"/>
      <c r="P1159" s="10"/>
      <c r="Q1159" s="10"/>
      <c r="R1159" s="10"/>
      <c r="S1159" s="10"/>
      <c r="T1159" s="10"/>
      <c r="U1159" s="10"/>
      <c r="V1159" s="10"/>
      <c r="W1159" s="98"/>
      <c r="X1159" s="333"/>
      <c r="Y1159" s="16"/>
      <c r="Z1159" s="218"/>
      <c r="AA1159" s="22"/>
      <c r="AB1159" s="333"/>
      <c r="AC1159" s="333"/>
      <c r="AD1159" s="333"/>
      <c r="AE1159" s="333"/>
      <c r="AF1159" s="333"/>
      <c r="AG1159" s="333"/>
      <c r="AH1159" s="333"/>
      <c r="AI1159" s="333"/>
      <c r="AJ1159" s="333"/>
      <c r="AK1159" s="333"/>
      <c r="AL1159" s="333"/>
    </row>
    <row r="1160" spans="1:38" s="613" customFormat="1" ht="15" customHeight="1">
      <c r="A1160" s="53"/>
      <c r="B1160" s="220" t="s">
        <v>2</v>
      </c>
      <c r="C1160" s="220" t="s">
        <v>106</v>
      </c>
      <c r="D1160" s="221" t="s">
        <v>105</v>
      </c>
      <c r="E1160"/>
      <c r="F1160" s="11"/>
      <c r="G1160" s="10"/>
      <c r="H1160" s="10"/>
      <c r="I1160" s="10"/>
      <c r="J1160" s="10"/>
      <c r="K1160" s="10"/>
      <c r="L1160" s="10"/>
      <c r="M1160" s="10"/>
      <c r="N1160" s="10"/>
      <c r="O1160" s="10"/>
      <c r="P1160" s="10"/>
      <c r="Q1160" s="10"/>
      <c r="R1160" s="10"/>
      <c r="S1160" s="10"/>
      <c r="T1160" s="10"/>
      <c r="U1160" s="10"/>
      <c r="V1160" s="10"/>
      <c r="W1160" s="98"/>
      <c r="X1160" s="333"/>
      <c r="Y1160" s="16"/>
      <c r="Z1160" s="218"/>
      <c r="AA1160" s="22"/>
      <c r="AB1160" s="333"/>
      <c r="AC1160" s="333"/>
      <c r="AD1160" s="333"/>
      <c r="AE1160" s="333"/>
      <c r="AF1160" s="333"/>
      <c r="AG1160" s="333"/>
      <c r="AH1160" s="333"/>
      <c r="AI1160" s="333"/>
      <c r="AJ1160" s="333"/>
      <c r="AK1160" s="333"/>
      <c r="AL1160" s="333"/>
    </row>
    <row r="1161" spans="1:38" s="613" customFormat="1" ht="15" customHeight="1">
      <c r="A1161" s="53"/>
      <c r="B1161" s="534" t="s">
        <v>475</v>
      </c>
      <c r="C1161" s="219" t="s">
        <v>414</v>
      </c>
      <c r="D1161" s="579">
        <v>8.3000000000000001E-3</v>
      </c>
      <c r="E1161"/>
      <c r="F1161" s="11"/>
      <c r="G1161" s="10"/>
      <c r="H1161" s="10"/>
      <c r="I1161" s="10"/>
      <c r="J1161" s="10"/>
      <c r="K1161" s="10"/>
      <c r="L1161" s="10"/>
      <c r="M1161" s="10"/>
      <c r="N1161" s="10"/>
      <c r="O1161" s="10"/>
      <c r="P1161" s="10"/>
      <c r="Q1161" s="10"/>
      <c r="R1161" s="10"/>
      <c r="S1161" s="10"/>
      <c r="T1161" s="10"/>
      <c r="U1161" s="10"/>
      <c r="V1161" s="10"/>
      <c r="W1161" s="98"/>
      <c r="X1161" s="333"/>
      <c r="Y1161" s="16"/>
      <c r="Z1161" s="218"/>
      <c r="AA1161" s="22"/>
      <c r="AB1161" s="333"/>
      <c r="AC1161" s="333"/>
      <c r="AD1161" s="333"/>
      <c r="AE1161" s="333"/>
      <c r="AF1161" s="333"/>
      <c r="AG1161" s="333"/>
      <c r="AH1161" s="333"/>
      <c r="AI1161" s="333"/>
      <c r="AJ1161" s="333"/>
      <c r="AK1161" s="333"/>
      <c r="AL1161" s="333"/>
    </row>
    <row r="1162" spans="1:38" s="613" customFormat="1" ht="15" customHeight="1">
      <c r="A1162" s="53"/>
      <c r="B1162" s="571" t="s">
        <v>417</v>
      </c>
      <c r="C1162" s="572"/>
      <c r="D1162" s="573"/>
      <c r="E1162"/>
      <c r="F1162" s="11"/>
      <c r="G1162" s="10"/>
      <c r="H1162" s="10"/>
      <c r="I1162" s="10"/>
      <c r="J1162" s="10"/>
      <c r="K1162" s="10"/>
      <c r="L1162" s="10"/>
      <c r="M1162" s="10"/>
      <c r="N1162" s="10"/>
      <c r="O1162" s="10"/>
      <c r="P1162" s="10"/>
      <c r="Q1162" s="10"/>
      <c r="R1162" s="10"/>
      <c r="S1162" s="10"/>
      <c r="T1162" s="10"/>
      <c r="U1162" s="10"/>
      <c r="V1162" s="10"/>
      <c r="W1162" s="98"/>
      <c r="X1162" s="333"/>
      <c r="Y1162" s="16"/>
      <c r="Z1162" s="218"/>
      <c r="AA1162" s="22"/>
      <c r="AB1162" s="333"/>
      <c r="AC1162" s="333"/>
      <c r="AD1162" s="333"/>
      <c r="AE1162" s="333"/>
      <c r="AF1162" s="333"/>
      <c r="AG1162" s="333"/>
      <c r="AH1162" s="333"/>
      <c r="AI1162" s="333"/>
      <c r="AJ1162" s="333"/>
      <c r="AK1162" s="333"/>
      <c r="AL1162" s="333"/>
    </row>
    <row r="1163" spans="1:38" s="613" customFormat="1" ht="15" customHeight="1" thickBot="1">
      <c r="A1163" s="53"/>
      <c r="B1163" s="534" t="s">
        <v>450</v>
      </c>
      <c r="C1163" s="219" t="s">
        <v>414</v>
      </c>
      <c r="D1163" s="579">
        <v>0.03</v>
      </c>
      <c r="E1163"/>
      <c r="F1163" s="11"/>
      <c r="G1163" s="10"/>
      <c r="H1163" s="10"/>
      <c r="I1163" s="10"/>
      <c r="J1163" s="10"/>
      <c r="K1163" s="10"/>
      <c r="L1163" s="10"/>
      <c r="M1163" s="10"/>
      <c r="N1163" s="10"/>
      <c r="O1163" s="10"/>
      <c r="P1163" s="10"/>
      <c r="Q1163" s="10"/>
      <c r="R1163" s="10"/>
      <c r="S1163" s="10"/>
      <c r="T1163" s="10"/>
      <c r="U1163" s="10"/>
      <c r="V1163" s="10"/>
      <c r="W1163" s="98"/>
      <c r="X1163" s="333"/>
      <c r="Y1163" s="16"/>
      <c r="Z1163" s="218"/>
      <c r="AA1163" s="22"/>
      <c r="AB1163" s="333"/>
      <c r="AC1163" s="333"/>
      <c r="AD1163" s="333"/>
      <c r="AE1163" s="333"/>
      <c r="AF1163" s="333"/>
      <c r="AG1163" s="333"/>
      <c r="AH1163" s="333"/>
      <c r="AI1163" s="333"/>
      <c r="AJ1163" s="333"/>
      <c r="AK1163" s="333"/>
      <c r="AL1163" s="333"/>
    </row>
    <row r="1164" spans="1:38" s="122" customFormat="1" ht="18">
      <c r="A1164" s="142"/>
      <c r="B1164" s="534" t="s">
        <v>451</v>
      </c>
      <c r="C1164" s="219" t="s">
        <v>415</v>
      </c>
      <c r="D1164" s="579">
        <v>0.01</v>
      </c>
      <c r="E1164"/>
      <c r="F1164" s="11"/>
      <c r="G1164" s="10"/>
      <c r="H1164" s="10"/>
      <c r="I1164" s="10"/>
      <c r="J1164" s="10"/>
      <c r="K1164" s="10"/>
      <c r="L1164" s="10"/>
      <c r="M1164" s="10"/>
      <c r="N1164" s="10"/>
      <c r="O1164" s="10"/>
      <c r="P1164" s="10"/>
      <c r="Q1164" s="10"/>
      <c r="R1164" s="10"/>
      <c r="S1164" s="10"/>
      <c r="T1164" s="10"/>
      <c r="U1164" s="10"/>
      <c r="V1164" s="10"/>
      <c r="W1164" s="98"/>
      <c r="X1164" s="333"/>
      <c r="Y1164" s="16"/>
      <c r="Z1164" s="218"/>
      <c r="AA1164" s="22"/>
      <c r="AB1164" s="333"/>
      <c r="AC1164" s="333"/>
      <c r="AD1164" s="333"/>
      <c r="AE1164" s="333"/>
      <c r="AF1164" s="333"/>
      <c r="AG1164" s="333"/>
      <c r="AH1164" s="333"/>
      <c r="AI1164" s="333"/>
      <c r="AJ1164" s="333"/>
      <c r="AK1164" s="333"/>
      <c r="AL1164" s="333"/>
    </row>
    <row r="1165" spans="1:38" s="39" customFormat="1">
      <c r="A1165" s="53"/>
      <c r="B1165" s="571" t="s">
        <v>416</v>
      </c>
      <c r="C1165" s="572"/>
      <c r="D1165" s="573"/>
      <c r="E1165"/>
      <c r="F1165" s="11"/>
      <c r="G1165" s="10"/>
      <c r="H1165" s="10"/>
      <c r="I1165" s="10"/>
      <c r="J1165" s="10"/>
      <c r="K1165" s="10"/>
      <c r="L1165" s="10"/>
      <c r="M1165" s="10"/>
      <c r="N1165" s="10"/>
      <c r="O1165" s="10"/>
      <c r="P1165" s="10"/>
      <c r="Q1165" s="10"/>
      <c r="R1165" s="10"/>
      <c r="S1165" s="10"/>
      <c r="T1165" s="10"/>
      <c r="U1165" s="10"/>
      <c r="V1165" s="10"/>
      <c r="W1165" s="98"/>
      <c r="X1165" s="333"/>
      <c r="Y1165" s="16"/>
      <c r="Z1165" s="218"/>
      <c r="AA1165" s="22"/>
      <c r="AB1165" s="333"/>
      <c r="AC1165" s="333"/>
      <c r="AD1165" s="333"/>
      <c r="AE1165" s="333"/>
      <c r="AF1165" s="333"/>
      <c r="AG1165" s="333"/>
      <c r="AH1165" s="333"/>
      <c r="AI1165" s="333"/>
      <c r="AJ1165" s="333"/>
      <c r="AK1165" s="333"/>
      <c r="AL1165" s="333"/>
    </row>
    <row r="1166" spans="1:38" s="39" customFormat="1">
      <c r="A1166" s="53"/>
      <c r="B1166" s="534" t="s">
        <v>453</v>
      </c>
      <c r="C1166" s="219" t="s">
        <v>414</v>
      </c>
      <c r="D1166" s="579">
        <v>0.01</v>
      </c>
      <c r="E1166"/>
      <c r="F1166" s="11"/>
      <c r="G1166" s="10"/>
      <c r="H1166" s="10"/>
      <c r="I1166" s="10"/>
      <c r="J1166" s="10"/>
      <c r="K1166" s="10"/>
      <c r="L1166" s="10"/>
      <c r="M1166" s="10"/>
      <c r="N1166" s="10"/>
      <c r="O1166" s="10"/>
      <c r="P1166" s="10"/>
      <c r="Q1166" s="10"/>
      <c r="R1166" s="10"/>
      <c r="S1166" s="10"/>
      <c r="T1166" s="10"/>
      <c r="U1166" s="10"/>
      <c r="V1166" s="10"/>
      <c r="W1166" s="98"/>
      <c r="X1166" s="333"/>
      <c r="Y1166" s="16"/>
      <c r="Z1166" s="218"/>
      <c r="AA1166" s="22"/>
      <c r="AB1166" s="333"/>
      <c r="AC1166" s="333"/>
      <c r="AD1166" s="333"/>
      <c r="AE1166" s="333"/>
      <c r="AF1166" s="333"/>
      <c r="AG1166" s="333"/>
      <c r="AH1166" s="333"/>
      <c r="AI1166" s="333"/>
      <c r="AJ1166" s="333"/>
      <c r="AK1166" s="333"/>
      <c r="AL1166" s="333"/>
    </row>
    <row r="1167" spans="1:38" s="39" customFormat="1" ht="16.5" customHeight="1">
      <c r="A1167" s="53"/>
      <c r="B1167" s="534" t="s">
        <v>454</v>
      </c>
      <c r="C1167" s="219" t="s">
        <v>162</v>
      </c>
      <c r="D1167" s="579">
        <v>0.05</v>
      </c>
      <c r="E1167"/>
      <c r="F1167" s="11"/>
      <c r="G1167" s="10"/>
      <c r="H1167" s="10"/>
      <c r="I1167" s="10"/>
      <c r="J1167" s="10"/>
      <c r="K1167" s="10"/>
      <c r="L1167" s="10"/>
      <c r="M1167" s="10"/>
      <c r="N1167" s="10"/>
      <c r="O1167" s="10"/>
      <c r="P1167" s="10"/>
      <c r="Q1167" s="10"/>
      <c r="R1167" s="10"/>
      <c r="S1167" s="10"/>
      <c r="T1167" s="10"/>
      <c r="U1167" s="10"/>
      <c r="V1167" s="10"/>
      <c r="W1167" s="98"/>
      <c r="X1167" s="333"/>
      <c r="Y1167" s="16"/>
      <c r="Z1167" s="218"/>
      <c r="AA1167" s="22"/>
      <c r="AB1167" s="333"/>
      <c r="AC1167" s="333"/>
      <c r="AD1167" s="333"/>
      <c r="AE1167" s="333"/>
      <c r="AF1167" s="333"/>
      <c r="AG1167" s="333"/>
      <c r="AH1167" s="333"/>
      <c r="AI1167" s="333"/>
      <c r="AJ1167" s="333"/>
      <c r="AK1167" s="333"/>
      <c r="AL1167" s="333"/>
    </row>
    <row r="1168" spans="1:38" s="39" customFormat="1" ht="16.5" customHeight="1">
      <c r="A1168" s="53"/>
      <c r="B1168" s="571" t="s">
        <v>418</v>
      </c>
      <c r="C1168" s="572"/>
      <c r="D1168" s="573"/>
      <c r="E1168"/>
      <c r="F1168" s="11" t="s">
        <v>662</v>
      </c>
      <c r="G1168" s="10"/>
      <c r="H1168" s="10"/>
      <c r="I1168" s="10"/>
      <c r="J1168" s="10"/>
      <c r="K1168" s="10"/>
      <c r="L1168" s="10"/>
      <c r="M1168" s="10"/>
      <c r="N1168" s="10"/>
      <c r="O1168" s="10"/>
      <c r="P1168" s="10"/>
      <c r="Q1168" s="10"/>
      <c r="R1168" s="10"/>
      <c r="S1168" s="10"/>
      <c r="T1168" s="10"/>
      <c r="U1168" s="10"/>
      <c r="V1168" s="10"/>
      <c r="W1168" s="98"/>
      <c r="X1168" s="333"/>
      <c r="Y1168" s="16"/>
      <c r="Z1168" s="218"/>
      <c r="AA1168" s="22"/>
      <c r="AB1168" s="333"/>
      <c r="AC1168" s="333"/>
      <c r="AD1168" s="333"/>
      <c r="AE1168" s="333"/>
      <c r="AF1168" s="333"/>
      <c r="AG1168" s="333"/>
      <c r="AH1168" s="333"/>
      <c r="AI1168" s="333"/>
      <c r="AJ1168" s="333"/>
      <c r="AK1168" s="333"/>
      <c r="AL1168" s="333"/>
    </row>
    <row r="1169" spans="1:38" s="39" customFormat="1">
      <c r="A1169" s="53"/>
      <c r="B1169" s="534" t="s">
        <v>455</v>
      </c>
      <c r="C1169" s="219" t="s">
        <v>414</v>
      </c>
      <c r="D1169" s="579">
        <v>2.5000000000000001E-3</v>
      </c>
      <c r="E1169"/>
      <c r="F1169" s="11"/>
      <c r="G1169" s="10"/>
      <c r="H1169" s="10"/>
      <c r="I1169" s="10"/>
      <c r="J1169" s="10"/>
      <c r="K1169" s="10"/>
      <c r="L1169" s="10"/>
      <c r="M1169" s="10"/>
      <c r="N1169" s="10"/>
      <c r="O1169" s="10"/>
      <c r="P1169" s="10"/>
      <c r="Q1169" s="10"/>
      <c r="R1169" s="10"/>
      <c r="S1169" s="10"/>
      <c r="T1169" s="10"/>
      <c r="U1169" s="10"/>
      <c r="V1169" s="10"/>
      <c r="W1169" s="97"/>
      <c r="X1169" s="33"/>
      <c r="Y1169" s="16"/>
      <c r="Z1169" s="10"/>
      <c r="AA1169" s="22"/>
      <c r="AB1169" s="33"/>
      <c r="AC1169" s="33"/>
      <c r="AD1169" s="33"/>
      <c r="AE1169" s="33"/>
      <c r="AF1169" s="33"/>
      <c r="AG1169" s="33"/>
      <c r="AH1169" s="33"/>
      <c r="AI1169" s="33"/>
      <c r="AJ1169" s="33"/>
      <c r="AK1169" s="33"/>
      <c r="AL1169" s="33"/>
    </row>
    <row r="1170" spans="1:38" s="39" customFormat="1">
      <c r="A1170" s="53"/>
      <c r="B1170" s="534" t="s">
        <v>456</v>
      </c>
      <c r="C1170" s="219" t="s">
        <v>162</v>
      </c>
      <c r="D1170" s="579">
        <v>2.5000000000000001E-2</v>
      </c>
      <c r="E1170"/>
      <c r="F1170" s="11"/>
      <c r="G1170" s="10"/>
      <c r="H1170" s="10"/>
      <c r="I1170" s="10"/>
      <c r="J1170" s="10"/>
      <c r="K1170" s="10"/>
      <c r="L1170" s="10"/>
      <c r="M1170" s="10"/>
      <c r="N1170" s="10"/>
      <c r="O1170" s="10"/>
      <c r="P1170" s="10"/>
      <c r="Q1170" s="10"/>
      <c r="R1170" s="10"/>
      <c r="S1170" s="10"/>
      <c r="T1170" s="10"/>
      <c r="U1170" s="10"/>
      <c r="V1170" s="10"/>
      <c r="W1170" s="97"/>
      <c r="X1170" s="333"/>
      <c r="Y1170" s="16"/>
      <c r="Z1170" s="10"/>
      <c r="AA1170" s="22"/>
      <c r="AB1170" s="333"/>
      <c r="AC1170" s="333"/>
      <c r="AD1170" s="333"/>
      <c r="AE1170" s="333"/>
      <c r="AF1170" s="333"/>
      <c r="AG1170" s="333"/>
      <c r="AH1170" s="333"/>
      <c r="AI1170" s="333"/>
      <c r="AJ1170" s="333"/>
      <c r="AK1170" s="333"/>
      <c r="AL1170" s="333"/>
    </row>
    <row r="1171" spans="1:38" s="39" customFormat="1">
      <c r="A1171" s="53"/>
      <c r="B1171" s="59"/>
      <c r="C1171" s="12"/>
      <c r="D1171" s="11"/>
      <c r="E1171" s="11"/>
      <c r="F1171" s="11" t="s">
        <v>658</v>
      </c>
      <c r="G1171" s="10"/>
      <c r="H1171" s="10"/>
      <c r="I1171" s="10"/>
      <c r="J1171" s="10"/>
      <c r="K1171" s="10"/>
      <c r="L1171" s="10"/>
      <c r="M1171" s="10"/>
      <c r="N1171" s="10"/>
      <c r="O1171" s="10"/>
      <c r="P1171" s="10"/>
      <c r="Q1171" s="10"/>
      <c r="R1171" s="10"/>
      <c r="S1171" s="10"/>
      <c r="T1171" s="10"/>
      <c r="U1171" s="10"/>
      <c r="V1171" s="10"/>
      <c r="W1171" s="97"/>
      <c r="X1171" s="333"/>
      <c r="Y1171" s="16"/>
      <c r="Z1171" s="10"/>
      <c r="AA1171" s="22"/>
      <c r="AB1171" s="333"/>
      <c r="AC1171" s="333"/>
      <c r="AD1171" s="333"/>
      <c r="AE1171" s="333"/>
      <c r="AF1171" s="333"/>
      <c r="AG1171" s="333"/>
      <c r="AH1171" s="333"/>
      <c r="AI1171" s="333"/>
      <c r="AJ1171" s="333"/>
      <c r="AK1171" s="333"/>
      <c r="AL1171" s="333"/>
    </row>
    <row r="1172" spans="1:38" s="39" customFormat="1" ht="15" customHeight="1">
      <c r="A1172" s="53"/>
      <c r="B1172" s="59"/>
      <c r="C1172" s="12"/>
      <c r="D1172" s="11"/>
      <c r="E1172" s="11"/>
      <c r="F1172" s="11"/>
      <c r="G1172" s="10"/>
      <c r="H1172" s="10"/>
      <c r="I1172" s="10"/>
      <c r="J1172" s="10"/>
      <c r="K1172" s="10"/>
      <c r="L1172" s="10"/>
      <c r="M1172" s="10"/>
      <c r="N1172" s="10"/>
      <c r="O1172" s="10"/>
      <c r="P1172" s="10"/>
      <c r="Q1172" s="10"/>
      <c r="R1172" s="10"/>
      <c r="S1172" s="10"/>
      <c r="T1172" s="10"/>
      <c r="U1172" s="10"/>
      <c r="V1172" s="10"/>
      <c r="W1172" s="97"/>
      <c r="X1172" s="613"/>
      <c r="Y1172" s="16"/>
      <c r="Z1172" s="10"/>
      <c r="AA1172" s="22"/>
      <c r="AB1172" s="613"/>
      <c r="AC1172" s="613"/>
      <c r="AD1172" s="613"/>
      <c r="AE1172" s="613"/>
      <c r="AF1172" s="613"/>
      <c r="AG1172" s="613"/>
      <c r="AH1172" s="613"/>
      <c r="AI1172" s="613"/>
      <c r="AJ1172" s="613"/>
      <c r="AK1172" s="613"/>
      <c r="AL1172" s="613"/>
    </row>
    <row r="1173" spans="1:38" s="39" customFormat="1">
      <c r="A1173" s="53"/>
      <c r="B1173" s="2014" t="s">
        <v>729</v>
      </c>
      <c r="C1173" s="1938"/>
      <c r="D1173" s="11"/>
      <c r="E1173" s="11"/>
      <c r="F1173" s="11"/>
      <c r="G1173" s="10"/>
      <c r="H1173" s="10"/>
      <c r="I1173" s="10"/>
      <c r="J1173" s="10"/>
      <c r="K1173" s="10"/>
      <c r="L1173" s="10"/>
      <c r="M1173" s="10"/>
      <c r="N1173" s="10"/>
      <c r="O1173" s="10"/>
      <c r="P1173" s="10"/>
      <c r="Q1173" s="10"/>
      <c r="R1173" s="10"/>
      <c r="S1173" s="10"/>
      <c r="T1173" s="10"/>
      <c r="U1173" s="10"/>
      <c r="V1173" s="10"/>
      <c r="W1173" s="97"/>
      <c r="X1173" s="613"/>
      <c r="Y1173" s="16"/>
      <c r="Z1173" s="10"/>
      <c r="AA1173" s="22"/>
      <c r="AB1173" s="613"/>
      <c r="AC1173" s="613"/>
      <c r="AD1173" s="613"/>
      <c r="AE1173" s="613"/>
      <c r="AF1173" s="613"/>
      <c r="AG1173" s="613"/>
      <c r="AH1173" s="613"/>
      <c r="AI1173" s="613"/>
      <c r="AJ1173" s="613"/>
      <c r="AK1173" s="613"/>
      <c r="AL1173" s="613"/>
    </row>
    <row r="1174" spans="1:38" s="39" customFormat="1">
      <c r="A1174" s="53"/>
      <c r="B1174" s="510" t="s">
        <v>32</v>
      </c>
      <c r="C1174" s="541" t="s">
        <v>106</v>
      </c>
      <c r="D1174" s="541" t="s">
        <v>656</v>
      </c>
      <c r="E1174" s="11"/>
      <c r="F1174" s="11" t="s">
        <v>664</v>
      </c>
      <c r="G1174" s="10"/>
      <c r="H1174" s="10"/>
      <c r="I1174" s="10"/>
      <c r="J1174" s="10"/>
      <c r="K1174" s="10"/>
      <c r="L1174" s="10"/>
      <c r="M1174" s="10"/>
      <c r="N1174" s="10"/>
      <c r="O1174" s="10"/>
      <c r="P1174" s="10"/>
      <c r="Q1174" s="10"/>
      <c r="R1174" s="10"/>
      <c r="S1174" s="10"/>
      <c r="T1174" s="10"/>
      <c r="U1174" s="10"/>
      <c r="V1174" s="10"/>
      <c r="W1174" s="97"/>
      <c r="X1174" s="613"/>
      <c r="Y1174" s="16"/>
      <c r="Z1174" s="10"/>
      <c r="AA1174" s="22"/>
      <c r="AB1174" s="613"/>
      <c r="AC1174" s="613"/>
      <c r="AD1174" s="613"/>
      <c r="AE1174" s="613"/>
      <c r="AF1174" s="613"/>
      <c r="AG1174" s="613"/>
      <c r="AH1174" s="613"/>
      <c r="AI1174" s="613"/>
      <c r="AJ1174" s="613"/>
      <c r="AK1174" s="613"/>
      <c r="AL1174" s="613"/>
    </row>
    <row r="1175" spans="1:38" s="39" customFormat="1">
      <c r="A1175" s="53"/>
      <c r="B1175" s="542" t="s">
        <v>654</v>
      </c>
      <c r="C1175" s="598" t="s">
        <v>655</v>
      </c>
      <c r="D1175" s="1513">
        <v>0.10640000000000001</v>
      </c>
      <c r="E1175" s="1512">
        <v>1.1200000000000001</v>
      </c>
      <c r="F1175" s="11" t="s">
        <v>661</v>
      </c>
      <c r="G1175" s="10"/>
      <c r="H1175" s="10"/>
      <c r="I1175" s="10"/>
      <c r="J1175" s="10"/>
      <c r="K1175" s="10"/>
      <c r="L1175" s="10"/>
      <c r="M1175" s="10"/>
      <c r="N1175" s="10"/>
      <c r="O1175" s="10"/>
      <c r="P1175" s="10"/>
      <c r="Q1175" s="10"/>
      <c r="R1175" s="10"/>
      <c r="S1175" s="10"/>
      <c r="T1175" s="10"/>
      <c r="U1175" s="10"/>
      <c r="V1175" s="10"/>
      <c r="W1175" s="97"/>
      <c r="X1175" s="613"/>
      <c r="Y1175" s="16"/>
      <c r="Z1175" s="10"/>
      <c r="AA1175" s="22"/>
      <c r="AB1175" s="613"/>
      <c r="AC1175" s="613"/>
      <c r="AD1175" s="613"/>
      <c r="AE1175" s="613"/>
      <c r="AF1175" s="613"/>
      <c r="AG1175" s="613"/>
      <c r="AH1175" s="613"/>
      <c r="AI1175" s="613"/>
      <c r="AJ1175" s="613"/>
      <c r="AK1175" s="613"/>
      <c r="AL1175" s="613"/>
    </row>
    <row r="1176" spans="1:38" s="39" customFormat="1">
      <c r="A1176" s="141"/>
      <c r="B1176" s="542" t="s">
        <v>657</v>
      </c>
      <c r="C1176" s="599" t="s">
        <v>663</v>
      </c>
      <c r="D1176" s="1513">
        <v>49.548800000000007</v>
      </c>
      <c r="E1176" s="11"/>
      <c r="F1176" s="11"/>
      <c r="G1176" s="10"/>
      <c r="H1176" s="10"/>
      <c r="I1176" s="10"/>
      <c r="J1176" s="10"/>
      <c r="K1176" s="10"/>
      <c r="L1176" s="10"/>
      <c r="M1176" s="10"/>
      <c r="N1176" s="10"/>
      <c r="O1176" s="10"/>
      <c r="P1176" s="10"/>
      <c r="Q1176" s="10"/>
      <c r="R1176" s="10"/>
      <c r="S1176" s="10"/>
      <c r="T1176" s="10"/>
      <c r="U1176" s="10"/>
      <c r="V1176" s="10"/>
      <c r="W1176" s="97"/>
      <c r="X1176" s="613"/>
      <c r="Y1176" s="16"/>
      <c r="Z1176" s="10"/>
      <c r="AA1176" s="22"/>
      <c r="AB1176" s="613"/>
      <c r="AC1176" s="613"/>
      <c r="AD1176" s="613"/>
      <c r="AE1176" s="613"/>
      <c r="AF1176" s="613"/>
      <c r="AG1176" s="613"/>
      <c r="AH1176" s="613"/>
      <c r="AI1176" s="613"/>
      <c r="AJ1176" s="613"/>
      <c r="AK1176" s="613"/>
      <c r="AL1176" s="613"/>
    </row>
    <row r="1177" spans="1:38" s="39" customFormat="1">
      <c r="A1177" s="141"/>
      <c r="B1177" s="542" t="s">
        <v>659</v>
      </c>
      <c r="C1177" s="599" t="s">
        <v>665</v>
      </c>
      <c r="D1177" s="599" t="s">
        <v>660</v>
      </c>
      <c r="E1177" s="11"/>
      <c r="F1177" s="11"/>
      <c r="G1177" s="10"/>
      <c r="H1177" s="10"/>
      <c r="I1177" s="10"/>
      <c r="J1177" s="10"/>
      <c r="K1177" s="10"/>
      <c r="L1177" s="10"/>
      <c r="M1177" s="10"/>
      <c r="N1177" s="10"/>
      <c r="O1177" s="10"/>
      <c r="P1177" s="10"/>
      <c r="Q1177" s="10"/>
      <c r="R1177" s="10"/>
      <c r="S1177" s="10"/>
      <c r="T1177" s="10"/>
      <c r="U1177" s="10"/>
      <c r="V1177" s="10"/>
      <c r="W1177" s="97"/>
      <c r="X1177" s="613"/>
      <c r="Y1177" s="16"/>
      <c r="Z1177" s="10"/>
      <c r="AA1177" s="22"/>
      <c r="AB1177" s="613"/>
      <c r="AC1177" s="613"/>
      <c r="AD1177" s="613"/>
      <c r="AE1177" s="613"/>
      <c r="AF1177" s="613"/>
      <c r="AG1177" s="613"/>
      <c r="AH1177" s="613"/>
      <c r="AI1177" s="613"/>
      <c r="AJ1177" s="613"/>
      <c r="AK1177" s="613"/>
      <c r="AL1177" s="613"/>
    </row>
    <row r="1178" spans="1:38" s="697" customFormat="1" ht="15" customHeight="1">
      <c r="A1178" s="1506"/>
      <c r="B1178" s="59"/>
      <c r="C1178" s="12"/>
      <c r="D1178" s="11"/>
      <c r="E1178" s="11"/>
      <c r="F1178" s="11"/>
      <c r="G1178" s="10"/>
      <c r="H1178" s="10"/>
      <c r="I1178" s="10"/>
      <c r="J1178" s="10"/>
      <c r="K1178" s="10"/>
      <c r="L1178" s="10"/>
      <c r="M1178" s="10"/>
      <c r="N1178" s="10"/>
      <c r="O1178" s="10"/>
      <c r="P1178" s="10"/>
      <c r="Q1178" s="10"/>
      <c r="R1178" s="10"/>
      <c r="S1178" s="10"/>
      <c r="T1178" s="10"/>
      <c r="U1178" s="10"/>
      <c r="V1178" s="10"/>
      <c r="W1178" s="97"/>
      <c r="X1178" s="613"/>
      <c r="Y1178" s="16"/>
      <c r="Z1178" s="10"/>
      <c r="AA1178" s="22"/>
      <c r="AB1178" s="613"/>
      <c r="AC1178" s="613"/>
      <c r="AD1178" s="613"/>
      <c r="AE1178" s="613"/>
      <c r="AF1178" s="613"/>
      <c r="AG1178" s="613"/>
      <c r="AH1178" s="613"/>
      <c r="AI1178" s="613"/>
      <c r="AJ1178" s="613"/>
      <c r="AK1178" s="613"/>
      <c r="AL1178" s="613"/>
    </row>
    <row r="1179" spans="1:38" s="697" customFormat="1" ht="15" thickBot="1">
      <c r="A1179" s="1506"/>
      <c r="B1179" s="59"/>
      <c r="C1179" s="12"/>
      <c r="D1179" s="11"/>
      <c r="E1179" s="11"/>
      <c r="F1179" s="11"/>
      <c r="G1179" s="10"/>
      <c r="H1179" s="10"/>
      <c r="I1179" s="10"/>
      <c r="J1179" s="10"/>
      <c r="K1179" s="10"/>
      <c r="L1179" s="10"/>
      <c r="M1179" s="10"/>
      <c r="N1179" s="10"/>
      <c r="O1179" s="10"/>
      <c r="P1179" s="10"/>
      <c r="Q1179" s="10"/>
      <c r="R1179" s="10"/>
      <c r="S1179" s="10"/>
      <c r="T1179" s="10"/>
      <c r="U1179" s="10"/>
      <c r="V1179" s="10"/>
      <c r="W1179" s="97"/>
      <c r="X1179" s="613"/>
      <c r="Y1179" s="16"/>
      <c r="Z1179" s="10"/>
      <c r="AA1179" s="22"/>
      <c r="AB1179" s="613"/>
      <c r="AC1179" s="613"/>
      <c r="AD1179" s="613"/>
      <c r="AE1179" s="613"/>
      <c r="AF1179" s="613"/>
      <c r="AG1179" s="613"/>
      <c r="AH1179" s="613"/>
      <c r="AI1179" s="613"/>
      <c r="AJ1179" s="613"/>
      <c r="AK1179" s="613"/>
      <c r="AL1179" s="613"/>
    </row>
    <row r="1180" spans="1:38" s="697" customFormat="1" ht="18">
      <c r="A1180" s="1506"/>
      <c r="B1180" s="133" t="s">
        <v>227</v>
      </c>
      <c r="C1180" s="119"/>
      <c r="D1180" s="119"/>
      <c r="E1180" s="119"/>
      <c r="F1180" s="119"/>
      <c r="G1180" s="119"/>
      <c r="H1180" s="119"/>
      <c r="I1180" s="119"/>
      <c r="J1180" s="119"/>
      <c r="K1180" s="119"/>
      <c r="L1180" s="119"/>
      <c r="M1180" s="119"/>
      <c r="N1180" s="119"/>
      <c r="O1180" s="119"/>
      <c r="P1180" s="119"/>
      <c r="Q1180" s="119"/>
      <c r="R1180" s="119"/>
      <c r="S1180" s="119"/>
      <c r="T1180" s="119"/>
      <c r="U1180" s="119"/>
      <c r="V1180" s="119"/>
      <c r="W1180" s="120"/>
      <c r="X1180" s="121"/>
      <c r="Y1180" s="131"/>
      <c r="Z1180" s="133" t="s">
        <v>33</v>
      </c>
      <c r="AA1180" s="123"/>
      <c r="AB1180" s="122"/>
      <c r="AC1180" s="122"/>
      <c r="AD1180" s="122"/>
      <c r="AE1180" s="122"/>
      <c r="AF1180" s="122"/>
      <c r="AG1180" s="122"/>
      <c r="AH1180" s="122"/>
      <c r="AI1180" s="122"/>
      <c r="AJ1180" s="122"/>
      <c r="AK1180" s="122"/>
      <c r="AL1180" s="122"/>
    </row>
    <row r="1181" spans="1:38" s="697" customFormat="1">
      <c r="A1181" s="1506"/>
      <c r="B1181" s="135"/>
      <c r="C1181" s="49"/>
      <c r="D1181" s="11"/>
      <c r="E1181" s="11"/>
      <c r="F1181" s="11"/>
      <c r="G1181" s="10"/>
      <c r="H1181" s="10"/>
      <c r="I1181" s="10"/>
      <c r="J1181" s="10"/>
      <c r="K1181" s="10"/>
      <c r="L1181" s="10"/>
      <c r="M1181" s="10"/>
      <c r="N1181" s="10"/>
      <c r="O1181" s="10"/>
      <c r="P1181" s="10"/>
      <c r="Q1181" s="10"/>
      <c r="R1181" s="10"/>
      <c r="S1181" s="10"/>
      <c r="T1181" s="10"/>
      <c r="U1181" s="10"/>
      <c r="V1181" s="10"/>
      <c r="W1181" s="98"/>
      <c r="X1181" s="39"/>
      <c r="Y1181" s="53"/>
      <c r="Z1181" s="132"/>
      <c r="AA1181" s="22"/>
      <c r="AB1181" s="39"/>
      <c r="AC1181" s="39"/>
      <c r="AD1181" s="39"/>
      <c r="AE1181" s="39"/>
      <c r="AF1181" s="39"/>
      <c r="AG1181" s="39"/>
      <c r="AH1181" s="39"/>
      <c r="AI1181" s="39"/>
      <c r="AJ1181" s="39"/>
      <c r="AK1181" s="39"/>
      <c r="AL1181" s="39"/>
    </row>
    <row r="1182" spans="1:38" s="697" customFormat="1">
      <c r="A1182" s="1506"/>
      <c r="B1182" s="2051" t="s">
        <v>222</v>
      </c>
      <c r="C1182" s="2052"/>
      <c r="D1182" s="44"/>
      <c r="E1182" s="11"/>
      <c r="F1182" s="11"/>
      <c r="G1182" s="10"/>
      <c r="H1182" s="10"/>
      <c r="I1182" s="10"/>
      <c r="J1182" s="10"/>
      <c r="K1182" s="10"/>
      <c r="L1182" s="10"/>
      <c r="M1182" s="10"/>
      <c r="N1182" s="10"/>
      <c r="O1182" s="10"/>
      <c r="P1182" s="10"/>
      <c r="Q1182" s="10"/>
      <c r="R1182" s="10"/>
      <c r="S1182" s="10"/>
      <c r="T1182" s="10"/>
      <c r="U1182" s="10"/>
      <c r="V1182" s="10"/>
      <c r="W1182" s="98"/>
      <c r="X1182" s="39"/>
      <c r="Y1182" s="16"/>
      <c r="Z1182" s="132"/>
      <c r="AA1182" s="22"/>
      <c r="AB1182" s="39"/>
      <c r="AC1182" s="39"/>
      <c r="AD1182" s="39"/>
      <c r="AE1182" s="39"/>
      <c r="AF1182" s="39"/>
      <c r="AG1182" s="39"/>
      <c r="AH1182" s="39"/>
      <c r="AI1182" s="39"/>
      <c r="AJ1182" s="39"/>
      <c r="AK1182" s="39"/>
      <c r="AL1182" s="39"/>
    </row>
    <row r="1183" spans="1:38" s="697" customFormat="1">
      <c r="A1183" s="1506"/>
      <c r="B1183" s="1588" t="s">
        <v>246</v>
      </c>
      <c r="C1183" s="1589">
        <v>5.4880000000000005E-2</v>
      </c>
      <c r="D1183" s="44"/>
      <c r="E1183" s="1512">
        <v>1.1200000000000001</v>
      </c>
      <c r="F1183" s="11"/>
      <c r="G1183" s="10"/>
      <c r="H1183" s="10"/>
      <c r="I1183" s="10"/>
      <c r="J1183" s="10"/>
      <c r="K1183" s="10"/>
      <c r="L1183" s="10"/>
      <c r="M1183" s="10"/>
      <c r="N1183" s="10"/>
      <c r="O1183" s="10"/>
      <c r="P1183" s="10"/>
      <c r="Q1183" s="10"/>
      <c r="R1183" s="10"/>
      <c r="S1183" s="10"/>
      <c r="T1183" s="10"/>
      <c r="U1183" s="10"/>
      <c r="V1183" s="10"/>
      <c r="W1183" s="98"/>
      <c r="X1183" s="39"/>
      <c r="Y1183" s="16"/>
      <c r="Z1183" s="2062" t="s">
        <v>247</v>
      </c>
      <c r="AA1183" s="22"/>
      <c r="AB1183" s="39"/>
      <c r="AC1183" s="39"/>
      <c r="AD1183" s="39"/>
      <c r="AE1183" s="39"/>
      <c r="AF1183" s="39"/>
      <c r="AG1183" s="39"/>
      <c r="AH1183" s="39"/>
      <c r="AI1183" s="39"/>
      <c r="AJ1183" s="39"/>
      <c r="AK1183" s="39"/>
      <c r="AL1183" s="39"/>
    </row>
    <row r="1184" spans="1:38" s="697" customFormat="1">
      <c r="A1184" s="1506"/>
      <c r="B1184" s="44"/>
      <c r="C1184" s="44"/>
      <c r="D1184" s="44"/>
      <c r="E1184" s="11"/>
      <c r="F1184" s="11"/>
      <c r="G1184" s="10"/>
      <c r="H1184" s="10"/>
      <c r="I1184" s="10"/>
      <c r="J1184" s="10"/>
      <c r="K1184" s="10"/>
      <c r="L1184" s="10"/>
      <c r="M1184" s="10"/>
      <c r="N1184" s="10"/>
      <c r="O1184" s="10"/>
      <c r="P1184" s="10"/>
      <c r="Q1184" s="10"/>
      <c r="R1184" s="10"/>
      <c r="S1184" s="10"/>
      <c r="T1184" s="10"/>
      <c r="U1184" s="10"/>
      <c r="V1184" s="10"/>
      <c r="W1184" s="98"/>
      <c r="X1184" s="39"/>
      <c r="Y1184" s="16"/>
      <c r="Z1184" s="2062"/>
      <c r="AA1184" s="22"/>
      <c r="AB1184" s="39"/>
      <c r="AC1184" s="39"/>
      <c r="AD1184" s="39"/>
      <c r="AE1184" s="39"/>
      <c r="AF1184" s="39"/>
      <c r="AG1184" s="39"/>
      <c r="AH1184" s="39"/>
      <c r="AI1184" s="39"/>
      <c r="AJ1184" s="39"/>
      <c r="AK1184" s="39"/>
      <c r="AL1184" s="39"/>
    </row>
    <row r="1185" spans="1:38" s="697" customFormat="1">
      <c r="A1185" s="1506"/>
      <c r="B1185" s="135"/>
      <c r="C1185" s="49"/>
      <c r="D1185" s="11"/>
      <c r="E1185" s="10"/>
      <c r="F1185" s="10"/>
      <c r="G1185" s="10"/>
      <c r="H1185" s="10"/>
      <c r="I1185" s="10"/>
      <c r="J1185" s="10"/>
      <c r="K1185" s="10"/>
      <c r="L1185" s="10"/>
      <c r="M1185" s="10"/>
      <c r="N1185" s="10"/>
      <c r="O1185" s="10"/>
      <c r="P1185" s="10"/>
      <c r="Q1185" s="10"/>
      <c r="R1185" s="10"/>
      <c r="S1185" s="10"/>
      <c r="T1185" s="10"/>
      <c r="U1185" s="10"/>
      <c r="V1185" s="10"/>
      <c r="W1185" s="98"/>
      <c r="X1185" s="39"/>
      <c r="Y1185" s="16"/>
      <c r="Z1185" s="132"/>
      <c r="AA1185" s="22"/>
      <c r="AB1185" s="39"/>
      <c r="AC1185" s="39"/>
      <c r="AD1185" s="39"/>
      <c r="AE1185" s="39"/>
      <c r="AF1185" s="39"/>
      <c r="AG1185" s="39"/>
      <c r="AH1185" s="39"/>
      <c r="AI1185" s="39"/>
      <c r="AJ1185" s="39"/>
      <c r="AK1185" s="39"/>
      <c r="AL1185" s="39"/>
    </row>
    <row r="1186" spans="1:38" s="697" customFormat="1">
      <c r="A1186" s="1506"/>
      <c r="B1186" s="1911" t="s">
        <v>315</v>
      </c>
      <c r="C1186" s="1912"/>
      <c r="D1186" s="1913"/>
      <c r="E1186" s="10"/>
      <c r="F1186" s="10"/>
      <c r="G1186" s="10"/>
      <c r="H1186" s="10"/>
      <c r="I1186" s="10"/>
      <c r="J1186" s="10"/>
      <c r="K1186" s="10"/>
      <c r="L1186" s="10"/>
      <c r="M1186" s="10"/>
      <c r="N1186" s="10"/>
      <c r="O1186" s="10"/>
      <c r="P1186" s="10"/>
      <c r="Q1186" s="10"/>
      <c r="R1186" s="10"/>
      <c r="S1186" s="10"/>
      <c r="T1186" s="10"/>
      <c r="U1186" s="10"/>
      <c r="V1186" s="10"/>
      <c r="W1186" s="98"/>
      <c r="X1186" s="39"/>
      <c r="Y1186" s="16"/>
      <c r="Z1186" s="132"/>
      <c r="AA1186" s="22"/>
      <c r="AB1186" s="39"/>
      <c r="AC1186" s="39"/>
      <c r="AD1186" s="39"/>
      <c r="AE1186" s="39"/>
      <c r="AF1186" s="39"/>
      <c r="AG1186" s="39"/>
      <c r="AH1186" s="39"/>
      <c r="AI1186" s="39"/>
      <c r="AJ1186" s="39"/>
      <c r="AK1186" s="39"/>
      <c r="AL1186" s="39"/>
    </row>
    <row r="1187" spans="1:38" s="697" customFormat="1" ht="86.4">
      <c r="A1187" s="1506"/>
      <c r="B1187" s="2015" t="s">
        <v>22</v>
      </c>
      <c r="C1187" s="2016"/>
      <c r="D1187" s="238" t="s">
        <v>31</v>
      </c>
      <c r="E1187" s="10"/>
      <c r="F1187" s="10"/>
      <c r="G1187" s="10"/>
      <c r="H1187" s="10"/>
      <c r="I1187" s="10"/>
      <c r="J1187" s="10"/>
      <c r="K1187" s="10"/>
      <c r="L1187" s="10"/>
      <c r="M1187" s="10"/>
      <c r="N1187" s="10"/>
      <c r="O1187" s="10"/>
      <c r="P1187" s="10"/>
      <c r="Q1187" s="10"/>
      <c r="R1187" s="10"/>
      <c r="S1187" s="10"/>
      <c r="T1187" s="10"/>
      <c r="U1187" s="10"/>
      <c r="V1187" s="10"/>
      <c r="W1187" s="98"/>
      <c r="X1187" s="39"/>
      <c r="Y1187" s="16"/>
      <c r="Z1187" s="132" t="s">
        <v>34</v>
      </c>
      <c r="AA1187" s="22"/>
      <c r="AB1187" s="39"/>
      <c r="AC1187" s="39"/>
      <c r="AD1187" s="39"/>
      <c r="AE1187" s="39"/>
      <c r="AF1187" s="39"/>
      <c r="AG1187" s="39"/>
      <c r="AH1187" s="39"/>
      <c r="AI1187" s="39"/>
      <c r="AJ1187" s="39"/>
      <c r="AK1187" s="39"/>
      <c r="AL1187" s="39"/>
    </row>
    <row r="1188" spans="1:38" s="1486" customFormat="1">
      <c r="A1188" s="679"/>
      <c r="B1188" s="1914" t="s">
        <v>357</v>
      </c>
      <c r="C1188" s="1915"/>
      <c r="D1188" s="231">
        <v>700</v>
      </c>
      <c r="E1188" s="335"/>
      <c r="F1188" s="10"/>
      <c r="G1188" s="10"/>
      <c r="H1188" s="10"/>
      <c r="I1188" s="10"/>
      <c r="J1188" s="10"/>
      <c r="K1188" s="10"/>
      <c r="L1188" s="10"/>
      <c r="M1188" s="10"/>
      <c r="N1188" s="10"/>
      <c r="O1188" s="10"/>
      <c r="P1188" s="10"/>
      <c r="Q1188" s="10"/>
      <c r="R1188" s="10"/>
      <c r="S1188" s="10"/>
      <c r="T1188" s="10"/>
      <c r="U1188" s="10"/>
      <c r="V1188" s="10"/>
      <c r="W1188" s="98"/>
      <c r="X1188" s="39"/>
      <c r="Y1188" s="16"/>
      <c r="Z1188" s="2062" t="s">
        <v>567</v>
      </c>
      <c r="AA1188" s="22"/>
      <c r="AB1188" s="39"/>
      <c r="AC1188" s="39"/>
      <c r="AD1188" s="39"/>
      <c r="AE1188" s="39"/>
      <c r="AF1188" s="39"/>
      <c r="AG1188" s="39"/>
      <c r="AH1188" s="39"/>
      <c r="AI1188" s="39"/>
      <c r="AJ1188" s="39"/>
      <c r="AK1188" s="39"/>
      <c r="AL1188" s="39"/>
    </row>
    <row r="1189" spans="1:38" s="1486" customFormat="1">
      <c r="A1189" s="679"/>
      <c r="B1189" s="1914" t="s">
        <v>587</v>
      </c>
      <c r="C1189" s="1915"/>
      <c r="D1189" s="231">
        <v>3600</v>
      </c>
      <c r="E1189" s="335"/>
      <c r="F1189" s="10"/>
      <c r="G1189" s="10"/>
      <c r="H1189" s="10"/>
      <c r="I1189" s="10"/>
      <c r="J1189" s="10"/>
      <c r="K1189" s="10"/>
      <c r="L1189" s="10"/>
      <c r="M1189" s="10"/>
      <c r="N1189" s="10"/>
      <c r="O1189" s="10"/>
      <c r="P1189" s="10"/>
      <c r="Q1189" s="10"/>
      <c r="R1189" s="10"/>
      <c r="S1189" s="10"/>
      <c r="T1189" s="10"/>
      <c r="U1189" s="10"/>
      <c r="V1189" s="10"/>
      <c r="W1189" s="98"/>
      <c r="X1189" s="39"/>
      <c r="Y1189" s="16"/>
      <c r="Z1189" s="2062"/>
      <c r="AA1189" s="22"/>
      <c r="AB1189" s="39"/>
      <c r="AC1189" s="39"/>
      <c r="AD1189" s="39"/>
      <c r="AE1189" s="39"/>
      <c r="AF1189" s="39"/>
      <c r="AG1189" s="39"/>
      <c r="AH1189" s="39"/>
      <c r="AI1189" s="39"/>
      <c r="AJ1189" s="39"/>
      <c r="AK1189" s="39"/>
      <c r="AL1189" s="39"/>
    </row>
    <row r="1190" spans="1:38" s="1486" customFormat="1">
      <c r="A1190" s="679"/>
      <c r="B1190" s="39"/>
      <c r="C1190" s="39"/>
      <c r="D1190" s="39"/>
      <c r="E1190" s="10">
        <v>1</v>
      </c>
      <c r="F1190" s="10"/>
      <c r="G1190" s="10"/>
      <c r="H1190" s="10"/>
      <c r="I1190" s="10"/>
      <c r="J1190" s="10"/>
      <c r="K1190" s="10"/>
      <c r="L1190" s="10"/>
      <c r="M1190" s="10"/>
      <c r="N1190" s="10"/>
      <c r="O1190" s="10"/>
      <c r="P1190" s="10"/>
      <c r="Q1190" s="10"/>
      <c r="R1190" s="10"/>
      <c r="S1190" s="10"/>
      <c r="T1190" s="10"/>
      <c r="U1190" s="10"/>
      <c r="V1190" s="10"/>
      <c r="W1190" s="98"/>
      <c r="X1190" s="39"/>
      <c r="Y1190" s="16"/>
      <c r="Z1190" s="2062"/>
      <c r="AA1190" s="22"/>
      <c r="AB1190" s="39"/>
      <c r="AC1190" s="39"/>
      <c r="AD1190" s="39"/>
      <c r="AE1190" s="39"/>
      <c r="AF1190" s="39"/>
      <c r="AG1190" s="39"/>
      <c r="AH1190" s="39"/>
      <c r="AI1190" s="39"/>
      <c r="AJ1190" s="39"/>
      <c r="AK1190" s="39"/>
      <c r="AL1190" s="39"/>
    </row>
    <row r="1191" spans="1:38" s="1486" customFormat="1">
      <c r="A1191" s="679"/>
      <c r="B1191" s="39"/>
      <c r="C1191" s="39"/>
      <c r="D1191" s="39"/>
      <c r="E1191" s="39"/>
      <c r="F1191" s="39"/>
      <c r="G1191" s="10"/>
      <c r="H1191" s="10"/>
      <c r="I1191" s="10"/>
      <c r="J1191" s="10"/>
      <c r="K1191" s="10"/>
      <c r="L1191" s="10"/>
      <c r="M1191" s="10"/>
      <c r="N1191" s="10"/>
      <c r="O1191" s="10"/>
      <c r="P1191" s="10"/>
      <c r="Q1191" s="10"/>
      <c r="R1191" s="10"/>
      <c r="S1191" s="10"/>
      <c r="T1191" s="10"/>
      <c r="U1191" s="10"/>
      <c r="V1191" s="10"/>
      <c r="W1191" s="98"/>
      <c r="X1191" s="39"/>
      <c r="Y1191" s="16"/>
      <c r="Z1191" s="2062"/>
      <c r="AA1191" s="22"/>
      <c r="AB1191" s="39"/>
      <c r="AC1191" s="39"/>
      <c r="AD1191" s="39"/>
      <c r="AE1191" s="39"/>
      <c r="AF1191" s="39"/>
      <c r="AG1191" s="39"/>
      <c r="AH1191" s="39"/>
      <c r="AI1191" s="39"/>
      <c r="AJ1191" s="39"/>
      <c r="AK1191" s="39"/>
      <c r="AL1191" s="39"/>
    </row>
    <row r="1192" spans="1:38" s="1486" customFormat="1">
      <c r="A1192" s="679"/>
      <c r="B1192" s="2011" t="s">
        <v>308</v>
      </c>
      <c r="C1192" s="2012"/>
      <c r="D1192" s="2012"/>
      <c r="E1192" s="2012"/>
      <c r="F1192" s="2013"/>
      <c r="G1192" s="1505" t="s">
        <v>2126</v>
      </c>
      <c r="H1192" s="10"/>
      <c r="I1192" s="10"/>
      <c r="J1192" s="10"/>
      <c r="K1192" s="10"/>
      <c r="L1192" s="10"/>
      <c r="M1192" s="10"/>
      <c r="N1192" s="10"/>
      <c r="O1192" s="10"/>
      <c r="P1192" s="10"/>
      <c r="Q1192" s="10"/>
      <c r="R1192" s="10"/>
      <c r="S1192" s="10"/>
      <c r="T1192" s="10"/>
      <c r="U1192" s="10"/>
      <c r="V1192" s="10"/>
      <c r="W1192" s="98"/>
      <c r="X1192" s="39"/>
      <c r="Y1192" s="16"/>
      <c r="Z1192" s="2062"/>
      <c r="AA1192" s="22"/>
      <c r="AB1192" s="39"/>
      <c r="AC1192" s="39"/>
      <c r="AD1192" s="39"/>
      <c r="AE1192" s="39"/>
      <c r="AF1192" s="39"/>
      <c r="AG1192" s="39"/>
      <c r="AH1192" s="39"/>
      <c r="AI1192" s="39"/>
      <c r="AJ1192" s="39"/>
      <c r="AK1192" s="39"/>
      <c r="AL1192" s="39"/>
    </row>
    <row r="1193" spans="1:38" s="39" customFormat="1">
      <c r="A1193" s="141"/>
      <c r="B1193" s="238" t="s">
        <v>22</v>
      </c>
      <c r="C1193" s="238" t="s">
        <v>19</v>
      </c>
      <c r="D1193" s="238" t="s">
        <v>48</v>
      </c>
      <c r="E1193" s="238" t="s">
        <v>20</v>
      </c>
      <c r="F1193" s="238" t="s">
        <v>134</v>
      </c>
      <c r="G1193" s="10"/>
      <c r="H1193" s="10"/>
      <c r="I1193" s="10"/>
      <c r="J1193" s="10"/>
      <c r="K1193" s="10"/>
      <c r="L1193" s="10"/>
      <c r="M1193" s="10"/>
      <c r="N1193" s="10"/>
      <c r="O1193" s="10"/>
      <c r="P1193" s="10"/>
      <c r="Q1193" s="10"/>
      <c r="R1193" s="10"/>
      <c r="S1193" s="10"/>
      <c r="T1193" s="10"/>
      <c r="U1193" s="10"/>
      <c r="V1193" s="10"/>
      <c r="W1193" s="98"/>
      <c r="Y1193" s="16"/>
      <c r="Z1193" s="151"/>
      <c r="AA1193" s="22"/>
    </row>
    <row r="1194" spans="1:38" s="613" customFormat="1">
      <c r="A1194" s="141"/>
      <c r="B1194" s="1590" t="s">
        <v>100</v>
      </c>
      <c r="C1194" s="1590">
        <v>5</v>
      </c>
      <c r="D1194" s="2008" t="s">
        <v>309</v>
      </c>
      <c r="E1194" s="1591">
        <v>16.445</v>
      </c>
      <c r="F1194" s="2005" t="s">
        <v>354</v>
      </c>
      <c r="G1194" s="1504">
        <v>1.1499999999999999</v>
      </c>
      <c r="H1194" s="1504"/>
      <c r="I1194" s="1504"/>
      <c r="J1194" s="1504"/>
      <c r="K1194" s="1504"/>
      <c r="L1194" s="1504"/>
      <c r="M1194" s="1504"/>
      <c r="N1194" s="1504"/>
      <c r="O1194" s="1504"/>
      <c r="P1194" s="1504"/>
      <c r="Q1194" s="1504"/>
      <c r="R1194" s="1504"/>
      <c r="S1194" s="1504"/>
      <c r="T1194" s="1504"/>
      <c r="U1194" s="1504"/>
      <c r="V1194" s="1504"/>
      <c r="W1194" s="1507"/>
      <c r="X1194" s="697"/>
      <c r="Y1194" s="1508"/>
      <c r="Z1194" s="2065" t="s">
        <v>263</v>
      </c>
      <c r="AA1194" s="1509"/>
      <c r="AB1194" s="697"/>
      <c r="AC1194" s="697"/>
      <c r="AD1194" s="697"/>
      <c r="AE1194" s="697"/>
      <c r="AF1194" s="697"/>
      <c r="AG1194" s="697"/>
      <c r="AH1194" s="697"/>
      <c r="AI1194" s="697"/>
      <c r="AJ1194" s="697"/>
      <c r="AK1194" s="697"/>
      <c r="AL1194" s="697"/>
    </row>
    <row r="1195" spans="1:38" s="613" customFormat="1">
      <c r="A1195" s="141"/>
      <c r="B1195" s="1590" t="s">
        <v>44</v>
      </c>
      <c r="C1195" s="1590">
        <v>10</v>
      </c>
      <c r="D1195" s="2009"/>
      <c r="E1195" s="1591">
        <v>31.624999999999996</v>
      </c>
      <c r="F1195" s="2006"/>
      <c r="G1195" s="1504"/>
      <c r="H1195" s="1504"/>
      <c r="I1195" s="1504"/>
      <c r="J1195" s="1504"/>
      <c r="K1195" s="1504"/>
      <c r="L1195" s="1504"/>
      <c r="M1195" s="1504"/>
      <c r="N1195" s="1504"/>
      <c r="O1195" s="1504"/>
      <c r="P1195" s="1504"/>
      <c r="Q1195" s="1504"/>
      <c r="R1195" s="1504"/>
      <c r="S1195" s="1504"/>
      <c r="T1195" s="1504"/>
      <c r="U1195" s="1504"/>
      <c r="V1195" s="1504"/>
      <c r="W1195" s="1507"/>
      <c r="X1195" s="697"/>
      <c r="Y1195" s="1508"/>
      <c r="Z1195" s="2065"/>
      <c r="AA1195" s="1509"/>
      <c r="AB1195" s="697"/>
      <c r="AC1195" s="697"/>
      <c r="AD1195" s="697"/>
      <c r="AE1195" s="697"/>
      <c r="AF1195" s="697"/>
      <c r="AG1195" s="697"/>
      <c r="AH1195" s="697"/>
      <c r="AI1195" s="697"/>
      <c r="AJ1195" s="697"/>
      <c r="AK1195" s="697"/>
      <c r="AL1195" s="697"/>
    </row>
    <row r="1196" spans="1:38" s="613" customFormat="1">
      <c r="A1196" s="141"/>
      <c r="B1196" s="1590" t="s">
        <v>45</v>
      </c>
      <c r="C1196" s="1590">
        <v>20</v>
      </c>
      <c r="D1196" s="2009"/>
      <c r="E1196" s="1591">
        <v>59.454999999999998</v>
      </c>
      <c r="F1196" s="2006"/>
      <c r="G1196" s="1504" t="s">
        <v>2127</v>
      </c>
      <c r="H1196" s="1504"/>
      <c r="I1196" s="1504"/>
      <c r="J1196" s="1504"/>
      <c r="K1196" s="1504"/>
      <c r="L1196" s="1504"/>
      <c r="M1196" s="1504"/>
      <c r="N1196" s="1504"/>
      <c r="O1196" s="1504"/>
      <c r="P1196" s="1504"/>
      <c r="Q1196" s="1504"/>
      <c r="R1196" s="1504"/>
      <c r="S1196" s="1504"/>
      <c r="T1196" s="1504"/>
      <c r="U1196" s="1504"/>
      <c r="V1196" s="1504"/>
      <c r="W1196" s="1507"/>
      <c r="X1196" s="697"/>
      <c r="Y1196" s="1508"/>
      <c r="Z1196" s="2066"/>
      <c r="AA1196" s="1509"/>
      <c r="AB1196" s="697"/>
      <c r="AC1196" s="697"/>
      <c r="AD1196" s="697"/>
      <c r="AE1196" s="697"/>
      <c r="AF1196" s="697"/>
      <c r="AG1196" s="697"/>
      <c r="AH1196" s="697"/>
      <c r="AI1196" s="697"/>
      <c r="AJ1196" s="697"/>
      <c r="AK1196" s="697"/>
      <c r="AL1196" s="697"/>
    </row>
    <row r="1197" spans="1:38" s="613" customFormat="1">
      <c r="A1197" s="141"/>
      <c r="B1197" s="1590" t="s">
        <v>311</v>
      </c>
      <c r="C1197" s="1592">
        <v>30</v>
      </c>
      <c r="D1197" s="2009"/>
      <c r="E1197" s="1591">
        <v>89.814999999999984</v>
      </c>
      <c r="F1197" s="2006"/>
      <c r="G1197" s="1504"/>
      <c r="H1197" s="1504"/>
      <c r="I1197" s="1504"/>
      <c r="J1197" s="1504"/>
      <c r="K1197" s="1504"/>
      <c r="L1197" s="1504"/>
      <c r="M1197" s="1504"/>
      <c r="N1197" s="1504"/>
      <c r="O1197" s="1504"/>
      <c r="P1197" s="1504"/>
      <c r="Q1197" s="1504"/>
      <c r="R1197" s="1504"/>
      <c r="S1197" s="1504"/>
      <c r="T1197" s="1504"/>
      <c r="U1197" s="1504"/>
      <c r="V1197" s="1504"/>
      <c r="W1197" s="1507"/>
      <c r="X1197" s="697"/>
      <c r="Y1197" s="1508"/>
      <c r="Z1197" s="2066"/>
      <c r="AA1197" s="1509"/>
      <c r="AB1197" s="697"/>
      <c r="AC1197" s="697"/>
      <c r="AD1197" s="697"/>
      <c r="AE1197" s="697"/>
      <c r="AF1197" s="697"/>
      <c r="AG1197" s="697"/>
      <c r="AH1197" s="697"/>
      <c r="AI1197" s="697"/>
      <c r="AJ1197" s="697"/>
      <c r="AK1197" s="697"/>
      <c r="AL1197" s="697"/>
    </row>
    <row r="1198" spans="1:38" s="613" customFormat="1">
      <c r="A1198" s="141"/>
      <c r="B1198" s="1590" t="s">
        <v>312</v>
      </c>
      <c r="C1198" s="1592">
        <v>40</v>
      </c>
      <c r="D1198" s="2009"/>
      <c r="E1198" s="1591">
        <v>111.32</v>
      </c>
      <c r="F1198" s="2006"/>
      <c r="G1198" s="1504"/>
      <c r="H1198" s="1504"/>
      <c r="I1198" s="1504"/>
      <c r="J1198" s="1504"/>
      <c r="K1198" s="1504"/>
      <c r="L1198" s="1504"/>
      <c r="M1198" s="1504"/>
      <c r="N1198" s="1504"/>
      <c r="O1198" s="1504"/>
      <c r="P1198" s="1504"/>
      <c r="Q1198" s="1504"/>
      <c r="R1198" s="1504"/>
      <c r="S1198" s="1504"/>
      <c r="T1198" s="1504"/>
      <c r="U1198" s="1504"/>
      <c r="V1198" s="1504"/>
      <c r="W1198" s="1507"/>
      <c r="X1198" s="697"/>
      <c r="Y1198" s="1508"/>
      <c r="Z1198" s="2066"/>
      <c r="AA1198" s="1509"/>
      <c r="AB1198" s="697"/>
      <c r="AC1198" s="697"/>
      <c r="AD1198" s="697"/>
      <c r="AE1198" s="697"/>
      <c r="AF1198" s="697"/>
      <c r="AG1198" s="697"/>
      <c r="AH1198" s="697"/>
      <c r="AI1198" s="697"/>
      <c r="AJ1198" s="697"/>
      <c r="AK1198" s="697"/>
      <c r="AL1198" s="697"/>
    </row>
    <row r="1199" spans="1:38" s="613" customFormat="1">
      <c r="A1199" s="141"/>
      <c r="B1199" s="1590" t="s">
        <v>46</v>
      </c>
      <c r="C1199" s="1590">
        <v>50</v>
      </c>
      <c r="D1199" s="2009"/>
      <c r="E1199" s="1591">
        <v>129.03</v>
      </c>
      <c r="F1199" s="2006"/>
      <c r="G1199" s="1504"/>
      <c r="H1199" s="1504"/>
      <c r="I1199" s="1504"/>
      <c r="J1199" s="1504"/>
      <c r="K1199" s="1504"/>
      <c r="L1199" s="1504"/>
      <c r="M1199" s="1504"/>
      <c r="N1199" s="1504"/>
      <c r="O1199" s="1504"/>
      <c r="P1199" s="1504"/>
      <c r="Q1199" s="1504"/>
      <c r="R1199" s="1504"/>
      <c r="S1199" s="1504"/>
      <c r="T1199" s="1504"/>
      <c r="U1199" s="1504"/>
      <c r="V1199" s="1504"/>
      <c r="W1199" s="1507"/>
      <c r="X1199" s="1510"/>
      <c r="Y1199" s="1508"/>
      <c r="Z1199" s="2066"/>
      <c r="AA1199" s="1509"/>
      <c r="AB1199" s="697"/>
      <c r="AC1199" s="697"/>
      <c r="AD1199" s="697"/>
      <c r="AE1199" s="697"/>
      <c r="AF1199" s="697"/>
      <c r="AG1199" s="697"/>
      <c r="AH1199" s="697"/>
      <c r="AI1199" s="697"/>
      <c r="AJ1199" s="697"/>
      <c r="AK1199" s="697"/>
      <c r="AL1199" s="697"/>
    </row>
    <row r="1200" spans="1:38" s="613" customFormat="1">
      <c r="A1200" s="141"/>
      <c r="B1200" s="1590" t="s">
        <v>47</v>
      </c>
      <c r="C1200" s="1590">
        <v>100</v>
      </c>
      <c r="D1200" s="2009"/>
      <c r="E1200" s="1591">
        <v>239.07349999999997</v>
      </c>
      <c r="F1200" s="2006"/>
      <c r="G1200" s="1504"/>
      <c r="H1200" s="1504"/>
      <c r="I1200" s="1504"/>
      <c r="J1200" s="1504"/>
      <c r="K1200" s="1504"/>
      <c r="L1200" s="1504"/>
      <c r="M1200" s="1504"/>
      <c r="N1200" s="1504"/>
      <c r="O1200" s="1504"/>
      <c r="P1200" s="1504"/>
      <c r="Q1200" s="1504"/>
      <c r="R1200" s="1504"/>
      <c r="S1200" s="1504"/>
      <c r="T1200" s="1504"/>
      <c r="U1200" s="1504"/>
      <c r="V1200" s="1504"/>
      <c r="W1200" s="1507"/>
      <c r="X1200" s="1510"/>
      <c r="Y1200" s="1508"/>
      <c r="Z1200" s="2066"/>
      <c r="AA1200" s="1509"/>
      <c r="AB1200" s="697"/>
      <c r="AC1200" s="697"/>
      <c r="AD1200" s="697"/>
      <c r="AE1200" s="697"/>
      <c r="AF1200" s="697"/>
      <c r="AG1200" s="697"/>
      <c r="AH1200" s="697"/>
      <c r="AI1200" s="697"/>
      <c r="AJ1200" s="697"/>
      <c r="AK1200" s="697"/>
      <c r="AL1200" s="697"/>
    </row>
    <row r="1201" spans="1:38" s="613" customFormat="1">
      <c r="A1201" s="141"/>
      <c r="B1201" s="1590" t="s">
        <v>132</v>
      </c>
      <c r="C1201" s="1593">
        <v>200</v>
      </c>
      <c r="D1201" s="2009"/>
      <c r="E1201" s="1591">
        <v>387.09</v>
      </c>
      <c r="F1201" s="2006"/>
      <c r="G1201" s="1504"/>
      <c r="H1201" s="1504"/>
      <c r="I1201" s="1504"/>
      <c r="J1201" s="1504"/>
      <c r="K1201" s="1504"/>
      <c r="L1201" s="1504"/>
      <c r="M1201" s="1504"/>
      <c r="N1201" s="1504"/>
      <c r="O1201" s="1504"/>
      <c r="P1201" s="1504"/>
      <c r="Q1201" s="1504"/>
      <c r="R1201" s="1504"/>
      <c r="S1201" s="1504"/>
      <c r="T1201" s="1504"/>
      <c r="U1201" s="1504"/>
      <c r="V1201" s="1504"/>
      <c r="W1201" s="1507"/>
      <c r="X1201" s="1510"/>
      <c r="Y1201" s="1508"/>
      <c r="Z1201" s="2066"/>
      <c r="AA1201" s="1509"/>
      <c r="AB1201" s="697"/>
      <c r="AC1201" s="697"/>
      <c r="AD1201" s="697"/>
      <c r="AE1201" s="697"/>
      <c r="AF1201" s="697"/>
      <c r="AG1201" s="697"/>
      <c r="AH1201" s="697"/>
      <c r="AI1201" s="697"/>
      <c r="AJ1201" s="697"/>
      <c r="AK1201" s="697"/>
      <c r="AL1201" s="697"/>
    </row>
    <row r="1202" spans="1:38" s="613" customFormat="1">
      <c r="A1202" s="141"/>
      <c r="B1202" s="1590" t="s">
        <v>310</v>
      </c>
      <c r="C1202" s="1592">
        <v>300</v>
      </c>
      <c r="D1202" s="2009"/>
      <c r="E1202" s="1591">
        <v>580.63499999999988</v>
      </c>
      <c r="F1202" s="2006"/>
      <c r="G1202" s="1504"/>
      <c r="H1202" s="1504"/>
      <c r="I1202" s="1504"/>
      <c r="J1202" s="1504"/>
      <c r="K1202" s="1504"/>
      <c r="L1202" s="1504"/>
      <c r="M1202" s="1504"/>
      <c r="N1202" s="1504"/>
      <c r="O1202" s="1504"/>
      <c r="P1202" s="1504"/>
      <c r="Q1202" s="1504"/>
      <c r="R1202" s="1504"/>
      <c r="S1202" s="1504"/>
      <c r="T1202" s="1504"/>
      <c r="U1202" s="1504"/>
      <c r="V1202" s="1504"/>
      <c r="W1202" s="1507"/>
      <c r="X1202" s="1510"/>
      <c r="Y1202" s="1508"/>
      <c r="Z1202" s="2066"/>
      <c r="AA1202" s="1509"/>
      <c r="AB1202" s="697"/>
      <c r="AC1202" s="697"/>
      <c r="AD1202" s="697"/>
      <c r="AE1202" s="697"/>
      <c r="AF1202" s="697"/>
      <c r="AG1202" s="697"/>
      <c r="AH1202" s="697"/>
      <c r="AI1202" s="697"/>
      <c r="AJ1202" s="697"/>
      <c r="AK1202" s="697"/>
      <c r="AL1202" s="697"/>
    </row>
    <row r="1203" spans="1:38" s="613" customFormat="1">
      <c r="A1203" s="141"/>
      <c r="B1203" s="1590" t="s">
        <v>133</v>
      </c>
      <c r="C1203" s="1590">
        <v>500</v>
      </c>
      <c r="D1203" s="2009"/>
      <c r="E1203" s="1591">
        <v>683.09999999999991</v>
      </c>
      <c r="F1203" s="2006"/>
      <c r="G1203" s="1504"/>
      <c r="H1203" s="1504"/>
      <c r="I1203" s="1504"/>
      <c r="J1203" s="1504"/>
      <c r="K1203" s="697"/>
      <c r="L1203" s="697"/>
      <c r="M1203" s="697"/>
      <c r="N1203" s="1504"/>
      <c r="O1203" s="1504"/>
      <c r="P1203" s="1504"/>
      <c r="Q1203" s="697"/>
      <c r="R1203" s="697"/>
      <c r="S1203" s="1504"/>
      <c r="T1203" s="1504"/>
      <c r="U1203" s="1504"/>
      <c r="V1203" s="1504"/>
      <c r="W1203" s="1507"/>
      <c r="X1203" s="1510"/>
      <c r="Y1203" s="1508"/>
      <c r="Z1203" s="2066"/>
      <c r="AA1203" s="1509"/>
      <c r="AB1203" s="697"/>
      <c r="AC1203" s="697"/>
      <c r="AD1203" s="697"/>
      <c r="AE1203" s="697"/>
      <c r="AF1203" s="697"/>
      <c r="AG1203" s="697"/>
      <c r="AH1203" s="697"/>
      <c r="AI1203" s="697"/>
      <c r="AJ1203" s="697"/>
      <c r="AK1203" s="697"/>
      <c r="AL1203" s="697"/>
    </row>
    <row r="1204" spans="1:38" s="613" customFormat="1">
      <c r="A1204" s="141"/>
      <c r="B1204" s="1590" t="s">
        <v>545</v>
      </c>
      <c r="C1204" s="1590">
        <v>1000</v>
      </c>
      <c r="D1204" s="2009"/>
      <c r="E1204" s="1591">
        <v>1138.5</v>
      </c>
      <c r="F1204" s="2006"/>
      <c r="G1204" s="1485">
        <v>451</v>
      </c>
      <c r="H1204" s="1485"/>
      <c r="I1204" s="1485"/>
      <c r="J1204" s="1485"/>
      <c r="K1204" s="1486"/>
      <c r="L1204" s="1486"/>
      <c r="M1204" s="1486"/>
      <c r="N1204" s="1485"/>
      <c r="O1204" s="1485"/>
      <c r="P1204" s="1485"/>
      <c r="Q1204" s="1486"/>
      <c r="R1204" s="1486"/>
      <c r="S1204" s="1485"/>
      <c r="T1204" s="1485"/>
      <c r="U1204" s="1485"/>
      <c r="V1204" s="1485"/>
      <c r="W1204" s="1531"/>
      <c r="X1204" s="1497"/>
      <c r="Y1204" s="1359"/>
      <c r="Z1204" s="2066"/>
      <c r="AA1204" s="1360"/>
      <c r="AB1204" s="1486"/>
      <c r="AC1204" s="1486"/>
      <c r="AD1204" s="1486"/>
      <c r="AE1204" s="1486"/>
      <c r="AF1204" s="1486"/>
      <c r="AG1204" s="1486"/>
      <c r="AH1204" s="1486"/>
      <c r="AI1204" s="1486"/>
      <c r="AJ1204" s="1486"/>
      <c r="AK1204" s="1486"/>
      <c r="AL1204" s="1486"/>
    </row>
    <row r="1205" spans="1:38" s="613" customFormat="1">
      <c r="A1205" s="141"/>
      <c r="B1205" s="1590" t="s">
        <v>568</v>
      </c>
      <c r="C1205" s="1592">
        <v>2000</v>
      </c>
      <c r="D1205" s="2009"/>
      <c r="E1205" s="1591">
        <v>1911.4149999999997</v>
      </c>
      <c r="F1205" s="2006"/>
      <c r="G1205" s="1485"/>
      <c r="H1205" s="1485"/>
      <c r="I1205" s="1485"/>
      <c r="J1205" s="1485"/>
      <c r="K1205" s="1486"/>
      <c r="L1205" s="1486"/>
      <c r="M1205" s="1486"/>
      <c r="N1205" s="1485"/>
      <c r="O1205" s="1485"/>
      <c r="P1205" s="1485"/>
      <c r="Q1205" s="1486"/>
      <c r="R1205" s="1486"/>
      <c r="S1205" s="1485"/>
      <c r="T1205" s="1485"/>
      <c r="U1205" s="1485"/>
      <c r="V1205" s="1485"/>
      <c r="W1205" s="1531"/>
      <c r="X1205" s="1497"/>
      <c r="Y1205" s="1359"/>
      <c r="Z1205" s="2066"/>
      <c r="AA1205" s="1360"/>
      <c r="AB1205" s="1486"/>
      <c r="AC1205" s="1486"/>
      <c r="AD1205" s="1486"/>
      <c r="AE1205" s="1486"/>
      <c r="AF1205" s="1486"/>
      <c r="AG1205" s="1486"/>
      <c r="AH1205" s="1486"/>
      <c r="AI1205" s="1486"/>
      <c r="AJ1205" s="1486"/>
      <c r="AK1205" s="1486"/>
      <c r="AL1205" s="1486"/>
    </row>
    <row r="1206" spans="1:38" s="613" customFormat="1">
      <c r="A1206" s="141"/>
      <c r="B1206" s="1590" t="s">
        <v>588</v>
      </c>
      <c r="C1206" s="1592">
        <v>5000</v>
      </c>
      <c r="D1206" s="2009"/>
      <c r="E1206" s="1591">
        <v>8796.81</v>
      </c>
      <c r="F1206" s="2006"/>
      <c r="G1206" s="1485"/>
      <c r="H1206" s="1485"/>
      <c r="I1206" s="1485"/>
      <c r="J1206" s="1485"/>
      <c r="K1206" s="1486"/>
      <c r="L1206" s="1486"/>
      <c r="M1206" s="1486"/>
      <c r="N1206" s="1485"/>
      <c r="O1206" s="1485"/>
      <c r="P1206" s="1485"/>
      <c r="Q1206" s="1486"/>
      <c r="R1206" s="1486"/>
      <c r="S1206" s="1485"/>
      <c r="T1206" s="1485"/>
      <c r="U1206" s="1485"/>
      <c r="V1206" s="1485"/>
      <c r="W1206" s="1531"/>
      <c r="X1206" s="1497"/>
      <c r="Y1206" s="1359"/>
      <c r="Z1206" s="2066"/>
      <c r="AA1206" s="1360"/>
      <c r="AB1206" s="1486"/>
      <c r="AC1206" s="1486"/>
      <c r="AD1206" s="1486"/>
      <c r="AE1206" s="1486"/>
      <c r="AF1206" s="1486"/>
      <c r="AG1206" s="1486"/>
      <c r="AH1206" s="1486"/>
      <c r="AI1206" s="1486"/>
      <c r="AJ1206" s="1486"/>
      <c r="AK1206" s="1486"/>
      <c r="AL1206" s="1486"/>
    </row>
    <row r="1207" spans="1:38" s="613" customFormat="1">
      <c r="A1207" s="141"/>
      <c r="B1207" s="1590" t="s">
        <v>546</v>
      </c>
      <c r="C1207" s="1592">
        <v>10000</v>
      </c>
      <c r="D1207" s="2009"/>
      <c r="E1207" s="1591">
        <v>2061.9499999999998</v>
      </c>
      <c r="F1207" s="2006"/>
      <c r="G1207" s="1485"/>
      <c r="H1207" s="1485"/>
      <c r="I1207" s="1485"/>
      <c r="J1207" s="1485"/>
      <c r="K1207" s="1486"/>
      <c r="L1207" s="1486"/>
      <c r="M1207" s="1486"/>
      <c r="N1207" s="1485"/>
      <c r="O1207" s="1485"/>
      <c r="P1207" s="1485"/>
      <c r="Q1207" s="1486"/>
      <c r="R1207" s="1486"/>
      <c r="S1207" s="1485"/>
      <c r="T1207" s="1485"/>
      <c r="U1207" s="1485"/>
      <c r="V1207" s="1485"/>
      <c r="W1207" s="1531"/>
      <c r="X1207" s="1497"/>
      <c r="Y1207" s="1359"/>
      <c r="Z1207" s="2066"/>
      <c r="AA1207" s="1360"/>
      <c r="AB1207" s="1486"/>
      <c r="AC1207" s="1486"/>
      <c r="AD1207" s="1486"/>
      <c r="AE1207" s="1486"/>
      <c r="AF1207" s="1486"/>
      <c r="AG1207" s="1486"/>
      <c r="AH1207" s="1486"/>
      <c r="AI1207" s="1486"/>
      <c r="AJ1207" s="1486"/>
      <c r="AK1207" s="1486"/>
      <c r="AL1207" s="1486"/>
    </row>
    <row r="1208" spans="1:38" s="613" customFormat="1">
      <c r="A1208" s="141"/>
      <c r="B1208" s="1590" t="s">
        <v>1258</v>
      </c>
      <c r="C1208" s="1592">
        <v>100000</v>
      </c>
      <c r="D1208" s="2010"/>
      <c r="E1208" s="1591">
        <v>7754.45</v>
      </c>
      <c r="F1208" s="2007"/>
      <c r="G1208" s="1485"/>
      <c r="H1208" s="1485"/>
      <c r="I1208" s="1485"/>
      <c r="J1208" s="1485"/>
      <c r="K1208" s="1486"/>
      <c r="L1208" s="1486"/>
      <c r="M1208" s="1486"/>
      <c r="N1208" s="1485"/>
      <c r="O1208" s="1485"/>
      <c r="P1208" s="1485"/>
      <c r="Q1208" s="1486"/>
      <c r="R1208" s="1486"/>
      <c r="S1208" s="1485"/>
      <c r="T1208" s="1485"/>
      <c r="U1208" s="1485"/>
      <c r="V1208" s="1485"/>
      <c r="W1208" s="1531"/>
      <c r="X1208" s="1497"/>
      <c r="Y1208" s="1359"/>
      <c r="Z1208" s="2066"/>
      <c r="AA1208" s="1360"/>
      <c r="AB1208" s="1486"/>
      <c r="AC1208" s="1486"/>
      <c r="AD1208" s="1486"/>
      <c r="AE1208" s="1486"/>
      <c r="AF1208" s="1486"/>
      <c r="AG1208" s="1486"/>
      <c r="AH1208" s="1486"/>
      <c r="AI1208" s="1486"/>
      <c r="AJ1208" s="1486"/>
      <c r="AK1208" s="1486"/>
      <c r="AL1208" s="1486"/>
    </row>
    <row r="1209" spans="1:38" s="613" customFormat="1">
      <c r="A1209" s="141"/>
      <c r="B1209" s="39"/>
      <c r="C1209" s="39"/>
      <c r="D1209" s="39"/>
      <c r="E1209" s="39"/>
      <c r="F1209" s="39"/>
      <c r="G1209" s="10"/>
      <c r="H1209" s="10"/>
      <c r="I1209" s="10"/>
      <c r="J1209" s="10"/>
      <c r="K1209" s="10"/>
      <c r="L1209" s="39"/>
      <c r="M1209" s="39"/>
      <c r="N1209" s="10"/>
      <c r="O1209" s="10"/>
      <c r="P1209" s="10"/>
      <c r="Q1209" s="39"/>
      <c r="R1209" s="39"/>
      <c r="S1209" s="10"/>
      <c r="T1209" s="10"/>
      <c r="U1209" s="10"/>
      <c r="V1209" s="10"/>
      <c r="W1209" s="98"/>
      <c r="X1209" s="44"/>
      <c r="Y1209" s="16"/>
      <c r="Z1209" s="2066"/>
      <c r="AA1209" s="22"/>
      <c r="AB1209" s="39"/>
      <c r="AC1209" s="39"/>
      <c r="AD1209" s="39"/>
      <c r="AE1209" s="39"/>
      <c r="AF1209" s="39"/>
      <c r="AG1209" s="39"/>
      <c r="AH1209" s="39"/>
      <c r="AI1209" s="39"/>
      <c r="AJ1209" s="39"/>
      <c r="AK1209" s="39"/>
      <c r="AL1209" s="39"/>
    </row>
    <row r="1210" spans="1:38" s="613" customFormat="1">
      <c r="A1210" s="141"/>
      <c r="B1210" s="2011" t="s">
        <v>1259</v>
      </c>
      <c r="C1210" s="2012"/>
      <c r="D1210" s="2012"/>
      <c r="E1210" s="2012"/>
      <c r="F1210" s="2013"/>
      <c r="G1210" s="10"/>
      <c r="H1210" s="10"/>
      <c r="I1210" s="10"/>
      <c r="J1210" s="10"/>
      <c r="K1210" s="10"/>
      <c r="N1210" s="10"/>
      <c r="O1210" s="10"/>
      <c r="P1210" s="10"/>
      <c r="S1210" s="10"/>
      <c r="T1210" s="10"/>
      <c r="U1210" s="10"/>
      <c r="V1210" s="10"/>
      <c r="W1210" s="98"/>
      <c r="X1210" s="818"/>
      <c r="Y1210" s="16"/>
      <c r="Z1210" s="1045"/>
      <c r="AA1210" s="22"/>
    </row>
    <row r="1211" spans="1:38" s="613" customFormat="1">
      <c r="A1211" s="141"/>
      <c r="B1211" s="238" t="s">
        <v>22</v>
      </c>
      <c r="C1211" s="238" t="s">
        <v>19</v>
      </c>
      <c r="D1211" s="238" t="s">
        <v>48</v>
      </c>
      <c r="E1211" s="238" t="s">
        <v>20</v>
      </c>
      <c r="F1211" s="238" t="s">
        <v>134</v>
      </c>
      <c r="G1211" s="10"/>
      <c r="H1211" s="10"/>
      <c r="I1211" s="10"/>
      <c r="J1211" s="10"/>
      <c r="K1211" s="10"/>
      <c r="N1211" s="10"/>
      <c r="O1211" s="10"/>
      <c r="P1211" s="10"/>
      <c r="S1211" s="10"/>
      <c r="T1211" s="10"/>
      <c r="U1211" s="10"/>
      <c r="V1211" s="10"/>
      <c r="W1211" s="98"/>
      <c r="X1211" s="818"/>
      <c r="Y1211" s="16"/>
      <c r="Z1211" s="1045"/>
      <c r="AA1211" s="22"/>
    </row>
    <row r="1212" spans="1:38" s="613" customFormat="1">
      <c r="A1212" s="141"/>
      <c r="B1212" s="1590" t="s">
        <v>100</v>
      </c>
      <c r="C1212" s="1590">
        <v>5</v>
      </c>
      <c r="D1212" s="2008" t="s">
        <v>309</v>
      </c>
      <c r="E1212" s="538">
        <v>12.649999999999999</v>
      </c>
      <c r="F1212" s="2005" t="s">
        <v>354</v>
      </c>
      <c r="G1212" s="10"/>
      <c r="H1212" s="10"/>
      <c r="I1212" s="10"/>
      <c r="J1212" s="10"/>
      <c r="K1212" s="10"/>
      <c r="N1212" s="10"/>
      <c r="O1212" s="10"/>
      <c r="P1212" s="10"/>
      <c r="S1212" s="10"/>
      <c r="T1212" s="10"/>
      <c r="U1212" s="10"/>
      <c r="V1212" s="10"/>
      <c r="W1212" s="98"/>
      <c r="X1212" s="818"/>
      <c r="Y1212" s="16"/>
      <c r="Z1212" s="1045"/>
      <c r="AA1212" s="22"/>
    </row>
    <row r="1213" spans="1:38" s="39" customFormat="1" ht="15" customHeight="1">
      <c r="A1213" s="141"/>
      <c r="B1213" s="1590" t="s">
        <v>44</v>
      </c>
      <c r="C1213" s="1590">
        <v>10</v>
      </c>
      <c r="D1213" s="2009"/>
      <c r="E1213" s="538">
        <v>17.709999999999997</v>
      </c>
      <c r="F1213" s="2006"/>
      <c r="G1213" s="10"/>
      <c r="H1213" s="10"/>
      <c r="I1213" s="10"/>
      <c r="J1213" s="10"/>
      <c r="K1213" s="10"/>
      <c r="L1213" s="613"/>
      <c r="M1213" s="613"/>
      <c r="N1213" s="10"/>
      <c r="O1213" s="10"/>
      <c r="P1213" s="10"/>
      <c r="Q1213" s="613"/>
      <c r="R1213" s="613"/>
      <c r="S1213" s="10"/>
      <c r="T1213" s="10"/>
      <c r="U1213" s="10"/>
      <c r="V1213" s="10"/>
      <c r="W1213" s="98"/>
      <c r="X1213" s="818"/>
      <c r="Y1213" s="16"/>
      <c r="Z1213" s="1045"/>
      <c r="AA1213" s="22"/>
      <c r="AB1213" s="613"/>
      <c r="AC1213" s="613"/>
      <c r="AD1213" s="613"/>
      <c r="AE1213" s="613"/>
      <c r="AF1213" s="613"/>
      <c r="AG1213" s="613"/>
      <c r="AH1213" s="613"/>
      <c r="AI1213" s="613"/>
      <c r="AJ1213" s="613"/>
      <c r="AK1213" s="613"/>
      <c r="AL1213" s="613"/>
    </row>
    <row r="1214" spans="1:38" s="39" customFormat="1" ht="15" customHeight="1">
      <c r="A1214" s="141"/>
      <c r="B1214" s="1590" t="s">
        <v>45</v>
      </c>
      <c r="C1214" s="1590">
        <v>20</v>
      </c>
      <c r="D1214" s="2009"/>
      <c r="E1214" s="538">
        <v>35.419999999999995</v>
      </c>
      <c r="F1214" s="2006"/>
      <c r="G1214" s="10"/>
      <c r="H1214" s="10"/>
      <c r="I1214" s="10"/>
      <c r="J1214" s="10"/>
      <c r="K1214" s="10"/>
      <c r="L1214" s="613"/>
      <c r="M1214" s="613"/>
      <c r="N1214" s="10"/>
      <c r="O1214" s="10"/>
      <c r="P1214" s="10"/>
      <c r="Q1214" s="613"/>
      <c r="R1214" s="613"/>
      <c r="S1214" s="10"/>
      <c r="T1214" s="10"/>
      <c r="U1214" s="10"/>
      <c r="V1214" s="10"/>
      <c r="W1214" s="98"/>
      <c r="X1214" s="818"/>
      <c r="Y1214" s="16"/>
      <c r="Z1214" s="1045"/>
      <c r="AA1214" s="22"/>
      <c r="AB1214" s="613"/>
      <c r="AC1214" s="613"/>
      <c r="AD1214" s="613"/>
      <c r="AE1214" s="613"/>
      <c r="AF1214" s="613"/>
      <c r="AG1214" s="613"/>
      <c r="AH1214" s="613"/>
      <c r="AI1214" s="613"/>
      <c r="AJ1214" s="613"/>
      <c r="AK1214" s="613"/>
      <c r="AL1214" s="613"/>
    </row>
    <row r="1215" spans="1:38" s="39" customFormat="1" ht="15" customHeight="1">
      <c r="A1215" s="141"/>
      <c r="B1215" s="1590" t="s">
        <v>311</v>
      </c>
      <c r="C1215" s="1592">
        <v>30</v>
      </c>
      <c r="D1215" s="2009"/>
      <c r="E1215" s="538">
        <v>53.13</v>
      </c>
      <c r="F1215" s="2006"/>
      <c r="G1215" s="10"/>
      <c r="H1215" s="10"/>
      <c r="I1215" s="10"/>
      <c r="J1215" s="10"/>
      <c r="K1215" s="10"/>
      <c r="L1215" s="613"/>
      <c r="M1215" s="613"/>
      <c r="N1215" s="10"/>
      <c r="O1215" s="10"/>
      <c r="P1215" s="10"/>
      <c r="Q1215" s="613"/>
      <c r="R1215" s="613"/>
      <c r="S1215" s="10"/>
      <c r="T1215" s="10"/>
      <c r="U1215" s="10"/>
      <c r="V1215" s="10"/>
      <c r="W1215" s="98"/>
      <c r="X1215" s="818"/>
      <c r="Y1215" s="16"/>
      <c r="Z1215" s="1045"/>
      <c r="AA1215" s="22"/>
      <c r="AB1215" s="613"/>
      <c r="AC1215" s="613"/>
      <c r="AD1215" s="613"/>
      <c r="AE1215" s="613"/>
      <c r="AF1215" s="613"/>
      <c r="AG1215" s="613"/>
      <c r="AH1215" s="613"/>
      <c r="AI1215" s="613"/>
      <c r="AJ1215" s="613"/>
      <c r="AK1215" s="613"/>
      <c r="AL1215" s="613"/>
    </row>
    <row r="1216" spans="1:38" s="39" customFormat="1" ht="15" customHeight="1">
      <c r="A1216" s="141"/>
      <c r="B1216" s="1590" t="s">
        <v>312</v>
      </c>
      <c r="C1216" s="1592">
        <v>40</v>
      </c>
      <c r="D1216" s="2009"/>
      <c r="E1216" s="538">
        <v>70.839999999999989</v>
      </c>
      <c r="F1216" s="2006"/>
      <c r="G1216" s="10"/>
      <c r="H1216" s="10"/>
      <c r="I1216" s="10"/>
      <c r="J1216" s="10"/>
      <c r="K1216" s="10"/>
      <c r="L1216" s="613"/>
      <c r="M1216" s="613"/>
      <c r="N1216" s="10"/>
      <c r="O1216" s="10"/>
      <c r="P1216" s="10"/>
      <c r="Q1216" s="613"/>
      <c r="R1216" s="613"/>
      <c r="S1216" s="10"/>
      <c r="T1216" s="10"/>
      <c r="U1216" s="10"/>
      <c r="V1216" s="10"/>
      <c r="W1216" s="98"/>
      <c r="X1216" s="818"/>
      <c r="Y1216" s="16"/>
      <c r="Z1216" s="1045"/>
      <c r="AA1216" s="22"/>
      <c r="AB1216" s="613"/>
      <c r="AC1216" s="613"/>
      <c r="AD1216" s="613"/>
      <c r="AE1216" s="613"/>
      <c r="AF1216" s="613"/>
      <c r="AG1216" s="613"/>
      <c r="AH1216" s="613"/>
      <c r="AI1216" s="613"/>
      <c r="AJ1216" s="613"/>
      <c r="AK1216" s="613"/>
      <c r="AL1216" s="613"/>
    </row>
    <row r="1217" spans="1:38" s="39" customFormat="1">
      <c r="A1217" s="141"/>
      <c r="B1217" s="1590" t="s">
        <v>46</v>
      </c>
      <c r="C1217" s="1590">
        <v>50</v>
      </c>
      <c r="D1217" s="2009"/>
      <c r="E1217" s="538">
        <v>87.284999999999997</v>
      </c>
      <c r="F1217" s="2006"/>
      <c r="G1217" s="10"/>
      <c r="H1217" s="10"/>
      <c r="I1217" s="10"/>
      <c r="J1217" s="10"/>
      <c r="K1217" s="10"/>
      <c r="L1217" s="613"/>
      <c r="M1217" s="613"/>
      <c r="N1217" s="10"/>
      <c r="O1217" s="10"/>
      <c r="P1217" s="10"/>
      <c r="Q1217" s="613"/>
      <c r="R1217" s="613"/>
      <c r="S1217" s="10"/>
      <c r="T1217" s="10"/>
      <c r="U1217" s="10"/>
      <c r="V1217" s="10"/>
      <c r="W1217" s="98"/>
      <c r="X1217" s="818"/>
      <c r="Y1217" s="16"/>
      <c r="Z1217" s="1045"/>
      <c r="AA1217" s="22"/>
      <c r="AB1217" s="613"/>
      <c r="AC1217" s="613"/>
      <c r="AD1217" s="613"/>
      <c r="AE1217" s="613"/>
      <c r="AF1217" s="613"/>
      <c r="AG1217" s="613"/>
      <c r="AH1217" s="613"/>
      <c r="AI1217" s="613"/>
      <c r="AJ1217" s="613"/>
      <c r="AK1217" s="613"/>
      <c r="AL1217" s="613"/>
    </row>
    <row r="1218" spans="1:38" s="39" customFormat="1" ht="15" customHeight="1">
      <c r="A1218" s="141"/>
      <c r="B1218" s="1590" t="s">
        <v>47</v>
      </c>
      <c r="C1218" s="1590">
        <v>100</v>
      </c>
      <c r="D1218" s="2009"/>
      <c r="E1218" s="538">
        <v>142.94499999999999</v>
      </c>
      <c r="F1218" s="2006"/>
      <c r="G1218" s="10"/>
      <c r="H1218" s="10"/>
      <c r="I1218" s="10"/>
      <c r="J1218" s="10"/>
      <c r="K1218" s="10"/>
      <c r="L1218" s="613"/>
      <c r="M1218" s="613"/>
      <c r="N1218" s="10"/>
      <c r="O1218" s="10"/>
      <c r="P1218" s="10"/>
      <c r="Q1218" s="613"/>
      <c r="R1218" s="613"/>
      <c r="S1218" s="10"/>
      <c r="T1218" s="10"/>
      <c r="U1218" s="10"/>
      <c r="V1218" s="10"/>
      <c r="W1218" s="98"/>
      <c r="X1218" s="818"/>
      <c r="Y1218" s="16"/>
      <c r="Z1218" s="1045"/>
      <c r="AA1218" s="22"/>
      <c r="AB1218" s="613"/>
      <c r="AC1218" s="613"/>
      <c r="AD1218" s="613"/>
      <c r="AE1218" s="613"/>
      <c r="AF1218" s="613"/>
      <c r="AG1218" s="613"/>
      <c r="AH1218" s="613"/>
      <c r="AI1218" s="613"/>
      <c r="AJ1218" s="613"/>
      <c r="AK1218" s="613"/>
      <c r="AL1218" s="613"/>
    </row>
    <row r="1219" spans="1:38" s="39" customFormat="1" ht="15" customHeight="1">
      <c r="A1219" s="141"/>
      <c r="B1219" s="1590" t="s">
        <v>132</v>
      </c>
      <c r="C1219" s="1593">
        <v>200</v>
      </c>
      <c r="D1219" s="2009"/>
      <c r="E1219" s="538">
        <v>209.98999999999998</v>
      </c>
      <c r="F1219" s="2006"/>
      <c r="G1219" s="10"/>
      <c r="H1219" s="10"/>
      <c r="I1219" s="10"/>
      <c r="J1219" s="10"/>
      <c r="K1219" s="10"/>
      <c r="L1219" s="613"/>
      <c r="M1219" s="613"/>
      <c r="N1219" s="10"/>
      <c r="O1219" s="10"/>
      <c r="P1219" s="10"/>
      <c r="Q1219" s="613"/>
      <c r="R1219" s="613"/>
      <c r="S1219" s="10"/>
      <c r="T1219" s="10"/>
      <c r="U1219" s="10"/>
      <c r="V1219" s="10"/>
      <c r="W1219" s="98"/>
      <c r="X1219" s="818"/>
      <c r="Y1219" s="16"/>
      <c r="Z1219" s="1045"/>
      <c r="AA1219" s="22"/>
      <c r="AB1219" s="613"/>
      <c r="AC1219" s="613"/>
      <c r="AD1219" s="613"/>
      <c r="AE1219" s="613"/>
      <c r="AF1219" s="613"/>
      <c r="AG1219" s="613"/>
      <c r="AH1219" s="613"/>
      <c r="AI1219" s="613"/>
      <c r="AJ1219" s="613"/>
      <c r="AK1219" s="613"/>
      <c r="AL1219" s="613"/>
    </row>
    <row r="1220" spans="1:38" s="39" customFormat="1">
      <c r="A1220" s="141"/>
      <c r="B1220" s="1590" t="s">
        <v>310</v>
      </c>
      <c r="C1220" s="1592">
        <v>300</v>
      </c>
      <c r="D1220" s="2009"/>
      <c r="E1220" s="538">
        <v>283.35999999999996</v>
      </c>
      <c r="F1220" s="2006"/>
      <c r="G1220" s="10"/>
      <c r="H1220" s="10"/>
      <c r="I1220" s="10"/>
      <c r="J1220" s="10"/>
      <c r="K1220" s="10"/>
      <c r="L1220" s="613"/>
      <c r="M1220" s="613"/>
      <c r="N1220" s="10"/>
      <c r="O1220" s="10"/>
      <c r="P1220" s="10"/>
      <c r="Q1220" s="613"/>
      <c r="R1220" s="613"/>
      <c r="S1220" s="10"/>
      <c r="T1220" s="10"/>
      <c r="U1220" s="10"/>
      <c r="V1220" s="10"/>
      <c r="W1220" s="98"/>
      <c r="X1220" s="818"/>
      <c r="Y1220" s="16"/>
      <c r="Z1220" s="1045"/>
      <c r="AA1220" s="22"/>
      <c r="AB1220" s="613"/>
      <c r="AC1220" s="613"/>
      <c r="AD1220" s="613"/>
      <c r="AE1220" s="613"/>
      <c r="AF1220" s="613"/>
      <c r="AG1220" s="613"/>
      <c r="AH1220" s="613"/>
      <c r="AI1220" s="613"/>
      <c r="AJ1220" s="613"/>
      <c r="AK1220" s="613"/>
      <c r="AL1220" s="613"/>
    </row>
    <row r="1221" spans="1:38" s="39" customFormat="1">
      <c r="A1221" s="53"/>
      <c r="B1221" s="1496" t="s">
        <v>1350</v>
      </c>
      <c r="C1221" s="1496">
        <v>400</v>
      </c>
      <c r="D1221" s="2009"/>
      <c r="E1221" s="538">
        <v>323.83999999999997</v>
      </c>
      <c r="F1221" s="2006"/>
      <c r="G1221" s="10"/>
      <c r="H1221" s="10"/>
      <c r="I1221" s="10"/>
      <c r="J1221" s="10"/>
      <c r="K1221" s="10"/>
      <c r="L1221" s="613"/>
      <c r="M1221" s="613"/>
      <c r="N1221" s="10"/>
      <c r="O1221" s="10"/>
      <c r="P1221" s="10"/>
      <c r="Q1221" s="613"/>
      <c r="R1221" s="613"/>
      <c r="S1221" s="10"/>
      <c r="T1221" s="10"/>
      <c r="U1221" s="10"/>
      <c r="V1221" s="10"/>
      <c r="W1221" s="98"/>
      <c r="X1221" s="818"/>
      <c r="Y1221" s="16"/>
      <c r="Z1221" s="1077"/>
      <c r="AA1221" s="22"/>
      <c r="AB1221" s="613"/>
      <c r="AC1221" s="613"/>
      <c r="AD1221" s="613"/>
      <c r="AE1221" s="613"/>
      <c r="AF1221" s="613"/>
      <c r="AG1221" s="613"/>
      <c r="AH1221" s="613"/>
      <c r="AI1221" s="613"/>
      <c r="AJ1221" s="613"/>
      <c r="AK1221" s="613"/>
      <c r="AL1221" s="613"/>
    </row>
    <row r="1222" spans="1:38" s="163" customFormat="1">
      <c r="A1222" s="53"/>
      <c r="B1222" s="1590" t="s">
        <v>133</v>
      </c>
      <c r="C1222" s="1590">
        <v>500</v>
      </c>
      <c r="D1222" s="2009"/>
      <c r="E1222" s="538">
        <v>384.55999999999995</v>
      </c>
      <c r="F1222" s="2006"/>
      <c r="G1222" s="613"/>
      <c r="H1222" s="10"/>
      <c r="I1222" s="10"/>
      <c r="J1222" s="10"/>
      <c r="K1222" s="10"/>
      <c r="L1222" s="613"/>
      <c r="M1222" s="613"/>
      <c r="N1222" s="10"/>
      <c r="O1222" s="10"/>
      <c r="P1222" s="10"/>
      <c r="Q1222" s="613"/>
      <c r="R1222" s="613"/>
      <c r="S1222" s="10"/>
      <c r="T1222" s="10"/>
      <c r="U1222" s="10"/>
      <c r="V1222" s="10"/>
      <c r="W1222" s="98"/>
      <c r="X1222" s="818"/>
      <c r="Y1222" s="16"/>
      <c r="Z1222" s="1045"/>
      <c r="AA1222" s="22"/>
      <c r="AB1222" s="613"/>
      <c r="AC1222" s="613"/>
      <c r="AD1222" s="613"/>
      <c r="AE1222" s="613"/>
      <c r="AF1222" s="613"/>
      <c r="AG1222" s="613"/>
      <c r="AH1222" s="613"/>
      <c r="AI1222" s="613"/>
      <c r="AJ1222" s="613"/>
      <c r="AK1222" s="613"/>
      <c r="AL1222" s="613"/>
    </row>
    <row r="1223" spans="1:38" s="163" customFormat="1" ht="15" customHeight="1">
      <c r="A1223" s="53"/>
      <c r="B1223" s="1590" t="s">
        <v>545</v>
      </c>
      <c r="C1223" s="1590">
        <v>1000</v>
      </c>
      <c r="D1223" s="2009"/>
      <c r="E1223" s="538">
        <v>446.54499999999996</v>
      </c>
      <c r="F1223" s="2006"/>
      <c r="G1223" s="10">
        <v>451</v>
      </c>
      <c r="H1223" s="10"/>
      <c r="I1223" s="10"/>
      <c r="J1223" s="10"/>
      <c r="K1223" s="10"/>
      <c r="L1223" s="613"/>
      <c r="M1223" s="613"/>
      <c r="N1223" s="10"/>
      <c r="O1223" s="10"/>
      <c r="P1223" s="10"/>
      <c r="Q1223" s="613"/>
      <c r="R1223" s="613"/>
      <c r="S1223" s="10"/>
      <c r="T1223" s="10"/>
      <c r="U1223" s="10"/>
      <c r="V1223" s="10"/>
      <c r="W1223" s="98"/>
      <c r="X1223" s="818"/>
      <c r="Y1223" s="16"/>
      <c r="Z1223" s="1045"/>
      <c r="AA1223" s="22"/>
      <c r="AB1223" s="613"/>
      <c r="AC1223" s="613"/>
      <c r="AD1223" s="613"/>
      <c r="AE1223" s="613"/>
      <c r="AF1223" s="613"/>
      <c r="AG1223" s="613"/>
      <c r="AH1223" s="613"/>
      <c r="AI1223" s="613"/>
      <c r="AJ1223" s="613"/>
      <c r="AK1223" s="613"/>
      <c r="AL1223" s="613"/>
    </row>
    <row r="1224" spans="1:38" s="163" customFormat="1">
      <c r="A1224" s="53"/>
      <c r="B1224" s="1590" t="s">
        <v>568</v>
      </c>
      <c r="C1224" s="1592">
        <v>2000</v>
      </c>
      <c r="D1224" s="2009"/>
      <c r="E1224" s="538">
        <v>733.69999999999993</v>
      </c>
      <c r="F1224" s="2006"/>
      <c r="G1224" s="613"/>
      <c r="H1224" s="10"/>
      <c r="I1224" s="10"/>
      <c r="J1224" s="10"/>
      <c r="K1224" s="10"/>
      <c r="L1224" s="613"/>
      <c r="M1224" s="613"/>
      <c r="N1224" s="10"/>
      <c r="O1224" s="10"/>
      <c r="P1224" s="10"/>
      <c r="Q1224" s="613"/>
      <c r="R1224" s="613"/>
      <c r="S1224" s="10"/>
      <c r="T1224" s="10"/>
      <c r="U1224" s="10"/>
      <c r="V1224" s="10"/>
      <c r="W1224" s="98"/>
      <c r="X1224" s="818"/>
      <c r="Y1224" s="16"/>
      <c r="Z1224" s="1045"/>
      <c r="AA1224" s="22"/>
      <c r="AB1224" s="613"/>
      <c r="AC1224" s="613"/>
      <c r="AD1224" s="613"/>
      <c r="AE1224" s="613"/>
      <c r="AF1224" s="613"/>
      <c r="AG1224" s="613"/>
      <c r="AH1224" s="613"/>
      <c r="AI1224" s="613"/>
      <c r="AJ1224" s="613"/>
      <c r="AK1224" s="613"/>
      <c r="AL1224" s="613"/>
    </row>
    <row r="1225" spans="1:38" s="163" customFormat="1">
      <c r="A1225" s="53"/>
      <c r="B1225" s="1590" t="s">
        <v>588</v>
      </c>
      <c r="C1225" s="1592">
        <v>5000</v>
      </c>
      <c r="D1225" s="2009"/>
      <c r="E1225" s="538">
        <v>1048.6849999999999</v>
      </c>
      <c r="F1225" s="2006"/>
      <c r="G1225" s="10"/>
      <c r="H1225" s="10"/>
      <c r="I1225" s="10"/>
      <c r="J1225" s="10"/>
      <c r="K1225" s="10"/>
      <c r="L1225" s="613"/>
      <c r="M1225" s="613"/>
      <c r="N1225" s="10"/>
      <c r="O1225" s="10"/>
      <c r="P1225" s="10"/>
      <c r="Q1225" s="613"/>
      <c r="R1225" s="613"/>
      <c r="S1225" s="10"/>
      <c r="T1225" s="10"/>
      <c r="U1225" s="10"/>
      <c r="V1225" s="10"/>
      <c r="W1225" s="98"/>
      <c r="X1225" s="818"/>
      <c r="Y1225" s="16"/>
      <c r="Z1225" s="1045"/>
      <c r="AA1225" s="22"/>
      <c r="AB1225" s="613"/>
      <c r="AC1225" s="613"/>
      <c r="AD1225" s="613"/>
      <c r="AE1225" s="613"/>
      <c r="AF1225" s="613"/>
      <c r="AG1225" s="613"/>
      <c r="AH1225" s="613"/>
      <c r="AI1225" s="613"/>
      <c r="AJ1225" s="613"/>
      <c r="AK1225" s="613"/>
      <c r="AL1225" s="613"/>
    </row>
    <row r="1226" spans="1:38" s="613" customFormat="1">
      <c r="A1226" s="53"/>
      <c r="B1226" s="1590" t="s">
        <v>546</v>
      </c>
      <c r="C1226" s="1592">
        <v>10000</v>
      </c>
      <c r="D1226" s="2009"/>
      <c r="E1226" s="538">
        <v>2061.9499999999998</v>
      </c>
      <c r="F1226" s="2006"/>
      <c r="G1226" s="10">
        <v>1630</v>
      </c>
      <c r="H1226" s="10">
        <f>G1226*1.1*1.15</f>
        <v>2061.9500000000003</v>
      </c>
      <c r="I1226" s="10"/>
      <c r="J1226" s="10"/>
      <c r="K1226" s="10"/>
      <c r="N1226" s="10"/>
      <c r="O1226" s="10"/>
      <c r="P1226" s="10"/>
      <c r="S1226" s="10"/>
      <c r="T1226" s="10"/>
      <c r="U1226" s="10"/>
      <c r="V1226" s="10"/>
      <c r="W1226" s="98"/>
      <c r="X1226" s="818"/>
      <c r="Y1226" s="16"/>
      <c r="Z1226" s="1045"/>
      <c r="AA1226" s="22"/>
    </row>
    <row r="1227" spans="1:38" s="613" customFormat="1">
      <c r="A1227" s="53"/>
      <c r="B1227" s="1590" t="s">
        <v>1258</v>
      </c>
      <c r="C1227" s="1592">
        <v>100000</v>
      </c>
      <c r="D1227" s="2010"/>
      <c r="E1227" s="538">
        <v>7754.45</v>
      </c>
      <c r="F1227" s="2007"/>
      <c r="G1227" s="10">
        <v>6130</v>
      </c>
      <c r="H1227" s="10">
        <f>G1227*1.1*1.15</f>
        <v>7754.4500000000007</v>
      </c>
      <c r="I1227" s="10"/>
      <c r="J1227" s="10"/>
      <c r="K1227" s="10"/>
      <c r="N1227" s="10"/>
      <c r="O1227" s="10"/>
      <c r="P1227" s="10"/>
      <c r="S1227" s="10"/>
      <c r="T1227" s="10"/>
      <c r="U1227" s="10"/>
      <c r="V1227" s="10"/>
      <c r="W1227" s="98"/>
      <c r="X1227" s="818"/>
      <c r="Y1227" s="16"/>
      <c r="Z1227" s="1045"/>
      <c r="AA1227" s="22"/>
    </row>
    <row r="1228" spans="1:38" s="163" customFormat="1">
      <c r="A1228" s="53"/>
      <c r="B1228" s="613"/>
      <c r="C1228" s="613"/>
      <c r="D1228" s="613"/>
      <c r="E1228" s="613"/>
      <c r="F1228" s="613"/>
      <c r="G1228" s="10"/>
      <c r="H1228" s="10"/>
      <c r="I1228" s="10"/>
      <c r="J1228" s="10"/>
      <c r="K1228" s="10"/>
      <c r="L1228" s="613"/>
      <c r="M1228" s="613"/>
      <c r="N1228" s="10"/>
      <c r="O1228" s="10"/>
      <c r="P1228" s="10"/>
      <c r="Q1228" s="613"/>
      <c r="R1228" s="613"/>
      <c r="S1228" s="10"/>
      <c r="T1228" s="10"/>
      <c r="U1228" s="10"/>
      <c r="V1228" s="10"/>
      <c r="W1228" s="98"/>
      <c r="X1228" s="818"/>
      <c r="Y1228" s="16"/>
      <c r="Z1228" s="1045"/>
      <c r="AA1228" s="22"/>
      <c r="AB1228" s="613"/>
      <c r="AC1228" s="613"/>
      <c r="AD1228" s="613"/>
      <c r="AE1228" s="613"/>
      <c r="AF1228" s="613"/>
      <c r="AG1228" s="613"/>
      <c r="AH1228" s="613"/>
      <c r="AI1228" s="613"/>
      <c r="AJ1228" s="613"/>
      <c r="AK1228" s="613"/>
      <c r="AL1228" s="613"/>
    </row>
    <row r="1229" spans="1:38" s="613" customFormat="1" ht="14.55" customHeight="1">
      <c r="A1229" s="53"/>
      <c r="B1229" s="1911" t="s">
        <v>135</v>
      </c>
      <c r="C1229" s="1912"/>
      <c r="D1229" s="1912"/>
      <c r="E1229" s="1912"/>
      <c r="F1229" s="1913"/>
      <c r="G1229" s="10"/>
      <c r="H1229" s="10"/>
      <c r="I1229" s="10"/>
      <c r="J1229" s="10"/>
      <c r="K1229" s="10"/>
      <c r="L1229" s="39"/>
      <c r="M1229" s="39"/>
      <c r="N1229" s="10"/>
      <c r="O1229" s="10"/>
      <c r="P1229" s="10"/>
      <c r="Q1229" s="39"/>
      <c r="R1229" s="39"/>
      <c r="S1229" s="10"/>
      <c r="T1229" s="10"/>
      <c r="U1229" s="10"/>
      <c r="V1229" s="10"/>
      <c r="W1229" s="98"/>
      <c r="X1229" s="44"/>
      <c r="Y1229" s="16"/>
      <c r="Z1229" s="159"/>
      <c r="AA1229" s="22"/>
      <c r="AB1229" s="39"/>
      <c r="AC1229" s="39"/>
      <c r="AD1229" s="39"/>
      <c r="AE1229" s="39"/>
      <c r="AF1229" s="39"/>
      <c r="AG1229" s="39"/>
      <c r="AH1229" s="39"/>
      <c r="AI1229" s="39"/>
      <c r="AJ1229" s="39"/>
      <c r="AK1229" s="39"/>
      <c r="AL1229" s="39"/>
    </row>
    <row r="1230" spans="1:38" s="613" customFormat="1">
      <c r="A1230" s="53"/>
      <c r="B1230" s="152"/>
      <c r="C1230" s="152"/>
      <c r="D1230" s="152"/>
      <c r="E1230" s="152"/>
      <c r="F1230" s="152"/>
      <c r="G1230" s="10"/>
      <c r="H1230" s="10"/>
      <c r="I1230" s="10"/>
      <c r="J1230" s="10"/>
      <c r="K1230" s="10"/>
      <c r="L1230" s="39"/>
      <c r="M1230" s="39"/>
      <c r="N1230" s="10"/>
      <c r="O1230" s="10"/>
      <c r="P1230" s="10"/>
      <c r="Q1230" s="39"/>
      <c r="R1230" s="39"/>
      <c r="S1230" s="10"/>
      <c r="T1230" s="10"/>
      <c r="U1230" s="10"/>
      <c r="V1230" s="10"/>
      <c r="W1230" s="98"/>
      <c r="X1230" s="44"/>
      <c r="Y1230" s="16"/>
      <c r="Z1230" s="2064" t="s">
        <v>66</v>
      </c>
      <c r="AA1230" s="22"/>
      <c r="AB1230" s="39"/>
      <c r="AC1230" s="39"/>
      <c r="AD1230" s="39"/>
      <c r="AE1230" s="39"/>
      <c r="AF1230" s="39"/>
      <c r="AG1230" s="39"/>
      <c r="AH1230" s="39"/>
      <c r="AI1230" s="39"/>
      <c r="AJ1230" s="39"/>
      <c r="AK1230" s="39"/>
      <c r="AL1230" s="39"/>
    </row>
    <row r="1231" spans="1:38" s="613" customFormat="1">
      <c r="A1231" s="53"/>
      <c r="B1231" s="154" t="s">
        <v>61</v>
      </c>
      <c r="C1231" s="229"/>
      <c r="D1231" s="229"/>
      <c r="E1231" s="229"/>
      <c r="F1231" s="231">
        <v>700</v>
      </c>
      <c r="G1231" s="10"/>
      <c r="H1231" s="10"/>
      <c r="I1231" s="10"/>
      <c r="J1231" s="10"/>
      <c r="K1231" s="10"/>
      <c r="L1231" s="39"/>
      <c r="M1231" s="39"/>
      <c r="N1231" s="10"/>
      <c r="O1231" s="10"/>
      <c r="P1231" s="10"/>
      <c r="Q1231" s="39"/>
      <c r="R1231" s="39"/>
      <c r="S1231" s="10"/>
      <c r="T1231" s="10"/>
      <c r="U1231" s="10"/>
      <c r="V1231" s="10"/>
      <c r="W1231" s="98"/>
      <c r="X1231" s="44"/>
      <c r="Y1231" s="16"/>
      <c r="Z1231" s="2064"/>
      <c r="AA1231" s="22"/>
      <c r="AB1231" s="39"/>
      <c r="AC1231" s="39"/>
      <c r="AD1231" s="39"/>
      <c r="AE1231" s="39"/>
      <c r="AF1231" s="39"/>
      <c r="AG1231" s="39"/>
      <c r="AH1231" s="39"/>
      <c r="AI1231" s="39"/>
      <c r="AJ1231" s="39"/>
      <c r="AK1231" s="39"/>
      <c r="AL1231" s="39"/>
    </row>
    <row r="1232" spans="1:38" s="613" customFormat="1">
      <c r="A1232" s="53"/>
      <c r="B1232" s="154" t="s">
        <v>62</v>
      </c>
      <c r="C1232" s="229"/>
      <c r="D1232" s="229"/>
      <c r="E1232" s="229"/>
      <c r="F1232" s="231">
        <v>700</v>
      </c>
      <c r="G1232" s="10"/>
      <c r="H1232" s="10"/>
      <c r="I1232" s="10"/>
      <c r="J1232" s="10"/>
      <c r="K1232" s="10"/>
      <c r="L1232" s="39"/>
      <c r="M1232" s="39"/>
      <c r="N1232" s="10"/>
      <c r="O1232" s="10"/>
      <c r="P1232" s="10"/>
      <c r="Q1232" s="39"/>
      <c r="R1232" s="39"/>
      <c r="S1232" s="10"/>
      <c r="T1232" s="10"/>
      <c r="U1232" s="10"/>
      <c r="V1232" s="10"/>
      <c r="W1232" s="98"/>
      <c r="X1232" s="44"/>
      <c r="Y1232" s="16"/>
      <c r="Z1232" s="2027" t="s">
        <v>67</v>
      </c>
      <c r="AA1232" s="22"/>
      <c r="AB1232" s="39"/>
      <c r="AC1232" s="39"/>
      <c r="AD1232" s="39"/>
      <c r="AE1232" s="39"/>
      <c r="AF1232" s="39"/>
      <c r="AG1232" s="39"/>
      <c r="AH1232" s="39"/>
      <c r="AI1232" s="39"/>
      <c r="AJ1232" s="39"/>
      <c r="AK1232" s="39"/>
      <c r="AL1232" s="39"/>
    </row>
    <row r="1233" spans="1:38" s="613" customFormat="1">
      <c r="A1233" s="53"/>
      <c r="B1233" s="39"/>
      <c r="C1233" s="39"/>
      <c r="D1233" s="39"/>
      <c r="E1233" s="39"/>
      <c r="F1233" s="39"/>
      <c r="G1233" s="10"/>
      <c r="H1233" s="10"/>
      <c r="I1233" s="10"/>
      <c r="J1233" s="10"/>
      <c r="K1233" s="10"/>
      <c r="L1233" s="39"/>
      <c r="M1233" s="39"/>
      <c r="N1233" s="10"/>
      <c r="O1233" s="10"/>
      <c r="P1233" s="10"/>
      <c r="Q1233" s="39"/>
      <c r="R1233" s="39"/>
      <c r="S1233" s="10"/>
      <c r="T1233" s="10"/>
      <c r="U1233" s="10"/>
      <c r="V1233" s="10"/>
      <c r="W1233" s="98"/>
      <c r="X1233" s="44"/>
      <c r="Y1233" s="16"/>
      <c r="Z1233" s="2027"/>
      <c r="AA1233" s="22"/>
      <c r="AB1233" s="39"/>
      <c r="AC1233" s="39"/>
      <c r="AD1233" s="39"/>
      <c r="AE1233" s="39"/>
      <c r="AF1233" s="39"/>
      <c r="AG1233" s="39"/>
      <c r="AH1233" s="39"/>
      <c r="AI1233" s="39"/>
      <c r="AJ1233" s="39"/>
      <c r="AK1233" s="39"/>
      <c r="AL1233" s="39"/>
    </row>
    <row r="1234" spans="1:38" s="613" customFormat="1">
      <c r="A1234" s="53"/>
      <c r="B1234" s="521" t="s">
        <v>362</v>
      </c>
      <c r="C1234" s="522"/>
      <c r="D1234" s="522"/>
      <c r="E1234" s="522"/>
      <c r="F1234" s="10"/>
      <c r="G1234" s="10"/>
      <c r="H1234" s="10"/>
      <c r="I1234" s="10"/>
      <c r="J1234" s="10"/>
      <c r="K1234" s="10"/>
      <c r="L1234" s="39"/>
      <c r="M1234" s="39"/>
      <c r="N1234" s="10"/>
      <c r="O1234" s="10"/>
      <c r="P1234" s="10"/>
      <c r="Q1234" s="39"/>
      <c r="R1234" s="39"/>
      <c r="S1234" s="10"/>
      <c r="T1234" s="10"/>
      <c r="U1234" s="10"/>
      <c r="V1234" s="10"/>
      <c r="W1234" s="98"/>
      <c r="X1234" s="44"/>
      <c r="Y1234" s="16"/>
      <c r="Z1234" s="104"/>
      <c r="AA1234" s="22"/>
      <c r="AB1234" s="39"/>
      <c r="AC1234" s="39"/>
      <c r="AD1234" s="39"/>
      <c r="AE1234" s="39"/>
      <c r="AF1234" s="39"/>
      <c r="AG1234" s="39"/>
      <c r="AH1234" s="39"/>
      <c r="AI1234" s="39"/>
      <c r="AJ1234" s="39"/>
      <c r="AK1234" s="39"/>
      <c r="AL1234" s="39"/>
    </row>
    <row r="1235" spans="1:38" s="613" customFormat="1">
      <c r="A1235" s="53"/>
      <c r="B1235" s="524" t="s">
        <v>2</v>
      </c>
      <c r="C1235" s="523"/>
      <c r="D1235" s="526" t="s">
        <v>112</v>
      </c>
      <c r="E1235" s="527" t="s">
        <v>113</v>
      </c>
      <c r="F1235" s="531" t="s">
        <v>364</v>
      </c>
      <c r="G1235" s="532"/>
      <c r="H1235" s="526" t="s">
        <v>363</v>
      </c>
      <c r="I1235" s="10"/>
      <c r="J1235" s="10"/>
      <c r="K1235" s="10"/>
      <c r="L1235" s="39"/>
      <c r="M1235" s="39"/>
      <c r="N1235" s="10"/>
      <c r="O1235" s="10"/>
      <c r="P1235" s="10"/>
      <c r="Q1235" s="39"/>
      <c r="R1235" s="39"/>
      <c r="S1235" s="10"/>
      <c r="T1235" s="10"/>
      <c r="U1235" s="10"/>
      <c r="V1235" s="10"/>
      <c r="W1235" s="98"/>
      <c r="X1235" s="44"/>
      <c r="Y1235" s="16"/>
      <c r="Z1235" s="2063"/>
      <c r="AA1235" s="22"/>
      <c r="AB1235" s="39"/>
      <c r="AC1235" s="39"/>
      <c r="AD1235" s="39"/>
      <c r="AE1235" s="39"/>
      <c r="AF1235" s="39"/>
      <c r="AG1235" s="39"/>
      <c r="AH1235" s="39"/>
      <c r="AI1235" s="39"/>
      <c r="AJ1235" s="39"/>
      <c r="AK1235" s="39"/>
      <c r="AL1235" s="39"/>
    </row>
    <row r="1236" spans="1:38" s="613" customFormat="1">
      <c r="A1236" s="53"/>
      <c r="B1236" s="519" t="s">
        <v>366</v>
      </c>
      <c r="C1236" s="525"/>
      <c r="D1236" s="530">
        <v>0</v>
      </c>
      <c r="E1236" s="530">
        <v>1000000</v>
      </c>
      <c r="F1236" s="519" t="s">
        <v>371</v>
      </c>
      <c r="G1236" s="528"/>
      <c r="H1236" s="533">
        <v>0</v>
      </c>
      <c r="I1236" s="10"/>
      <c r="J1236" s="10"/>
      <c r="K1236" s="39"/>
      <c r="L1236" s="39"/>
      <c r="M1236" s="39"/>
      <c r="N1236" s="10"/>
      <c r="O1236" s="10"/>
      <c r="P1236" s="10"/>
      <c r="Q1236" s="10"/>
      <c r="R1236" s="10"/>
      <c r="S1236" s="10"/>
      <c r="T1236" s="10"/>
      <c r="U1236" s="10"/>
      <c r="V1236" s="10"/>
      <c r="W1236" s="98"/>
      <c r="X1236" s="44"/>
      <c r="Y1236" s="16"/>
      <c r="Z1236" s="2063"/>
      <c r="AA1236" s="22"/>
      <c r="AB1236" s="39"/>
      <c r="AC1236" s="39"/>
      <c r="AD1236" s="39"/>
      <c r="AE1236" s="39"/>
      <c r="AF1236" s="39"/>
      <c r="AG1236" s="39"/>
      <c r="AH1236" s="39"/>
      <c r="AI1236" s="39"/>
      <c r="AJ1236" s="39"/>
      <c r="AK1236" s="39"/>
      <c r="AL1236" s="39"/>
    </row>
    <row r="1237" spans="1:38" s="613" customFormat="1">
      <c r="A1237" s="53"/>
      <c r="B1237" s="519" t="s">
        <v>367</v>
      </c>
      <c r="C1237" s="525"/>
      <c r="D1237" s="530">
        <v>1000001</v>
      </c>
      <c r="E1237" s="530" t="s">
        <v>370</v>
      </c>
      <c r="F1237" s="519" t="s">
        <v>371</v>
      </c>
      <c r="G1237" s="528"/>
      <c r="H1237" s="565">
        <v>0.40849999999999997</v>
      </c>
      <c r="I1237" s="10"/>
      <c r="J1237" s="10"/>
      <c r="K1237" s="39"/>
      <c r="L1237" s="10"/>
      <c r="M1237" s="10"/>
      <c r="N1237" s="10"/>
      <c r="O1237" s="10"/>
      <c r="P1237" s="10"/>
      <c r="Q1237" s="10"/>
      <c r="R1237" s="10"/>
      <c r="S1237" s="10"/>
      <c r="T1237" s="10"/>
      <c r="U1237" s="10"/>
      <c r="V1237" s="10"/>
      <c r="W1237" s="98"/>
      <c r="X1237" s="44"/>
      <c r="Y1237" s="16"/>
      <c r="Z1237" s="2063"/>
      <c r="AA1237" s="22"/>
      <c r="AB1237" s="39"/>
      <c r="AC1237" s="39"/>
      <c r="AD1237" s="39"/>
      <c r="AE1237" s="39"/>
      <c r="AF1237" s="39"/>
      <c r="AG1237" s="39"/>
      <c r="AH1237" s="39"/>
      <c r="AI1237" s="39"/>
      <c r="AJ1237" s="39"/>
      <c r="AK1237" s="39"/>
      <c r="AL1237" s="39"/>
    </row>
    <row r="1238" spans="1:38" s="613" customFormat="1">
      <c r="A1238" s="53"/>
      <c r="B1238" s="519" t="s">
        <v>365</v>
      </c>
      <c r="C1238" s="525"/>
      <c r="D1238" s="530">
        <v>0</v>
      </c>
      <c r="E1238" s="530">
        <v>100000</v>
      </c>
      <c r="F1238" s="529" t="s">
        <v>372</v>
      </c>
      <c r="G1238" s="528"/>
      <c r="H1238" s="533">
        <v>0</v>
      </c>
      <c r="I1238" s="10"/>
      <c r="J1238" s="10"/>
      <c r="K1238" s="163"/>
      <c r="L1238" s="10"/>
      <c r="M1238" s="10"/>
      <c r="N1238" s="10"/>
      <c r="O1238" s="10"/>
      <c r="P1238" s="10"/>
      <c r="Q1238" s="10"/>
      <c r="R1238" s="10"/>
      <c r="S1238" s="10"/>
      <c r="T1238" s="10"/>
      <c r="U1238" s="10"/>
      <c r="V1238" s="10"/>
      <c r="W1238" s="98"/>
      <c r="X1238" s="44"/>
      <c r="Y1238" s="16"/>
      <c r="Z1238" s="175"/>
      <c r="AA1238" s="22"/>
      <c r="AB1238" s="163"/>
      <c r="AC1238" s="163"/>
      <c r="AD1238" s="163"/>
      <c r="AE1238" s="163"/>
      <c r="AF1238" s="163"/>
      <c r="AG1238" s="163"/>
      <c r="AH1238" s="163"/>
      <c r="AI1238" s="163"/>
      <c r="AJ1238" s="163"/>
      <c r="AK1238" s="163"/>
      <c r="AL1238" s="163"/>
    </row>
    <row r="1239" spans="1:38" s="613" customFormat="1">
      <c r="A1239" s="53"/>
      <c r="B1239" s="519" t="s">
        <v>368</v>
      </c>
      <c r="C1239" s="525"/>
      <c r="D1239" s="530">
        <v>100001</v>
      </c>
      <c r="E1239" s="530" t="s">
        <v>370</v>
      </c>
      <c r="F1239" s="529" t="s">
        <v>372</v>
      </c>
      <c r="G1239" s="528"/>
      <c r="H1239" s="565">
        <v>4.7500000000000001E-2</v>
      </c>
      <c r="I1239" s="10"/>
      <c r="J1239" s="10"/>
      <c r="K1239" s="163"/>
      <c r="L1239" s="10"/>
      <c r="M1239" s="10"/>
      <c r="N1239" s="10"/>
      <c r="O1239" s="10"/>
      <c r="P1239" s="10"/>
      <c r="Q1239" s="10"/>
      <c r="R1239" s="10"/>
      <c r="S1239" s="10"/>
      <c r="T1239" s="10"/>
      <c r="U1239" s="10"/>
      <c r="V1239" s="10"/>
      <c r="W1239" s="98"/>
      <c r="X1239" s="44"/>
      <c r="Y1239" s="16"/>
      <c r="Z1239" s="2073"/>
      <c r="AA1239" s="22"/>
      <c r="AB1239" s="163"/>
      <c r="AC1239" s="163"/>
      <c r="AD1239" s="163"/>
      <c r="AE1239" s="163"/>
      <c r="AF1239" s="163"/>
      <c r="AG1239" s="163"/>
      <c r="AH1239" s="163"/>
      <c r="AI1239" s="163"/>
      <c r="AJ1239" s="163"/>
      <c r="AK1239" s="163"/>
      <c r="AL1239" s="163"/>
    </row>
    <row r="1240" spans="1:38" s="613" customFormat="1">
      <c r="A1240" s="53"/>
      <c r="B1240" s="519" t="s">
        <v>369</v>
      </c>
      <c r="C1240" s="525"/>
      <c r="D1240" s="530">
        <v>0</v>
      </c>
      <c r="E1240" s="530">
        <v>1000</v>
      </c>
      <c r="F1240" s="529" t="s">
        <v>373</v>
      </c>
      <c r="G1240" s="528"/>
      <c r="H1240" s="533">
        <v>0</v>
      </c>
      <c r="I1240" s="10"/>
      <c r="J1240" s="10"/>
      <c r="K1240" s="163"/>
      <c r="L1240" s="10"/>
      <c r="M1240" s="10"/>
      <c r="N1240" s="10"/>
      <c r="O1240" s="10"/>
      <c r="P1240" s="10"/>
      <c r="Q1240" s="10"/>
      <c r="R1240" s="10"/>
      <c r="S1240" s="10"/>
      <c r="T1240" s="10"/>
      <c r="U1240" s="10"/>
      <c r="V1240" s="10"/>
      <c r="W1240" s="98"/>
      <c r="X1240" s="44"/>
      <c r="Y1240" s="16"/>
      <c r="Z1240" s="2073"/>
      <c r="AA1240" s="22"/>
      <c r="AB1240" s="163"/>
      <c r="AC1240" s="163"/>
      <c r="AD1240" s="163"/>
      <c r="AE1240" s="163"/>
      <c r="AF1240" s="163"/>
      <c r="AG1240" s="163"/>
      <c r="AH1240" s="163"/>
      <c r="AI1240" s="163"/>
      <c r="AJ1240" s="163"/>
      <c r="AK1240" s="163"/>
      <c r="AL1240" s="163"/>
    </row>
    <row r="1241" spans="1:38" s="613" customFormat="1">
      <c r="A1241" s="53"/>
      <c r="B1241" s="519" t="s">
        <v>379</v>
      </c>
      <c r="C1241" s="525"/>
      <c r="D1241" s="530">
        <v>1001</v>
      </c>
      <c r="E1241" s="530" t="s">
        <v>370</v>
      </c>
      <c r="F1241" s="529" t="s">
        <v>373</v>
      </c>
      <c r="G1241" s="528"/>
      <c r="H1241" s="565">
        <v>9.4999999999999998E-3</v>
      </c>
      <c r="I1241" s="10"/>
      <c r="J1241" s="10"/>
      <c r="K1241" s="10"/>
      <c r="L1241" s="10"/>
      <c r="M1241" s="10"/>
      <c r="N1241" s="10"/>
      <c r="O1241" s="10"/>
      <c r="P1241" s="10"/>
      <c r="Q1241" s="10"/>
      <c r="R1241" s="10"/>
      <c r="S1241" s="10"/>
      <c r="T1241" s="10"/>
      <c r="U1241" s="10"/>
      <c r="V1241" s="10"/>
      <c r="W1241" s="98"/>
      <c r="X1241" s="44"/>
      <c r="Y1241" s="16"/>
      <c r="Z1241" s="2073"/>
      <c r="AA1241" s="22"/>
      <c r="AB1241" s="163"/>
      <c r="AC1241" s="163"/>
      <c r="AD1241" s="163"/>
      <c r="AE1241" s="163"/>
      <c r="AF1241" s="163"/>
      <c r="AG1241" s="163"/>
      <c r="AH1241" s="163"/>
      <c r="AI1241" s="163"/>
      <c r="AJ1241" s="163"/>
      <c r="AK1241" s="163"/>
      <c r="AL1241" s="163"/>
    </row>
    <row r="1242" spans="1:38" s="613" customFormat="1">
      <c r="A1242" s="53"/>
      <c r="B1242" s="701" t="s">
        <v>679</v>
      </c>
      <c r="C1242" s="702"/>
      <c r="D1242" s="703">
        <v>0</v>
      </c>
      <c r="E1242" s="703">
        <v>100</v>
      </c>
      <c r="F1242" s="701" t="s">
        <v>1815</v>
      </c>
      <c r="G1242" s="704"/>
      <c r="H1242" s="545">
        <v>0</v>
      </c>
      <c r="I1242" s="10"/>
      <c r="J1242" s="10"/>
      <c r="K1242" s="10"/>
      <c r="L1242" s="10"/>
      <c r="M1242" s="10"/>
      <c r="N1242" s="10"/>
      <c r="O1242" s="10"/>
      <c r="P1242" s="10"/>
      <c r="Q1242" s="10"/>
      <c r="R1242" s="10"/>
      <c r="S1242" s="10"/>
      <c r="T1242" s="10"/>
      <c r="U1242" s="10"/>
      <c r="V1242" s="10"/>
      <c r="W1242" s="98"/>
      <c r="X1242" s="44"/>
      <c r="Y1242" s="16"/>
      <c r="Z1242" s="2073"/>
      <c r="AA1242" s="22"/>
    </row>
    <row r="1243" spans="1:38" s="613" customFormat="1">
      <c r="A1243" s="53"/>
      <c r="B1243" s="701" t="s">
        <v>678</v>
      </c>
      <c r="C1243" s="705"/>
      <c r="D1243" s="703">
        <v>101</v>
      </c>
      <c r="E1243" s="703" t="s">
        <v>370</v>
      </c>
      <c r="F1243" s="701" t="s">
        <v>1816</v>
      </c>
      <c r="G1243" s="706"/>
      <c r="H1243" s="584">
        <v>6.0999999999999999E-2</v>
      </c>
      <c r="I1243" s="10"/>
      <c r="J1243" s="10"/>
      <c r="K1243" s="10"/>
      <c r="L1243" s="10"/>
      <c r="M1243" s="10"/>
      <c r="N1243" s="10"/>
      <c r="O1243" s="10"/>
      <c r="P1243" s="10"/>
      <c r="Q1243" s="10"/>
      <c r="R1243" s="10"/>
      <c r="S1243" s="10"/>
      <c r="T1243" s="10"/>
      <c r="U1243" s="10"/>
      <c r="V1243" s="10"/>
      <c r="W1243" s="98"/>
      <c r="X1243" s="44"/>
      <c r="Y1243" s="16"/>
      <c r="Z1243" s="2073"/>
      <c r="AA1243" s="22"/>
    </row>
    <row r="1244" spans="1:38" s="1489" customFormat="1">
      <c r="A1244" s="1491"/>
      <c r="B1244" s="44"/>
      <c r="C1244" s="44"/>
      <c r="D1244" s="44"/>
      <c r="E1244" s="44"/>
      <c r="F1244" s="44"/>
      <c r="G1244" s="10"/>
      <c r="H1244" s="520"/>
      <c r="I1244" s="10"/>
      <c r="J1244" s="520"/>
      <c r="K1244" s="10"/>
      <c r="L1244" s="10"/>
      <c r="M1244" s="10"/>
      <c r="N1244" s="10"/>
      <c r="O1244" s="10"/>
      <c r="P1244" s="10"/>
      <c r="Q1244" s="10"/>
      <c r="R1244" s="10"/>
      <c r="S1244" s="10"/>
      <c r="T1244" s="10"/>
      <c r="U1244" s="10"/>
      <c r="V1244" s="10"/>
      <c r="W1244" s="98"/>
      <c r="X1244" s="44"/>
      <c r="Y1244" s="16"/>
      <c r="Z1244" s="2073"/>
      <c r="AA1244" s="22"/>
      <c r="AB1244" s="163"/>
      <c r="AC1244" s="163"/>
      <c r="AD1244" s="163"/>
      <c r="AE1244" s="163"/>
      <c r="AF1244" s="163"/>
      <c r="AG1244" s="163"/>
      <c r="AH1244" s="163"/>
      <c r="AI1244" s="163"/>
      <c r="AJ1244" s="163"/>
      <c r="AK1244" s="163"/>
      <c r="AL1244" s="163"/>
    </row>
    <row r="1245" spans="1:38" s="1489" customFormat="1">
      <c r="A1245" s="1491"/>
      <c r="B1245" s="521" t="s">
        <v>1212</v>
      </c>
      <c r="C1245" s="818"/>
      <c r="D1245" s="818"/>
      <c r="E1245" s="818"/>
      <c r="F1245" s="818"/>
      <c r="G1245" s="10"/>
      <c r="H1245" s="520"/>
      <c r="I1245" s="10"/>
      <c r="J1245" s="520"/>
      <c r="K1245" s="10"/>
      <c r="L1245" s="10"/>
      <c r="M1245" s="10"/>
      <c r="N1245" s="10"/>
      <c r="O1245" s="10"/>
      <c r="P1245" s="10"/>
      <c r="Q1245" s="10"/>
      <c r="R1245" s="10"/>
      <c r="S1245" s="10"/>
      <c r="T1245" s="10"/>
      <c r="U1245" s="10"/>
      <c r="V1245" s="10"/>
      <c r="W1245" s="98"/>
      <c r="X1245" s="818"/>
      <c r="Y1245" s="16"/>
      <c r="Z1245" s="939"/>
      <c r="AA1245" s="22"/>
      <c r="AB1245" s="613"/>
      <c r="AC1245" s="613"/>
      <c r="AD1245" s="613"/>
      <c r="AE1245" s="613"/>
      <c r="AF1245" s="613"/>
      <c r="AG1245" s="613"/>
      <c r="AH1245" s="613"/>
      <c r="AI1245" s="613"/>
      <c r="AJ1245" s="613"/>
      <c r="AK1245" s="613"/>
      <c r="AL1245" s="613"/>
    </row>
    <row r="1246" spans="1:38" s="1489" customFormat="1">
      <c r="A1246" s="1491"/>
      <c r="B1246" s="524" t="s">
        <v>1213</v>
      </c>
      <c r="C1246" s="526" t="s">
        <v>1214</v>
      </c>
      <c r="D1246" s="818"/>
      <c r="E1246" s="818"/>
      <c r="F1246" s="818"/>
      <c r="G1246" s="10"/>
      <c r="H1246" s="520"/>
      <c r="I1246" s="10"/>
      <c r="J1246" s="520"/>
      <c r="K1246" s="10"/>
      <c r="L1246" s="10"/>
      <c r="M1246" s="10"/>
      <c r="N1246" s="10"/>
      <c r="O1246" s="10"/>
      <c r="P1246" s="10"/>
      <c r="Q1246" s="10"/>
      <c r="R1246" s="10"/>
      <c r="S1246" s="10"/>
      <c r="T1246" s="10"/>
      <c r="U1246" s="10"/>
      <c r="V1246" s="10"/>
      <c r="W1246" s="98"/>
      <c r="X1246" s="818"/>
      <c r="Y1246" s="16"/>
      <c r="Z1246" s="939"/>
      <c r="AA1246" s="22"/>
      <c r="AB1246" s="613"/>
      <c r="AC1246" s="613"/>
      <c r="AD1246" s="613"/>
      <c r="AE1246" s="613"/>
      <c r="AF1246" s="613"/>
      <c r="AG1246" s="613"/>
      <c r="AH1246" s="613"/>
      <c r="AI1246" s="613"/>
      <c r="AJ1246" s="613"/>
      <c r="AK1246" s="613"/>
      <c r="AL1246" s="613"/>
    </row>
    <row r="1247" spans="1:38" s="1489" customFormat="1">
      <c r="A1247" s="1491"/>
      <c r="B1247" s="701" t="s">
        <v>1215</v>
      </c>
      <c r="C1247" s="554">
        <v>0</v>
      </c>
      <c r="D1247" s="818"/>
      <c r="E1247" s="818"/>
      <c r="F1247" s="818"/>
      <c r="G1247" s="10"/>
      <c r="H1247" s="520"/>
      <c r="I1247" s="10"/>
      <c r="J1247" s="520"/>
      <c r="K1247" s="10"/>
      <c r="L1247" s="10"/>
      <c r="M1247" s="10"/>
      <c r="N1247" s="10"/>
      <c r="O1247" s="10"/>
      <c r="P1247" s="10"/>
      <c r="Q1247" s="10"/>
      <c r="R1247" s="10"/>
      <c r="S1247" s="10"/>
      <c r="T1247" s="10"/>
      <c r="U1247" s="10"/>
      <c r="V1247" s="10"/>
      <c r="W1247" s="98"/>
      <c r="X1247" s="818"/>
      <c r="Y1247" s="16"/>
      <c r="Z1247" s="939"/>
      <c r="AA1247" s="22"/>
      <c r="AB1247" s="613"/>
      <c r="AC1247" s="613"/>
      <c r="AD1247" s="613"/>
      <c r="AE1247" s="613"/>
      <c r="AF1247" s="613"/>
      <c r="AG1247" s="613"/>
      <c r="AH1247" s="613"/>
      <c r="AI1247" s="613"/>
      <c r="AJ1247" s="613"/>
      <c r="AK1247" s="613"/>
      <c r="AL1247" s="613"/>
    </row>
    <row r="1248" spans="1:38" s="1489" customFormat="1">
      <c r="A1248" s="1491"/>
      <c r="B1248" s="701" t="s">
        <v>1216</v>
      </c>
      <c r="C1248" s="919">
        <v>0.4</v>
      </c>
      <c r="D1248" s="818"/>
      <c r="E1248" s="818"/>
      <c r="F1248" s="818"/>
      <c r="G1248" s="10"/>
      <c r="H1248" s="520"/>
      <c r="I1248" s="10"/>
      <c r="J1248" s="520"/>
      <c r="K1248" s="10"/>
      <c r="L1248" s="10"/>
      <c r="M1248" s="10"/>
      <c r="N1248" s="10"/>
      <c r="O1248" s="10"/>
      <c r="P1248" s="10"/>
      <c r="Q1248" s="10"/>
      <c r="R1248" s="10"/>
      <c r="S1248" s="10"/>
      <c r="T1248" s="10"/>
      <c r="U1248" s="10"/>
      <c r="V1248" s="10"/>
      <c r="W1248" s="98"/>
      <c r="X1248" s="818"/>
      <c r="Y1248" s="16"/>
      <c r="Z1248" s="939"/>
      <c r="AA1248" s="22"/>
      <c r="AB1248" s="613"/>
      <c r="AC1248" s="613"/>
      <c r="AD1248" s="613"/>
      <c r="AE1248" s="613"/>
      <c r="AF1248" s="613"/>
      <c r="AG1248" s="613"/>
      <c r="AH1248" s="613"/>
      <c r="AI1248" s="613"/>
      <c r="AJ1248" s="613"/>
      <c r="AK1248" s="613"/>
      <c r="AL1248" s="613"/>
    </row>
    <row r="1249" spans="1:38" s="1489" customFormat="1">
      <c r="A1249" s="1491"/>
      <c r="B1249" s="701" t="s">
        <v>1217</v>
      </c>
      <c r="C1249" s="919">
        <v>0.37</v>
      </c>
      <c r="D1249" s="818"/>
      <c r="E1249" s="818"/>
      <c r="F1249" s="818"/>
      <c r="G1249" s="10"/>
      <c r="H1249" s="520"/>
      <c r="I1249" s="10"/>
      <c r="J1249" s="520"/>
      <c r="K1249" s="10"/>
      <c r="L1249" s="10"/>
      <c r="M1249" s="10"/>
      <c r="N1249" s="10"/>
      <c r="O1249" s="10"/>
      <c r="P1249" s="10"/>
      <c r="Q1249" s="10"/>
      <c r="R1249" s="10"/>
      <c r="S1249" s="10"/>
      <c r="T1249" s="10"/>
      <c r="U1249" s="10"/>
      <c r="V1249" s="10"/>
      <c r="W1249" s="98"/>
      <c r="X1249" s="818"/>
      <c r="Y1249" s="16"/>
      <c r="Z1249" s="939"/>
      <c r="AA1249" s="22"/>
      <c r="AB1249" s="613"/>
      <c r="AC1249" s="613"/>
      <c r="AD1249" s="613"/>
      <c r="AE1249" s="613"/>
      <c r="AF1249" s="613"/>
      <c r="AG1249" s="613"/>
      <c r="AH1249" s="613"/>
      <c r="AI1249" s="613"/>
      <c r="AJ1249" s="613"/>
      <c r="AK1249" s="613"/>
      <c r="AL1249" s="613"/>
    </row>
    <row r="1250" spans="1:38" s="1489" customFormat="1">
      <c r="A1250" s="1491"/>
      <c r="B1250" s="701" t="s">
        <v>1218</v>
      </c>
      <c r="C1250" s="919">
        <v>0.31</v>
      </c>
      <c r="D1250" s="818"/>
      <c r="E1250" s="818"/>
      <c r="F1250" s="818"/>
      <c r="G1250" s="10"/>
      <c r="H1250" s="520"/>
      <c r="I1250" s="10"/>
      <c r="J1250" s="520"/>
      <c r="K1250" s="10"/>
      <c r="L1250" s="10"/>
      <c r="M1250" s="10"/>
      <c r="N1250" s="10"/>
      <c r="O1250" s="10"/>
      <c r="P1250" s="10"/>
      <c r="Q1250" s="10"/>
      <c r="R1250" s="10"/>
      <c r="S1250" s="10"/>
      <c r="T1250" s="10"/>
      <c r="U1250" s="10"/>
      <c r="V1250" s="10"/>
      <c r="W1250" s="98"/>
      <c r="X1250" s="818"/>
      <c r="Y1250" s="16"/>
      <c r="Z1250" s="939"/>
      <c r="AA1250" s="22"/>
      <c r="AB1250" s="613"/>
      <c r="AC1250" s="613"/>
      <c r="AD1250" s="613"/>
      <c r="AE1250" s="613"/>
      <c r="AF1250" s="613"/>
      <c r="AG1250" s="613"/>
      <c r="AH1250" s="613"/>
      <c r="AI1250" s="613"/>
      <c r="AJ1250" s="613"/>
      <c r="AK1250" s="613"/>
      <c r="AL1250" s="613"/>
    </row>
    <row r="1251" spans="1:38" s="613" customFormat="1">
      <c r="A1251" s="53"/>
      <c r="B1251" s="701" t="s">
        <v>1219</v>
      </c>
      <c r="C1251" s="919">
        <v>0.27</v>
      </c>
      <c r="D1251" s="818"/>
      <c r="E1251" s="818"/>
      <c r="F1251" s="818"/>
      <c r="G1251" s="10"/>
      <c r="H1251" s="520"/>
      <c r="I1251" s="10"/>
      <c r="J1251" s="520"/>
      <c r="K1251" s="10"/>
      <c r="L1251" s="10"/>
      <c r="M1251" s="10"/>
      <c r="N1251" s="10"/>
      <c r="O1251" s="10"/>
      <c r="P1251" s="10"/>
      <c r="Q1251" s="10"/>
      <c r="R1251" s="10"/>
      <c r="S1251" s="10"/>
      <c r="T1251" s="10"/>
      <c r="U1251" s="10"/>
      <c r="V1251" s="10"/>
      <c r="W1251" s="98"/>
      <c r="X1251" s="818"/>
      <c r="Y1251" s="16"/>
      <c r="Z1251" s="939"/>
      <c r="AA1251" s="22"/>
    </row>
    <row r="1252" spans="1:38" s="613" customFormat="1">
      <c r="A1252" s="53"/>
      <c r="B1252" s="818"/>
      <c r="C1252" s="818"/>
      <c r="D1252" s="818"/>
      <c r="E1252" s="818"/>
      <c r="F1252" s="818"/>
      <c r="G1252" s="10"/>
      <c r="H1252" s="520"/>
      <c r="I1252" s="10"/>
      <c r="J1252" s="520"/>
      <c r="K1252" s="10"/>
      <c r="L1252" s="10"/>
      <c r="M1252" s="10"/>
      <c r="N1252" s="10"/>
      <c r="O1252" s="10"/>
      <c r="P1252" s="10"/>
      <c r="Q1252" s="10"/>
      <c r="R1252" s="10"/>
      <c r="S1252" s="10"/>
      <c r="T1252" s="10"/>
      <c r="U1252" s="10"/>
      <c r="V1252" s="10"/>
      <c r="W1252" s="98"/>
      <c r="X1252" s="818"/>
      <c r="Y1252" s="16"/>
      <c r="Z1252" s="939"/>
      <c r="AA1252" s="22"/>
    </row>
    <row r="1253" spans="1:38" s="613" customFormat="1">
      <c r="A1253" s="53"/>
      <c r="B1253" s="521" t="s">
        <v>1220</v>
      </c>
      <c r="C1253" s="818"/>
      <c r="D1253" s="818"/>
      <c r="E1253" s="818"/>
      <c r="F1253" s="818"/>
      <c r="G1253" s="10"/>
      <c r="H1253" s="520"/>
      <c r="I1253" s="10"/>
      <c r="J1253" s="520"/>
      <c r="K1253" s="10"/>
      <c r="L1253" s="10"/>
      <c r="M1253" s="10"/>
      <c r="N1253" s="10"/>
      <c r="O1253" s="10"/>
      <c r="P1253" s="10"/>
      <c r="Q1253" s="10"/>
      <c r="R1253" s="10"/>
      <c r="S1253" s="10"/>
      <c r="T1253" s="10"/>
      <c r="U1253" s="10"/>
      <c r="V1253" s="10"/>
      <c r="W1253" s="98"/>
      <c r="X1253" s="818"/>
      <c r="Y1253" s="16"/>
      <c r="Z1253" s="939"/>
      <c r="AA1253" s="22"/>
    </row>
    <row r="1254" spans="1:38" s="613" customFormat="1">
      <c r="A1254" s="53"/>
      <c r="B1254" s="524" t="s">
        <v>1221</v>
      </c>
      <c r="C1254" s="526" t="s">
        <v>1214</v>
      </c>
      <c r="D1254" s="818"/>
      <c r="E1254" s="818"/>
      <c r="F1254" s="818"/>
      <c r="G1254" s="10"/>
      <c r="H1254" s="520"/>
      <c r="I1254" s="10"/>
      <c r="J1254" s="520"/>
      <c r="K1254" s="10"/>
      <c r="L1254" s="10"/>
      <c r="M1254" s="10"/>
      <c r="N1254" s="10"/>
      <c r="O1254" s="10"/>
      <c r="P1254" s="10"/>
      <c r="Q1254" s="10"/>
      <c r="R1254" s="10"/>
      <c r="S1254" s="10"/>
      <c r="T1254" s="10"/>
      <c r="U1254" s="10"/>
      <c r="V1254" s="10"/>
      <c r="W1254" s="98"/>
      <c r="X1254" s="818"/>
      <c r="Y1254" s="16"/>
      <c r="Z1254" s="939"/>
      <c r="AA1254" s="22"/>
    </row>
    <row r="1255" spans="1:38" s="613" customFormat="1">
      <c r="A1255" s="53"/>
      <c r="B1255" s="701" t="s">
        <v>1222</v>
      </c>
      <c r="C1255" s="554">
        <v>0</v>
      </c>
      <c r="D1255" s="818"/>
      <c r="E1255" s="818"/>
      <c r="F1255" s="818"/>
      <c r="G1255" s="10"/>
      <c r="H1255" s="520"/>
      <c r="I1255" s="10"/>
      <c r="J1255" s="520"/>
      <c r="K1255" s="10"/>
      <c r="L1255" s="10"/>
      <c r="M1255" s="10"/>
      <c r="N1255" s="10"/>
      <c r="O1255" s="10"/>
      <c r="P1255" s="10"/>
      <c r="Q1255" s="10"/>
      <c r="R1255" s="10"/>
      <c r="S1255" s="10"/>
      <c r="T1255" s="10"/>
      <c r="U1255" s="10"/>
      <c r="V1255" s="10"/>
      <c r="W1255" s="98"/>
      <c r="X1255" s="818"/>
      <c r="Y1255" s="16"/>
      <c r="Z1255" s="939"/>
      <c r="AA1255" s="22"/>
    </row>
    <row r="1256" spans="1:38" s="613" customFormat="1">
      <c r="A1256" s="53"/>
      <c r="B1256" s="701" t="s">
        <v>1223</v>
      </c>
      <c r="C1256" s="1594">
        <v>8.8099999999999998E-2</v>
      </c>
      <c r="D1256" s="818"/>
      <c r="E1256" s="818"/>
      <c r="F1256" s="818"/>
      <c r="G1256" s="10"/>
      <c r="H1256" s="520"/>
      <c r="I1256" s="10"/>
      <c r="J1256" s="520"/>
      <c r="K1256" s="10"/>
      <c r="L1256" s="10"/>
      <c r="M1256" s="10"/>
      <c r="N1256" s="10"/>
      <c r="O1256" s="10"/>
      <c r="P1256" s="10"/>
      <c r="Q1256" s="10"/>
      <c r="R1256" s="10"/>
      <c r="S1256" s="10"/>
      <c r="T1256" s="10"/>
      <c r="U1256" s="10"/>
      <c r="V1256" s="10"/>
      <c r="W1256" s="98"/>
      <c r="X1256" s="818"/>
      <c r="Y1256" s="16"/>
      <c r="Z1256" s="939"/>
      <c r="AA1256" s="22"/>
    </row>
    <row r="1257" spans="1:38" s="613" customFormat="1">
      <c r="A1257" s="53"/>
      <c r="B1257" s="701" t="s">
        <v>1224</v>
      </c>
      <c r="C1257" s="1594">
        <v>8.2199999999999995E-2</v>
      </c>
      <c r="D1257" s="818"/>
      <c r="E1257" s="818"/>
      <c r="F1257" s="818"/>
      <c r="G1257" s="10"/>
      <c r="H1257" s="520"/>
      <c r="I1257" s="10"/>
      <c r="J1257" s="520"/>
      <c r="K1257" s="10"/>
      <c r="L1257" s="10"/>
      <c r="M1257" s="10"/>
      <c r="N1257" s="10"/>
      <c r="O1257" s="10"/>
      <c r="P1257" s="10"/>
      <c r="Q1257" s="10"/>
      <c r="R1257" s="10"/>
      <c r="S1257" s="10"/>
      <c r="T1257" s="10"/>
      <c r="U1257" s="10"/>
      <c r="V1257" s="10"/>
      <c r="W1257" s="98"/>
      <c r="X1257" s="818"/>
      <c r="Y1257" s="16"/>
      <c r="Z1257" s="939"/>
      <c r="AA1257" s="22"/>
    </row>
    <row r="1258" spans="1:38" s="613" customFormat="1">
      <c r="A1258" s="53"/>
      <c r="B1258" s="701" t="s">
        <v>1225</v>
      </c>
      <c r="C1258" s="1594">
        <v>6.7900000000000002E-2</v>
      </c>
      <c r="D1258" s="818"/>
      <c r="E1258" s="818"/>
      <c r="F1258" s="818"/>
      <c r="G1258" s="10"/>
      <c r="H1258" s="520"/>
      <c r="I1258" s="10"/>
      <c r="J1258" s="520"/>
      <c r="K1258" s="10"/>
      <c r="L1258" s="10"/>
      <c r="M1258" s="10"/>
      <c r="N1258" s="10"/>
      <c r="O1258" s="10"/>
      <c r="P1258" s="10"/>
      <c r="Q1258" s="10"/>
      <c r="R1258" s="10"/>
      <c r="S1258" s="10"/>
      <c r="T1258" s="10"/>
      <c r="U1258" s="10"/>
      <c r="V1258" s="10"/>
      <c r="W1258" s="98"/>
      <c r="X1258" s="818"/>
      <c r="Y1258" s="16"/>
      <c r="Z1258" s="939"/>
      <c r="AA1258" s="22"/>
    </row>
    <row r="1259" spans="1:38" s="163" customFormat="1" ht="15" customHeight="1">
      <c r="A1259" s="53"/>
      <c r="B1259" s="701" t="s">
        <v>1226</v>
      </c>
      <c r="C1259" s="1594">
        <v>4.7600000000000003E-2</v>
      </c>
      <c r="D1259" s="818"/>
      <c r="E1259" s="256"/>
      <c r="F1259" s="818"/>
      <c r="G1259" s="10"/>
      <c r="H1259" s="520"/>
      <c r="I1259" s="10"/>
      <c r="J1259" s="520"/>
      <c r="K1259" s="10"/>
      <c r="L1259" s="10"/>
      <c r="M1259" s="10"/>
      <c r="N1259" s="10"/>
      <c r="O1259" s="10"/>
      <c r="P1259" s="10"/>
      <c r="Q1259" s="10"/>
      <c r="R1259" s="10"/>
      <c r="S1259" s="10"/>
      <c r="T1259" s="10"/>
      <c r="U1259" s="10"/>
      <c r="V1259" s="10"/>
      <c r="W1259" s="98"/>
      <c r="X1259" s="818"/>
      <c r="Y1259" s="16"/>
      <c r="Z1259" s="939"/>
      <c r="AA1259" s="22"/>
      <c r="AB1259" s="613"/>
      <c r="AC1259" s="613"/>
      <c r="AD1259" s="613"/>
      <c r="AE1259" s="613"/>
      <c r="AF1259" s="613"/>
      <c r="AG1259" s="613"/>
      <c r="AH1259" s="613"/>
      <c r="AI1259" s="613"/>
      <c r="AJ1259" s="613"/>
      <c r="AK1259" s="613"/>
      <c r="AL1259" s="613"/>
    </row>
    <row r="1260" spans="1:38" s="163" customFormat="1">
      <c r="A1260" s="53"/>
      <c r="B1260" s="1497"/>
      <c r="C1260" s="1608"/>
      <c r="D1260" s="818"/>
      <c r="E1260" s="256"/>
      <c r="F1260" s="818"/>
      <c r="G1260" s="10"/>
      <c r="H1260" s="520"/>
      <c r="I1260" s="10"/>
      <c r="J1260" s="520"/>
      <c r="K1260" s="10"/>
      <c r="L1260" s="10"/>
      <c r="M1260" s="10"/>
      <c r="N1260" s="10"/>
      <c r="O1260" s="10"/>
      <c r="P1260" s="10"/>
      <c r="Q1260" s="10"/>
      <c r="R1260" s="10"/>
      <c r="S1260" s="10"/>
      <c r="T1260" s="10"/>
      <c r="U1260" s="10"/>
      <c r="V1260" s="10"/>
      <c r="W1260" s="98"/>
      <c r="X1260" s="818"/>
      <c r="Y1260" s="16"/>
      <c r="Z1260" s="1555"/>
      <c r="AA1260" s="22"/>
      <c r="AB1260" s="1489"/>
      <c r="AC1260" s="1489"/>
      <c r="AD1260" s="1489"/>
      <c r="AE1260" s="1489"/>
      <c r="AF1260" s="1489"/>
      <c r="AG1260" s="1489"/>
      <c r="AH1260" s="1489"/>
      <c r="AI1260" s="1489"/>
      <c r="AJ1260" s="1489"/>
      <c r="AK1260" s="1489"/>
      <c r="AL1260" s="1489"/>
    </row>
    <row r="1261" spans="1:38" s="163" customFormat="1">
      <c r="A1261" s="53"/>
      <c r="B1261" s="521" t="s">
        <v>2275</v>
      </c>
      <c r="C1261" s="520"/>
      <c r="D1261" s="520"/>
      <c r="E1261" s="520"/>
      <c r="F1261" s="818"/>
      <c r="G1261" s="10"/>
      <c r="H1261" s="520"/>
      <c r="I1261" s="10"/>
      <c r="J1261" s="520"/>
      <c r="K1261" s="10"/>
      <c r="L1261" s="10"/>
      <c r="M1261" s="10"/>
      <c r="N1261" s="10"/>
      <c r="O1261" s="10"/>
      <c r="P1261" s="10"/>
      <c r="Q1261" s="10"/>
      <c r="R1261" s="10"/>
      <c r="S1261" s="10"/>
      <c r="T1261" s="10"/>
      <c r="U1261" s="10"/>
      <c r="V1261" s="10"/>
      <c r="W1261" s="98"/>
      <c r="X1261" s="818"/>
      <c r="Y1261" s="16"/>
      <c r="Z1261" s="1555"/>
      <c r="AA1261" s="22"/>
      <c r="AB1261" s="1489"/>
      <c r="AC1261" s="1489"/>
      <c r="AD1261" s="1489"/>
      <c r="AE1261" s="1489"/>
      <c r="AF1261" s="1489"/>
      <c r="AG1261" s="1489"/>
      <c r="AH1261" s="1489"/>
      <c r="AI1261" s="1489"/>
      <c r="AJ1261" s="1489"/>
      <c r="AK1261" s="1489"/>
      <c r="AL1261" s="1489"/>
    </row>
    <row r="1262" spans="1:38" s="163" customFormat="1">
      <c r="A1262" s="53"/>
      <c r="B1262" s="524" t="s">
        <v>2292</v>
      </c>
      <c r="C1262" s="1622" t="s">
        <v>2293</v>
      </c>
      <c r="D1262" s="524" t="s">
        <v>2309</v>
      </c>
      <c r="E1262" s="1489"/>
      <c r="F1262" s="818"/>
      <c r="G1262" s="10"/>
      <c r="H1262" s="520"/>
      <c r="I1262" s="10"/>
      <c r="J1262" s="520"/>
      <c r="K1262" s="10"/>
      <c r="L1262" s="10"/>
      <c r="M1262" s="10"/>
      <c r="N1262" s="10"/>
      <c r="O1262" s="10"/>
      <c r="P1262" s="10"/>
      <c r="Q1262" s="10"/>
      <c r="R1262" s="10"/>
      <c r="S1262" s="10"/>
      <c r="T1262" s="10"/>
      <c r="U1262" s="10"/>
      <c r="V1262" s="10"/>
      <c r="W1262" s="98"/>
      <c r="X1262" s="818"/>
      <c r="Y1262" s="16"/>
      <c r="Z1262" s="1555"/>
      <c r="AA1262" s="22"/>
      <c r="AB1262" s="1489"/>
      <c r="AC1262" s="1489"/>
      <c r="AD1262" s="1489"/>
      <c r="AE1262" s="1489"/>
      <c r="AF1262" s="1489"/>
      <c r="AG1262" s="1489"/>
      <c r="AH1262" s="1489"/>
      <c r="AI1262" s="1489"/>
      <c r="AJ1262" s="1489"/>
      <c r="AK1262" s="1489"/>
      <c r="AL1262" s="1489"/>
    </row>
    <row r="1263" spans="1:38" s="613" customFormat="1">
      <c r="A1263" s="53"/>
      <c r="B1263" s="1625" t="s">
        <v>2305</v>
      </c>
      <c r="C1263" s="1637">
        <v>0.84331200000000006</v>
      </c>
      <c r="D1263" s="1638" t="s">
        <v>2310</v>
      </c>
      <c r="E1263" s="1489"/>
      <c r="F1263" s="818"/>
      <c r="G1263" s="10"/>
      <c r="H1263" s="520"/>
      <c r="I1263" s="10"/>
      <c r="J1263" s="520"/>
      <c r="K1263" s="10"/>
      <c r="L1263" s="10"/>
      <c r="M1263" s="10"/>
      <c r="N1263" s="10"/>
      <c r="O1263" s="10"/>
      <c r="P1263" s="10"/>
      <c r="Q1263" s="10"/>
      <c r="R1263" s="10"/>
      <c r="S1263" s="10"/>
      <c r="T1263" s="10"/>
      <c r="U1263" s="10"/>
      <c r="V1263" s="10"/>
      <c r="W1263" s="98"/>
      <c r="X1263" s="818"/>
      <c r="Y1263" s="16"/>
      <c r="Z1263" s="1555"/>
      <c r="AA1263" s="22"/>
      <c r="AB1263" s="1489"/>
      <c r="AC1263" s="1489"/>
      <c r="AD1263" s="1489"/>
      <c r="AE1263" s="1489"/>
      <c r="AF1263" s="1489"/>
      <c r="AG1263" s="1489"/>
      <c r="AH1263" s="1489"/>
      <c r="AI1263" s="1489"/>
      <c r="AJ1263" s="1489"/>
      <c r="AK1263" s="1489"/>
      <c r="AL1263" s="1489"/>
    </row>
    <row r="1264" spans="1:38" s="613" customFormat="1">
      <c r="A1264" s="53"/>
      <c r="B1264" s="1625" t="s">
        <v>2306</v>
      </c>
      <c r="C1264" s="1637">
        <v>1.4715199999999999</v>
      </c>
      <c r="D1264" s="1638" t="s">
        <v>2310</v>
      </c>
      <c r="E1264" s="1489"/>
      <c r="F1264" s="818"/>
      <c r="G1264" s="10"/>
      <c r="H1264" s="520"/>
      <c r="I1264" s="10"/>
      <c r="J1264" s="520"/>
      <c r="K1264" s="10"/>
      <c r="L1264" s="10"/>
      <c r="M1264" s="10"/>
      <c r="N1264" s="10"/>
      <c r="O1264" s="10"/>
      <c r="P1264" s="10"/>
      <c r="Q1264" s="10"/>
      <c r="R1264" s="10"/>
      <c r="S1264" s="10"/>
      <c r="T1264" s="10"/>
      <c r="U1264" s="10"/>
      <c r="V1264" s="10"/>
      <c r="W1264" s="98"/>
      <c r="X1264" s="818"/>
      <c r="Y1264" s="16"/>
      <c r="Z1264" s="1555"/>
      <c r="AA1264" s="22"/>
      <c r="AB1264" s="1489"/>
      <c r="AC1264" s="1489"/>
      <c r="AD1264" s="1489"/>
      <c r="AE1264" s="1489"/>
      <c r="AF1264" s="1489"/>
      <c r="AG1264" s="1489"/>
      <c r="AH1264" s="1489"/>
      <c r="AI1264" s="1489"/>
      <c r="AJ1264" s="1489"/>
      <c r="AK1264" s="1489"/>
      <c r="AL1264" s="1489"/>
    </row>
    <row r="1265" spans="1:38" s="613" customFormat="1">
      <c r="A1265" s="53"/>
      <c r="B1265" s="1625" t="s">
        <v>2307</v>
      </c>
      <c r="C1265" s="1637">
        <v>3.0630240000000004</v>
      </c>
      <c r="D1265" s="1638" t="s">
        <v>2310</v>
      </c>
      <c r="E1265" s="1489"/>
      <c r="F1265" s="818"/>
      <c r="G1265" s="10"/>
      <c r="H1265" s="520"/>
      <c r="I1265" s="10"/>
      <c r="J1265" s="520"/>
      <c r="K1265" s="10"/>
      <c r="L1265" s="10"/>
      <c r="M1265" s="10"/>
      <c r="N1265" s="10"/>
      <c r="O1265" s="10"/>
      <c r="P1265" s="10"/>
      <c r="Q1265" s="10"/>
      <c r="R1265" s="10"/>
      <c r="S1265" s="10"/>
      <c r="T1265" s="10"/>
      <c r="U1265" s="10"/>
      <c r="V1265" s="10"/>
      <c r="W1265" s="98"/>
      <c r="X1265" s="818"/>
      <c r="Y1265" s="16"/>
      <c r="Z1265" s="1555"/>
      <c r="AA1265" s="22"/>
      <c r="AB1265" s="1489"/>
      <c r="AC1265" s="1489"/>
      <c r="AD1265" s="1489"/>
      <c r="AE1265" s="1489"/>
      <c r="AF1265" s="1489"/>
      <c r="AG1265" s="1489"/>
      <c r="AH1265" s="1489"/>
      <c r="AI1265" s="1489"/>
      <c r="AJ1265" s="1489"/>
      <c r="AK1265" s="1489"/>
      <c r="AL1265" s="1489"/>
    </row>
    <row r="1266" spans="1:38" s="613" customFormat="1">
      <c r="A1266" s="53"/>
      <c r="B1266" s="1625" t="s">
        <v>2308</v>
      </c>
      <c r="C1266" s="1637">
        <v>7.0571280000000005</v>
      </c>
      <c r="D1266" s="1638" t="s">
        <v>2310</v>
      </c>
      <c r="E1266" s="1489"/>
      <c r="F1266" s="818"/>
      <c r="G1266" s="10"/>
      <c r="H1266" s="520"/>
      <c r="I1266" s="10"/>
      <c r="J1266" s="520"/>
      <c r="K1266" s="10"/>
      <c r="L1266" s="10"/>
      <c r="M1266" s="10"/>
      <c r="N1266" s="10"/>
      <c r="O1266" s="10"/>
      <c r="P1266" s="10"/>
      <c r="Q1266" s="10"/>
      <c r="R1266" s="10"/>
      <c r="S1266" s="10"/>
      <c r="T1266" s="10"/>
      <c r="U1266" s="10"/>
      <c r="V1266" s="10"/>
      <c r="W1266" s="98"/>
      <c r="X1266" s="818"/>
      <c r="Y1266" s="16"/>
      <c r="Z1266" s="1555"/>
      <c r="AA1266" s="22"/>
      <c r="AB1266" s="1489"/>
      <c r="AC1266" s="1489"/>
      <c r="AD1266" s="1489"/>
      <c r="AE1266" s="1489"/>
      <c r="AF1266" s="1489"/>
      <c r="AG1266" s="1489"/>
      <c r="AH1266" s="1489"/>
      <c r="AI1266" s="1489"/>
      <c r="AJ1266" s="1489"/>
      <c r="AK1266" s="1489"/>
      <c r="AL1266" s="1489"/>
    </row>
    <row r="1267" spans="1:38" s="613" customFormat="1">
      <c r="A1267" s="53"/>
      <c r="B1267" s="520"/>
      <c r="C1267" s="520"/>
      <c r="D1267" s="520"/>
      <c r="E1267" s="520"/>
      <c r="F1267" s="818"/>
      <c r="G1267" s="10"/>
      <c r="H1267" s="520"/>
      <c r="I1267" s="10"/>
      <c r="J1267" s="520"/>
      <c r="K1267" s="10"/>
      <c r="L1267" s="10"/>
      <c r="M1267" s="10"/>
      <c r="N1267" s="10"/>
      <c r="O1267" s="10"/>
      <c r="P1267" s="10"/>
      <c r="Q1267" s="10"/>
      <c r="R1267" s="10"/>
      <c r="S1267" s="10"/>
      <c r="T1267" s="10"/>
      <c r="U1267" s="10"/>
      <c r="V1267" s="10"/>
      <c r="W1267" s="98"/>
      <c r="X1267" s="818"/>
      <c r="Y1267" s="16"/>
      <c r="Z1267" s="939"/>
      <c r="AA1267" s="22"/>
    </row>
    <row r="1268" spans="1:38" s="613" customFormat="1">
      <c r="A1268" s="53"/>
      <c r="B1268" s="521" t="s">
        <v>1334</v>
      </c>
      <c r="C1268" s="818"/>
      <c r="D1268" s="818"/>
      <c r="E1268" s="818"/>
      <c r="F1268" s="818"/>
      <c r="G1268" s="10"/>
      <c r="H1268" s="520"/>
      <c r="I1268" s="10"/>
      <c r="J1268" s="520"/>
      <c r="K1268" s="10"/>
      <c r="L1268" s="10"/>
      <c r="M1268" s="10"/>
      <c r="N1268" s="10"/>
      <c r="O1268" s="10"/>
      <c r="P1268" s="10"/>
      <c r="Q1268" s="10"/>
      <c r="R1268" s="10"/>
      <c r="S1268" s="10"/>
      <c r="T1268" s="10"/>
      <c r="U1268" s="10"/>
      <c r="V1268" s="10"/>
      <c r="W1268" s="98"/>
      <c r="X1268" s="818"/>
      <c r="Y1268" s="16"/>
      <c r="Z1268" s="1073"/>
      <c r="AA1268" s="22"/>
    </row>
    <row r="1269" spans="1:38" s="39" customFormat="1" ht="15" thickBot="1">
      <c r="A1269" s="53"/>
      <c r="B1269" s="524" t="s">
        <v>171</v>
      </c>
      <c r="C1269" s="526" t="s">
        <v>681</v>
      </c>
      <c r="D1269" s="818"/>
      <c r="E1269" s="818"/>
      <c r="F1269" s="818"/>
      <c r="G1269" s="10"/>
      <c r="H1269" s="520"/>
      <c r="I1269" s="10"/>
      <c r="J1269" s="520"/>
      <c r="K1269" s="10"/>
      <c r="L1269" s="10"/>
      <c r="M1269" s="10"/>
      <c r="N1269" s="10"/>
      <c r="O1269" s="10"/>
      <c r="P1269" s="10"/>
      <c r="Q1269" s="10"/>
      <c r="R1269" s="10"/>
      <c r="S1269" s="10"/>
      <c r="T1269" s="10"/>
      <c r="U1269" s="10"/>
      <c r="V1269" s="10"/>
      <c r="W1269" s="98"/>
      <c r="X1269" s="818"/>
      <c r="Y1269" s="16"/>
      <c r="Z1269" s="1073"/>
      <c r="AA1269" s="22"/>
      <c r="AB1269" s="613"/>
      <c r="AC1269" s="613"/>
      <c r="AD1269" s="613"/>
      <c r="AE1269" s="613"/>
      <c r="AF1269" s="613"/>
      <c r="AG1269" s="613"/>
      <c r="AH1269" s="613"/>
      <c r="AI1269" s="613"/>
      <c r="AJ1269" s="613"/>
      <c r="AK1269" s="613"/>
      <c r="AL1269" s="613"/>
    </row>
    <row r="1270" spans="1:38" s="122" customFormat="1" ht="18">
      <c r="A1270" s="142"/>
      <c r="B1270" s="534" t="s">
        <v>1335</v>
      </c>
      <c r="C1270" s="1075">
        <v>0.51729999999999998</v>
      </c>
      <c r="D1270" s="818"/>
      <c r="E1270" s="818"/>
      <c r="F1270" s="818"/>
      <c r="G1270" s="10"/>
      <c r="H1270" s="520"/>
      <c r="I1270" s="10"/>
      <c r="J1270" s="520"/>
      <c r="K1270" s="10"/>
      <c r="L1270" s="10"/>
      <c r="M1270" s="10"/>
      <c r="N1270" s="10"/>
      <c r="O1270" s="10"/>
      <c r="P1270" s="10"/>
      <c r="Q1270" s="10"/>
      <c r="R1270" s="10"/>
      <c r="S1270" s="10"/>
      <c r="T1270" s="10"/>
      <c r="U1270" s="10"/>
      <c r="V1270" s="10"/>
      <c r="W1270" s="98"/>
      <c r="X1270" s="818"/>
      <c r="Y1270" s="16"/>
      <c r="Z1270" s="1073"/>
      <c r="AA1270" s="22"/>
      <c r="AB1270" s="613"/>
      <c r="AC1270" s="613"/>
      <c r="AD1270" s="613"/>
      <c r="AE1270" s="613"/>
      <c r="AF1270" s="613"/>
      <c r="AG1270" s="613"/>
      <c r="AH1270" s="613"/>
      <c r="AI1270" s="613"/>
      <c r="AJ1270" s="613"/>
      <c r="AK1270" s="613"/>
      <c r="AL1270" s="613"/>
    </row>
    <row r="1271" spans="1:38" s="39" customFormat="1">
      <c r="A1271" s="53"/>
      <c r="B1271" s="534" t="s">
        <v>1336</v>
      </c>
      <c r="C1271" s="1075">
        <v>1.0346</v>
      </c>
      <c r="D1271" s="818"/>
      <c r="E1271" s="818"/>
      <c r="F1271" s="818"/>
      <c r="G1271" s="10"/>
      <c r="H1271" s="520"/>
      <c r="I1271" s="10"/>
      <c r="J1271" s="520"/>
      <c r="K1271" s="10"/>
      <c r="L1271" s="10"/>
      <c r="M1271" s="10"/>
      <c r="N1271" s="10"/>
      <c r="O1271" s="10"/>
      <c r="P1271" s="10"/>
      <c r="Q1271" s="10"/>
      <c r="R1271" s="10"/>
      <c r="S1271" s="10"/>
      <c r="T1271" s="10"/>
      <c r="U1271" s="10"/>
      <c r="V1271" s="10"/>
      <c r="W1271" s="98"/>
      <c r="X1271" s="818"/>
      <c r="Y1271" s="16"/>
      <c r="Z1271" s="1073"/>
      <c r="AA1271" s="22"/>
      <c r="AB1271" s="613"/>
      <c r="AC1271" s="613"/>
      <c r="AD1271" s="613"/>
      <c r="AE1271" s="613"/>
      <c r="AF1271" s="613"/>
      <c r="AG1271" s="613"/>
      <c r="AH1271" s="613"/>
      <c r="AI1271" s="613"/>
      <c r="AJ1271" s="613"/>
      <c r="AK1271" s="613"/>
      <c r="AL1271" s="613"/>
    </row>
    <row r="1272" spans="1:38" s="39" customFormat="1">
      <c r="A1272" s="53"/>
      <c r="B1272" s="534" t="s">
        <v>1337</v>
      </c>
      <c r="C1272" s="1075">
        <v>2.0693000000000001</v>
      </c>
      <c r="D1272" s="818"/>
      <c r="E1272" s="818"/>
      <c r="F1272" s="818"/>
      <c r="G1272" s="10"/>
      <c r="H1272" s="520"/>
      <c r="I1272" s="10"/>
      <c r="J1272" s="520"/>
      <c r="K1272" s="10"/>
      <c r="L1272" s="10"/>
      <c r="M1272" s="10"/>
      <c r="N1272" s="10"/>
      <c r="O1272" s="10"/>
      <c r="P1272" s="10"/>
      <c r="Q1272" s="10"/>
      <c r="R1272" s="10"/>
      <c r="S1272" s="10"/>
      <c r="T1272" s="10"/>
      <c r="U1272" s="10"/>
      <c r="V1272" s="10"/>
      <c r="W1272" s="98"/>
      <c r="X1272" s="818"/>
      <c r="Y1272" s="16"/>
      <c r="Z1272" s="1073"/>
      <c r="AA1272" s="22"/>
      <c r="AB1272" s="613"/>
      <c r="AC1272" s="613"/>
      <c r="AD1272" s="613"/>
      <c r="AE1272" s="613"/>
      <c r="AF1272" s="613"/>
      <c r="AG1272" s="613"/>
      <c r="AH1272" s="613"/>
      <c r="AI1272" s="613"/>
      <c r="AJ1272" s="613"/>
      <c r="AK1272" s="613"/>
      <c r="AL1272" s="613"/>
    </row>
    <row r="1273" spans="1:38" s="39" customFormat="1">
      <c r="A1273" s="53"/>
      <c r="B1273" s="534" t="s">
        <v>1338</v>
      </c>
      <c r="C1273" s="1075">
        <v>4.1386000000000003</v>
      </c>
      <c r="D1273" s="818"/>
      <c r="E1273" s="818"/>
      <c r="F1273" s="818"/>
      <c r="G1273" s="10"/>
      <c r="H1273" s="520"/>
      <c r="I1273" s="10"/>
      <c r="J1273" s="520"/>
      <c r="K1273" s="10"/>
      <c r="L1273" s="10"/>
      <c r="M1273" s="10"/>
      <c r="N1273" s="10"/>
      <c r="O1273" s="10"/>
      <c r="P1273" s="10"/>
      <c r="Q1273" s="10"/>
      <c r="R1273" s="10"/>
      <c r="S1273" s="10"/>
      <c r="T1273" s="10"/>
      <c r="U1273" s="10"/>
      <c r="V1273" s="10"/>
      <c r="W1273" s="98"/>
      <c r="X1273" s="818"/>
      <c r="Y1273" s="16"/>
      <c r="Z1273" s="1073"/>
      <c r="AA1273" s="22"/>
      <c r="AB1273" s="613"/>
      <c r="AC1273" s="613"/>
      <c r="AD1273" s="613"/>
      <c r="AE1273" s="613"/>
      <c r="AF1273" s="613"/>
      <c r="AG1273" s="613"/>
      <c r="AH1273" s="613"/>
      <c r="AI1273" s="613"/>
      <c r="AJ1273" s="613"/>
      <c r="AK1273" s="613"/>
      <c r="AL1273" s="613"/>
    </row>
    <row r="1274" spans="1:38" s="333" customFormat="1">
      <c r="A1274" s="53"/>
      <c r="B1274" s="818"/>
      <c r="C1274" s="818"/>
      <c r="D1274" s="818"/>
      <c r="E1274" s="818"/>
      <c r="F1274" s="818"/>
      <c r="G1274" s="10"/>
      <c r="H1274" s="520"/>
      <c r="I1274" s="10"/>
      <c r="J1274" s="520"/>
      <c r="K1274" s="10"/>
      <c r="L1274" s="10"/>
      <c r="M1274" s="10"/>
      <c r="N1274" s="10"/>
      <c r="O1274" s="10"/>
      <c r="P1274" s="10"/>
      <c r="Q1274" s="10"/>
      <c r="R1274" s="10"/>
      <c r="S1274" s="10"/>
      <c r="T1274" s="10"/>
      <c r="U1274" s="10"/>
      <c r="V1274" s="10"/>
      <c r="W1274" s="98"/>
      <c r="X1274" s="818"/>
      <c r="Y1274" s="16"/>
      <c r="Z1274" s="1073"/>
      <c r="AA1274" s="22"/>
      <c r="AB1274" s="613"/>
      <c r="AC1274" s="613"/>
      <c r="AD1274" s="613"/>
      <c r="AE1274" s="613"/>
      <c r="AF1274" s="613"/>
      <c r="AG1274" s="613"/>
      <c r="AH1274" s="613"/>
      <c r="AI1274" s="613"/>
      <c r="AJ1274" s="613"/>
      <c r="AK1274" s="613"/>
      <c r="AL1274" s="613"/>
    </row>
    <row r="1275" spans="1:38" s="39" customFormat="1">
      <c r="A1275" s="53"/>
      <c r="B1275" s="521" t="s">
        <v>622</v>
      </c>
      <c r="C1275" s="10"/>
      <c r="D1275" s="520"/>
      <c r="E1275" s="520"/>
      <c r="F1275" s="26" t="s">
        <v>398</v>
      </c>
      <c r="G1275" s="4"/>
      <c r="H1275" s="4"/>
      <c r="I1275" s="4"/>
      <c r="J1275" s="10"/>
      <c r="K1275" s="163"/>
      <c r="L1275" s="10"/>
      <c r="M1275" s="10"/>
      <c r="N1275" s="10"/>
      <c r="O1275" s="10"/>
      <c r="P1275" s="10"/>
      <c r="Q1275" s="10"/>
      <c r="R1275" s="10"/>
      <c r="S1275" s="10"/>
      <c r="T1275" s="10"/>
      <c r="U1275" s="10"/>
      <c r="V1275" s="10"/>
      <c r="W1275" s="98"/>
      <c r="X1275" s="44"/>
      <c r="Y1275" s="16"/>
      <c r="Z1275" s="175"/>
      <c r="AA1275" s="22"/>
      <c r="AB1275" s="163"/>
      <c r="AC1275" s="163"/>
      <c r="AD1275" s="163"/>
      <c r="AE1275" s="163"/>
      <c r="AF1275" s="163"/>
      <c r="AG1275" s="163"/>
      <c r="AH1275" s="163"/>
      <c r="AI1275" s="163"/>
      <c r="AJ1275" s="163"/>
      <c r="AK1275" s="163"/>
      <c r="AL1275" s="163"/>
    </row>
    <row r="1276" spans="1:38" s="39" customFormat="1" ht="28.8">
      <c r="A1276" s="53"/>
      <c r="B1276" s="138" t="s">
        <v>2</v>
      </c>
      <c r="C1276" s="661" t="s">
        <v>614</v>
      </c>
      <c r="D1276" s="661" t="s">
        <v>624</v>
      </c>
      <c r="E1276" s="108" t="s">
        <v>620</v>
      </c>
      <c r="F1276" s="108" t="s">
        <v>615</v>
      </c>
      <c r="G1276" s="108" t="s">
        <v>395</v>
      </c>
      <c r="H1276" s="108" t="s">
        <v>427</v>
      </c>
      <c r="I1276" s="109" t="s">
        <v>157</v>
      </c>
      <c r="J1276" s="10"/>
      <c r="K1276" s="612" t="s">
        <v>611</v>
      </c>
      <c r="L1276" s="10"/>
      <c r="M1276" s="10"/>
      <c r="N1276" s="10"/>
      <c r="O1276" s="10"/>
      <c r="P1276" s="10"/>
      <c r="Q1276" s="10"/>
      <c r="R1276" s="10"/>
      <c r="S1276" s="10"/>
      <c r="T1276" s="10"/>
      <c r="U1276" s="10"/>
      <c r="V1276" s="10"/>
      <c r="W1276" s="98"/>
      <c r="X1276" s="44"/>
      <c r="Y1276" s="16"/>
      <c r="Z1276" s="175"/>
      <c r="AA1276" s="22"/>
      <c r="AB1276" s="163"/>
      <c r="AC1276" s="163"/>
      <c r="AD1276" s="163"/>
      <c r="AE1276" s="163"/>
      <c r="AF1276" s="163"/>
      <c r="AG1276" s="163"/>
      <c r="AH1276" s="163"/>
      <c r="AI1276" s="163"/>
      <c r="AJ1276" s="163"/>
      <c r="AK1276" s="163"/>
      <c r="AL1276" s="163"/>
    </row>
    <row r="1277" spans="1:38" s="593" customFormat="1" ht="28.8">
      <c r="A1277" s="679"/>
      <c r="B1277" s="1868" t="s">
        <v>2745</v>
      </c>
      <c r="C1277" s="662" t="s">
        <v>618</v>
      </c>
      <c r="D1277" s="663">
        <v>4</v>
      </c>
      <c r="E1277" s="664" t="s">
        <v>621</v>
      </c>
      <c r="F1277" s="664" t="s">
        <v>394</v>
      </c>
      <c r="G1277" s="664" t="s">
        <v>616</v>
      </c>
      <c r="H1277" s="665">
        <v>55364.76</v>
      </c>
      <c r="I1277" s="665">
        <v>4613.7299999999996</v>
      </c>
      <c r="J1277" s="10"/>
      <c r="K1277" s="612"/>
      <c r="L1277" s="10"/>
      <c r="M1277" s="10"/>
      <c r="N1277" s="10"/>
      <c r="O1277" s="10"/>
      <c r="P1277" s="10"/>
      <c r="Q1277" s="10"/>
      <c r="R1277" s="10"/>
      <c r="S1277" s="10"/>
      <c r="T1277" s="10"/>
      <c r="U1277" s="10"/>
      <c r="V1277" s="10"/>
      <c r="W1277" s="98"/>
      <c r="X1277" s="44"/>
      <c r="Y1277" s="16"/>
      <c r="Z1277" s="175"/>
      <c r="AA1277" s="22"/>
      <c r="AB1277" s="163"/>
      <c r="AC1277" s="163"/>
      <c r="AD1277" s="163"/>
      <c r="AE1277" s="163"/>
      <c r="AF1277" s="163"/>
      <c r="AG1277" s="163"/>
      <c r="AH1277" s="163"/>
      <c r="AI1277" s="163"/>
      <c r="AJ1277" s="163"/>
      <c r="AK1277" s="163"/>
      <c r="AL1277" s="163"/>
    </row>
    <row r="1278" spans="1:38" s="1486" customFormat="1" ht="28.8">
      <c r="A1278" s="679"/>
      <c r="B1278" s="1868" t="s">
        <v>2746</v>
      </c>
      <c r="C1278" s="662" t="s">
        <v>619</v>
      </c>
      <c r="D1278" s="663">
        <v>4</v>
      </c>
      <c r="E1278" s="664" t="s">
        <v>621</v>
      </c>
      <c r="F1278" s="666" t="s">
        <v>613</v>
      </c>
      <c r="G1278" s="664" t="s">
        <v>617</v>
      </c>
      <c r="H1278" s="665">
        <v>67664.52</v>
      </c>
      <c r="I1278" s="665">
        <v>5638.71</v>
      </c>
      <c r="J1278" s="10"/>
      <c r="K1278" s="612" t="s">
        <v>612</v>
      </c>
      <c r="L1278" s="10"/>
      <c r="M1278" s="10"/>
      <c r="N1278" s="10"/>
      <c r="O1278" s="10"/>
      <c r="P1278" s="10"/>
      <c r="Q1278" s="10"/>
      <c r="R1278" s="10"/>
      <c r="S1278" s="10"/>
      <c r="T1278" s="10"/>
      <c r="U1278" s="10"/>
      <c r="V1278" s="10"/>
      <c r="W1278" s="98"/>
      <c r="X1278" s="44"/>
      <c r="Y1278" s="16"/>
      <c r="Z1278" s="175"/>
      <c r="AA1278" s="22"/>
      <c r="AB1278" s="163"/>
      <c r="AC1278" s="163"/>
      <c r="AD1278" s="163"/>
      <c r="AE1278" s="163"/>
      <c r="AF1278" s="163"/>
      <c r="AG1278" s="163"/>
      <c r="AH1278" s="163"/>
      <c r="AI1278" s="163"/>
      <c r="AJ1278" s="163"/>
      <c r="AK1278" s="163"/>
      <c r="AL1278" s="163"/>
    </row>
    <row r="1279" spans="1:38" s="613" customFormat="1" ht="28.8">
      <c r="A1279" s="53"/>
      <c r="B1279" s="1868" t="s">
        <v>2747</v>
      </c>
      <c r="C1279" s="662" t="s">
        <v>627</v>
      </c>
      <c r="D1279" s="667">
        <v>1</v>
      </c>
      <c r="E1279" s="664" t="s">
        <v>621</v>
      </c>
      <c r="F1279" s="664" t="s">
        <v>394</v>
      </c>
      <c r="G1279" s="664" t="s">
        <v>625</v>
      </c>
      <c r="H1279" s="665">
        <v>13841.16</v>
      </c>
      <c r="I1279" s="668">
        <v>1153.43</v>
      </c>
      <c r="J1279" s="10"/>
      <c r="K1279" s="612"/>
      <c r="L1279" s="10"/>
      <c r="M1279" s="10"/>
      <c r="N1279" s="10"/>
      <c r="O1279" s="10"/>
      <c r="P1279" s="10"/>
      <c r="Q1279" s="10"/>
      <c r="R1279" s="10"/>
      <c r="S1279" s="10"/>
      <c r="T1279" s="10"/>
      <c r="U1279" s="10"/>
      <c r="V1279" s="10"/>
      <c r="W1279" s="98"/>
      <c r="X1279" s="44"/>
      <c r="Y1279" s="16"/>
      <c r="Z1279" s="763"/>
      <c r="AA1279" s="22"/>
    </row>
    <row r="1280" spans="1:38" s="39" customFormat="1" ht="28.8">
      <c r="A1280" s="53"/>
      <c r="B1280" s="1868" t="s">
        <v>2748</v>
      </c>
      <c r="C1280" s="662" t="s">
        <v>628</v>
      </c>
      <c r="D1280" s="667">
        <v>1</v>
      </c>
      <c r="E1280" s="664" t="s">
        <v>621</v>
      </c>
      <c r="F1280" s="666" t="s">
        <v>613</v>
      </c>
      <c r="G1280" s="664" t="s">
        <v>626</v>
      </c>
      <c r="H1280" s="665">
        <v>16106.04</v>
      </c>
      <c r="I1280" s="668">
        <v>1342.17</v>
      </c>
      <c r="J1280" s="10"/>
      <c r="K1280" s="612"/>
      <c r="L1280" s="10"/>
      <c r="M1280" s="10"/>
      <c r="N1280" s="10"/>
      <c r="O1280" s="10"/>
      <c r="P1280" s="10"/>
      <c r="Q1280" s="10"/>
      <c r="R1280" s="10"/>
      <c r="S1280" s="10"/>
      <c r="T1280" s="10"/>
      <c r="U1280" s="10"/>
      <c r="V1280" s="10"/>
      <c r="W1280" s="98"/>
      <c r="X1280" s="44"/>
      <c r="Y1280" s="16"/>
      <c r="Z1280" s="763"/>
      <c r="AA1280" s="22"/>
      <c r="AB1280" s="613"/>
      <c r="AC1280" s="613"/>
      <c r="AD1280" s="613"/>
      <c r="AE1280" s="613"/>
      <c r="AF1280" s="613"/>
      <c r="AG1280" s="613"/>
      <c r="AH1280" s="613"/>
      <c r="AI1280" s="613"/>
      <c r="AJ1280" s="613"/>
      <c r="AK1280" s="613"/>
      <c r="AL1280" s="613"/>
    </row>
    <row r="1281" spans="1:38" s="39" customFormat="1" ht="15" thickBot="1">
      <c r="A1281" s="53"/>
      <c r="B1281" s="136"/>
      <c r="C1281" s="50"/>
      <c r="D1281" s="51"/>
      <c r="E1281" s="51"/>
      <c r="F1281" s="145"/>
      <c r="G1281" s="52"/>
      <c r="H1281" s="52"/>
      <c r="I1281" s="54"/>
      <c r="J1281" s="54"/>
      <c r="K1281" s="10"/>
      <c r="L1281" s="52"/>
      <c r="M1281" s="54"/>
      <c r="N1281" s="52"/>
      <c r="O1281" s="52"/>
      <c r="P1281" s="603"/>
      <c r="Q1281" s="54"/>
      <c r="R1281" s="54"/>
      <c r="S1281" s="54"/>
      <c r="T1281" s="54"/>
      <c r="U1281" s="603"/>
      <c r="V1281" s="603"/>
      <c r="W1281" s="130"/>
      <c r="X1281" s="44"/>
      <c r="Y1281" s="16"/>
      <c r="Z1281" s="10"/>
      <c r="AA1281" s="22"/>
    </row>
    <row r="1282" spans="1:38" ht="18">
      <c r="A1282" s="53"/>
      <c r="B1282" s="133" t="s">
        <v>258</v>
      </c>
      <c r="C1282" s="119"/>
      <c r="D1282" s="119"/>
      <c r="E1282" s="119"/>
      <c r="F1282" s="119"/>
      <c r="G1282" s="119"/>
      <c r="H1282" s="119"/>
      <c r="I1282" s="119"/>
      <c r="J1282" s="119"/>
      <c r="K1282" s="119"/>
      <c r="L1282" s="119"/>
      <c r="M1282" s="119"/>
      <c r="N1282" s="119"/>
      <c r="O1282" s="119"/>
      <c r="P1282" s="119"/>
      <c r="Q1282" s="119"/>
      <c r="R1282" s="119"/>
      <c r="S1282" s="119"/>
      <c r="T1282" s="119"/>
      <c r="U1282" s="119"/>
      <c r="V1282" s="119"/>
      <c r="W1282" s="120"/>
      <c r="X1282" s="121"/>
      <c r="Y1282" s="131"/>
      <c r="Z1282" s="133" t="s">
        <v>33</v>
      </c>
      <c r="AA1282" s="123"/>
      <c r="AB1282" s="122"/>
      <c r="AC1282" s="122"/>
      <c r="AD1282" s="122"/>
      <c r="AE1282" s="122"/>
      <c r="AF1282" s="122"/>
      <c r="AG1282" s="122"/>
      <c r="AH1282" s="122"/>
      <c r="AI1282" s="122"/>
      <c r="AJ1282" s="122"/>
      <c r="AK1282" s="122"/>
      <c r="AL1282" s="122"/>
    </row>
    <row r="1283" spans="1:38" s="104" customFormat="1">
      <c r="A1283" s="141"/>
      <c r="B1283" s="92"/>
      <c r="C1283" s="44"/>
      <c r="D1283" s="44"/>
      <c r="E1283" s="44"/>
      <c r="F1283" s="44"/>
      <c r="G1283" s="44"/>
      <c r="H1283" s="44"/>
      <c r="I1283" s="44"/>
      <c r="J1283" s="44"/>
      <c r="K1283" s="44"/>
      <c r="L1283" s="44"/>
      <c r="M1283" s="44"/>
      <c r="N1283" s="44"/>
      <c r="O1283" s="44"/>
      <c r="P1283" s="44"/>
      <c r="Q1283" s="44"/>
      <c r="R1283" s="44"/>
      <c r="S1283" s="44"/>
      <c r="T1283" s="818"/>
      <c r="U1283" s="818"/>
      <c r="V1283" s="818"/>
      <c r="W1283" s="99"/>
      <c r="X1283" s="44"/>
      <c r="Y1283" s="16"/>
      <c r="Z1283" s="10"/>
      <c r="AA1283" s="22"/>
      <c r="AB1283" s="39"/>
      <c r="AC1283" s="39"/>
      <c r="AD1283" s="39"/>
      <c r="AE1283" s="39"/>
      <c r="AF1283" s="39"/>
      <c r="AG1283" s="39"/>
      <c r="AH1283" s="39"/>
      <c r="AI1283" s="39"/>
      <c r="AJ1283" s="39"/>
      <c r="AK1283" s="39"/>
      <c r="AL1283" s="39"/>
    </row>
    <row r="1284" spans="1:38" s="104" customFormat="1">
      <c r="A1284" s="141"/>
      <c r="B1284" s="208" t="s">
        <v>87</v>
      </c>
      <c r="C1284" s="2041" t="s">
        <v>88</v>
      </c>
      <c r="D1284" s="2042"/>
      <c r="E1284" s="2042"/>
      <c r="F1284" s="2042"/>
      <c r="G1284" s="2042"/>
      <c r="H1284" s="2043"/>
      <c r="I1284" s="2072" t="s">
        <v>250</v>
      </c>
      <c r="J1284" s="2072"/>
      <c r="K1284" s="2072"/>
      <c r="L1284" s="44"/>
      <c r="M1284" s="44"/>
      <c r="N1284" s="44"/>
      <c r="O1284" s="44"/>
      <c r="P1284" s="44"/>
      <c r="Q1284" s="44"/>
      <c r="R1284" s="44"/>
      <c r="S1284" s="44"/>
      <c r="T1284" s="818"/>
      <c r="U1284" s="818"/>
      <c r="V1284" s="818"/>
      <c r="W1284" s="99"/>
      <c r="X1284" s="44"/>
      <c r="Y1284" s="16"/>
      <c r="Z1284" s="132"/>
      <c r="AA1284" s="22"/>
      <c r="AB1284" s="39"/>
      <c r="AC1284" s="39"/>
      <c r="AD1284" s="39"/>
      <c r="AE1284" s="39"/>
      <c r="AF1284" s="39"/>
      <c r="AG1284" s="39"/>
      <c r="AH1284" s="39"/>
      <c r="AI1284" s="39"/>
      <c r="AJ1284" s="39"/>
      <c r="AK1284" s="39"/>
      <c r="AL1284" s="39"/>
    </row>
    <row r="1285" spans="1:38" s="104" customFormat="1" ht="86.4">
      <c r="A1285" s="141"/>
      <c r="B1285" s="257" t="s">
        <v>83</v>
      </c>
      <c r="C1285" s="2032" t="s">
        <v>84</v>
      </c>
      <c r="D1285" s="2033"/>
      <c r="E1285" s="2033"/>
      <c r="F1285" s="2033"/>
      <c r="G1285" s="2033"/>
      <c r="H1285" s="2034"/>
      <c r="I1285" s="718">
        <v>0</v>
      </c>
      <c r="J1285" s="718">
        <v>0</v>
      </c>
      <c r="K1285" s="718">
        <v>0</v>
      </c>
      <c r="L1285" s="44"/>
      <c r="M1285" s="44"/>
      <c r="N1285" s="44"/>
      <c r="O1285" s="44"/>
      <c r="P1285" s="44"/>
      <c r="Q1285" s="44"/>
      <c r="R1285" s="44"/>
      <c r="S1285" s="44"/>
      <c r="T1285" s="818"/>
      <c r="U1285" s="818"/>
      <c r="V1285" s="818"/>
      <c r="W1285" s="99"/>
      <c r="X1285" s="44"/>
      <c r="Y1285" s="118"/>
      <c r="Z1285" s="197" t="s">
        <v>161</v>
      </c>
      <c r="AA1285" s="22"/>
      <c r="AB1285" s="39"/>
      <c r="AC1285" s="39"/>
      <c r="AD1285" s="39"/>
      <c r="AE1285" s="39"/>
      <c r="AF1285" s="39"/>
      <c r="AG1285" s="39"/>
      <c r="AH1285" s="39"/>
      <c r="AI1285" s="39"/>
      <c r="AJ1285" s="39"/>
      <c r="AK1285" s="39"/>
      <c r="AL1285" s="39"/>
    </row>
    <row r="1286" spans="1:38" s="104" customFormat="1" ht="57.6">
      <c r="A1286" s="141"/>
      <c r="B1286" s="341" t="s">
        <v>317</v>
      </c>
      <c r="C1286" s="2035" t="s">
        <v>318</v>
      </c>
      <c r="D1286" s="2036"/>
      <c r="E1286" s="2036"/>
      <c r="F1286" s="2036"/>
      <c r="G1286" s="2036"/>
      <c r="H1286" s="2037"/>
      <c r="I1286" s="718" t="s">
        <v>319</v>
      </c>
      <c r="J1286" s="718" t="s">
        <v>319</v>
      </c>
      <c r="K1286" s="718" t="s">
        <v>320</v>
      </c>
      <c r="L1286" s="44"/>
      <c r="M1286" s="44"/>
      <c r="N1286" s="44"/>
      <c r="O1286" s="44"/>
      <c r="P1286" s="44"/>
      <c r="Q1286" s="44"/>
      <c r="R1286" s="44"/>
      <c r="S1286" s="44"/>
      <c r="T1286" s="818"/>
      <c r="U1286" s="818"/>
      <c r="V1286" s="818"/>
      <c r="W1286" s="99"/>
      <c r="X1286" s="44"/>
      <c r="Y1286" s="118"/>
      <c r="Z1286" s="332"/>
      <c r="AA1286" s="22"/>
      <c r="AB1286" s="333"/>
      <c r="AC1286" s="333"/>
      <c r="AD1286" s="333"/>
      <c r="AE1286" s="333"/>
      <c r="AF1286" s="333"/>
      <c r="AG1286" s="333"/>
      <c r="AH1286" s="333"/>
      <c r="AI1286" s="333"/>
      <c r="AJ1286" s="333"/>
      <c r="AK1286" s="333"/>
      <c r="AL1286" s="333"/>
    </row>
    <row r="1287" spans="1:38" s="331" customFormat="1" ht="72">
      <c r="A1287" s="141"/>
      <c r="B1287" s="257" t="s">
        <v>252</v>
      </c>
      <c r="C1287" s="2032" t="s">
        <v>253</v>
      </c>
      <c r="D1287" s="2033"/>
      <c r="E1287" s="2033"/>
      <c r="F1287" s="2033"/>
      <c r="G1287" s="2033"/>
      <c r="H1287" s="2034"/>
      <c r="I1287" s="507" t="s">
        <v>295</v>
      </c>
      <c r="J1287" s="507" t="s">
        <v>1545</v>
      </c>
      <c r="K1287" s="507" t="s">
        <v>300</v>
      </c>
      <c r="L1287" s="44"/>
      <c r="M1287" s="1497"/>
      <c r="N1287" s="44"/>
      <c r="O1287" s="44"/>
      <c r="P1287" s="44"/>
      <c r="Q1287" s="44"/>
      <c r="R1287" s="44"/>
      <c r="S1287" s="44"/>
      <c r="T1287" s="818"/>
      <c r="U1287" s="818"/>
      <c r="V1287" s="818"/>
      <c r="W1287" s="99"/>
      <c r="X1287" s="44"/>
      <c r="Y1287" s="16"/>
      <c r="Z1287" s="296" t="s">
        <v>249</v>
      </c>
      <c r="AA1287" s="22"/>
      <c r="AB1287" s="39"/>
      <c r="AC1287" s="39"/>
      <c r="AD1287" s="39"/>
      <c r="AE1287" s="39"/>
      <c r="AF1287" s="39"/>
      <c r="AG1287" s="39"/>
      <c r="AH1287" s="39"/>
      <c r="AI1287" s="39"/>
      <c r="AJ1287" s="39"/>
      <c r="AK1287" s="39"/>
      <c r="AL1287" s="39"/>
    </row>
    <row r="1288" spans="1:38" s="331" customFormat="1" ht="57.6">
      <c r="A1288" s="141"/>
      <c r="B1288" s="257" t="s">
        <v>89</v>
      </c>
      <c r="C1288" s="2032" t="s">
        <v>85</v>
      </c>
      <c r="D1288" s="2033"/>
      <c r="E1288" s="2033"/>
      <c r="F1288" s="2033"/>
      <c r="G1288" s="2033"/>
      <c r="H1288" s="2034"/>
      <c r="I1288" s="680" t="s">
        <v>1546</v>
      </c>
      <c r="J1288" s="507" t="s">
        <v>1546</v>
      </c>
      <c r="K1288" s="507" t="s">
        <v>301</v>
      </c>
      <c r="L1288" s="44"/>
      <c r="M1288" s="1497"/>
      <c r="N1288" s="44"/>
      <c r="O1288" s="44"/>
      <c r="P1288" s="44"/>
      <c r="Q1288" s="44"/>
      <c r="R1288" s="44"/>
      <c r="S1288" s="44"/>
      <c r="T1288" s="818"/>
      <c r="U1288" s="818"/>
      <c r="V1288" s="818"/>
      <c r="W1288" s="99"/>
      <c r="X1288" s="44"/>
      <c r="Y1288" s="118"/>
      <c r="Z1288" s="198"/>
      <c r="AA1288" s="22"/>
      <c r="AB1288" s="39"/>
      <c r="AC1288" s="39"/>
      <c r="AD1288" s="39"/>
      <c r="AE1288" s="39"/>
      <c r="AF1288" s="39"/>
      <c r="AG1288" s="39"/>
      <c r="AH1288" s="39"/>
      <c r="AI1288" s="39"/>
      <c r="AJ1288" s="39"/>
      <c r="AK1288" s="39"/>
      <c r="AL1288" s="39"/>
    </row>
    <row r="1289" spans="1:38" s="331" customFormat="1" ht="57.6">
      <c r="A1289" s="141"/>
      <c r="B1289" s="1357" t="s">
        <v>21</v>
      </c>
      <c r="C1289" s="2029" t="s">
        <v>86</v>
      </c>
      <c r="D1289" s="2030"/>
      <c r="E1289" s="2030"/>
      <c r="F1289" s="2030"/>
      <c r="G1289" s="2030"/>
      <c r="H1289" s="2031"/>
      <c r="I1289" s="680" t="s">
        <v>1543</v>
      </c>
      <c r="J1289" s="680" t="s">
        <v>1543</v>
      </c>
      <c r="K1289" s="680" t="s">
        <v>1544</v>
      </c>
      <c r="L1289" s="295"/>
      <c r="M1289" s="1497"/>
      <c r="N1289" s="295"/>
      <c r="O1289" s="295"/>
      <c r="P1289" s="295"/>
      <c r="Q1289" s="295"/>
      <c r="R1289" s="295"/>
      <c r="S1289" s="295"/>
      <c r="T1289" s="295"/>
      <c r="U1289" s="295"/>
      <c r="V1289" s="295"/>
      <c r="W1289" s="1358"/>
      <c r="X1289" s="295"/>
      <c r="Y1289" s="1359"/>
      <c r="Z1289" s="730"/>
      <c r="AA1289" s="1360"/>
      <c r="AB1289" s="593"/>
      <c r="AC1289" s="593"/>
      <c r="AD1289" s="593"/>
      <c r="AE1289" s="593"/>
      <c r="AF1289" s="593"/>
      <c r="AG1289" s="593"/>
      <c r="AH1289" s="593"/>
      <c r="AI1289" s="593"/>
      <c r="AJ1289" s="593"/>
      <c r="AK1289" s="593"/>
      <c r="AL1289" s="593"/>
    </row>
    <row r="1290" spans="1:38" s="104" customFormat="1" ht="57.6">
      <c r="A1290" s="141"/>
      <c r="B1290" s="1677" t="s">
        <v>2335</v>
      </c>
      <c r="C1290" s="2029" t="s">
        <v>2338</v>
      </c>
      <c r="D1290" s="2030"/>
      <c r="E1290" s="2030"/>
      <c r="F1290" s="2030"/>
      <c r="G1290" s="2030"/>
      <c r="H1290" s="2031"/>
      <c r="I1290" s="680" t="s">
        <v>2336</v>
      </c>
      <c r="J1290" s="680" t="s">
        <v>2336</v>
      </c>
      <c r="K1290" s="680" t="s">
        <v>2337</v>
      </c>
      <c r="L1290" s="1497"/>
      <c r="M1290" s="888"/>
      <c r="N1290" s="1497"/>
      <c r="O1290" s="1497"/>
      <c r="P1290" s="1497"/>
      <c r="Q1290" s="1497"/>
      <c r="R1290" s="1497"/>
      <c r="S1290" s="1497"/>
      <c r="T1290" s="1497"/>
      <c r="U1290" s="1497"/>
      <c r="V1290" s="1497"/>
      <c r="W1290" s="1358"/>
      <c r="X1290" s="1497"/>
      <c r="Y1290" s="1359"/>
      <c r="Z1290" s="730"/>
      <c r="AA1290" s="1360"/>
      <c r="AB1290" s="1486"/>
      <c r="AC1290" s="1486"/>
      <c r="AD1290" s="1486"/>
      <c r="AE1290" s="1486"/>
      <c r="AF1290" s="1486"/>
      <c r="AG1290" s="1486"/>
      <c r="AH1290" s="1486"/>
      <c r="AI1290" s="1486"/>
      <c r="AJ1290" s="1486"/>
      <c r="AK1290" s="1486"/>
      <c r="AL1290" s="1486"/>
    </row>
    <row r="1291" spans="1:38" s="104" customFormat="1" ht="216">
      <c r="A1291" s="141"/>
      <c r="B1291" s="886" t="s">
        <v>1028</v>
      </c>
      <c r="C1291" s="2029" t="s">
        <v>997</v>
      </c>
      <c r="D1291" s="2030"/>
      <c r="E1291" s="2030"/>
      <c r="F1291" s="2030"/>
      <c r="G1291" s="2030"/>
      <c r="H1291" s="2031"/>
      <c r="I1291" s="680" t="s">
        <v>1027</v>
      </c>
      <c r="J1291" s="887" t="s">
        <v>407</v>
      </c>
      <c r="K1291" s="680" t="s">
        <v>1027</v>
      </c>
      <c r="L1291" s="818"/>
      <c r="M1291" s="888"/>
      <c r="N1291" s="818"/>
      <c r="O1291" s="818"/>
      <c r="P1291" s="818"/>
      <c r="Q1291" s="818"/>
      <c r="R1291" s="818"/>
      <c r="S1291" s="818"/>
      <c r="T1291" s="818"/>
      <c r="U1291" s="818"/>
      <c r="V1291" s="818"/>
      <c r="W1291" s="99"/>
      <c r="X1291" s="818"/>
      <c r="Y1291" s="16"/>
      <c r="Z1291" s="218"/>
      <c r="AA1291" s="22"/>
      <c r="AB1291" s="613"/>
      <c r="AC1291" s="613"/>
      <c r="AD1291" s="613"/>
      <c r="AE1291" s="613"/>
      <c r="AF1291" s="613"/>
      <c r="AG1291" s="613"/>
      <c r="AH1291" s="613"/>
      <c r="AI1291" s="613"/>
      <c r="AJ1291" s="613"/>
      <c r="AK1291" s="613"/>
      <c r="AL1291" s="613"/>
    </row>
    <row r="1292" spans="1:38" s="104" customFormat="1" ht="57.6">
      <c r="A1292" s="141"/>
      <c r="B1292" s="257" t="s">
        <v>2506</v>
      </c>
      <c r="C1292" s="1974" t="s">
        <v>2508</v>
      </c>
      <c r="D1292" s="1975"/>
      <c r="E1292" s="1975"/>
      <c r="F1292" s="1975"/>
      <c r="G1292" s="1975"/>
      <c r="H1292" s="1976"/>
      <c r="I1292" s="507" t="s">
        <v>1546</v>
      </c>
      <c r="J1292" s="507" t="s">
        <v>1546</v>
      </c>
      <c r="K1292" s="507" t="s">
        <v>301</v>
      </c>
      <c r="L1292" s="44"/>
      <c r="M1292" s="44"/>
      <c r="N1292" s="44"/>
      <c r="O1292" s="44"/>
      <c r="P1292" s="44"/>
      <c r="Q1292" s="44"/>
      <c r="R1292" s="44"/>
      <c r="S1292" s="44"/>
      <c r="T1292" s="818"/>
      <c r="U1292" s="818"/>
      <c r="V1292" s="818"/>
      <c r="W1292" s="99"/>
      <c r="X1292" s="44"/>
      <c r="Y1292" s="16"/>
      <c r="Z1292" s="132"/>
      <c r="AA1292" s="7"/>
      <c r="AB1292" s="39"/>
      <c r="AC1292" s="39"/>
      <c r="AD1292" s="39"/>
      <c r="AE1292" s="39"/>
      <c r="AF1292" s="39"/>
      <c r="AG1292" s="39"/>
      <c r="AH1292" s="39"/>
      <c r="AI1292" s="39"/>
      <c r="AJ1292" s="39"/>
      <c r="AK1292" s="39"/>
      <c r="AL1292" s="39"/>
    </row>
    <row r="1293" spans="1:38" s="104" customFormat="1" ht="58.2" thickBot="1">
      <c r="A1293" s="141"/>
      <c r="B1293" s="257" t="s">
        <v>2507</v>
      </c>
      <c r="C1293" s="1974" t="s">
        <v>2508</v>
      </c>
      <c r="D1293" s="1975"/>
      <c r="E1293" s="1975"/>
      <c r="F1293" s="1975"/>
      <c r="G1293" s="1975"/>
      <c r="H1293" s="1976"/>
      <c r="I1293" s="507" t="s">
        <v>1543</v>
      </c>
      <c r="J1293" s="507" t="s">
        <v>1543</v>
      </c>
      <c r="K1293" s="507" t="s">
        <v>1544</v>
      </c>
      <c r="L1293" s="39"/>
      <c r="M1293" s="163"/>
      <c r="N1293" s="39"/>
      <c r="O1293" s="39"/>
      <c r="P1293" s="333"/>
      <c r="Q1293" s="163"/>
      <c r="R1293" s="163"/>
      <c r="S1293" s="163"/>
      <c r="T1293" s="1405"/>
      <c r="U1293" s="613"/>
      <c r="V1293" s="1185"/>
      <c r="W1293" s="99"/>
      <c r="X1293" s="44"/>
      <c r="Y1293" s="78"/>
      <c r="Z1293" s="54"/>
      <c r="AA1293" s="55"/>
      <c r="AB1293" s="39"/>
      <c r="AC1293" s="39"/>
      <c r="AD1293" s="39"/>
      <c r="AE1293" s="39"/>
      <c r="AF1293" s="39"/>
      <c r="AG1293" s="39"/>
      <c r="AH1293" s="39"/>
      <c r="AI1293" s="39"/>
      <c r="AJ1293" s="39"/>
      <c r="AK1293" s="39"/>
      <c r="AL1293" s="39"/>
    </row>
    <row r="1294" spans="1:38" ht="15" thickBot="1"/>
    <row r="1295" spans="1:38" s="331" customFormat="1" ht="18">
      <c r="A1295" s="141"/>
      <c r="B1295" s="133" t="s">
        <v>231</v>
      </c>
      <c r="C1295" s="119"/>
      <c r="D1295" s="119"/>
      <c r="E1295" s="119"/>
      <c r="F1295" s="119"/>
      <c r="G1295" s="119"/>
      <c r="H1295" s="119"/>
      <c r="I1295" s="119"/>
      <c r="J1295" s="119"/>
      <c r="K1295" s="119"/>
      <c r="L1295" s="119"/>
      <c r="M1295" s="119"/>
      <c r="N1295" s="119"/>
      <c r="O1295" s="119"/>
      <c r="P1295" s="119"/>
      <c r="Q1295" s="119"/>
      <c r="R1295" s="119"/>
      <c r="S1295" s="119"/>
      <c r="T1295" s="119"/>
      <c r="U1295" s="119"/>
      <c r="V1295" s="119"/>
      <c r="W1295" s="120"/>
      <c r="X1295" s="121"/>
      <c r="Y1295" s="131"/>
      <c r="Z1295" s="133" t="s">
        <v>33</v>
      </c>
      <c r="AA1295" s="123"/>
      <c r="AB1295" s="122"/>
      <c r="AC1295" s="122"/>
      <c r="AD1295" s="122"/>
      <c r="AE1295" s="122"/>
      <c r="AF1295" s="122"/>
      <c r="AG1295" s="122"/>
      <c r="AH1295" s="122"/>
      <c r="AI1295" s="122"/>
      <c r="AJ1295" s="122"/>
      <c r="AK1295" s="122"/>
      <c r="AL1295" s="122"/>
    </row>
    <row r="1296" spans="1:38" s="331" customFormat="1">
      <c r="A1296" s="141"/>
      <c r="B1296" s="1928" t="s">
        <v>259</v>
      </c>
      <c r="C1296" s="1929"/>
      <c r="D1296" s="1929"/>
      <c r="E1296" s="1929"/>
      <c r="F1296" s="26" t="s">
        <v>147</v>
      </c>
      <c r="G1296" s="39"/>
      <c r="H1296" s="4" t="s">
        <v>219</v>
      </c>
      <c r="I1296" s="4"/>
      <c r="J1296" s="4"/>
      <c r="K1296" s="4"/>
      <c r="L1296" s="4"/>
      <c r="M1296" s="4"/>
      <c r="N1296" s="4"/>
      <c r="O1296" s="4"/>
      <c r="P1296" s="4"/>
      <c r="Q1296" s="4"/>
      <c r="R1296" s="4"/>
      <c r="S1296" s="4"/>
      <c r="T1296" s="4"/>
      <c r="U1296" s="4"/>
      <c r="V1296" s="4"/>
      <c r="W1296" s="93"/>
      <c r="X1296" s="4"/>
      <c r="Y1296" s="53"/>
      <c r="Z1296" s="218"/>
      <c r="AA1296" s="7"/>
      <c r="AB1296" s="39"/>
      <c r="AC1296" s="39"/>
      <c r="AD1296" s="39"/>
      <c r="AE1296" s="39"/>
      <c r="AF1296" s="39"/>
      <c r="AG1296" s="39"/>
      <c r="AH1296" s="39"/>
      <c r="AI1296" s="39"/>
      <c r="AJ1296" s="39"/>
      <c r="AK1296" s="39"/>
      <c r="AL1296" s="39"/>
    </row>
    <row r="1297" spans="1:38" s="331" customFormat="1" ht="43.2">
      <c r="A1297" s="141"/>
      <c r="B1297" s="138" t="s">
        <v>2</v>
      </c>
      <c r="C1297" s="108"/>
      <c r="D1297" s="108"/>
      <c r="E1297" s="108"/>
      <c r="F1297" s="108"/>
      <c r="G1297" s="108" t="s">
        <v>225</v>
      </c>
      <c r="H1297" s="108" t="s">
        <v>226</v>
      </c>
      <c r="I1297" s="4" t="s">
        <v>2447</v>
      </c>
      <c r="J1297" s="4"/>
      <c r="K1297" s="4"/>
      <c r="L1297" s="4"/>
      <c r="M1297" s="4"/>
      <c r="N1297" s="4"/>
      <c r="O1297" s="232"/>
      <c r="P1297" s="232"/>
      <c r="Q1297" s="232"/>
      <c r="R1297" s="232"/>
      <c r="S1297" s="4"/>
      <c r="T1297" s="4"/>
      <c r="U1297" s="4"/>
      <c r="V1297" s="4"/>
      <c r="W1297" s="93"/>
      <c r="X1297" s="4"/>
      <c r="Y1297" s="125"/>
      <c r="Z1297" s="256" t="s">
        <v>214</v>
      </c>
      <c r="AA1297" s="7"/>
      <c r="AB1297" s="39"/>
      <c r="AC1297" s="39"/>
      <c r="AD1297" s="39"/>
      <c r="AE1297" s="39"/>
      <c r="AF1297" s="39"/>
      <c r="AG1297" s="39"/>
      <c r="AH1297" s="39"/>
      <c r="AI1297" s="39"/>
      <c r="AJ1297" s="39"/>
      <c r="AK1297" s="39"/>
      <c r="AL1297" s="39"/>
    </row>
    <row r="1298" spans="1:38" s="331" customFormat="1" hidden="1">
      <c r="A1298" s="141"/>
      <c r="B1298" s="880" t="s">
        <v>540</v>
      </c>
      <c r="C1298" s="881"/>
      <c r="D1298" s="882"/>
      <c r="E1298" s="882"/>
      <c r="F1298" s="882"/>
      <c r="G1298" s="883">
        <v>4.9500000000000002E-2</v>
      </c>
      <c r="H1298" s="884">
        <f>G1298*730</f>
        <v>36.135000000000005</v>
      </c>
      <c r="I1298" s="4"/>
      <c r="J1298" s="617"/>
      <c r="K1298" s="4"/>
      <c r="L1298" s="4"/>
      <c r="M1298" s="4"/>
      <c r="N1298" s="4"/>
      <c r="O1298" s="232"/>
      <c r="P1298" s="232"/>
      <c r="Q1298" s="232"/>
      <c r="R1298" s="232"/>
      <c r="S1298" s="4"/>
      <c r="T1298" s="4"/>
      <c r="U1298" s="4"/>
      <c r="V1298" s="4"/>
      <c r="W1298" s="93"/>
      <c r="X1298" s="4"/>
      <c r="Y1298" s="53"/>
      <c r="Z1298" s="218"/>
      <c r="AA1298" s="7"/>
      <c r="AB1298" s="39"/>
      <c r="AC1298" s="33"/>
      <c r="AD1298" s="33"/>
      <c r="AE1298" s="33"/>
      <c r="AF1298" s="33"/>
      <c r="AG1298" s="33"/>
      <c r="AH1298" s="33"/>
      <c r="AI1298" s="33"/>
      <c r="AJ1298" s="33"/>
      <c r="AK1298" s="33"/>
      <c r="AL1298" s="33"/>
    </row>
    <row r="1299" spans="1:38" s="331" customFormat="1" hidden="1">
      <c r="A1299" s="141"/>
      <c r="B1299" s="880" t="s">
        <v>541</v>
      </c>
      <c r="C1299" s="881"/>
      <c r="D1299" s="881"/>
      <c r="E1299" s="882"/>
      <c r="F1299" s="882"/>
      <c r="G1299" s="883">
        <v>0.1885</v>
      </c>
      <c r="H1299" s="884">
        <f>G1299*730</f>
        <v>137.60499999999999</v>
      </c>
      <c r="I1299" s="4"/>
      <c r="J1299" s="617"/>
      <c r="K1299" s="4"/>
      <c r="L1299" s="4"/>
      <c r="M1299" s="4"/>
      <c r="N1299" s="4"/>
      <c r="O1299" s="232"/>
      <c r="P1299" s="232"/>
      <c r="Q1299" s="232"/>
      <c r="R1299" s="232"/>
      <c r="S1299" s="4"/>
      <c r="T1299" s="4"/>
      <c r="U1299" s="4"/>
      <c r="V1299" s="4"/>
      <c r="W1299" s="93"/>
      <c r="X1299" s="4"/>
      <c r="Y1299" s="141"/>
      <c r="Z1299" s="218"/>
      <c r="AA1299" s="66"/>
      <c r="AB1299" s="104"/>
      <c r="AC1299" s="104"/>
      <c r="AD1299" s="104"/>
      <c r="AE1299" s="104"/>
      <c r="AF1299" s="104"/>
      <c r="AG1299" s="104"/>
      <c r="AH1299" s="104"/>
      <c r="AI1299" s="104"/>
      <c r="AJ1299" s="104"/>
      <c r="AK1299" s="104"/>
      <c r="AL1299" s="104"/>
    </row>
    <row r="1300" spans="1:38" s="331" customFormat="1" hidden="1">
      <c r="A1300" s="141"/>
      <c r="B1300" s="880" t="s">
        <v>542</v>
      </c>
      <c r="C1300" s="885"/>
      <c r="D1300" s="885"/>
      <c r="E1300" s="882"/>
      <c r="F1300" s="882"/>
      <c r="G1300" s="883">
        <v>0.35830000000000001</v>
      </c>
      <c r="H1300" s="884">
        <f>G1300*730</f>
        <v>261.55900000000003</v>
      </c>
      <c r="I1300" s="4"/>
      <c r="J1300" s="617"/>
      <c r="K1300" s="4"/>
      <c r="L1300" s="4"/>
      <c r="M1300" s="4"/>
      <c r="N1300" s="4"/>
      <c r="O1300" s="232"/>
      <c r="P1300" s="232"/>
      <c r="Q1300" s="232"/>
      <c r="R1300" s="232"/>
      <c r="S1300" s="4"/>
      <c r="T1300" s="4"/>
      <c r="U1300" s="4"/>
      <c r="V1300" s="4"/>
      <c r="W1300" s="93"/>
      <c r="X1300" s="4"/>
      <c r="Y1300" s="141"/>
      <c r="Z1300" s="218"/>
      <c r="AA1300" s="66"/>
      <c r="AB1300" s="104"/>
      <c r="AC1300" s="104"/>
      <c r="AD1300" s="104"/>
      <c r="AE1300" s="104"/>
      <c r="AF1300" s="104"/>
      <c r="AG1300" s="104"/>
      <c r="AH1300" s="104"/>
      <c r="AI1300" s="104"/>
      <c r="AJ1300" s="104"/>
      <c r="AK1300" s="104"/>
      <c r="AL1300" s="104"/>
    </row>
    <row r="1301" spans="1:38" s="331" customFormat="1" hidden="1">
      <c r="A1301" s="141"/>
      <c r="B1301" s="880" t="s">
        <v>543</v>
      </c>
      <c r="C1301" s="881"/>
      <c r="D1301" s="882"/>
      <c r="E1301" s="882"/>
      <c r="F1301" s="882"/>
      <c r="G1301" s="883">
        <v>4.4200000000000003E-2</v>
      </c>
      <c r="H1301" s="884">
        <f>G1301*730</f>
        <v>32.266000000000005</v>
      </c>
      <c r="I1301" s="4"/>
      <c r="J1301" s="617"/>
      <c r="K1301" s="4"/>
      <c r="L1301" s="4"/>
      <c r="M1301" s="4"/>
      <c r="N1301" s="4"/>
      <c r="O1301" s="165"/>
      <c r="P1301" s="165"/>
      <c r="Q1301" s="165"/>
      <c r="R1301" s="165"/>
      <c r="S1301" s="4"/>
      <c r="T1301" s="4"/>
      <c r="U1301" s="4"/>
      <c r="V1301" s="4"/>
      <c r="W1301" s="93"/>
      <c r="X1301" s="4"/>
      <c r="Y1301" s="141"/>
      <c r="Z1301" s="218"/>
      <c r="AA1301" s="66"/>
      <c r="AB1301" s="104"/>
      <c r="AC1301" s="104"/>
      <c r="AD1301" s="104"/>
      <c r="AE1301" s="104"/>
      <c r="AF1301" s="104"/>
      <c r="AG1301" s="104"/>
      <c r="AH1301" s="104"/>
      <c r="AI1301" s="104"/>
      <c r="AJ1301" s="104"/>
      <c r="AK1301" s="104"/>
      <c r="AL1301" s="104"/>
    </row>
    <row r="1302" spans="1:38" s="331" customFormat="1" hidden="1">
      <c r="A1302" s="141"/>
      <c r="B1302" s="880" t="s">
        <v>544</v>
      </c>
      <c r="C1302" s="882"/>
      <c r="D1302" s="882"/>
      <c r="E1302" s="882"/>
      <c r="F1302" s="882"/>
      <c r="G1302" s="883">
        <v>8.4099999999999994E-2</v>
      </c>
      <c r="H1302" s="884">
        <f>G1302*730</f>
        <v>61.392999999999994</v>
      </c>
      <c r="I1302" s="4"/>
      <c r="J1302" s="617"/>
      <c r="K1302" s="4"/>
      <c r="L1302" s="4"/>
      <c r="M1302" s="4"/>
      <c r="N1302" s="4"/>
      <c r="O1302" s="165"/>
      <c r="P1302" s="165"/>
      <c r="Q1302" s="165"/>
      <c r="R1302" s="165"/>
      <c r="S1302" s="4"/>
      <c r="T1302" s="4"/>
      <c r="U1302" s="4"/>
      <c r="V1302" s="4"/>
      <c r="W1302" s="93"/>
      <c r="X1302" s="4"/>
      <c r="Y1302" s="141"/>
      <c r="Z1302" s="218"/>
      <c r="AA1302" s="66"/>
      <c r="AB1302" s="104"/>
      <c r="AC1302" s="104"/>
      <c r="AD1302" s="104"/>
      <c r="AE1302" s="104"/>
      <c r="AF1302" s="104"/>
      <c r="AG1302" s="104"/>
      <c r="AH1302" s="104"/>
      <c r="AI1302" s="104"/>
      <c r="AJ1302" s="104"/>
      <c r="AK1302" s="104"/>
      <c r="AL1302" s="104"/>
    </row>
    <row r="1303" spans="1:38" s="331" customFormat="1">
      <c r="A1303" s="141"/>
      <c r="B1303" s="816" t="s">
        <v>2366</v>
      </c>
      <c r="C1303" s="816" t="s">
        <v>2366</v>
      </c>
      <c r="D1303" s="816"/>
      <c r="E1303" s="816"/>
      <c r="F1303" s="816"/>
      <c r="G1303" s="1754">
        <v>4.7935999999999999E-2</v>
      </c>
      <c r="H1303" s="1869">
        <v>34.993279999999999</v>
      </c>
      <c r="I1303" s="1541"/>
      <c r="J1303" s="617"/>
      <c r="K1303" s="4"/>
      <c r="L1303" s="4"/>
      <c r="M1303" s="4"/>
      <c r="N1303" s="4"/>
      <c r="O1303" s="693"/>
      <c r="P1303" s="693"/>
      <c r="Q1303" s="693"/>
      <c r="R1303" s="693"/>
      <c r="S1303" s="4"/>
      <c r="T1303" s="4"/>
      <c r="U1303" s="4"/>
      <c r="V1303" s="4"/>
      <c r="W1303" s="93"/>
      <c r="X1303" s="4"/>
      <c r="Y1303" s="141"/>
      <c r="Z1303" s="218"/>
      <c r="AA1303" s="66"/>
    </row>
    <row r="1304" spans="1:38" s="331" customFormat="1">
      <c r="A1304" s="141"/>
      <c r="B1304" s="816" t="s">
        <v>2367</v>
      </c>
      <c r="C1304" s="816" t="s">
        <v>2367</v>
      </c>
      <c r="D1304" s="816"/>
      <c r="E1304" s="816"/>
      <c r="F1304" s="816"/>
      <c r="G1304" s="1754">
        <v>9.5871999999999999E-2</v>
      </c>
      <c r="H1304" s="1869">
        <v>69.986559999999997</v>
      </c>
      <c r="I1304" s="1541"/>
      <c r="J1304" s="1490"/>
      <c r="K1304" s="1490"/>
      <c r="L1304" s="1490"/>
      <c r="M1304" s="1490"/>
      <c r="N1304" s="1490"/>
      <c r="O1304" s="1498"/>
      <c r="P1304" s="693"/>
      <c r="Q1304" s="693"/>
      <c r="R1304" s="693"/>
      <c r="S1304" s="4"/>
      <c r="T1304" s="4"/>
      <c r="U1304" s="4"/>
      <c r="V1304" s="4"/>
      <c r="W1304" s="93"/>
      <c r="X1304" s="4"/>
      <c r="Y1304" s="141"/>
      <c r="Z1304" s="218"/>
      <c r="AA1304" s="66"/>
    </row>
    <row r="1305" spans="1:38" s="331" customFormat="1">
      <c r="A1305" s="141"/>
      <c r="B1305" s="816" t="s">
        <v>2368</v>
      </c>
      <c r="C1305" s="816" t="s">
        <v>2368</v>
      </c>
      <c r="D1305" s="816"/>
      <c r="E1305" s="816"/>
      <c r="F1305" s="816"/>
      <c r="G1305" s="1754">
        <v>0.191744</v>
      </c>
      <c r="H1305" s="1869">
        <v>139.97311999999999</v>
      </c>
      <c r="I1305" s="1541"/>
      <c r="J1305" s="1490"/>
      <c r="K1305" s="1490"/>
      <c r="L1305" s="1490"/>
      <c r="M1305" s="1490"/>
      <c r="N1305" s="1490"/>
      <c r="O1305" s="1498"/>
      <c r="P1305" s="693"/>
      <c r="Q1305" s="693"/>
      <c r="R1305" s="693"/>
      <c r="S1305" s="4"/>
      <c r="T1305" s="4"/>
      <c r="U1305" s="4"/>
      <c r="V1305" s="4"/>
      <c r="W1305" s="93"/>
      <c r="X1305" s="4"/>
      <c r="Y1305" s="141"/>
      <c r="Z1305" s="218"/>
      <c r="AA1305" s="66"/>
    </row>
    <row r="1306" spans="1:38" s="331" customFormat="1">
      <c r="A1306" s="141"/>
      <c r="B1306" s="1870" t="s">
        <v>2369</v>
      </c>
      <c r="C1306" s="1870" t="s">
        <v>2369</v>
      </c>
      <c r="D1306" s="1871"/>
      <c r="E1306" s="1871"/>
      <c r="F1306" s="46"/>
      <c r="G1306" s="1754">
        <v>0.16172800000000001</v>
      </c>
      <c r="H1306" s="1869">
        <v>118.06144</v>
      </c>
      <c r="I1306" s="1541"/>
      <c r="J1306" s="617"/>
      <c r="K1306" s="4"/>
      <c r="L1306" s="4"/>
      <c r="M1306" s="4"/>
      <c r="N1306" s="4"/>
      <c r="O1306" s="1498"/>
      <c r="Q1306" s="104"/>
      <c r="R1306" s="104"/>
      <c r="S1306" s="42"/>
      <c r="T1306" s="1191"/>
      <c r="U1306" s="42"/>
      <c r="V1306" s="1191"/>
      <c r="W1306" s="93"/>
      <c r="X1306" s="104"/>
      <c r="Y1306" s="280"/>
      <c r="Z1306" s="556"/>
      <c r="AA1306" s="66"/>
      <c r="AB1306" s="104"/>
      <c r="AC1306" s="104"/>
      <c r="AD1306" s="104"/>
      <c r="AE1306" s="104"/>
      <c r="AF1306" s="104"/>
      <c r="AG1306" s="104"/>
      <c r="AH1306" s="104"/>
      <c r="AI1306" s="104"/>
      <c r="AJ1306" s="104"/>
      <c r="AK1306" s="104"/>
      <c r="AL1306" s="104"/>
    </row>
    <row r="1307" spans="1:38" s="331" customFormat="1">
      <c r="A1307" s="141"/>
      <c r="B1307" s="1870" t="s">
        <v>2370</v>
      </c>
      <c r="C1307" s="1870" t="s">
        <v>2370</v>
      </c>
      <c r="D1307" s="1871"/>
      <c r="E1307" s="1871"/>
      <c r="F1307" s="46"/>
      <c r="G1307" s="1754">
        <v>0.30721599999999999</v>
      </c>
      <c r="H1307" s="1869">
        <v>224.26767999999998</v>
      </c>
      <c r="I1307" s="1541"/>
      <c r="J1307" s="617"/>
      <c r="K1307" s="4"/>
      <c r="L1307" s="4"/>
      <c r="M1307" s="4"/>
      <c r="N1307" s="4"/>
      <c r="O1307" s="1498"/>
      <c r="Q1307" s="104"/>
      <c r="R1307" s="104"/>
      <c r="S1307" s="42"/>
      <c r="T1307" s="1191"/>
      <c r="U1307" s="42"/>
      <c r="V1307" s="1191"/>
      <c r="W1307" s="93"/>
      <c r="X1307" s="104"/>
      <c r="Y1307" s="280"/>
      <c r="Z1307" s="556"/>
      <c r="AA1307" s="66"/>
      <c r="AB1307" s="104"/>
      <c r="AC1307" s="104"/>
      <c r="AD1307" s="104"/>
      <c r="AE1307" s="104"/>
      <c r="AF1307" s="104"/>
      <c r="AG1307" s="104"/>
      <c r="AH1307" s="104"/>
      <c r="AI1307" s="104"/>
      <c r="AJ1307" s="104"/>
      <c r="AK1307" s="104"/>
      <c r="AL1307" s="104"/>
    </row>
    <row r="1308" spans="1:38" s="331" customFormat="1">
      <c r="A1308" s="141"/>
      <c r="B1308" s="1870" t="s">
        <v>2371</v>
      </c>
      <c r="C1308" s="1870" t="s">
        <v>2371</v>
      </c>
      <c r="D1308" s="1871"/>
      <c r="E1308" s="1871"/>
      <c r="F1308" s="46"/>
      <c r="G1308" s="1754">
        <v>0.62014400000000003</v>
      </c>
      <c r="H1308" s="1869">
        <v>452.70512000000002</v>
      </c>
      <c r="I1308" s="1541"/>
      <c r="J1308" s="617"/>
      <c r="K1308" s="4"/>
      <c r="L1308" s="4"/>
      <c r="M1308" s="4"/>
      <c r="N1308" s="4"/>
      <c r="O1308" s="1498"/>
      <c r="Q1308" s="104"/>
      <c r="R1308" s="104"/>
      <c r="S1308" s="42"/>
      <c r="T1308" s="1191"/>
      <c r="U1308" s="42"/>
      <c r="V1308" s="1191"/>
      <c r="W1308" s="93"/>
      <c r="X1308" s="104"/>
      <c r="Y1308" s="280"/>
      <c r="Z1308" s="556"/>
      <c r="AA1308" s="66"/>
      <c r="AB1308" s="104"/>
      <c r="AC1308" s="104"/>
      <c r="AD1308" s="104"/>
      <c r="AE1308" s="104"/>
      <c r="AF1308" s="104"/>
      <c r="AG1308" s="104"/>
      <c r="AH1308" s="104"/>
      <c r="AI1308" s="104"/>
      <c r="AJ1308" s="104"/>
      <c r="AK1308" s="104"/>
      <c r="AL1308" s="104"/>
    </row>
    <row r="1309" spans="1:38" s="331" customFormat="1">
      <c r="A1309" s="141"/>
      <c r="B1309" s="1870" t="s">
        <v>2372</v>
      </c>
      <c r="C1309" s="1870" t="s">
        <v>2372</v>
      </c>
      <c r="D1309" s="1871"/>
      <c r="E1309" s="1871"/>
      <c r="F1309" s="46"/>
      <c r="G1309" s="1754">
        <v>1.2402880000000001</v>
      </c>
      <c r="H1309" s="1869">
        <v>905.41024000000004</v>
      </c>
      <c r="I1309" s="1541"/>
      <c r="J1309"/>
      <c r="K1309"/>
      <c r="L1309"/>
      <c r="M1309"/>
      <c r="N1309"/>
      <c r="O1309" s="1498"/>
      <c r="Q1309" s="104"/>
      <c r="R1309" s="104"/>
      <c r="S1309" s="42"/>
      <c r="T1309" s="1191"/>
      <c r="U1309" s="42"/>
      <c r="V1309" s="1191"/>
      <c r="W1309" s="93"/>
      <c r="X1309" s="104"/>
      <c r="Y1309" s="280"/>
      <c r="Z1309" s="556"/>
      <c r="AA1309" s="66"/>
      <c r="AB1309" s="104"/>
      <c r="AC1309" s="104"/>
      <c r="AD1309" s="104"/>
      <c r="AE1309" s="104"/>
      <c r="AF1309" s="104"/>
      <c r="AG1309" s="104"/>
      <c r="AH1309" s="104"/>
      <c r="AI1309" s="104"/>
      <c r="AJ1309" s="104"/>
      <c r="AK1309" s="104"/>
      <c r="AL1309" s="104"/>
    </row>
    <row r="1310" spans="1:38" s="331" customFormat="1">
      <c r="A1310" s="141"/>
      <c r="B1310" s="817" t="s">
        <v>2373</v>
      </c>
      <c r="C1310" s="817" t="s">
        <v>2373</v>
      </c>
      <c r="D1310" s="816"/>
      <c r="E1310" s="816"/>
      <c r="F1310" s="816"/>
      <c r="G1310" s="1754">
        <v>0.10774400000000001</v>
      </c>
      <c r="H1310" s="1869">
        <v>78.653120000000001</v>
      </c>
      <c r="I1310" s="1541"/>
      <c r="J1310" s="1490"/>
      <c r="K1310" s="1490"/>
      <c r="L1310" s="1490"/>
      <c r="M1310" s="1490"/>
      <c r="N1310" s="1490"/>
      <c r="S1310" s="42"/>
      <c r="T1310" s="1191"/>
      <c r="U1310" s="42"/>
      <c r="V1310" s="1191"/>
      <c r="W1310" s="93"/>
      <c r="Y1310" s="280"/>
      <c r="Z1310" s="726"/>
      <c r="AA1310" s="66"/>
    </row>
    <row r="1311" spans="1:38" s="331" customFormat="1">
      <c r="A1311" s="141"/>
      <c r="B1311" s="817" t="s">
        <v>2374</v>
      </c>
      <c r="C1311" s="817" t="s">
        <v>2374</v>
      </c>
      <c r="D1311" s="816"/>
      <c r="E1311" s="816"/>
      <c r="F1311" s="816"/>
      <c r="G1311" s="1754">
        <v>0.21560000000000001</v>
      </c>
      <c r="H1311" s="1869">
        <v>157.38800000000001</v>
      </c>
      <c r="I1311" s="1541"/>
      <c r="J1311" s="617"/>
      <c r="K1311" s="4"/>
      <c r="L1311" s="4"/>
      <c r="M1311" s="4"/>
      <c r="N1311" s="4"/>
      <c r="S1311" s="42"/>
      <c r="T1311" s="1191"/>
      <c r="U1311" s="42"/>
      <c r="V1311" s="1191"/>
      <c r="W1311" s="93"/>
      <c r="Y1311" s="280"/>
      <c r="Z1311" s="726"/>
      <c r="AA1311" s="66"/>
    </row>
    <row r="1312" spans="1:38" s="331" customFormat="1">
      <c r="A1312" s="141"/>
      <c r="B1312" s="817" t="s">
        <v>2397</v>
      </c>
      <c r="C1312" s="817" t="s">
        <v>2397</v>
      </c>
      <c r="D1312" s="816"/>
      <c r="E1312" s="816"/>
      <c r="F1312" s="816"/>
      <c r="G1312" s="1754">
        <v>0.43120000000000003</v>
      </c>
      <c r="H1312" s="1869">
        <v>314.77600000000001</v>
      </c>
      <c r="I1312" s="1541"/>
      <c r="J1312" s="617"/>
      <c r="K1312" s="4"/>
      <c r="L1312" s="4"/>
      <c r="M1312" s="4"/>
      <c r="N1312" s="4"/>
      <c r="S1312" s="42"/>
      <c r="T1312" s="1191"/>
      <c r="U1312" s="42"/>
      <c r="V1312" s="1191"/>
      <c r="W1312" s="93"/>
      <c r="Y1312" s="280"/>
      <c r="Z1312" s="726"/>
      <c r="AA1312" s="66"/>
    </row>
    <row r="1313" spans="1:38" s="331" customFormat="1">
      <c r="A1313" s="141"/>
      <c r="B1313" s="817" t="s">
        <v>2398</v>
      </c>
      <c r="C1313" s="817" t="s">
        <v>2398</v>
      </c>
      <c r="D1313" s="816"/>
      <c r="E1313" s="816"/>
      <c r="F1313" s="816"/>
      <c r="G1313" s="1754">
        <v>0.86251200000000006</v>
      </c>
      <c r="H1313" s="1869">
        <v>629.63376000000005</v>
      </c>
      <c r="I1313" s="1541"/>
      <c r="J1313" s="617"/>
      <c r="K1313" s="4"/>
      <c r="L1313" s="4"/>
      <c r="M1313" s="4"/>
      <c r="N1313" s="4"/>
      <c r="S1313" s="42"/>
      <c r="T1313" s="1191"/>
      <c r="U1313" s="42"/>
      <c r="V1313" s="1191"/>
      <c r="W1313" s="93"/>
      <c r="Y1313" s="280"/>
      <c r="Z1313" s="726"/>
      <c r="AA1313" s="66"/>
    </row>
    <row r="1314" spans="1:38" s="331" customFormat="1">
      <c r="A1314" s="141"/>
      <c r="B1314" s="817" t="s">
        <v>2375</v>
      </c>
      <c r="C1314" s="817" t="s">
        <v>2375</v>
      </c>
      <c r="D1314" s="816"/>
      <c r="E1314" s="816"/>
      <c r="F1314" s="816"/>
      <c r="G1314" s="1754">
        <v>4.7935999999999999E-2</v>
      </c>
      <c r="H1314" s="1869">
        <v>34.993279999999999</v>
      </c>
      <c r="I1314" s="1541"/>
      <c r="J1314" s="617"/>
      <c r="K1314" s="4"/>
      <c r="L1314" s="4"/>
      <c r="M1314" s="4"/>
      <c r="N1314" s="4"/>
      <c r="S1314" s="42"/>
      <c r="T1314" s="1191"/>
      <c r="U1314" s="42"/>
      <c r="V1314" s="1191"/>
      <c r="W1314" s="93"/>
      <c r="Y1314" s="280"/>
      <c r="Z1314" s="726"/>
      <c r="AA1314" s="66"/>
    </row>
    <row r="1315" spans="1:38" s="331" customFormat="1">
      <c r="A1315" s="141"/>
      <c r="B1315" s="817" t="s">
        <v>2376</v>
      </c>
      <c r="C1315" s="817" t="s">
        <v>2376</v>
      </c>
      <c r="D1315" s="816"/>
      <c r="E1315" s="816"/>
      <c r="F1315" s="816"/>
      <c r="G1315" s="1754">
        <v>9.5871999999999999E-2</v>
      </c>
      <c r="H1315" s="1869">
        <v>69.986559999999997</v>
      </c>
      <c r="I1315" s="1541"/>
      <c r="J1315" s="617"/>
      <c r="K1315" s="4"/>
      <c r="L1315" s="4"/>
      <c r="M1315" s="4"/>
      <c r="N1315" s="4"/>
      <c r="S1315" s="42"/>
      <c r="T1315" s="1191"/>
      <c r="U1315" s="42"/>
      <c r="V1315" s="1191"/>
      <c r="W1315" s="93"/>
      <c r="Y1315" s="280"/>
      <c r="Z1315" s="726"/>
      <c r="AA1315" s="66"/>
    </row>
    <row r="1316" spans="1:38" s="331" customFormat="1">
      <c r="A1316" s="141"/>
      <c r="B1316" s="817" t="s">
        <v>2377</v>
      </c>
      <c r="C1316" s="817" t="s">
        <v>2377</v>
      </c>
      <c r="D1316" s="816"/>
      <c r="E1316" s="816"/>
      <c r="F1316" s="816"/>
      <c r="G1316" s="1754">
        <v>0.191744</v>
      </c>
      <c r="H1316" s="1869">
        <v>139.97311999999999</v>
      </c>
      <c r="I1316" s="1541"/>
      <c r="J1316" s="617"/>
      <c r="K1316" s="4"/>
      <c r="L1316" s="4"/>
      <c r="M1316" s="4"/>
      <c r="N1316" s="4"/>
      <c r="S1316" s="42"/>
      <c r="T1316" s="1191"/>
      <c r="U1316" s="42"/>
      <c r="V1316" s="1191"/>
      <c r="W1316" s="93"/>
      <c r="Y1316" s="280"/>
      <c r="Z1316" s="726"/>
      <c r="AA1316" s="66"/>
    </row>
    <row r="1317" spans="1:38" s="104" customFormat="1">
      <c r="A1317" s="141"/>
      <c r="B1317" s="817" t="s">
        <v>2378</v>
      </c>
      <c r="C1317" s="817" t="s">
        <v>2378</v>
      </c>
      <c r="D1317" s="816"/>
      <c r="E1317" s="816"/>
      <c r="F1317" s="816"/>
      <c r="G1317" s="1754">
        <v>0.26969599999999999</v>
      </c>
      <c r="H1317" s="1869">
        <v>196.87807999999998</v>
      </c>
      <c r="I1317" s="1541"/>
      <c r="J1317" s="617"/>
      <c r="K1317" s="4"/>
      <c r="L1317" s="4"/>
      <c r="M1317" s="4"/>
      <c r="N1317" s="4"/>
      <c r="O1317" s="331"/>
      <c r="P1317" s="331"/>
      <c r="Q1317" s="331"/>
      <c r="R1317" s="331"/>
      <c r="S1317" s="42"/>
      <c r="T1317" s="1191"/>
      <c r="U1317" s="42"/>
      <c r="V1317" s="1191"/>
      <c r="W1317" s="93"/>
      <c r="X1317" s="331"/>
      <c r="Y1317" s="280"/>
      <c r="Z1317" s="726"/>
      <c r="AA1317" s="66"/>
      <c r="AB1317" s="331"/>
      <c r="AC1317" s="331"/>
      <c r="AD1317" s="331"/>
      <c r="AE1317" s="331"/>
      <c r="AF1317" s="331"/>
      <c r="AG1317" s="331"/>
      <c r="AH1317" s="331"/>
      <c r="AI1317" s="331"/>
      <c r="AJ1317" s="331"/>
      <c r="AK1317" s="331"/>
      <c r="AL1317" s="331"/>
    </row>
    <row r="1318" spans="1:38" s="331" customFormat="1">
      <c r="A1318" s="141"/>
      <c r="B1318" s="817" t="s">
        <v>2379</v>
      </c>
      <c r="C1318" s="817" t="s">
        <v>2379</v>
      </c>
      <c r="D1318" s="816"/>
      <c r="E1318" s="816"/>
      <c r="F1318" s="816"/>
      <c r="G1318" s="1754">
        <v>0.11657184000000001</v>
      </c>
      <c r="H1318" s="1869">
        <v>85.097443200000001</v>
      </c>
      <c r="I1318" s="1541"/>
      <c r="J1318" s="617"/>
      <c r="K1318" s="4"/>
      <c r="L1318" s="4"/>
      <c r="M1318" s="4"/>
      <c r="N1318" s="4"/>
      <c r="S1318" s="1191"/>
      <c r="T1318" s="1191"/>
      <c r="U1318" s="1191"/>
      <c r="V1318" s="1191"/>
      <c r="W1318" s="1190"/>
      <c r="Y1318" s="1170"/>
      <c r="Z1318" s="1340"/>
      <c r="AA1318" s="1193"/>
    </row>
    <row r="1319" spans="1:38" s="331" customFormat="1">
      <c r="A1319" s="141"/>
      <c r="B1319" s="817" t="s">
        <v>2380</v>
      </c>
      <c r="C1319" s="817" t="s">
        <v>2380</v>
      </c>
      <c r="D1319" s="816"/>
      <c r="E1319" s="816"/>
      <c r="F1319" s="816"/>
      <c r="G1319" s="1754">
        <v>0.23314368000000002</v>
      </c>
      <c r="H1319" s="1869">
        <v>170.1948864</v>
      </c>
      <c r="I1319" s="1541"/>
      <c r="J1319" s="617"/>
      <c r="K1319" s="4"/>
      <c r="L1319" s="4"/>
      <c r="M1319" s="4"/>
      <c r="N1319" s="4"/>
      <c r="S1319" s="1191"/>
      <c r="T1319" s="1191"/>
      <c r="U1319" s="1191"/>
      <c r="V1319" s="1191"/>
      <c r="W1319" s="1190"/>
      <c r="Y1319" s="1170"/>
      <c r="Z1319" s="1340"/>
      <c r="AA1319" s="1193"/>
    </row>
    <row r="1320" spans="1:38" s="331" customFormat="1">
      <c r="A1320" s="141"/>
      <c r="B1320" s="817" t="s">
        <v>2399</v>
      </c>
      <c r="C1320" s="817" t="s">
        <v>2399</v>
      </c>
      <c r="D1320" s="816"/>
      <c r="E1320" s="816"/>
      <c r="F1320" s="816"/>
      <c r="G1320" s="1754">
        <v>0.46628736000000004</v>
      </c>
      <c r="H1320" s="1869">
        <v>340.3897728</v>
      </c>
      <c r="I1320" s="1541"/>
      <c r="J1320" s="617"/>
      <c r="K1320" s="4"/>
      <c r="L1320" s="4"/>
      <c r="M1320" s="4"/>
      <c r="N1320" s="4"/>
      <c r="S1320" s="1191"/>
      <c r="T1320" s="1191"/>
      <c r="U1320" s="1191"/>
      <c r="V1320" s="1191"/>
      <c r="W1320" s="1190"/>
      <c r="Y1320" s="1170"/>
      <c r="Z1320" s="1340"/>
      <c r="AA1320" s="1193"/>
    </row>
    <row r="1321" spans="1:38" s="331" customFormat="1">
      <c r="A1321" s="141"/>
      <c r="B1321" s="817" t="s">
        <v>2400</v>
      </c>
      <c r="C1321" s="817" t="s">
        <v>2400</v>
      </c>
      <c r="D1321" s="816"/>
      <c r="E1321" s="816"/>
      <c r="F1321" s="816"/>
      <c r="G1321" s="1754">
        <v>0.69943104000000011</v>
      </c>
      <c r="H1321" s="1869">
        <v>510.58465920000009</v>
      </c>
      <c r="I1321" s="1541"/>
      <c r="J1321" s="617"/>
      <c r="K1321" s="4"/>
      <c r="L1321" s="4"/>
      <c r="M1321" s="4"/>
      <c r="N1321" s="4"/>
      <c r="S1321" s="1191"/>
      <c r="T1321" s="1191"/>
      <c r="U1321" s="1191"/>
      <c r="V1321" s="1191"/>
      <c r="W1321" s="1190"/>
      <c r="Y1321" s="1170"/>
      <c r="Z1321" s="1340"/>
      <c r="AA1321" s="1193"/>
    </row>
    <row r="1322" spans="1:38" s="331" customFormat="1">
      <c r="A1322" s="141"/>
      <c r="B1322" s="817" t="s">
        <v>2401</v>
      </c>
      <c r="C1322" s="817" t="s">
        <v>2401</v>
      </c>
      <c r="D1322" s="816"/>
      <c r="E1322" s="816"/>
      <c r="F1322" s="816"/>
      <c r="G1322" s="1754">
        <v>0.93257472000000008</v>
      </c>
      <c r="H1322" s="1869">
        <v>680.77954560000001</v>
      </c>
      <c r="I1322" s="1541"/>
      <c r="J1322" s="617"/>
      <c r="K1322" s="4"/>
      <c r="L1322" s="4"/>
      <c r="M1322" s="4"/>
      <c r="N1322" s="4"/>
      <c r="S1322" s="1191"/>
      <c r="T1322" s="1191"/>
      <c r="U1322" s="1191"/>
      <c r="V1322" s="1191"/>
      <c r="W1322" s="1190"/>
      <c r="Y1322" s="1170"/>
      <c r="Z1322" s="1340"/>
      <c r="AA1322" s="1193"/>
    </row>
    <row r="1323" spans="1:38" s="331" customFormat="1">
      <c r="A1323" s="141"/>
      <c r="B1323" s="817" t="s">
        <v>2402</v>
      </c>
      <c r="C1323" s="817" t="s">
        <v>2402</v>
      </c>
      <c r="D1323" s="816"/>
      <c r="E1323" s="816"/>
      <c r="F1323" s="816"/>
      <c r="G1323" s="1754">
        <v>1.3988620800000002</v>
      </c>
      <c r="H1323" s="1869">
        <v>1021.1693184000002</v>
      </c>
      <c r="I1323" s="1541"/>
      <c r="J1323" s="617"/>
      <c r="K1323" s="4"/>
      <c r="L1323" s="4"/>
      <c r="M1323" s="4"/>
      <c r="N1323" s="4"/>
      <c r="S1323" s="1191"/>
      <c r="T1323" s="1191"/>
      <c r="U1323" s="1191"/>
      <c r="V1323" s="1191"/>
      <c r="W1323" s="1190"/>
      <c r="Y1323" s="1170"/>
      <c r="Z1323" s="1340"/>
      <c r="AA1323" s="1193"/>
    </row>
    <row r="1324" spans="1:38" s="39" customFormat="1">
      <c r="A1324" s="53"/>
      <c r="B1324" s="817" t="s">
        <v>2403</v>
      </c>
      <c r="C1324" s="817" t="s">
        <v>2403</v>
      </c>
      <c r="D1324" s="816"/>
      <c r="E1324" s="816"/>
      <c r="F1324" s="816"/>
      <c r="G1324" s="1754">
        <v>1.6320057600000002</v>
      </c>
      <c r="H1324" s="1869">
        <v>1191.3642048000002</v>
      </c>
      <c r="I1324" s="1541"/>
      <c r="J1324" s="617"/>
      <c r="K1324" s="4"/>
      <c r="L1324" s="4"/>
      <c r="M1324" s="4"/>
      <c r="N1324" s="4"/>
      <c r="O1324" s="331"/>
      <c r="P1324" s="331"/>
      <c r="Q1324" s="331"/>
      <c r="R1324" s="331"/>
      <c r="S1324" s="1191"/>
      <c r="T1324" s="1191"/>
      <c r="U1324" s="1191"/>
      <c r="V1324" s="1191"/>
      <c r="W1324" s="1190"/>
      <c r="X1324" s="331"/>
      <c r="Y1324" s="1170"/>
      <c r="Z1324" s="1340"/>
      <c r="AA1324" s="1193"/>
      <c r="AB1324" s="331"/>
      <c r="AC1324" s="331"/>
      <c r="AD1324" s="331"/>
      <c r="AE1324" s="331"/>
      <c r="AF1324" s="331"/>
      <c r="AG1324" s="331"/>
      <c r="AH1324" s="331"/>
      <c r="AI1324" s="331"/>
      <c r="AJ1324" s="331"/>
      <c r="AK1324" s="331"/>
      <c r="AL1324" s="331"/>
    </row>
    <row r="1325" spans="1:38" s="1489" customFormat="1">
      <c r="A1325" s="1491"/>
      <c r="B1325" s="817" t="s">
        <v>2381</v>
      </c>
      <c r="C1325" s="817" t="s">
        <v>2381</v>
      </c>
      <c r="D1325" s="816"/>
      <c r="E1325" s="816"/>
      <c r="F1325" s="816"/>
      <c r="G1325" s="1754">
        <v>8.3771520000000016E-2</v>
      </c>
      <c r="H1325" s="1869">
        <v>61.153209600000011</v>
      </c>
      <c r="I1325" s="1541"/>
      <c r="J1325" s="617"/>
      <c r="K1325" s="4"/>
      <c r="L1325" s="4"/>
      <c r="M1325" s="4"/>
      <c r="N1325" s="4"/>
      <c r="O1325" s="331"/>
      <c r="P1325" s="331"/>
      <c r="Q1325" s="331"/>
      <c r="R1325" s="331"/>
      <c r="S1325" s="1191"/>
      <c r="T1325" s="1191"/>
      <c r="U1325" s="1191"/>
      <c r="V1325" s="1191"/>
      <c r="W1325" s="1190"/>
      <c r="X1325" s="331"/>
      <c r="Y1325" s="1170"/>
      <c r="Z1325" s="1340"/>
      <c r="AA1325" s="1193"/>
      <c r="AB1325" s="331"/>
      <c r="AC1325" s="331"/>
      <c r="AD1325" s="331"/>
      <c r="AE1325" s="331"/>
      <c r="AF1325" s="331"/>
      <c r="AG1325" s="331"/>
      <c r="AH1325" s="331"/>
      <c r="AI1325" s="331"/>
      <c r="AJ1325" s="331"/>
      <c r="AK1325" s="331"/>
      <c r="AL1325" s="331"/>
    </row>
    <row r="1326" spans="1:38" s="1489" customFormat="1">
      <c r="A1326" s="1491"/>
      <c r="B1326" s="817" t="s">
        <v>2404</v>
      </c>
      <c r="C1326" s="817" t="s">
        <v>2404</v>
      </c>
      <c r="D1326" s="816"/>
      <c r="E1326" s="816"/>
      <c r="F1326" s="816"/>
      <c r="G1326" s="1754">
        <v>0.16754304000000003</v>
      </c>
      <c r="H1326" s="1869">
        <v>122.30641920000002</v>
      </c>
      <c r="I1326" s="1541"/>
      <c r="J1326" s="617"/>
      <c r="K1326" s="4"/>
      <c r="L1326" s="4"/>
      <c r="M1326" s="4"/>
      <c r="N1326" s="4"/>
      <c r="O1326" s="331"/>
      <c r="P1326" s="331"/>
      <c r="Q1326" s="331"/>
      <c r="R1326" s="331"/>
      <c r="S1326" s="1191"/>
      <c r="T1326" s="1191"/>
      <c r="U1326" s="1191"/>
      <c r="V1326" s="1191"/>
      <c r="W1326" s="1190"/>
      <c r="X1326" s="331"/>
      <c r="Y1326" s="1170"/>
      <c r="Z1326" s="1340"/>
      <c r="AA1326" s="1193"/>
      <c r="AB1326" s="331"/>
      <c r="AC1326" s="331"/>
      <c r="AD1326" s="331"/>
      <c r="AE1326" s="331"/>
      <c r="AF1326" s="331"/>
      <c r="AG1326" s="331"/>
      <c r="AH1326" s="331"/>
      <c r="AI1326" s="331"/>
      <c r="AJ1326" s="331"/>
      <c r="AK1326" s="331"/>
      <c r="AL1326" s="331"/>
    </row>
    <row r="1327" spans="1:38" s="1489" customFormat="1">
      <c r="A1327" s="1491"/>
      <c r="B1327" s="817" t="s">
        <v>2382</v>
      </c>
      <c r="C1327" s="817" t="s">
        <v>2382</v>
      </c>
      <c r="D1327" s="816"/>
      <c r="E1327" s="816"/>
      <c r="F1327" s="816"/>
      <c r="G1327" s="1754">
        <v>0.33508608000000006</v>
      </c>
      <c r="H1327" s="1869">
        <v>244.61283840000004</v>
      </c>
      <c r="I1327" s="1541"/>
      <c r="J1327" s="617"/>
      <c r="K1327" s="4"/>
      <c r="L1327" s="4"/>
      <c r="M1327" s="4"/>
      <c r="N1327" s="4"/>
      <c r="O1327" s="331"/>
      <c r="P1327" s="331"/>
      <c r="Q1327" s="331"/>
      <c r="R1327" s="331"/>
      <c r="S1327" s="1191"/>
      <c r="T1327" s="1191"/>
      <c r="U1327" s="1191"/>
      <c r="V1327" s="1191"/>
      <c r="W1327" s="1190"/>
      <c r="X1327" s="331"/>
      <c r="Y1327" s="1170"/>
      <c r="Z1327" s="1340"/>
      <c r="AA1327" s="1193"/>
      <c r="AB1327" s="331"/>
      <c r="AC1327" s="331"/>
      <c r="AD1327" s="331"/>
      <c r="AE1327" s="331"/>
      <c r="AF1327" s="331"/>
      <c r="AG1327" s="331"/>
      <c r="AH1327" s="331"/>
      <c r="AI1327" s="331"/>
      <c r="AJ1327" s="331"/>
      <c r="AK1327" s="331"/>
      <c r="AL1327" s="331"/>
    </row>
    <row r="1328" spans="1:38" s="1489" customFormat="1">
      <c r="A1328" s="1491"/>
      <c r="B1328" s="817" t="s">
        <v>2405</v>
      </c>
      <c r="C1328" s="817" t="s">
        <v>2405</v>
      </c>
      <c r="D1328" s="816"/>
      <c r="E1328" s="816"/>
      <c r="F1328" s="816"/>
      <c r="G1328" s="1754">
        <v>0.50262912000000004</v>
      </c>
      <c r="H1328" s="1869">
        <v>366.91925760000004</v>
      </c>
      <c r="I1328" s="1541"/>
      <c r="J1328" s="617"/>
      <c r="K1328" s="4"/>
      <c r="L1328" s="4"/>
      <c r="M1328" s="4"/>
      <c r="N1328" s="4"/>
      <c r="O1328" s="331"/>
      <c r="P1328" s="331"/>
      <c r="Q1328" s="331"/>
      <c r="R1328" s="331"/>
      <c r="S1328" s="1191"/>
      <c r="T1328" s="1191"/>
      <c r="U1328" s="1191"/>
      <c r="V1328" s="1191"/>
      <c r="W1328" s="1190"/>
      <c r="X1328" s="331"/>
      <c r="Y1328" s="1170"/>
      <c r="Z1328" s="1340"/>
      <c r="AA1328" s="1193"/>
      <c r="AB1328" s="331"/>
      <c r="AC1328" s="331"/>
      <c r="AD1328" s="331"/>
      <c r="AE1328" s="331"/>
      <c r="AF1328" s="331"/>
      <c r="AG1328" s="331"/>
      <c r="AH1328" s="331"/>
      <c r="AI1328" s="331"/>
      <c r="AJ1328" s="331"/>
      <c r="AK1328" s="331"/>
      <c r="AL1328" s="331"/>
    </row>
    <row r="1329" spans="1:38" s="1489" customFormat="1">
      <c r="A1329" s="1491"/>
      <c r="B1329" s="817" t="s">
        <v>2406</v>
      </c>
      <c r="C1329" s="817" t="s">
        <v>2406</v>
      </c>
      <c r="D1329" s="816"/>
      <c r="E1329" s="816"/>
      <c r="F1329" s="816"/>
      <c r="G1329" s="1754">
        <v>0.62828640000000002</v>
      </c>
      <c r="H1329" s="1869">
        <v>458.64907199999999</v>
      </c>
      <c r="I1329" s="1541"/>
      <c r="J1329" s="617"/>
      <c r="K1329" s="4"/>
      <c r="L1329" s="4"/>
      <c r="M1329" s="4"/>
      <c r="N1329" s="4"/>
      <c r="O1329" s="331"/>
      <c r="P1329" s="331"/>
      <c r="Q1329" s="331"/>
      <c r="R1329" s="331"/>
      <c r="S1329" s="1191"/>
      <c r="T1329" s="1191"/>
      <c r="U1329" s="1191"/>
      <c r="V1329" s="1191"/>
      <c r="W1329" s="1190"/>
      <c r="X1329" s="331"/>
      <c r="Y1329" s="1170"/>
      <c r="Z1329" s="1340"/>
      <c r="AA1329" s="1193"/>
      <c r="AB1329" s="331"/>
      <c r="AC1329" s="331"/>
      <c r="AD1329" s="331"/>
      <c r="AE1329" s="331"/>
      <c r="AF1329" s="331"/>
      <c r="AG1329" s="331"/>
      <c r="AH1329" s="331"/>
      <c r="AI1329" s="331"/>
      <c r="AJ1329" s="331"/>
      <c r="AK1329" s="331"/>
      <c r="AL1329" s="331"/>
    </row>
    <row r="1330" spans="1:38" s="163" customFormat="1">
      <c r="A1330" s="53"/>
      <c r="B1330" s="817" t="s">
        <v>2383</v>
      </c>
      <c r="C1330" s="817" t="s">
        <v>2383</v>
      </c>
      <c r="D1330" s="816"/>
      <c r="E1330" s="816"/>
      <c r="F1330" s="816"/>
      <c r="G1330" s="1754">
        <v>5.8945600000000008E-2</v>
      </c>
      <c r="H1330" s="1869">
        <v>43.030288000000006</v>
      </c>
      <c r="I1330" s="1541"/>
      <c r="J1330" s="617"/>
      <c r="K1330" s="4"/>
      <c r="L1330" s="4"/>
      <c r="M1330" s="4"/>
      <c r="N1330" s="4"/>
      <c r="O1330" s="331"/>
      <c r="P1330" s="331"/>
      <c r="Q1330" s="331"/>
      <c r="R1330" s="331"/>
      <c r="S1330" s="1191"/>
      <c r="T1330" s="1191"/>
      <c r="U1330" s="1191"/>
      <c r="V1330" s="1191"/>
      <c r="W1330" s="1190"/>
      <c r="X1330" s="331"/>
      <c r="Y1330" s="1170"/>
      <c r="Z1330" s="1340"/>
      <c r="AA1330" s="1193"/>
      <c r="AB1330" s="331"/>
      <c r="AC1330" s="331"/>
      <c r="AD1330" s="331"/>
      <c r="AE1330" s="331"/>
      <c r="AF1330" s="331"/>
      <c r="AG1330" s="331"/>
      <c r="AH1330" s="331"/>
      <c r="AI1330" s="331"/>
      <c r="AJ1330" s="331"/>
      <c r="AK1330" s="331"/>
      <c r="AL1330" s="331"/>
    </row>
    <row r="1331" spans="1:38" s="1489" customFormat="1">
      <c r="A1331" s="1491"/>
      <c r="B1331" s="817" t="s">
        <v>2440</v>
      </c>
      <c r="C1331" s="817" t="s">
        <v>2440</v>
      </c>
      <c r="D1331" s="816"/>
      <c r="E1331" s="816"/>
      <c r="F1331" s="816"/>
      <c r="G1331" s="1754">
        <v>8.8419999999999999E-2</v>
      </c>
      <c r="H1331" s="1869">
        <v>64.546599999999998</v>
      </c>
      <c r="I1331" s="1541"/>
      <c r="J1331" s="617"/>
      <c r="K1331" s="1490"/>
      <c r="L1331" s="1490"/>
      <c r="M1331" s="1490"/>
      <c r="N1331" s="1490"/>
      <c r="O1331" s="1498"/>
      <c r="P1331" s="1498"/>
      <c r="Q1331" s="1498"/>
      <c r="R1331" s="1498"/>
      <c r="S1331" s="1191"/>
      <c r="T1331" s="1191"/>
      <c r="U1331" s="1191"/>
      <c r="V1331" s="1191"/>
      <c r="W1331" s="1190"/>
      <c r="X1331" s="1498"/>
      <c r="Y1331" s="1170"/>
      <c r="Z1331" s="1667"/>
      <c r="AA1331" s="1193"/>
      <c r="AB1331" s="1498"/>
      <c r="AC1331" s="1498"/>
      <c r="AD1331" s="1498"/>
      <c r="AE1331" s="1498"/>
      <c r="AF1331" s="1498"/>
      <c r="AG1331" s="1498"/>
      <c r="AH1331" s="1498"/>
      <c r="AI1331" s="1498"/>
      <c r="AJ1331" s="1498"/>
      <c r="AK1331" s="1498"/>
      <c r="AL1331" s="1498"/>
    </row>
    <row r="1332" spans="1:38" s="163" customFormat="1">
      <c r="A1332" s="53"/>
      <c r="B1332" s="817" t="s">
        <v>2384</v>
      </c>
      <c r="C1332" s="817" t="s">
        <v>2384</v>
      </c>
      <c r="D1332" s="816"/>
      <c r="E1332" s="816"/>
      <c r="F1332" s="816"/>
      <c r="G1332" s="1754">
        <v>0.11789120000000002</v>
      </c>
      <c r="H1332" s="1869">
        <v>86.060576000000012</v>
      </c>
      <c r="I1332" s="1541"/>
      <c r="J1332" s="617"/>
      <c r="K1332" s="4"/>
      <c r="L1332" s="4"/>
      <c r="M1332" s="4"/>
      <c r="N1332" s="4"/>
      <c r="O1332" s="331"/>
      <c r="P1332" s="331"/>
      <c r="Q1332" s="331"/>
      <c r="R1332" s="331"/>
      <c r="S1332" s="1191"/>
      <c r="T1332" s="1191"/>
      <c r="U1332" s="1191"/>
      <c r="V1332" s="1191"/>
      <c r="W1332" s="1190"/>
      <c r="X1332" s="331"/>
      <c r="Y1332" s="1170"/>
      <c r="Z1332" s="1340"/>
      <c r="AA1332" s="1193"/>
      <c r="AB1332" s="331"/>
      <c r="AC1332" s="331"/>
      <c r="AD1332" s="331"/>
      <c r="AE1332" s="331"/>
      <c r="AF1332" s="331"/>
      <c r="AG1332" s="331"/>
      <c r="AH1332" s="331"/>
      <c r="AI1332" s="331"/>
      <c r="AJ1332" s="331"/>
      <c r="AK1332" s="331"/>
      <c r="AL1332" s="331"/>
    </row>
    <row r="1333" spans="1:38" s="1489" customFormat="1">
      <c r="A1333" s="1491"/>
      <c r="B1333" s="817" t="s">
        <v>2441</v>
      </c>
      <c r="C1333" s="817" t="s">
        <v>2441</v>
      </c>
      <c r="D1333" s="816"/>
      <c r="E1333" s="816"/>
      <c r="F1333" s="816"/>
      <c r="G1333" s="1754">
        <v>0.1769</v>
      </c>
      <c r="H1333" s="1869">
        <v>129.137</v>
      </c>
      <c r="I1333" s="1541"/>
      <c r="J1333" s="617"/>
      <c r="K1333" s="1490"/>
      <c r="L1333" s="1490"/>
      <c r="M1333" s="1490"/>
      <c r="N1333" s="1490"/>
      <c r="O1333" s="1498"/>
      <c r="P1333" s="1498"/>
      <c r="Q1333" s="1498"/>
      <c r="R1333" s="1498"/>
      <c r="S1333" s="1191"/>
      <c r="T1333" s="1191"/>
      <c r="U1333" s="1191"/>
      <c r="V1333" s="1191"/>
      <c r="W1333" s="1190"/>
      <c r="X1333" s="1498"/>
      <c r="Y1333" s="1170"/>
      <c r="Z1333" s="1667"/>
      <c r="AA1333" s="1193"/>
      <c r="AB1333" s="1498"/>
      <c r="AC1333" s="1498"/>
      <c r="AD1333" s="1498"/>
      <c r="AE1333" s="1498"/>
      <c r="AF1333" s="1498"/>
      <c r="AG1333" s="1498"/>
      <c r="AH1333" s="1498"/>
      <c r="AI1333" s="1498"/>
      <c r="AJ1333" s="1498"/>
      <c r="AK1333" s="1498"/>
      <c r="AL1333" s="1498"/>
    </row>
    <row r="1334" spans="1:38" s="163" customFormat="1">
      <c r="A1334" s="53"/>
      <c r="B1334" s="817" t="s">
        <v>2385</v>
      </c>
      <c r="C1334" s="817" t="s">
        <v>2385</v>
      </c>
      <c r="D1334" s="816"/>
      <c r="E1334" s="816"/>
      <c r="F1334" s="816"/>
      <c r="G1334" s="1754">
        <v>0.23578240000000003</v>
      </c>
      <c r="H1334" s="1869">
        <v>172.12115200000002</v>
      </c>
      <c r="I1334" s="1541"/>
      <c r="J1334" s="617"/>
      <c r="K1334" s="4"/>
      <c r="L1334" s="4"/>
      <c r="M1334" s="4"/>
      <c r="N1334" s="4"/>
      <c r="O1334" s="331"/>
      <c r="P1334" s="331"/>
      <c r="Q1334" s="331"/>
      <c r="R1334" s="331"/>
      <c r="S1334" s="1191"/>
      <c r="T1334" s="1191"/>
      <c r="U1334" s="1191"/>
      <c r="V1334" s="1191"/>
      <c r="W1334" s="1190"/>
      <c r="X1334" s="331"/>
      <c r="Y1334" s="1170"/>
      <c r="Z1334" s="1340"/>
      <c r="AA1334" s="1193"/>
      <c r="AB1334" s="331"/>
      <c r="AC1334" s="331"/>
      <c r="AD1334" s="331"/>
      <c r="AE1334" s="331"/>
      <c r="AF1334" s="331"/>
      <c r="AG1334" s="331"/>
      <c r="AH1334" s="331"/>
      <c r="AI1334" s="331"/>
      <c r="AJ1334" s="331"/>
      <c r="AK1334" s="331"/>
      <c r="AL1334" s="331"/>
    </row>
    <row r="1335" spans="1:38" s="163" customFormat="1">
      <c r="A1335" s="53"/>
      <c r="B1335" s="1872" t="s">
        <v>2386</v>
      </c>
      <c r="C1335" s="1872" t="s">
        <v>2386</v>
      </c>
      <c r="D1335" s="1872"/>
      <c r="E1335" s="1872"/>
      <c r="F1335" s="1872"/>
      <c r="G1335" s="1754">
        <v>0.47156480000000006</v>
      </c>
      <c r="H1335" s="1869">
        <v>344.24230400000005</v>
      </c>
      <c r="I1335" s="1541"/>
      <c r="J1335" s="42"/>
      <c r="K1335" s="57"/>
      <c r="L1335" s="4"/>
      <c r="M1335" s="4"/>
      <c r="N1335" s="4"/>
      <c r="O1335" s="4"/>
      <c r="P1335" s="4"/>
      <c r="Q1335" s="4"/>
      <c r="R1335" s="4"/>
      <c r="S1335" s="4"/>
      <c r="T1335" s="4"/>
      <c r="U1335" s="4"/>
      <c r="V1335" s="4"/>
      <c r="W1335" s="93"/>
      <c r="X1335" s="4"/>
      <c r="Y1335" s="141"/>
      <c r="Z1335" s="218"/>
      <c r="AA1335" s="66"/>
      <c r="AB1335" s="104"/>
      <c r="AC1335" s="104"/>
      <c r="AD1335" s="104"/>
      <c r="AE1335" s="104"/>
      <c r="AF1335" s="104"/>
      <c r="AG1335" s="104"/>
      <c r="AH1335" s="104"/>
      <c r="AI1335" s="104"/>
      <c r="AJ1335" s="104"/>
      <c r="AK1335" s="104"/>
      <c r="AL1335" s="104"/>
    </row>
    <row r="1336" spans="1:38" s="163" customFormat="1">
      <c r="A1336" s="53"/>
      <c r="B1336" s="816" t="s">
        <v>2387</v>
      </c>
      <c r="C1336" s="816" t="s">
        <v>2387</v>
      </c>
      <c r="D1336" s="816"/>
      <c r="E1336" s="816"/>
      <c r="F1336" s="816"/>
      <c r="G1336" s="1754">
        <v>0.11510016000000001</v>
      </c>
      <c r="H1336" s="1869">
        <v>84.023116800000011</v>
      </c>
      <c r="I1336" s="1541"/>
      <c r="J1336" s="1191"/>
      <c r="K1336" s="814"/>
      <c r="L1336" s="4"/>
      <c r="M1336" s="4"/>
      <c r="N1336" s="4"/>
      <c r="O1336" s="4"/>
      <c r="P1336" s="4"/>
      <c r="Q1336" s="4"/>
      <c r="R1336" s="4"/>
      <c r="S1336" s="4"/>
      <c r="T1336" s="4"/>
      <c r="U1336" s="4"/>
      <c r="V1336" s="4"/>
      <c r="W1336" s="1190"/>
      <c r="X1336" s="4"/>
      <c r="Y1336" s="141"/>
      <c r="Z1336" s="1192"/>
      <c r="AA1336" s="1193"/>
      <c r="AB1336" s="331"/>
      <c r="AC1336" s="331"/>
      <c r="AD1336" s="331"/>
      <c r="AE1336" s="331"/>
      <c r="AF1336" s="331"/>
      <c r="AG1336" s="331"/>
      <c r="AH1336" s="331"/>
      <c r="AI1336" s="331"/>
      <c r="AJ1336" s="331"/>
      <c r="AK1336" s="331"/>
      <c r="AL1336" s="331"/>
    </row>
    <row r="1337" spans="1:38" s="163" customFormat="1">
      <c r="A1337" s="53"/>
      <c r="B1337" s="816" t="s">
        <v>2388</v>
      </c>
      <c r="C1337" s="816" t="s">
        <v>2388</v>
      </c>
      <c r="D1337" s="816"/>
      <c r="E1337" s="816"/>
      <c r="F1337" s="816"/>
      <c r="G1337" s="1754">
        <v>0.12087040000000002</v>
      </c>
      <c r="H1337" s="1869">
        <v>88.235392000000019</v>
      </c>
      <c r="I1337" s="1541"/>
      <c r="J1337" s="1191"/>
      <c r="K1337" s="814"/>
      <c r="L1337" s="4"/>
      <c r="M1337" s="4"/>
      <c r="N1337" s="4"/>
      <c r="O1337" s="4"/>
      <c r="P1337" s="4"/>
      <c r="Q1337" s="4"/>
      <c r="R1337" s="4"/>
      <c r="S1337" s="4"/>
      <c r="T1337" s="4"/>
      <c r="U1337" s="4"/>
      <c r="V1337" s="4"/>
      <c r="W1337" s="1190"/>
      <c r="X1337" s="4"/>
      <c r="Y1337" s="141"/>
      <c r="Z1337" s="1192"/>
      <c r="AA1337" s="1193"/>
      <c r="AB1337" s="331"/>
      <c r="AC1337" s="331"/>
      <c r="AD1337" s="331"/>
      <c r="AE1337" s="331"/>
      <c r="AF1337" s="331"/>
      <c r="AG1337" s="331"/>
      <c r="AH1337" s="331"/>
      <c r="AI1337" s="331"/>
      <c r="AJ1337" s="331"/>
      <c r="AK1337" s="331"/>
      <c r="AL1337" s="331"/>
    </row>
    <row r="1338" spans="1:38" s="1489" customFormat="1">
      <c r="A1338" s="1491"/>
      <c r="B1338" s="816" t="s">
        <v>2442</v>
      </c>
      <c r="C1338" s="816" t="s">
        <v>2442</v>
      </c>
      <c r="D1338" s="816"/>
      <c r="E1338" s="816"/>
      <c r="F1338" s="816"/>
      <c r="G1338" s="1754">
        <v>0.25867200000000001</v>
      </c>
      <c r="H1338" s="1869">
        <v>188.83056000000002</v>
      </c>
      <c r="I1338" s="1541"/>
      <c r="J1338" s="1191"/>
      <c r="K1338" s="814"/>
      <c r="L1338" s="1490"/>
      <c r="M1338" s="1490"/>
      <c r="N1338" s="1490"/>
      <c r="O1338" s="1490"/>
      <c r="P1338" s="1490"/>
      <c r="Q1338" s="1490"/>
      <c r="R1338" s="1490"/>
      <c r="S1338" s="1490"/>
      <c r="T1338" s="1490"/>
      <c r="U1338" s="1490"/>
      <c r="V1338" s="1490"/>
      <c r="W1338" s="1190"/>
      <c r="X1338" s="1490"/>
      <c r="Y1338" s="141"/>
      <c r="Z1338" s="1492"/>
      <c r="AA1338" s="1193"/>
      <c r="AB1338" s="1498"/>
      <c r="AC1338" s="1498"/>
      <c r="AD1338" s="1498"/>
      <c r="AE1338" s="1498"/>
      <c r="AF1338" s="1498"/>
      <c r="AG1338" s="1498"/>
      <c r="AH1338" s="1498"/>
      <c r="AI1338" s="1498"/>
      <c r="AJ1338" s="1498"/>
      <c r="AK1338" s="1498"/>
      <c r="AL1338" s="1498"/>
    </row>
    <row r="1339" spans="1:38" s="1489" customFormat="1">
      <c r="A1339" s="1491"/>
      <c r="B1339" s="816" t="s">
        <v>2443</v>
      </c>
      <c r="C1339" s="816" t="s">
        <v>2443</v>
      </c>
      <c r="D1339" s="816"/>
      <c r="E1339" s="816"/>
      <c r="F1339" s="816"/>
      <c r="G1339" s="1754">
        <v>0.51739199999999996</v>
      </c>
      <c r="H1339" s="1869">
        <v>377.69615999999996</v>
      </c>
      <c r="I1339" s="1541"/>
      <c r="J1339" s="1191"/>
      <c r="K1339" s="814"/>
      <c r="L1339" s="1490"/>
      <c r="M1339" s="1490"/>
      <c r="N1339" s="1490"/>
      <c r="O1339" s="1490"/>
      <c r="P1339" s="1490"/>
      <c r="Q1339" s="1490"/>
      <c r="R1339" s="1490"/>
      <c r="S1339" s="1490"/>
      <c r="T1339" s="1490"/>
      <c r="U1339" s="1490"/>
      <c r="V1339" s="1490"/>
      <c r="W1339" s="1190"/>
      <c r="X1339" s="1490"/>
      <c r="Y1339" s="141"/>
      <c r="Z1339" s="1492"/>
      <c r="AA1339" s="1193"/>
      <c r="AB1339" s="1498"/>
      <c r="AC1339" s="1498"/>
      <c r="AD1339" s="1498"/>
      <c r="AE1339" s="1498"/>
      <c r="AF1339" s="1498"/>
      <c r="AG1339" s="1498"/>
      <c r="AH1339" s="1498"/>
      <c r="AI1339" s="1498"/>
      <c r="AJ1339" s="1498"/>
      <c r="AK1339" s="1498"/>
      <c r="AL1339" s="1498"/>
    </row>
    <row r="1340" spans="1:38" s="613" customFormat="1">
      <c r="A1340" s="53"/>
      <c r="B1340" s="816" t="s">
        <v>2389</v>
      </c>
      <c r="C1340" s="816" t="s">
        <v>2389</v>
      </c>
      <c r="D1340" s="816"/>
      <c r="E1340" s="816"/>
      <c r="F1340" s="816"/>
      <c r="G1340" s="1754">
        <v>0.14319872</v>
      </c>
      <c r="H1340" s="1869">
        <v>104.5350656</v>
      </c>
      <c r="I1340" s="1541"/>
      <c r="J1340" s="1191"/>
      <c r="K1340" s="814"/>
      <c r="L1340" s="4"/>
      <c r="M1340" s="4"/>
      <c r="N1340" s="4"/>
      <c r="O1340" s="4"/>
      <c r="P1340" s="4"/>
      <c r="Q1340" s="4"/>
      <c r="R1340" s="4"/>
      <c r="S1340" s="4"/>
      <c r="T1340" s="4"/>
      <c r="U1340" s="4"/>
      <c r="V1340" s="4"/>
      <c r="W1340" s="1190"/>
      <c r="X1340" s="4"/>
      <c r="Y1340" s="141"/>
      <c r="Z1340" s="1192"/>
      <c r="AA1340" s="1193"/>
      <c r="AB1340" s="331"/>
      <c r="AC1340" s="331"/>
      <c r="AD1340" s="331"/>
      <c r="AE1340" s="331"/>
      <c r="AF1340" s="331"/>
      <c r="AG1340" s="331"/>
      <c r="AH1340" s="331"/>
      <c r="AI1340" s="331"/>
      <c r="AJ1340" s="331"/>
      <c r="AK1340" s="331"/>
      <c r="AL1340" s="331"/>
    </row>
    <row r="1341" spans="1:38" s="613" customFormat="1">
      <c r="A1341" s="53"/>
      <c r="B1341" s="816" t="s">
        <v>2390</v>
      </c>
      <c r="C1341" s="816" t="s">
        <v>2390</v>
      </c>
      <c r="D1341" s="816"/>
      <c r="E1341" s="816"/>
      <c r="F1341" s="816"/>
      <c r="G1341" s="1754">
        <v>0.21480704000000003</v>
      </c>
      <c r="H1341" s="1869">
        <v>156.80913920000003</v>
      </c>
      <c r="I1341" s="1541"/>
      <c r="J1341" s="1191"/>
      <c r="K1341" s="814"/>
      <c r="L1341" s="4"/>
      <c r="M1341" s="4"/>
      <c r="N1341" s="4"/>
      <c r="O1341" s="4"/>
      <c r="P1341" s="4"/>
      <c r="Q1341" s="4"/>
      <c r="R1341" s="4"/>
      <c r="S1341" s="4"/>
      <c r="T1341" s="4"/>
      <c r="U1341" s="4"/>
      <c r="V1341" s="4"/>
      <c r="W1341" s="1190"/>
      <c r="X1341" s="4"/>
      <c r="Y1341" s="141"/>
      <c r="Z1341" s="1192"/>
      <c r="AA1341" s="1193"/>
      <c r="AB1341" s="331"/>
      <c r="AC1341" s="331"/>
      <c r="AD1341" s="331"/>
      <c r="AE1341" s="331"/>
      <c r="AF1341" s="331"/>
      <c r="AG1341" s="331"/>
      <c r="AH1341" s="331"/>
      <c r="AI1341" s="331"/>
      <c r="AJ1341" s="331"/>
      <c r="AK1341" s="331"/>
      <c r="AL1341" s="331"/>
    </row>
    <row r="1342" spans="1:38" s="163" customFormat="1">
      <c r="A1342" s="53"/>
      <c r="B1342" s="816" t="s">
        <v>2391</v>
      </c>
      <c r="C1342" s="816" t="s">
        <v>2391</v>
      </c>
      <c r="D1342" s="816"/>
      <c r="E1342" s="816"/>
      <c r="F1342" s="816"/>
      <c r="G1342" s="1754">
        <v>0.28639744</v>
      </c>
      <c r="H1342" s="1869">
        <v>209.07013119999999</v>
      </c>
      <c r="I1342" s="1541"/>
      <c r="J1342" s="1191"/>
      <c r="K1342" s="814"/>
      <c r="L1342" s="4"/>
      <c r="M1342" s="4"/>
      <c r="N1342" s="4"/>
      <c r="O1342" s="4"/>
      <c r="P1342" s="4"/>
      <c r="Q1342" s="4"/>
      <c r="R1342" s="4"/>
      <c r="S1342" s="4"/>
      <c r="T1342" s="4"/>
      <c r="U1342" s="4"/>
      <c r="V1342" s="4"/>
      <c r="W1342" s="1190"/>
      <c r="X1342" s="4"/>
      <c r="Y1342" s="141"/>
      <c r="Z1342" s="1192"/>
      <c r="AA1342" s="1193"/>
      <c r="AB1342" s="331"/>
      <c r="AC1342" s="331"/>
      <c r="AD1342" s="331"/>
      <c r="AE1342" s="331"/>
      <c r="AF1342" s="331"/>
      <c r="AG1342" s="331"/>
      <c r="AH1342" s="331"/>
      <c r="AI1342" s="331"/>
      <c r="AJ1342" s="331"/>
      <c r="AK1342" s="331"/>
      <c r="AL1342" s="331"/>
    </row>
    <row r="1343" spans="1:38" s="163" customFormat="1">
      <c r="A1343" s="53"/>
      <c r="B1343" s="816" t="s">
        <v>2392</v>
      </c>
      <c r="C1343" s="816" t="s">
        <v>2392</v>
      </c>
      <c r="D1343" s="816"/>
      <c r="E1343" s="816"/>
      <c r="F1343" s="816"/>
      <c r="G1343" s="1754">
        <v>0.57279488000000001</v>
      </c>
      <c r="H1343" s="1869">
        <v>418.14026239999998</v>
      </c>
      <c r="I1343" s="1541"/>
      <c r="J1343" s="1191"/>
      <c r="K1343" s="814"/>
      <c r="L1343" s="4"/>
      <c r="M1343" s="4"/>
      <c r="N1343" s="4"/>
      <c r="O1343" s="4"/>
      <c r="P1343" s="4"/>
      <c r="Q1343" s="4"/>
      <c r="R1343" s="4"/>
      <c r="S1343" s="4"/>
      <c r="T1343" s="4"/>
      <c r="U1343" s="4"/>
      <c r="V1343" s="4"/>
      <c r="W1343" s="1190"/>
      <c r="X1343" s="4"/>
      <c r="Y1343" s="141"/>
      <c r="Z1343" s="1192"/>
      <c r="AA1343" s="1193"/>
      <c r="AB1343" s="331"/>
      <c r="AC1343" s="331"/>
      <c r="AD1343" s="331"/>
      <c r="AE1343" s="331"/>
      <c r="AF1343" s="331"/>
      <c r="AG1343" s="331"/>
      <c r="AH1343" s="331"/>
      <c r="AI1343" s="331"/>
      <c r="AJ1343" s="331"/>
      <c r="AK1343" s="331"/>
      <c r="AL1343" s="331"/>
    </row>
    <row r="1344" spans="1:38" s="163" customFormat="1">
      <c r="A1344" s="53"/>
      <c r="B1344" s="511" t="s">
        <v>2393</v>
      </c>
      <c r="C1344" s="511" t="s">
        <v>2393</v>
      </c>
      <c r="D1344" s="511"/>
      <c r="E1344" s="511"/>
      <c r="F1344" s="511"/>
      <c r="G1344" s="1754">
        <v>8.9402880000000018E-2</v>
      </c>
      <c r="H1344" s="1869">
        <v>65.264102400000013</v>
      </c>
      <c r="I1344" s="1541"/>
      <c r="J1344" s="42"/>
      <c r="K1344" s="4"/>
      <c r="L1344" s="4"/>
      <c r="M1344" s="4"/>
      <c r="N1344" s="4"/>
      <c r="O1344" s="4"/>
      <c r="P1344" s="4"/>
      <c r="Q1344" s="4"/>
      <c r="R1344" s="4"/>
      <c r="S1344" s="4"/>
      <c r="T1344" s="4"/>
      <c r="U1344" s="4"/>
      <c r="V1344" s="4"/>
      <c r="W1344" s="93"/>
      <c r="X1344" s="4"/>
      <c r="Y1344" s="53"/>
      <c r="Z1344" s="218"/>
      <c r="AA1344" s="7"/>
      <c r="AB1344" s="39"/>
      <c r="AC1344" s="39"/>
      <c r="AD1344" s="39"/>
      <c r="AE1344" s="39"/>
      <c r="AF1344" s="39"/>
      <c r="AG1344" s="39"/>
      <c r="AH1344" s="39"/>
      <c r="AI1344" s="39"/>
      <c r="AJ1344" s="39"/>
      <c r="AK1344" s="39"/>
      <c r="AL1344" s="39"/>
    </row>
    <row r="1345" spans="1:38" s="333" customFormat="1">
      <c r="A1345" s="53"/>
      <c r="B1345" s="511" t="s">
        <v>2394</v>
      </c>
      <c r="C1345" s="511" t="s">
        <v>2394</v>
      </c>
      <c r="D1345" s="511"/>
      <c r="E1345" s="511"/>
      <c r="F1345" s="511"/>
      <c r="G1345" s="1754">
        <v>2.1560000000000003E-2</v>
      </c>
      <c r="H1345" s="1869">
        <v>15.738800000000001</v>
      </c>
      <c r="I1345" s="1541"/>
      <c r="J1345" s="1191"/>
      <c r="K1345" s="1490"/>
      <c r="L1345" s="1490"/>
      <c r="M1345" s="1490"/>
      <c r="N1345" s="1490"/>
      <c r="O1345" s="1490"/>
      <c r="P1345" s="1490"/>
      <c r="Q1345" s="1490"/>
      <c r="R1345" s="1490"/>
      <c r="S1345" s="1490"/>
      <c r="T1345" s="1490"/>
      <c r="U1345" s="1490"/>
      <c r="V1345" s="1490"/>
      <c r="W1345" s="1190"/>
      <c r="X1345" s="1490"/>
      <c r="Y1345" s="1491"/>
      <c r="Z1345" s="1492"/>
      <c r="AA1345" s="1493"/>
      <c r="AB1345" s="1489"/>
      <c r="AC1345" s="1489"/>
      <c r="AD1345" s="1489"/>
      <c r="AE1345" s="1489"/>
      <c r="AF1345" s="1489"/>
      <c r="AG1345" s="1489"/>
      <c r="AH1345" s="1489"/>
      <c r="AI1345" s="1489"/>
      <c r="AJ1345" s="1489"/>
      <c r="AK1345" s="1489"/>
      <c r="AL1345" s="1489"/>
    </row>
    <row r="1346" spans="1:38" s="613" customFormat="1">
      <c r="A1346" s="53"/>
      <c r="B1346" s="511" t="s">
        <v>2395</v>
      </c>
      <c r="C1346" s="511" t="s">
        <v>2395</v>
      </c>
      <c r="D1346" s="511"/>
      <c r="E1346" s="511"/>
      <c r="F1346" s="511"/>
      <c r="G1346" s="1754">
        <v>4.3120000000000006E-2</v>
      </c>
      <c r="H1346" s="1869">
        <v>31.477600000000002</v>
      </c>
      <c r="I1346" s="1541"/>
      <c r="J1346" s="1191"/>
      <c r="K1346" s="1490"/>
      <c r="L1346" s="1490"/>
      <c r="M1346" s="1490"/>
      <c r="N1346" s="1490"/>
      <c r="O1346" s="1490"/>
      <c r="P1346" s="1490"/>
      <c r="Q1346" s="1490"/>
      <c r="R1346" s="1490"/>
      <c r="S1346" s="1490"/>
      <c r="T1346" s="1490"/>
      <c r="U1346" s="1490"/>
      <c r="V1346" s="1490"/>
      <c r="W1346" s="1190"/>
      <c r="X1346" s="1490"/>
      <c r="Y1346" s="1491"/>
      <c r="Z1346" s="1492"/>
      <c r="AA1346" s="1493"/>
      <c r="AB1346" s="1489"/>
      <c r="AC1346" s="1489"/>
      <c r="AD1346" s="1489"/>
      <c r="AE1346" s="1489"/>
      <c r="AF1346" s="1489"/>
      <c r="AG1346" s="1489"/>
      <c r="AH1346" s="1489"/>
      <c r="AI1346" s="1489"/>
      <c r="AJ1346" s="1489"/>
      <c r="AK1346" s="1489"/>
      <c r="AL1346" s="1489"/>
    </row>
    <row r="1347" spans="1:38" s="613" customFormat="1">
      <c r="A1347" s="53"/>
      <c r="B1347" s="817" t="s">
        <v>2396</v>
      </c>
      <c r="C1347" s="817" t="s">
        <v>2396</v>
      </c>
      <c r="D1347" s="817"/>
      <c r="E1347" s="817"/>
      <c r="F1347" s="817"/>
      <c r="G1347" s="1792">
        <v>8.6240000000000011E-2</v>
      </c>
      <c r="H1347" s="1873">
        <v>62.955200000000005</v>
      </c>
      <c r="I1347" s="1541"/>
      <c r="J1347" s="1191"/>
      <c r="K1347" s="1490"/>
      <c r="L1347" s="1490"/>
      <c r="M1347" s="1490"/>
      <c r="N1347" s="1490"/>
      <c r="O1347" s="1490"/>
      <c r="P1347" s="1490"/>
      <c r="Q1347" s="1490"/>
      <c r="R1347" s="1490"/>
      <c r="S1347" s="1490"/>
      <c r="T1347" s="1490"/>
      <c r="U1347" s="1490"/>
      <c r="V1347" s="1490"/>
      <c r="W1347" s="1190"/>
      <c r="X1347" s="1490"/>
      <c r="Y1347" s="1491"/>
      <c r="Z1347" s="1492"/>
      <c r="AA1347" s="1493"/>
      <c r="AB1347" s="1489"/>
      <c r="AC1347" s="1489"/>
      <c r="AD1347" s="1489"/>
      <c r="AE1347" s="1489"/>
      <c r="AF1347" s="1489"/>
      <c r="AG1347" s="1489"/>
      <c r="AH1347" s="1489"/>
      <c r="AI1347" s="1489"/>
      <c r="AJ1347" s="1489"/>
      <c r="AK1347" s="1489"/>
      <c r="AL1347" s="1489"/>
    </row>
    <row r="1348" spans="1:38" s="613" customFormat="1">
      <c r="A1348" s="53"/>
      <c r="B1348" s="817" t="s">
        <v>2393</v>
      </c>
      <c r="C1348" s="817" t="s">
        <v>2393</v>
      </c>
      <c r="D1348" s="817"/>
      <c r="E1348" s="817"/>
      <c r="F1348" s="817"/>
      <c r="G1348" s="1792">
        <v>0.17247999999999999</v>
      </c>
      <c r="H1348" s="1873">
        <v>125.9104</v>
      </c>
      <c r="I1348" s="1541"/>
      <c r="J1348" s="1191"/>
      <c r="K1348" s="1490"/>
      <c r="L1348" s="1490"/>
      <c r="M1348" s="1490"/>
      <c r="N1348" s="1490"/>
      <c r="O1348" s="1490"/>
      <c r="P1348" s="1490"/>
      <c r="Q1348" s="1490"/>
      <c r="R1348" s="1490"/>
      <c r="S1348" s="1490"/>
      <c r="T1348" s="1490"/>
      <c r="U1348" s="1490"/>
      <c r="V1348" s="1490"/>
      <c r="W1348" s="1190"/>
      <c r="X1348" s="1490"/>
      <c r="Y1348" s="1491"/>
      <c r="Z1348" s="1492"/>
      <c r="AA1348" s="1493"/>
      <c r="AB1348" s="1489"/>
      <c r="AC1348" s="1489"/>
      <c r="AD1348" s="1489"/>
      <c r="AE1348" s="1489"/>
      <c r="AF1348" s="1489"/>
      <c r="AG1348" s="1489"/>
      <c r="AH1348" s="1489"/>
      <c r="AI1348" s="1489"/>
      <c r="AJ1348" s="1489"/>
      <c r="AK1348" s="1489"/>
      <c r="AL1348" s="1489"/>
    </row>
    <row r="1349" spans="1:38" s="1805" customFormat="1">
      <c r="A1349" s="1806"/>
      <c r="B1349" s="817" t="s">
        <v>2601</v>
      </c>
      <c r="C1349" s="817" t="s">
        <v>2601</v>
      </c>
      <c r="D1349" s="817"/>
      <c r="E1349" s="817"/>
      <c r="F1349" s="817"/>
      <c r="G1349" s="1792">
        <v>2.93E-2</v>
      </c>
      <c r="H1349" s="1873">
        <v>21.388999999999999</v>
      </c>
      <c r="I1349" s="1541"/>
      <c r="J1349" s="1191"/>
      <c r="K1349" s="1490"/>
      <c r="L1349" s="1490"/>
      <c r="M1349" s="1490"/>
      <c r="N1349" s="1490"/>
      <c r="O1349" s="1490"/>
      <c r="P1349" s="1490"/>
      <c r="Q1349" s="1490"/>
      <c r="R1349" s="1490"/>
      <c r="S1349" s="1490"/>
      <c r="T1349" s="1490"/>
      <c r="U1349" s="1490"/>
      <c r="V1349" s="1490"/>
      <c r="W1349" s="1190"/>
      <c r="X1349" s="1490"/>
      <c r="Y1349" s="1806"/>
      <c r="Z1349" s="1492"/>
      <c r="AA1349" s="1493"/>
    </row>
    <row r="1350" spans="1:38" s="613" customFormat="1">
      <c r="A1350" s="53"/>
      <c r="B1350" s="817" t="s">
        <v>2409</v>
      </c>
      <c r="C1350" s="817" t="s">
        <v>2409</v>
      </c>
      <c r="D1350" s="817"/>
      <c r="E1350" s="817"/>
      <c r="F1350" s="817"/>
      <c r="G1350" s="1792">
        <f>0.05*1.12</f>
        <v>5.6000000000000008E-2</v>
      </c>
      <c r="H1350" s="1873">
        <v>40.880000000000003</v>
      </c>
      <c r="I1350" s="1541"/>
      <c r="J1350" s="1191"/>
      <c r="K1350" s="1490"/>
      <c r="L1350" s="1490"/>
      <c r="M1350" s="1490"/>
      <c r="N1350" s="1490"/>
      <c r="O1350" s="1490"/>
      <c r="P1350" s="1490"/>
      <c r="Q1350" s="1490"/>
      <c r="R1350" s="1490"/>
      <c r="S1350" s="1490"/>
      <c r="T1350" s="1490"/>
      <c r="U1350" s="1490"/>
      <c r="V1350" s="1490"/>
      <c r="W1350" s="1190"/>
      <c r="X1350" s="1490"/>
      <c r="Y1350" s="1491"/>
      <c r="Z1350" s="1492"/>
      <c r="AA1350" s="1493"/>
      <c r="AB1350" s="1489"/>
      <c r="AC1350" s="1489"/>
      <c r="AD1350" s="1489"/>
      <c r="AE1350" s="1489"/>
      <c r="AF1350" s="1489"/>
      <c r="AG1350" s="1489"/>
      <c r="AH1350" s="1489"/>
      <c r="AI1350" s="1489"/>
      <c r="AJ1350" s="1489"/>
      <c r="AK1350" s="1489"/>
      <c r="AL1350" s="1489"/>
    </row>
    <row r="1351" spans="1:38" s="1805" customFormat="1">
      <c r="A1351" s="818"/>
      <c r="B1351" s="817" t="s">
        <v>2387</v>
      </c>
      <c r="C1351" s="817" t="s">
        <v>2387</v>
      </c>
      <c r="D1351" s="817"/>
      <c r="E1351" s="817"/>
      <c r="F1351" s="817"/>
      <c r="G1351" s="1874">
        <v>0.11509999999999999</v>
      </c>
      <c r="H1351" s="1873">
        <v>84.022999999999996</v>
      </c>
      <c r="I1351" s="1541"/>
      <c r="J1351" s="1191"/>
      <c r="K1351" s="1490"/>
      <c r="L1351" s="1490"/>
      <c r="M1351" s="1490"/>
      <c r="N1351" s="1490"/>
      <c r="O1351" s="1490"/>
      <c r="P1351" s="1490"/>
      <c r="Q1351" s="1490"/>
      <c r="R1351" s="1490"/>
      <c r="S1351" s="1490"/>
      <c r="T1351" s="1490"/>
      <c r="U1351" s="1490"/>
      <c r="V1351" s="1490"/>
      <c r="W1351" s="89"/>
      <c r="X1351" s="1490"/>
      <c r="Y1351" s="818"/>
      <c r="Z1351" s="1492"/>
      <c r="AA1351" s="818"/>
    </row>
    <row r="1352" spans="1:38" s="613" customFormat="1">
      <c r="A1352" s="53"/>
      <c r="B1352" s="163"/>
      <c r="C1352" s="1489"/>
      <c r="D1352" s="163"/>
      <c r="E1352" s="163"/>
      <c r="F1352" s="163"/>
      <c r="G1352" s="163"/>
      <c r="H1352" s="163"/>
      <c r="I1352" s="163"/>
      <c r="J1352" s="42"/>
      <c r="K1352" s="44"/>
      <c r="L1352" s="163"/>
      <c r="M1352" s="4"/>
      <c r="N1352" s="4"/>
      <c r="O1352" s="4"/>
      <c r="P1352" s="4"/>
      <c r="Q1352" s="163"/>
      <c r="R1352" s="163"/>
      <c r="S1352" s="163"/>
      <c r="T1352" s="1405"/>
      <c r="V1352" s="1185"/>
      <c r="W1352" s="99"/>
      <c r="X1352" s="163"/>
      <c r="Y1352" s="53"/>
      <c r="Z1352" s="44"/>
      <c r="AA1352" s="7"/>
      <c r="AB1352" s="163"/>
      <c r="AC1352" s="163"/>
      <c r="AD1352" s="163"/>
      <c r="AE1352" s="163"/>
      <c r="AF1352" s="163"/>
      <c r="AG1352" s="163"/>
      <c r="AH1352" s="163"/>
      <c r="AI1352" s="163"/>
      <c r="AJ1352" s="163"/>
      <c r="AK1352" s="163"/>
      <c r="AL1352" s="163"/>
    </row>
    <row r="1353" spans="1:38" s="613" customFormat="1">
      <c r="A1353" s="53"/>
      <c r="B1353" s="1928" t="s">
        <v>776</v>
      </c>
      <c r="C1353" s="1929"/>
      <c r="D1353" s="1929"/>
      <c r="E1353" s="1929"/>
      <c r="F1353" s="26" t="s">
        <v>147</v>
      </c>
      <c r="G1353" s="163"/>
      <c r="H1353" s="4" t="s">
        <v>219</v>
      </c>
      <c r="I1353" s="4"/>
      <c r="J1353" s="42"/>
      <c r="K1353" s="4"/>
      <c r="L1353" s="4"/>
      <c r="M1353" s="4"/>
      <c r="N1353" s="4"/>
      <c r="O1353" s="4"/>
      <c r="P1353" s="4"/>
      <c r="Q1353" s="4"/>
      <c r="R1353" s="4"/>
      <c r="S1353" s="4"/>
      <c r="T1353" s="4"/>
      <c r="U1353" s="4"/>
      <c r="V1353" s="4"/>
      <c r="W1353" s="93"/>
      <c r="X1353" s="4"/>
      <c r="Y1353" s="53"/>
      <c r="Z1353" s="218"/>
      <c r="AA1353" s="7"/>
      <c r="AB1353" s="163"/>
      <c r="AC1353" s="163"/>
      <c r="AD1353" s="163"/>
      <c r="AE1353" s="163"/>
      <c r="AF1353" s="163"/>
      <c r="AG1353" s="163"/>
      <c r="AH1353" s="163"/>
      <c r="AI1353" s="163"/>
      <c r="AJ1353" s="163"/>
      <c r="AK1353" s="163"/>
      <c r="AL1353" s="163"/>
    </row>
    <row r="1354" spans="1:38" s="613" customFormat="1" ht="43.2">
      <c r="A1354" s="53"/>
      <c r="B1354" s="138" t="s">
        <v>2</v>
      </c>
      <c r="C1354" s="108"/>
      <c r="D1354" s="108"/>
      <c r="E1354" s="108"/>
      <c r="F1354" s="108"/>
      <c r="G1354" s="108" t="s">
        <v>225</v>
      </c>
      <c r="H1354" s="108" t="s">
        <v>226</v>
      </c>
      <c r="I1354" s="4"/>
      <c r="J1354" s="42"/>
      <c r="K1354" s="4"/>
      <c r="L1354" s="4"/>
      <c r="M1354" s="4"/>
      <c r="N1354" s="4"/>
      <c r="O1354" s="4"/>
      <c r="P1354" s="4"/>
      <c r="Q1354" s="4"/>
      <c r="R1354" s="4"/>
      <c r="S1354" s="4"/>
      <c r="T1354" s="4"/>
      <c r="U1354" s="4"/>
      <c r="V1354" s="4"/>
      <c r="W1354" s="93"/>
      <c r="X1354" s="4"/>
      <c r="Y1354" s="125"/>
      <c r="Z1354" s="218"/>
      <c r="AA1354" s="7"/>
      <c r="AB1354" s="163"/>
      <c r="AC1354" s="163"/>
      <c r="AD1354" s="163"/>
      <c r="AE1354" s="163"/>
      <c r="AF1354" s="163"/>
      <c r="AG1354" s="163"/>
      <c r="AH1354" s="163"/>
      <c r="AI1354" s="163"/>
      <c r="AJ1354" s="163"/>
      <c r="AK1354" s="163"/>
      <c r="AL1354" s="163"/>
    </row>
    <row r="1355" spans="1:38" s="613" customFormat="1">
      <c r="A1355" s="53"/>
      <c r="B1355" s="1850" t="s">
        <v>2609</v>
      </c>
      <c r="C1355" s="816"/>
      <c r="D1355" s="816"/>
      <c r="E1355" s="816"/>
      <c r="F1355" s="816"/>
      <c r="G1355" s="1754">
        <v>1.4489999999999999E-2</v>
      </c>
      <c r="H1355" s="1591">
        <v>10.568499999999998</v>
      </c>
      <c r="I1355" s="1517">
        <v>1.1499999999999999</v>
      </c>
      <c r="J1355" s="42"/>
      <c r="K1355" s="4"/>
      <c r="L1355" s="4"/>
      <c r="M1355" s="4"/>
      <c r="N1355" s="4"/>
      <c r="O1355" s="4"/>
      <c r="P1355" s="4"/>
      <c r="Q1355" s="4"/>
      <c r="R1355" s="4"/>
      <c r="S1355" s="163"/>
      <c r="T1355" s="1405"/>
      <c r="V1355" s="1185"/>
      <c r="W1355" s="93"/>
      <c r="X1355" s="4"/>
      <c r="Y1355" s="53"/>
      <c r="Z1355" s="218"/>
      <c r="AA1355" s="7"/>
      <c r="AB1355" s="163"/>
      <c r="AC1355" s="163"/>
      <c r="AD1355" s="163"/>
      <c r="AE1355" s="163"/>
      <c r="AF1355" s="163"/>
      <c r="AG1355" s="163"/>
      <c r="AH1355" s="163"/>
      <c r="AI1355" s="163"/>
      <c r="AJ1355" s="163"/>
      <c r="AK1355" s="163"/>
      <c r="AL1355" s="163"/>
    </row>
    <row r="1356" spans="1:38" s="613" customFormat="1">
      <c r="A1356" s="53"/>
      <c r="B1356" s="1850" t="s">
        <v>2649</v>
      </c>
      <c r="C1356" s="511"/>
      <c r="D1356" s="816"/>
      <c r="E1356" s="816"/>
      <c r="F1356" s="816"/>
      <c r="G1356" s="1754">
        <v>7.3829999999999993E-2</v>
      </c>
      <c r="H1356" s="1591">
        <v>53.888999999999996</v>
      </c>
      <c r="I1356" s="4"/>
      <c r="J1356" s="42"/>
      <c r="K1356" s="4"/>
      <c r="L1356" s="4"/>
      <c r="M1356" s="4"/>
      <c r="N1356" s="4"/>
      <c r="O1356" s="4"/>
      <c r="P1356" s="4"/>
      <c r="Q1356" s="4"/>
      <c r="R1356" s="4"/>
      <c r="S1356" s="163"/>
      <c r="T1356" s="1405"/>
      <c r="V1356" s="1185"/>
      <c r="W1356" s="93"/>
      <c r="X1356" s="4"/>
      <c r="Y1356" s="53"/>
      <c r="Z1356" s="218"/>
      <c r="AA1356" s="7"/>
      <c r="AB1356" s="163"/>
      <c r="AC1356" s="163"/>
      <c r="AD1356" s="163"/>
      <c r="AE1356" s="163"/>
      <c r="AF1356" s="163"/>
      <c r="AG1356" s="163"/>
      <c r="AH1356" s="163"/>
      <c r="AI1356" s="163"/>
      <c r="AJ1356" s="163"/>
      <c r="AK1356" s="163"/>
      <c r="AL1356" s="163"/>
    </row>
    <row r="1357" spans="1:38" s="163" customFormat="1">
      <c r="A1357" s="53"/>
      <c r="B1357" s="1850" t="s">
        <v>2650</v>
      </c>
      <c r="C1357" s="511"/>
      <c r="D1357" s="816"/>
      <c r="E1357" s="816"/>
      <c r="F1357" s="816"/>
      <c r="G1357" s="1754">
        <v>0.14029999999999998</v>
      </c>
      <c r="H1357" s="1591">
        <v>102.419</v>
      </c>
      <c r="I1357" s="4"/>
      <c r="J1357" s="42"/>
      <c r="K1357" s="4"/>
      <c r="L1357" s="4"/>
      <c r="M1357" s="4"/>
      <c r="N1357" s="4"/>
      <c r="O1357" s="4"/>
      <c r="P1357" s="4"/>
      <c r="Q1357" s="4"/>
      <c r="R1357" s="4"/>
      <c r="T1357" s="1405"/>
      <c r="U1357" s="613"/>
      <c r="V1357" s="1185"/>
      <c r="W1357" s="93"/>
      <c r="X1357" s="4"/>
      <c r="Y1357" s="53"/>
      <c r="Z1357" s="218"/>
      <c r="AA1357" s="7"/>
    </row>
    <row r="1358" spans="1:38" s="163" customFormat="1">
      <c r="A1358" s="53"/>
      <c r="B1358" s="1850" t="s">
        <v>2651</v>
      </c>
      <c r="C1358" s="511"/>
      <c r="D1358" s="816"/>
      <c r="E1358" s="816"/>
      <c r="F1358" s="816"/>
      <c r="G1358" s="1754">
        <v>0.26656999999999997</v>
      </c>
      <c r="H1358" s="1591">
        <v>194.5915</v>
      </c>
      <c r="I1358" s="4"/>
      <c r="J1358" s="42"/>
      <c r="K1358" s="4"/>
      <c r="L1358" s="4"/>
      <c r="M1358" s="4"/>
      <c r="N1358" s="4"/>
      <c r="O1358" s="4"/>
      <c r="P1358" s="4"/>
      <c r="Q1358" s="4"/>
      <c r="R1358" s="4"/>
      <c r="S1358" s="613"/>
      <c r="T1358" s="1405"/>
      <c r="U1358" s="613"/>
      <c r="V1358" s="1185"/>
      <c r="W1358" s="93"/>
      <c r="X1358" s="4"/>
      <c r="Y1358" s="53"/>
      <c r="Z1358" s="218"/>
      <c r="AA1358" s="7"/>
      <c r="AB1358" s="613"/>
      <c r="AC1358" s="613"/>
      <c r="AD1358" s="613"/>
      <c r="AE1358" s="613"/>
      <c r="AF1358" s="613"/>
      <c r="AG1358" s="613"/>
      <c r="AH1358" s="613"/>
      <c r="AI1358" s="613"/>
      <c r="AJ1358" s="613"/>
      <c r="AK1358" s="613"/>
      <c r="AL1358" s="613"/>
    </row>
    <row r="1359" spans="1:38" s="613" customFormat="1">
      <c r="A1359" s="53"/>
      <c r="B1359" s="1850" t="s">
        <v>2613</v>
      </c>
      <c r="C1359" s="511"/>
      <c r="D1359" s="816"/>
      <c r="E1359" s="816"/>
      <c r="F1359" s="816"/>
      <c r="G1359" s="1754">
        <v>3.6914999999999996E-2</v>
      </c>
      <c r="H1359" s="1591">
        <v>26.944499999999998</v>
      </c>
      <c r="I1359" s="4"/>
      <c r="J1359" s="42"/>
      <c r="K1359" s="4"/>
      <c r="L1359" s="4"/>
      <c r="M1359" s="4"/>
      <c r="N1359" s="4"/>
      <c r="O1359" s="4"/>
      <c r="P1359" s="4"/>
      <c r="Q1359" s="4"/>
      <c r="R1359" s="4"/>
      <c r="T1359" s="1405"/>
      <c r="V1359" s="1185"/>
      <c r="W1359" s="93"/>
      <c r="X1359" s="4"/>
      <c r="Y1359" s="53"/>
      <c r="Z1359" s="218"/>
      <c r="AA1359" s="7"/>
    </row>
    <row r="1360" spans="1:38" s="613" customFormat="1">
      <c r="A1360" s="53"/>
      <c r="B1360" s="1850" t="s">
        <v>2614</v>
      </c>
      <c r="C1360" s="511"/>
      <c r="D1360" s="816"/>
      <c r="E1360" s="816"/>
      <c r="F1360" s="816"/>
      <c r="G1360" s="1754">
        <v>7.3829999999999993E-2</v>
      </c>
      <c r="H1360" s="1591">
        <v>53.888999999999996</v>
      </c>
      <c r="I1360" s="4"/>
      <c r="J1360" s="163"/>
      <c r="K1360" s="4"/>
      <c r="L1360" s="4"/>
      <c r="M1360" s="4"/>
      <c r="N1360" s="4"/>
      <c r="O1360" s="4"/>
      <c r="P1360" s="4"/>
      <c r="Q1360" s="4"/>
      <c r="R1360" s="4"/>
      <c r="S1360" s="163"/>
      <c r="T1360" s="1405"/>
      <c r="V1360" s="1185"/>
      <c r="W1360" s="93"/>
      <c r="X1360" s="4"/>
      <c r="Y1360" s="53"/>
      <c r="Z1360" s="218"/>
      <c r="AA1360" s="7"/>
      <c r="AB1360" s="163"/>
      <c r="AC1360" s="163"/>
      <c r="AD1360" s="163"/>
      <c r="AE1360" s="163"/>
      <c r="AF1360" s="163"/>
      <c r="AG1360" s="163"/>
      <c r="AH1360" s="163"/>
      <c r="AI1360" s="163"/>
      <c r="AJ1360" s="163"/>
      <c r="AK1360" s="163"/>
      <c r="AL1360" s="163"/>
    </row>
    <row r="1361" spans="1:38" s="593" customFormat="1">
      <c r="A1361" s="679"/>
      <c r="B1361" s="816" t="s">
        <v>2615</v>
      </c>
      <c r="C1361" s="511"/>
      <c r="D1361" s="816"/>
      <c r="E1361" s="816"/>
      <c r="F1361" s="816"/>
      <c r="G1361" s="1754">
        <v>0.14029999999999998</v>
      </c>
      <c r="H1361" s="1591">
        <v>102.419</v>
      </c>
      <c r="I1361" s="4"/>
      <c r="J1361" s="163"/>
      <c r="K1361" s="4"/>
      <c r="L1361" s="4"/>
      <c r="M1361" s="4"/>
      <c r="N1361" s="4"/>
      <c r="O1361" s="4"/>
      <c r="P1361" s="4"/>
      <c r="Q1361" s="4"/>
      <c r="R1361" s="4"/>
      <c r="S1361" s="163"/>
      <c r="T1361" s="1405"/>
      <c r="U1361" s="613"/>
      <c r="V1361" s="1185"/>
      <c r="W1361" s="93"/>
      <c r="X1361" s="4"/>
      <c r="Y1361" s="53"/>
      <c r="Z1361" s="218"/>
      <c r="AA1361" s="7"/>
      <c r="AB1361" s="163"/>
      <c r="AC1361" s="163"/>
      <c r="AD1361" s="163"/>
      <c r="AE1361" s="163"/>
      <c r="AF1361" s="163"/>
      <c r="AG1361" s="163"/>
      <c r="AH1361" s="163"/>
      <c r="AI1361" s="163"/>
      <c r="AJ1361" s="163"/>
      <c r="AK1361" s="163"/>
      <c r="AL1361" s="163"/>
    </row>
    <row r="1362" spans="1:38" s="593" customFormat="1" ht="15" customHeight="1">
      <c r="A1362" s="679"/>
      <c r="B1362" s="816" t="s">
        <v>2616</v>
      </c>
      <c r="C1362" s="511"/>
      <c r="D1362" s="511"/>
      <c r="E1362" s="816"/>
      <c r="F1362" s="816"/>
      <c r="G1362" s="1754">
        <v>0.26656999999999997</v>
      </c>
      <c r="H1362" s="1591">
        <v>194.5915</v>
      </c>
      <c r="I1362" s="4"/>
      <c r="J1362" s="163"/>
      <c r="K1362" s="4"/>
      <c r="L1362" s="4"/>
      <c r="M1362" s="4"/>
      <c r="N1362" s="4"/>
      <c r="O1362" s="4"/>
      <c r="P1362" s="4"/>
      <c r="Q1362" s="4"/>
      <c r="R1362" s="4"/>
      <c r="S1362" s="163"/>
      <c r="T1362" s="1405"/>
      <c r="U1362" s="613"/>
      <c r="V1362" s="1185"/>
      <c r="W1362" s="93"/>
      <c r="X1362" s="4"/>
      <c r="Y1362" s="53"/>
      <c r="Z1362" s="730" t="s">
        <v>777</v>
      </c>
      <c r="AA1362" s="7"/>
      <c r="AB1362" s="163"/>
      <c r="AC1362" s="163"/>
      <c r="AD1362" s="163"/>
      <c r="AE1362" s="163"/>
      <c r="AF1362" s="163"/>
      <c r="AG1362" s="163"/>
      <c r="AH1362" s="163"/>
      <c r="AI1362" s="163"/>
      <c r="AJ1362" s="163"/>
      <c r="AK1362" s="163"/>
      <c r="AL1362" s="163"/>
    </row>
    <row r="1363" spans="1:38" s="593" customFormat="1">
      <c r="A1363" s="679"/>
      <c r="B1363" s="816" t="s">
        <v>2617</v>
      </c>
      <c r="C1363" s="511"/>
      <c r="D1363" s="511"/>
      <c r="E1363" s="816"/>
      <c r="F1363" s="816"/>
      <c r="G1363" s="1754">
        <v>0.50680499999999995</v>
      </c>
      <c r="H1363" s="1591">
        <v>369.96649999999994</v>
      </c>
      <c r="I1363" s="4"/>
      <c r="J1363" s="333"/>
      <c r="K1363" s="4"/>
      <c r="L1363" s="4"/>
      <c r="M1363" s="4"/>
      <c r="N1363" s="4"/>
      <c r="O1363" s="4"/>
      <c r="P1363" s="4"/>
      <c r="Q1363" s="4"/>
      <c r="R1363" s="4"/>
      <c r="S1363" s="333"/>
      <c r="T1363" s="1405"/>
      <c r="U1363" s="613"/>
      <c r="V1363" s="1185"/>
      <c r="W1363" s="93"/>
      <c r="X1363" s="4"/>
      <c r="Y1363" s="53"/>
      <c r="Z1363" s="730"/>
      <c r="AA1363" s="7"/>
      <c r="AB1363" s="333"/>
      <c r="AC1363" s="333"/>
      <c r="AD1363" s="333"/>
      <c r="AE1363" s="333"/>
      <c r="AF1363" s="333"/>
      <c r="AG1363" s="333"/>
      <c r="AH1363" s="333"/>
      <c r="AI1363" s="333"/>
      <c r="AJ1363" s="333"/>
      <c r="AK1363" s="333"/>
      <c r="AL1363" s="333"/>
    </row>
    <row r="1364" spans="1:38" s="593" customFormat="1" ht="17.55" customHeight="1">
      <c r="A1364" s="679"/>
      <c r="B1364" s="816" t="s">
        <v>2606</v>
      </c>
      <c r="C1364" s="511"/>
      <c r="D1364" s="511"/>
      <c r="E1364" s="816"/>
      <c r="F1364" s="816"/>
      <c r="G1364" s="1754">
        <v>3.6914999999999996E-2</v>
      </c>
      <c r="H1364" s="1591">
        <v>26.944499999999998</v>
      </c>
      <c r="I1364" s="4"/>
      <c r="J1364" s="613"/>
      <c r="K1364" s="4"/>
      <c r="L1364" s="4"/>
      <c r="M1364" s="4"/>
      <c r="N1364" s="4"/>
      <c r="O1364" s="4"/>
      <c r="P1364" s="4"/>
      <c r="Q1364" s="4"/>
      <c r="R1364" s="4"/>
      <c r="S1364" s="613"/>
      <c r="T1364" s="1405"/>
      <c r="U1364" s="613"/>
      <c r="V1364" s="1185"/>
      <c r="W1364" s="93"/>
      <c r="X1364" s="4"/>
      <c r="Y1364" s="53"/>
      <c r="Z1364" s="730" t="s">
        <v>780</v>
      </c>
      <c r="AA1364" s="7"/>
      <c r="AB1364" s="613"/>
      <c r="AC1364" s="613"/>
      <c r="AD1364" s="613"/>
      <c r="AE1364" s="613"/>
      <c r="AF1364" s="613"/>
      <c r="AG1364" s="613"/>
      <c r="AH1364" s="613"/>
      <c r="AI1364" s="613"/>
      <c r="AJ1364" s="613"/>
      <c r="AK1364" s="613"/>
      <c r="AL1364" s="613"/>
    </row>
    <row r="1365" spans="1:38" s="593" customFormat="1" ht="14.55" hidden="1" customHeight="1">
      <c r="A1365" s="679"/>
      <c r="B1365" s="816" t="s">
        <v>2607</v>
      </c>
      <c r="C1365" s="511"/>
      <c r="D1365" s="511"/>
      <c r="E1365" s="816"/>
      <c r="F1365" s="816"/>
      <c r="G1365" s="1754">
        <v>7.3829999999999993E-2</v>
      </c>
      <c r="H1365" s="1591">
        <v>53.888999999999996</v>
      </c>
      <c r="I1365" s="4"/>
      <c r="J1365" s="613"/>
      <c r="K1365" s="4"/>
      <c r="L1365" s="4"/>
      <c r="M1365" s="4"/>
      <c r="N1365" s="4"/>
      <c r="O1365" s="4"/>
      <c r="P1365" s="4"/>
      <c r="Q1365" s="4"/>
      <c r="R1365" s="4"/>
      <c r="S1365" s="613"/>
      <c r="T1365" s="1405"/>
      <c r="U1365" s="613"/>
      <c r="V1365" s="1185"/>
      <c r="W1365" s="93"/>
      <c r="X1365" s="4"/>
      <c r="Y1365" s="53"/>
      <c r="Z1365" s="218"/>
      <c r="AA1365" s="7"/>
      <c r="AB1365" s="613"/>
      <c r="AC1365" s="613"/>
      <c r="AD1365" s="613"/>
      <c r="AE1365" s="613"/>
      <c r="AF1365" s="613"/>
      <c r="AG1365" s="613"/>
      <c r="AH1365" s="613"/>
      <c r="AI1365" s="613"/>
      <c r="AJ1365" s="613"/>
      <c r="AK1365" s="613"/>
      <c r="AL1365" s="613"/>
    </row>
    <row r="1366" spans="1:38" s="593" customFormat="1">
      <c r="A1366" s="679"/>
      <c r="B1366" s="816" t="s">
        <v>2366</v>
      </c>
      <c r="C1366" s="511"/>
      <c r="D1366" s="511"/>
      <c r="E1366" s="816"/>
      <c r="F1366" s="816"/>
      <c r="G1366" s="1754">
        <v>0.14029999999999998</v>
      </c>
      <c r="H1366" s="1591">
        <v>102.419</v>
      </c>
      <c r="I1366" s="4"/>
      <c r="J1366" s="613"/>
      <c r="K1366" s="4"/>
      <c r="L1366" s="4"/>
      <c r="M1366" s="4"/>
      <c r="N1366" s="4"/>
      <c r="O1366" s="4"/>
      <c r="P1366" s="4"/>
      <c r="Q1366" s="4"/>
      <c r="R1366" s="4"/>
      <c r="S1366" s="613"/>
      <c r="T1366" s="1405"/>
      <c r="U1366" s="613"/>
      <c r="V1366" s="1185"/>
      <c r="W1366" s="93"/>
      <c r="X1366" s="4"/>
      <c r="Y1366" s="53"/>
      <c r="Z1366" s="218"/>
      <c r="AA1366" s="7"/>
      <c r="AB1366" s="613"/>
      <c r="AC1366" s="613"/>
      <c r="AD1366" s="613"/>
      <c r="AE1366" s="613"/>
      <c r="AF1366" s="613"/>
      <c r="AG1366" s="613"/>
      <c r="AH1366" s="613"/>
      <c r="AI1366" s="613"/>
      <c r="AJ1366" s="613"/>
      <c r="AK1366" s="613"/>
      <c r="AL1366" s="613"/>
    </row>
    <row r="1367" spans="1:38" s="593" customFormat="1">
      <c r="A1367" s="679"/>
      <c r="B1367" s="816" t="s">
        <v>2367</v>
      </c>
      <c r="C1367" s="511"/>
      <c r="D1367" s="511"/>
      <c r="E1367" s="816"/>
      <c r="F1367" s="816"/>
      <c r="G1367" s="1754">
        <v>0.26656999999999997</v>
      </c>
      <c r="H1367" s="1591">
        <v>194.5915</v>
      </c>
      <c r="I1367" s="4"/>
      <c r="J1367" s="613"/>
      <c r="K1367" s="4"/>
      <c r="L1367" s="4"/>
      <c r="M1367" s="4"/>
      <c r="N1367" s="4"/>
      <c r="O1367" s="4"/>
      <c r="P1367" s="4"/>
      <c r="Q1367" s="4"/>
      <c r="R1367" s="4"/>
      <c r="S1367" s="613"/>
      <c r="T1367" s="1405"/>
      <c r="U1367" s="613"/>
      <c r="V1367" s="1185"/>
      <c r="W1367" s="93"/>
      <c r="X1367" s="4"/>
      <c r="Y1367" s="53"/>
      <c r="Z1367" s="218"/>
      <c r="AA1367" s="7"/>
      <c r="AB1367" s="613"/>
      <c r="AC1367" s="613"/>
      <c r="AD1367" s="613"/>
      <c r="AE1367" s="613"/>
      <c r="AF1367" s="613"/>
      <c r="AG1367" s="613"/>
      <c r="AH1367" s="613"/>
      <c r="AI1367" s="613"/>
      <c r="AJ1367" s="613"/>
      <c r="AK1367" s="613"/>
      <c r="AL1367" s="613"/>
    </row>
    <row r="1368" spans="1:38" s="593" customFormat="1">
      <c r="A1368" s="679"/>
      <c r="B1368" s="816" t="s">
        <v>2368</v>
      </c>
      <c r="C1368" s="511"/>
      <c r="D1368" s="511"/>
      <c r="E1368" s="816"/>
      <c r="F1368" s="816"/>
      <c r="G1368" s="1754">
        <v>0.50680499999999995</v>
      </c>
      <c r="H1368" s="1591">
        <v>369.96649999999994</v>
      </c>
      <c r="I1368" s="4"/>
      <c r="J1368" s="613"/>
      <c r="K1368" s="4"/>
      <c r="L1368" s="4"/>
      <c r="M1368" s="4"/>
      <c r="N1368" s="4"/>
      <c r="O1368" s="4"/>
      <c r="P1368" s="4"/>
      <c r="Q1368" s="4"/>
      <c r="R1368" s="4"/>
      <c r="S1368" s="613"/>
      <c r="T1368" s="1405"/>
      <c r="U1368" s="613"/>
      <c r="V1368" s="1185"/>
      <c r="W1368" s="93"/>
      <c r="X1368" s="4"/>
      <c r="Y1368" s="53"/>
      <c r="Z1368" s="218"/>
      <c r="AA1368" s="7"/>
      <c r="AB1368" s="613"/>
      <c r="AC1368" s="613"/>
      <c r="AD1368" s="613"/>
      <c r="AE1368" s="613"/>
      <c r="AF1368" s="613"/>
      <c r="AG1368" s="613"/>
      <c r="AH1368" s="613"/>
      <c r="AI1368" s="613"/>
      <c r="AJ1368" s="613"/>
      <c r="AK1368" s="613"/>
      <c r="AL1368" s="613"/>
    </row>
    <row r="1369" spans="1:38" s="593" customFormat="1">
      <c r="A1369" s="679"/>
      <c r="B1369" s="816" t="s">
        <v>2394</v>
      </c>
      <c r="C1369" s="511"/>
      <c r="D1369" s="511"/>
      <c r="E1369" s="816"/>
      <c r="F1369" s="816"/>
      <c r="G1369" s="1754">
        <v>7.3829999999999993E-2</v>
      </c>
      <c r="H1369" s="1591">
        <v>53.888999999999996</v>
      </c>
      <c r="I1369" s="4"/>
      <c r="J1369" s="42"/>
      <c r="K1369" s="4"/>
      <c r="L1369" s="4"/>
      <c r="M1369" s="4"/>
      <c r="N1369" s="4"/>
      <c r="O1369" s="4"/>
      <c r="P1369" s="4"/>
      <c r="Q1369" s="4"/>
      <c r="R1369" s="4"/>
      <c r="S1369" s="613"/>
      <c r="T1369" s="1405"/>
      <c r="U1369" s="613"/>
      <c r="V1369" s="1185"/>
      <c r="W1369" s="93"/>
      <c r="X1369" s="4"/>
      <c r="Y1369" s="53"/>
      <c r="Z1369" s="218"/>
      <c r="AA1369" s="7"/>
      <c r="AB1369" s="613"/>
      <c r="AC1369" s="613"/>
      <c r="AD1369" s="613"/>
      <c r="AE1369" s="613"/>
      <c r="AF1369" s="613"/>
      <c r="AG1369" s="613"/>
      <c r="AH1369" s="613"/>
      <c r="AI1369" s="613"/>
      <c r="AJ1369" s="613"/>
      <c r="AK1369" s="613"/>
      <c r="AL1369" s="613"/>
    </row>
    <row r="1370" spans="1:38" s="593" customFormat="1">
      <c r="A1370" s="679"/>
      <c r="B1370" s="816" t="s">
        <v>2395</v>
      </c>
      <c r="C1370" s="511"/>
      <c r="D1370" s="511"/>
      <c r="E1370" s="816"/>
      <c r="F1370" s="816"/>
      <c r="G1370" s="1754">
        <v>0.14029999999999998</v>
      </c>
      <c r="H1370" s="1591">
        <v>102.419</v>
      </c>
      <c r="I1370" s="4"/>
      <c r="J1370" s="42"/>
      <c r="K1370" s="4"/>
      <c r="L1370" s="4"/>
      <c r="M1370" s="4"/>
      <c r="N1370" s="4"/>
      <c r="O1370" s="4"/>
      <c r="P1370" s="4"/>
      <c r="Q1370" s="4"/>
      <c r="R1370" s="4"/>
      <c r="S1370" s="613"/>
      <c r="T1370" s="1405"/>
      <c r="U1370" s="613"/>
      <c r="V1370" s="1185"/>
      <c r="W1370" s="93"/>
      <c r="X1370" s="4"/>
      <c r="Y1370" s="53"/>
      <c r="Z1370" s="218"/>
      <c r="AA1370" s="7"/>
      <c r="AB1370" s="613"/>
      <c r="AC1370" s="613"/>
      <c r="AD1370" s="613"/>
      <c r="AE1370" s="613"/>
      <c r="AF1370" s="613"/>
      <c r="AG1370" s="613"/>
      <c r="AH1370" s="613"/>
      <c r="AI1370" s="613"/>
      <c r="AJ1370" s="613"/>
      <c r="AK1370" s="613"/>
      <c r="AL1370" s="613"/>
    </row>
    <row r="1371" spans="1:38" s="593" customFormat="1">
      <c r="A1371" s="679"/>
      <c r="B1371" s="816" t="s">
        <v>2396</v>
      </c>
      <c r="C1371" s="511"/>
      <c r="D1371" s="511"/>
      <c r="E1371" s="816"/>
      <c r="F1371" s="816"/>
      <c r="G1371" s="1754">
        <v>0.26656999999999997</v>
      </c>
      <c r="H1371" s="1591">
        <v>194.5915</v>
      </c>
      <c r="I1371" s="4"/>
      <c r="J1371" s="42"/>
      <c r="K1371" s="4"/>
      <c r="L1371" s="4"/>
      <c r="M1371" s="4"/>
      <c r="N1371" s="4"/>
      <c r="O1371" s="4"/>
      <c r="P1371" s="4"/>
      <c r="Q1371" s="4"/>
      <c r="R1371" s="4"/>
      <c r="S1371" s="613"/>
      <c r="T1371" s="1405"/>
      <c r="U1371" s="613"/>
      <c r="V1371" s="1185"/>
      <c r="W1371" s="93"/>
      <c r="X1371" s="4"/>
      <c r="Y1371" s="53"/>
      <c r="Z1371" s="218"/>
      <c r="AA1371" s="7"/>
      <c r="AB1371" s="613"/>
      <c r="AC1371" s="613"/>
      <c r="AD1371" s="613"/>
      <c r="AE1371" s="613"/>
      <c r="AF1371" s="613"/>
      <c r="AG1371" s="613"/>
      <c r="AH1371" s="613"/>
      <c r="AI1371" s="613"/>
      <c r="AJ1371" s="613"/>
      <c r="AK1371" s="613"/>
      <c r="AL1371" s="613"/>
    </row>
    <row r="1372" spans="1:38" s="593" customFormat="1">
      <c r="A1372" s="679"/>
      <c r="B1372" s="816" t="s">
        <v>2393</v>
      </c>
      <c r="C1372" s="511"/>
      <c r="D1372" s="511"/>
      <c r="E1372" s="816"/>
      <c r="F1372" s="816"/>
      <c r="G1372" s="1754">
        <v>0.50680499999999995</v>
      </c>
      <c r="H1372" s="1591">
        <v>369.96649999999994</v>
      </c>
      <c r="I1372" s="4"/>
      <c r="J1372" s="42"/>
      <c r="K1372" s="4"/>
      <c r="L1372" s="4"/>
      <c r="M1372" s="4"/>
      <c r="N1372" s="4"/>
      <c r="O1372" s="4"/>
      <c r="P1372" s="4"/>
      <c r="Q1372" s="4"/>
      <c r="R1372" s="4"/>
      <c r="S1372" s="613"/>
      <c r="T1372" s="1405"/>
      <c r="U1372" s="613"/>
      <c r="V1372" s="1185"/>
      <c r="W1372" s="93"/>
      <c r="X1372" s="4"/>
      <c r="Y1372" s="53"/>
      <c r="Z1372" s="218"/>
      <c r="AA1372" s="7"/>
      <c r="AB1372" s="613"/>
      <c r="AC1372" s="613"/>
      <c r="AD1372" s="613"/>
      <c r="AE1372" s="613"/>
      <c r="AF1372" s="613"/>
      <c r="AG1372" s="613"/>
      <c r="AH1372" s="613"/>
      <c r="AI1372" s="613"/>
      <c r="AJ1372" s="613"/>
      <c r="AK1372" s="613"/>
      <c r="AL1372" s="613"/>
    </row>
    <row r="1373" spans="1:38" s="593" customFormat="1">
      <c r="A1373" s="679"/>
      <c r="B1373" s="816" t="s">
        <v>2623</v>
      </c>
      <c r="C1373" s="511"/>
      <c r="D1373" s="511"/>
      <c r="E1373" s="816"/>
      <c r="F1373" s="816"/>
      <c r="G1373" s="1754">
        <v>7.3829999999999993E-2</v>
      </c>
      <c r="H1373" s="1591">
        <v>53.888999999999996</v>
      </c>
      <c r="I1373" s="4"/>
      <c r="J1373" s="42"/>
      <c r="K1373" s="4"/>
      <c r="L1373" s="4"/>
      <c r="M1373" s="4"/>
      <c r="N1373" s="4"/>
      <c r="O1373" s="4"/>
      <c r="P1373" s="4"/>
      <c r="Q1373" s="4"/>
      <c r="R1373" s="4"/>
      <c r="S1373" s="163"/>
      <c r="T1373" s="1405"/>
      <c r="U1373" s="613"/>
      <c r="V1373" s="1185"/>
      <c r="W1373" s="93"/>
      <c r="X1373" s="4"/>
      <c r="Y1373" s="53"/>
      <c r="Z1373" s="218"/>
      <c r="AA1373" s="7"/>
      <c r="AB1373" s="163"/>
      <c r="AC1373" s="163"/>
      <c r="AD1373" s="163"/>
      <c r="AE1373" s="163"/>
      <c r="AF1373" s="163"/>
      <c r="AG1373" s="163"/>
      <c r="AH1373" s="163"/>
      <c r="AI1373" s="163"/>
      <c r="AJ1373" s="163"/>
      <c r="AK1373" s="163"/>
      <c r="AL1373" s="163"/>
    </row>
    <row r="1374" spans="1:38" s="593" customFormat="1">
      <c r="A1374" s="679"/>
      <c r="B1374" s="816" t="s">
        <v>2624</v>
      </c>
      <c r="C1374" s="511"/>
      <c r="D1374" s="511"/>
      <c r="E1374" s="816"/>
      <c r="F1374" s="816"/>
      <c r="G1374" s="1754">
        <v>0.14029999999999998</v>
      </c>
      <c r="H1374" s="1591">
        <v>102.419</v>
      </c>
      <c r="I1374" s="4"/>
      <c r="J1374" s="42"/>
      <c r="K1374" s="4"/>
      <c r="L1374" s="4"/>
      <c r="M1374" s="4"/>
      <c r="N1374" s="4"/>
      <c r="O1374" s="4"/>
      <c r="P1374" s="4"/>
      <c r="Q1374" s="163"/>
      <c r="R1374" s="163"/>
      <c r="S1374" s="163"/>
      <c r="T1374" s="1405"/>
      <c r="U1374" s="613"/>
      <c r="V1374" s="1185"/>
      <c r="W1374" s="93"/>
      <c r="X1374" s="4"/>
      <c r="Y1374" s="53"/>
      <c r="Z1374" s="218"/>
      <c r="AA1374" s="7"/>
      <c r="AB1374" s="163"/>
      <c r="AC1374" s="163"/>
      <c r="AD1374" s="163"/>
      <c r="AE1374" s="163"/>
      <c r="AF1374" s="163"/>
      <c r="AG1374" s="163"/>
      <c r="AH1374" s="163"/>
      <c r="AI1374" s="163"/>
      <c r="AJ1374" s="163"/>
      <c r="AK1374" s="163"/>
      <c r="AL1374" s="163"/>
    </row>
    <row r="1375" spans="1:38" s="593" customFormat="1">
      <c r="A1375" s="679"/>
      <c r="B1375" s="816" t="s">
        <v>2625</v>
      </c>
      <c r="C1375" s="511"/>
      <c r="D1375" s="511"/>
      <c r="E1375" s="816"/>
      <c r="F1375" s="816"/>
      <c r="G1375" s="1754">
        <v>0.26656999999999997</v>
      </c>
      <c r="H1375" s="1591">
        <v>194.5915</v>
      </c>
      <c r="I1375" s="4"/>
      <c r="J1375" s="42"/>
      <c r="K1375" s="4"/>
      <c r="L1375" s="4"/>
      <c r="M1375" s="4"/>
      <c r="N1375" s="4"/>
      <c r="O1375" s="4"/>
      <c r="P1375" s="4"/>
      <c r="Q1375" s="613"/>
      <c r="R1375" s="613"/>
      <c r="S1375" s="613"/>
      <c r="T1375" s="1405"/>
      <c r="U1375" s="613"/>
      <c r="V1375" s="1185"/>
      <c r="W1375" s="93"/>
      <c r="X1375" s="4"/>
      <c r="Y1375" s="53"/>
      <c r="Z1375" s="218"/>
      <c r="AA1375" s="7"/>
      <c r="AB1375" s="613"/>
      <c r="AC1375" s="613"/>
      <c r="AD1375" s="613"/>
      <c r="AE1375" s="613"/>
      <c r="AF1375" s="613"/>
      <c r="AG1375" s="613"/>
      <c r="AH1375" s="613"/>
      <c r="AI1375" s="613"/>
      <c r="AJ1375" s="613"/>
      <c r="AK1375" s="613"/>
      <c r="AL1375" s="613"/>
    </row>
    <row r="1376" spans="1:38" s="593" customFormat="1">
      <c r="A1376" s="679"/>
      <c r="B1376" s="816" t="s">
        <v>2749</v>
      </c>
      <c r="C1376" s="511"/>
      <c r="D1376" s="511"/>
      <c r="E1376" s="816"/>
      <c r="F1376" s="816"/>
      <c r="G1376" s="1754">
        <v>0.50680499999999995</v>
      </c>
      <c r="H1376" s="1591">
        <v>369.96764999999999</v>
      </c>
      <c r="I1376" s="4"/>
      <c r="J1376" s="42"/>
      <c r="K1376" s="4"/>
      <c r="L1376" s="4"/>
      <c r="M1376" s="4"/>
      <c r="N1376" s="4"/>
      <c r="O1376" s="4"/>
      <c r="P1376" s="4"/>
      <c r="Q1376" s="613"/>
      <c r="R1376" s="613"/>
      <c r="S1376" s="613"/>
      <c r="T1376" s="1405"/>
      <c r="U1376" s="613"/>
      <c r="V1376" s="1185"/>
      <c r="W1376" s="93"/>
      <c r="X1376" s="4"/>
      <c r="Y1376" s="53"/>
      <c r="Z1376" s="218"/>
      <c r="AA1376" s="7"/>
      <c r="AB1376" s="613"/>
      <c r="AC1376" s="613"/>
      <c r="AD1376" s="613"/>
      <c r="AE1376" s="613"/>
      <c r="AF1376" s="613"/>
      <c r="AG1376" s="613"/>
      <c r="AH1376" s="613"/>
      <c r="AI1376" s="613"/>
      <c r="AJ1376" s="613"/>
      <c r="AK1376" s="613"/>
      <c r="AL1376" s="613"/>
    </row>
    <row r="1377" spans="1:27" s="593" customFormat="1">
      <c r="A1377" s="679"/>
      <c r="B1377" s="816" t="s">
        <v>2378</v>
      </c>
      <c r="C1377" s="511"/>
      <c r="D1377" s="511"/>
      <c r="E1377" s="816"/>
      <c r="F1377" s="816"/>
      <c r="G1377" s="1754">
        <v>1.0136099999999999</v>
      </c>
      <c r="H1377" s="1591">
        <v>739.93299999999988</v>
      </c>
      <c r="I1377" s="612"/>
      <c r="J1377" s="305"/>
      <c r="K1377" s="612"/>
      <c r="L1377" s="612"/>
      <c r="M1377" s="612"/>
      <c r="N1377" s="612"/>
      <c r="O1377" s="612"/>
      <c r="P1377" s="612"/>
      <c r="W1377" s="699"/>
      <c r="X1377" s="612"/>
      <c r="Y1377" s="679"/>
      <c r="Z1377" s="730"/>
      <c r="AA1377" s="678"/>
    </row>
    <row r="1378" spans="1:27" s="593" customFormat="1">
      <c r="A1378" s="679"/>
      <c r="B1378" s="816" t="s">
        <v>2641</v>
      </c>
      <c r="C1378" s="511"/>
      <c r="D1378" s="511"/>
      <c r="E1378" s="816"/>
      <c r="F1378" s="816"/>
      <c r="G1378" s="1754">
        <v>2.407295</v>
      </c>
      <c r="H1378" s="1591">
        <v>1757.3149999999998</v>
      </c>
      <c r="I1378" s="612"/>
      <c r="J1378" s="305"/>
      <c r="K1378" s="612"/>
      <c r="L1378" s="612"/>
      <c r="M1378" s="612"/>
      <c r="N1378" s="612"/>
      <c r="O1378" s="612"/>
      <c r="P1378" s="612"/>
      <c r="W1378" s="699"/>
      <c r="X1378" s="612"/>
      <c r="Y1378" s="679"/>
      <c r="Z1378" s="730"/>
      <c r="AA1378" s="678"/>
    </row>
    <row r="1379" spans="1:27" s="593" customFormat="1">
      <c r="A1379" s="679"/>
      <c r="B1379" s="816" t="s">
        <v>2637</v>
      </c>
      <c r="C1379" s="511"/>
      <c r="D1379" s="511"/>
      <c r="E1379" s="816"/>
      <c r="F1379" s="816"/>
      <c r="G1379" s="1754">
        <v>1.0136099999999999</v>
      </c>
      <c r="H1379" s="1591">
        <v>739.93299999999988</v>
      </c>
      <c r="I1379" s="612"/>
      <c r="J1379" s="305"/>
      <c r="K1379" s="612"/>
      <c r="L1379" s="612"/>
      <c r="M1379" s="612"/>
      <c r="N1379" s="612"/>
      <c r="O1379" s="612"/>
      <c r="P1379" s="612"/>
      <c r="W1379" s="699"/>
      <c r="X1379" s="612"/>
      <c r="Y1379" s="679"/>
      <c r="Z1379" s="730"/>
      <c r="AA1379" s="678"/>
    </row>
    <row r="1380" spans="1:27" s="593" customFormat="1">
      <c r="A1380" s="679"/>
      <c r="B1380" s="816" t="s">
        <v>2638</v>
      </c>
      <c r="C1380" s="511"/>
      <c r="D1380" s="511"/>
      <c r="E1380" s="816"/>
      <c r="F1380" s="816"/>
      <c r="G1380" s="1754">
        <v>1.90049</v>
      </c>
      <c r="H1380" s="1591">
        <v>1387.3485000000001</v>
      </c>
      <c r="I1380" s="612"/>
      <c r="J1380" s="305"/>
      <c r="K1380" s="612"/>
      <c r="L1380" s="612"/>
      <c r="M1380" s="612"/>
      <c r="N1380" s="612"/>
      <c r="O1380" s="612"/>
      <c r="P1380" s="612"/>
      <c r="W1380" s="699"/>
      <c r="X1380" s="612"/>
      <c r="Y1380" s="679"/>
      <c r="Z1380" s="730"/>
      <c r="AA1380" s="678"/>
    </row>
    <row r="1381" spans="1:27" s="593" customFormat="1">
      <c r="A1381" s="679"/>
      <c r="B1381" s="816"/>
      <c r="C1381" s="511"/>
      <c r="D1381" s="511"/>
      <c r="E1381" s="816"/>
      <c r="F1381" s="816"/>
      <c r="G1381" s="1754">
        <v>0</v>
      </c>
      <c r="H1381" s="1591">
        <v>0</v>
      </c>
      <c r="I1381" s="612"/>
      <c r="J1381" s="305"/>
      <c r="K1381" s="612"/>
      <c r="L1381" s="612"/>
      <c r="M1381" s="612"/>
      <c r="N1381" s="612"/>
      <c r="O1381" s="612"/>
      <c r="P1381" s="612"/>
      <c r="W1381" s="699"/>
      <c r="X1381" s="612"/>
      <c r="Y1381" s="679"/>
      <c r="Z1381" s="730"/>
      <c r="AA1381" s="678"/>
    </row>
    <row r="1382" spans="1:27" s="593" customFormat="1">
      <c r="A1382" s="679"/>
      <c r="B1382" s="816" t="s">
        <v>2626</v>
      </c>
      <c r="C1382" s="511"/>
      <c r="D1382" s="511"/>
      <c r="E1382" s="816"/>
      <c r="F1382" s="816"/>
      <c r="G1382" s="1754">
        <v>7.3829999999999993E-2</v>
      </c>
      <c r="H1382" s="1591">
        <v>53.888999999999996</v>
      </c>
      <c r="I1382" s="612"/>
      <c r="J1382" s="305"/>
      <c r="K1382" s="612"/>
      <c r="L1382" s="612"/>
      <c r="M1382" s="612"/>
      <c r="N1382" s="612"/>
      <c r="O1382" s="612"/>
      <c r="P1382" s="612"/>
      <c r="W1382" s="699"/>
      <c r="X1382" s="612"/>
      <c r="Y1382" s="679"/>
      <c r="Z1382" s="730"/>
      <c r="AA1382" s="678"/>
    </row>
    <row r="1383" spans="1:27" s="593" customFormat="1">
      <c r="A1383" s="679"/>
      <c r="B1383" s="816" t="s">
        <v>2631</v>
      </c>
      <c r="C1383" s="511"/>
      <c r="D1383" s="511"/>
      <c r="E1383" s="816"/>
      <c r="F1383" s="816"/>
      <c r="G1383" s="1754">
        <v>7.3829999999999993E-2</v>
      </c>
      <c r="H1383" s="1591">
        <v>53.888999999999996</v>
      </c>
      <c r="I1383" s="612"/>
      <c r="J1383" s="305"/>
      <c r="K1383" s="612"/>
      <c r="L1383" s="612"/>
      <c r="M1383" s="612"/>
      <c r="N1383" s="612"/>
      <c r="O1383" s="612"/>
      <c r="P1383" s="612"/>
      <c r="W1383" s="699"/>
      <c r="X1383" s="612"/>
      <c r="Y1383" s="679"/>
      <c r="Z1383" s="730"/>
      <c r="AA1383" s="678"/>
    </row>
    <row r="1384" spans="1:27" s="593" customFormat="1">
      <c r="A1384" s="679"/>
      <c r="B1384" s="816" t="s">
        <v>2627</v>
      </c>
      <c r="C1384" s="511"/>
      <c r="D1384" s="511"/>
      <c r="E1384" s="816"/>
      <c r="F1384" s="816"/>
      <c r="G1384" s="1754">
        <v>0.14029999999999998</v>
      </c>
      <c r="H1384" s="1591">
        <v>102.419</v>
      </c>
      <c r="I1384" s="612"/>
      <c r="J1384" s="305"/>
      <c r="K1384" s="612"/>
      <c r="L1384" s="612"/>
      <c r="M1384" s="612"/>
      <c r="N1384" s="612"/>
      <c r="O1384" s="612"/>
      <c r="P1384" s="612"/>
      <c r="W1384" s="699"/>
      <c r="X1384" s="612"/>
      <c r="Y1384" s="679"/>
      <c r="Z1384" s="730"/>
      <c r="AA1384" s="678"/>
    </row>
    <row r="1385" spans="1:27" s="593" customFormat="1">
      <c r="A1385" s="679"/>
      <c r="B1385" s="816" t="s">
        <v>2632</v>
      </c>
      <c r="C1385" s="511"/>
      <c r="D1385" s="511"/>
      <c r="E1385" s="816"/>
      <c r="F1385" s="816"/>
      <c r="G1385" s="1754">
        <v>0.14029999999999998</v>
      </c>
      <c r="H1385" s="1591">
        <v>102.419</v>
      </c>
      <c r="I1385" s="612"/>
      <c r="J1385" s="305"/>
      <c r="K1385" s="612"/>
      <c r="L1385" s="612"/>
      <c r="M1385" s="612"/>
      <c r="N1385" s="612"/>
      <c r="O1385" s="612"/>
      <c r="P1385" s="612"/>
      <c r="W1385" s="699"/>
      <c r="X1385" s="612"/>
      <c r="Y1385" s="679"/>
      <c r="Z1385" s="730"/>
      <c r="AA1385" s="678"/>
    </row>
    <row r="1386" spans="1:27" s="593" customFormat="1">
      <c r="A1386" s="679"/>
      <c r="B1386" s="816" t="s">
        <v>2628</v>
      </c>
      <c r="C1386" s="511"/>
      <c r="D1386" s="511"/>
      <c r="E1386" s="816"/>
      <c r="F1386" s="816"/>
      <c r="G1386" s="1754">
        <v>0.26656999999999997</v>
      </c>
      <c r="H1386" s="1591">
        <v>194.5915</v>
      </c>
      <c r="I1386" s="612"/>
      <c r="J1386" s="305"/>
      <c r="K1386" s="612"/>
      <c r="L1386" s="612"/>
      <c r="M1386" s="612"/>
      <c r="N1386" s="612"/>
      <c r="O1386" s="612"/>
      <c r="P1386" s="612"/>
      <c r="W1386" s="699"/>
      <c r="X1386" s="612"/>
      <c r="Y1386" s="679"/>
      <c r="Z1386" s="730"/>
      <c r="AA1386" s="678"/>
    </row>
    <row r="1387" spans="1:27" s="593" customFormat="1">
      <c r="A1387" s="679"/>
      <c r="B1387" s="816" t="s">
        <v>2633</v>
      </c>
      <c r="C1387" s="511"/>
      <c r="D1387" s="511"/>
      <c r="E1387" s="816"/>
      <c r="F1387" s="816"/>
      <c r="G1387" s="1754">
        <v>0.26656999999999997</v>
      </c>
      <c r="H1387" s="1591">
        <v>194.5915</v>
      </c>
      <c r="I1387" s="612"/>
      <c r="J1387" s="305"/>
      <c r="K1387" s="612"/>
      <c r="L1387" s="612"/>
      <c r="M1387" s="612"/>
      <c r="N1387" s="612"/>
      <c r="O1387" s="612"/>
      <c r="P1387" s="612"/>
      <c r="W1387" s="699"/>
      <c r="X1387" s="612"/>
      <c r="Y1387" s="679"/>
      <c r="Z1387" s="730"/>
      <c r="AA1387" s="678"/>
    </row>
    <row r="1388" spans="1:27" s="593" customFormat="1">
      <c r="A1388" s="679"/>
      <c r="B1388" s="816" t="s">
        <v>2388</v>
      </c>
      <c r="C1388" s="511"/>
      <c r="D1388" s="511"/>
      <c r="E1388" s="816"/>
      <c r="F1388" s="816"/>
      <c r="G1388" s="1754">
        <v>0.50680499999999995</v>
      </c>
      <c r="H1388" s="1591">
        <v>369.96649999999994</v>
      </c>
      <c r="I1388" s="612"/>
      <c r="J1388" s="305"/>
      <c r="K1388" s="612"/>
      <c r="L1388" s="612"/>
      <c r="M1388" s="612"/>
      <c r="N1388" s="612"/>
      <c r="O1388" s="612"/>
      <c r="P1388" s="612"/>
      <c r="W1388" s="699"/>
      <c r="X1388" s="612"/>
      <c r="Y1388" s="679"/>
      <c r="Z1388" s="730"/>
      <c r="AA1388" s="678"/>
    </row>
    <row r="1389" spans="1:27" s="593" customFormat="1">
      <c r="A1389" s="679"/>
      <c r="B1389" s="816" t="s">
        <v>2389</v>
      </c>
      <c r="C1389" s="511"/>
      <c r="D1389" s="511"/>
      <c r="E1389" s="816"/>
      <c r="F1389" s="816"/>
      <c r="G1389" s="1754">
        <v>0.50680499999999995</v>
      </c>
      <c r="H1389" s="1591">
        <v>369.96649999999994</v>
      </c>
      <c r="I1389" s="612"/>
      <c r="J1389" s="305"/>
      <c r="K1389" s="612"/>
      <c r="L1389" s="612"/>
      <c r="M1389" s="612"/>
      <c r="N1389" s="612"/>
      <c r="O1389" s="612"/>
      <c r="P1389" s="612"/>
      <c r="W1389" s="699"/>
      <c r="X1389" s="612"/>
      <c r="Y1389" s="679"/>
      <c r="Z1389" s="730"/>
      <c r="AA1389" s="678"/>
    </row>
    <row r="1390" spans="1:27" s="593" customFormat="1">
      <c r="A1390" s="679"/>
      <c r="B1390" s="816" t="s">
        <v>2442</v>
      </c>
      <c r="C1390" s="511"/>
      <c r="D1390" s="511"/>
      <c r="E1390" s="816"/>
      <c r="F1390" s="816"/>
      <c r="G1390" s="1754">
        <v>1.0136099999999999</v>
      </c>
      <c r="H1390" s="1591">
        <v>739.93299999999988</v>
      </c>
      <c r="I1390" s="612"/>
      <c r="J1390" s="305"/>
      <c r="K1390" s="612"/>
      <c r="L1390" s="612"/>
      <c r="M1390" s="612"/>
      <c r="N1390" s="612"/>
      <c r="O1390" s="612"/>
      <c r="P1390" s="612"/>
      <c r="W1390" s="699"/>
      <c r="X1390" s="612"/>
      <c r="Y1390" s="679"/>
      <c r="Z1390" s="730"/>
      <c r="AA1390" s="678"/>
    </row>
    <row r="1391" spans="1:27" s="593" customFormat="1">
      <c r="A1391" s="679"/>
      <c r="B1391" s="816" t="s">
        <v>2391</v>
      </c>
      <c r="C1391" s="511"/>
      <c r="D1391" s="511"/>
      <c r="E1391" s="816"/>
      <c r="F1391" s="816"/>
      <c r="G1391" s="1754">
        <v>1.0136099999999999</v>
      </c>
      <c r="H1391" s="1591">
        <v>739.93299999999988</v>
      </c>
      <c r="I1391" s="612"/>
      <c r="J1391" s="305"/>
      <c r="K1391" s="612"/>
      <c r="L1391" s="612"/>
      <c r="M1391" s="612"/>
      <c r="N1391" s="612"/>
      <c r="O1391" s="612"/>
      <c r="P1391" s="612"/>
      <c r="W1391" s="699"/>
      <c r="X1391" s="612"/>
      <c r="Y1391" s="679"/>
      <c r="Z1391" s="730"/>
      <c r="AA1391" s="678"/>
    </row>
    <row r="1392" spans="1:27" s="593" customFormat="1">
      <c r="A1392" s="679"/>
      <c r="B1392" s="816" t="s">
        <v>2443</v>
      </c>
      <c r="C1392" s="511"/>
      <c r="D1392" s="511"/>
      <c r="E1392" s="816"/>
      <c r="F1392" s="816"/>
      <c r="G1392" s="1754">
        <v>2.0272199999999998</v>
      </c>
      <c r="H1392" s="1591">
        <v>1479.8659999999998</v>
      </c>
      <c r="I1392" s="612"/>
      <c r="J1392" s="1482"/>
      <c r="K1392" s="612"/>
      <c r="L1392" s="612"/>
      <c r="M1392" s="612"/>
      <c r="N1392" s="612"/>
      <c r="O1392" s="612"/>
      <c r="P1392" s="612"/>
      <c r="W1392" s="699"/>
      <c r="X1392" s="612"/>
      <c r="Y1392" s="679"/>
      <c r="Z1392" s="730"/>
      <c r="AA1392" s="678"/>
    </row>
    <row r="1393" spans="1:38" s="593" customFormat="1">
      <c r="A1393" s="679"/>
      <c r="B1393" s="816" t="s">
        <v>2392</v>
      </c>
      <c r="C1393" s="511"/>
      <c r="D1393" s="511"/>
      <c r="E1393" s="816"/>
      <c r="F1393" s="816"/>
      <c r="G1393" s="1754">
        <v>2.0272199999999998</v>
      </c>
      <c r="H1393" s="1591">
        <v>1479.8659999999998</v>
      </c>
      <c r="I1393" s="1482"/>
      <c r="J1393" s="1482"/>
      <c r="K1393" s="612"/>
      <c r="L1393" s="612"/>
      <c r="M1393" s="612"/>
      <c r="N1393" s="612"/>
      <c r="O1393" s="612"/>
      <c r="P1393" s="612"/>
      <c r="W1393" s="699"/>
      <c r="X1393" s="612"/>
      <c r="Y1393" s="679"/>
      <c r="Z1393" s="730"/>
      <c r="AA1393" s="678"/>
    </row>
    <row r="1394" spans="1:38" s="593" customFormat="1">
      <c r="A1394" s="679"/>
      <c r="B1394" s="1875"/>
      <c r="C1394" s="511"/>
      <c r="D1394" s="511"/>
      <c r="E1394" s="816"/>
      <c r="F1394" s="816"/>
      <c r="G1394" s="1754">
        <v>0</v>
      </c>
      <c r="H1394" s="1591">
        <v>0</v>
      </c>
      <c r="I1394" s="1482"/>
      <c r="J1394" s="1482"/>
      <c r="K1394" s="612"/>
      <c r="L1394" s="612"/>
      <c r="M1394" s="612"/>
      <c r="N1394" s="612"/>
      <c r="O1394" s="612"/>
      <c r="P1394" s="612"/>
      <c r="W1394" s="699"/>
      <c r="X1394" s="612"/>
      <c r="Y1394" s="679"/>
      <c r="Z1394" s="730"/>
      <c r="AA1394" s="678"/>
    </row>
    <row r="1395" spans="1:38" s="593" customFormat="1">
      <c r="A1395" s="679"/>
      <c r="B1395" s="816" t="s">
        <v>2642</v>
      </c>
      <c r="C1395" s="511"/>
      <c r="D1395" s="816"/>
      <c r="E1395" s="1876"/>
      <c r="F1395" s="1876"/>
      <c r="G1395" s="1754">
        <v>7.3829999999999993E-2</v>
      </c>
      <c r="H1395" s="1591">
        <v>53.89589999999999</v>
      </c>
      <c r="I1395" s="1482"/>
      <c r="J1395" s="1482"/>
      <c r="K1395" s="612"/>
      <c r="L1395" s="612"/>
      <c r="M1395" s="612"/>
      <c r="N1395" s="612"/>
      <c r="O1395" s="612"/>
      <c r="P1395" s="612"/>
      <c r="W1395" s="699"/>
      <c r="X1395" s="612"/>
      <c r="Y1395" s="679"/>
      <c r="Z1395" s="730"/>
      <c r="AA1395" s="678"/>
    </row>
    <row r="1396" spans="1:38" s="593" customFormat="1">
      <c r="A1396" s="679"/>
      <c r="B1396" s="816" t="s">
        <v>2643</v>
      </c>
      <c r="C1396" s="511"/>
      <c r="D1396" s="816"/>
      <c r="E1396" s="1876"/>
      <c r="F1396" s="1876"/>
      <c r="G1396" s="1754">
        <v>0.14765999999999999</v>
      </c>
      <c r="H1396" s="1591">
        <v>107.79179999999998</v>
      </c>
      <c r="I1396" s="1482"/>
      <c r="J1396" s="1482"/>
      <c r="K1396" s="612"/>
      <c r="L1396" s="612"/>
      <c r="M1396" s="612"/>
      <c r="N1396" s="612"/>
      <c r="O1396" s="612"/>
      <c r="P1396" s="612"/>
      <c r="W1396" s="699"/>
      <c r="X1396" s="612"/>
      <c r="Y1396" s="679"/>
      <c r="Z1396" s="730"/>
      <c r="AA1396" s="678"/>
    </row>
    <row r="1397" spans="1:38" s="593" customFormat="1">
      <c r="A1397" s="679"/>
      <c r="B1397" s="816" t="s">
        <v>2383</v>
      </c>
      <c r="C1397" s="511"/>
      <c r="D1397" s="816"/>
      <c r="E1397" s="1876"/>
      <c r="F1397" s="1876"/>
      <c r="G1397" s="1754">
        <v>0.29531999999999997</v>
      </c>
      <c r="H1397" s="1591">
        <v>215.58359999999996</v>
      </c>
      <c r="I1397" s="1482"/>
      <c r="J1397" s="1482"/>
      <c r="K1397" s="612"/>
      <c r="L1397" s="612"/>
      <c r="M1397" s="612"/>
      <c r="N1397" s="612"/>
      <c r="O1397" s="612"/>
      <c r="P1397" s="612"/>
      <c r="W1397" s="699"/>
      <c r="X1397" s="612"/>
      <c r="Y1397" s="679"/>
      <c r="Z1397" s="730"/>
      <c r="AA1397" s="678"/>
    </row>
    <row r="1398" spans="1:38" s="593" customFormat="1">
      <c r="A1398" s="679"/>
      <c r="B1398" s="816" t="s">
        <v>2440</v>
      </c>
      <c r="C1398" s="511"/>
      <c r="D1398" s="816"/>
      <c r="E1398" s="1876"/>
      <c r="F1398" s="1876"/>
      <c r="G1398" s="1754">
        <v>0.44297999999999993</v>
      </c>
      <c r="H1398" s="1591">
        <v>323.37539999999996</v>
      </c>
      <c r="I1398" s="1482"/>
      <c r="J1398" s="1482"/>
      <c r="K1398" s="612"/>
      <c r="L1398" s="612"/>
      <c r="M1398" s="612"/>
      <c r="N1398" s="612"/>
      <c r="O1398" s="612"/>
      <c r="P1398" s="612"/>
      <c r="W1398" s="699"/>
      <c r="X1398" s="612"/>
      <c r="Y1398" s="679"/>
      <c r="Z1398" s="730"/>
      <c r="AA1398" s="678"/>
    </row>
    <row r="1399" spans="1:38" s="593" customFormat="1">
      <c r="A1399" s="679"/>
      <c r="B1399" s="816" t="s">
        <v>2384</v>
      </c>
      <c r="C1399" s="511"/>
      <c r="D1399" s="816"/>
      <c r="E1399" s="1876"/>
      <c r="F1399" s="1876"/>
      <c r="G1399" s="1754">
        <v>0.59063999999999994</v>
      </c>
      <c r="H1399" s="1591">
        <v>431.16719999999992</v>
      </c>
      <c r="I1399" s="1482"/>
      <c r="J1399" s="1482"/>
      <c r="K1399" s="612"/>
      <c r="L1399" s="612"/>
      <c r="M1399" s="612"/>
      <c r="N1399" s="612"/>
      <c r="O1399" s="612"/>
      <c r="P1399" s="612"/>
      <c r="W1399" s="699"/>
      <c r="X1399" s="612"/>
      <c r="Y1399" s="679"/>
      <c r="Z1399" s="730"/>
      <c r="AA1399" s="678"/>
    </row>
    <row r="1400" spans="1:38" s="593" customFormat="1">
      <c r="A1400" s="679"/>
      <c r="B1400" s="816" t="s">
        <v>2441</v>
      </c>
      <c r="C1400" s="511"/>
      <c r="D1400" s="816"/>
      <c r="E1400" s="1876"/>
      <c r="F1400" s="1876"/>
      <c r="G1400" s="1754">
        <v>0.88595999999999986</v>
      </c>
      <c r="H1400" s="1591">
        <v>646.75079999999991</v>
      </c>
      <c r="I1400" s="1482"/>
      <c r="J1400" s="1482"/>
      <c r="K1400" s="612"/>
      <c r="L1400" s="612"/>
      <c r="M1400" s="612"/>
      <c r="N1400" s="612"/>
      <c r="O1400" s="612"/>
      <c r="P1400" s="612"/>
      <c r="W1400" s="699"/>
      <c r="X1400" s="612"/>
      <c r="Y1400" s="679"/>
      <c r="Z1400" s="730"/>
      <c r="AA1400" s="678"/>
    </row>
    <row r="1401" spans="1:38" s="593" customFormat="1">
      <c r="A1401" s="679"/>
      <c r="B1401" s="816" t="s">
        <v>2385</v>
      </c>
      <c r="C1401" s="511"/>
      <c r="D1401" s="816"/>
      <c r="E1401" s="1876"/>
      <c r="F1401" s="1876"/>
      <c r="G1401" s="1754">
        <v>1.1812799999999999</v>
      </c>
      <c r="H1401" s="1591">
        <v>862.33439999999985</v>
      </c>
      <c r="I1401" s="1482"/>
      <c r="J1401" s="1482"/>
      <c r="K1401" s="612"/>
      <c r="L1401" s="612"/>
      <c r="M1401" s="612"/>
      <c r="N1401" s="612"/>
      <c r="O1401" s="612"/>
      <c r="P1401" s="612"/>
      <c r="W1401" s="699"/>
      <c r="X1401" s="612"/>
      <c r="Y1401" s="679"/>
      <c r="Z1401" s="730"/>
      <c r="AA1401" s="678"/>
    </row>
    <row r="1402" spans="1:38" s="593" customFormat="1">
      <c r="A1402" s="679"/>
      <c r="B1402" s="816" t="s">
        <v>2386</v>
      </c>
      <c r="C1402" s="816"/>
      <c r="D1402" s="816"/>
      <c r="E1402" s="816"/>
      <c r="F1402" s="816"/>
      <c r="G1402" s="1754">
        <v>2.3625599999999998</v>
      </c>
      <c r="H1402" s="1591">
        <v>1724.6687999999997</v>
      </c>
      <c r="I1402" s="1482"/>
      <c r="J1402" s="1482"/>
      <c r="K1402" s="612"/>
      <c r="L1402" s="612"/>
      <c r="M1402" s="612"/>
      <c r="N1402" s="612"/>
      <c r="O1402" s="612"/>
      <c r="P1402" s="612"/>
      <c r="W1402" s="699"/>
      <c r="X1402" s="612"/>
      <c r="Y1402" s="679"/>
      <c r="Z1402" s="730"/>
      <c r="AA1402" s="678"/>
    </row>
    <row r="1403" spans="1:38" s="593" customFormat="1">
      <c r="A1403" s="679"/>
      <c r="B1403" s="816"/>
      <c r="C1403" s="538"/>
      <c r="D1403" s="538"/>
      <c r="E1403" s="1488"/>
      <c r="F1403" s="1488"/>
      <c r="G1403" s="1595"/>
      <c r="H1403" s="1591"/>
      <c r="I1403" s="1482"/>
      <c r="J1403" s="1482"/>
      <c r="K1403" s="612"/>
      <c r="L1403" s="612"/>
      <c r="M1403" s="612"/>
      <c r="N1403" s="612"/>
      <c r="O1403" s="612"/>
      <c r="P1403" s="612"/>
      <c r="W1403" s="699"/>
      <c r="X1403" s="612"/>
      <c r="Y1403" s="679"/>
      <c r="Z1403" s="730"/>
      <c r="AA1403" s="678"/>
    </row>
    <row r="1404" spans="1:38" s="593" customFormat="1">
      <c r="A1404" s="679"/>
      <c r="B1404" s="305"/>
      <c r="C1404" s="305"/>
      <c r="D1404" s="305"/>
      <c r="E1404" s="305"/>
      <c r="F1404" s="305"/>
      <c r="G1404" s="714"/>
      <c r="H1404" s="304"/>
      <c r="I1404" s="304"/>
      <c r="J1404" s="304"/>
      <c r="K1404" s="612"/>
      <c r="L1404" s="612"/>
      <c r="M1404" s="612"/>
      <c r="N1404" s="612"/>
      <c r="O1404" s="612"/>
      <c r="P1404" s="612"/>
      <c r="Q1404" s="612"/>
      <c r="R1404" s="612"/>
      <c r="S1404" s="612"/>
      <c r="T1404" s="612"/>
      <c r="U1404" s="612"/>
      <c r="V1404" s="612"/>
      <c r="W1404" s="761"/>
      <c r="X1404" s="612"/>
      <c r="Y1404" s="679"/>
      <c r="Z1404" s="730"/>
      <c r="AA1404" s="678"/>
    </row>
    <row r="1405" spans="1:38" s="593" customFormat="1">
      <c r="A1405" s="679"/>
      <c r="B1405" s="631" t="s">
        <v>781</v>
      </c>
      <c r="C1405" s="631"/>
      <c r="D1405" s="631"/>
      <c r="E1405" s="631"/>
      <c r="F1405" s="26" t="s">
        <v>147</v>
      </c>
      <c r="G1405" s="333"/>
      <c r="H1405" s="4" t="s">
        <v>219</v>
      </c>
      <c r="I1405" s="165"/>
      <c r="J1405" s="4"/>
      <c r="K1405" s="4"/>
      <c r="L1405" s="4"/>
      <c r="M1405" s="4"/>
      <c r="N1405" s="4"/>
      <c r="O1405" s="4"/>
      <c r="P1405" s="4"/>
      <c r="Q1405" s="4"/>
      <c r="R1405" s="4"/>
      <c r="S1405" s="4"/>
      <c r="T1405" s="4"/>
      <c r="U1405" s="4"/>
      <c r="V1405" s="4"/>
      <c r="W1405" s="89"/>
      <c r="X1405" s="4"/>
      <c r="Y1405" s="53"/>
      <c r="Z1405" s="218"/>
      <c r="AA1405" s="7"/>
      <c r="AB1405" s="333"/>
      <c r="AC1405" s="333"/>
      <c r="AD1405" s="333"/>
      <c r="AE1405" s="333"/>
      <c r="AF1405" s="333"/>
      <c r="AG1405" s="333"/>
      <c r="AH1405" s="333"/>
      <c r="AI1405" s="333"/>
      <c r="AJ1405" s="333"/>
      <c r="AK1405" s="333"/>
      <c r="AL1405" s="333"/>
    </row>
    <row r="1406" spans="1:38" s="593" customFormat="1" ht="43.2">
      <c r="A1406" s="679"/>
      <c r="B1406" s="138" t="s">
        <v>2</v>
      </c>
      <c r="C1406" s="108"/>
      <c r="D1406" s="108"/>
      <c r="E1406" s="108" t="s">
        <v>478</v>
      </c>
      <c r="F1406" s="108" t="s">
        <v>629</v>
      </c>
      <c r="G1406" s="1480" t="s">
        <v>479</v>
      </c>
      <c r="H1406" s="1480" t="s">
        <v>480</v>
      </c>
      <c r="I1406" s="4"/>
      <c r="J1406" s="4"/>
      <c r="K1406" s="4"/>
      <c r="L1406" s="710" t="s">
        <v>481</v>
      </c>
      <c r="M1406" s="4"/>
      <c r="N1406" s="4"/>
      <c r="O1406" s="4"/>
      <c r="P1406" s="4"/>
      <c r="Q1406" s="4"/>
      <c r="R1406" s="4"/>
      <c r="S1406" s="4"/>
      <c r="T1406" s="4"/>
      <c r="U1406" s="4"/>
      <c r="V1406" s="4"/>
      <c r="W1406" s="89"/>
      <c r="X1406" s="4"/>
      <c r="Y1406" s="53"/>
      <c r="Z1406" s="218"/>
      <c r="AA1406" s="7"/>
      <c r="AB1406" s="333"/>
      <c r="AC1406" s="333"/>
      <c r="AD1406" s="333"/>
      <c r="AE1406" s="333"/>
      <c r="AF1406" s="333"/>
      <c r="AG1406" s="333"/>
      <c r="AH1406" s="333"/>
      <c r="AI1406" s="333"/>
      <c r="AJ1406" s="333"/>
      <c r="AK1406" s="333"/>
      <c r="AL1406" s="333"/>
    </row>
    <row r="1407" spans="1:38" s="593" customFormat="1">
      <c r="A1407" s="679"/>
      <c r="B1407" s="816" t="s">
        <v>734</v>
      </c>
      <c r="C1407" s="1850"/>
      <c r="D1407" s="1850"/>
      <c r="E1407" s="1877">
        <v>0.45677999999999996</v>
      </c>
      <c r="F1407" s="1878">
        <f>E1407*730</f>
        <v>333.44939999999997</v>
      </c>
      <c r="G1407" s="1754">
        <v>0</v>
      </c>
      <c r="H1407" s="1869">
        <v>0</v>
      </c>
      <c r="I1407" s="4">
        <v>1.1499999999999999</v>
      </c>
      <c r="J1407" s="4"/>
      <c r="K1407" s="4"/>
      <c r="L1407" s="604"/>
      <c r="M1407" s="4"/>
      <c r="N1407" s="4"/>
      <c r="O1407" s="4"/>
      <c r="P1407" s="4"/>
      <c r="Q1407" s="4"/>
      <c r="R1407" s="4"/>
      <c r="S1407" s="4"/>
      <c r="T1407" s="4"/>
      <c r="U1407" s="4"/>
      <c r="V1407" s="4"/>
      <c r="W1407" s="89"/>
      <c r="X1407" s="4"/>
      <c r="Y1407" s="141"/>
      <c r="Z1407" s="218"/>
      <c r="AA1407" s="66"/>
      <c r="AB1407" s="331"/>
      <c r="AC1407" s="331"/>
      <c r="AD1407" s="331"/>
      <c r="AE1407" s="331"/>
      <c r="AF1407" s="331"/>
      <c r="AG1407" s="331"/>
      <c r="AH1407" s="331"/>
      <c r="AI1407" s="331"/>
      <c r="AJ1407" s="331"/>
      <c r="AK1407" s="331"/>
      <c r="AL1407" s="331"/>
    </row>
    <row r="1408" spans="1:38" s="593" customFormat="1">
      <c r="A1408" s="679"/>
      <c r="B1408" s="816" t="s">
        <v>735</v>
      </c>
      <c r="C1408" s="1850"/>
      <c r="D1408" s="1850"/>
      <c r="E1408" s="1877">
        <v>0.91355999999999993</v>
      </c>
      <c r="F1408" s="1878">
        <f t="shared" ref="F1408:F1439" si="1">E1408*730</f>
        <v>666.89879999999994</v>
      </c>
      <c r="G1408" s="1754">
        <v>0</v>
      </c>
      <c r="H1408" s="1869">
        <v>0</v>
      </c>
      <c r="I1408" s="4"/>
      <c r="J1408" s="4"/>
      <c r="K1408" s="4"/>
      <c r="L1408" s="604"/>
      <c r="M1408" s="4"/>
      <c r="N1408" s="4"/>
      <c r="O1408" s="4"/>
      <c r="P1408" s="4"/>
      <c r="Q1408" s="4"/>
      <c r="R1408" s="4"/>
      <c r="S1408" s="4"/>
      <c r="T1408" s="4"/>
      <c r="U1408" s="4"/>
      <c r="V1408" s="4"/>
      <c r="W1408" s="89"/>
      <c r="X1408" s="4"/>
      <c r="Y1408" s="141"/>
      <c r="Z1408" s="218"/>
      <c r="AA1408" s="66"/>
      <c r="AB1408" s="331"/>
      <c r="AC1408" s="331"/>
      <c r="AD1408" s="331"/>
      <c r="AE1408" s="331"/>
      <c r="AF1408" s="331"/>
      <c r="AG1408" s="331"/>
      <c r="AH1408" s="331"/>
      <c r="AI1408" s="331"/>
      <c r="AJ1408" s="331"/>
      <c r="AK1408" s="331"/>
      <c r="AL1408" s="331"/>
    </row>
    <row r="1409" spans="1:38" s="593" customFormat="1">
      <c r="A1409" s="679"/>
      <c r="B1409" s="816" t="s">
        <v>736</v>
      </c>
      <c r="C1409" s="1850"/>
      <c r="D1409" s="1850"/>
      <c r="E1409" s="1877">
        <v>1.8271199999999999</v>
      </c>
      <c r="F1409" s="1878">
        <f t="shared" si="1"/>
        <v>1333.7975999999999</v>
      </c>
      <c r="G1409" s="1754">
        <v>0</v>
      </c>
      <c r="H1409" s="1869">
        <v>0</v>
      </c>
      <c r="I1409" s="4"/>
      <c r="J1409" s="4"/>
      <c r="K1409" s="4"/>
      <c r="L1409" s="604"/>
      <c r="M1409" s="4"/>
      <c r="N1409" s="4"/>
      <c r="O1409" s="4"/>
      <c r="P1409" s="4"/>
      <c r="Q1409" s="4"/>
      <c r="R1409" s="4"/>
      <c r="S1409" s="4"/>
      <c r="T1409" s="4"/>
      <c r="U1409" s="4"/>
      <c r="V1409" s="4"/>
      <c r="W1409" s="89"/>
      <c r="X1409" s="4"/>
      <c r="Y1409" s="141"/>
      <c r="Z1409" s="218"/>
      <c r="AA1409" s="66"/>
      <c r="AB1409" s="331"/>
      <c r="AC1409" s="331"/>
      <c r="AD1409" s="331"/>
      <c r="AE1409" s="331"/>
      <c r="AF1409" s="331"/>
      <c r="AG1409" s="331"/>
      <c r="AH1409" s="331"/>
      <c r="AI1409" s="331"/>
      <c r="AJ1409" s="331"/>
      <c r="AK1409" s="331"/>
      <c r="AL1409" s="331"/>
    </row>
    <row r="1410" spans="1:38" s="593" customFormat="1">
      <c r="A1410" s="679"/>
      <c r="B1410" s="816" t="s">
        <v>737</v>
      </c>
      <c r="C1410" s="1850"/>
      <c r="D1410" s="1850"/>
      <c r="E1410" s="1877">
        <v>3.6542399999999997</v>
      </c>
      <c r="F1410" s="1878">
        <f t="shared" si="1"/>
        <v>2667.5951999999997</v>
      </c>
      <c r="G1410" s="1754">
        <v>0</v>
      </c>
      <c r="H1410" s="1869">
        <v>0</v>
      </c>
      <c r="I1410" s="4"/>
      <c r="J1410" s="4"/>
      <c r="K1410" s="4"/>
      <c r="L1410" s="604"/>
      <c r="M1410" s="4"/>
      <c r="N1410" s="4"/>
      <c r="O1410" s="4"/>
      <c r="P1410" s="4"/>
      <c r="Q1410" s="4"/>
      <c r="R1410" s="4"/>
      <c r="S1410" s="4"/>
      <c r="T1410" s="4"/>
      <c r="U1410" s="4"/>
      <c r="V1410" s="4"/>
      <c r="W1410" s="89"/>
      <c r="X1410" s="4"/>
      <c r="Y1410" s="141"/>
      <c r="Z1410" s="218"/>
      <c r="AA1410" s="66"/>
      <c r="AB1410" s="331"/>
      <c r="AC1410" s="331"/>
      <c r="AD1410" s="331"/>
      <c r="AE1410" s="331"/>
      <c r="AF1410" s="331"/>
      <c r="AG1410" s="331"/>
      <c r="AH1410" s="331"/>
      <c r="AI1410" s="331"/>
      <c r="AJ1410" s="331"/>
      <c r="AK1410" s="331"/>
      <c r="AL1410" s="331"/>
    </row>
    <row r="1411" spans="1:38" s="593" customFormat="1">
      <c r="A1411" s="679"/>
      <c r="B1411" s="816" t="s">
        <v>738</v>
      </c>
      <c r="C1411" s="1850"/>
      <c r="D1411" s="1850"/>
      <c r="E1411" s="1877">
        <v>6.8517000000000001</v>
      </c>
      <c r="F1411" s="1878">
        <f t="shared" si="1"/>
        <v>5001.741</v>
      </c>
      <c r="G1411" s="1754">
        <v>0</v>
      </c>
      <c r="H1411" s="1869">
        <v>0</v>
      </c>
      <c r="I1411" s="4"/>
      <c r="J1411" s="4"/>
      <c r="K1411" s="4"/>
      <c r="L1411" s="604"/>
      <c r="M1411" s="4"/>
      <c r="N1411" s="4"/>
      <c r="O1411" s="4"/>
      <c r="P1411" s="4"/>
      <c r="Q1411" s="4"/>
      <c r="R1411" s="4"/>
      <c r="S1411" s="4"/>
      <c r="T1411" s="4"/>
      <c r="U1411" s="4"/>
      <c r="V1411" s="4"/>
      <c r="W1411" s="89"/>
      <c r="X1411" s="4"/>
      <c r="Y1411" s="141"/>
      <c r="Z1411" s="218"/>
      <c r="AA1411" s="66"/>
      <c r="AB1411" s="331"/>
      <c r="AC1411" s="331"/>
      <c r="AD1411" s="331"/>
      <c r="AE1411" s="331"/>
      <c r="AF1411" s="331"/>
      <c r="AG1411" s="331"/>
      <c r="AH1411" s="331"/>
      <c r="AI1411" s="331"/>
      <c r="AJ1411" s="331"/>
      <c r="AK1411" s="331"/>
      <c r="AL1411" s="331"/>
    </row>
    <row r="1412" spans="1:38" s="1486" customFormat="1">
      <c r="A1412" s="679"/>
      <c r="B1412" s="816" t="s">
        <v>2813</v>
      </c>
      <c r="C1412" s="511"/>
      <c r="D1412" s="816"/>
      <c r="E1412" s="1877">
        <v>7.3084799999999994</v>
      </c>
      <c r="F1412" s="1878">
        <f t="shared" ref="F1412" si="2">E1412*730</f>
        <v>5335.1903999999995</v>
      </c>
      <c r="G1412" s="1754">
        <v>0</v>
      </c>
      <c r="H1412" s="1869">
        <v>0</v>
      </c>
      <c r="I1412" s="1490"/>
      <c r="J1412" s="1490"/>
      <c r="K1412" s="1490"/>
      <c r="L1412" s="604"/>
      <c r="M1412" s="1490"/>
      <c r="N1412" s="1490"/>
      <c r="O1412" s="1490"/>
      <c r="P1412" s="1490"/>
      <c r="Q1412" s="1490"/>
      <c r="R1412" s="1490"/>
      <c r="S1412" s="1490"/>
      <c r="T1412" s="1490"/>
      <c r="U1412" s="1490"/>
      <c r="V1412" s="1490"/>
      <c r="W1412" s="89"/>
      <c r="X1412" s="1490"/>
      <c r="Y1412" s="141"/>
      <c r="Z1412" s="1492"/>
      <c r="AA1412" s="1193"/>
      <c r="AB1412" s="1498"/>
      <c r="AC1412" s="1498"/>
      <c r="AD1412" s="1498"/>
      <c r="AE1412" s="1498"/>
      <c r="AF1412" s="1498"/>
      <c r="AG1412" s="1498"/>
      <c r="AH1412" s="1498"/>
      <c r="AI1412" s="1498"/>
      <c r="AJ1412" s="1498"/>
      <c r="AK1412" s="1498"/>
      <c r="AL1412" s="1498"/>
    </row>
    <row r="1413" spans="1:38" s="593" customFormat="1">
      <c r="A1413" s="679"/>
      <c r="B1413" s="816" t="s">
        <v>739</v>
      </c>
      <c r="C1413" s="1850"/>
      <c r="D1413" s="1850"/>
      <c r="E1413" s="1879">
        <v>8.67882</v>
      </c>
      <c r="F1413" s="1878">
        <f t="shared" si="1"/>
        <v>6335.5385999999999</v>
      </c>
      <c r="G1413" s="1754">
        <v>0</v>
      </c>
      <c r="H1413" s="1869">
        <v>0</v>
      </c>
      <c r="I1413" s="4"/>
      <c r="J1413" s="4"/>
      <c r="K1413" s="4"/>
      <c r="L1413" s="604"/>
      <c r="M1413" s="4"/>
      <c r="N1413" s="4"/>
      <c r="O1413" s="4"/>
      <c r="P1413" s="4"/>
      <c r="Q1413" s="4"/>
      <c r="R1413" s="4"/>
      <c r="S1413" s="4"/>
      <c r="T1413" s="4"/>
      <c r="U1413" s="4"/>
      <c r="V1413" s="4"/>
      <c r="W1413" s="89"/>
      <c r="X1413" s="4"/>
      <c r="Y1413" s="141"/>
      <c r="Z1413" s="218"/>
      <c r="AA1413" s="66"/>
      <c r="AB1413" s="331"/>
      <c r="AC1413" s="331"/>
      <c r="AD1413" s="331"/>
      <c r="AE1413" s="331"/>
      <c r="AF1413" s="331"/>
      <c r="AG1413" s="331"/>
      <c r="AH1413" s="331"/>
      <c r="AI1413" s="331"/>
      <c r="AJ1413" s="331"/>
      <c r="AK1413" s="331"/>
      <c r="AL1413" s="331"/>
    </row>
    <row r="1414" spans="1:38" s="593" customFormat="1">
      <c r="A1414" s="679"/>
      <c r="B1414" s="1850" t="s">
        <v>2650</v>
      </c>
      <c r="C1414" s="46"/>
      <c r="D1414" s="46"/>
      <c r="E1414" s="1877">
        <v>0.45677999999999996</v>
      </c>
      <c r="F1414" s="1878">
        <f t="shared" si="1"/>
        <v>333.44939999999997</v>
      </c>
      <c r="G1414" s="1754">
        <v>0.858935</v>
      </c>
      <c r="H1414" s="1869">
        <v>610.90645000000006</v>
      </c>
      <c r="I1414" s="774"/>
      <c r="J1414" s="774"/>
      <c r="K1414" s="612"/>
      <c r="L1414" s="1341"/>
      <c r="M1414" s="612"/>
      <c r="N1414" s="612"/>
      <c r="O1414" s="612"/>
      <c r="P1414" s="612"/>
      <c r="Q1414" s="612"/>
      <c r="R1414" s="612"/>
      <c r="S1414" s="612"/>
      <c r="T1414" s="612"/>
      <c r="U1414" s="612"/>
      <c r="V1414" s="612"/>
      <c r="W1414" s="761"/>
      <c r="X1414" s="612"/>
      <c r="Y1414" s="679"/>
      <c r="Z1414" s="730"/>
      <c r="AA1414" s="678"/>
    </row>
    <row r="1415" spans="1:38" s="593" customFormat="1">
      <c r="A1415" s="679"/>
      <c r="B1415" s="1850" t="s">
        <v>2651</v>
      </c>
      <c r="C1415" s="63"/>
      <c r="D1415" s="46"/>
      <c r="E1415" s="1877">
        <v>0.91355999999999993</v>
      </c>
      <c r="F1415" s="1878">
        <f t="shared" si="1"/>
        <v>666.89879999999994</v>
      </c>
      <c r="G1415" s="1754">
        <v>1.7025635000000001</v>
      </c>
      <c r="H1415" s="1869">
        <v>1210.5417500000001</v>
      </c>
      <c r="I1415" s="612"/>
      <c r="J1415" s="612"/>
      <c r="K1415" s="612"/>
      <c r="L1415" s="1341"/>
      <c r="M1415" s="612"/>
      <c r="N1415" s="612"/>
      <c r="O1415" s="612"/>
      <c r="P1415" s="612"/>
      <c r="Q1415" s="612"/>
      <c r="R1415" s="612"/>
      <c r="S1415" s="612"/>
      <c r="T1415" s="612"/>
      <c r="U1415" s="612"/>
      <c r="V1415" s="612"/>
      <c r="W1415" s="761"/>
      <c r="X1415" s="612"/>
      <c r="Y1415" s="679"/>
      <c r="Z1415" s="730"/>
      <c r="AA1415" s="678"/>
    </row>
    <row r="1416" spans="1:38" s="593" customFormat="1">
      <c r="A1416" s="679"/>
      <c r="B1416" s="816" t="s">
        <v>2615</v>
      </c>
      <c r="C1416" s="63"/>
      <c r="D1416" s="46"/>
      <c r="E1416" s="1877">
        <v>0.45677999999999996</v>
      </c>
      <c r="F1416" s="1878">
        <f t="shared" si="1"/>
        <v>333.44939999999997</v>
      </c>
      <c r="G1416" s="1754">
        <v>0.85893500000000012</v>
      </c>
      <c r="H1416" s="1869">
        <v>610.90645000000006</v>
      </c>
      <c r="I1416" s="612"/>
      <c r="J1416" s="612"/>
      <c r="K1416" s="612"/>
      <c r="L1416" s="1341"/>
      <c r="M1416" s="612"/>
      <c r="N1416" s="612"/>
      <c r="O1416" s="612"/>
      <c r="P1416" s="612"/>
      <c r="Q1416" s="612"/>
      <c r="R1416" s="612"/>
      <c r="S1416" s="612"/>
      <c r="T1416" s="612"/>
      <c r="U1416" s="612"/>
      <c r="V1416" s="612"/>
      <c r="W1416" s="761"/>
      <c r="X1416" s="612"/>
      <c r="Y1416" s="679"/>
      <c r="Z1416" s="730"/>
      <c r="AA1416" s="678"/>
    </row>
    <row r="1417" spans="1:38" s="593" customFormat="1">
      <c r="A1417" s="679"/>
      <c r="B1417" s="816" t="s">
        <v>2616</v>
      </c>
      <c r="C1417" s="63"/>
      <c r="D1417" s="46"/>
      <c r="E1417" s="1877">
        <v>0.91355999999999993</v>
      </c>
      <c r="F1417" s="1878">
        <f t="shared" si="1"/>
        <v>666.89879999999994</v>
      </c>
      <c r="G1417" s="1754">
        <v>1.7025635000000001</v>
      </c>
      <c r="H1417" s="1869">
        <v>1210.5417500000001</v>
      </c>
      <c r="I1417" s="612"/>
      <c r="J1417" s="1342"/>
      <c r="K1417" s="612"/>
      <c r="L1417" s="1341"/>
      <c r="M1417" s="612"/>
      <c r="N1417" s="612"/>
      <c r="O1417" s="612"/>
      <c r="P1417" s="612"/>
      <c r="Q1417" s="612"/>
      <c r="R1417" s="612"/>
      <c r="S1417" s="612"/>
      <c r="T1417" s="612"/>
      <c r="U1417" s="612"/>
      <c r="V1417" s="612"/>
      <c r="W1417" s="761"/>
      <c r="X1417" s="612"/>
      <c r="Y1417" s="679"/>
      <c r="Z1417" s="730"/>
      <c r="AA1417" s="678"/>
    </row>
    <row r="1418" spans="1:38" s="593" customFormat="1">
      <c r="A1418" s="679"/>
      <c r="B1418" s="816" t="s">
        <v>2617</v>
      </c>
      <c r="C1418" s="511"/>
      <c r="D1418" s="816"/>
      <c r="E1418" s="1877">
        <f>E1417*2</f>
        <v>1.8271199999999999</v>
      </c>
      <c r="F1418" s="1878">
        <f t="shared" si="1"/>
        <v>1333.7975999999999</v>
      </c>
      <c r="G1418" s="1754">
        <v>3.3761585000000003</v>
      </c>
      <c r="H1418" s="1869">
        <v>2399.94535</v>
      </c>
      <c r="I1418" s="612"/>
      <c r="J1418" s="1485"/>
      <c r="K1418" s="1485"/>
      <c r="L1418" s="1485"/>
      <c r="M1418" s="612"/>
      <c r="N1418" s="612"/>
      <c r="O1418" s="612"/>
      <c r="P1418" s="612"/>
      <c r="Q1418" s="612"/>
      <c r="R1418" s="612"/>
      <c r="S1418" s="612"/>
      <c r="T1418" s="612"/>
      <c r="U1418" s="612"/>
      <c r="V1418" s="612"/>
      <c r="W1418" s="761"/>
      <c r="X1418" s="612"/>
      <c r="Y1418" s="679"/>
      <c r="Z1418" s="730"/>
      <c r="AA1418" s="678"/>
    </row>
    <row r="1419" spans="1:38" s="1484" customFormat="1">
      <c r="A1419" s="679"/>
      <c r="B1419" s="816" t="s">
        <v>2624</v>
      </c>
      <c r="C1419" s="63"/>
      <c r="D1419" s="46"/>
      <c r="E1419" s="1877">
        <v>0.45677999999999996</v>
      </c>
      <c r="F1419" s="1878">
        <f t="shared" si="1"/>
        <v>333.44939999999997</v>
      </c>
      <c r="G1419" s="1754">
        <v>0.85893500000000012</v>
      </c>
      <c r="H1419" s="1869">
        <v>610.90644999999995</v>
      </c>
      <c r="I1419" s="612"/>
      <c r="J1419" s="1485"/>
      <c r="K1419" s="1485"/>
      <c r="L1419" s="1485"/>
      <c r="M1419" s="1485"/>
      <c r="N1419" s="612"/>
      <c r="O1419" s="612"/>
      <c r="P1419" s="612"/>
      <c r="Q1419" s="612"/>
      <c r="R1419" s="612"/>
      <c r="S1419" s="612"/>
      <c r="T1419" s="612"/>
      <c r="U1419" s="612"/>
      <c r="V1419" s="612"/>
      <c r="W1419" s="761"/>
      <c r="X1419" s="612"/>
      <c r="Y1419" s="679"/>
      <c r="Z1419" s="730"/>
      <c r="AA1419" s="678"/>
      <c r="AB1419" s="593"/>
      <c r="AC1419" s="593"/>
      <c r="AD1419" s="593"/>
      <c r="AE1419" s="593"/>
      <c r="AF1419" s="593"/>
      <c r="AG1419" s="593"/>
      <c r="AH1419" s="593"/>
      <c r="AI1419" s="593"/>
      <c r="AJ1419" s="593"/>
      <c r="AK1419" s="593"/>
      <c r="AL1419" s="593"/>
    </row>
    <row r="1420" spans="1:38" s="1484" customFormat="1">
      <c r="A1420" s="679"/>
      <c r="B1420" s="816" t="s">
        <v>2366</v>
      </c>
      <c r="C1420" s="511"/>
      <c r="D1420" s="816"/>
      <c r="E1420" s="1877">
        <v>0.45677999999999996</v>
      </c>
      <c r="F1420" s="1878">
        <f t="shared" si="1"/>
        <v>333.44939999999997</v>
      </c>
      <c r="G1420" s="1754">
        <v>0.85918800000000006</v>
      </c>
      <c r="H1420" s="1869">
        <v>610.90645000000006</v>
      </c>
      <c r="I1420" s="612"/>
      <c r="J1420" s="1485"/>
      <c r="K1420" s="1485"/>
      <c r="L1420" s="1485"/>
      <c r="M1420" s="1485"/>
      <c r="N1420" s="612"/>
      <c r="O1420" s="612"/>
      <c r="P1420" s="612"/>
      <c r="Q1420" s="612"/>
      <c r="R1420" s="612"/>
      <c r="S1420" s="612"/>
      <c r="T1420" s="612"/>
      <c r="U1420" s="612"/>
      <c r="V1420" s="612"/>
      <c r="W1420" s="761"/>
      <c r="X1420" s="612"/>
      <c r="Y1420" s="679"/>
      <c r="Z1420" s="730"/>
      <c r="AA1420" s="678"/>
      <c r="AB1420" s="593"/>
      <c r="AC1420" s="593"/>
      <c r="AD1420" s="593"/>
      <c r="AE1420" s="593"/>
      <c r="AF1420" s="593"/>
      <c r="AG1420" s="593"/>
      <c r="AH1420" s="593"/>
      <c r="AI1420" s="593"/>
      <c r="AJ1420" s="593"/>
      <c r="AK1420" s="593"/>
      <c r="AL1420" s="593"/>
    </row>
    <row r="1421" spans="1:38" s="1484" customFormat="1">
      <c r="A1421" s="679"/>
      <c r="B1421" s="816" t="s">
        <v>2367</v>
      </c>
      <c r="C1421" s="511"/>
      <c r="D1421" s="816"/>
      <c r="E1421" s="1877">
        <v>0.91355999999999993</v>
      </c>
      <c r="F1421" s="1878">
        <f t="shared" si="1"/>
        <v>666.89879999999994</v>
      </c>
      <c r="G1421" s="1754">
        <v>1.7029430000000001</v>
      </c>
      <c r="H1421" s="1869">
        <v>1210.7568000000001</v>
      </c>
      <c r="I1421" s="612"/>
      <c r="J1421" s="1485"/>
      <c r="K1421" s="1485"/>
      <c r="L1421" s="1485"/>
      <c r="M1421" s="1485"/>
      <c r="N1421" s="612"/>
      <c r="O1421" s="612"/>
      <c r="P1421" s="612"/>
      <c r="Q1421" s="612"/>
      <c r="R1421" s="612"/>
      <c r="S1421" s="612"/>
      <c r="T1421" s="612"/>
      <c r="U1421" s="612"/>
      <c r="V1421" s="612"/>
      <c r="W1421" s="761"/>
      <c r="X1421" s="612"/>
      <c r="Y1421" s="679"/>
      <c r="Z1421" s="730"/>
      <c r="AA1421" s="678"/>
      <c r="AB1421" s="593"/>
      <c r="AC1421" s="593"/>
      <c r="AD1421" s="593"/>
      <c r="AE1421" s="593"/>
      <c r="AF1421" s="593"/>
      <c r="AG1421" s="593"/>
      <c r="AH1421" s="593"/>
      <c r="AI1421" s="593"/>
      <c r="AJ1421" s="593"/>
      <c r="AK1421" s="593"/>
      <c r="AL1421" s="593"/>
    </row>
    <row r="1422" spans="1:38" s="1484" customFormat="1">
      <c r="A1422" s="679"/>
      <c r="B1422" s="816" t="s">
        <v>2368</v>
      </c>
      <c r="C1422" s="511"/>
      <c r="D1422" s="816"/>
      <c r="E1422" s="1877">
        <v>1.8271199999999999</v>
      </c>
      <c r="F1422" s="1878">
        <f t="shared" si="1"/>
        <v>1333.7975999999999</v>
      </c>
      <c r="G1422" s="1754">
        <v>3.3769175000000007</v>
      </c>
      <c r="H1422" s="1869">
        <v>2400.37545</v>
      </c>
      <c r="I1422" s="612"/>
      <c r="J1422" s="612"/>
      <c r="K1422" s="612"/>
      <c r="L1422" s="1341"/>
      <c r="M1422" s="612"/>
      <c r="N1422" s="612"/>
      <c r="O1422" s="612"/>
      <c r="P1422" s="612"/>
      <c r="Q1422" s="612"/>
      <c r="R1422" s="612"/>
      <c r="S1422" s="612"/>
      <c r="T1422" s="612"/>
      <c r="U1422" s="612"/>
      <c r="V1422" s="612"/>
      <c r="W1422" s="761"/>
      <c r="X1422" s="612"/>
      <c r="Y1422" s="679"/>
      <c r="Z1422" s="730"/>
      <c r="AA1422" s="678"/>
      <c r="AB1422" s="593"/>
      <c r="AC1422" s="593"/>
      <c r="AD1422" s="593"/>
      <c r="AE1422" s="593"/>
      <c r="AF1422" s="593"/>
      <c r="AG1422" s="593"/>
      <c r="AH1422" s="593"/>
      <c r="AI1422" s="593"/>
      <c r="AJ1422" s="593"/>
      <c r="AK1422" s="593"/>
      <c r="AL1422" s="593"/>
    </row>
    <row r="1423" spans="1:38" s="1484" customFormat="1">
      <c r="A1423" s="679"/>
      <c r="B1423" s="816" t="s">
        <v>2395</v>
      </c>
      <c r="C1423" s="511"/>
      <c r="D1423" s="816"/>
      <c r="E1423" s="1877">
        <v>0.45677999999999996</v>
      </c>
      <c r="F1423" s="1878">
        <f t="shared" si="1"/>
        <v>333.44939999999997</v>
      </c>
      <c r="G1423" s="1754">
        <v>0.85918800000000006</v>
      </c>
      <c r="H1423" s="1869">
        <v>611.00765000000001</v>
      </c>
      <c r="I1423" s="612"/>
      <c r="J1423" s="612"/>
      <c r="K1423" s="612"/>
      <c r="L1423" s="1341"/>
      <c r="M1423" s="612"/>
      <c r="N1423" s="612"/>
      <c r="O1423" s="612"/>
      <c r="P1423" s="612"/>
      <c r="Q1423" s="612"/>
      <c r="R1423" s="612"/>
      <c r="S1423" s="612"/>
      <c r="T1423" s="612"/>
      <c r="U1423" s="612"/>
      <c r="V1423" s="612"/>
      <c r="W1423" s="761"/>
      <c r="X1423" s="612"/>
      <c r="Y1423" s="679"/>
      <c r="Z1423" s="730"/>
      <c r="AA1423" s="678"/>
      <c r="AB1423" s="593"/>
      <c r="AC1423" s="593"/>
      <c r="AD1423" s="593"/>
      <c r="AE1423" s="593"/>
      <c r="AF1423" s="593"/>
      <c r="AG1423" s="593"/>
      <c r="AH1423" s="593"/>
      <c r="AI1423" s="593"/>
      <c r="AJ1423" s="593"/>
      <c r="AK1423" s="593"/>
      <c r="AL1423" s="593"/>
    </row>
    <row r="1424" spans="1:38" s="1484" customFormat="1">
      <c r="A1424" s="679"/>
      <c r="B1424" s="816" t="s">
        <v>2396</v>
      </c>
      <c r="C1424" s="511"/>
      <c r="D1424" s="816"/>
      <c r="E1424" s="1877">
        <v>0.91355999999999993</v>
      </c>
      <c r="F1424" s="1878">
        <f t="shared" si="1"/>
        <v>666.89879999999994</v>
      </c>
      <c r="G1424" s="1754">
        <v>1.7029430000000001</v>
      </c>
      <c r="H1424" s="1869">
        <v>1210.7568000000001</v>
      </c>
      <c r="I1424" s="612"/>
      <c r="J1424" s="612"/>
      <c r="K1424" s="612"/>
      <c r="L1424" s="1341"/>
      <c r="M1424" s="612"/>
      <c r="N1424" s="612"/>
      <c r="O1424" s="612"/>
      <c r="P1424" s="612"/>
      <c r="Q1424" s="612"/>
      <c r="R1424" s="612"/>
      <c r="S1424" s="612"/>
      <c r="T1424" s="612"/>
      <c r="U1424" s="612"/>
      <c r="V1424" s="612"/>
      <c r="W1424" s="761"/>
      <c r="X1424" s="612"/>
      <c r="Y1424" s="679"/>
      <c r="Z1424" s="730"/>
      <c r="AA1424" s="678"/>
      <c r="AB1424" s="593"/>
      <c r="AC1424" s="593"/>
      <c r="AD1424" s="593"/>
      <c r="AE1424" s="593"/>
      <c r="AF1424" s="593"/>
      <c r="AG1424" s="593"/>
      <c r="AH1424" s="593"/>
      <c r="AI1424" s="593"/>
      <c r="AJ1424" s="593"/>
      <c r="AK1424" s="593"/>
      <c r="AL1424" s="593"/>
    </row>
    <row r="1425" spans="1:38" s="1484" customFormat="1">
      <c r="A1425" s="679"/>
      <c r="B1425" s="816" t="s">
        <v>2393</v>
      </c>
      <c r="C1425" s="511"/>
      <c r="D1425" s="816"/>
      <c r="E1425" s="1877">
        <v>1.8271199999999999</v>
      </c>
      <c r="F1425" s="1878">
        <f t="shared" si="1"/>
        <v>1333.7975999999999</v>
      </c>
      <c r="G1425" s="1754">
        <v>3.3769175000000007</v>
      </c>
      <c r="H1425" s="1869">
        <v>2400.37545</v>
      </c>
      <c r="I1425" s="612"/>
      <c r="J1425" s="612"/>
      <c r="K1425" s="612"/>
      <c r="L1425" s="1341"/>
      <c r="M1425" s="612"/>
      <c r="N1425" s="612"/>
      <c r="O1425" s="612"/>
      <c r="P1425" s="612"/>
      <c r="Q1425" s="612"/>
      <c r="R1425" s="612"/>
      <c r="S1425" s="612"/>
      <c r="T1425" s="612"/>
      <c r="U1425" s="612"/>
      <c r="V1425" s="612"/>
      <c r="W1425" s="761"/>
      <c r="X1425" s="612"/>
      <c r="Y1425" s="679"/>
      <c r="Z1425" s="730"/>
      <c r="AA1425" s="678"/>
      <c r="AB1425" s="593"/>
      <c r="AC1425" s="593"/>
      <c r="AD1425" s="593"/>
      <c r="AE1425" s="593"/>
      <c r="AF1425" s="593"/>
      <c r="AG1425" s="593"/>
      <c r="AH1425" s="593"/>
      <c r="AI1425" s="593"/>
      <c r="AJ1425" s="593"/>
      <c r="AK1425" s="593"/>
      <c r="AL1425" s="593"/>
    </row>
    <row r="1426" spans="1:38" s="1484" customFormat="1">
      <c r="A1426" s="679"/>
      <c r="B1426" s="816" t="s">
        <v>2378</v>
      </c>
      <c r="C1426" s="511"/>
      <c r="D1426" s="816"/>
      <c r="E1426" s="1877">
        <v>3.6542399999999997</v>
      </c>
      <c r="F1426" s="1878">
        <f t="shared" si="1"/>
        <v>2667.5951999999997</v>
      </c>
      <c r="G1426" s="1754">
        <v>6.5595310000000007</v>
      </c>
      <c r="H1426" s="1869">
        <v>4674.4533000000001</v>
      </c>
      <c r="I1426" s="612"/>
      <c r="J1426" s="612"/>
      <c r="K1426" s="612"/>
      <c r="L1426" s="1341"/>
      <c r="M1426" s="612"/>
      <c r="N1426" s="612"/>
      <c r="O1426" s="612"/>
      <c r="P1426" s="612"/>
      <c r="Q1426" s="612"/>
      <c r="R1426" s="612"/>
      <c r="S1426" s="612"/>
      <c r="T1426" s="612"/>
      <c r="U1426" s="612"/>
      <c r="V1426" s="612"/>
      <c r="W1426" s="761"/>
      <c r="X1426" s="612"/>
      <c r="Y1426" s="679"/>
      <c r="Z1426" s="730"/>
      <c r="AA1426" s="678"/>
      <c r="AB1426" s="593"/>
      <c r="AC1426" s="593"/>
      <c r="AD1426" s="593"/>
      <c r="AE1426" s="593"/>
      <c r="AF1426" s="593"/>
      <c r="AG1426" s="593"/>
      <c r="AH1426" s="593"/>
      <c r="AI1426" s="593"/>
      <c r="AJ1426" s="593"/>
      <c r="AK1426" s="593"/>
      <c r="AL1426" s="593"/>
    </row>
    <row r="1427" spans="1:38" s="1484" customFormat="1">
      <c r="A1427" s="679"/>
      <c r="B1427" s="816" t="s">
        <v>2641</v>
      </c>
      <c r="C1427" s="511"/>
      <c r="D1427" s="816"/>
      <c r="E1427" s="1877">
        <v>7.5468000000000002</v>
      </c>
      <c r="F1427" s="1878">
        <f t="shared" si="1"/>
        <v>5509.1639999999998</v>
      </c>
      <c r="G1427" s="1754">
        <v>15.5788545</v>
      </c>
      <c r="H1427" s="1869">
        <v>11101.8171</v>
      </c>
      <c r="I1427" s="612"/>
      <c r="J1427" s="612"/>
      <c r="K1427" s="612"/>
      <c r="L1427" s="1341"/>
      <c r="M1427" s="612"/>
      <c r="N1427" s="612"/>
      <c r="O1427" s="612"/>
      <c r="P1427" s="612"/>
      <c r="Q1427" s="612"/>
      <c r="R1427" s="612"/>
      <c r="S1427" s="612"/>
      <c r="T1427" s="612"/>
      <c r="U1427" s="612"/>
      <c r="V1427" s="612"/>
      <c r="W1427" s="761"/>
      <c r="X1427" s="612"/>
      <c r="Y1427" s="679"/>
      <c r="Z1427" s="730"/>
      <c r="AA1427" s="678"/>
      <c r="AB1427" s="593"/>
      <c r="AC1427" s="593"/>
      <c r="AD1427" s="593"/>
      <c r="AE1427" s="593"/>
      <c r="AF1427" s="593"/>
      <c r="AG1427" s="593"/>
      <c r="AH1427" s="593"/>
      <c r="AI1427" s="593"/>
      <c r="AJ1427" s="593"/>
      <c r="AK1427" s="593"/>
      <c r="AL1427" s="593"/>
    </row>
    <row r="1428" spans="1:38" s="1484" customFormat="1">
      <c r="A1428" s="679"/>
      <c r="B1428" s="816" t="s">
        <v>2637</v>
      </c>
      <c r="C1428" s="511"/>
      <c r="D1428" s="816"/>
      <c r="E1428" s="1877">
        <v>3.1776</v>
      </c>
      <c r="F1428" s="1878">
        <f t="shared" si="1"/>
        <v>2319.6480000000001</v>
      </c>
      <c r="G1428" s="1754">
        <v>6.5595310000000007</v>
      </c>
      <c r="H1428" s="1869">
        <v>4674.4533000000001</v>
      </c>
      <c r="I1428" s="612"/>
      <c r="J1428" s="612"/>
      <c r="K1428" s="612"/>
      <c r="L1428" s="1341"/>
      <c r="M1428" s="612"/>
      <c r="N1428" s="612"/>
      <c r="O1428" s="612"/>
      <c r="P1428" s="612"/>
      <c r="Q1428" s="612"/>
      <c r="R1428" s="612"/>
      <c r="S1428" s="612"/>
      <c r="T1428" s="612"/>
      <c r="U1428" s="612"/>
      <c r="V1428" s="612"/>
      <c r="W1428" s="761"/>
      <c r="X1428" s="612"/>
      <c r="Y1428" s="679"/>
      <c r="Z1428" s="730"/>
      <c r="AA1428" s="678"/>
      <c r="AB1428" s="593"/>
      <c r="AC1428" s="593"/>
      <c r="AD1428" s="593"/>
      <c r="AE1428" s="593"/>
      <c r="AF1428" s="593"/>
      <c r="AG1428" s="593"/>
      <c r="AH1428" s="593"/>
      <c r="AI1428" s="593"/>
      <c r="AJ1428" s="593"/>
      <c r="AK1428" s="593"/>
      <c r="AL1428" s="593"/>
    </row>
    <row r="1429" spans="1:38" s="1484" customFormat="1">
      <c r="A1429" s="679"/>
      <c r="B1429" s="816" t="s">
        <v>2638</v>
      </c>
      <c r="C1429" s="63"/>
      <c r="D1429" s="46"/>
      <c r="E1429" s="1877">
        <v>5.9580000000000002</v>
      </c>
      <c r="F1429" s="1878">
        <f t="shared" si="1"/>
        <v>4349.34</v>
      </c>
      <c r="G1429" s="1754">
        <v>12.299088999999999</v>
      </c>
      <c r="H1429" s="1869">
        <v>8764.5904500000015</v>
      </c>
      <c r="I1429" s="612"/>
      <c r="J1429" s="773"/>
      <c r="K1429" s="612"/>
      <c r="L1429" s="612"/>
      <c r="M1429" s="612"/>
      <c r="N1429" s="612"/>
      <c r="O1429" s="612"/>
      <c r="P1429" s="612"/>
      <c r="Q1429" s="612"/>
      <c r="R1429" s="612"/>
      <c r="S1429" s="612"/>
      <c r="T1429" s="612"/>
      <c r="U1429" s="612"/>
      <c r="V1429" s="612"/>
      <c r="W1429" s="761"/>
      <c r="X1429" s="612"/>
      <c r="Y1429" s="679"/>
      <c r="Z1429" s="730"/>
      <c r="AA1429" s="678"/>
      <c r="AB1429" s="593"/>
      <c r="AC1429" s="593"/>
      <c r="AD1429" s="593"/>
      <c r="AE1429" s="593"/>
      <c r="AF1429" s="593"/>
      <c r="AG1429" s="593"/>
      <c r="AH1429" s="593"/>
      <c r="AI1429" s="593"/>
      <c r="AJ1429" s="593"/>
      <c r="AK1429" s="593"/>
      <c r="AL1429" s="593"/>
    </row>
    <row r="1430" spans="1:38" s="1484" customFormat="1">
      <c r="A1430" s="679"/>
      <c r="B1430" s="816" t="s">
        <v>2627</v>
      </c>
      <c r="C1430" s="511"/>
      <c r="D1430" s="816"/>
      <c r="E1430" s="1877">
        <v>0.45677999999999996</v>
      </c>
      <c r="F1430" s="1878">
        <f t="shared" si="1"/>
        <v>333.44939999999997</v>
      </c>
      <c r="G1430" s="1754">
        <v>0.85918800000000006</v>
      </c>
      <c r="H1430" s="1869">
        <v>611.00765000000001</v>
      </c>
      <c r="I1430" s="774"/>
      <c r="J1430" s="773"/>
      <c r="K1430" s="612"/>
      <c r="L1430" s="612"/>
      <c r="M1430" s="612"/>
      <c r="N1430" s="612"/>
      <c r="O1430" s="612"/>
      <c r="P1430" s="612"/>
      <c r="Q1430" s="612"/>
      <c r="R1430" s="612"/>
      <c r="S1430" s="612"/>
      <c r="T1430" s="612"/>
      <c r="U1430" s="612"/>
      <c r="V1430" s="612"/>
      <c r="W1430" s="761"/>
      <c r="X1430" s="612"/>
      <c r="Y1430" s="679"/>
      <c r="Z1430" s="730"/>
      <c r="AA1430" s="678"/>
      <c r="AB1430" s="593"/>
      <c r="AC1430" s="593"/>
      <c r="AD1430" s="593"/>
      <c r="AE1430" s="593"/>
      <c r="AF1430" s="593"/>
      <c r="AG1430" s="593"/>
      <c r="AH1430" s="593"/>
      <c r="AI1430" s="593"/>
      <c r="AJ1430" s="593"/>
      <c r="AK1430" s="593"/>
      <c r="AL1430" s="593"/>
    </row>
    <row r="1431" spans="1:38" s="1484" customFormat="1">
      <c r="A1431" s="679"/>
      <c r="B1431" s="816" t="s">
        <v>2632</v>
      </c>
      <c r="C1431" s="511"/>
      <c r="D1431" s="816"/>
      <c r="E1431" s="1877">
        <v>0.45677999999999996</v>
      </c>
      <c r="F1431" s="1878">
        <f t="shared" si="1"/>
        <v>333.44939999999997</v>
      </c>
      <c r="G1431" s="1754">
        <v>0.85918800000000006</v>
      </c>
      <c r="H1431" s="1869">
        <v>611.00765000000001</v>
      </c>
      <c r="I1431" s="774"/>
      <c r="J1431" s="773"/>
      <c r="K1431" s="612"/>
      <c r="L1431" s="612"/>
      <c r="M1431" s="612"/>
      <c r="N1431" s="612"/>
      <c r="O1431" s="612"/>
      <c r="P1431" s="612"/>
      <c r="Q1431" s="612"/>
      <c r="R1431" s="612"/>
      <c r="S1431" s="612"/>
      <c r="T1431" s="612"/>
      <c r="U1431" s="612"/>
      <c r="V1431" s="612"/>
      <c r="W1431" s="761"/>
      <c r="X1431" s="612"/>
      <c r="Y1431" s="679"/>
      <c r="Z1431" s="730"/>
      <c r="AA1431" s="678"/>
      <c r="AB1431" s="593"/>
      <c r="AC1431" s="593"/>
      <c r="AD1431" s="593"/>
      <c r="AE1431" s="593"/>
      <c r="AF1431" s="593"/>
      <c r="AG1431" s="593"/>
      <c r="AH1431" s="593"/>
      <c r="AI1431" s="593"/>
      <c r="AJ1431" s="593"/>
      <c r="AK1431" s="593"/>
      <c r="AL1431" s="593"/>
    </row>
    <row r="1432" spans="1:38" s="1484" customFormat="1">
      <c r="A1432" s="679"/>
      <c r="B1432" s="816" t="s">
        <v>2628</v>
      </c>
      <c r="C1432" s="511"/>
      <c r="D1432" s="816"/>
      <c r="E1432" s="1877">
        <v>0.91355999999999993</v>
      </c>
      <c r="F1432" s="1878">
        <f t="shared" si="1"/>
        <v>666.89879999999994</v>
      </c>
      <c r="G1432" s="1754">
        <v>1.7029430000000001</v>
      </c>
      <c r="H1432" s="1869">
        <v>1210.7568000000001</v>
      </c>
      <c r="I1432" s="774"/>
      <c r="J1432" s="773"/>
      <c r="K1432" s="612"/>
      <c r="L1432" s="612"/>
      <c r="M1432" s="612"/>
      <c r="N1432" s="612"/>
      <c r="O1432" s="612"/>
      <c r="P1432" s="612"/>
      <c r="Q1432" s="612"/>
      <c r="R1432" s="612"/>
      <c r="S1432" s="612"/>
      <c r="T1432" s="612"/>
      <c r="U1432" s="612"/>
      <c r="V1432" s="612"/>
      <c r="W1432" s="761"/>
      <c r="X1432" s="612"/>
      <c r="Y1432" s="679"/>
      <c r="Z1432" s="730"/>
      <c r="AA1432" s="678"/>
      <c r="AB1432" s="593"/>
      <c r="AC1432" s="593"/>
      <c r="AD1432" s="593"/>
      <c r="AE1432" s="593"/>
      <c r="AF1432" s="593"/>
      <c r="AG1432" s="593"/>
      <c r="AH1432" s="593"/>
      <c r="AI1432" s="593"/>
      <c r="AJ1432" s="593"/>
      <c r="AK1432" s="593"/>
      <c r="AL1432" s="593"/>
    </row>
    <row r="1433" spans="1:38" s="1484" customFormat="1">
      <c r="A1433" s="679"/>
      <c r="B1433" s="816" t="s">
        <v>2633</v>
      </c>
      <c r="C1433" s="511"/>
      <c r="D1433" s="816"/>
      <c r="E1433" s="1877">
        <v>0.91355999999999993</v>
      </c>
      <c r="F1433" s="1878">
        <f t="shared" si="1"/>
        <v>666.89879999999994</v>
      </c>
      <c r="G1433" s="1754">
        <v>1.7029430000000001</v>
      </c>
      <c r="H1433" s="1869">
        <v>1210.7568000000001</v>
      </c>
      <c r="I1433" s="774"/>
      <c r="J1433" s="773"/>
      <c r="K1433" s="612"/>
      <c r="L1433" s="612"/>
      <c r="M1433" s="612"/>
      <c r="N1433" s="612"/>
      <c r="O1433" s="612"/>
      <c r="P1433" s="612"/>
      <c r="Q1433" s="612"/>
      <c r="R1433" s="612"/>
      <c r="S1433" s="612"/>
      <c r="T1433" s="612"/>
      <c r="U1433" s="612"/>
      <c r="V1433" s="612"/>
      <c r="W1433" s="761"/>
      <c r="X1433" s="612"/>
      <c r="Y1433" s="679"/>
      <c r="Z1433" s="730"/>
      <c r="AA1433" s="678"/>
      <c r="AB1433" s="593"/>
      <c r="AC1433" s="593"/>
      <c r="AD1433" s="593"/>
      <c r="AE1433" s="593"/>
      <c r="AF1433" s="593"/>
      <c r="AG1433" s="593"/>
      <c r="AH1433" s="593"/>
      <c r="AI1433" s="593"/>
      <c r="AJ1433" s="593"/>
      <c r="AK1433" s="593"/>
      <c r="AL1433" s="593"/>
    </row>
    <row r="1434" spans="1:38" s="1484" customFormat="1">
      <c r="A1434" s="679"/>
      <c r="B1434" s="816" t="s">
        <v>2388</v>
      </c>
      <c r="C1434" s="511"/>
      <c r="D1434" s="816"/>
      <c r="E1434" s="1877">
        <v>1.8271199999999999</v>
      </c>
      <c r="F1434" s="1878">
        <f t="shared" si="1"/>
        <v>1333.7975999999999</v>
      </c>
      <c r="G1434" s="1754">
        <v>3.3769175000000007</v>
      </c>
      <c r="H1434" s="1869">
        <v>2400.37545</v>
      </c>
      <c r="I1434" s="774"/>
      <c r="J1434" s="773"/>
      <c r="K1434" s="612"/>
      <c r="L1434" s="612"/>
      <c r="M1434" s="612"/>
      <c r="N1434" s="612"/>
      <c r="O1434" s="612"/>
      <c r="P1434" s="612"/>
      <c r="Q1434" s="612"/>
      <c r="R1434" s="612"/>
      <c r="S1434" s="612"/>
      <c r="T1434" s="612"/>
      <c r="U1434" s="612"/>
      <c r="V1434" s="612"/>
      <c r="W1434" s="761"/>
      <c r="X1434" s="612"/>
      <c r="Y1434" s="679"/>
      <c r="Z1434" s="730"/>
      <c r="AA1434" s="678"/>
      <c r="AB1434" s="593"/>
      <c r="AC1434" s="593"/>
      <c r="AD1434" s="593"/>
      <c r="AE1434" s="593"/>
      <c r="AF1434" s="593"/>
      <c r="AG1434" s="593"/>
      <c r="AH1434" s="593"/>
      <c r="AI1434" s="593"/>
      <c r="AJ1434" s="593"/>
      <c r="AK1434" s="593"/>
      <c r="AL1434" s="593"/>
    </row>
    <row r="1435" spans="1:38" s="1484" customFormat="1">
      <c r="A1435" s="679"/>
      <c r="B1435" s="816" t="s">
        <v>2389</v>
      </c>
      <c r="C1435" s="511"/>
      <c r="D1435" s="816"/>
      <c r="E1435" s="1877">
        <v>1.8271199999999999</v>
      </c>
      <c r="F1435" s="1878">
        <f t="shared" si="1"/>
        <v>1333.7975999999999</v>
      </c>
      <c r="G1435" s="1754">
        <v>3.3769175000000007</v>
      </c>
      <c r="H1435" s="1869">
        <v>2400.37545</v>
      </c>
      <c r="I1435" s="774"/>
      <c r="J1435" s="773"/>
      <c r="K1435" s="1483"/>
      <c r="L1435" s="1483"/>
      <c r="M1435" s="1483"/>
      <c r="N1435" s="1483"/>
      <c r="O1435" s="1483"/>
      <c r="P1435" s="1483"/>
      <c r="Q1435" s="1483"/>
      <c r="R1435" s="1483"/>
      <c r="S1435" s="1483"/>
      <c r="T1435" s="1483"/>
      <c r="U1435" s="1483"/>
      <c r="V1435" s="1483"/>
      <c r="W1435" s="761"/>
      <c r="X1435" s="1483"/>
      <c r="Y1435" s="679"/>
      <c r="Z1435" s="730"/>
      <c r="AA1435" s="678"/>
    </row>
    <row r="1436" spans="1:38" s="1484" customFormat="1">
      <c r="A1436" s="679"/>
      <c r="B1436" s="816" t="s">
        <v>2442</v>
      </c>
      <c r="C1436" s="511"/>
      <c r="D1436" s="816"/>
      <c r="E1436" s="1877">
        <v>3.6542399999999997</v>
      </c>
      <c r="F1436" s="1878">
        <f t="shared" si="1"/>
        <v>2667.5951999999997</v>
      </c>
      <c r="G1436" s="1754">
        <v>6.5595310000000007</v>
      </c>
      <c r="H1436" s="1869">
        <v>4674.4533000000001</v>
      </c>
      <c r="I1436" s="774"/>
      <c r="J1436" s="773"/>
      <c r="K1436" s="1483"/>
      <c r="L1436" s="1483"/>
      <c r="M1436" s="1483"/>
      <c r="N1436" s="1483"/>
      <c r="O1436" s="1483"/>
      <c r="P1436" s="1483"/>
      <c r="Q1436" s="1483"/>
      <c r="R1436" s="1483"/>
      <c r="S1436" s="1483"/>
      <c r="T1436" s="1483"/>
      <c r="U1436" s="1483"/>
      <c r="V1436" s="1483"/>
      <c r="W1436" s="761"/>
      <c r="X1436" s="1483"/>
      <c r="Y1436" s="679"/>
      <c r="Z1436" s="730"/>
      <c r="AA1436" s="678"/>
    </row>
    <row r="1437" spans="1:38" s="1484" customFormat="1">
      <c r="A1437" s="679"/>
      <c r="B1437" s="816" t="s">
        <v>2391</v>
      </c>
      <c r="C1437" s="511"/>
      <c r="D1437" s="816"/>
      <c r="E1437" s="1877">
        <v>3.6542399999999997</v>
      </c>
      <c r="F1437" s="1878">
        <f t="shared" si="1"/>
        <v>2667.5951999999997</v>
      </c>
      <c r="G1437" s="1754">
        <v>6.5595310000000007</v>
      </c>
      <c r="H1437" s="1869">
        <v>4674.4533000000001</v>
      </c>
      <c r="I1437" s="774"/>
      <c r="J1437" s="773"/>
      <c r="K1437" s="1483"/>
      <c r="L1437" s="1483"/>
      <c r="M1437" s="1483"/>
      <c r="N1437" s="1483"/>
      <c r="O1437" s="1483"/>
      <c r="P1437" s="1483"/>
      <c r="Q1437" s="1483"/>
      <c r="R1437" s="1483"/>
      <c r="S1437" s="1483"/>
      <c r="T1437" s="1483"/>
      <c r="U1437" s="1483"/>
      <c r="V1437" s="1483"/>
      <c r="W1437" s="761"/>
      <c r="X1437" s="1483"/>
      <c r="Y1437" s="679"/>
      <c r="Z1437" s="730"/>
      <c r="AA1437" s="678"/>
    </row>
    <row r="1438" spans="1:38" s="1484" customFormat="1">
      <c r="A1438" s="679"/>
      <c r="B1438" s="816" t="s">
        <v>2443</v>
      </c>
      <c r="C1438" s="511"/>
      <c r="D1438" s="816"/>
      <c r="E1438" s="1877">
        <v>7.3084799999999994</v>
      </c>
      <c r="F1438" s="1878">
        <f t="shared" si="1"/>
        <v>5335.1903999999995</v>
      </c>
      <c r="G1438" s="1754">
        <v>13.119062000000001</v>
      </c>
      <c r="H1438" s="1869">
        <v>9348.9066000000003</v>
      </c>
      <c r="I1438" s="774"/>
      <c r="J1438" s="773"/>
      <c r="K1438" s="1483"/>
      <c r="L1438" s="1483"/>
      <c r="M1438" s="1483"/>
      <c r="N1438" s="1483"/>
      <c r="O1438" s="1483"/>
      <c r="P1438" s="1483"/>
      <c r="Q1438" s="1483"/>
      <c r="R1438" s="1483"/>
      <c r="S1438" s="1483"/>
      <c r="T1438" s="1483"/>
      <c r="U1438" s="1483"/>
      <c r="V1438" s="1483"/>
      <c r="W1438" s="761"/>
      <c r="X1438" s="1483"/>
      <c r="Y1438" s="679"/>
      <c r="Z1438" s="730"/>
      <c r="AA1438" s="678"/>
    </row>
    <row r="1439" spans="1:38" s="1484" customFormat="1">
      <c r="A1439" s="679"/>
      <c r="B1439" s="816" t="s">
        <v>2392</v>
      </c>
      <c r="C1439" s="511"/>
      <c r="D1439" s="816"/>
      <c r="E1439" s="1877">
        <v>7.3084799999999994</v>
      </c>
      <c r="F1439" s="1878">
        <f t="shared" si="1"/>
        <v>5335.1903999999995</v>
      </c>
      <c r="G1439" s="1754">
        <v>13.119062000000001</v>
      </c>
      <c r="H1439" s="1869">
        <v>9348.9066000000003</v>
      </c>
      <c r="I1439" s="774"/>
      <c r="J1439" s="773"/>
      <c r="K1439" s="1483"/>
      <c r="L1439" s="1483"/>
      <c r="M1439" s="1483"/>
      <c r="N1439" s="1483"/>
      <c r="O1439" s="1483"/>
      <c r="P1439" s="1483"/>
      <c r="Q1439" s="1483"/>
      <c r="R1439" s="1483"/>
      <c r="S1439" s="1483"/>
      <c r="T1439" s="1483"/>
      <c r="U1439" s="1483"/>
      <c r="V1439" s="1483"/>
      <c r="W1439" s="761"/>
      <c r="X1439" s="1483"/>
      <c r="Y1439" s="679"/>
      <c r="Z1439" s="730"/>
      <c r="AA1439" s="678"/>
    </row>
    <row r="1440" spans="1:38" s="1484" customFormat="1">
      <c r="A1440" s="679"/>
      <c r="B1440" s="1875"/>
      <c r="C1440" s="511"/>
      <c r="D1440" s="816"/>
      <c r="E1440" s="1877"/>
      <c r="F1440" s="1878"/>
      <c r="G1440" s="1754">
        <v>0</v>
      </c>
      <c r="H1440" s="1869">
        <v>0</v>
      </c>
      <c r="I1440" s="774"/>
      <c r="J1440" s="773"/>
      <c r="K1440" s="1483"/>
      <c r="L1440" s="1483"/>
      <c r="M1440" s="1483"/>
      <c r="N1440" s="1483"/>
      <c r="O1440" s="1483"/>
      <c r="P1440" s="1483"/>
      <c r="Q1440" s="1483"/>
      <c r="R1440" s="1483"/>
      <c r="S1440" s="1483"/>
      <c r="T1440" s="1483"/>
      <c r="U1440" s="1483"/>
      <c r="V1440" s="1483"/>
      <c r="W1440" s="761"/>
      <c r="X1440" s="1483"/>
      <c r="Y1440" s="679"/>
      <c r="Z1440" s="730"/>
      <c r="AA1440" s="678"/>
    </row>
    <row r="1441" spans="1:38" s="1484" customFormat="1">
      <c r="A1441" s="679"/>
      <c r="B1441" s="816" t="s">
        <v>2643</v>
      </c>
      <c r="C1441" s="511"/>
      <c r="D1441" s="816"/>
      <c r="E1441" s="1877">
        <v>0.45677999999999996</v>
      </c>
      <c r="F1441" s="1878">
        <f>E1441*730</f>
        <v>333.44939999999997</v>
      </c>
      <c r="G1441" s="1754">
        <v>0.85893500000000012</v>
      </c>
      <c r="H1441" s="1869">
        <v>610.90645000000006</v>
      </c>
      <c r="I1441" s="774"/>
      <c r="J1441" s="773"/>
      <c r="K1441" s="1483"/>
      <c r="L1441" s="1483"/>
      <c r="M1441" s="1483"/>
      <c r="N1441" s="1483"/>
      <c r="O1441" s="1483"/>
      <c r="P1441" s="1483"/>
      <c r="Q1441" s="1483"/>
      <c r="R1441" s="1483"/>
      <c r="S1441" s="1483"/>
      <c r="T1441" s="1483"/>
      <c r="U1441" s="1483"/>
      <c r="V1441" s="1483"/>
      <c r="W1441" s="761"/>
      <c r="X1441" s="1483"/>
      <c r="Y1441" s="679"/>
      <c r="Z1441" s="730"/>
      <c r="AA1441" s="678"/>
    </row>
    <row r="1442" spans="1:38" s="1484" customFormat="1">
      <c r="A1442" s="679"/>
      <c r="B1442" s="816" t="s">
        <v>2383</v>
      </c>
      <c r="C1442" s="511"/>
      <c r="D1442" s="816"/>
      <c r="E1442" s="1877">
        <v>0.91355999999999993</v>
      </c>
      <c r="F1442" s="1878">
        <f t="shared" ref="F1442:F1451" si="3">E1442*730</f>
        <v>666.89879999999994</v>
      </c>
      <c r="G1442" s="1754">
        <v>1.7025635000000001</v>
      </c>
      <c r="H1442" s="1869">
        <v>1210.5417500000001</v>
      </c>
      <c r="I1442" s="774"/>
      <c r="J1442" s="773"/>
      <c r="K1442" s="1483"/>
      <c r="L1442" s="1483"/>
      <c r="M1442" s="1483"/>
      <c r="N1442" s="1483"/>
      <c r="O1442" s="1483"/>
      <c r="P1442" s="1483"/>
      <c r="Q1442" s="1483"/>
      <c r="R1442" s="1483"/>
      <c r="S1442" s="1483"/>
      <c r="T1442" s="1483"/>
      <c r="U1442" s="1483"/>
      <c r="V1442" s="1483"/>
      <c r="W1442" s="761"/>
      <c r="X1442" s="1483"/>
      <c r="Y1442" s="679"/>
      <c r="Z1442" s="730"/>
      <c r="AA1442" s="678"/>
    </row>
    <row r="1443" spans="1:38" s="1484" customFormat="1">
      <c r="A1443" s="679"/>
      <c r="B1443" s="816" t="s">
        <v>2440</v>
      </c>
      <c r="C1443" s="511"/>
      <c r="D1443" s="816"/>
      <c r="E1443" s="1877">
        <v>1.3703399999999999</v>
      </c>
      <c r="F1443" s="1878">
        <f t="shared" si="3"/>
        <v>1000.3481999999999</v>
      </c>
      <c r="G1443" s="1754">
        <v>2.5775640000000002</v>
      </c>
      <c r="H1443" s="1869">
        <v>1832.7193500000001</v>
      </c>
      <c r="I1443" s="774"/>
      <c r="J1443" s="773"/>
      <c r="K1443" s="1483"/>
      <c r="L1443" s="1483"/>
      <c r="M1443" s="1483"/>
      <c r="N1443" s="1483"/>
      <c r="O1443" s="1483"/>
      <c r="P1443" s="1483"/>
      <c r="Q1443" s="1483"/>
      <c r="R1443" s="1483"/>
      <c r="S1443" s="1483"/>
      <c r="T1443" s="1483"/>
      <c r="U1443" s="1483"/>
      <c r="V1443" s="1483"/>
      <c r="W1443" s="761"/>
      <c r="X1443" s="1483"/>
      <c r="Y1443" s="679"/>
      <c r="Z1443" s="730"/>
      <c r="AA1443" s="678"/>
    </row>
    <row r="1444" spans="1:38" s="1484" customFormat="1">
      <c r="A1444" s="679"/>
      <c r="B1444" s="816" t="s">
        <v>2384</v>
      </c>
      <c r="C1444" s="511"/>
      <c r="D1444" s="816"/>
      <c r="E1444" s="1877">
        <v>1.8271199999999999</v>
      </c>
      <c r="F1444" s="1878">
        <f t="shared" si="3"/>
        <v>1333.7975999999999</v>
      </c>
      <c r="G1444" s="1754">
        <v>3.3769175000000007</v>
      </c>
      <c r="H1444" s="1869">
        <v>2400.37545</v>
      </c>
      <c r="I1444" s="774"/>
      <c r="J1444" s="773"/>
      <c r="K1444" s="1483"/>
      <c r="L1444" s="1483"/>
      <c r="M1444" s="1483"/>
      <c r="N1444" s="1483"/>
      <c r="O1444" s="1483"/>
      <c r="P1444" s="1483"/>
      <c r="Q1444" s="1483"/>
      <c r="R1444" s="1483"/>
      <c r="S1444" s="1483"/>
      <c r="T1444" s="1483"/>
      <c r="U1444" s="1483"/>
      <c r="V1444" s="1483"/>
      <c r="W1444" s="761"/>
      <c r="X1444" s="1483"/>
      <c r="Y1444" s="679"/>
      <c r="Z1444" s="730"/>
      <c r="AA1444" s="678"/>
    </row>
    <row r="1445" spans="1:38" s="1484" customFormat="1">
      <c r="A1445" s="679"/>
      <c r="B1445" s="816" t="s">
        <v>2441</v>
      </c>
      <c r="C1445" s="511"/>
      <c r="D1445" s="816"/>
      <c r="E1445" s="1877">
        <v>2.7406799999999998</v>
      </c>
      <c r="F1445" s="1878">
        <f t="shared" si="3"/>
        <v>2000.6963999999998</v>
      </c>
      <c r="G1445" s="1754">
        <v>5.1076905000000004</v>
      </c>
      <c r="H1445" s="1869">
        <v>3631.6252499999996</v>
      </c>
      <c r="I1445" s="774"/>
      <c r="J1445" s="773"/>
      <c r="K1445" s="1483"/>
      <c r="L1445" s="1483"/>
      <c r="M1445" s="1483"/>
      <c r="N1445" s="1483"/>
      <c r="O1445" s="1483"/>
      <c r="P1445" s="1483"/>
      <c r="Q1445" s="1483"/>
      <c r="R1445" s="1483"/>
      <c r="S1445" s="1483"/>
      <c r="T1445" s="1483"/>
      <c r="U1445" s="1483"/>
      <c r="V1445" s="1483"/>
      <c r="W1445" s="761"/>
      <c r="X1445" s="1483"/>
      <c r="Y1445" s="679"/>
      <c r="Z1445" s="730"/>
      <c r="AA1445" s="678"/>
    </row>
    <row r="1446" spans="1:38" s="1484" customFormat="1">
      <c r="A1446" s="679"/>
      <c r="B1446" s="816" t="s">
        <v>2385</v>
      </c>
      <c r="C1446" s="511"/>
      <c r="D1446" s="816"/>
      <c r="E1446" s="1877">
        <v>3.6542399999999997</v>
      </c>
      <c r="F1446" s="1878">
        <f t="shared" si="3"/>
        <v>2667.5951999999997</v>
      </c>
      <c r="G1446" s="1754">
        <v>6.5595310000000007</v>
      </c>
      <c r="H1446" s="1869">
        <v>4674.4533000000001</v>
      </c>
      <c r="I1446" s="774"/>
      <c r="J1446" s="773"/>
      <c r="K1446" s="1483"/>
      <c r="L1446" s="1483"/>
      <c r="M1446" s="1483"/>
      <c r="N1446" s="1483"/>
      <c r="O1446" s="1483"/>
      <c r="P1446" s="1483"/>
      <c r="Q1446" s="1483"/>
      <c r="R1446" s="1483"/>
      <c r="S1446" s="1483"/>
      <c r="T1446" s="1483"/>
      <c r="U1446" s="1483"/>
      <c r="V1446" s="1483"/>
      <c r="W1446" s="761"/>
      <c r="X1446" s="1483"/>
      <c r="Y1446" s="679"/>
      <c r="Z1446" s="730"/>
      <c r="AA1446" s="678"/>
    </row>
    <row r="1447" spans="1:38" s="1484" customFormat="1">
      <c r="A1447" s="679"/>
      <c r="B1447" s="816" t="s">
        <v>2386</v>
      </c>
      <c r="C1447" s="511"/>
      <c r="D1447" s="816"/>
      <c r="E1447" s="1877">
        <v>7.3084799999999994</v>
      </c>
      <c r="F1447" s="1878">
        <f t="shared" si="3"/>
        <v>5335.1903999999995</v>
      </c>
      <c r="G1447" s="1754">
        <v>13.119062000000001</v>
      </c>
      <c r="H1447" s="1869">
        <v>9348.9066000000003</v>
      </c>
      <c r="I1447" s="774"/>
      <c r="J1447" s="773"/>
      <c r="K1447" s="1483"/>
      <c r="L1447" s="1483"/>
      <c r="M1447" s="1483"/>
      <c r="N1447" s="1483"/>
      <c r="O1447" s="1483"/>
      <c r="P1447" s="1483"/>
      <c r="Q1447" s="1483"/>
      <c r="R1447" s="1483"/>
      <c r="S1447" s="1483"/>
      <c r="T1447" s="1483"/>
      <c r="U1447" s="1483"/>
      <c r="V1447" s="1483"/>
      <c r="W1447" s="761"/>
      <c r="X1447" s="1483"/>
      <c r="Y1447" s="679"/>
      <c r="Z1447" s="730"/>
      <c r="AA1447" s="678"/>
    </row>
    <row r="1448" spans="1:38" s="1484" customFormat="1">
      <c r="A1448" s="679"/>
      <c r="B1448" s="817" t="s">
        <v>2596</v>
      </c>
      <c r="C1448" s="511"/>
      <c r="D1448" s="816"/>
      <c r="E1448" s="1877">
        <v>0.45677999999999996</v>
      </c>
      <c r="F1448" s="1878">
        <f t="shared" si="3"/>
        <v>333.44939999999997</v>
      </c>
      <c r="G1448" s="1754">
        <v>0.85893500000000012</v>
      </c>
      <c r="H1448" s="1869">
        <v>610.90645000000006</v>
      </c>
      <c r="I1448" s="774"/>
      <c r="J1448" s="773"/>
      <c r="K1448" s="1483"/>
      <c r="L1448" s="1483"/>
      <c r="M1448" s="1483"/>
      <c r="N1448" s="1483"/>
      <c r="O1448" s="1483"/>
      <c r="P1448" s="1483"/>
      <c r="Q1448" s="1483"/>
      <c r="R1448" s="1483"/>
      <c r="S1448" s="1483"/>
      <c r="T1448" s="1483"/>
      <c r="U1448" s="1483"/>
      <c r="V1448" s="1483"/>
      <c r="W1448" s="761"/>
      <c r="X1448" s="1483"/>
      <c r="Y1448" s="679"/>
      <c r="Z1448" s="730"/>
      <c r="AA1448" s="678"/>
    </row>
    <row r="1449" spans="1:38" s="1484" customFormat="1">
      <c r="A1449" s="679"/>
      <c r="B1449" s="817" t="s">
        <v>2597</v>
      </c>
      <c r="C1449" s="511"/>
      <c r="D1449" s="816"/>
      <c r="E1449" s="1877">
        <v>0.91355999999999993</v>
      </c>
      <c r="F1449" s="1878">
        <f t="shared" si="3"/>
        <v>666.89879999999994</v>
      </c>
      <c r="G1449" s="1754">
        <v>1.7025635000000001</v>
      </c>
      <c r="H1449" s="1869">
        <v>1210.5417500000001</v>
      </c>
      <c r="I1449" s="774"/>
      <c r="J1449" s="773"/>
      <c r="K1449" s="1483"/>
      <c r="L1449" s="1483"/>
      <c r="M1449" s="1483"/>
      <c r="N1449" s="1483"/>
      <c r="O1449" s="1483"/>
      <c r="P1449" s="1483"/>
      <c r="Q1449" s="1483"/>
      <c r="R1449" s="1483"/>
      <c r="S1449" s="1483"/>
      <c r="T1449" s="1483"/>
      <c r="U1449" s="1483"/>
      <c r="V1449" s="1483"/>
      <c r="W1449" s="761"/>
      <c r="X1449" s="1483"/>
      <c r="Y1449" s="679"/>
      <c r="Z1449" s="730"/>
      <c r="AA1449" s="678"/>
    </row>
    <row r="1450" spans="1:38" s="1484" customFormat="1">
      <c r="A1450" s="679"/>
      <c r="B1450" s="817" t="s">
        <v>2601</v>
      </c>
      <c r="C1450" s="511"/>
      <c r="D1450" s="816"/>
      <c r="E1450" s="1877">
        <v>0.45677999999999996</v>
      </c>
      <c r="F1450" s="1878">
        <f t="shared" si="3"/>
        <v>333.44939999999997</v>
      </c>
      <c r="G1450" s="1754">
        <v>0.85893500000000012</v>
      </c>
      <c r="H1450" s="1869">
        <v>610.90645000000006</v>
      </c>
      <c r="I1450" s="774"/>
      <c r="J1450" s="773"/>
      <c r="K1450" s="1483"/>
      <c r="L1450" s="1483"/>
      <c r="M1450" s="1483"/>
      <c r="N1450" s="1483"/>
      <c r="O1450" s="1483"/>
      <c r="P1450" s="1483"/>
      <c r="Q1450" s="1483"/>
      <c r="R1450" s="1483"/>
      <c r="S1450" s="1483"/>
      <c r="T1450" s="1483"/>
      <c r="U1450" s="1483"/>
      <c r="V1450" s="1483"/>
      <c r="W1450" s="761"/>
      <c r="X1450" s="1483"/>
      <c r="Y1450" s="679"/>
      <c r="Z1450" s="730"/>
      <c r="AA1450" s="678"/>
    </row>
    <row r="1451" spans="1:38" s="1484" customFormat="1">
      <c r="A1451" s="679"/>
      <c r="B1451" s="817" t="s">
        <v>2602</v>
      </c>
      <c r="C1451" s="511"/>
      <c r="D1451" s="816"/>
      <c r="E1451" s="1877">
        <v>0.91355999999999993</v>
      </c>
      <c r="F1451" s="1878">
        <f t="shared" si="3"/>
        <v>666.89879999999994</v>
      </c>
      <c r="G1451" s="1754">
        <v>1.7025635000000001</v>
      </c>
      <c r="H1451" s="1869">
        <v>1210.5417500000001</v>
      </c>
      <c r="I1451" s="774"/>
      <c r="J1451" s="773"/>
      <c r="K1451" s="1483"/>
      <c r="L1451" s="1483"/>
      <c r="M1451" s="1483"/>
      <c r="N1451" s="1483"/>
      <c r="O1451" s="1483"/>
      <c r="P1451" s="1483"/>
      <c r="Q1451" s="1483"/>
      <c r="R1451" s="1483"/>
      <c r="S1451" s="1483"/>
      <c r="T1451" s="1483"/>
      <c r="U1451" s="1483"/>
      <c r="V1451" s="1483"/>
      <c r="W1451" s="761"/>
      <c r="X1451" s="1483"/>
      <c r="Y1451" s="679"/>
      <c r="Z1451" s="730"/>
      <c r="AA1451" s="678"/>
    </row>
    <row r="1452" spans="1:38" s="593" customFormat="1">
      <c r="A1452" s="679"/>
      <c r="B1452" s="1365"/>
      <c r="C1452" s="1366"/>
      <c r="D1452" s="1365"/>
      <c r="E1452" s="1367"/>
      <c r="F1452" s="1368"/>
      <c r="G1452" s="1369"/>
      <c r="H1452" s="737"/>
      <c r="I1452" s="774"/>
      <c r="J1452" s="4"/>
      <c r="K1452" s="4"/>
      <c r="L1452" s="4"/>
      <c r="M1452" s="4"/>
      <c r="N1452" s="4"/>
      <c r="O1452" s="4"/>
      <c r="P1452" s="4"/>
      <c r="Q1452" s="4"/>
      <c r="R1452" s="4"/>
      <c r="S1452" s="4"/>
      <c r="T1452" s="4"/>
      <c r="U1452" s="4"/>
      <c r="V1452" s="4"/>
      <c r="W1452" s="89"/>
      <c r="X1452" s="4"/>
      <c r="Y1452" s="1186"/>
      <c r="Z1452" s="1192"/>
      <c r="AA1452" s="1187"/>
      <c r="AB1452" s="1185"/>
      <c r="AC1452" s="1185"/>
      <c r="AD1452" s="1185"/>
      <c r="AE1452" s="1185"/>
      <c r="AF1452" s="1185"/>
      <c r="AG1452" s="1185"/>
      <c r="AH1452" s="1185"/>
      <c r="AI1452" s="1185"/>
      <c r="AJ1452" s="1185"/>
      <c r="AK1452" s="1185"/>
      <c r="AL1452" s="1185"/>
    </row>
    <row r="1453" spans="1:38" s="593" customFormat="1">
      <c r="A1453" s="679"/>
      <c r="B1453" s="631" t="s">
        <v>682</v>
      </c>
      <c r="C1453" s="631"/>
      <c r="D1453" s="631"/>
      <c r="E1453" s="631"/>
      <c r="F1453" s="26" t="s">
        <v>147</v>
      </c>
      <c r="G1453" s="613"/>
      <c r="H1453" s="4" t="s">
        <v>219</v>
      </c>
      <c r="I1453" s="4"/>
      <c r="J1453" s="4"/>
      <c r="K1453" s="4"/>
      <c r="L1453" s="4"/>
      <c r="M1453" s="4"/>
      <c r="N1453" s="4"/>
      <c r="O1453" s="4"/>
      <c r="P1453" s="4"/>
      <c r="Q1453" s="4"/>
      <c r="R1453" s="4"/>
      <c r="S1453" s="4"/>
      <c r="T1453" s="4"/>
      <c r="U1453" s="4"/>
      <c r="V1453" s="4"/>
      <c r="W1453" s="89"/>
      <c r="X1453" s="4"/>
      <c r="Y1453" s="53"/>
      <c r="Z1453" s="218"/>
      <c r="AA1453" s="7"/>
      <c r="AB1453" s="613"/>
      <c r="AC1453" s="613"/>
      <c r="AD1453" s="613"/>
      <c r="AE1453" s="613"/>
      <c r="AF1453" s="613"/>
      <c r="AG1453" s="613"/>
      <c r="AH1453" s="613"/>
      <c r="AI1453" s="613"/>
      <c r="AJ1453" s="613"/>
      <c r="AK1453" s="613"/>
      <c r="AL1453" s="613"/>
    </row>
    <row r="1454" spans="1:38" s="593" customFormat="1" ht="43.2">
      <c r="A1454" s="679"/>
      <c r="B1454" s="138" t="s">
        <v>2</v>
      </c>
      <c r="C1454" s="108"/>
      <c r="D1454" s="108"/>
      <c r="E1454" s="108" t="s">
        <v>478</v>
      </c>
      <c r="F1454" s="108" t="s">
        <v>629</v>
      </c>
      <c r="G1454" s="108" t="s">
        <v>479</v>
      </c>
      <c r="H1454" s="108" t="s">
        <v>480</v>
      </c>
      <c r="I1454" s="4"/>
      <c r="J1454" s="715"/>
      <c r="K1454" s="4"/>
      <c r="L1454" s="4"/>
      <c r="M1454" s="4"/>
      <c r="N1454" s="4"/>
      <c r="O1454" s="4"/>
      <c r="P1454" s="4"/>
      <c r="Q1454" s="4"/>
      <c r="R1454" s="4"/>
      <c r="S1454" s="4"/>
      <c r="T1454" s="4"/>
      <c r="U1454" s="4"/>
      <c r="V1454" s="4"/>
      <c r="W1454" s="89"/>
      <c r="X1454" s="4"/>
      <c r="Y1454" s="53"/>
      <c r="Z1454" s="218"/>
      <c r="AA1454" s="7"/>
      <c r="AB1454" s="613"/>
      <c r="AC1454" s="613"/>
      <c r="AD1454" s="613"/>
      <c r="AE1454" s="613"/>
      <c r="AF1454" s="613"/>
      <c r="AG1454" s="613"/>
      <c r="AH1454" s="613"/>
      <c r="AI1454" s="613"/>
      <c r="AJ1454" s="613"/>
      <c r="AK1454" s="613"/>
      <c r="AL1454" s="613"/>
    </row>
    <row r="1455" spans="1:38" s="593" customFormat="1">
      <c r="A1455" s="679"/>
      <c r="B1455" s="816" t="s">
        <v>734</v>
      </c>
      <c r="C1455" s="816"/>
      <c r="D1455" s="816"/>
      <c r="E1455" s="1877">
        <v>1.4685499999999998</v>
      </c>
      <c r="F1455" s="1880">
        <f>E1455*730</f>
        <v>1072.0414999999998</v>
      </c>
      <c r="G1455" s="1754">
        <v>0</v>
      </c>
      <c r="H1455" s="1869">
        <v>0</v>
      </c>
      <c r="I1455" s="1511">
        <v>1.1499999999999999</v>
      </c>
      <c r="J1455" s="715"/>
      <c r="K1455" s="4"/>
      <c r="L1455" s="4"/>
      <c r="M1455" s="4"/>
      <c r="N1455" s="4"/>
      <c r="O1455" s="4"/>
      <c r="P1455" s="4"/>
      <c r="Q1455" s="4"/>
      <c r="R1455" s="4"/>
      <c r="S1455" s="4"/>
      <c r="T1455" s="4"/>
      <c r="U1455" s="4"/>
      <c r="V1455" s="4"/>
      <c r="W1455" s="89"/>
      <c r="X1455" s="4"/>
      <c r="Y1455" s="53"/>
      <c r="Z1455" s="218"/>
      <c r="AA1455" s="7"/>
      <c r="AB1455" s="613"/>
      <c r="AC1455" s="613"/>
      <c r="AD1455" s="613"/>
      <c r="AE1455" s="613"/>
      <c r="AF1455" s="613"/>
      <c r="AG1455" s="613"/>
      <c r="AH1455" s="613"/>
      <c r="AI1455" s="613"/>
      <c r="AJ1455" s="613"/>
      <c r="AK1455" s="613"/>
      <c r="AL1455" s="613"/>
    </row>
    <row r="1456" spans="1:38" s="593" customFormat="1">
      <c r="A1456" s="679"/>
      <c r="B1456" s="816" t="s">
        <v>735</v>
      </c>
      <c r="C1456" s="816"/>
      <c r="D1456" s="816"/>
      <c r="E1456" s="1877">
        <v>2.9370999999999996</v>
      </c>
      <c r="F1456" s="1880">
        <v>2144.0830000000001</v>
      </c>
      <c r="G1456" s="1754">
        <v>0</v>
      </c>
      <c r="H1456" s="1869">
        <v>0</v>
      </c>
      <c r="I1456" s="719"/>
      <c r="J1456" s="715"/>
      <c r="K1456" s="4"/>
      <c r="L1456" s="4"/>
      <c r="M1456" s="4"/>
      <c r="N1456" s="4"/>
      <c r="O1456" s="4"/>
      <c r="P1456" s="4"/>
      <c r="Q1456" s="4"/>
      <c r="R1456" s="4"/>
      <c r="S1456" s="4"/>
      <c r="T1456" s="4"/>
      <c r="U1456" s="4"/>
      <c r="V1456" s="4"/>
      <c r="W1456" s="89"/>
      <c r="X1456" s="4"/>
      <c r="Y1456" s="53"/>
      <c r="Z1456" s="218"/>
      <c r="AA1456" s="7"/>
      <c r="AB1456" s="613"/>
      <c r="AC1456" s="613"/>
      <c r="AD1456" s="613"/>
      <c r="AE1456" s="613"/>
      <c r="AF1456" s="613"/>
      <c r="AG1456" s="613"/>
      <c r="AH1456" s="613"/>
      <c r="AI1456" s="613"/>
      <c r="AJ1456" s="613"/>
      <c r="AK1456" s="613"/>
      <c r="AL1456" s="613"/>
    </row>
    <row r="1457" spans="1:38" s="593" customFormat="1">
      <c r="A1457" s="679"/>
      <c r="B1457" s="816" t="s">
        <v>2264</v>
      </c>
      <c r="C1457" s="816"/>
      <c r="D1457" s="816"/>
      <c r="E1457" s="1877">
        <v>4.4056499999999987</v>
      </c>
      <c r="F1457" s="1880">
        <v>3216.1244999999999</v>
      </c>
      <c r="G1457" s="1754">
        <v>0</v>
      </c>
      <c r="H1457" s="1869">
        <v>0</v>
      </c>
      <c r="I1457" s="719"/>
      <c r="J1457" s="1487"/>
      <c r="K1457" s="1490"/>
      <c r="L1457" s="1490"/>
      <c r="M1457" s="1490"/>
      <c r="N1457" s="1490"/>
      <c r="O1457" s="1490"/>
      <c r="P1457" s="1490"/>
      <c r="Q1457" s="1490"/>
      <c r="R1457" s="1490"/>
      <c r="S1457" s="1490"/>
      <c r="T1457" s="1490"/>
      <c r="U1457" s="1490"/>
      <c r="V1457" s="1490"/>
      <c r="W1457" s="89"/>
      <c r="X1457" s="1490"/>
      <c r="Y1457" s="1491"/>
      <c r="Z1457" s="1492"/>
      <c r="AA1457" s="1493"/>
      <c r="AB1457" s="1489"/>
      <c r="AC1457" s="1489"/>
      <c r="AD1457" s="1489"/>
      <c r="AE1457" s="1489"/>
      <c r="AF1457" s="1489"/>
      <c r="AG1457" s="1489"/>
      <c r="AH1457" s="1489"/>
      <c r="AI1457" s="1489"/>
      <c r="AJ1457" s="1489"/>
      <c r="AK1457" s="1489"/>
      <c r="AL1457" s="1489"/>
    </row>
    <row r="1458" spans="1:38" s="593" customFormat="1">
      <c r="A1458" s="679"/>
      <c r="B1458" s="816" t="s">
        <v>736</v>
      </c>
      <c r="C1458" s="816"/>
      <c r="D1458" s="816"/>
      <c r="E1458" s="1877">
        <v>5.8741999999999992</v>
      </c>
      <c r="F1458" s="1880">
        <v>4288.1660000000002</v>
      </c>
      <c r="G1458" s="1754">
        <v>0</v>
      </c>
      <c r="H1458" s="1869">
        <v>0</v>
      </c>
      <c r="I1458" s="719"/>
      <c r="J1458" s="715"/>
      <c r="K1458" s="4"/>
      <c r="L1458" s="4"/>
      <c r="M1458" s="4"/>
      <c r="N1458" s="4"/>
      <c r="O1458" s="4"/>
      <c r="P1458" s="4"/>
      <c r="Q1458" s="4"/>
      <c r="R1458" s="4"/>
      <c r="S1458" s="4"/>
      <c r="T1458" s="4"/>
      <c r="U1458" s="4"/>
      <c r="V1458" s="4"/>
      <c r="W1458" s="89"/>
      <c r="X1458" s="4"/>
      <c r="Y1458" s="53"/>
      <c r="Z1458" s="218"/>
      <c r="AA1458" s="7"/>
      <c r="AB1458" s="613"/>
      <c r="AC1458" s="613"/>
      <c r="AD1458" s="613"/>
      <c r="AE1458" s="613"/>
      <c r="AF1458" s="613"/>
      <c r="AG1458" s="613"/>
      <c r="AH1458" s="613"/>
      <c r="AI1458" s="613"/>
      <c r="AJ1458" s="613"/>
      <c r="AK1458" s="613"/>
      <c r="AL1458" s="613"/>
    </row>
    <row r="1459" spans="1:38" s="593" customFormat="1">
      <c r="A1459" s="679"/>
      <c r="B1459" s="816" t="s">
        <v>737</v>
      </c>
      <c r="C1459" s="816"/>
      <c r="D1459" s="816"/>
      <c r="E1459" s="1877">
        <v>11.748399999999998</v>
      </c>
      <c r="F1459" s="1880">
        <v>8576.6080000000002</v>
      </c>
      <c r="G1459" s="1754">
        <v>0</v>
      </c>
      <c r="H1459" s="1869">
        <v>0</v>
      </c>
      <c r="I1459" s="719"/>
      <c r="J1459" s="715"/>
      <c r="K1459" s="4"/>
      <c r="L1459" s="4"/>
      <c r="M1459" s="4"/>
      <c r="N1459" s="4"/>
      <c r="O1459" s="4"/>
      <c r="P1459" s="4"/>
      <c r="Q1459" s="4"/>
      <c r="R1459" s="4"/>
      <c r="S1459" s="4"/>
      <c r="T1459" s="4"/>
      <c r="U1459" s="4"/>
      <c r="V1459" s="4"/>
      <c r="W1459" s="89"/>
      <c r="X1459" s="4"/>
      <c r="Y1459" s="53"/>
      <c r="Z1459" s="218"/>
      <c r="AA1459" s="7"/>
      <c r="AB1459" s="613"/>
      <c r="AC1459" s="613"/>
      <c r="AD1459" s="613"/>
      <c r="AE1459" s="613"/>
      <c r="AF1459" s="613"/>
      <c r="AG1459" s="613"/>
      <c r="AH1459" s="613"/>
      <c r="AI1459" s="613"/>
      <c r="AJ1459" s="613"/>
      <c r="AK1459" s="613"/>
      <c r="AL1459" s="613"/>
    </row>
    <row r="1460" spans="1:38" s="593" customFormat="1">
      <c r="A1460" s="679"/>
      <c r="B1460" s="816" t="s">
        <v>2266</v>
      </c>
      <c r="C1460" s="816"/>
      <c r="D1460" s="816"/>
      <c r="E1460" s="1877">
        <v>17.622599999999995</v>
      </c>
      <c r="F1460" s="1880">
        <v>12864.498</v>
      </c>
      <c r="G1460" s="1754">
        <v>0</v>
      </c>
      <c r="H1460" s="1869">
        <v>0</v>
      </c>
      <c r="I1460" s="719"/>
      <c r="J1460" s="1487"/>
      <c r="K1460" s="1490"/>
      <c r="L1460" s="1490"/>
      <c r="M1460" s="1490"/>
      <c r="N1460" s="1490"/>
      <c r="O1460" s="1490"/>
      <c r="P1460" s="1490"/>
      <c r="Q1460" s="1490"/>
      <c r="R1460" s="1490"/>
      <c r="S1460" s="1490"/>
      <c r="T1460" s="1490"/>
      <c r="U1460" s="1490"/>
      <c r="V1460" s="1490"/>
      <c r="W1460" s="89"/>
      <c r="X1460" s="1490"/>
      <c r="Y1460" s="1491"/>
      <c r="Z1460" s="1492"/>
      <c r="AA1460" s="1493"/>
      <c r="AB1460" s="1489"/>
      <c r="AC1460" s="1489"/>
      <c r="AD1460" s="1489"/>
      <c r="AE1460" s="1489"/>
      <c r="AF1460" s="1489"/>
      <c r="AG1460" s="1489"/>
      <c r="AH1460" s="1489"/>
      <c r="AI1460" s="1489"/>
      <c r="AJ1460" s="1489"/>
      <c r="AK1460" s="1489"/>
      <c r="AL1460" s="1489"/>
    </row>
    <row r="1461" spans="1:38" s="593" customFormat="1">
      <c r="A1461" s="679"/>
      <c r="B1461" s="816" t="s">
        <v>738</v>
      </c>
      <c r="C1461" s="816"/>
      <c r="D1461" s="816"/>
      <c r="E1461" s="1877">
        <v>22.02825</v>
      </c>
      <c r="F1461" s="1880">
        <v>16081.14</v>
      </c>
      <c r="G1461" s="1754">
        <v>0</v>
      </c>
      <c r="H1461" s="1869">
        <v>0</v>
      </c>
      <c r="I1461" s="719"/>
      <c r="J1461" s="715"/>
      <c r="K1461" s="4"/>
      <c r="L1461" s="4"/>
      <c r="M1461" s="4"/>
      <c r="N1461" s="4"/>
      <c r="O1461" s="4"/>
      <c r="P1461" s="4"/>
      <c r="Q1461" s="4"/>
      <c r="R1461" s="4"/>
      <c r="S1461" s="4"/>
      <c r="T1461" s="4"/>
      <c r="U1461" s="4"/>
      <c r="V1461" s="4"/>
      <c r="W1461" s="89"/>
      <c r="X1461" s="4"/>
      <c r="Y1461" s="53"/>
      <c r="Z1461" s="218"/>
      <c r="AA1461" s="7"/>
      <c r="AB1461" s="613"/>
      <c r="AC1461" s="613"/>
      <c r="AD1461" s="613"/>
      <c r="AE1461" s="613"/>
      <c r="AF1461" s="613"/>
      <c r="AG1461" s="613"/>
      <c r="AH1461" s="613"/>
      <c r="AI1461" s="613"/>
      <c r="AJ1461" s="613"/>
      <c r="AK1461" s="613"/>
      <c r="AL1461" s="613"/>
    </row>
    <row r="1462" spans="1:38" s="593" customFormat="1">
      <c r="A1462" s="679"/>
      <c r="B1462" s="816" t="s">
        <v>2263</v>
      </c>
      <c r="C1462" s="816"/>
      <c r="D1462" s="816"/>
      <c r="E1462" s="1877">
        <v>23.496799999999997</v>
      </c>
      <c r="F1462" s="1880">
        <v>17153.216</v>
      </c>
      <c r="G1462" s="1754">
        <v>0</v>
      </c>
      <c r="H1462" s="1869">
        <v>0</v>
      </c>
      <c r="I1462" s="719"/>
      <c r="J1462" s="1487"/>
      <c r="K1462" s="1490"/>
      <c r="L1462" s="1490"/>
      <c r="M1462" s="1490"/>
      <c r="N1462" s="1490"/>
      <c r="O1462" s="1490"/>
      <c r="P1462" s="1490"/>
      <c r="Q1462" s="1490"/>
      <c r="R1462" s="1490"/>
      <c r="S1462" s="1490"/>
      <c r="T1462" s="1490"/>
      <c r="U1462" s="1490"/>
      <c r="V1462" s="1490"/>
      <c r="W1462" s="89"/>
      <c r="X1462" s="1490"/>
      <c r="Y1462" s="1491"/>
      <c r="Z1462" s="1492"/>
      <c r="AA1462" s="1493"/>
      <c r="AB1462" s="1489"/>
      <c r="AC1462" s="1489"/>
      <c r="AD1462" s="1489"/>
      <c r="AE1462" s="1489"/>
      <c r="AF1462" s="1489"/>
      <c r="AG1462" s="1489"/>
      <c r="AH1462" s="1489"/>
      <c r="AI1462" s="1489"/>
      <c r="AJ1462" s="1489"/>
      <c r="AK1462" s="1489"/>
      <c r="AL1462" s="1489"/>
    </row>
    <row r="1463" spans="1:38" s="593" customFormat="1">
      <c r="A1463" s="679"/>
      <c r="B1463" s="816" t="s">
        <v>739</v>
      </c>
      <c r="C1463" s="816"/>
      <c r="D1463" s="816"/>
      <c r="E1463" s="1877">
        <v>27.902449999999998</v>
      </c>
      <c r="F1463" s="1880">
        <v>20369.444</v>
      </c>
      <c r="G1463" s="1754">
        <v>0</v>
      </c>
      <c r="H1463" s="1869">
        <v>0</v>
      </c>
      <c r="I1463" s="719"/>
      <c r="J1463" s="715"/>
      <c r="K1463" s="4"/>
      <c r="L1463" s="4"/>
      <c r="M1463" s="4"/>
      <c r="N1463" s="4"/>
      <c r="O1463" s="4"/>
      <c r="P1463" s="4"/>
      <c r="Q1463" s="4"/>
      <c r="R1463" s="4"/>
      <c r="S1463" s="4"/>
      <c r="T1463" s="4"/>
      <c r="U1463" s="4"/>
      <c r="V1463" s="4"/>
      <c r="W1463" s="89"/>
      <c r="X1463" s="4"/>
      <c r="Y1463" s="53"/>
      <c r="Z1463" s="218"/>
      <c r="AA1463" s="7"/>
      <c r="AB1463" s="613"/>
      <c r="AC1463" s="613"/>
      <c r="AD1463" s="613"/>
      <c r="AE1463" s="613"/>
      <c r="AF1463" s="613"/>
      <c r="AG1463" s="613"/>
      <c r="AH1463" s="613"/>
      <c r="AI1463" s="613"/>
      <c r="AJ1463" s="613"/>
      <c r="AK1463" s="613"/>
      <c r="AL1463" s="613"/>
    </row>
    <row r="1464" spans="1:38" s="593" customFormat="1">
      <c r="A1464" s="679"/>
      <c r="B1464" s="1850" t="s">
        <v>2650</v>
      </c>
      <c r="C1464" s="816"/>
      <c r="D1464" s="816"/>
      <c r="E1464" s="1877">
        <v>1.4685499999999998</v>
      </c>
      <c r="F1464" s="1880">
        <f t="shared" ref="F1464:F1502" si="4">E1464*730</f>
        <v>1072.0414999999998</v>
      </c>
      <c r="G1464" s="1754">
        <v>1.972135</v>
      </c>
      <c r="H1464" s="1869">
        <v>1423.4665499999999</v>
      </c>
      <c r="I1464" s="1342"/>
      <c r="J1464" s="715"/>
      <c r="K1464" s="612"/>
      <c r="L1464" s="612"/>
      <c r="M1464" s="612"/>
      <c r="N1464" s="612"/>
      <c r="O1464" s="612"/>
      <c r="P1464" s="612"/>
      <c r="Q1464" s="612"/>
      <c r="R1464" s="612"/>
      <c r="S1464" s="612"/>
      <c r="T1464" s="612"/>
      <c r="U1464" s="612"/>
      <c r="V1464" s="612"/>
      <c r="W1464" s="761"/>
      <c r="X1464" s="612"/>
      <c r="Y1464" s="679"/>
      <c r="Z1464" s="730"/>
      <c r="AA1464" s="678"/>
    </row>
    <row r="1465" spans="1:38" s="593" customFormat="1">
      <c r="A1465" s="679"/>
      <c r="B1465" s="1850" t="s">
        <v>2651</v>
      </c>
      <c r="C1465" s="816"/>
      <c r="D1465" s="816"/>
      <c r="E1465" s="1877">
        <v>2.9370999999999996</v>
      </c>
      <c r="F1465" s="1880">
        <f t="shared" si="4"/>
        <v>2144.0829999999996</v>
      </c>
      <c r="G1465" s="1754">
        <v>3.9288370000000001</v>
      </c>
      <c r="H1465" s="1869">
        <v>2835.6619499999997</v>
      </c>
      <c r="I1465" s="774"/>
      <c r="J1465" s="715"/>
      <c r="K1465" s="612"/>
      <c r="L1465" s="612"/>
      <c r="M1465" s="612"/>
      <c r="N1465" s="612"/>
      <c r="O1465" s="612"/>
      <c r="P1465" s="612"/>
      <c r="Q1465" s="612"/>
      <c r="R1465" s="612"/>
      <c r="S1465" s="612"/>
      <c r="T1465" s="612"/>
      <c r="U1465" s="612"/>
      <c r="V1465" s="612"/>
      <c r="W1465" s="761"/>
      <c r="X1465" s="612"/>
      <c r="Y1465" s="679"/>
      <c r="Z1465" s="730"/>
      <c r="AA1465" s="678"/>
    </row>
    <row r="1466" spans="1:38" s="593" customFormat="1">
      <c r="A1466" s="679"/>
      <c r="B1466" s="816" t="s">
        <v>2615</v>
      </c>
      <c r="C1466" s="816"/>
      <c r="D1466" s="816"/>
      <c r="E1466" s="1877">
        <v>1.4685499999999998</v>
      </c>
      <c r="F1466" s="1880">
        <f t="shared" si="4"/>
        <v>1072.0414999999998</v>
      </c>
      <c r="G1466" s="1754">
        <v>1.972135</v>
      </c>
      <c r="H1466" s="1869">
        <v>1423.4665499999999</v>
      </c>
      <c r="I1466" s="612"/>
      <c r="J1466" s="715"/>
      <c r="K1466" s="612"/>
      <c r="L1466" s="612"/>
      <c r="M1466" s="612"/>
      <c r="N1466" s="612"/>
      <c r="O1466" s="612"/>
      <c r="P1466" s="612"/>
      <c r="Q1466" s="612"/>
      <c r="R1466" s="612"/>
      <c r="S1466" s="612"/>
      <c r="T1466" s="612"/>
      <c r="U1466" s="612"/>
      <c r="V1466" s="612"/>
      <c r="W1466" s="761"/>
      <c r="X1466" s="612"/>
      <c r="Y1466" s="679"/>
      <c r="Z1466" s="730"/>
      <c r="AA1466" s="678"/>
    </row>
    <row r="1467" spans="1:38" s="593" customFormat="1">
      <c r="A1467" s="679"/>
      <c r="B1467" s="816" t="s">
        <v>2616</v>
      </c>
      <c r="C1467" s="63"/>
      <c r="D1467" s="46"/>
      <c r="E1467" s="1877">
        <v>2.9370999999999996</v>
      </c>
      <c r="F1467" s="1880">
        <f t="shared" si="4"/>
        <v>2144.0829999999996</v>
      </c>
      <c r="G1467" s="1754">
        <v>3.9288370000000001</v>
      </c>
      <c r="H1467" s="1869">
        <v>2835.6619499999997</v>
      </c>
      <c r="I1467" s="612"/>
      <c r="J1467" s="715"/>
      <c r="K1467" s="612"/>
      <c r="L1467" s="612"/>
      <c r="M1467" s="612"/>
      <c r="N1467" s="612"/>
      <c r="O1467" s="612"/>
      <c r="P1467" s="612"/>
      <c r="Q1467" s="612"/>
      <c r="R1467" s="612"/>
      <c r="S1467" s="612"/>
      <c r="T1467" s="612"/>
      <c r="U1467" s="612"/>
      <c r="V1467" s="612"/>
      <c r="W1467" s="761"/>
      <c r="X1467" s="612"/>
      <c r="Y1467" s="679"/>
      <c r="Z1467" s="730"/>
      <c r="AA1467" s="678"/>
    </row>
    <row r="1468" spans="1:38" s="593" customFormat="1">
      <c r="A1468" s="679"/>
      <c r="B1468" s="816" t="s">
        <v>2617</v>
      </c>
      <c r="C1468" s="511"/>
      <c r="D1468" s="816"/>
      <c r="E1468" s="1877">
        <f>E1467*2</f>
        <v>5.8741999999999992</v>
      </c>
      <c r="F1468" s="1880">
        <f t="shared" si="4"/>
        <v>4288.1659999999993</v>
      </c>
      <c r="G1468" s="1754">
        <v>7.8287054999999981</v>
      </c>
      <c r="H1468" s="1869">
        <v>5650.1857499999996</v>
      </c>
      <c r="I1468" s="612"/>
      <c r="J1468" s="715"/>
      <c r="K1468" s="612"/>
      <c r="L1468" s="612"/>
      <c r="M1468" s="612"/>
      <c r="N1468" s="612"/>
      <c r="O1468" s="612"/>
      <c r="P1468" s="612"/>
      <c r="Q1468" s="612"/>
      <c r="R1468" s="612"/>
      <c r="S1468" s="612"/>
      <c r="T1468" s="612"/>
      <c r="U1468" s="612"/>
      <c r="V1468" s="612"/>
      <c r="W1468" s="761"/>
      <c r="X1468" s="612"/>
      <c r="Y1468" s="679"/>
      <c r="Z1468" s="730"/>
      <c r="AA1468" s="678"/>
    </row>
    <row r="1469" spans="1:38" s="593" customFormat="1">
      <c r="A1469" s="679"/>
      <c r="B1469" s="816" t="s">
        <v>2624</v>
      </c>
      <c r="C1469" s="63"/>
      <c r="D1469" s="46"/>
      <c r="E1469" s="1877">
        <v>2.9370999999999996</v>
      </c>
      <c r="F1469" s="1880">
        <f t="shared" si="4"/>
        <v>2144.0829999999996</v>
      </c>
      <c r="G1469" s="1754">
        <v>1.972135</v>
      </c>
      <c r="H1469" s="1869">
        <v>1423.4665499999999</v>
      </c>
      <c r="I1469" s="612"/>
      <c r="J1469" s="715"/>
      <c r="K1469" s="612"/>
      <c r="L1469" s="612"/>
      <c r="M1469" s="612"/>
      <c r="N1469" s="612"/>
      <c r="O1469" s="612"/>
      <c r="P1469" s="612"/>
      <c r="Q1469" s="612"/>
      <c r="R1469" s="612"/>
      <c r="S1469" s="612"/>
      <c r="T1469" s="612"/>
      <c r="U1469" s="612"/>
      <c r="V1469" s="612"/>
      <c r="W1469" s="761"/>
      <c r="X1469" s="612"/>
      <c r="Y1469" s="679"/>
      <c r="Z1469" s="730"/>
      <c r="AA1469" s="678"/>
    </row>
    <row r="1470" spans="1:38" s="1486" customFormat="1">
      <c r="A1470" s="679"/>
      <c r="B1470" s="816" t="s">
        <v>2366</v>
      </c>
      <c r="C1470" s="511"/>
      <c r="D1470" s="816"/>
      <c r="E1470" s="1877">
        <v>1.4685499999999998</v>
      </c>
      <c r="F1470" s="1880">
        <f t="shared" si="4"/>
        <v>1072.0414999999998</v>
      </c>
      <c r="G1470" s="1754">
        <v>1.972135</v>
      </c>
      <c r="H1470" s="1869">
        <v>1423.5045</v>
      </c>
      <c r="I1470" s="612"/>
      <c r="J1470" s="715"/>
      <c r="K1470" s="612"/>
      <c r="L1470" s="612"/>
      <c r="M1470" s="612"/>
      <c r="N1470" s="612"/>
      <c r="O1470" s="612"/>
      <c r="P1470" s="612"/>
      <c r="Q1470" s="612"/>
      <c r="R1470" s="612"/>
      <c r="S1470" s="612"/>
      <c r="T1470" s="612"/>
      <c r="U1470" s="612"/>
      <c r="V1470" s="612"/>
      <c r="W1470" s="761"/>
      <c r="X1470" s="612"/>
      <c r="Y1470" s="679"/>
      <c r="Z1470" s="730"/>
      <c r="AA1470" s="678"/>
      <c r="AB1470" s="593"/>
      <c r="AC1470" s="593"/>
      <c r="AD1470" s="593"/>
      <c r="AE1470" s="593"/>
      <c r="AF1470" s="593"/>
      <c r="AG1470" s="593"/>
      <c r="AH1470" s="593"/>
      <c r="AI1470" s="593"/>
      <c r="AJ1470" s="593"/>
      <c r="AK1470" s="593"/>
      <c r="AL1470" s="593"/>
    </row>
    <row r="1471" spans="1:38" s="1486" customFormat="1">
      <c r="A1471" s="679"/>
      <c r="B1471" s="816" t="s">
        <v>2367</v>
      </c>
      <c r="C1471" s="511"/>
      <c r="D1471" s="816"/>
      <c r="E1471" s="1877">
        <v>2.9370999999999996</v>
      </c>
      <c r="F1471" s="1880">
        <f t="shared" si="4"/>
        <v>2144.0829999999996</v>
      </c>
      <c r="G1471" s="1754">
        <v>3.9288370000000001</v>
      </c>
      <c r="H1471" s="1869">
        <v>2835.7378500000004</v>
      </c>
      <c r="I1471" s="612"/>
      <c r="J1471" s="715"/>
      <c r="K1471" s="612"/>
      <c r="L1471" s="612"/>
      <c r="M1471" s="612"/>
      <c r="N1471" s="612"/>
      <c r="O1471" s="612"/>
      <c r="P1471" s="612"/>
      <c r="Q1471" s="612"/>
      <c r="R1471" s="612"/>
      <c r="S1471" s="612"/>
      <c r="T1471" s="612"/>
      <c r="U1471" s="612"/>
      <c r="V1471" s="612"/>
      <c r="W1471" s="761"/>
      <c r="X1471" s="612"/>
      <c r="Y1471" s="679"/>
      <c r="Z1471" s="730"/>
      <c r="AA1471" s="678"/>
      <c r="AB1471" s="593"/>
      <c r="AC1471" s="593"/>
      <c r="AD1471" s="593"/>
      <c r="AE1471" s="593"/>
      <c r="AF1471" s="593"/>
      <c r="AG1471" s="593"/>
      <c r="AH1471" s="593"/>
      <c r="AI1471" s="593"/>
      <c r="AJ1471" s="593"/>
      <c r="AK1471" s="593"/>
      <c r="AL1471" s="593"/>
    </row>
    <row r="1472" spans="1:38" s="1486" customFormat="1">
      <c r="A1472" s="679"/>
      <c r="B1472" s="816" t="s">
        <v>2368</v>
      </c>
      <c r="C1472" s="511"/>
      <c r="D1472" s="816"/>
      <c r="E1472" s="1877">
        <v>5.8741999999999992</v>
      </c>
      <c r="F1472" s="1880">
        <f t="shared" si="4"/>
        <v>4288.1659999999993</v>
      </c>
      <c r="G1472" s="1754">
        <v>7.8287054999999981</v>
      </c>
      <c r="H1472" s="1869">
        <v>5650.3375500000002</v>
      </c>
      <c r="I1472" s="612"/>
      <c r="J1472" s="715"/>
      <c r="K1472" s="612"/>
      <c r="L1472" s="612"/>
      <c r="M1472" s="612"/>
      <c r="N1472" s="612"/>
      <c r="O1472" s="612"/>
      <c r="P1472" s="612"/>
      <c r="Q1472" s="612"/>
      <c r="R1472" s="612"/>
      <c r="S1472" s="612"/>
      <c r="T1472" s="612"/>
      <c r="U1472" s="612"/>
      <c r="V1472" s="612"/>
      <c r="W1472" s="761"/>
      <c r="X1472" s="612"/>
      <c r="Y1472" s="679"/>
      <c r="Z1472" s="730"/>
      <c r="AA1472" s="678"/>
      <c r="AB1472" s="593"/>
      <c r="AC1472" s="593"/>
      <c r="AD1472" s="593"/>
      <c r="AE1472" s="593"/>
      <c r="AF1472" s="593"/>
      <c r="AG1472" s="593"/>
      <c r="AH1472" s="593"/>
      <c r="AI1472" s="593"/>
      <c r="AJ1472" s="593"/>
      <c r="AK1472" s="593"/>
      <c r="AL1472" s="593"/>
    </row>
    <row r="1473" spans="1:38" s="1486" customFormat="1">
      <c r="A1473" s="679"/>
      <c r="B1473" s="816" t="s">
        <v>2395</v>
      </c>
      <c r="C1473" s="511"/>
      <c r="D1473" s="816"/>
      <c r="E1473" s="1877">
        <v>1.4685499999999998</v>
      </c>
      <c r="F1473" s="1880">
        <f t="shared" si="4"/>
        <v>1072.0414999999998</v>
      </c>
      <c r="G1473" s="1754">
        <v>1.972135</v>
      </c>
      <c r="H1473" s="1869">
        <v>1423.5045</v>
      </c>
      <c r="I1473" s="612"/>
      <c r="J1473" s="715"/>
      <c r="K1473" s="612"/>
      <c r="L1473" s="612"/>
      <c r="M1473" s="612"/>
      <c r="N1473" s="612"/>
      <c r="O1473" s="612"/>
      <c r="P1473" s="612"/>
      <c r="Q1473" s="612"/>
      <c r="R1473" s="612"/>
      <c r="S1473" s="612"/>
      <c r="T1473" s="612"/>
      <c r="U1473" s="612"/>
      <c r="V1473" s="612"/>
      <c r="W1473" s="761"/>
      <c r="X1473" s="612"/>
      <c r="Y1473" s="679"/>
      <c r="Z1473" s="730"/>
      <c r="AA1473" s="678"/>
      <c r="AB1473" s="593"/>
      <c r="AC1473" s="593"/>
      <c r="AD1473" s="593"/>
      <c r="AE1473" s="593"/>
      <c r="AF1473" s="593"/>
      <c r="AG1473" s="593"/>
      <c r="AH1473" s="593"/>
      <c r="AI1473" s="593"/>
      <c r="AJ1473" s="593"/>
      <c r="AK1473" s="593"/>
      <c r="AL1473" s="593"/>
    </row>
    <row r="1474" spans="1:38" s="1486" customFormat="1">
      <c r="A1474" s="679"/>
      <c r="B1474" s="816" t="s">
        <v>2396</v>
      </c>
      <c r="C1474" s="511"/>
      <c r="D1474" s="816"/>
      <c r="E1474" s="1877">
        <v>2.9370999999999996</v>
      </c>
      <c r="F1474" s="1880">
        <f t="shared" si="4"/>
        <v>2144.0829999999996</v>
      </c>
      <c r="G1474" s="1754">
        <v>3.9288370000000001</v>
      </c>
      <c r="H1474" s="1869">
        <v>2835.7378500000004</v>
      </c>
      <c r="I1474" s="612"/>
      <c r="J1474" s="715"/>
      <c r="K1474" s="612"/>
      <c r="L1474" s="612"/>
      <c r="M1474" s="612"/>
      <c r="N1474" s="612"/>
      <c r="O1474" s="612"/>
      <c r="P1474" s="612"/>
      <c r="Q1474" s="612"/>
      <c r="R1474" s="612"/>
      <c r="S1474" s="612"/>
      <c r="T1474" s="612"/>
      <c r="U1474" s="612"/>
      <c r="V1474" s="612"/>
      <c r="W1474" s="761"/>
      <c r="X1474" s="612"/>
      <c r="Y1474" s="679"/>
      <c r="Z1474" s="730"/>
      <c r="AA1474" s="678"/>
      <c r="AB1474" s="593"/>
      <c r="AC1474" s="593"/>
      <c r="AD1474" s="593"/>
      <c r="AE1474" s="593"/>
      <c r="AF1474" s="593"/>
      <c r="AG1474" s="593"/>
      <c r="AH1474" s="593"/>
      <c r="AI1474" s="593"/>
      <c r="AJ1474" s="593"/>
      <c r="AK1474" s="593"/>
      <c r="AL1474" s="593"/>
    </row>
    <row r="1475" spans="1:38" s="1486" customFormat="1">
      <c r="A1475" s="679"/>
      <c r="B1475" s="816" t="s">
        <v>2393</v>
      </c>
      <c r="C1475" s="511"/>
      <c r="D1475" s="816"/>
      <c r="E1475" s="1877">
        <v>5.8741999999999992</v>
      </c>
      <c r="F1475" s="1880">
        <f t="shared" si="4"/>
        <v>4288.1659999999993</v>
      </c>
      <c r="G1475" s="1754">
        <v>7.8287054999999981</v>
      </c>
      <c r="H1475" s="1869">
        <v>5650.3375500000002</v>
      </c>
      <c r="I1475" s="612"/>
      <c r="J1475" s="715"/>
      <c r="K1475" s="612"/>
      <c r="L1475" s="612"/>
      <c r="M1475" s="612"/>
      <c r="N1475" s="612"/>
      <c r="O1475" s="612"/>
      <c r="P1475" s="612"/>
      <c r="Q1475" s="612"/>
      <c r="R1475" s="612"/>
      <c r="S1475" s="612"/>
      <c r="T1475" s="612"/>
      <c r="U1475" s="612"/>
      <c r="V1475" s="612"/>
      <c r="W1475" s="761"/>
      <c r="X1475" s="612"/>
      <c r="Y1475" s="679"/>
      <c r="Z1475" s="730"/>
      <c r="AA1475" s="678"/>
      <c r="AB1475" s="593"/>
      <c r="AC1475" s="593"/>
      <c r="AD1475" s="593"/>
      <c r="AE1475" s="593"/>
      <c r="AF1475" s="593"/>
      <c r="AG1475" s="593"/>
      <c r="AH1475" s="593"/>
      <c r="AI1475" s="593"/>
      <c r="AJ1475" s="593"/>
      <c r="AK1475" s="593"/>
      <c r="AL1475" s="593"/>
    </row>
    <row r="1476" spans="1:38" s="1486" customFormat="1">
      <c r="A1476" s="679"/>
      <c r="B1476" s="816" t="s">
        <v>2378</v>
      </c>
      <c r="C1476" s="511"/>
      <c r="D1476" s="816"/>
      <c r="E1476" s="1877">
        <v>11.748399999999998</v>
      </c>
      <c r="F1476" s="1880">
        <f t="shared" si="4"/>
        <v>8576.3319999999985</v>
      </c>
      <c r="G1476" s="1754">
        <v>15.463106999999999</v>
      </c>
      <c r="H1476" s="1869">
        <v>11174.377499999999</v>
      </c>
      <c r="I1476" s="612"/>
      <c r="J1476" s="715"/>
      <c r="K1476" s="612"/>
      <c r="L1476" s="612"/>
      <c r="M1476" s="612"/>
      <c r="N1476" s="612"/>
      <c r="O1476" s="612"/>
      <c r="P1476" s="612"/>
      <c r="Q1476" s="612"/>
      <c r="R1476" s="612"/>
      <c r="S1476" s="612"/>
      <c r="T1476" s="612"/>
      <c r="U1476" s="612"/>
      <c r="V1476" s="612"/>
      <c r="W1476" s="761"/>
      <c r="X1476" s="612"/>
      <c r="Y1476" s="679"/>
      <c r="Z1476" s="730"/>
      <c r="AA1476" s="678"/>
      <c r="AB1476" s="593"/>
      <c r="AC1476" s="593"/>
      <c r="AD1476" s="593"/>
      <c r="AE1476" s="593"/>
      <c r="AF1476" s="593"/>
      <c r="AG1476" s="593"/>
      <c r="AH1476" s="593"/>
      <c r="AI1476" s="593"/>
      <c r="AJ1476" s="593"/>
      <c r="AK1476" s="593"/>
      <c r="AL1476" s="593"/>
    </row>
    <row r="1477" spans="1:38" s="1486" customFormat="1">
      <c r="A1477" s="679"/>
      <c r="B1477" s="816" t="s">
        <v>2641</v>
      </c>
      <c r="C1477" s="511"/>
      <c r="D1477" s="816"/>
      <c r="E1477" s="1877">
        <v>27.902449999999998</v>
      </c>
      <c r="F1477" s="1880">
        <f t="shared" si="4"/>
        <v>20368.788499999999</v>
      </c>
      <c r="G1477" s="1754">
        <v>36.724847500000003</v>
      </c>
      <c r="H1477" s="1869">
        <v>26539.1181</v>
      </c>
      <c r="I1477" s="612"/>
      <c r="J1477" s="715"/>
      <c r="K1477" s="612"/>
      <c r="L1477" s="612"/>
      <c r="M1477" s="612"/>
      <c r="N1477" s="612"/>
      <c r="O1477" s="612"/>
      <c r="P1477" s="612"/>
      <c r="Q1477" s="612"/>
      <c r="R1477" s="612"/>
      <c r="S1477" s="612"/>
      <c r="T1477" s="612"/>
      <c r="U1477" s="612"/>
      <c r="V1477" s="612"/>
      <c r="W1477" s="761"/>
      <c r="X1477" s="612"/>
      <c r="Y1477" s="679"/>
      <c r="Z1477" s="730"/>
      <c r="AA1477" s="678"/>
      <c r="AB1477" s="593"/>
      <c r="AC1477" s="593"/>
      <c r="AD1477" s="593"/>
      <c r="AE1477" s="593"/>
      <c r="AF1477" s="593"/>
      <c r="AG1477" s="593"/>
      <c r="AH1477" s="593"/>
      <c r="AI1477" s="593"/>
      <c r="AJ1477" s="593"/>
      <c r="AK1477" s="593"/>
      <c r="AL1477" s="593"/>
    </row>
    <row r="1478" spans="1:38" s="1486" customFormat="1">
      <c r="A1478" s="679"/>
      <c r="B1478" s="816" t="s">
        <v>2637</v>
      </c>
      <c r="C1478" s="511"/>
      <c r="D1478" s="816"/>
      <c r="E1478" s="1877">
        <v>11.748399999999998</v>
      </c>
      <c r="F1478" s="1880">
        <f t="shared" si="4"/>
        <v>8576.3319999999985</v>
      </c>
      <c r="G1478" s="1754">
        <v>15.463106999999999</v>
      </c>
      <c r="H1478" s="1869">
        <v>11174.377499999999</v>
      </c>
      <c r="I1478" s="612"/>
      <c r="J1478" s="715"/>
      <c r="K1478" s="612"/>
      <c r="L1478" s="612"/>
      <c r="M1478" s="612"/>
      <c r="N1478" s="612"/>
      <c r="O1478" s="612"/>
      <c r="P1478" s="612"/>
      <c r="Q1478" s="612"/>
      <c r="R1478" s="612"/>
      <c r="S1478" s="612"/>
      <c r="T1478" s="612"/>
      <c r="U1478" s="612"/>
      <c r="V1478" s="612"/>
      <c r="W1478" s="761"/>
      <c r="X1478" s="612"/>
      <c r="Y1478" s="679"/>
      <c r="Z1478" s="730"/>
      <c r="AA1478" s="678"/>
      <c r="AB1478" s="593"/>
      <c r="AC1478" s="593"/>
      <c r="AD1478" s="593"/>
      <c r="AE1478" s="593"/>
      <c r="AF1478" s="593"/>
      <c r="AG1478" s="593"/>
      <c r="AH1478" s="593"/>
      <c r="AI1478" s="593"/>
      <c r="AJ1478" s="593"/>
      <c r="AK1478" s="593"/>
      <c r="AL1478" s="593"/>
    </row>
    <row r="1479" spans="1:38" s="1486" customFormat="1">
      <c r="A1479" s="679"/>
      <c r="B1479" s="816" t="s">
        <v>2638</v>
      </c>
      <c r="C1479" s="511"/>
      <c r="D1479" s="816"/>
      <c r="E1479" s="1877">
        <v>22.02825</v>
      </c>
      <c r="F1479" s="1880">
        <f t="shared" si="4"/>
        <v>16080.622499999999</v>
      </c>
      <c r="G1479" s="1754">
        <v>28.993294000000006</v>
      </c>
      <c r="H1479" s="1869">
        <v>20951.929350000002</v>
      </c>
      <c r="I1479" s="774"/>
      <c r="J1479" s="715"/>
      <c r="K1479" s="612"/>
      <c r="L1479" s="612"/>
      <c r="M1479" s="612"/>
      <c r="N1479" s="612"/>
      <c r="O1479" s="612"/>
      <c r="P1479" s="612"/>
      <c r="Q1479" s="612"/>
      <c r="R1479" s="612"/>
      <c r="S1479" s="612"/>
      <c r="T1479" s="612"/>
      <c r="U1479" s="612"/>
      <c r="V1479" s="612"/>
      <c r="W1479" s="761"/>
      <c r="X1479" s="612"/>
      <c r="Y1479" s="679"/>
      <c r="Z1479" s="730"/>
      <c r="AA1479" s="678"/>
      <c r="AB1479" s="593"/>
      <c r="AC1479" s="593"/>
      <c r="AD1479" s="593"/>
      <c r="AE1479" s="593"/>
      <c r="AF1479" s="593"/>
      <c r="AG1479" s="593"/>
      <c r="AH1479" s="593"/>
      <c r="AI1479" s="593"/>
      <c r="AJ1479" s="593"/>
      <c r="AK1479" s="593"/>
      <c r="AL1479" s="593"/>
    </row>
    <row r="1480" spans="1:38" s="1486" customFormat="1">
      <c r="A1480" s="679"/>
      <c r="B1480" s="816" t="s">
        <v>2627</v>
      </c>
      <c r="C1480" s="511"/>
      <c r="D1480" s="816"/>
      <c r="E1480" s="1877">
        <v>1.4685499999999998</v>
      </c>
      <c r="F1480" s="1880">
        <f t="shared" si="4"/>
        <v>1072.0414999999998</v>
      </c>
      <c r="G1480" s="1754">
        <v>1.972135</v>
      </c>
      <c r="H1480" s="1869">
        <v>1423.5045</v>
      </c>
      <c r="I1480" s="774"/>
      <c r="J1480" s="715"/>
      <c r="K1480" s="612"/>
      <c r="L1480" s="612"/>
      <c r="M1480" s="612"/>
      <c r="N1480" s="612"/>
      <c r="O1480" s="612"/>
      <c r="P1480" s="612"/>
      <c r="Q1480" s="612"/>
      <c r="R1480" s="612"/>
      <c r="S1480" s="612"/>
      <c r="T1480" s="612"/>
      <c r="U1480" s="612"/>
      <c r="V1480" s="612"/>
      <c r="W1480" s="761"/>
      <c r="X1480" s="612"/>
      <c r="Y1480" s="679"/>
      <c r="Z1480" s="730"/>
      <c r="AA1480" s="678"/>
      <c r="AB1480" s="593"/>
      <c r="AC1480" s="593"/>
      <c r="AD1480" s="593"/>
      <c r="AE1480" s="593"/>
      <c r="AF1480" s="593"/>
      <c r="AG1480" s="593"/>
      <c r="AH1480" s="593"/>
      <c r="AI1480" s="593"/>
      <c r="AJ1480" s="593"/>
      <c r="AK1480" s="593"/>
      <c r="AL1480" s="593"/>
    </row>
    <row r="1481" spans="1:38" s="1486" customFormat="1">
      <c r="A1481" s="679"/>
      <c r="B1481" s="816" t="s">
        <v>2632</v>
      </c>
      <c r="C1481" s="511"/>
      <c r="D1481" s="816"/>
      <c r="E1481" s="1877">
        <v>1.4685499999999998</v>
      </c>
      <c r="F1481" s="1880">
        <f t="shared" si="4"/>
        <v>1072.0414999999998</v>
      </c>
      <c r="G1481" s="1754">
        <v>1.972135</v>
      </c>
      <c r="H1481" s="1869">
        <v>1423.5045</v>
      </c>
      <c r="I1481" s="774"/>
      <c r="J1481" s="715"/>
      <c r="K1481" s="612"/>
      <c r="L1481" s="612"/>
      <c r="M1481" s="612"/>
      <c r="N1481" s="612"/>
      <c r="O1481" s="612"/>
      <c r="P1481" s="612"/>
      <c r="Q1481" s="612"/>
      <c r="R1481" s="612"/>
      <c r="S1481" s="612"/>
      <c r="T1481" s="612"/>
      <c r="U1481" s="612"/>
      <c r="V1481" s="612"/>
      <c r="W1481" s="761"/>
      <c r="X1481" s="612"/>
      <c r="Y1481" s="679"/>
      <c r="Z1481" s="730"/>
      <c r="AA1481" s="678"/>
      <c r="AB1481" s="593"/>
      <c r="AC1481" s="593"/>
      <c r="AD1481" s="593"/>
      <c r="AE1481" s="593"/>
      <c r="AF1481" s="593"/>
      <c r="AG1481" s="593"/>
      <c r="AH1481" s="593"/>
      <c r="AI1481" s="593"/>
      <c r="AJ1481" s="593"/>
      <c r="AK1481" s="593"/>
      <c r="AL1481" s="593"/>
    </row>
    <row r="1482" spans="1:38" s="1486" customFormat="1">
      <c r="A1482" s="679"/>
      <c r="B1482" s="816" t="s">
        <v>2628</v>
      </c>
      <c r="C1482" s="511"/>
      <c r="D1482" s="816"/>
      <c r="E1482" s="1877">
        <v>2.9370999999999996</v>
      </c>
      <c r="F1482" s="1880">
        <f t="shared" si="4"/>
        <v>2144.0829999999996</v>
      </c>
      <c r="G1482" s="1754">
        <v>3.9288370000000001</v>
      </c>
      <c r="H1482" s="1869">
        <v>2835.7378500000004</v>
      </c>
      <c r="I1482" s="774"/>
      <c r="J1482" s="715"/>
      <c r="K1482" s="612"/>
      <c r="L1482" s="612"/>
      <c r="M1482" s="612"/>
      <c r="N1482" s="612"/>
      <c r="O1482" s="612"/>
      <c r="P1482" s="612"/>
      <c r="Q1482" s="612"/>
      <c r="R1482" s="612"/>
      <c r="S1482" s="612"/>
      <c r="T1482" s="612"/>
      <c r="U1482" s="612"/>
      <c r="V1482" s="612"/>
      <c r="W1482" s="761"/>
      <c r="X1482" s="612"/>
      <c r="Y1482" s="679"/>
      <c r="Z1482" s="730"/>
      <c r="AA1482" s="678"/>
      <c r="AB1482" s="593"/>
      <c r="AC1482" s="593"/>
      <c r="AD1482" s="593"/>
      <c r="AE1482" s="593"/>
      <c r="AF1482" s="593"/>
      <c r="AG1482" s="593"/>
      <c r="AH1482" s="593"/>
      <c r="AI1482" s="593"/>
      <c r="AJ1482" s="593"/>
      <c r="AK1482" s="593"/>
      <c r="AL1482" s="593"/>
    </row>
    <row r="1483" spans="1:38" s="1486" customFormat="1">
      <c r="A1483" s="679"/>
      <c r="B1483" s="816" t="s">
        <v>2633</v>
      </c>
      <c r="C1483" s="511"/>
      <c r="D1483" s="816"/>
      <c r="E1483" s="1877">
        <v>2.9370999999999996</v>
      </c>
      <c r="F1483" s="1880">
        <f t="shared" si="4"/>
        <v>2144.0829999999996</v>
      </c>
      <c r="G1483" s="1754">
        <v>3.9288370000000001</v>
      </c>
      <c r="H1483" s="1869">
        <v>2835.7378500000004</v>
      </c>
      <c r="I1483" s="774"/>
      <c r="J1483" s="715"/>
      <c r="K1483" s="612"/>
      <c r="L1483" s="612"/>
      <c r="M1483" s="612"/>
      <c r="N1483" s="612"/>
      <c r="O1483" s="612"/>
      <c r="P1483" s="612"/>
      <c r="Q1483" s="612"/>
      <c r="R1483" s="612"/>
      <c r="S1483" s="612"/>
      <c r="T1483" s="612"/>
      <c r="U1483" s="612"/>
      <c r="V1483" s="612"/>
      <c r="W1483" s="761"/>
      <c r="X1483" s="612"/>
      <c r="Y1483" s="679"/>
      <c r="Z1483" s="730"/>
      <c r="AA1483" s="678"/>
      <c r="AB1483" s="593"/>
      <c r="AC1483" s="593"/>
      <c r="AD1483" s="593"/>
      <c r="AE1483" s="593"/>
      <c r="AF1483" s="593"/>
      <c r="AG1483" s="593"/>
      <c r="AH1483" s="593"/>
      <c r="AI1483" s="593"/>
      <c r="AJ1483" s="593"/>
      <c r="AK1483" s="593"/>
      <c r="AL1483" s="593"/>
    </row>
    <row r="1484" spans="1:38" s="1486" customFormat="1">
      <c r="A1484" s="679"/>
      <c r="B1484" s="816" t="s">
        <v>2388</v>
      </c>
      <c r="C1484" s="511"/>
      <c r="D1484" s="816"/>
      <c r="E1484" s="1877">
        <v>5.8741999999999992</v>
      </c>
      <c r="F1484" s="1880">
        <f t="shared" si="4"/>
        <v>4288.1659999999993</v>
      </c>
      <c r="G1484" s="1754">
        <v>7.8287054999999981</v>
      </c>
      <c r="H1484" s="1869">
        <v>5650.3375500000002</v>
      </c>
      <c r="I1484" s="774"/>
      <c r="J1484" s="715"/>
      <c r="K1484" s="612"/>
      <c r="L1484" s="612"/>
      <c r="M1484" s="612"/>
      <c r="N1484" s="612"/>
      <c r="O1484" s="612"/>
      <c r="P1484" s="612"/>
      <c r="Q1484" s="612"/>
      <c r="R1484" s="612"/>
      <c r="S1484" s="612"/>
      <c r="T1484" s="612"/>
      <c r="U1484" s="612"/>
      <c r="V1484" s="612"/>
      <c r="W1484" s="761"/>
      <c r="X1484" s="612"/>
      <c r="Y1484" s="679"/>
      <c r="Z1484" s="730"/>
      <c r="AA1484" s="678"/>
      <c r="AB1484" s="593"/>
      <c r="AC1484" s="593"/>
      <c r="AD1484" s="593"/>
      <c r="AE1484" s="593"/>
      <c r="AF1484" s="593"/>
      <c r="AG1484" s="593"/>
      <c r="AH1484" s="593"/>
      <c r="AI1484" s="593"/>
      <c r="AJ1484" s="593"/>
      <c r="AK1484" s="593"/>
      <c r="AL1484" s="593"/>
    </row>
    <row r="1485" spans="1:38" s="1486" customFormat="1">
      <c r="A1485" s="679"/>
      <c r="B1485" s="816" t="s">
        <v>2389</v>
      </c>
      <c r="C1485" s="511"/>
      <c r="D1485" s="816"/>
      <c r="E1485" s="1877">
        <v>5.8741999999999992</v>
      </c>
      <c r="F1485" s="1880">
        <f t="shared" si="4"/>
        <v>4288.1659999999993</v>
      </c>
      <c r="G1485" s="1754">
        <v>7.8287054999999981</v>
      </c>
      <c r="H1485" s="1869">
        <v>5650.3375500000002</v>
      </c>
      <c r="I1485" s="774"/>
      <c r="J1485" s="715"/>
      <c r="K1485" s="612"/>
      <c r="L1485" s="612"/>
      <c r="M1485" s="612"/>
      <c r="N1485" s="612"/>
      <c r="O1485" s="612"/>
      <c r="P1485" s="612"/>
      <c r="Q1485" s="612"/>
      <c r="R1485" s="612"/>
      <c r="S1485" s="612"/>
      <c r="T1485" s="612"/>
      <c r="U1485" s="612"/>
      <c r="V1485" s="612"/>
      <c r="W1485" s="761"/>
      <c r="X1485" s="612"/>
      <c r="Y1485" s="679"/>
      <c r="Z1485" s="730"/>
      <c r="AA1485" s="678"/>
      <c r="AB1485" s="593"/>
      <c r="AC1485" s="593"/>
      <c r="AD1485" s="593"/>
      <c r="AE1485" s="593"/>
      <c r="AF1485" s="593"/>
      <c r="AG1485" s="593"/>
      <c r="AH1485" s="593"/>
      <c r="AI1485" s="593"/>
      <c r="AJ1485" s="593"/>
      <c r="AK1485" s="593"/>
      <c r="AL1485" s="593"/>
    </row>
    <row r="1486" spans="1:38" s="1486" customFormat="1">
      <c r="A1486" s="679"/>
      <c r="B1486" s="816" t="s">
        <v>2442</v>
      </c>
      <c r="C1486" s="511"/>
      <c r="D1486" s="816"/>
      <c r="E1486" s="1877">
        <v>11.748399999999998</v>
      </c>
      <c r="F1486" s="1880">
        <f t="shared" si="4"/>
        <v>8576.3319999999985</v>
      </c>
      <c r="G1486" s="1754">
        <v>15.463106999999999</v>
      </c>
      <c r="H1486" s="1869">
        <v>11174.377499999999</v>
      </c>
      <c r="I1486" s="774"/>
      <c r="J1486" s="1487"/>
      <c r="K1486" s="1485"/>
      <c r="L1486" s="1485"/>
      <c r="M1486" s="1485"/>
      <c r="N1486" s="1485"/>
      <c r="O1486" s="1485"/>
      <c r="P1486" s="1485"/>
      <c r="Q1486" s="1485"/>
      <c r="R1486" s="1485"/>
      <c r="S1486" s="1485"/>
      <c r="T1486" s="1485"/>
      <c r="U1486" s="1485"/>
      <c r="V1486" s="1485"/>
      <c r="W1486" s="761"/>
      <c r="X1486" s="1485"/>
      <c r="Y1486" s="679"/>
      <c r="Z1486" s="730"/>
      <c r="AA1486" s="678"/>
    </row>
    <row r="1487" spans="1:38" s="1486" customFormat="1">
      <c r="A1487" s="679"/>
      <c r="B1487" s="816" t="s">
        <v>2391</v>
      </c>
      <c r="C1487" s="511"/>
      <c r="D1487" s="816"/>
      <c r="E1487" s="1877">
        <v>11.748399999999998</v>
      </c>
      <c r="F1487" s="1880">
        <f t="shared" si="4"/>
        <v>8576.3319999999985</v>
      </c>
      <c r="G1487" s="1754">
        <v>15.463106999999999</v>
      </c>
      <c r="H1487" s="1869">
        <v>11174.377499999999</v>
      </c>
      <c r="I1487" s="774"/>
      <c r="J1487" s="1487"/>
      <c r="K1487" s="1485"/>
      <c r="L1487" s="1485"/>
      <c r="M1487" s="1485"/>
      <c r="N1487" s="1485"/>
      <c r="O1487" s="1485"/>
      <c r="P1487" s="1485"/>
      <c r="Q1487" s="1485"/>
      <c r="R1487" s="1485"/>
      <c r="S1487" s="1485"/>
      <c r="T1487" s="1485"/>
      <c r="U1487" s="1485"/>
      <c r="V1487" s="1485"/>
      <c r="W1487" s="761"/>
      <c r="X1487" s="1485"/>
      <c r="Y1487" s="679"/>
      <c r="Z1487" s="730"/>
      <c r="AA1487" s="678"/>
    </row>
    <row r="1488" spans="1:38" s="1486" customFormat="1">
      <c r="A1488" s="679"/>
      <c r="B1488" s="816" t="s">
        <v>2443</v>
      </c>
      <c r="C1488" s="511"/>
      <c r="D1488" s="816"/>
      <c r="E1488" s="1877">
        <v>23.496799999999997</v>
      </c>
      <c r="F1488" s="1880">
        <f t="shared" si="4"/>
        <v>17152.663999999997</v>
      </c>
      <c r="G1488" s="1754">
        <v>30.926213999999998</v>
      </c>
      <c r="H1488" s="1869">
        <v>22348.754999999997</v>
      </c>
      <c r="I1488" s="774"/>
      <c r="J1488" s="1487"/>
      <c r="K1488" s="1485"/>
      <c r="L1488" s="1485"/>
      <c r="M1488" s="1485"/>
      <c r="N1488" s="1485"/>
      <c r="O1488" s="1485"/>
      <c r="P1488" s="1485"/>
      <c r="Q1488" s="1485"/>
      <c r="R1488" s="1485"/>
      <c r="S1488" s="1485"/>
      <c r="T1488" s="1485"/>
      <c r="U1488" s="1485"/>
      <c r="V1488" s="1485"/>
      <c r="W1488" s="761"/>
      <c r="X1488" s="1485"/>
      <c r="Y1488" s="679"/>
      <c r="Z1488" s="730"/>
      <c r="AA1488" s="678"/>
    </row>
    <row r="1489" spans="1:38" s="1486" customFormat="1">
      <c r="A1489" s="679"/>
      <c r="B1489" s="816" t="s">
        <v>2392</v>
      </c>
      <c r="C1489" s="511"/>
      <c r="D1489" s="816"/>
      <c r="E1489" s="1877">
        <v>23.496799999999997</v>
      </c>
      <c r="F1489" s="1880">
        <f t="shared" si="4"/>
        <v>17152.663999999997</v>
      </c>
      <c r="G1489" s="1754">
        <v>30.926213999999998</v>
      </c>
      <c r="H1489" s="1869">
        <v>22348.754999999997</v>
      </c>
      <c r="I1489" s="774"/>
      <c r="J1489" s="1487"/>
      <c r="K1489" s="1485"/>
      <c r="L1489" s="1485"/>
      <c r="M1489" s="1485"/>
      <c r="N1489" s="1485"/>
      <c r="O1489" s="1485"/>
      <c r="P1489" s="1485"/>
      <c r="Q1489" s="1485"/>
      <c r="R1489" s="1485"/>
      <c r="S1489" s="1485"/>
      <c r="T1489" s="1485"/>
      <c r="U1489" s="1485"/>
      <c r="V1489" s="1485"/>
      <c r="W1489" s="761"/>
      <c r="X1489" s="1485"/>
      <c r="Y1489" s="679"/>
      <c r="Z1489" s="730"/>
      <c r="AA1489" s="678"/>
    </row>
    <row r="1490" spans="1:38" s="1486" customFormat="1">
      <c r="A1490" s="679"/>
      <c r="B1490" s="1875" t="s">
        <v>2120</v>
      </c>
      <c r="C1490" s="511"/>
      <c r="D1490" s="816"/>
      <c r="E1490" s="1877"/>
      <c r="F1490" s="1880"/>
      <c r="G1490" s="1754">
        <v>0</v>
      </c>
      <c r="H1490" s="1869">
        <v>0</v>
      </c>
      <c r="I1490" s="774"/>
      <c r="J1490" s="1487"/>
      <c r="K1490" s="1485"/>
      <c r="L1490" s="1485"/>
      <c r="M1490" s="1485"/>
      <c r="N1490" s="1485"/>
      <c r="O1490" s="1485"/>
      <c r="P1490" s="1485"/>
      <c r="Q1490" s="1485"/>
      <c r="R1490" s="1485"/>
      <c r="S1490" s="1485"/>
      <c r="T1490" s="1485"/>
      <c r="U1490" s="1485"/>
      <c r="V1490" s="1485"/>
      <c r="W1490" s="761"/>
      <c r="X1490" s="1485"/>
      <c r="Y1490" s="679"/>
      <c r="Z1490" s="730"/>
      <c r="AA1490" s="678"/>
    </row>
    <row r="1491" spans="1:38" s="1486" customFormat="1">
      <c r="A1491" s="679"/>
      <c r="B1491" s="816" t="s">
        <v>2643</v>
      </c>
      <c r="C1491" s="511"/>
      <c r="D1491" s="816"/>
      <c r="E1491" s="1877">
        <v>1.4685499999999998</v>
      </c>
      <c r="F1491" s="1880">
        <f t="shared" si="4"/>
        <v>1072.0414999999998</v>
      </c>
      <c r="G1491" s="1754">
        <v>1.972135</v>
      </c>
      <c r="H1491" s="1869">
        <v>1423.5045</v>
      </c>
      <c r="I1491" s="774"/>
      <c r="J1491" s="1487"/>
      <c r="K1491" s="1485"/>
      <c r="L1491" s="1485"/>
      <c r="M1491" s="1485"/>
      <c r="N1491" s="1485"/>
      <c r="O1491" s="1485"/>
      <c r="P1491" s="1485"/>
      <c r="Q1491" s="1485"/>
      <c r="R1491" s="1485"/>
      <c r="S1491" s="1485"/>
      <c r="T1491" s="1485"/>
      <c r="U1491" s="1485"/>
      <c r="V1491" s="1485"/>
      <c r="W1491" s="761"/>
      <c r="X1491" s="1485"/>
      <c r="Y1491" s="679"/>
      <c r="Z1491" s="730"/>
      <c r="AA1491" s="678"/>
    </row>
    <row r="1492" spans="1:38" s="1486" customFormat="1">
      <c r="A1492" s="679"/>
      <c r="B1492" s="816" t="s">
        <v>2383</v>
      </c>
      <c r="C1492" s="511"/>
      <c r="D1492" s="816"/>
      <c r="E1492" s="1877">
        <v>2.9370999999999996</v>
      </c>
      <c r="F1492" s="1880">
        <f t="shared" si="4"/>
        <v>2144.0829999999996</v>
      </c>
      <c r="G1492" s="1754">
        <v>3.9288370000000001</v>
      </c>
      <c r="H1492" s="1869">
        <v>2835.7378500000004</v>
      </c>
      <c r="I1492" s="774"/>
      <c r="J1492" s="1487"/>
      <c r="K1492" s="1485"/>
      <c r="L1492" s="1485"/>
      <c r="M1492" s="1485"/>
      <c r="N1492" s="1485"/>
      <c r="O1492" s="1485"/>
      <c r="P1492" s="1485"/>
      <c r="Q1492" s="1485"/>
      <c r="R1492" s="1485"/>
      <c r="S1492" s="1485"/>
      <c r="T1492" s="1485"/>
      <c r="U1492" s="1485"/>
      <c r="V1492" s="1485"/>
      <c r="W1492" s="761"/>
      <c r="X1492" s="1485"/>
      <c r="Y1492" s="679"/>
      <c r="Z1492" s="730"/>
      <c r="AA1492" s="678"/>
    </row>
    <row r="1493" spans="1:38" s="1486" customFormat="1">
      <c r="A1493" s="679"/>
      <c r="B1493" s="816" t="s">
        <v>2440</v>
      </c>
      <c r="C1493" s="511"/>
      <c r="D1493" s="816"/>
      <c r="E1493" s="1877">
        <f>E1492+E1491</f>
        <v>4.4056499999999996</v>
      </c>
      <c r="F1493" s="1880">
        <f t="shared" si="4"/>
        <v>3216.1244999999999</v>
      </c>
      <c r="G1493" s="1754">
        <v>5.9164050000000001</v>
      </c>
      <c r="H1493" s="1869">
        <v>4270.5135</v>
      </c>
      <c r="I1493" s="774"/>
      <c r="J1493" s="1487"/>
      <c r="K1493" s="1485"/>
      <c r="L1493" s="1485"/>
      <c r="M1493" s="1485"/>
      <c r="N1493" s="1485"/>
      <c r="O1493" s="1485"/>
      <c r="P1493" s="1485"/>
      <c r="Q1493" s="1485"/>
      <c r="R1493" s="1485"/>
      <c r="S1493" s="1485"/>
      <c r="T1493" s="1485"/>
      <c r="U1493" s="1485"/>
      <c r="V1493" s="1485"/>
      <c r="W1493" s="761"/>
      <c r="X1493" s="1485"/>
      <c r="Y1493" s="679"/>
      <c r="Z1493" s="730"/>
      <c r="AA1493" s="678"/>
    </row>
    <row r="1494" spans="1:38" s="1486" customFormat="1">
      <c r="A1494" s="679"/>
      <c r="B1494" s="816" t="s">
        <v>2384</v>
      </c>
      <c r="C1494" s="511"/>
      <c r="D1494" s="816"/>
      <c r="E1494" s="1877">
        <v>5.8741999999999992</v>
      </c>
      <c r="F1494" s="1880">
        <f t="shared" si="4"/>
        <v>4288.1659999999993</v>
      </c>
      <c r="G1494" s="1754">
        <v>7.8287054999999981</v>
      </c>
      <c r="H1494" s="1869">
        <v>5650.3375500000002</v>
      </c>
      <c r="I1494" s="774"/>
      <c r="J1494" s="1487"/>
      <c r="K1494" s="1485"/>
      <c r="L1494" s="1485"/>
      <c r="M1494" s="1485"/>
      <c r="N1494" s="1485"/>
      <c r="O1494" s="1485"/>
      <c r="P1494" s="1485"/>
      <c r="Q1494" s="1485"/>
      <c r="R1494" s="1485"/>
      <c r="S1494" s="1485"/>
      <c r="T1494" s="1485"/>
      <c r="U1494" s="1485"/>
      <c r="V1494" s="1485"/>
      <c r="W1494" s="761"/>
      <c r="X1494" s="1485"/>
      <c r="Y1494" s="679"/>
      <c r="Z1494" s="730"/>
      <c r="AA1494" s="678"/>
    </row>
    <row r="1495" spans="1:38" s="1486" customFormat="1">
      <c r="A1495" s="679"/>
      <c r="B1495" s="816" t="s">
        <v>2750</v>
      </c>
      <c r="C1495" s="511"/>
      <c r="D1495" s="816"/>
      <c r="E1495" s="1877">
        <v>5.797839999999999</v>
      </c>
      <c r="F1495" s="1880">
        <f t="shared" si="4"/>
        <v>4232.4231999999993</v>
      </c>
      <c r="G1495" s="1754">
        <v>7.7283581099999985</v>
      </c>
      <c r="H1495" s="1869">
        <v>5577.0841829999999</v>
      </c>
      <c r="I1495" s="774"/>
      <c r="J1495" s="1487"/>
      <c r="K1495" s="1485"/>
      <c r="L1495" s="1485"/>
      <c r="M1495" s="1485"/>
      <c r="N1495" s="1485"/>
      <c r="O1495" s="1485"/>
      <c r="P1495" s="1485"/>
      <c r="Q1495" s="1485"/>
      <c r="R1495" s="1485"/>
      <c r="S1495" s="1485"/>
      <c r="T1495" s="1485"/>
      <c r="U1495" s="1485"/>
      <c r="V1495" s="1485"/>
      <c r="W1495" s="761"/>
      <c r="X1495" s="1485"/>
      <c r="Y1495" s="679"/>
      <c r="Z1495" s="730"/>
      <c r="AA1495" s="678"/>
    </row>
    <row r="1496" spans="1:38" s="1486" customFormat="1">
      <c r="A1496" s="679"/>
      <c r="B1496" s="816" t="s">
        <v>2441</v>
      </c>
      <c r="C1496" s="511"/>
      <c r="D1496" s="816"/>
      <c r="E1496" s="1877">
        <f>E1493*2</f>
        <v>8.8112999999999992</v>
      </c>
      <c r="F1496" s="1880">
        <f t="shared" si="4"/>
        <v>6432.2489999999998</v>
      </c>
      <c r="G1496" s="1754">
        <v>11.786510999999999</v>
      </c>
      <c r="H1496" s="1869">
        <v>8506.9858499999991</v>
      </c>
      <c r="I1496" s="774"/>
      <c r="J1496" s="1487"/>
      <c r="K1496" s="1485"/>
      <c r="L1496" s="1485"/>
      <c r="M1496" s="1485"/>
      <c r="N1496" s="1485"/>
      <c r="O1496" s="1485"/>
      <c r="P1496" s="1485"/>
      <c r="Q1496" s="1485"/>
      <c r="R1496" s="1485"/>
      <c r="S1496" s="1485"/>
      <c r="T1496" s="1485"/>
      <c r="U1496" s="1485"/>
      <c r="V1496" s="1485"/>
      <c r="W1496" s="761"/>
      <c r="X1496" s="1485"/>
      <c r="Y1496" s="679"/>
      <c r="Z1496" s="730"/>
      <c r="AA1496" s="678"/>
    </row>
    <row r="1497" spans="1:38" s="1486" customFormat="1">
      <c r="A1497" s="679"/>
      <c r="B1497" s="816" t="s">
        <v>2385</v>
      </c>
      <c r="C1497" s="511"/>
      <c r="D1497" s="816"/>
      <c r="E1497" s="1877">
        <v>11.748399999999998</v>
      </c>
      <c r="F1497" s="1880">
        <f t="shared" si="4"/>
        <v>8576.3319999999985</v>
      </c>
      <c r="G1497" s="1754">
        <v>15.463106999999999</v>
      </c>
      <c r="H1497" s="1869">
        <v>11174.377499999999</v>
      </c>
      <c r="I1497" s="774"/>
      <c r="J1497" s="1487"/>
      <c r="K1497" s="1485"/>
      <c r="L1497" s="1485"/>
      <c r="M1497" s="1485"/>
      <c r="N1497" s="1485"/>
      <c r="O1497" s="1485"/>
      <c r="P1497" s="1485"/>
      <c r="Q1497" s="1485"/>
      <c r="R1497" s="1485"/>
      <c r="S1497" s="1485"/>
      <c r="T1497" s="1485"/>
      <c r="U1497" s="1485"/>
      <c r="V1497" s="1485"/>
      <c r="W1497" s="761"/>
      <c r="X1497" s="1485"/>
      <c r="Y1497" s="679"/>
      <c r="Z1497" s="730"/>
      <c r="AA1497" s="678"/>
    </row>
    <row r="1498" spans="1:38" s="593" customFormat="1">
      <c r="A1498" s="679"/>
      <c r="B1498" s="816" t="s">
        <v>2386</v>
      </c>
      <c r="C1498" s="511"/>
      <c r="D1498" s="816"/>
      <c r="E1498" s="1877">
        <v>23.496799999999997</v>
      </c>
      <c r="F1498" s="1880">
        <f t="shared" si="4"/>
        <v>17152.663999999997</v>
      </c>
      <c r="G1498" s="1754">
        <v>30.926213999999998</v>
      </c>
      <c r="H1498" s="1869">
        <v>22348.754999999997</v>
      </c>
      <c r="I1498" s="774"/>
      <c r="J1498" s="1487"/>
      <c r="K1498" s="1485"/>
      <c r="L1498" s="1485"/>
      <c r="M1498" s="1485"/>
      <c r="N1498" s="1485"/>
      <c r="O1498" s="1485"/>
      <c r="P1498" s="1485"/>
      <c r="Q1498" s="1485"/>
      <c r="R1498" s="1485"/>
      <c r="S1498" s="1485"/>
      <c r="T1498" s="1485"/>
      <c r="U1498" s="1485"/>
      <c r="V1498" s="1485"/>
      <c r="W1498" s="761"/>
      <c r="X1498" s="1485"/>
      <c r="Y1498" s="679"/>
      <c r="Z1498" s="730"/>
      <c r="AA1498" s="678"/>
      <c r="AB1498" s="1486"/>
      <c r="AC1498" s="1486"/>
      <c r="AD1498" s="1486"/>
      <c r="AE1498" s="1486"/>
      <c r="AF1498" s="1486"/>
      <c r="AG1498" s="1486"/>
      <c r="AH1498" s="1486"/>
      <c r="AI1498" s="1486"/>
      <c r="AJ1498" s="1486"/>
      <c r="AK1498" s="1486"/>
      <c r="AL1498" s="1486"/>
    </row>
    <row r="1499" spans="1:38" s="593" customFormat="1">
      <c r="A1499" s="679"/>
      <c r="B1499" s="817" t="s">
        <v>2596</v>
      </c>
      <c r="C1499" s="511"/>
      <c r="D1499" s="816"/>
      <c r="E1499" s="1877">
        <v>1.4685499999999998</v>
      </c>
      <c r="F1499" s="1880">
        <f t="shared" si="4"/>
        <v>1072.0414999999998</v>
      </c>
      <c r="G1499" s="1754">
        <v>1.972135</v>
      </c>
      <c r="H1499" s="1869">
        <v>1404.5105249999999</v>
      </c>
      <c r="I1499" s="774"/>
      <c r="J1499" s="1487"/>
      <c r="K1499" s="1485"/>
      <c r="L1499" s="1485"/>
      <c r="M1499" s="1485"/>
      <c r="N1499" s="1485"/>
      <c r="O1499" s="1485"/>
      <c r="P1499" s="1485"/>
      <c r="Q1499" s="1485"/>
      <c r="R1499" s="1485"/>
      <c r="S1499" s="1485"/>
      <c r="T1499" s="1485"/>
      <c r="U1499" s="1485"/>
      <c r="V1499" s="1485"/>
      <c r="W1499" s="761"/>
      <c r="X1499" s="1485"/>
      <c r="Y1499" s="679"/>
      <c r="Z1499" s="730"/>
      <c r="AA1499" s="678"/>
      <c r="AB1499" s="1486"/>
      <c r="AC1499" s="1486"/>
      <c r="AD1499" s="1486"/>
      <c r="AE1499" s="1486"/>
      <c r="AF1499" s="1486"/>
      <c r="AG1499" s="1486"/>
      <c r="AH1499" s="1486"/>
      <c r="AI1499" s="1486"/>
      <c r="AJ1499" s="1486"/>
      <c r="AK1499" s="1486"/>
      <c r="AL1499" s="1486"/>
    </row>
    <row r="1500" spans="1:38" s="593" customFormat="1">
      <c r="A1500" s="679"/>
      <c r="B1500" s="817" t="s">
        <v>2597</v>
      </c>
      <c r="C1500" s="511"/>
      <c r="D1500" s="816"/>
      <c r="E1500" s="1877">
        <v>2.9370999999999996</v>
      </c>
      <c r="F1500" s="1880">
        <f t="shared" si="4"/>
        <v>2144.0829999999996</v>
      </c>
      <c r="G1500" s="1754">
        <v>3.9288370000000001</v>
      </c>
      <c r="H1500" s="1869">
        <v>2835.7378500000004</v>
      </c>
      <c r="I1500" s="774"/>
      <c r="J1500" s="1487"/>
      <c r="K1500" s="1485"/>
      <c r="L1500" s="1485"/>
      <c r="M1500" s="1485"/>
      <c r="N1500" s="1485"/>
      <c r="O1500" s="1485"/>
      <c r="P1500" s="1485"/>
      <c r="Q1500" s="1485"/>
      <c r="R1500" s="1485"/>
      <c r="S1500" s="1485"/>
      <c r="T1500" s="1485"/>
      <c r="U1500" s="1485"/>
      <c r="V1500" s="1485"/>
      <c r="W1500" s="761"/>
      <c r="X1500" s="1485"/>
      <c r="Y1500" s="679"/>
      <c r="Z1500" s="730"/>
      <c r="AA1500" s="678"/>
      <c r="AB1500" s="1486"/>
      <c r="AC1500" s="1486"/>
      <c r="AD1500" s="1486"/>
      <c r="AE1500" s="1486"/>
      <c r="AF1500" s="1486"/>
      <c r="AG1500" s="1486"/>
      <c r="AH1500" s="1486"/>
      <c r="AI1500" s="1486"/>
      <c r="AJ1500" s="1486"/>
      <c r="AK1500" s="1486"/>
      <c r="AL1500" s="1486"/>
    </row>
    <row r="1501" spans="1:38" s="593" customFormat="1">
      <c r="A1501" s="679"/>
      <c r="B1501" s="817" t="s">
        <v>2601</v>
      </c>
      <c r="C1501" s="511"/>
      <c r="D1501" s="816"/>
      <c r="E1501" s="1877">
        <v>1.4685499999999998</v>
      </c>
      <c r="F1501" s="1880">
        <f t="shared" si="4"/>
        <v>1072.0414999999998</v>
      </c>
      <c r="G1501" s="1754">
        <v>1.972135</v>
      </c>
      <c r="H1501" s="1869">
        <v>1404.5105249999999</v>
      </c>
      <c r="I1501" s="774"/>
      <c r="J1501" s="1487"/>
      <c r="K1501" s="1485"/>
      <c r="L1501" s="1485"/>
      <c r="M1501" s="1485"/>
      <c r="N1501" s="1485"/>
      <c r="O1501" s="1485"/>
      <c r="P1501" s="1485"/>
      <c r="Q1501" s="1485"/>
      <c r="R1501" s="1485"/>
      <c r="S1501" s="1485"/>
      <c r="T1501" s="1485"/>
      <c r="U1501" s="1485"/>
      <c r="V1501" s="1485"/>
      <c r="W1501" s="761"/>
      <c r="X1501" s="1485"/>
      <c r="Y1501" s="679"/>
      <c r="Z1501" s="730"/>
      <c r="AA1501" s="678"/>
      <c r="AB1501" s="1486"/>
      <c r="AC1501" s="1486"/>
      <c r="AD1501" s="1486"/>
      <c r="AE1501" s="1486"/>
      <c r="AF1501" s="1486"/>
      <c r="AG1501" s="1486"/>
      <c r="AH1501" s="1486"/>
      <c r="AI1501" s="1486"/>
      <c r="AJ1501" s="1486"/>
      <c r="AK1501" s="1486"/>
      <c r="AL1501" s="1486"/>
    </row>
    <row r="1502" spans="1:38" s="593" customFormat="1">
      <c r="A1502" s="679"/>
      <c r="B1502" s="817" t="s">
        <v>2602</v>
      </c>
      <c r="C1502" s="511"/>
      <c r="D1502" s="816"/>
      <c r="E1502" s="1877">
        <v>2.9370999999999996</v>
      </c>
      <c r="F1502" s="1880">
        <f t="shared" si="4"/>
        <v>2144.0829999999996</v>
      </c>
      <c r="G1502" s="1754">
        <v>3.9288370000000001</v>
      </c>
      <c r="H1502" s="1869">
        <v>2835.7378500000004</v>
      </c>
      <c r="I1502" s="774"/>
      <c r="J1502" s="1487"/>
      <c r="K1502" s="1485"/>
      <c r="L1502" s="1485"/>
      <c r="M1502" s="1485"/>
      <c r="N1502" s="1485"/>
      <c r="O1502" s="1485"/>
      <c r="P1502" s="1485"/>
      <c r="Q1502" s="1485"/>
      <c r="R1502" s="1485"/>
      <c r="S1502" s="1485"/>
      <c r="T1502" s="1485"/>
      <c r="U1502" s="1485"/>
      <c r="V1502" s="1485"/>
      <c r="W1502" s="761"/>
      <c r="X1502" s="1485"/>
      <c r="Y1502" s="679"/>
      <c r="Z1502" s="730"/>
      <c r="AA1502" s="678"/>
      <c r="AB1502" s="1486"/>
      <c r="AC1502" s="1486"/>
      <c r="AD1502" s="1486"/>
      <c r="AE1502" s="1486"/>
      <c r="AF1502" s="1486"/>
      <c r="AG1502" s="1486"/>
      <c r="AH1502" s="1486"/>
      <c r="AI1502" s="1486"/>
      <c r="AJ1502" s="1486"/>
      <c r="AK1502" s="1486"/>
      <c r="AL1502" s="1486"/>
    </row>
    <row r="1503" spans="1:38" s="593" customFormat="1">
      <c r="A1503" s="679"/>
      <c r="B1503" s="42"/>
      <c r="C1503" s="42"/>
      <c r="D1503" s="42"/>
      <c r="E1503" s="42"/>
      <c r="F1503" s="42"/>
      <c r="G1503" s="222"/>
      <c r="H1503" s="164"/>
      <c r="I1503" s="4"/>
      <c r="J1503" s="715"/>
      <c r="K1503" s="4"/>
      <c r="L1503" s="4"/>
      <c r="M1503" s="4"/>
      <c r="N1503" s="4"/>
      <c r="O1503" s="4"/>
      <c r="P1503" s="4"/>
      <c r="Q1503" s="4"/>
      <c r="R1503" s="4"/>
      <c r="S1503" s="4"/>
      <c r="T1503" s="4"/>
      <c r="U1503" s="4"/>
      <c r="V1503" s="4"/>
      <c r="W1503" s="89"/>
      <c r="X1503" s="4"/>
      <c r="Y1503" s="53"/>
      <c r="Z1503" s="218"/>
      <c r="AA1503" s="7"/>
      <c r="AB1503" s="613"/>
      <c r="AC1503" s="613"/>
      <c r="AD1503" s="613"/>
      <c r="AE1503" s="613"/>
      <c r="AF1503" s="613"/>
      <c r="AG1503" s="613"/>
      <c r="AH1503" s="613"/>
      <c r="AI1503" s="613"/>
      <c r="AJ1503" s="613"/>
      <c r="AK1503" s="613"/>
      <c r="AL1503" s="613"/>
    </row>
    <row r="1504" spans="1:38" s="593" customFormat="1">
      <c r="A1504" s="679"/>
      <c r="B1504" s="2002" t="s">
        <v>730</v>
      </c>
      <c r="C1504" s="2003"/>
      <c r="D1504" s="2004"/>
      <c r="E1504" s="721" t="s">
        <v>147</v>
      </c>
      <c r="F1504" s="722"/>
      <c r="G1504" s="723"/>
      <c r="H1504" s="304"/>
      <c r="I1504" s="4"/>
      <c r="J1504" s="715"/>
      <c r="K1504" s="4"/>
      <c r="L1504" s="4"/>
      <c r="M1504" s="4"/>
      <c r="N1504" s="4"/>
      <c r="O1504" s="4"/>
      <c r="P1504" s="4"/>
      <c r="Q1504" s="4"/>
      <c r="R1504" s="4"/>
      <c r="S1504" s="4"/>
      <c r="T1504" s="4"/>
      <c r="U1504" s="4"/>
      <c r="V1504" s="4"/>
      <c r="W1504" s="89"/>
      <c r="X1504" s="4"/>
      <c r="Y1504" s="53"/>
      <c r="Z1504" s="218"/>
      <c r="AA1504" s="7"/>
      <c r="AB1504" s="613"/>
      <c r="AC1504" s="613"/>
      <c r="AD1504" s="613"/>
      <c r="AE1504" s="613"/>
      <c r="AF1504" s="613"/>
      <c r="AG1504" s="613"/>
      <c r="AH1504" s="613"/>
      <c r="AI1504" s="613"/>
      <c r="AJ1504" s="613"/>
      <c r="AK1504" s="613"/>
      <c r="AL1504" s="613"/>
    </row>
    <row r="1505" spans="1:38" s="593" customFormat="1" ht="43.2">
      <c r="A1505" s="679"/>
      <c r="B1505" s="138"/>
      <c r="C1505" s="108"/>
      <c r="D1505" s="108"/>
      <c r="E1505" s="108" t="s">
        <v>478</v>
      </c>
      <c r="F1505" s="108" t="s">
        <v>629</v>
      </c>
      <c r="G1505" s="108" t="s">
        <v>483</v>
      </c>
      <c r="H1505" s="108" t="s">
        <v>482</v>
      </c>
      <c r="I1505" s="4"/>
      <c r="J1505" s="4"/>
      <c r="K1505" s="4"/>
      <c r="L1505" s="4"/>
      <c r="M1505" s="4"/>
      <c r="N1505" s="4"/>
      <c r="O1505" s="4"/>
      <c r="P1505" s="4"/>
      <c r="Q1505" s="4"/>
      <c r="R1505" s="4"/>
      <c r="S1505" s="4"/>
      <c r="T1505" s="4"/>
      <c r="U1505" s="4"/>
      <c r="V1505" s="4"/>
      <c r="W1505" s="89"/>
      <c r="X1505" s="4"/>
      <c r="Y1505" s="53"/>
      <c r="Z1505" s="218"/>
      <c r="AA1505" s="7"/>
      <c r="AB1505" s="613"/>
      <c r="AC1505" s="613"/>
      <c r="AD1505" s="613"/>
      <c r="AE1505" s="613"/>
      <c r="AF1505" s="613"/>
      <c r="AG1505" s="613"/>
      <c r="AH1505" s="613"/>
      <c r="AI1505" s="613"/>
      <c r="AJ1505" s="613"/>
      <c r="AK1505" s="613"/>
      <c r="AL1505" s="613"/>
    </row>
    <row r="1506" spans="1:38" s="593" customFormat="1">
      <c r="A1506" s="679"/>
      <c r="B1506" s="1881" t="s">
        <v>2613</v>
      </c>
      <c r="C1506" s="1882"/>
      <c r="D1506" s="1883"/>
      <c r="E1506" s="1876"/>
      <c r="F1506" s="1884"/>
      <c r="G1506" s="1754">
        <v>3.8754999999999998E-2</v>
      </c>
      <c r="H1506" s="1869">
        <v>28.29</v>
      </c>
      <c r="I1506" s="4">
        <v>1.1499999999999999</v>
      </c>
      <c r="J1506" s="4"/>
      <c r="K1506" s="4"/>
      <c r="L1506" s="4"/>
      <c r="M1506" s="4"/>
      <c r="N1506" s="4"/>
      <c r="O1506" s="4"/>
      <c r="P1506" s="4"/>
      <c r="Q1506" s="4"/>
      <c r="R1506" s="4"/>
      <c r="S1506" s="4"/>
      <c r="T1506" s="4"/>
      <c r="U1506" s="4"/>
      <c r="V1506" s="4"/>
      <c r="W1506" s="89"/>
      <c r="X1506" s="4"/>
      <c r="Y1506" s="53"/>
      <c r="Z1506" s="218"/>
      <c r="AA1506" s="7"/>
      <c r="AB1506" s="613"/>
      <c r="AC1506" s="613"/>
      <c r="AD1506" s="613"/>
      <c r="AE1506" s="613"/>
      <c r="AF1506" s="613"/>
      <c r="AG1506" s="613"/>
      <c r="AH1506" s="613"/>
      <c r="AI1506" s="613"/>
      <c r="AJ1506" s="613"/>
      <c r="AK1506" s="613"/>
      <c r="AL1506" s="613"/>
    </row>
    <row r="1507" spans="1:38" s="593" customFormat="1">
      <c r="A1507" s="679"/>
      <c r="B1507" s="1881" t="s">
        <v>2614</v>
      </c>
      <c r="C1507" s="1882"/>
      <c r="D1507" s="1883"/>
      <c r="E1507" s="1876"/>
      <c r="F1507" s="1884"/>
      <c r="G1507" s="1754">
        <v>7.7509999999999996E-2</v>
      </c>
      <c r="H1507" s="1869">
        <v>56.58</v>
      </c>
      <c r="I1507" s="4"/>
      <c r="J1507" s="4"/>
      <c r="K1507" s="4"/>
      <c r="L1507" s="4"/>
      <c r="M1507" s="4"/>
      <c r="N1507" s="4"/>
      <c r="O1507" s="4"/>
      <c r="P1507" s="4"/>
      <c r="Q1507" s="4"/>
      <c r="R1507" s="4"/>
      <c r="S1507" s="4"/>
      <c r="T1507" s="4"/>
      <c r="U1507" s="4"/>
      <c r="V1507" s="4"/>
      <c r="W1507" s="89"/>
      <c r="X1507" s="4"/>
      <c r="Y1507" s="53"/>
      <c r="Z1507" s="218"/>
      <c r="AA1507" s="7"/>
      <c r="AB1507" s="613"/>
      <c r="AC1507" s="613"/>
      <c r="AD1507" s="613"/>
      <c r="AE1507" s="613"/>
      <c r="AF1507" s="613"/>
      <c r="AG1507" s="613"/>
      <c r="AH1507" s="613"/>
      <c r="AI1507" s="613"/>
      <c r="AJ1507" s="613"/>
      <c r="AK1507" s="613"/>
      <c r="AL1507" s="613"/>
    </row>
    <row r="1508" spans="1:38" s="593" customFormat="1">
      <c r="A1508" s="679"/>
      <c r="B1508" s="1881" t="s">
        <v>2615</v>
      </c>
      <c r="C1508" s="1882"/>
      <c r="D1508" s="1883"/>
      <c r="E1508" s="1876"/>
      <c r="F1508" s="1884"/>
      <c r="G1508" s="1754">
        <v>0.14731499999999997</v>
      </c>
      <c r="H1508" s="1869">
        <v>107.5365</v>
      </c>
      <c r="I1508" s="4"/>
      <c r="J1508" s="4"/>
      <c r="K1508" s="4"/>
      <c r="L1508" s="4"/>
      <c r="M1508" s="4"/>
      <c r="N1508" s="4"/>
      <c r="O1508" s="4"/>
      <c r="P1508" s="4"/>
      <c r="Q1508" s="4"/>
      <c r="R1508" s="4"/>
      <c r="S1508" s="4"/>
      <c r="T1508" s="4"/>
      <c r="U1508" s="4"/>
      <c r="V1508" s="4"/>
      <c r="W1508" s="89"/>
      <c r="X1508" s="4"/>
      <c r="Y1508" s="53"/>
      <c r="Z1508" s="218"/>
      <c r="AA1508" s="7"/>
      <c r="AB1508" s="613"/>
      <c r="AC1508" s="613"/>
      <c r="AD1508" s="613"/>
      <c r="AE1508" s="613"/>
      <c r="AF1508" s="613"/>
      <c r="AG1508" s="613"/>
      <c r="AH1508" s="613"/>
      <c r="AI1508" s="613"/>
      <c r="AJ1508" s="613"/>
      <c r="AK1508" s="613"/>
      <c r="AL1508" s="613"/>
    </row>
    <row r="1509" spans="1:38" s="593" customFormat="1">
      <c r="A1509" s="679"/>
      <c r="B1509" s="1881" t="s">
        <v>2616</v>
      </c>
      <c r="C1509" s="1882"/>
      <c r="D1509" s="1883"/>
      <c r="E1509" s="1876"/>
      <c r="F1509" s="1884"/>
      <c r="G1509" s="1754">
        <v>0.27990999999999999</v>
      </c>
      <c r="H1509" s="1869">
        <v>204.32049999999998</v>
      </c>
      <c r="I1509" s="4"/>
      <c r="J1509" s="4"/>
      <c r="K1509" s="4"/>
      <c r="L1509" s="4"/>
      <c r="M1509" s="4"/>
      <c r="N1509" s="4"/>
      <c r="O1509" s="4"/>
      <c r="P1509" s="4"/>
      <c r="Q1509" s="4"/>
      <c r="R1509" s="4"/>
      <c r="S1509" s="4"/>
      <c r="T1509" s="4"/>
      <c r="U1509" s="4"/>
      <c r="V1509" s="4"/>
      <c r="W1509" s="89"/>
      <c r="X1509" s="4"/>
      <c r="Y1509" s="53"/>
      <c r="Z1509" s="218"/>
      <c r="AA1509" s="7"/>
      <c r="AB1509" s="613"/>
      <c r="AC1509" s="613"/>
      <c r="AD1509" s="613"/>
      <c r="AE1509" s="613"/>
      <c r="AF1509" s="613"/>
      <c r="AG1509" s="613"/>
      <c r="AH1509" s="613"/>
      <c r="AI1509" s="613"/>
      <c r="AJ1509" s="613"/>
      <c r="AK1509" s="613"/>
      <c r="AL1509" s="613"/>
    </row>
    <row r="1510" spans="1:38" s="593" customFormat="1">
      <c r="A1510" s="679"/>
      <c r="B1510" s="1881" t="s">
        <v>2606</v>
      </c>
      <c r="C1510" s="1882"/>
      <c r="D1510" s="1883"/>
      <c r="E1510" s="1876"/>
      <c r="F1510" s="1884"/>
      <c r="G1510" s="1754">
        <v>3.8754999999999998E-2</v>
      </c>
      <c r="H1510" s="1869">
        <v>28.29</v>
      </c>
      <c r="I1510" s="4"/>
      <c r="J1510" s="4"/>
      <c r="K1510" s="4"/>
      <c r="L1510" s="4"/>
      <c r="M1510" s="4"/>
      <c r="N1510" s="4"/>
      <c r="O1510" s="4"/>
      <c r="P1510" s="4"/>
      <c r="Q1510" s="4"/>
      <c r="R1510" s="4"/>
      <c r="S1510" s="4"/>
      <c r="T1510" s="4"/>
      <c r="U1510" s="4"/>
      <c r="V1510" s="4"/>
      <c r="W1510" s="89"/>
      <c r="X1510" s="4"/>
      <c r="Y1510" s="53"/>
      <c r="Z1510" s="218"/>
      <c r="AA1510" s="7"/>
      <c r="AB1510" s="613"/>
      <c r="AC1510" s="613"/>
      <c r="AD1510" s="613"/>
      <c r="AE1510" s="613"/>
      <c r="AF1510" s="613"/>
      <c r="AG1510" s="613"/>
      <c r="AH1510" s="613"/>
      <c r="AI1510" s="613"/>
      <c r="AJ1510" s="613"/>
      <c r="AK1510" s="613"/>
      <c r="AL1510" s="613"/>
    </row>
    <row r="1511" spans="1:38" s="593" customFormat="1">
      <c r="A1511" s="679"/>
      <c r="B1511" s="1881" t="s">
        <v>2607</v>
      </c>
      <c r="C1511" s="1882"/>
      <c r="D1511" s="1883"/>
      <c r="E1511" s="1876"/>
      <c r="F1511" s="1884"/>
      <c r="G1511" s="1754">
        <v>7.7509999999999996E-2</v>
      </c>
      <c r="H1511" s="1869">
        <v>56.58</v>
      </c>
      <c r="I1511" s="4"/>
      <c r="J1511" s="4"/>
      <c r="K1511" s="4"/>
      <c r="L1511" s="4"/>
      <c r="M1511" s="4"/>
      <c r="N1511" s="4"/>
      <c r="O1511" s="4"/>
      <c r="P1511" s="4"/>
      <c r="Q1511" s="4"/>
      <c r="R1511" s="4"/>
      <c r="S1511" s="4"/>
      <c r="T1511" s="4"/>
      <c r="U1511" s="4"/>
      <c r="V1511" s="4"/>
      <c r="W1511" s="89"/>
      <c r="X1511" s="4"/>
      <c r="Y1511" s="53"/>
      <c r="Z1511" s="218"/>
      <c r="AA1511" s="7"/>
      <c r="AB1511" s="613"/>
      <c r="AC1511" s="613"/>
      <c r="AD1511" s="613"/>
      <c r="AE1511" s="613"/>
      <c r="AF1511" s="613"/>
      <c r="AG1511" s="613"/>
      <c r="AH1511" s="613"/>
      <c r="AI1511" s="613"/>
      <c r="AJ1511" s="613"/>
      <c r="AK1511" s="613"/>
      <c r="AL1511" s="613"/>
    </row>
    <row r="1512" spans="1:38" s="593" customFormat="1">
      <c r="A1512" s="679"/>
      <c r="B1512" s="1881" t="s">
        <v>2366</v>
      </c>
      <c r="C1512" s="1882"/>
      <c r="D1512" s="1883"/>
      <c r="E1512" s="1876"/>
      <c r="F1512" s="1884"/>
      <c r="G1512" s="1754">
        <v>0.14731499999999997</v>
      </c>
      <c r="H1512" s="1869">
        <v>107.5365</v>
      </c>
      <c r="I1512" s="774"/>
      <c r="J1512" s="612"/>
      <c r="K1512" s="612"/>
      <c r="L1512" s="612"/>
      <c r="M1512" s="612"/>
      <c r="N1512" s="612"/>
      <c r="O1512" s="612"/>
      <c r="P1512" s="612"/>
      <c r="Q1512" s="612"/>
      <c r="R1512" s="612"/>
      <c r="S1512" s="612"/>
      <c r="T1512" s="612"/>
      <c r="U1512" s="612"/>
      <c r="V1512" s="612"/>
      <c r="W1512" s="761"/>
      <c r="X1512" s="612"/>
      <c r="Y1512" s="679"/>
      <c r="Z1512" s="730"/>
      <c r="AA1512" s="678"/>
    </row>
    <row r="1513" spans="1:38" s="593" customFormat="1">
      <c r="A1513" s="679"/>
      <c r="B1513" s="1881" t="s">
        <v>2367</v>
      </c>
      <c r="C1513" s="1882"/>
      <c r="D1513" s="1883"/>
      <c r="E1513" s="1876"/>
      <c r="F1513" s="1884"/>
      <c r="G1513" s="1754">
        <v>0.27990999999999999</v>
      </c>
      <c r="H1513" s="1869">
        <v>204.32049999999998</v>
      </c>
      <c r="I1513" s="612"/>
      <c r="J1513" s="612"/>
      <c r="K1513" s="612"/>
      <c r="L1513" s="612"/>
      <c r="M1513" s="612"/>
      <c r="N1513" s="612"/>
      <c r="O1513" s="612"/>
      <c r="P1513" s="612"/>
      <c r="Q1513" s="612"/>
      <c r="R1513" s="612"/>
      <c r="S1513" s="612"/>
      <c r="T1513" s="612"/>
      <c r="U1513" s="612"/>
      <c r="V1513" s="612"/>
      <c r="W1513" s="761"/>
      <c r="X1513" s="612"/>
      <c r="Y1513" s="679"/>
      <c r="Z1513" s="730"/>
      <c r="AA1513" s="678"/>
    </row>
    <row r="1514" spans="1:38" s="593" customFormat="1">
      <c r="A1514" s="679"/>
      <c r="B1514" s="1881" t="s">
        <v>2368</v>
      </c>
      <c r="C1514" s="1882"/>
      <c r="D1514" s="1883"/>
      <c r="E1514" s="1876"/>
      <c r="F1514" s="1884"/>
      <c r="G1514" s="1754">
        <v>0.53210499999999994</v>
      </c>
      <c r="H1514" s="1869">
        <v>388.45850000000002</v>
      </c>
      <c r="I1514" s="612"/>
      <c r="J1514" s="612"/>
      <c r="K1514" s="612"/>
      <c r="L1514" s="612"/>
      <c r="M1514" s="612"/>
      <c r="N1514" s="612"/>
      <c r="O1514" s="612"/>
      <c r="P1514" s="612"/>
      <c r="Q1514" s="612"/>
      <c r="R1514" s="612"/>
      <c r="S1514" s="612"/>
      <c r="T1514" s="612"/>
      <c r="U1514" s="612"/>
      <c r="V1514" s="612"/>
      <c r="W1514" s="761"/>
      <c r="X1514" s="612"/>
      <c r="Y1514" s="679"/>
      <c r="Z1514" s="730"/>
      <c r="AA1514" s="678"/>
    </row>
    <row r="1515" spans="1:38" s="593" customFormat="1">
      <c r="A1515" s="679"/>
      <c r="B1515" s="1881" t="s">
        <v>2394</v>
      </c>
      <c r="C1515" s="1882"/>
      <c r="D1515" s="1883"/>
      <c r="E1515" s="1876"/>
      <c r="F1515" s="1884"/>
      <c r="G1515" s="1754">
        <v>7.7509999999999996E-2</v>
      </c>
      <c r="H1515" s="1869">
        <v>56.58</v>
      </c>
      <c r="I1515" s="612"/>
      <c r="J1515" s="612"/>
      <c r="K1515" s="612"/>
      <c r="L1515" s="612"/>
      <c r="M1515" s="612"/>
      <c r="N1515" s="612"/>
      <c r="O1515" s="612"/>
      <c r="P1515" s="612"/>
      <c r="Q1515" s="612"/>
      <c r="R1515" s="612"/>
      <c r="S1515" s="612"/>
      <c r="T1515" s="612"/>
      <c r="U1515" s="612"/>
      <c r="V1515" s="612"/>
      <c r="W1515" s="761"/>
      <c r="X1515" s="612"/>
      <c r="Y1515" s="679"/>
      <c r="Z1515" s="730"/>
      <c r="AA1515" s="678"/>
    </row>
    <row r="1516" spans="1:38" s="593" customFormat="1">
      <c r="A1516" s="679"/>
      <c r="B1516" s="1881" t="s">
        <v>2395</v>
      </c>
      <c r="C1516" s="1882"/>
      <c r="D1516" s="1883"/>
      <c r="E1516" s="1876"/>
      <c r="F1516" s="1884"/>
      <c r="G1516" s="1754">
        <v>0.14731499999999997</v>
      </c>
      <c r="H1516" s="1869">
        <v>107.5365</v>
      </c>
      <c r="I1516" s="612"/>
      <c r="J1516" s="612"/>
      <c r="K1516" s="612"/>
      <c r="L1516" s="612"/>
      <c r="M1516" s="612"/>
      <c r="N1516" s="612"/>
      <c r="O1516" s="612"/>
      <c r="P1516" s="612"/>
      <c r="Q1516" s="612"/>
      <c r="R1516" s="612"/>
      <c r="S1516" s="612"/>
      <c r="T1516" s="612"/>
      <c r="U1516" s="612"/>
      <c r="V1516" s="612"/>
      <c r="W1516" s="761"/>
      <c r="X1516" s="612"/>
      <c r="Y1516" s="679"/>
      <c r="Z1516" s="730"/>
      <c r="AA1516" s="678"/>
    </row>
    <row r="1517" spans="1:38" s="593" customFormat="1">
      <c r="A1517" s="679"/>
      <c r="B1517" s="1881" t="s">
        <v>2396</v>
      </c>
      <c r="C1517" s="1882"/>
      <c r="D1517" s="1883"/>
      <c r="E1517" s="1876"/>
      <c r="F1517" s="1884"/>
      <c r="G1517" s="1754">
        <v>0.27990999999999999</v>
      </c>
      <c r="H1517" s="1869">
        <v>204.32049999999998</v>
      </c>
      <c r="I1517" s="612"/>
      <c r="J1517" s="612"/>
      <c r="K1517" s="612"/>
      <c r="L1517" s="612"/>
      <c r="M1517" s="612"/>
      <c r="N1517" s="612"/>
      <c r="O1517" s="612"/>
      <c r="P1517" s="612"/>
      <c r="Q1517" s="612"/>
      <c r="R1517" s="612"/>
      <c r="S1517" s="612"/>
      <c r="T1517" s="612"/>
      <c r="U1517" s="612"/>
      <c r="V1517" s="612"/>
      <c r="W1517" s="761"/>
      <c r="X1517" s="612"/>
      <c r="Y1517" s="679"/>
      <c r="Z1517" s="730"/>
      <c r="AA1517" s="678"/>
    </row>
    <row r="1518" spans="1:38" s="593" customFormat="1">
      <c r="A1518" s="679"/>
      <c r="B1518" s="1881" t="s">
        <v>2393</v>
      </c>
      <c r="C1518" s="1882"/>
      <c r="D1518" s="1883"/>
      <c r="E1518" s="1876"/>
      <c r="F1518" s="1884"/>
      <c r="G1518" s="1754">
        <v>0.53210499999999994</v>
      </c>
      <c r="H1518" s="1869">
        <v>388.45850000000002</v>
      </c>
      <c r="I1518" s="612"/>
      <c r="J1518" s="612"/>
      <c r="K1518" s="612"/>
      <c r="L1518" s="612"/>
      <c r="M1518" s="612"/>
      <c r="N1518" s="612"/>
      <c r="O1518" s="612"/>
      <c r="P1518" s="612"/>
      <c r="Q1518" s="612"/>
      <c r="R1518" s="612"/>
      <c r="S1518" s="612"/>
      <c r="T1518" s="612"/>
      <c r="U1518" s="612"/>
      <c r="V1518" s="612"/>
      <c r="W1518" s="761"/>
      <c r="X1518" s="612"/>
      <c r="Y1518" s="679"/>
      <c r="Z1518" s="730"/>
      <c r="AA1518" s="678"/>
    </row>
    <row r="1519" spans="1:38" s="593" customFormat="1">
      <c r="A1519" s="679"/>
      <c r="B1519" s="1881" t="s">
        <v>2623</v>
      </c>
      <c r="C1519" s="1882"/>
      <c r="D1519" s="1883"/>
      <c r="E1519" s="1876"/>
      <c r="F1519" s="1884"/>
      <c r="G1519" s="1754">
        <v>7.7509999999999996E-2</v>
      </c>
      <c r="H1519" s="1869">
        <v>56.58</v>
      </c>
      <c r="I1519" s="612"/>
      <c r="J1519" s="612"/>
      <c r="K1519" s="612"/>
      <c r="L1519" s="612"/>
      <c r="M1519" s="612"/>
      <c r="N1519" s="612"/>
      <c r="O1519" s="612"/>
      <c r="P1519" s="612"/>
      <c r="Q1519" s="612"/>
      <c r="R1519" s="612"/>
      <c r="S1519" s="612"/>
      <c r="T1519" s="612"/>
      <c r="U1519" s="612"/>
      <c r="V1519" s="612"/>
      <c r="W1519" s="761"/>
      <c r="X1519" s="612"/>
      <c r="Y1519" s="679"/>
      <c r="Z1519" s="730"/>
      <c r="AA1519" s="678"/>
    </row>
    <row r="1520" spans="1:38" s="593" customFormat="1">
      <c r="A1520" s="679"/>
      <c r="B1520" s="1881" t="s">
        <v>2624</v>
      </c>
      <c r="C1520" s="1882"/>
      <c r="D1520" s="1883"/>
      <c r="E1520" s="1876"/>
      <c r="F1520" s="1884"/>
      <c r="G1520" s="1754">
        <v>0.14731499999999997</v>
      </c>
      <c r="H1520" s="1869">
        <v>107.5365</v>
      </c>
      <c r="I1520" s="612"/>
      <c r="J1520" s="612"/>
      <c r="K1520" s="612"/>
      <c r="L1520" s="612"/>
      <c r="M1520" s="612"/>
      <c r="N1520" s="612"/>
      <c r="O1520" s="612"/>
      <c r="P1520" s="612"/>
      <c r="Q1520" s="612"/>
      <c r="R1520" s="612"/>
      <c r="S1520" s="612"/>
      <c r="T1520" s="612"/>
      <c r="U1520" s="612"/>
      <c r="V1520" s="612"/>
      <c r="W1520" s="761"/>
      <c r="X1520" s="612"/>
      <c r="Y1520" s="679"/>
      <c r="Z1520" s="730"/>
      <c r="AA1520" s="678"/>
    </row>
    <row r="1521" spans="1:27" s="593" customFormat="1">
      <c r="A1521" s="679"/>
      <c r="B1521" s="1881" t="s">
        <v>2625</v>
      </c>
      <c r="C1521" s="1882"/>
      <c r="D1521" s="1883"/>
      <c r="E1521" s="1876"/>
      <c r="F1521" s="1884"/>
      <c r="G1521" s="1754">
        <v>0.27990999999999999</v>
      </c>
      <c r="H1521" s="1869">
        <v>204.32049999999998</v>
      </c>
      <c r="I1521" s="612"/>
      <c r="J1521" s="612"/>
      <c r="K1521" s="612"/>
      <c r="L1521" s="612"/>
      <c r="M1521" s="612"/>
      <c r="N1521" s="612"/>
      <c r="O1521" s="612"/>
      <c r="P1521" s="612"/>
      <c r="Q1521" s="612"/>
      <c r="R1521" s="612"/>
      <c r="S1521" s="612"/>
      <c r="T1521" s="612"/>
      <c r="U1521" s="612"/>
      <c r="V1521" s="612"/>
      <c r="W1521" s="761"/>
      <c r="X1521" s="612"/>
      <c r="Y1521" s="679"/>
      <c r="Z1521" s="730"/>
      <c r="AA1521" s="678"/>
    </row>
    <row r="1522" spans="1:27" s="593" customFormat="1">
      <c r="A1522" s="679"/>
      <c r="B1522" s="1881" t="s">
        <v>2749</v>
      </c>
      <c r="C1522" s="1882"/>
      <c r="D1522" s="1883"/>
      <c r="E1522" s="1876"/>
      <c r="F1522" s="1884"/>
      <c r="G1522" s="1754">
        <v>0.53214525000000001</v>
      </c>
      <c r="H1522" s="1869">
        <v>388.46603249999998</v>
      </c>
      <c r="I1522" s="612"/>
      <c r="J1522" s="612"/>
      <c r="K1522" s="612"/>
      <c r="L1522" s="612"/>
      <c r="M1522" s="612"/>
      <c r="N1522" s="612"/>
      <c r="O1522" s="612"/>
      <c r="P1522" s="612"/>
      <c r="Q1522" s="612"/>
      <c r="R1522" s="612"/>
      <c r="S1522" s="612"/>
      <c r="T1522" s="612"/>
      <c r="U1522" s="612"/>
      <c r="V1522" s="612"/>
      <c r="W1522" s="761"/>
      <c r="X1522" s="612"/>
      <c r="Y1522" s="679"/>
      <c r="Z1522" s="730"/>
      <c r="AA1522" s="678"/>
    </row>
    <row r="1523" spans="1:27" s="593" customFormat="1">
      <c r="A1523" s="679"/>
      <c r="B1523" s="816" t="s">
        <v>2378</v>
      </c>
      <c r="C1523" s="1882"/>
      <c r="D1523" s="1883"/>
      <c r="E1523" s="1876"/>
      <c r="F1523" s="1884"/>
      <c r="G1523" s="1754">
        <v>1.064325</v>
      </c>
      <c r="H1523" s="1869">
        <v>776.92849999999999</v>
      </c>
      <c r="I1523" s="612"/>
      <c r="J1523" s="612"/>
      <c r="K1523" s="612"/>
      <c r="L1523" s="612"/>
      <c r="M1523" s="612"/>
      <c r="N1523" s="612"/>
      <c r="O1523" s="612"/>
      <c r="P1523" s="612"/>
      <c r="Q1523" s="612"/>
      <c r="R1523" s="612"/>
      <c r="S1523" s="612"/>
      <c r="T1523" s="612"/>
      <c r="U1523" s="612"/>
      <c r="V1523" s="612"/>
      <c r="W1523" s="761"/>
      <c r="X1523" s="612"/>
      <c r="Y1523" s="679"/>
      <c r="Z1523" s="730"/>
      <c r="AA1523" s="678"/>
    </row>
    <row r="1524" spans="1:27" s="593" customFormat="1">
      <c r="A1524" s="679"/>
      <c r="B1524" s="816" t="s">
        <v>2641</v>
      </c>
      <c r="C1524" s="1882"/>
      <c r="D1524" s="1883"/>
      <c r="E1524" s="1876"/>
      <c r="F1524" s="1884"/>
      <c r="G1524" s="1754">
        <v>2.5276999999999998</v>
      </c>
      <c r="H1524" s="1869">
        <v>1845.1864999999998</v>
      </c>
      <c r="I1524" s="612"/>
      <c r="J1524" s="612"/>
      <c r="K1524" s="612"/>
      <c r="L1524" s="612"/>
      <c r="M1524" s="612"/>
      <c r="N1524" s="612"/>
      <c r="O1524" s="612"/>
      <c r="P1524" s="612"/>
      <c r="Q1524" s="612"/>
      <c r="R1524" s="612"/>
      <c r="S1524" s="612"/>
      <c r="T1524" s="612"/>
      <c r="U1524" s="612"/>
      <c r="V1524" s="612"/>
      <c r="W1524" s="761"/>
      <c r="X1524" s="612"/>
      <c r="Y1524" s="679"/>
      <c r="Z1524" s="730"/>
      <c r="AA1524" s="678"/>
    </row>
    <row r="1525" spans="1:27" s="593" customFormat="1">
      <c r="A1525" s="679"/>
      <c r="B1525" s="816" t="s">
        <v>2637</v>
      </c>
      <c r="C1525" s="1882"/>
      <c r="D1525" s="1883"/>
      <c r="E1525" s="1876"/>
      <c r="F1525" s="1884"/>
      <c r="G1525" s="1754">
        <v>1.064325</v>
      </c>
      <c r="H1525" s="1869">
        <v>776.92849999999999</v>
      </c>
      <c r="I1525" s="612"/>
      <c r="J1525" s="612"/>
      <c r="K1525" s="612"/>
      <c r="L1525" s="612"/>
      <c r="M1525" s="612"/>
      <c r="N1525" s="612"/>
      <c r="O1525" s="612"/>
      <c r="P1525" s="612"/>
      <c r="Q1525" s="612"/>
      <c r="R1525" s="612"/>
      <c r="S1525" s="612"/>
      <c r="T1525" s="612"/>
      <c r="U1525" s="612"/>
      <c r="V1525" s="612"/>
      <c r="W1525" s="761"/>
      <c r="X1525" s="612"/>
      <c r="Y1525" s="679"/>
      <c r="Z1525" s="730"/>
      <c r="AA1525" s="678"/>
    </row>
    <row r="1526" spans="1:27" s="593" customFormat="1">
      <c r="A1526" s="679"/>
      <c r="B1526" s="816" t="s">
        <v>2638</v>
      </c>
      <c r="C1526" s="1882"/>
      <c r="D1526" s="1883"/>
      <c r="E1526" s="1876"/>
      <c r="F1526" s="1884"/>
      <c r="G1526" s="1754">
        <v>1.9954799999999999</v>
      </c>
      <c r="H1526" s="1869">
        <v>1456.7279999999998</v>
      </c>
      <c r="I1526" s="612"/>
      <c r="J1526" s="612"/>
      <c r="K1526" s="612"/>
      <c r="L1526" s="612"/>
      <c r="M1526" s="612"/>
      <c r="N1526" s="612"/>
      <c r="O1526" s="612"/>
      <c r="P1526" s="612"/>
      <c r="Q1526" s="612"/>
      <c r="R1526" s="612"/>
      <c r="S1526" s="612"/>
      <c r="T1526" s="612"/>
      <c r="U1526" s="612"/>
      <c r="V1526" s="612"/>
      <c r="W1526" s="761"/>
      <c r="X1526" s="612"/>
      <c r="Y1526" s="679"/>
      <c r="Z1526" s="730"/>
      <c r="AA1526" s="678"/>
    </row>
    <row r="1527" spans="1:27" s="593" customFormat="1">
      <c r="A1527" s="679"/>
      <c r="B1527" s="816" t="s">
        <v>2626</v>
      </c>
      <c r="C1527" s="1882"/>
      <c r="D1527" s="1883"/>
      <c r="E1527" s="1876"/>
      <c r="F1527" s="1884"/>
      <c r="G1527" s="1754">
        <v>7.7509999999999996E-2</v>
      </c>
      <c r="H1527" s="1869">
        <v>56.58</v>
      </c>
      <c r="I1527" s="612"/>
      <c r="J1527" s="612"/>
      <c r="K1527" s="612"/>
      <c r="L1527" s="612"/>
      <c r="M1527" s="612"/>
      <c r="N1527" s="612"/>
      <c r="O1527" s="612"/>
      <c r="P1527" s="612"/>
      <c r="Q1527" s="612"/>
      <c r="R1527" s="612"/>
      <c r="S1527" s="612"/>
      <c r="T1527" s="612"/>
      <c r="U1527" s="612"/>
      <c r="V1527" s="612"/>
      <c r="W1527" s="761"/>
      <c r="X1527" s="612"/>
      <c r="Y1527" s="679"/>
      <c r="Z1527" s="730"/>
      <c r="AA1527" s="678"/>
    </row>
    <row r="1528" spans="1:27" s="593" customFormat="1">
      <c r="A1528" s="679"/>
      <c r="B1528" s="816" t="s">
        <v>2631</v>
      </c>
      <c r="C1528" s="1882"/>
      <c r="D1528" s="1883"/>
      <c r="E1528" s="1876"/>
      <c r="F1528" s="1884"/>
      <c r="G1528" s="1754">
        <v>7.7509999999999996E-2</v>
      </c>
      <c r="H1528" s="1869">
        <v>56.58</v>
      </c>
      <c r="I1528" s="612"/>
      <c r="J1528" s="612"/>
      <c r="K1528" s="612"/>
      <c r="L1528" s="612"/>
      <c r="M1528" s="612"/>
      <c r="N1528" s="612"/>
      <c r="O1528" s="612"/>
      <c r="P1528" s="612"/>
      <c r="Q1528" s="612"/>
      <c r="R1528" s="612"/>
      <c r="S1528" s="612"/>
      <c r="T1528" s="612"/>
      <c r="U1528" s="612"/>
      <c r="V1528" s="612"/>
      <c r="W1528" s="761"/>
      <c r="X1528" s="612"/>
      <c r="Y1528" s="679"/>
      <c r="Z1528" s="730"/>
      <c r="AA1528" s="678"/>
    </row>
    <row r="1529" spans="1:27" s="593" customFormat="1">
      <c r="A1529" s="679"/>
      <c r="B1529" s="816" t="s">
        <v>2627</v>
      </c>
      <c r="C1529" s="1882"/>
      <c r="D1529" s="1883"/>
      <c r="E1529" s="1876"/>
      <c r="F1529" s="1884"/>
      <c r="G1529" s="1754">
        <v>0.14731499999999997</v>
      </c>
      <c r="H1529" s="1869">
        <v>107.5365</v>
      </c>
      <c r="I1529" s="612"/>
      <c r="J1529" s="612"/>
      <c r="K1529" s="612"/>
      <c r="L1529" s="612"/>
      <c r="M1529" s="612"/>
      <c r="N1529" s="612"/>
      <c r="O1529" s="612"/>
      <c r="P1529" s="612"/>
      <c r="Q1529" s="612"/>
      <c r="R1529" s="612"/>
      <c r="S1529" s="612"/>
      <c r="T1529" s="612"/>
      <c r="U1529" s="612"/>
      <c r="V1529" s="612"/>
      <c r="W1529" s="761"/>
      <c r="X1529" s="612"/>
      <c r="Y1529" s="679"/>
      <c r="Z1529" s="730"/>
      <c r="AA1529" s="678"/>
    </row>
    <row r="1530" spans="1:27" s="593" customFormat="1">
      <c r="A1530" s="679"/>
      <c r="B1530" s="816" t="s">
        <v>2632</v>
      </c>
      <c r="C1530" s="1882"/>
      <c r="D1530" s="1883"/>
      <c r="E1530" s="1876"/>
      <c r="F1530" s="1884"/>
      <c r="G1530" s="1754">
        <v>0.14731499999999997</v>
      </c>
      <c r="H1530" s="1869">
        <v>107.5365</v>
      </c>
      <c r="I1530" s="612"/>
      <c r="J1530" s="612"/>
      <c r="K1530" s="612"/>
      <c r="L1530" s="612"/>
      <c r="M1530" s="612"/>
      <c r="N1530" s="612"/>
      <c r="O1530" s="612"/>
      <c r="P1530" s="612"/>
      <c r="Q1530" s="612"/>
      <c r="R1530" s="612"/>
      <c r="S1530" s="612"/>
      <c r="T1530" s="612"/>
      <c r="U1530" s="612"/>
      <c r="V1530" s="612"/>
      <c r="W1530" s="761"/>
      <c r="X1530" s="612"/>
      <c r="Y1530" s="679"/>
      <c r="Z1530" s="730"/>
      <c r="AA1530" s="678"/>
    </row>
    <row r="1531" spans="1:27" s="593" customFormat="1">
      <c r="A1531" s="679"/>
      <c r="B1531" s="816" t="s">
        <v>2628</v>
      </c>
      <c r="C1531" s="1882"/>
      <c r="D1531" s="1883"/>
      <c r="E1531" s="1876"/>
      <c r="F1531" s="1884"/>
      <c r="G1531" s="1754">
        <v>0.27990999999999999</v>
      </c>
      <c r="H1531" s="1869">
        <v>204.32049999999998</v>
      </c>
      <c r="I1531" s="612"/>
      <c r="J1531" s="612"/>
      <c r="K1531" s="612"/>
      <c r="L1531" s="612"/>
      <c r="M1531" s="612"/>
      <c r="N1531" s="612"/>
      <c r="O1531" s="612"/>
      <c r="P1531" s="612"/>
      <c r="Q1531" s="612"/>
      <c r="R1531" s="612"/>
      <c r="S1531" s="612"/>
      <c r="T1531" s="612"/>
      <c r="U1531" s="612"/>
      <c r="V1531" s="612"/>
      <c r="W1531" s="761"/>
      <c r="X1531" s="612"/>
      <c r="Y1531" s="679"/>
      <c r="Z1531" s="730"/>
      <c r="AA1531" s="678"/>
    </row>
    <row r="1532" spans="1:27" s="593" customFormat="1">
      <c r="A1532" s="679"/>
      <c r="B1532" s="816" t="s">
        <v>2633</v>
      </c>
      <c r="C1532" s="1882"/>
      <c r="D1532" s="1883"/>
      <c r="E1532" s="1876"/>
      <c r="F1532" s="1884"/>
      <c r="G1532" s="1754">
        <v>0.27990999999999999</v>
      </c>
      <c r="H1532" s="1869">
        <v>204.32049999999998</v>
      </c>
      <c r="I1532" s="612"/>
      <c r="J1532" s="612"/>
      <c r="K1532" s="612"/>
      <c r="L1532" s="612"/>
      <c r="M1532" s="612"/>
      <c r="N1532" s="612"/>
      <c r="O1532" s="612"/>
      <c r="P1532" s="612"/>
      <c r="Q1532" s="612"/>
      <c r="R1532" s="612"/>
      <c r="S1532" s="612"/>
      <c r="T1532" s="612"/>
      <c r="U1532" s="612"/>
      <c r="V1532" s="612"/>
      <c r="W1532" s="761"/>
      <c r="X1532" s="612"/>
      <c r="Y1532" s="679"/>
      <c r="Z1532" s="730"/>
      <c r="AA1532" s="678"/>
    </row>
    <row r="1533" spans="1:27" s="593" customFormat="1">
      <c r="A1533" s="679"/>
      <c r="B1533" s="816" t="s">
        <v>2388</v>
      </c>
      <c r="C1533" s="1882"/>
      <c r="D1533" s="1883"/>
      <c r="E1533" s="1876"/>
      <c r="F1533" s="1884"/>
      <c r="G1533" s="1754">
        <v>0.53210499999999994</v>
      </c>
      <c r="H1533" s="1869">
        <v>388.45850000000002</v>
      </c>
      <c r="I1533" s="612"/>
      <c r="J1533" s="612"/>
      <c r="K1533" s="612"/>
      <c r="L1533" s="612"/>
      <c r="M1533" s="612"/>
      <c r="N1533" s="612"/>
      <c r="O1533" s="612"/>
      <c r="P1533" s="612"/>
      <c r="Q1533" s="612"/>
      <c r="R1533" s="612"/>
      <c r="S1533" s="612"/>
      <c r="T1533" s="612"/>
      <c r="U1533" s="612"/>
      <c r="V1533" s="612"/>
      <c r="W1533" s="761"/>
      <c r="X1533" s="612"/>
      <c r="Y1533" s="679"/>
      <c r="Z1533" s="730"/>
      <c r="AA1533" s="678"/>
    </row>
    <row r="1534" spans="1:27" s="593" customFormat="1">
      <c r="A1534" s="679"/>
      <c r="B1534" s="816" t="s">
        <v>2389</v>
      </c>
      <c r="C1534" s="1882"/>
      <c r="D1534" s="1883"/>
      <c r="E1534" s="1876"/>
      <c r="F1534" s="1884"/>
      <c r="G1534" s="1754">
        <v>0.53210499999999994</v>
      </c>
      <c r="H1534" s="1869">
        <v>388.45850000000002</v>
      </c>
      <c r="I1534" s="612"/>
      <c r="J1534" s="612"/>
      <c r="K1534" s="612"/>
      <c r="L1534" s="612"/>
      <c r="M1534" s="612"/>
      <c r="N1534" s="612"/>
      <c r="O1534" s="612"/>
      <c r="P1534" s="612"/>
      <c r="Q1534" s="612"/>
      <c r="R1534" s="612"/>
      <c r="S1534" s="612"/>
      <c r="T1534" s="612"/>
      <c r="U1534" s="612"/>
      <c r="V1534" s="612"/>
      <c r="W1534" s="761"/>
      <c r="X1534" s="612"/>
      <c r="Y1534" s="679"/>
      <c r="Z1534" s="730"/>
      <c r="AA1534" s="678"/>
    </row>
    <row r="1535" spans="1:27" s="593" customFormat="1">
      <c r="A1535" s="679"/>
      <c r="B1535" s="816" t="s">
        <v>2442</v>
      </c>
      <c r="C1535" s="1882"/>
      <c r="D1535" s="1883"/>
      <c r="E1535" s="1876"/>
      <c r="F1535" s="1884"/>
      <c r="G1535" s="1754">
        <v>1.064325</v>
      </c>
      <c r="H1535" s="1869">
        <v>776.92849999999999</v>
      </c>
      <c r="I1535" s="612"/>
      <c r="J1535" s="612"/>
      <c r="K1535" s="612"/>
      <c r="L1535" s="612"/>
      <c r="M1535" s="612"/>
      <c r="N1535" s="612"/>
      <c r="O1535" s="612"/>
      <c r="P1535" s="612"/>
      <c r="Q1535" s="612"/>
      <c r="R1535" s="612"/>
      <c r="S1535" s="612"/>
      <c r="T1535" s="612"/>
      <c r="U1535" s="612"/>
      <c r="V1535" s="612"/>
      <c r="W1535" s="761"/>
      <c r="X1535" s="612"/>
      <c r="Y1535" s="679"/>
      <c r="Z1535" s="730"/>
      <c r="AA1535" s="678"/>
    </row>
    <row r="1536" spans="1:27" s="593" customFormat="1">
      <c r="A1536" s="679"/>
      <c r="B1536" s="816" t="s">
        <v>2391</v>
      </c>
      <c r="C1536" s="1882"/>
      <c r="D1536" s="1883"/>
      <c r="E1536" s="1876"/>
      <c r="F1536" s="1884"/>
      <c r="G1536" s="1754">
        <v>1.064325</v>
      </c>
      <c r="H1536" s="1869">
        <v>776.92849999999999</v>
      </c>
      <c r="I1536" s="612"/>
      <c r="J1536" s="612"/>
      <c r="K1536" s="612"/>
      <c r="L1536" s="612"/>
      <c r="M1536" s="612"/>
      <c r="N1536" s="612"/>
      <c r="O1536" s="612"/>
      <c r="P1536" s="612"/>
      <c r="Q1536" s="612"/>
      <c r="R1536" s="612"/>
      <c r="S1536" s="612"/>
      <c r="T1536" s="612"/>
      <c r="U1536" s="612"/>
      <c r="V1536" s="612"/>
      <c r="W1536" s="761"/>
      <c r="X1536" s="612"/>
      <c r="Y1536" s="679"/>
      <c r="Z1536" s="730"/>
      <c r="AA1536" s="678"/>
    </row>
    <row r="1537" spans="1:27" s="593" customFormat="1">
      <c r="A1537" s="679"/>
      <c r="B1537" s="816" t="s">
        <v>2443</v>
      </c>
      <c r="C1537" s="1882"/>
      <c r="D1537" s="1883"/>
      <c r="E1537" s="1876"/>
      <c r="F1537" s="1884"/>
      <c r="G1537" s="1754">
        <v>2.1286499999999999</v>
      </c>
      <c r="H1537" s="1869">
        <v>1553.857</v>
      </c>
      <c r="I1537" s="612"/>
      <c r="J1537" s="612"/>
      <c r="K1537" s="612"/>
      <c r="L1537" s="612"/>
      <c r="M1537" s="612"/>
      <c r="N1537" s="612"/>
      <c r="O1537" s="612"/>
      <c r="P1537" s="612"/>
      <c r="Q1537" s="612"/>
      <c r="R1537" s="612"/>
      <c r="S1537" s="612"/>
      <c r="T1537" s="612"/>
      <c r="U1537" s="612"/>
      <c r="V1537" s="612"/>
      <c r="W1537" s="761"/>
      <c r="X1537" s="612"/>
      <c r="Y1537" s="679"/>
      <c r="Z1537" s="730"/>
      <c r="AA1537" s="678"/>
    </row>
    <row r="1538" spans="1:27" s="593" customFormat="1">
      <c r="A1538" s="679"/>
      <c r="B1538" s="816" t="s">
        <v>2392</v>
      </c>
      <c r="C1538" s="1882"/>
      <c r="D1538" s="1883"/>
      <c r="E1538" s="1876"/>
      <c r="F1538" s="1884"/>
      <c r="G1538" s="1754">
        <v>2.1286499999999999</v>
      </c>
      <c r="H1538" s="1869">
        <v>1553.857</v>
      </c>
      <c r="I1538" s="612"/>
      <c r="J1538" s="612"/>
      <c r="K1538" s="612"/>
      <c r="L1538" s="612"/>
      <c r="M1538" s="612"/>
      <c r="N1538" s="612"/>
      <c r="O1538" s="612"/>
      <c r="P1538" s="612"/>
      <c r="Q1538" s="612"/>
      <c r="R1538" s="612"/>
      <c r="S1538" s="612"/>
      <c r="T1538" s="612"/>
      <c r="U1538" s="612"/>
      <c r="V1538" s="612"/>
      <c r="W1538" s="761"/>
      <c r="X1538" s="612"/>
      <c r="Y1538" s="679"/>
      <c r="Z1538" s="730"/>
      <c r="AA1538" s="678"/>
    </row>
    <row r="1539" spans="1:27" s="593" customFormat="1">
      <c r="A1539" s="679"/>
      <c r="B1539" s="816" t="s">
        <v>2751</v>
      </c>
      <c r="C1539" s="1882"/>
      <c r="D1539" s="1883"/>
      <c r="E1539" s="1876"/>
      <c r="F1539" s="1884"/>
      <c r="G1539" s="1754">
        <v>0.13949500000000001</v>
      </c>
      <c r="H1539" s="1869">
        <v>101.84399999999999</v>
      </c>
      <c r="I1539" s="612"/>
      <c r="J1539" s="612"/>
      <c r="K1539" s="612"/>
      <c r="L1539" s="612"/>
      <c r="M1539" s="612"/>
      <c r="N1539" s="612"/>
      <c r="O1539" s="612"/>
      <c r="P1539" s="612"/>
      <c r="Q1539" s="612"/>
      <c r="R1539" s="612"/>
      <c r="S1539" s="612"/>
      <c r="T1539" s="612"/>
      <c r="U1539" s="612"/>
      <c r="V1539" s="612"/>
      <c r="W1539" s="761"/>
      <c r="X1539" s="612"/>
      <c r="Y1539" s="679"/>
      <c r="Z1539" s="730"/>
      <c r="AA1539" s="678"/>
    </row>
    <row r="1540" spans="1:27" s="593" customFormat="1">
      <c r="A1540" s="679"/>
      <c r="B1540" s="816" t="s">
        <v>2752</v>
      </c>
      <c r="C1540" s="1882"/>
      <c r="D1540" s="1883"/>
      <c r="E1540" s="1876"/>
      <c r="F1540" s="1884"/>
      <c r="G1540" s="1754">
        <v>0.139518</v>
      </c>
      <c r="H1540" s="1869">
        <v>101.84399999999999</v>
      </c>
      <c r="I1540" s="612"/>
      <c r="J1540" s="612"/>
      <c r="K1540" s="612"/>
      <c r="L1540" s="612"/>
      <c r="M1540" s="612"/>
      <c r="N1540" s="612"/>
      <c r="O1540" s="612"/>
      <c r="P1540" s="612"/>
      <c r="Q1540" s="612"/>
      <c r="R1540" s="612"/>
      <c r="S1540" s="612"/>
      <c r="T1540" s="612"/>
      <c r="U1540" s="612"/>
      <c r="V1540" s="612"/>
      <c r="W1540" s="761"/>
      <c r="X1540" s="612"/>
      <c r="Y1540" s="679"/>
      <c r="Z1540" s="730"/>
      <c r="AA1540" s="678"/>
    </row>
    <row r="1541" spans="1:27" s="593" customFormat="1">
      <c r="A1541" s="679"/>
      <c r="B1541" s="816" t="s">
        <v>2753</v>
      </c>
      <c r="C1541" s="1882"/>
      <c r="D1541" s="1883"/>
      <c r="E1541" s="1876"/>
      <c r="F1541" s="1884"/>
      <c r="G1541" s="1754">
        <v>0.26507500000000001</v>
      </c>
      <c r="H1541" s="1869">
        <v>193.56799999999998</v>
      </c>
      <c r="I1541" s="612"/>
      <c r="J1541" s="612"/>
      <c r="K1541" s="612"/>
      <c r="L1541" s="612"/>
      <c r="M1541" s="612"/>
      <c r="N1541" s="612"/>
      <c r="O1541" s="612"/>
      <c r="P1541" s="612"/>
      <c r="Q1541" s="612"/>
      <c r="R1541" s="612"/>
      <c r="S1541" s="612"/>
      <c r="T1541" s="612"/>
      <c r="U1541" s="612"/>
      <c r="V1541" s="612"/>
      <c r="W1541" s="761"/>
      <c r="X1541" s="612"/>
      <c r="Y1541" s="679"/>
      <c r="Z1541" s="730"/>
      <c r="AA1541" s="678"/>
    </row>
    <row r="1542" spans="1:27" s="593" customFormat="1">
      <c r="A1542" s="679"/>
      <c r="B1542" s="816" t="s">
        <v>2754</v>
      </c>
      <c r="C1542" s="1882"/>
      <c r="D1542" s="1883"/>
      <c r="E1542" s="1876"/>
      <c r="F1542" s="1884"/>
      <c r="G1542" s="1754">
        <v>0.26516699999999993</v>
      </c>
      <c r="H1542" s="1869">
        <v>193.56569999999999</v>
      </c>
      <c r="I1542" s="612"/>
      <c r="J1542" s="612"/>
      <c r="K1542" s="612"/>
      <c r="L1542" s="612"/>
      <c r="M1542" s="612"/>
      <c r="N1542" s="612"/>
      <c r="O1542" s="612"/>
      <c r="P1542" s="612"/>
      <c r="Q1542" s="612"/>
      <c r="R1542" s="612"/>
      <c r="S1542" s="612"/>
      <c r="T1542" s="612"/>
      <c r="U1542" s="612"/>
      <c r="V1542" s="612"/>
      <c r="W1542" s="761"/>
      <c r="X1542" s="612"/>
      <c r="Y1542" s="679"/>
      <c r="Z1542" s="730"/>
      <c r="AA1542" s="678"/>
    </row>
    <row r="1543" spans="1:27" s="593" customFormat="1">
      <c r="A1543" s="679"/>
      <c r="B1543" s="816" t="s">
        <v>2755</v>
      </c>
      <c r="C1543" s="1882"/>
      <c r="D1543" s="1883"/>
      <c r="E1543" s="1876"/>
      <c r="F1543" s="1884"/>
      <c r="G1543" s="1754">
        <v>0.50383800000000001</v>
      </c>
      <c r="H1543" s="1869">
        <v>367.77689999999996</v>
      </c>
      <c r="I1543" s="612"/>
      <c r="J1543" s="612"/>
      <c r="K1543" s="612"/>
      <c r="L1543" s="612"/>
      <c r="M1543" s="612"/>
      <c r="N1543" s="612"/>
      <c r="O1543" s="612"/>
      <c r="P1543" s="612"/>
      <c r="Q1543" s="612"/>
      <c r="R1543" s="612"/>
      <c r="S1543" s="612"/>
      <c r="T1543" s="612"/>
      <c r="U1543" s="612"/>
      <c r="V1543" s="612"/>
      <c r="W1543" s="761"/>
      <c r="X1543" s="612"/>
      <c r="Y1543" s="679"/>
      <c r="Z1543" s="730"/>
      <c r="AA1543" s="678"/>
    </row>
    <row r="1544" spans="1:27" s="593" customFormat="1">
      <c r="A1544" s="679"/>
      <c r="B1544" s="816" t="s">
        <v>2756</v>
      </c>
      <c r="C1544" s="1882"/>
      <c r="D1544" s="1883"/>
      <c r="E1544" s="1876"/>
      <c r="F1544" s="1884"/>
      <c r="G1544" s="1754">
        <v>0.50383800000000001</v>
      </c>
      <c r="H1544" s="1869">
        <v>367.77689999999996</v>
      </c>
      <c r="I1544" s="612"/>
      <c r="J1544" s="612"/>
      <c r="K1544" s="612"/>
      <c r="L1544" s="612"/>
      <c r="M1544" s="612"/>
      <c r="N1544" s="612"/>
      <c r="O1544" s="612"/>
      <c r="P1544" s="612"/>
      <c r="Q1544" s="612"/>
      <c r="R1544" s="612"/>
      <c r="S1544" s="612"/>
      <c r="T1544" s="612"/>
      <c r="U1544" s="612"/>
      <c r="V1544" s="612"/>
      <c r="W1544" s="761"/>
      <c r="X1544" s="612"/>
      <c r="Y1544" s="679"/>
      <c r="Z1544" s="730"/>
      <c r="AA1544" s="678"/>
    </row>
    <row r="1545" spans="1:27" s="593" customFormat="1">
      <c r="A1545" s="679"/>
      <c r="B1545" s="816" t="s">
        <v>2757</v>
      </c>
      <c r="C1545" s="1882"/>
      <c r="D1545" s="1883"/>
      <c r="E1545" s="1876"/>
      <c r="F1545" s="1884"/>
      <c r="G1545" s="1754">
        <v>0.957789</v>
      </c>
      <c r="H1545" s="1869">
        <v>699.22529999999995</v>
      </c>
      <c r="I1545" s="612"/>
      <c r="J1545" s="612"/>
      <c r="K1545" s="612"/>
      <c r="L1545" s="612"/>
      <c r="M1545" s="612"/>
      <c r="N1545" s="612"/>
      <c r="O1545" s="612"/>
      <c r="P1545" s="612"/>
      <c r="Q1545" s="612"/>
      <c r="R1545" s="612"/>
      <c r="S1545" s="612"/>
      <c r="T1545" s="612"/>
      <c r="U1545" s="612"/>
      <c r="V1545" s="612"/>
      <c r="W1545" s="761"/>
      <c r="X1545" s="612"/>
      <c r="Y1545" s="679"/>
      <c r="Z1545" s="730"/>
      <c r="AA1545" s="678"/>
    </row>
    <row r="1546" spans="1:27" s="593" customFormat="1">
      <c r="A1546" s="679"/>
      <c r="B1546" s="816" t="s">
        <v>2758</v>
      </c>
      <c r="C1546" s="1882"/>
      <c r="D1546" s="1883"/>
      <c r="E1546" s="1876"/>
      <c r="F1546" s="1884"/>
      <c r="G1546" s="1754">
        <v>0.957789</v>
      </c>
      <c r="H1546" s="1869">
        <v>699.22529999999995</v>
      </c>
      <c r="I1546" s="612"/>
      <c r="J1546" s="612"/>
      <c r="K1546" s="612"/>
      <c r="L1546" s="612"/>
      <c r="M1546" s="612"/>
      <c r="N1546" s="612"/>
      <c r="O1546" s="612"/>
      <c r="P1546" s="612"/>
      <c r="Q1546" s="612"/>
      <c r="R1546" s="612"/>
      <c r="S1546" s="612"/>
      <c r="T1546" s="612"/>
      <c r="U1546" s="612"/>
      <c r="V1546" s="612"/>
      <c r="W1546" s="761"/>
      <c r="X1546" s="612"/>
      <c r="Y1546" s="679"/>
      <c r="Z1546" s="730"/>
      <c r="AA1546" s="678"/>
    </row>
    <row r="1547" spans="1:27" s="593" customFormat="1">
      <c r="A1547" s="679"/>
      <c r="B1547" s="816" t="s">
        <v>2759</v>
      </c>
      <c r="C1547" s="1882"/>
      <c r="D1547" s="1883"/>
      <c r="E1547" s="1876"/>
      <c r="F1547" s="1884"/>
      <c r="G1547" s="1754">
        <v>1.9157849999999998</v>
      </c>
      <c r="H1547" s="1869">
        <v>1398.4712999999999</v>
      </c>
      <c r="I1547" s="612"/>
      <c r="J1547" s="612"/>
      <c r="K1547" s="612"/>
      <c r="L1547" s="612"/>
      <c r="M1547" s="612"/>
      <c r="N1547" s="612"/>
      <c r="O1547" s="612"/>
      <c r="P1547" s="612"/>
      <c r="Q1547" s="612"/>
      <c r="R1547" s="612"/>
      <c r="S1547" s="612"/>
      <c r="T1547" s="612"/>
      <c r="U1547" s="612"/>
      <c r="V1547" s="612"/>
      <c r="W1547" s="761"/>
      <c r="X1547" s="612"/>
      <c r="Y1547" s="679"/>
      <c r="Z1547" s="730"/>
      <c r="AA1547" s="678"/>
    </row>
    <row r="1548" spans="1:27" s="593" customFormat="1">
      <c r="A1548" s="679"/>
      <c r="B1548" s="816" t="s">
        <v>2760</v>
      </c>
      <c r="C1548" s="1882"/>
      <c r="D1548" s="1883"/>
      <c r="E1548" s="1876"/>
      <c r="F1548" s="1884"/>
      <c r="G1548" s="1754">
        <v>1.9157849999999998</v>
      </c>
      <c r="H1548" s="1869">
        <v>1398.4712999999999</v>
      </c>
      <c r="I1548" s="612"/>
      <c r="J1548" s="612"/>
      <c r="K1548" s="612"/>
      <c r="L1548" s="612"/>
      <c r="M1548" s="612"/>
      <c r="N1548" s="612"/>
      <c r="O1548" s="612"/>
      <c r="P1548" s="612"/>
      <c r="Q1548" s="612"/>
      <c r="R1548" s="612"/>
      <c r="S1548" s="612"/>
      <c r="T1548" s="612"/>
      <c r="U1548" s="612"/>
      <c r="V1548" s="612"/>
      <c r="W1548" s="761"/>
      <c r="X1548" s="612"/>
      <c r="Y1548" s="679"/>
      <c r="Z1548" s="730"/>
      <c r="AA1548" s="678"/>
    </row>
    <row r="1549" spans="1:27" s="593" customFormat="1">
      <c r="A1549" s="679"/>
      <c r="B1549" s="816" t="s">
        <v>2761</v>
      </c>
      <c r="C1549" s="1882"/>
      <c r="D1549" s="1883"/>
      <c r="E1549" s="1876"/>
      <c r="F1549" s="1884"/>
      <c r="G1549" s="1754">
        <v>3.8315699999999997</v>
      </c>
      <c r="H1549" s="1869">
        <v>2796.9425999999999</v>
      </c>
      <c r="I1549" s="612"/>
      <c r="J1549" s="612"/>
      <c r="K1549" s="612"/>
      <c r="L1549" s="612"/>
      <c r="M1549" s="612"/>
      <c r="N1549" s="612"/>
      <c r="O1549" s="612"/>
      <c r="P1549" s="612"/>
      <c r="Q1549" s="612"/>
      <c r="R1549" s="612"/>
      <c r="S1549" s="612"/>
      <c r="T1549" s="612"/>
      <c r="U1549" s="612"/>
      <c r="V1549" s="612"/>
      <c r="W1549" s="761"/>
      <c r="X1549" s="612"/>
      <c r="Y1549" s="679"/>
      <c r="Z1549" s="730"/>
      <c r="AA1549" s="678"/>
    </row>
    <row r="1550" spans="1:27" s="593" customFormat="1">
      <c r="A1550" s="679"/>
      <c r="B1550" s="816" t="s">
        <v>2762</v>
      </c>
      <c r="C1550" s="1882"/>
      <c r="D1550" s="1883"/>
      <c r="E1550" s="1876"/>
      <c r="F1550" s="1884"/>
      <c r="G1550" s="1754">
        <v>3.8315699999999997</v>
      </c>
      <c r="H1550" s="1869">
        <v>2796.9425999999999</v>
      </c>
      <c r="I1550" s="612"/>
      <c r="J1550" s="612"/>
      <c r="K1550" s="612"/>
      <c r="L1550" s="612"/>
      <c r="M1550" s="612"/>
      <c r="N1550" s="612"/>
      <c r="O1550" s="612"/>
      <c r="P1550" s="612"/>
      <c r="Q1550" s="612"/>
      <c r="R1550" s="612"/>
      <c r="S1550" s="612"/>
      <c r="T1550" s="612"/>
      <c r="U1550" s="612"/>
      <c r="V1550" s="612"/>
      <c r="W1550" s="761"/>
      <c r="X1550" s="612"/>
      <c r="Y1550" s="679"/>
      <c r="Z1550" s="730"/>
      <c r="AA1550" s="678"/>
    </row>
    <row r="1551" spans="1:27" s="593" customFormat="1">
      <c r="A1551" s="679"/>
      <c r="B1551" s="1875"/>
      <c r="C1551" s="1882"/>
      <c r="D1551" s="1883"/>
      <c r="E1551" s="1876"/>
      <c r="F1551" s="1884"/>
      <c r="G1551" s="1754">
        <v>0</v>
      </c>
      <c r="H1551" s="1869">
        <v>0</v>
      </c>
      <c r="I1551" s="612"/>
      <c r="J1551" s="612"/>
      <c r="K1551" s="612"/>
      <c r="L1551" s="612"/>
      <c r="M1551" s="612"/>
      <c r="N1551" s="612"/>
      <c r="O1551" s="612"/>
      <c r="P1551" s="612"/>
      <c r="Q1551" s="612"/>
      <c r="R1551" s="612"/>
      <c r="S1551" s="612"/>
      <c r="T1551" s="612"/>
      <c r="U1551" s="612"/>
      <c r="V1551" s="612"/>
      <c r="W1551" s="761"/>
      <c r="X1551" s="612"/>
      <c r="Y1551" s="679"/>
      <c r="Z1551" s="730"/>
      <c r="AA1551" s="678"/>
    </row>
    <row r="1552" spans="1:27" s="593" customFormat="1" ht="14.55" hidden="1" customHeight="1">
      <c r="A1552" s="679"/>
      <c r="B1552" s="816" t="s">
        <v>2763</v>
      </c>
      <c r="C1552" s="1882"/>
      <c r="D1552" s="1883"/>
      <c r="E1552" s="1876"/>
      <c r="F1552" s="1876"/>
      <c r="G1552" s="1754">
        <v>7.7509999999999996E-2</v>
      </c>
      <c r="H1552" s="1869">
        <v>56.582299999999996</v>
      </c>
      <c r="I1552" s="612"/>
      <c r="J1552" s="612"/>
      <c r="K1552" s="612"/>
      <c r="L1552" s="612"/>
      <c r="M1552" s="612"/>
      <c r="N1552" s="612"/>
      <c r="O1552" s="612"/>
      <c r="P1552" s="612"/>
      <c r="Q1552" s="612"/>
      <c r="R1552" s="612"/>
      <c r="S1552" s="612"/>
      <c r="T1552" s="612"/>
      <c r="U1552" s="612"/>
      <c r="V1552" s="612"/>
      <c r="W1552" s="761"/>
      <c r="X1552" s="612"/>
      <c r="Y1552" s="679"/>
      <c r="Z1552" s="730"/>
      <c r="AA1552" s="678"/>
    </row>
    <row r="1553" spans="1:38" s="593" customFormat="1" ht="14.55" hidden="1" customHeight="1">
      <c r="A1553" s="679"/>
      <c r="B1553" s="816" t="s">
        <v>2643</v>
      </c>
      <c r="C1553" s="1882"/>
      <c r="D1553" s="1883"/>
      <c r="E1553" s="1876"/>
      <c r="F1553" s="1876"/>
      <c r="G1553" s="1754">
        <v>0.15501999999999999</v>
      </c>
      <c r="H1553" s="1869">
        <v>113.16459999999999</v>
      </c>
      <c r="I1553" s="612"/>
      <c r="J1553" s="612"/>
      <c r="K1553" s="612"/>
      <c r="L1553" s="612"/>
      <c r="M1553" s="612"/>
      <c r="N1553" s="612"/>
      <c r="O1553" s="612"/>
      <c r="P1553" s="612"/>
      <c r="Q1553" s="612"/>
      <c r="R1553" s="612"/>
      <c r="S1553" s="612"/>
      <c r="T1553" s="612"/>
      <c r="U1553" s="612"/>
      <c r="V1553" s="612"/>
      <c r="W1553" s="761"/>
      <c r="X1553" s="612"/>
      <c r="Y1553" s="679"/>
      <c r="Z1553" s="730"/>
      <c r="AA1553" s="678"/>
    </row>
    <row r="1554" spans="1:38" s="331" customFormat="1">
      <c r="A1554" s="141"/>
      <c r="B1554" s="816" t="s">
        <v>2383</v>
      </c>
      <c r="C1554" s="1882"/>
      <c r="D1554" s="1883"/>
      <c r="E1554" s="1876"/>
      <c r="F1554" s="1876"/>
      <c r="G1554" s="1754">
        <v>0.31003999999999998</v>
      </c>
      <c r="H1554" s="1869">
        <v>226.32919999999999</v>
      </c>
      <c r="I1554" s="612"/>
      <c r="J1554" s="612"/>
      <c r="K1554" s="612"/>
      <c r="L1554" s="612"/>
      <c r="M1554" s="612"/>
      <c r="N1554" s="612"/>
      <c r="O1554" s="612"/>
      <c r="P1554" s="612"/>
      <c r="Q1554" s="612"/>
      <c r="R1554" s="612"/>
      <c r="S1554" s="612"/>
      <c r="T1554" s="612"/>
      <c r="U1554" s="612"/>
      <c r="V1554" s="612"/>
      <c r="W1554" s="761"/>
      <c r="X1554" s="612"/>
      <c r="Y1554" s="679"/>
      <c r="Z1554" s="730"/>
      <c r="AA1554" s="678"/>
      <c r="AB1554" s="593"/>
      <c r="AC1554" s="593"/>
      <c r="AD1554" s="593"/>
      <c r="AE1554" s="593"/>
      <c r="AF1554" s="593"/>
      <c r="AG1554" s="593"/>
      <c r="AH1554" s="593"/>
      <c r="AI1554" s="593"/>
      <c r="AJ1554" s="593"/>
      <c r="AK1554" s="593"/>
      <c r="AL1554" s="593"/>
    </row>
    <row r="1555" spans="1:38" s="331" customFormat="1">
      <c r="A1555" s="141"/>
      <c r="B1555" s="816" t="s">
        <v>2440</v>
      </c>
      <c r="C1555" s="1882"/>
      <c r="D1555" s="1883"/>
      <c r="E1555" s="1876"/>
      <c r="F1555" s="1876"/>
      <c r="G1555" s="1754">
        <v>0.46505999999999992</v>
      </c>
      <c r="H1555" s="1869">
        <v>339.49379999999996</v>
      </c>
      <c r="I1555" s="612"/>
      <c r="J1555" s="612"/>
      <c r="K1555" s="612"/>
      <c r="L1555" s="612"/>
      <c r="M1555" s="612"/>
      <c r="N1555" s="612"/>
      <c r="O1555" s="612"/>
      <c r="P1555" s="612"/>
      <c r="Q1555" s="612"/>
      <c r="R1555" s="612"/>
      <c r="S1555" s="612"/>
      <c r="T1555" s="612"/>
      <c r="U1555" s="612"/>
      <c r="V1555" s="612"/>
      <c r="W1555" s="761"/>
      <c r="X1555" s="612"/>
      <c r="Y1555" s="679"/>
      <c r="Z1555" s="730"/>
      <c r="AA1555" s="678"/>
      <c r="AB1555" s="593"/>
      <c r="AC1555" s="593"/>
      <c r="AD1555" s="593"/>
      <c r="AE1555" s="593"/>
      <c r="AF1555" s="593"/>
      <c r="AG1555" s="593"/>
      <c r="AH1555" s="593"/>
      <c r="AI1555" s="593"/>
      <c r="AJ1555" s="593"/>
      <c r="AK1555" s="593"/>
      <c r="AL1555" s="593"/>
    </row>
    <row r="1556" spans="1:38" s="331" customFormat="1">
      <c r="A1556" s="141"/>
      <c r="B1556" s="816" t="s">
        <v>2384</v>
      </c>
      <c r="C1556" s="1882"/>
      <c r="D1556" s="1883"/>
      <c r="E1556" s="1876"/>
      <c r="F1556" s="1876"/>
      <c r="G1556" s="1754">
        <v>0.62007999999999996</v>
      </c>
      <c r="H1556" s="1869">
        <v>452.65839999999997</v>
      </c>
      <c r="I1556" s="612"/>
      <c r="J1556" s="612"/>
      <c r="K1556" s="612"/>
      <c r="L1556" s="612"/>
      <c r="M1556" s="612"/>
      <c r="N1556" s="612"/>
      <c r="O1556" s="612"/>
      <c r="P1556" s="612"/>
      <c r="Q1556" s="612"/>
      <c r="R1556" s="612"/>
      <c r="S1556" s="612"/>
      <c r="T1556" s="612"/>
      <c r="U1556" s="612"/>
      <c r="V1556" s="612"/>
      <c r="W1556" s="761"/>
      <c r="X1556" s="612"/>
      <c r="Y1556" s="679"/>
      <c r="Z1556" s="730"/>
      <c r="AA1556" s="678"/>
      <c r="AB1556" s="593"/>
      <c r="AC1556" s="593"/>
      <c r="AD1556" s="593"/>
      <c r="AE1556" s="593"/>
      <c r="AF1556" s="593"/>
      <c r="AG1556" s="593"/>
      <c r="AH1556" s="593"/>
      <c r="AI1556" s="593"/>
      <c r="AJ1556" s="593"/>
      <c r="AK1556" s="593"/>
      <c r="AL1556" s="593"/>
    </row>
    <row r="1557" spans="1:38" s="331" customFormat="1">
      <c r="A1557" s="141"/>
      <c r="B1557" s="816" t="s">
        <v>2441</v>
      </c>
      <c r="C1557" s="1882"/>
      <c r="D1557" s="1883"/>
      <c r="E1557" s="1876"/>
      <c r="F1557" s="1876"/>
      <c r="G1557" s="1754">
        <v>0.93011999999999984</v>
      </c>
      <c r="H1557" s="1869">
        <v>678.98759999999993</v>
      </c>
      <c r="I1557" s="612"/>
      <c r="J1557" s="612"/>
      <c r="K1557" s="612"/>
      <c r="L1557" s="612"/>
      <c r="M1557" s="612"/>
      <c r="N1557" s="612"/>
      <c r="O1557" s="612"/>
      <c r="P1557" s="612"/>
      <c r="Q1557" s="612"/>
      <c r="R1557" s="612"/>
      <c r="S1557" s="612"/>
      <c r="T1557" s="612"/>
      <c r="U1557" s="612"/>
      <c r="V1557" s="612"/>
      <c r="W1557" s="761"/>
      <c r="X1557" s="612"/>
      <c r="Y1557" s="679"/>
      <c r="Z1557" s="730"/>
      <c r="AA1557" s="678"/>
      <c r="AB1557" s="593"/>
      <c r="AC1557" s="593"/>
      <c r="AD1557" s="593"/>
      <c r="AE1557" s="593"/>
      <c r="AF1557" s="593"/>
      <c r="AG1557" s="593"/>
      <c r="AH1557" s="593"/>
      <c r="AI1557" s="593"/>
      <c r="AJ1557" s="593"/>
      <c r="AK1557" s="593"/>
      <c r="AL1557" s="593"/>
    </row>
    <row r="1558" spans="1:38" s="331" customFormat="1">
      <c r="A1558" s="141"/>
      <c r="B1558" s="816" t="s">
        <v>2385</v>
      </c>
      <c r="C1558" s="1882"/>
      <c r="D1558" s="1883"/>
      <c r="E1558" s="1876"/>
      <c r="F1558" s="1876"/>
      <c r="G1558" s="1754">
        <v>1.2401599999999999</v>
      </c>
      <c r="H1558" s="1869">
        <v>905.31679999999994</v>
      </c>
      <c r="I1558" s="612"/>
      <c r="J1558" s="612"/>
      <c r="K1558" s="612"/>
      <c r="L1558" s="612"/>
      <c r="M1558" s="612"/>
      <c r="N1558" s="612"/>
      <c r="O1558" s="612"/>
      <c r="P1558" s="612"/>
      <c r="Q1558" s="612"/>
      <c r="R1558" s="612"/>
      <c r="S1558" s="612"/>
      <c r="T1558" s="612"/>
      <c r="U1558" s="612"/>
      <c r="V1558" s="612"/>
      <c r="W1558" s="761"/>
      <c r="X1558" s="612"/>
      <c r="Y1558" s="679"/>
      <c r="Z1558" s="730"/>
      <c r="AA1558" s="678"/>
      <c r="AB1558" s="593"/>
      <c r="AC1558" s="593"/>
      <c r="AD1558" s="593"/>
      <c r="AE1558" s="593"/>
      <c r="AF1558" s="593"/>
      <c r="AG1558" s="593"/>
      <c r="AH1558" s="593"/>
      <c r="AI1558" s="593"/>
      <c r="AJ1558" s="593"/>
      <c r="AK1558" s="593"/>
      <c r="AL1558" s="593"/>
    </row>
    <row r="1559" spans="1:38" s="331" customFormat="1">
      <c r="A1559" s="141"/>
      <c r="B1559" s="816" t="s">
        <v>2386</v>
      </c>
      <c r="C1559" s="1882"/>
      <c r="D1559" s="1883"/>
      <c r="E1559" s="1876"/>
      <c r="F1559" s="1876"/>
      <c r="G1559" s="1754">
        <v>2.4803199999999999</v>
      </c>
      <c r="H1559" s="1869">
        <v>1810.6335999999999</v>
      </c>
      <c r="I1559" s="612"/>
      <c r="J1559" s="612"/>
      <c r="K1559" s="612"/>
      <c r="L1559" s="612"/>
      <c r="M1559" s="612"/>
      <c r="N1559" s="612"/>
      <c r="O1559" s="612"/>
      <c r="P1559" s="612"/>
      <c r="Q1559" s="612"/>
      <c r="R1559" s="612"/>
      <c r="S1559" s="612"/>
      <c r="T1559" s="612"/>
      <c r="U1559" s="612"/>
      <c r="V1559" s="612"/>
      <c r="W1559" s="761"/>
      <c r="X1559" s="612"/>
      <c r="Y1559" s="679"/>
      <c r="Z1559" s="730"/>
      <c r="AA1559" s="678"/>
      <c r="AB1559" s="593"/>
      <c r="AC1559" s="593"/>
      <c r="AD1559" s="593"/>
      <c r="AE1559" s="593"/>
      <c r="AF1559" s="593"/>
      <c r="AG1559" s="593"/>
      <c r="AH1559" s="593"/>
      <c r="AI1559" s="593"/>
      <c r="AJ1559" s="593"/>
      <c r="AK1559" s="593"/>
      <c r="AL1559" s="593"/>
    </row>
    <row r="1560" spans="1:38" s="331" customFormat="1">
      <c r="A1560" s="141"/>
      <c r="B1560" s="817" t="s">
        <v>2595</v>
      </c>
      <c r="C1560" s="817"/>
      <c r="D1560" s="817"/>
      <c r="E1560" s="817"/>
      <c r="F1560" s="817"/>
      <c r="G1560" s="1754">
        <v>7.7509999999999996E-2</v>
      </c>
      <c r="H1560" s="1869">
        <v>56.582299999999996</v>
      </c>
      <c r="I1560" s="612"/>
      <c r="J1560" s="612"/>
      <c r="K1560" s="612"/>
      <c r="L1560" s="612"/>
      <c r="M1560" s="612"/>
      <c r="N1560" s="612"/>
      <c r="O1560" s="612"/>
      <c r="P1560" s="612"/>
      <c r="Q1560" s="612"/>
      <c r="R1560" s="612"/>
      <c r="S1560" s="612"/>
      <c r="T1560" s="612"/>
      <c r="U1560" s="612"/>
      <c r="V1560" s="612"/>
      <c r="W1560" s="761"/>
      <c r="X1560" s="612"/>
      <c r="Y1560" s="679"/>
      <c r="Z1560" s="730"/>
      <c r="AA1560" s="678"/>
      <c r="AB1560" s="593"/>
      <c r="AC1560" s="593"/>
      <c r="AD1560" s="593"/>
      <c r="AE1560" s="593"/>
      <c r="AF1560" s="593"/>
      <c r="AG1560" s="593"/>
      <c r="AH1560" s="593"/>
      <c r="AI1560" s="593"/>
      <c r="AJ1560" s="593"/>
      <c r="AK1560" s="593"/>
      <c r="AL1560" s="593"/>
    </row>
    <row r="1561" spans="1:38" s="331" customFormat="1">
      <c r="A1561" s="141"/>
      <c r="B1561" s="817" t="s">
        <v>2596</v>
      </c>
      <c r="C1561" s="817"/>
      <c r="D1561" s="817"/>
      <c r="E1561" s="817"/>
      <c r="F1561" s="817"/>
      <c r="G1561" s="1754">
        <v>0.15501999999999999</v>
      </c>
      <c r="H1561" s="1869">
        <v>113.16459999999999</v>
      </c>
      <c r="I1561" s="612"/>
      <c r="J1561" s="612"/>
      <c r="K1561" s="612"/>
      <c r="L1561" s="612"/>
      <c r="M1561" s="612"/>
      <c r="N1561" s="612"/>
      <c r="O1561" s="612"/>
      <c r="P1561" s="612"/>
      <c r="Q1561" s="612"/>
      <c r="R1561" s="612"/>
      <c r="S1561" s="612"/>
      <c r="T1561" s="612"/>
      <c r="U1561" s="612"/>
      <c r="V1561" s="612"/>
      <c r="W1561" s="761"/>
      <c r="X1561" s="612"/>
      <c r="Y1561" s="679"/>
      <c r="Z1561" s="730"/>
      <c r="AA1561" s="678"/>
      <c r="AB1561" s="593"/>
      <c r="AC1561" s="593"/>
      <c r="AD1561" s="593"/>
      <c r="AE1561" s="593"/>
      <c r="AF1561" s="593"/>
      <c r="AG1561" s="593"/>
      <c r="AH1561" s="593"/>
      <c r="AI1561" s="593"/>
      <c r="AJ1561" s="593"/>
      <c r="AK1561" s="593"/>
      <c r="AL1561" s="593"/>
    </row>
    <row r="1562" spans="1:38" s="331" customFormat="1">
      <c r="A1562" s="141"/>
      <c r="B1562" s="817" t="s">
        <v>2597</v>
      </c>
      <c r="C1562" s="817"/>
      <c r="D1562" s="817"/>
      <c r="E1562" s="817"/>
      <c r="F1562" s="817"/>
      <c r="G1562" s="1754">
        <v>0.31003999999999998</v>
      </c>
      <c r="H1562" s="1869">
        <v>226.32919999999999</v>
      </c>
      <c r="I1562" s="612"/>
      <c r="J1562" s="612"/>
      <c r="K1562" s="612"/>
      <c r="L1562" s="612"/>
      <c r="M1562" s="612"/>
      <c r="N1562" s="612"/>
      <c r="O1562" s="612"/>
      <c r="P1562" s="612"/>
      <c r="Q1562" s="612"/>
      <c r="R1562" s="612"/>
      <c r="S1562" s="612"/>
      <c r="T1562" s="612"/>
      <c r="U1562" s="612"/>
      <c r="V1562" s="612"/>
      <c r="W1562" s="761"/>
      <c r="X1562" s="612"/>
      <c r="Y1562" s="679"/>
      <c r="Z1562" s="730"/>
      <c r="AA1562" s="678"/>
      <c r="AB1562" s="593"/>
      <c r="AC1562" s="593"/>
      <c r="AD1562" s="593"/>
      <c r="AE1562" s="593"/>
      <c r="AF1562" s="593"/>
      <c r="AG1562" s="593"/>
      <c r="AH1562" s="593"/>
      <c r="AI1562" s="593"/>
      <c r="AJ1562" s="593"/>
      <c r="AK1562" s="593"/>
      <c r="AL1562" s="593"/>
    </row>
    <row r="1563" spans="1:38" s="331" customFormat="1">
      <c r="A1563" s="141"/>
      <c r="B1563" s="817" t="s">
        <v>2600</v>
      </c>
      <c r="C1563" s="817"/>
      <c r="D1563" s="817"/>
      <c r="E1563" s="817"/>
      <c r="F1563" s="817"/>
      <c r="G1563" s="1754">
        <v>7.7509999999999996E-2</v>
      </c>
      <c r="H1563" s="1869">
        <v>56.582299999999996</v>
      </c>
      <c r="I1563" s="612"/>
      <c r="J1563" s="612"/>
      <c r="K1563" s="612"/>
      <c r="L1563" s="612"/>
      <c r="M1563" s="612"/>
      <c r="N1563" s="612"/>
      <c r="O1563" s="612"/>
      <c r="P1563" s="612"/>
      <c r="Q1563" s="612"/>
      <c r="R1563" s="612"/>
      <c r="S1563" s="612"/>
      <c r="T1563" s="612"/>
      <c r="U1563" s="612"/>
      <c r="V1563" s="612"/>
      <c r="W1563" s="761"/>
      <c r="X1563" s="612"/>
      <c r="Y1563" s="679"/>
      <c r="Z1563" s="730"/>
      <c r="AA1563" s="678"/>
      <c r="AB1563" s="593"/>
      <c r="AC1563" s="593"/>
      <c r="AD1563" s="593"/>
      <c r="AE1563" s="593"/>
      <c r="AF1563" s="593"/>
      <c r="AG1563" s="593"/>
      <c r="AH1563" s="593"/>
      <c r="AI1563" s="593"/>
      <c r="AJ1563" s="593"/>
      <c r="AK1563" s="593"/>
      <c r="AL1563" s="593"/>
    </row>
    <row r="1564" spans="1:38" s="1481" customFormat="1">
      <c r="A1564" s="141"/>
      <c r="B1564" s="817" t="s">
        <v>2601</v>
      </c>
      <c r="C1564" s="817"/>
      <c r="D1564" s="817"/>
      <c r="E1564" s="817"/>
      <c r="F1564" s="817"/>
      <c r="G1564" s="1754">
        <v>0.15501999999999999</v>
      </c>
      <c r="H1564" s="1869">
        <v>113.16459999999999</v>
      </c>
      <c r="I1564" s="612"/>
      <c r="J1564" s="612"/>
      <c r="K1564" s="612"/>
      <c r="L1564" s="612"/>
      <c r="M1564" s="612"/>
      <c r="N1564" s="612"/>
      <c r="O1564" s="612"/>
      <c r="P1564" s="612"/>
      <c r="Q1564" s="612"/>
      <c r="R1564" s="612"/>
      <c r="S1564" s="612"/>
      <c r="T1564" s="612"/>
      <c r="U1564" s="612"/>
      <c r="V1564" s="612"/>
      <c r="W1564" s="761"/>
      <c r="X1564" s="612"/>
      <c r="Y1564" s="679"/>
      <c r="Z1564" s="730"/>
      <c r="AA1564" s="678"/>
      <c r="AB1564" s="593"/>
      <c r="AC1564" s="593"/>
      <c r="AD1564" s="593"/>
      <c r="AE1564" s="593"/>
      <c r="AF1564" s="593"/>
      <c r="AG1564" s="593"/>
      <c r="AH1564" s="593"/>
      <c r="AI1564" s="593"/>
      <c r="AJ1564" s="593"/>
      <c r="AK1564" s="593"/>
      <c r="AL1564" s="593"/>
    </row>
    <row r="1565" spans="1:38" s="1481" customFormat="1">
      <c r="A1565" s="141"/>
      <c r="B1565" s="817" t="s">
        <v>2602</v>
      </c>
      <c r="C1565" s="817"/>
      <c r="D1565" s="817"/>
      <c r="E1565" s="817"/>
      <c r="F1565" s="817"/>
      <c r="G1565" s="1754">
        <v>0.31003999999999998</v>
      </c>
      <c r="H1565" s="1869">
        <v>226.32919999999999</v>
      </c>
      <c r="I1565" s="612"/>
      <c r="J1565" s="612"/>
      <c r="K1565" s="612"/>
      <c r="L1565" s="612"/>
      <c r="M1565" s="612"/>
      <c r="N1565" s="612"/>
      <c r="O1565" s="612"/>
      <c r="P1565" s="612"/>
      <c r="Q1565" s="612"/>
      <c r="R1565" s="612"/>
      <c r="S1565" s="612"/>
      <c r="T1565" s="612"/>
      <c r="U1565" s="612"/>
      <c r="V1565" s="612"/>
      <c r="W1565" s="761"/>
      <c r="X1565" s="612"/>
      <c r="Y1565" s="679"/>
      <c r="Z1565" s="730"/>
      <c r="AA1565" s="678"/>
      <c r="AB1565" s="593"/>
      <c r="AC1565" s="593"/>
      <c r="AD1565" s="593"/>
      <c r="AE1565" s="593"/>
      <c r="AF1565" s="593"/>
      <c r="AG1565" s="593"/>
      <c r="AH1565" s="593"/>
      <c r="AI1565" s="593"/>
      <c r="AJ1565" s="593"/>
      <c r="AK1565" s="593"/>
      <c r="AL1565" s="593"/>
    </row>
    <row r="1566" spans="1:38" s="1498" customFormat="1">
      <c r="A1566" s="141"/>
      <c r="B1566" s="295"/>
      <c r="C1566" s="295"/>
      <c r="D1566" s="295"/>
      <c r="E1566" s="1431"/>
      <c r="F1566" s="1431"/>
      <c r="G1566" s="737"/>
      <c r="H1566" s="1432"/>
      <c r="I1566" s="4"/>
      <c r="J1566" s="4"/>
      <c r="K1566" s="4"/>
      <c r="L1566" s="4"/>
      <c r="M1566" s="4"/>
      <c r="N1566" s="4"/>
      <c r="O1566" s="4"/>
      <c r="P1566" s="4"/>
      <c r="Q1566" s="4"/>
      <c r="R1566" s="4"/>
      <c r="S1566" s="4"/>
      <c r="T1566" s="4"/>
      <c r="U1566" s="4"/>
      <c r="V1566" s="4"/>
      <c r="W1566" s="89"/>
      <c r="X1566" s="4"/>
      <c r="Y1566" s="141"/>
      <c r="Z1566" s="1192"/>
      <c r="AA1566" s="1193"/>
      <c r="AB1566" s="331"/>
      <c r="AC1566" s="331"/>
      <c r="AD1566" s="331"/>
      <c r="AE1566" s="331"/>
      <c r="AF1566" s="331"/>
      <c r="AG1566" s="331"/>
      <c r="AH1566" s="331"/>
      <c r="AI1566" s="331"/>
      <c r="AJ1566" s="331"/>
      <c r="AK1566" s="331"/>
      <c r="AL1566" s="331"/>
    </row>
    <row r="1567" spans="1:38" s="1498" customFormat="1">
      <c r="A1567" s="141"/>
      <c r="B1567" s="1499" t="s">
        <v>2122</v>
      </c>
      <c r="C1567" s="1499"/>
      <c r="D1567" s="1499"/>
      <c r="E1567" s="1499"/>
      <c r="F1567" s="1500" t="s">
        <v>147</v>
      </c>
      <c r="G1567" s="737"/>
      <c r="H1567" s="1432"/>
      <c r="I1567" s="1490"/>
      <c r="J1567" s="1490"/>
      <c r="K1567" s="1490"/>
      <c r="L1567" s="1490"/>
      <c r="M1567" s="1490"/>
      <c r="N1567" s="1490"/>
      <c r="O1567" s="1490"/>
      <c r="P1567" s="1490"/>
      <c r="Q1567" s="1490"/>
      <c r="R1567" s="1490"/>
      <c r="S1567" s="1490"/>
      <c r="T1567" s="1490"/>
      <c r="U1567" s="1490"/>
      <c r="V1567" s="1490"/>
      <c r="W1567" s="89"/>
      <c r="X1567" s="1490"/>
      <c r="Y1567" s="141"/>
      <c r="Z1567" s="1492"/>
      <c r="AA1567" s="1193"/>
    </row>
    <row r="1568" spans="1:38" s="1498" customFormat="1" ht="43.2">
      <c r="A1568" s="141"/>
      <c r="B1568" s="1501" t="s">
        <v>2</v>
      </c>
      <c r="C1568" s="1502"/>
      <c r="D1568" s="1502"/>
      <c r="E1568" s="1502" t="s">
        <v>2059</v>
      </c>
      <c r="F1568" s="1503" t="s">
        <v>2060</v>
      </c>
      <c r="G1568" s="1502" t="s">
        <v>2123</v>
      </c>
      <c r="H1568" s="1502" t="s">
        <v>2124</v>
      </c>
      <c r="I1568" s="1490"/>
      <c r="J1568" s="1490"/>
      <c r="K1568" s="1490"/>
      <c r="L1568" s="1490"/>
      <c r="M1568" s="1490"/>
      <c r="N1568" s="1490"/>
      <c r="O1568" s="1490"/>
      <c r="P1568" s="1490"/>
      <c r="Q1568" s="1490"/>
      <c r="R1568" s="1490"/>
      <c r="S1568" s="1490"/>
      <c r="T1568" s="1490"/>
      <c r="U1568" s="1490"/>
      <c r="V1568" s="1490"/>
      <c r="W1568" s="89"/>
      <c r="X1568" s="1490"/>
      <c r="Y1568" s="141"/>
      <c r="Z1568" s="1492"/>
      <c r="AA1568" s="1193"/>
    </row>
    <row r="1569" spans="1:27" s="1498" customFormat="1">
      <c r="A1569" s="141"/>
      <c r="B1569" s="1885" t="s">
        <v>734</v>
      </c>
      <c r="C1569" s="1885"/>
      <c r="D1569" s="1885"/>
      <c r="E1569" s="1886">
        <v>3.4310958904109588E-2</v>
      </c>
      <c r="F1569" s="1887">
        <v>25.047000000000001</v>
      </c>
      <c r="G1569" s="1754">
        <v>0</v>
      </c>
      <c r="H1569" s="1869">
        <v>0</v>
      </c>
      <c r="I1569" s="1490">
        <v>1.1499999999999999</v>
      </c>
      <c r="J1569" s="1490"/>
      <c r="K1569" s="1490"/>
      <c r="L1569" s="1490"/>
      <c r="M1569" s="1490"/>
      <c r="N1569" s="1490"/>
      <c r="O1569" s="1490"/>
      <c r="P1569" s="1490"/>
      <c r="Q1569" s="1490"/>
      <c r="R1569" s="1490"/>
      <c r="S1569" s="1490"/>
      <c r="T1569" s="1490"/>
      <c r="U1569" s="1490"/>
      <c r="V1569" s="1490"/>
      <c r="W1569" s="89"/>
      <c r="X1569" s="1490"/>
      <c r="Y1569" s="141"/>
      <c r="Z1569" s="1492"/>
      <c r="AA1569" s="1193"/>
    </row>
    <row r="1570" spans="1:27" s="1498" customFormat="1">
      <c r="A1570" s="141"/>
      <c r="B1570" s="1888" t="s">
        <v>735</v>
      </c>
      <c r="C1570" s="1885"/>
      <c r="D1570" s="1885"/>
      <c r="E1570" s="1886">
        <v>6.8621917808219177E-2</v>
      </c>
      <c r="F1570" s="1887">
        <v>50.094000000000001</v>
      </c>
      <c r="G1570" s="1754">
        <v>0</v>
      </c>
      <c r="H1570" s="1869">
        <v>0</v>
      </c>
      <c r="I1570" s="1490"/>
      <c r="J1570" s="1490"/>
      <c r="K1570" s="1490"/>
      <c r="L1570" s="1490"/>
      <c r="M1570" s="1490"/>
      <c r="N1570" s="1490"/>
      <c r="O1570" s="1490"/>
      <c r="P1570" s="1490"/>
      <c r="Q1570" s="1490"/>
      <c r="R1570" s="1490"/>
      <c r="S1570" s="1490"/>
      <c r="T1570" s="1490"/>
      <c r="U1570" s="1490"/>
      <c r="V1570" s="1490"/>
      <c r="W1570" s="89"/>
      <c r="X1570" s="1490"/>
      <c r="Y1570" s="141"/>
      <c r="Z1570" s="1492"/>
      <c r="AA1570" s="1193"/>
    </row>
    <row r="1571" spans="1:27" s="1498" customFormat="1">
      <c r="A1571" s="141"/>
      <c r="B1571" s="1888" t="s">
        <v>2264</v>
      </c>
      <c r="C1571" s="1889"/>
      <c r="D1571" s="1889"/>
      <c r="E1571" s="1886">
        <v>0.10292499999999999</v>
      </c>
      <c r="F1571" s="1887">
        <v>75.140999999999991</v>
      </c>
      <c r="G1571" s="1754">
        <v>0</v>
      </c>
      <c r="H1571" s="1869">
        <v>0</v>
      </c>
      <c r="I1571" s="1490"/>
      <c r="J1571" s="1490"/>
      <c r="K1571" s="1490"/>
      <c r="L1571" s="1490"/>
      <c r="M1571" s="1490"/>
      <c r="N1571" s="1490"/>
      <c r="O1571" s="1490"/>
      <c r="P1571" s="1490"/>
      <c r="Q1571" s="1490"/>
      <c r="R1571" s="1490"/>
      <c r="S1571" s="1490"/>
      <c r="T1571" s="1490"/>
      <c r="U1571" s="1490"/>
      <c r="V1571" s="1490"/>
      <c r="W1571" s="89"/>
      <c r="X1571" s="1490"/>
      <c r="Y1571" s="141"/>
      <c r="Z1571" s="1492"/>
      <c r="AA1571" s="1193"/>
    </row>
    <row r="1572" spans="1:27" s="1498" customFormat="1">
      <c r="A1572" s="141"/>
      <c r="B1572" s="1888" t="s">
        <v>736</v>
      </c>
      <c r="C1572" s="1885"/>
      <c r="D1572" s="1885"/>
      <c r="E1572" s="1886">
        <v>0.13724383561643835</v>
      </c>
      <c r="F1572" s="1887">
        <v>100.188</v>
      </c>
      <c r="G1572" s="1754">
        <v>0</v>
      </c>
      <c r="H1572" s="1869">
        <v>0</v>
      </c>
      <c r="I1572" s="1490"/>
      <c r="J1572" s="1490"/>
      <c r="K1572" s="1490"/>
      <c r="L1572" s="1490"/>
      <c r="M1572" s="1490"/>
      <c r="N1572" s="1490"/>
      <c r="O1572" s="1490"/>
      <c r="P1572" s="1490"/>
      <c r="Q1572" s="1490"/>
      <c r="R1572" s="1490"/>
      <c r="S1572" s="1490"/>
      <c r="T1572" s="1490"/>
      <c r="U1572" s="1490"/>
      <c r="V1572" s="1490"/>
      <c r="W1572" s="89"/>
      <c r="X1572" s="1490"/>
      <c r="Y1572" s="141"/>
      <c r="Z1572" s="1492"/>
      <c r="AA1572" s="1193"/>
    </row>
    <row r="1573" spans="1:27" s="1498" customFormat="1">
      <c r="A1573" s="141"/>
      <c r="B1573" s="1888" t="s">
        <v>2267</v>
      </c>
      <c r="C1573" s="1885"/>
      <c r="D1573" s="1885"/>
      <c r="E1573" s="1886">
        <v>0.20586575342465754</v>
      </c>
      <c r="F1573" s="1887">
        <v>150.28199999999998</v>
      </c>
      <c r="G1573" s="1754">
        <v>0</v>
      </c>
      <c r="H1573" s="1869">
        <v>0</v>
      </c>
      <c r="I1573" s="1490"/>
      <c r="J1573" s="1490"/>
      <c r="K1573" s="1490"/>
      <c r="L1573" s="1490"/>
      <c r="M1573" s="1490"/>
      <c r="N1573" s="1490"/>
      <c r="O1573" s="1490"/>
      <c r="P1573" s="1490"/>
      <c r="Q1573" s="1490"/>
      <c r="R1573" s="1490"/>
      <c r="S1573" s="1490"/>
      <c r="T1573" s="1490"/>
      <c r="U1573" s="1490"/>
      <c r="V1573" s="1490"/>
      <c r="W1573" s="89"/>
      <c r="X1573" s="1490"/>
      <c r="Y1573" s="141"/>
      <c r="Z1573" s="1492"/>
      <c r="AA1573" s="1193"/>
    </row>
    <row r="1574" spans="1:27" s="1498" customFormat="1">
      <c r="A1574" s="141"/>
      <c r="B1574" s="1888" t="s">
        <v>737</v>
      </c>
      <c r="C1574" s="1885"/>
      <c r="D1574" s="1885"/>
      <c r="E1574" s="1886">
        <v>0.27448767123287671</v>
      </c>
      <c r="F1574" s="1887">
        <v>200.376</v>
      </c>
      <c r="G1574" s="1754">
        <v>0</v>
      </c>
      <c r="H1574" s="1869">
        <v>0</v>
      </c>
      <c r="I1574" s="1490"/>
      <c r="J1574" s="1490"/>
      <c r="K1574" s="1490"/>
      <c r="L1574" s="1490"/>
      <c r="M1574" s="1490"/>
      <c r="N1574" s="1490"/>
      <c r="O1574" s="1490"/>
      <c r="P1574" s="1490"/>
      <c r="Q1574" s="1490"/>
      <c r="R1574" s="1490"/>
      <c r="S1574" s="1490"/>
      <c r="T1574" s="1490"/>
      <c r="U1574" s="1490"/>
      <c r="V1574" s="1490"/>
      <c r="W1574" s="89"/>
      <c r="X1574" s="1490"/>
      <c r="Y1574" s="141"/>
      <c r="Z1574" s="1492"/>
      <c r="AA1574" s="1193"/>
    </row>
    <row r="1575" spans="1:27" s="1498" customFormat="1">
      <c r="A1575" s="141"/>
      <c r="B1575" s="1885" t="s">
        <v>2814</v>
      </c>
      <c r="C1575" s="1885"/>
      <c r="D1575" s="1885"/>
      <c r="E1575" s="1886">
        <v>0.51462499999999989</v>
      </c>
      <c r="F1575" s="1887">
        <f t="shared" ref="F1575" si="5">E1575*730</f>
        <v>375.67624999999992</v>
      </c>
      <c r="G1575" s="1754">
        <v>0</v>
      </c>
      <c r="H1575" s="1869">
        <v>0</v>
      </c>
      <c r="I1575" s="1490"/>
      <c r="J1575" s="1490"/>
      <c r="K1575" s="1490"/>
      <c r="L1575" s="1490"/>
      <c r="M1575" s="1490"/>
      <c r="N1575" s="1490"/>
      <c r="O1575" s="1490"/>
      <c r="P1575" s="1490"/>
      <c r="Q1575" s="1490"/>
      <c r="R1575" s="1490"/>
      <c r="S1575" s="1490"/>
      <c r="T1575" s="1490"/>
      <c r="U1575" s="1490"/>
      <c r="V1575" s="1490"/>
      <c r="W1575" s="89"/>
      <c r="X1575" s="1490"/>
      <c r="Y1575" s="141"/>
      <c r="Z1575" s="1492"/>
      <c r="AA1575" s="1193"/>
    </row>
    <row r="1576" spans="1:27" s="1498" customFormat="1">
      <c r="A1576" s="141"/>
      <c r="B1576" s="1888" t="s">
        <v>2263</v>
      </c>
      <c r="C1576" s="1885"/>
      <c r="D1576" s="1885"/>
      <c r="E1576" s="1886">
        <v>0.54897534246575341</v>
      </c>
      <c r="F1576" s="1887">
        <v>400.75200000000001</v>
      </c>
      <c r="G1576" s="1754">
        <v>0</v>
      </c>
      <c r="H1576" s="1869">
        <v>0</v>
      </c>
      <c r="I1576" s="1490"/>
      <c r="J1576" s="1490"/>
      <c r="K1576" s="1490"/>
      <c r="L1576" s="1490"/>
      <c r="M1576" s="1490"/>
      <c r="N1576" s="1490"/>
      <c r="O1576" s="1490"/>
      <c r="P1576" s="1490"/>
      <c r="Q1576" s="1490"/>
      <c r="R1576" s="1490"/>
      <c r="S1576" s="1490"/>
      <c r="T1576" s="1490"/>
      <c r="U1576" s="1490"/>
      <c r="V1576" s="1490"/>
      <c r="W1576" s="89"/>
      <c r="X1576" s="1490"/>
      <c r="Y1576" s="141"/>
      <c r="Z1576" s="1492"/>
      <c r="AA1576" s="1193"/>
    </row>
    <row r="1577" spans="1:27" s="1498" customFormat="1">
      <c r="A1577" s="141"/>
      <c r="B1577" s="1888" t="s">
        <v>2265</v>
      </c>
      <c r="C1577" s="1885"/>
      <c r="D1577" s="1885"/>
      <c r="E1577" s="1886">
        <v>0.65190034246575379</v>
      </c>
      <c r="F1577" s="1887">
        <v>475.89300000000003</v>
      </c>
      <c r="G1577" s="1754">
        <v>0</v>
      </c>
      <c r="H1577" s="1869">
        <v>0</v>
      </c>
      <c r="I1577" s="1490"/>
      <c r="J1577" s="1490"/>
      <c r="K1577" s="1490"/>
      <c r="L1577" s="1490"/>
      <c r="M1577" s="1490"/>
      <c r="N1577" s="1490"/>
      <c r="O1577" s="1490"/>
      <c r="P1577" s="1490"/>
      <c r="Q1577" s="1490"/>
      <c r="R1577" s="1490"/>
      <c r="S1577" s="1490"/>
      <c r="T1577" s="1490"/>
      <c r="U1577" s="1490"/>
      <c r="V1577" s="1490"/>
      <c r="W1577" s="89"/>
      <c r="X1577" s="1490"/>
      <c r="Y1577" s="141"/>
      <c r="Z1577" s="1492"/>
      <c r="AA1577" s="1193"/>
    </row>
    <row r="1578" spans="1:27" s="1498" customFormat="1">
      <c r="A1578" s="141"/>
      <c r="B1578" s="1888" t="s">
        <v>2268</v>
      </c>
      <c r="C1578" s="1885"/>
      <c r="D1578" s="1885"/>
      <c r="E1578" s="1886">
        <v>1.0979506849315064</v>
      </c>
      <c r="F1578" s="1887">
        <v>801.50400000000002</v>
      </c>
      <c r="G1578" s="1754">
        <v>0</v>
      </c>
      <c r="H1578" s="1869">
        <v>0</v>
      </c>
      <c r="I1578" s="1490"/>
      <c r="J1578" s="1490"/>
      <c r="K1578" s="1490"/>
      <c r="L1578" s="1490"/>
      <c r="M1578" s="1490"/>
      <c r="N1578" s="1490"/>
      <c r="O1578" s="1490"/>
      <c r="P1578" s="1490"/>
      <c r="Q1578" s="1490"/>
      <c r="R1578" s="1490"/>
      <c r="S1578" s="1490"/>
      <c r="T1578" s="1490"/>
      <c r="U1578" s="1490"/>
      <c r="V1578" s="1490"/>
      <c r="W1578" s="89"/>
      <c r="X1578" s="1490"/>
      <c r="Y1578" s="141"/>
      <c r="Z1578" s="1492"/>
      <c r="AA1578" s="1193"/>
    </row>
    <row r="1579" spans="1:27" s="1498" customFormat="1">
      <c r="A1579" s="141"/>
      <c r="B1579" s="1888" t="s">
        <v>2650</v>
      </c>
      <c r="C1579" s="1885"/>
      <c r="D1579" s="1885"/>
      <c r="E1579" s="1886">
        <v>3.4310958904109588E-2</v>
      </c>
      <c r="F1579" s="1887">
        <f>E1579*730</f>
        <v>25.047000000000001</v>
      </c>
      <c r="G1579" s="1754">
        <v>0.35861095890410954</v>
      </c>
      <c r="H1579" s="1869">
        <v>247.06599999999997</v>
      </c>
      <c r="I1579" s="1490"/>
      <c r="J1579" s="1490"/>
      <c r="K1579" s="1490"/>
      <c r="L1579" s="1490"/>
      <c r="M1579" s="1490"/>
      <c r="N1579" s="1490"/>
      <c r="O1579" s="1490"/>
      <c r="P1579" s="1490"/>
      <c r="Q1579" s="1490"/>
      <c r="R1579" s="1490"/>
      <c r="S1579" s="1490"/>
      <c r="T1579" s="1490"/>
      <c r="U1579" s="1490"/>
      <c r="V1579" s="1490"/>
      <c r="W1579" s="89"/>
      <c r="X1579" s="1490"/>
      <c r="Y1579" s="141"/>
      <c r="Z1579" s="1492"/>
      <c r="AA1579" s="1193"/>
    </row>
    <row r="1580" spans="1:27" s="1498" customFormat="1">
      <c r="A1580" s="141"/>
      <c r="B1580" s="1888" t="s">
        <v>2651</v>
      </c>
      <c r="C1580" s="1885"/>
      <c r="D1580" s="1885"/>
      <c r="E1580" s="1886">
        <v>6.8621917808219177E-2</v>
      </c>
      <c r="F1580" s="1887">
        <f t="shared" ref="F1580:F1617" si="6">E1580*730</f>
        <v>50.094000000000001</v>
      </c>
      <c r="G1580" s="1754">
        <v>0.7031919178082191</v>
      </c>
      <c r="H1580" s="1869">
        <v>483.88549999999992</v>
      </c>
      <c r="I1580" s="1490"/>
      <c r="J1580" s="1490"/>
      <c r="K1580" s="1490"/>
      <c r="L1580" s="1490"/>
      <c r="M1580" s="1490"/>
      <c r="N1580" s="1490"/>
      <c r="O1580" s="1490"/>
      <c r="P1580" s="1490"/>
      <c r="Q1580" s="1490"/>
      <c r="R1580" s="1490"/>
      <c r="S1580" s="1490"/>
      <c r="T1580" s="1490"/>
      <c r="U1580" s="1490"/>
      <c r="V1580" s="1490"/>
      <c r="W1580" s="89"/>
      <c r="X1580" s="1490"/>
      <c r="Y1580" s="141"/>
      <c r="Z1580" s="1492"/>
      <c r="AA1580" s="1193"/>
    </row>
    <row r="1581" spans="1:27" s="1498" customFormat="1">
      <c r="A1581" s="141"/>
      <c r="B1581" s="1885" t="s">
        <v>2615</v>
      </c>
      <c r="C1581" s="1885"/>
      <c r="D1581" s="1885"/>
      <c r="E1581" s="1886">
        <v>3.4310958904109588E-2</v>
      </c>
      <c r="F1581" s="1887">
        <f t="shared" si="6"/>
        <v>25.047000000000001</v>
      </c>
      <c r="G1581" s="1754">
        <v>0.35861095890410954</v>
      </c>
      <c r="H1581" s="1869">
        <v>247.06599999999997</v>
      </c>
      <c r="I1581" s="1490"/>
      <c r="J1581" s="1490"/>
      <c r="K1581" s="1490"/>
      <c r="L1581" s="1490"/>
      <c r="M1581" s="1490"/>
      <c r="N1581" s="1490"/>
      <c r="O1581" s="1490"/>
      <c r="P1581" s="1490"/>
      <c r="Q1581" s="1490"/>
      <c r="R1581" s="1490"/>
      <c r="S1581" s="1490"/>
      <c r="T1581" s="1490"/>
      <c r="U1581" s="1490"/>
      <c r="V1581" s="1490"/>
      <c r="W1581" s="89"/>
      <c r="X1581" s="1490"/>
      <c r="Y1581" s="141"/>
      <c r="Z1581" s="1492"/>
      <c r="AA1581" s="1193"/>
    </row>
    <row r="1582" spans="1:27" s="1498" customFormat="1">
      <c r="A1582" s="141"/>
      <c r="B1582" s="1885" t="s">
        <v>2616</v>
      </c>
      <c r="C1582" s="1885"/>
      <c r="D1582" s="1885"/>
      <c r="E1582" s="1886">
        <v>6.8621917808219177E-2</v>
      </c>
      <c r="F1582" s="1887">
        <f t="shared" si="6"/>
        <v>50.094000000000001</v>
      </c>
      <c r="G1582" s="1754">
        <v>0.7031919178082191</v>
      </c>
      <c r="H1582" s="1869">
        <v>483.88549999999992</v>
      </c>
      <c r="I1582" s="1490"/>
      <c r="J1582" s="1490"/>
      <c r="K1582" s="1490"/>
      <c r="L1582" s="1490"/>
      <c r="M1582" s="1490"/>
      <c r="N1582" s="1490"/>
      <c r="O1582" s="1490"/>
      <c r="P1582" s="1490"/>
      <c r="Q1582" s="1490"/>
      <c r="R1582" s="1490"/>
      <c r="S1582" s="1490"/>
      <c r="T1582" s="1490"/>
      <c r="U1582" s="1490"/>
      <c r="V1582" s="1490"/>
      <c r="W1582" s="89"/>
      <c r="X1582" s="1490"/>
      <c r="Y1582" s="141"/>
      <c r="Z1582" s="1492"/>
      <c r="AA1582" s="1193"/>
    </row>
    <row r="1583" spans="1:27" s="1498" customFormat="1">
      <c r="A1583" s="141"/>
      <c r="B1583" s="1885" t="s">
        <v>2617</v>
      </c>
      <c r="C1583" s="1885"/>
      <c r="D1583" s="1885"/>
      <c r="E1583" s="1886">
        <v>0.13724383561643835</v>
      </c>
      <c r="F1583" s="1887">
        <f t="shared" si="6"/>
        <v>100.188</v>
      </c>
      <c r="G1583" s="1754">
        <v>1.3800488356164382</v>
      </c>
      <c r="H1583" s="1869">
        <v>948.55449999999985</v>
      </c>
      <c r="I1583" s="1490"/>
      <c r="J1583" s="1490"/>
      <c r="K1583" s="1490"/>
      <c r="L1583" s="1490"/>
      <c r="M1583" s="1490"/>
      <c r="N1583" s="1490"/>
      <c r="O1583" s="1490"/>
      <c r="P1583" s="1490"/>
      <c r="Q1583" s="1490"/>
      <c r="R1583" s="1490"/>
      <c r="S1583" s="1490"/>
      <c r="T1583" s="1490"/>
      <c r="U1583" s="1490"/>
      <c r="V1583" s="1490"/>
      <c r="W1583" s="89"/>
      <c r="X1583" s="1490"/>
      <c r="Y1583" s="141"/>
      <c r="Z1583" s="1492"/>
      <c r="AA1583" s="1193"/>
    </row>
    <row r="1584" spans="1:27" s="1498" customFormat="1">
      <c r="A1584" s="141"/>
      <c r="B1584" s="1885" t="s">
        <v>2624</v>
      </c>
      <c r="C1584" s="1885"/>
      <c r="D1584" s="1885"/>
      <c r="E1584" s="1886">
        <v>3.4310958904109588E-2</v>
      </c>
      <c r="F1584" s="1887">
        <f t="shared" si="6"/>
        <v>25.047000000000001</v>
      </c>
      <c r="G1584" s="1754">
        <v>0.35861095890410954</v>
      </c>
      <c r="H1584" s="1869">
        <v>247.06599999999997</v>
      </c>
      <c r="I1584" s="1490"/>
      <c r="J1584" s="1490"/>
      <c r="K1584" s="1490"/>
      <c r="L1584" s="1490"/>
      <c r="M1584" s="1490"/>
      <c r="N1584" s="1490"/>
      <c r="O1584" s="1490"/>
      <c r="P1584" s="1490"/>
      <c r="Q1584" s="1490"/>
      <c r="R1584" s="1490"/>
      <c r="S1584" s="1490"/>
      <c r="T1584" s="1490"/>
      <c r="U1584" s="1490"/>
      <c r="V1584" s="1490"/>
      <c r="W1584" s="89"/>
      <c r="X1584" s="1490"/>
      <c r="Y1584" s="141"/>
      <c r="Z1584" s="1492"/>
      <c r="AA1584" s="1193"/>
    </row>
    <row r="1585" spans="1:27" s="1498" customFormat="1">
      <c r="A1585" s="141"/>
      <c r="B1585" s="1885" t="s">
        <v>2366</v>
      </c>
      <c r="C1585" s="1885"/>
      <c r="D1585" s="1885"/>
      <c r="E1585" s="1886">
        <v>3.4310958904109588E-2</v>
      </c>
      <c r="F1585" s="1887">
        <f t="shared" si="6"/>
        <v>25.047000000000001</v>
      </c>
      <c r="G1585" s="1754">
        <v>0.35861095890410954</v>
      </c>
      <c r="H1585" s="1869">
        <v>247.06599999999997</v>
      </c>
      <c r="I1585" s="1490"/>
      <c r="J1585" s="1490"/>
      <c r="K1585" s="1490"/>
      <c r="L1585" s="1490"/>
      <c r="M1585" s="1490"/>
      <c r="N1585" s="1490"/>
      <c r="O1585" s="1490"/>
      <c r="P1585" s="1490"/>
      <c r="Q1585" s="1490"/>
      <c r="R1585" s="1490"/>
      <c r="S1585" s="1490"/>
      <c r="T1585" s="1490"/>
      <c r="U1585" s="1490"/>
      <c r="V1585" s="1490"/>
      <c r="W1585" s="89"/>
      <c r="X1585" s="1490"/>
      <c r="Y1585" s="141"/>
      <c r="Z1585" s="1492"/>
      <c r="AA1585" s="1193"/>
    </row>
    <row r="1586" spans="1:27" s="1498" customFormat="1">
      <c r="A1586" s="141"/>
      <c r="B1586" s="1885" t="s">
        <v>2367</v>
      </c>
      <c r="C1586" s="1885"/>
      <c r="D1586" s="1885"/>
      <c r="E1586" s="1886">
        <v>6.8621917808219177E-2</v>
      </c>
      <c r="F1586" s="1887">
        <f t="shared" si="6"/>
        <v>50.094000000000001</v>
      </c>
      <c r="G1586" s="1754">
        <v>0.7031919178082191</v>
      </c>
      <c r="H1586" s="1869">
        <v>483.88549999999992</v>
      </c>
      <c r="I1586" s="1490"/>
      <c r="J1586" s="1490"/>
      <c r="K1586" s="1490"/>
      <c r="L1586" s="1490"/>
      <c r="M1586" s="1490"/>
      <c r="N1586" s="1490"/>
      <c r="O1586" s="1490"/>
      <c r="P1586" s="1490"/>
      <c r="Q1586" s="1490"/>
      <c r="R1586" s="1490"/>
      <c r="S1586" s="1490"/>
      <c r="T1586" s="1490"/>
      <c r="U1586" s="1490"/>
      <c r="V1586" s="1490"/>
      <c r="W1586" s="89"/>
      <c r="X1586" s="1490"/>
      <c r="Y1586" s="141"/>
      <c r="Z1586" s="1492"/>
      <c r="AA1586" s="1193"/>
    </row>
    <row r="1587" spans="1:27" s="1498" customFormat="1">
      <c r="A1587" s="141"/>
      <c r="B1587" s="1885" t="s">
        <v>2368</v>
      </c>
      <c r="C1587" s="1885"/>
      <c r="D1587" s="1885"/>
      <c r="E1587" s="1886">
        <v>0.13724383561643835</v>
      </c>
      <c r="F1587" s="1887">
        <f t="shared" si="6"/>
        <v>100.188</v>
      </c>
      <c r="G1587" s="1754">
        <v>1.3800488356164382</v>
      </c>
      <c r="H1587" s="1869">
        <v>948.55449999999985</v>
      </c>
      <c r="I1587" s="1490"/>
      <c r="J1587" s="1490"/>
      <c r="K1587" s="1490"/>
      <c r="L1587" s="1490"/>
      <c r="M1587" s="1490"/>
      <c r="N1587" s="1490"/>
      <c r="O1587" s="1490"/>
      <c r="P1587" s="1490"/>
      <c r="Q1587" s="1490"/>
      <c r="R1587" s="1490"/>
      <c r="S1587" s="1490"/>
      <c r="T1587" s="1490"/>
      <c r="U1587" s="1490"/>
      <c r="V1587" s="1490"/>
      <c r="W1587" s="89"/>
      <c r="X1587" s="1490"/>
      <c r="Y1587" s="141"/>
      <c r="Z1587" s="1492"/>
      <c r="AA1587" s="1193"/>
    </row>
    <row r="1588" spans="1:27" s="1498" customFormat="1">
      <c r="A1588" s="141"/>
      <c r="B1588" s="1885" t="s">
        <v>2395</v>
      </c>
      <c r="C1588" s="1885"/>
      <c r="D1588" s="1885"/>
      <c r="E1588" s="1886">
        <v>3.4310958904109588E-2</v>
      </c>
      <c r="F1588" s="1887">
        <f t="shared" si="6"/>
        <v>25.047000000000001</v>
      </c>
      <c r="G1588" s="1754">
        <v>0.35861095890410954</v>
      </c>
      <c r="H1588" s="1869">
        <v>247.06599999999997</v>
      </c>
      <c r="I1588" s="1490"/>
      <c r="J1588" s="1490"/>
      <c r="K1588" s="1490"/>
      <c r="L1588" s="1490"/>
      <c r="M1588" s="1490"/>
      <c r="N1588" s="1490"/>
      <c r="O1588" s="1490"/>
      <c r="P1588" s="1490"/>
      <c r="Q1588" s="1490"/>
      <c r="R1588" s="1490"/>
      <c r="S1588" s="1490"/>
      <c r="T1588" s="1490"/>
      <c r="U1588" s="1490"/>
      <c r="V1588" s="1490"/>
      <c r="W1588" s="89"/>
      <c r="X1588" s="1490"/>
      <c r="Y1588" s="141"/>
      <c r="Z1588" s="1492"/>
      <c r="AA1588" s="1193"/>
    </row>
    <row r="1589" spans="1:27" s="1498" customFormat="1">
      <c r="A1589" s="141"/>
      <c r="B1589" s="1885" t="s">
        <v>2396</v>
      </c>
      <c r="C1589" s="1885"/>
      <c r="D1589" s="1885"/>
      <c r="E1589" s="1886">
        <v>6.8621917808219177E-2</v>
      </c>
      <c r="F1589" s="1887">
        <f t="shared" si="6"/>
        <v>50.094000000000001</v>
      </c>
      <c r="G1589" s="1754">
        <v>0.7031919178082191</v>
      </c>
      <c r="H1589" s="1869">
        <v>483.88549999999992</v>
      </c>
      <c r="I1589" s="1490"/>
      <c r="J1589" s="1490"/>
      <c r="K1589" s="1490"/>
      <c r="L1589" s="1490"/>
      <c r="M1589" s="1490"/>
      <c r="N1589" s="1490"/>
      <c r="O1589" s="1490"/>
      <c r="P1589" s="1490"/>
      <c r="Q1589" s="1490"/>
      <c r="R1589" s="1490"/>
      <c r="S1589" s="1490"/>
      <c r="T1589" s="1490"/>
      <c r="U1589" s="1490"/>
      <c r="V1589" s="1490"/>
      <c r="W1589" s="89"/>
      <c r="X1589" s="1490"/>
      <c r="Y1589" s="141"/>
      <c r="Z1589" s="1492"/>
      <c r="AA1589" s="1193"/>
    </row>
    <row r="1590" spans="1:27" s="1498" customFormat="1">
      <c r="A1590" s="141"/>
      <c r="B1590" s="1885" t="s">
        <v>2393</v>
      </c>
      <c r="C1590" s="1885"/>
      <c r="D1590" s="1885"/>
      <c r="E1590" s="1886">
        <v>0.13724383561643835</v>
      </c>
      <c r="F1590" s="1887">
        <f t="shared" si="6"/>
        <v>100.188</v>
      </c>
      <c r="G1590" s="1754">
        <v>1.3800488356164382</v>
      </c>
      <c r="H1590" s="1869">
        <v>948.55449999999985</v>
      </c>
      <c r="I1590" s="1490"/>
      <c r="J1590" s="1490"/>
      <c r="K1590" s="1490"/>
      <c r="L1590" s="1490"/>
      <c r="M1590" s="1490"/>
      <c r="N1590" s="1490"/>
      <c r="O1590" s="1490"/>
      <c r="P1590" s="1490"/>
      <c r="Q1590" s="1490"/>
      <c r="R1590" s="1490"/>
      <c r="S1590" s="1490"/>
      <c r="T1590" s="1490"/>
      <c r="U1590" s="1490"/>
      <c r="V1590" s="1490"/>
      <c r="W1590" s="89"/>
      <c r="X1590" s="1490"/>
      <c r="Y1590" s="141"/>
      <c r="Z1590" s="1492"/>
      <c r="AA1590" s="1193"/>
    </row>
    <row r="1591" spans="1:27" s="1498" customFormat="1">
      <c r="A1591" s="141"/>
      <c r="B1591" s="1885" t="s">
        <v>2378</v>
      </c>
      <c r="C1591" s="1885"/>
      <c r="D1591" s="1885"/>
      <c r="E1591" s="1886">
        <v>0.27448767123287671</v>
      </c>
      <c r="F1591" s="1887">
        <f t="shared" si="6"/>
        <v>200.376</v>
      </c>
      <c r="G1591" s="1754">
        <v>2.5834576712328765</v>
      </c>
      <c r="H1591" s="1869">
        <v>1782.2930000000001</v>
      </c>
      <c r="I1591" s="1490"/>
      <c r="J1591" s="1490"/>
      <c r="K1591" s="1490"/>
      <c r="L1591" s="1490"/>
      <c r="M1591" s="1490"/>
      <c r="N1591" s="1490"/>
      <c r="O1591" s="1490"/>
      <c r="P1591" s="1490"/>
      <c r="Q1591" s="1490"/>
      <c r="R1591" s="1490"/>
      <c r="S1591" s="1490"/>
      <c r="T1591" s="1490"/>
      <c r="U1591" s="1490"/>
      <c r="V1591" s="1490"/>
      <c r="W1591" s="89"/>
      <c r="X1591" s="1490"/>
      <c r="Y1591" s="141"/>
      <c r="Z1591" s="1492"/>
      <c r="AA1591" s="1193"/>
    </row>
    <row r="1592" spans="1:27" s="1498" customFormat="1">
      <c r="A1592" s="141"/>
      <c r="B1592" s="1885" t="s">
        <v>2641</v>
      </c>
      <c r="C1592" s="1885"/>
      <c r="D1592" s="1885"/>
      <c r="E1592" s="1886">
        <v>0.65190034246575379</v>
      </c>
      <c r="F1592" s="1887">
        <f t="shared" si="6"/>
        <v>475.88725000000028</v>
      </c>
      <c r="G1592" s="1754">
        <v>6.1356832191780821</v>
      </c>
      <c r="H1592" s="1869">
        <v>4232.92</v>
      </c>
      <c r="I1592" s="1490"/>
      <c r="J1592" s="1490"/>
      <c r="K1592" s="1490"/>
      <c r="L1592" s="1490"/>
      <c r="M1592" s="1490"/>
      <c r="N1592" s="1490"/>
      <c r="O1592" s="1490"/>
      <c r="P1592" s="1490"/>
      <c r="Q1592" s="1490"/>
      <c r="R1592" s="1490"/>
      <c r="S1592" s="1490"/>
      <c r="T1592" s="1490"/>
      <c r="U1592" s="1490"/>
      <c r="V1592" s="1490"/>
      <c r="W1592" s="89"/>
      <c r="X1592" s="1490"/>
      <c r="Y1592" s="141"/>
      <c r="Z1592" s="1492"/>
      <c r="AA1592" s="1193"/>
    </row>
    <row r="1593" spans="1:27" s="1498" customFormat="1">
      <c r="A1593" s="141"/>
      <c r="B1593" s="1885" t="s">
        <v>2637</v>
      </c>
      <c r="C1593" s="1885"/>
      <c r="D1593" s="1885"/>
      <c r="E1593" s="1886">
        <v>0.27448767123287671</v>
      </c>
      <c r="F1593" s="1887">
        <f t="shared" si="6"/>
        <v>200.376</v>
      </c>
      <c r="G1593" s="1754">
        <v>2.5834576712328765</v>
      </c>
      <c r="H1593" s="1869">
        <v>1782.2930000000001</v>
      </c>
      <c r="I1593" s="1490"/>
      <c r="J1593" s="1490"/>
      <c r="K1593" s="1490"/>
      <c r="L1593" s="1490"/>
      <c r="M1593" s="1490"/>
      <c r="N1593" s="1490"/>
      <c r="O1593" s="1490"/>
      <c r="P1593" s="1490"/>
      <c r="Q1593" s="1490"/>
      <c r="R1593" s="1490"/>
      <c r="S1593" s="1490"/>
      <c r="T1593" s="1490"/>
      <c r="U1593" s="1490"/>
      <c r="V1593" s="1490"/>
      <c r="W1593" s="89"/>
      <c r="X1593" s="1490"/>
      <c r="Y1593" s="141"/>
      <c r="Z1593" s="1492"/>
      <c r="AA1593" s="1193"/>
    </row>
    <row r="1594" spans="1:27" s="1498" customFormat="1">
      <c r="A1594" s="141"/>
      <c r="B1594" s="1885" t="s">
        <v>2638</v>
      </c>
      <c r="C1594" s="1885"/>
      <c r="D1594" s="1885"/>
      <c r="E1594" s="1886">
        <v>0.51462499999999989</v>
      </c>
      <c r="F1594" s="1887">
        <f t="shared" si="6"/>
        <v>375.67624999999992</v>
      </c>
      <c r="G1594" s="1754">
        <v>4.8782653424657534</v>
      </c>
      <c r="H1594" s="1869">
        <v>3366.8204999999998</v>
      </c>
      <c r="I1594" s="1490"/>
      <c r="J1594" s="1490"/>
      <c r="K1594" s="1490"/>
      <c r="L1594" s="1490"/>
      <c r="M1594" s="1490"/>
      <c r="N1594" s="1490"/>
      <c r="O1594" s="1490"/>
      <c r="P1594" s="1490"/>
      <c r="Q1594" s="1490"/>
      <c r="R1594" s="1490"/>
      <c r="S1594" s="1490"/>
      <c r="T1594" s="1490"/>
      <c r="U1594" s="1490"/>
      <c r="V1594" s="1490"/>
      <c r="W1594" s="89"/>
      <c r="X1594" s="1490"/>
      <c r="Y1594" s="141"/>
      <c r="Z1594" s="1492"/>
      <c r="AA1594" s="1193"/>
    </row>
    <row r="1595" spans="1:27" s="1498" customFormat="1">
      <c r="A1595" s="141"/>
      <c r="B1595" s="1885" t="s">
        <v>2627</v>
      </c>
      <c r="C1595" s="1885"/>
      <c r="D1595" s="1885"/>
      <c r="E1595" s="1886">
        <v>3.4310958904109588E-2</v>
      </c>
      <c r="F1595" s="1887">
        <f t="shared" si="6"/>
        <v>25.047000000000001</v>
      </c>
      <c r="G1595" s="1754">
        <v>0.35861095890410954</v>
      </c>
      <c r="H1595" s="1869">
        <v>247.06599999999997</v>
      </c>
      <c r="I1595" s="1490"/>
      <c r="J1595" s="1490"/>
      <c r="K1595" s="1490"/>
      <c r="L1595" s="1490"/>
      <c r="M1595" s="1490"/>
      <c r="N1595" s="1490"/>
      <c r="O1595" s="1490"/>
      <c r="P1595" s="1490"/>
      <c r="Q1595" s="1490"/>
      <c r="R1595" s="1490"/>
      <c r="S1595" s="1490"/>
      <c r="T1595" s="1490"/>
      <c r="U1595" s="1490"/>
      <c r="V1595" s="1490"/>
      <c r="W1595" s="89"/>
      <c r="X1595" s="1490"/>
      <c r="Y1595" s="141"/>
      <c r="Z1595" s="1492"/>
      <c r="AA1595" s="1193"/>
    </row>
    <row r="1596" spans="1:27" s="1498" customFormat="1">
      <c r="A1596" s="141"/>
      <c r="B1596" s="1885" t="s">
        <v>2632</v>
      </c>
      <c r="C1596" s="1885"/>
      <c r="D1596" s="1885"/>
      <c r="E1596" s="1886">
        <v>3.4310958904109588E-2</v>
      </c>
      <c r="F1596" s="1887">
        <f t="shared" si="6"/>
        <v>25.047000000000001</v>
      </c>
      <c r="G1596" s="1754">
        <v>0.35861095890410954</v>
      </c>
      <c r="H1596" s="1869">
        <v>247.06599999999997</v>
      </c>
      <c r="I1596" s="1490"/>
      <c r="J1596" s="1490"/>
      <c r="K1596" s="1490"/>
      <c r="L1596" s="1490"/>
      <c r="M1596" s="1490"/>
      <c r="N1596" s="1490"/>
      <c r="O1596" s="1490"/>
      <c r="P1596" s="1490"/>
      <c r="Q1596" s="1490"/>
      <c r="R1596" s="1490"/>
      <c r="S1596" s="1490"/>
      <c r="T1596" s="1490"/>
      <c r="U1596" s="1490"/>
      <c r="V1596" s="1490"/>
      <c r="W1596" s="89"/>
      <c r="X1596" s="1490"/>
      <c r="Y1596" s="141"/>
      <c r="Z1596" s="1492"/>
      <c r="AA1596" s="1193"/>
    </row>
    <row r="1597" spans="1:27" s="1498" customFormat="1">
      <c r="A1597" s="141"/>
      <c r="B1597" s="1885" t="s">
        <v>2628</v>
      </c>
      <c r="C1597" s="1885"/>
      <c r="D1597" s="1885"/>
      <c r="E1597" s="1886">
        <v>6.8621917808219177E-2</v>
      </c>
      <c r="F1597" s="1887">
        <f t="shared" si="6"/>
        <v>50.094000000000001</v>
      </c>
      <c r="G1597" s="1754">
        <v>0.7031919178082191</v>
      </c>
      <c r="H1597" s="1869">
        <v>483.88549999999992</v>
      </c>
      <c r="I1597" s="1490"/>
      <c r="J1597" s="1490"/>
      <c r="K1597" s="1490"/>
      <c r="L1597" s="1490"/>
      <c r="M1597" s="1490"/>
      <c r="N1597" s="1490"/>
      <c r="O1597" s="1490"/>
      <c r="P1597" s="1490"/>
      <c r="Q1597" s="1490"/>
      <c r="R1597" s="1490"/>
      <c r="S1597" s="1490"/>
      <c r="T1597" s="1490"/>
      <c r="U1597" s="1490"/>
      <c r="V1597" s="1490"/>
      <c r="W1597" s="89"/>
      <c r="X1597" s="1490"/>
      <c r="Y1597" s="141"/>
      <c r="Z1597" s="1492"/>
      <c r="AA1597" s="1193"/>
    </row>
    <row r="1598" spans="1:27" s="1498" customFormat="1">
      <c r="A1598" s="141"/>
      <c r="B1598" s="1885" t="s">
        <v>2633</v>
      </c>
      <c r="C1598" s="1885"/>
      <c r="D1598" s="1885"/>
      <c r="E1598" s="1886">
        <v>6.8621917808219177E-2</v>
      </c>
      <c r="F1598" s="1887">
        <f t="shared" si="6"/>
        <v>50.094000000000001</v>
      </c>
      <c r="G1598" s="1754">
        <v>0.7031919178082191</v>
      </c>
      <c r="H1598" s="1869">
        <v>483.88549999999992</v>
      </c>
      <c r="I1598" s="1490"/>
      <c r="J1598" s="1490"/>
      <c r="K1598" s="1490"/>
      <c r="L1598" s="1490"/>
      <c r="M1598" s="1490"/>
      <c r="N1598" s="1490"/>
      <c r="O1598" s="1490"/>
      <c r="P1598" s="1490"/>
      <c r="Q1598" s="1490"/>
      <c r="R1598" s="1490"/>
      <c r="S1598" s="1490"/>
      <c r="T1598" s="1490"/>
      <c r="U1598" s="1490"/>
      <c r="V1598" s="1490"/>
      <c r="W1598" s="89"/>
      <c r="X1598" s="1490"/>
      <c r="Y1598" s="141"/>
      <c r="Z1598" s="1492"/>
      <c r="AA1598" s="1193"/>
    </row>
    <row r="1599" spans="1:27" s="1498" customFormat="1">
      <c r="A1599" s="141"/>
      <c r="B1599" s="1885" t="s">
        <v>2388</v>
      </c>
      <c r="C1599" s="1885"/>
      <c r="D1599" s="1885"/>
      <c r="E1599" s="1886">
        <v>0.13724383561643835</v>
      </c>
      <c r="F1599" s="1887">
        <f t="shared" si="6"/>
        <v>100.188</v>
      </c>
      <c r="G1599" s="1754">
        <v>1.3800488356164382</v>
      </c>
      <c r="H1599" s="1869">
        <v>948.55449999999985</v>
      </c>
      <c r="I1599" s="1490"/>
      <c r="J1599" s="1490"/>
      <c r="K1599" s="1490"/>
      <c r="L1599" s="1490"/>
      <c r="M1599" s="1490"/>
      <c r="N1599" s="1490"/>
      <c r="O1599" s="1490"/>
      <c r="P1599" s="1490"/>
      <c r="Q1599" s="1490"/>
      <c r="R1599" s="1490"/>
      <c r="S1599" s="1490"/>
      <c r="T1599" s="1490"/>
      <c r="U1599" s="1490"/>
      <c r="V1599" s="1490"/>
      <c r="W1599" s="89"/>
      <c r="X1599" s="1490"/>
      <c r="Y1599" s="141"/>
      <c r="Z1599" s="1492"/>
      <c r="AA1599" s="1193"/>
    </row>
    <row r="1600" spans="1:27" s="1498" customFormat="1">
      <c r="A1600" s="141"/>
      <c r="B1600" s="1885" t="s">
        <v>2389</v>
      </c>
      <c r="C1600" s="1885"/>
      <c r="D1600" s="1885"/>
      <c r="E1600" s="1886">
        <v>0.13724383561643835</v>
      </c>
      <c r="F1600" s="1887">
        <f t="shared" si="6"/>
        <v>100.188</v>
      </c>
      <c r="G1600" s="1754">
        <v>1.3800488356164382</v>
      </c>
      <c r="H1600" s="1869">
        <v>948.55449999999985</v>
      </c>
      <c r="I1600" s="1490"/>
      <c r="J1600" s="1490"/>
      <c r="K1600" s="1490"/>
      <c r="L1600" s="1490"/>
      <c r="M1600" s="1490"/>
      <c r="N1600" s="1490"/>
      <c r="O1600" s="1490"/>
      <c r="P1600" s="1490"/>
      <c r="Q1600" s="1490"/>
      <c r="R1600" s="1490"/>
      <c r="S1600" s="1490"/>
      <c r="T1600" s="1490"/>
      <c r="U1600" s="1490"/>
      <c r="V1600" s="1490"/>
      <c r="W1600" s="89"/>
      <c r="X1600" s="1490"/>
      <c r="Y1600" s="141"/>
      <c r="Z1600" s="1492"/>
      <c r="AA1600" s="1193"/>
    </row>
    <row r="1601" spans="1:27" s="1498" customFormat="1">
      <c r="A1601" s="141"/>
      <c r="B1601" s="1885" t="s">
        <v>2442</v>
      </c>
      <c r="C1601" s="1885"/>
      <c r="D1601" s="1885"/>
      <c r="E1601" s="1886">
        <v>0.27448767123287671</v>
      </c>
      <c r="F1601" s="1887">
        <f t="shared" si="6"/>
        <v>200.376</v>
      </c>
      <c r="G1601" s="1754">
        <v>2.5834576712328765</v>
      </c>
      <c r="H1601" s="1869">
        <v>1782.2930000000001</v>
      </c>
      <c r="I1601" s="1490"/>
      <c r="J1601" s="1490"/>
      <c r="K1601" s="1490"/>
      <c r="L1601" s="1490"/>
      <c r="M1601" s="1490"/>
      <c r="N1601" s="1490"/>
      <c r="O1601" s="1490"/>
      <c r="P1601" s="1490"/>
      <c r="Q1601" s="1490"/>
      <c r="R1601" s="1490"/>
      <c r="S1601" s="1490"/>
      <c r="T1601" s="1490"/>
      <c r="U1601" s="1490"/>
      <c r="V1601" s="1490"/>
      <c r="W1601" s="89"/>
      <c r="X1601" s="1490"/>
      <c r="Y1601" s="141"/>
      <c r="Z1601" s="1492"/>
      <c r="AA1601" s="1193"/>
    </row>
    <row r="1602" spans="1:27" s="1498" customFormat="1">
      <c r="A1602" s="141"/>
      <c r="B1602" s="1885" t="s">
        <v>2391</v>
      </c>
      <c r="C1602" s="1885"/>
      <c r="D1602" s="1885"/>
      <c r="E1602" s="1886">
        <v>0.27448767123287671</v>
      </c>
      <c r="F1602" s="1887">
        <f t="shared" si="6"/>
        <v>200.376</v>
      </c>
      <c r="G1602" s="1754">
        <v>2.5834576712328765</v>
      </c>
      <c r="H1602" s="1869">
        <v>1782.2930000000001</v>
      </c>
      <c r="I1602" s="1490"/>
      <c r="J1602" s="1490"/>
      <c r="K1602" s="1490"/>
      <c r="L1602" s="1490"/>
      <c r="M1602" s="1490"/>
      <c r="N1602" s="1490"/>
      <c r="O1602" s="1490"/>
      <c r="P1602" s="1490"/>
      <c r="Q1602" s="1490"/>
      <c r="R1602" s="1490"/>
      <c r="S1602" s="1490"/>
      <c r="T1602" s="1490"/>
      <c r="U1602" s="1490"/>
      <c r="V1602" s="1490"/>
      <c r="W1602" s="89"/>
      <c r="X1602" s="1490"/>
      <c r="Y1602" s="141"/>
      <c r="Z1602" s="1492"/>
      <c r="AA1602" s="1193"/>
    </row>
    <row r="1603" spans="1:27" s="1498" customFormat="1">
      <c r="A1603" s="141"/>
      <c r="B1603" s="1885" t="s">
        <v>2443</v>
      </c>
      <c r="C1603" s="1885"/>
      <c r="D1603" s="1885"/>
      <c r="E1603" s="1886">
        <v>0.54897534246575341</v>
      </c>
      <c r="F1603" s="1887">
        <f t="shared" si="6"/>
        <v>400.75200000000001</v>
      </c>
      <c r="G1603" s="1754">
        <v>5.166915342465753</v>
      </c>
      <c r="H1603" s="1869">
        <v>3564.5860000000002</v>
      </c>
      <c r="I1603" s="1490"/>
      <c r="J1603" s="1490"/>
      <c r="K1603" s="1490"/>
      <c r="L1603" s="1490"/>
      <c r="M1603" s="1490"/>
      <c r="N1603" s="1490"/>
      <c r="O1603" s="1490"/>
      <c r="P1603" s="1490"/>
      <c r="Q1603" s="1490"/>
      <c r="R1603" s="1490"/>
      <c r="S1603" s="1490"/>
      <c r="T1603" s="1490"/>
      <c r="U1603" s="1490"/>
      <c r="V1603" s="1490"/>
      <c r="W1603" s="89"/>
      <c r="X1603" s="1490"/>
      <c r="Y1603" s="141"/>
      <c r="Z1603" s="1492"/>
      <c r="AA1603" s="1193"/>
    </row>
    <row r="1604" spans="1:27" s="1498" customFormat="1">
      <c r="A1604" s="141"/>
      <c r="B1604" s="1885" t="s">
        <v>2392</v>
      </c>
      <c r="C1604" s="1885"/>
      <c r="D1604" s="1885"/>
      <c r="E1604" s="1886">
        <v>0.54897534246575341</v>
      </c>
      <c r="F1604" s="1887">
        <f t="shared" si="6"/>
        <v>400.75200000000001</v>
      </c>
      <c r="G1604" s="1754">
        <v>5.166915342465753</v>
      </c>
      <c r="H1604" s="1869">
        <v>3564.5860000000002</v>
      </c>
      <c r="I1604" s="1490"/>
      <c r="J1604" s="1490"/>
      <c r="K1604" s="1490"/>
      <c r="L1604" s="1490"/>
      <c r="M1604" s="1490"/>
      <c r="N1604" s="1490"/>
      <c r="O1604" s="1490"/>
      <c r="P1604" s="1490"/>
      <c r="Q1604" s="1490"/>
      <c r="R1604" s="1490"/>
      <c r="S1604" s="1490"/>
      <c r="T1604" s="1490"/>
      <c r="U1604" s="1490"/>
      <c r="V1604" s="1490"/>
      <c r="W1604" s="89"/>
      <c r="X1604" s="1490"/>
      <c r="Y1604" s="141"/>
      <c r="Z1604" s="1492"/>
      <c r="AA1604" s="1193"/>
    </row>
    <row r="1605" spans="1:27" s="1498" customFormat="1">
      <c r="A1605" s="141"/>
      <c r="B1605" s="1885" t="s">
        <v>2643</v>
      </c>
      <c r="C1605" s="1885"/>
      <c r="D1605" s="1885"/>
      <c r="E1605" s="1886">
        <v>3.4310958904109588E-2</v>
      </c>
      <c r="F1605" s="1887">
        <f t="shared" si="6"/>
        <v>25.047000000000001</v>
      </c>
      <c r="G1605" s="1754">
        <v>0.35861095890410954</v>
      </c>
      <c r="H1605" s="1869">
        <v>247.06599999999997</v>
      </c>
      <c r="I1605" s="1490"/>
      <c r="J1605" s="1490"/>
      <c r="K1605" s="1490"/>
      <c r="L1605" s="1490"/>
      <c r="M1605" s="1490"/>
      <c r="N1605" s="1490"/>
      <c r="O1605" s="1490"/>
      <c r="P1605" s="1490"/>
      <c r="Q1605" s="1490"/>
      <c r="R1605" s="1490"/>
      <c r="S1605" s="1490"/>
      <c r="T1605" s="1490"/>
      <c r="U1605" s="1490"/>
      <c r="V1605" s="1490"/>
      <c r="W1605" s="89"/>
      <c r="X1605" s="1490"/>
      <c r="Y1605" s="141"/>
      <c r="Z1605" s="1492"/>
      <c r="AA1605" s="1193"/>
    </row>
    <row r="1606" spans="1:27" s="1498" customFormat="1">
      <c r="A1606" s="141"/>
      <c r="B1606" s="1885" t="s">
        <v>2383</v>
      </c>
      <c r="C1606" s="1885"/>
      <c r="D1606" s="1885"/>
      <c r="E1606" s="1886">
        <v>6.8621917808219177E-2</v>
      </c>
      <c r="F1606" s="1887">
        <f t="shared" si="6"/>
        <v>50.094000000000001</v>
      </c>
      <c r="G1606" s="1754">
        <v>0.7031919178082191</v>
      </c>
      <c r="H1606" s="1869">
        <v>483.88549999999992</v>
      </c>
      <c r="I1606" s="1490"/>
      <c r="J1606" s="1490"/>
      <c r="K1606" s="1490"/>
      <c r="L1606" s="1490"/>
      <c r="M1606" s="1490"/>
      <c r="N1606" s="1490"/>
      <c r="O1606" s="1490"/>
      <c r="P1606" s="1490"/>
      <c r="Q1606" s="1490"/>
      <c r="R1606" s="1490"/>
      <c r="S1606" s="1490"/>
      <c r="T1606" s="1490"/>
      <c r="U1606" s="1490"/>
      <c r="V1606" s="1490"/>
      <c r="W1606" s="89"/>
      <c r="X1606" s="1490"/>
      <c r="Y1606" s="141"/>
      <c r="Z1606" s="1492"/>
      <c r="AA1606" s="1193"/>
    </row>
    <row r="1607" spans="1:27" s="1498" customFormat="1">
      <c r="A1607" s="141"/>
      <c r="B1607" s="1885" t="s">
        <v>2440</v>
      </c>
      <c r="C1607" s="1885"/>
      <c r="D1607" s="1885"/>
      <c r="E1607" s="1886">
        <v>0.10292499999999999</v>
      </c>
      <c r="F1607" s="1887">
        <f t="shared" si="6"/>
        <v>75.135249999999985</v>
      </c>
      <c r="G1607" s="1754">
        <v>1.0758328767123286</v>
      </c>
      <c r="H1607" s="1869">
        <v>741.19799999999987</v>
      </c>
      <c r="I1607" s="1490"/>
      <c r="J1607" s="1490"/>
      <c r="K1607" s="1490"/>
      <c r="L1607" s="1490"/>
      <c r="M1607" s="1490"/>
      <c r="N1607" s="1490"/>
      <c r="O1607" s="1490"/>
      <c r="P1607" s="1490"/>
      <c r="Q1607" s="1490"/>
      <c r="R1607" s="1490"/>
      <c r="S1607" s="1490"/>
      <c r="T1607" s="1490"/>
      <c r="U1607" s="1490"/>
      <c r="V1607" s="1490"/>
      <c r="W1607" s="89"/>
      <c r="X1607" s="1490"/>
      <c r="Y1607" s="141"/>
      <c r="Z1607" s="1492"/>
      <c r="AA1607" s="1193"/>
    </row>
    <row r="1608" spans="1:27" s="1498" customFormat="1">
      <c r="A1608" s="141"/>
      <c r="B1608" s="1885" t="s">
        <v>2384</v>
      </c>
      <c r="C1608" s="1885"/>
      <c r="D1608" s="1885"/>
      <c r="E1608" s="1886">
        <v>0.13724383561643835</v>
      </c>
      <c r="F1608" s="1887">
        <f t="shared" si="6"/>
        <v>100.188</v>
      </c>
      <c r="G1608" s="1754">
        <v>1.3800488356164382</v>
      </c>
      <c r="H1608" s="1869">
        <v>948.55449999999985</v>
      </c>
      <c r="I1608" s="1490"/>
      <c r="J1608" s="1490"/>
      <c r="K1608" s="1490"/>
      <c r="L1608" s="1490"/>
      <c r="M1608" s="1490"/>
      <c r="N1608" s="1490"/>
      <c r="O1608" s="1490"/>
      <c r="P1608" s="1490"/>
      <c r="Q1608" s="1490"/>
      <c r="R1608" s="1490"/>
      <c r="S1608" s="1490"/>
      <c r="T1608" s="1490"/>
      <c r="U1608" s="1490"/>
      <c r="V1608" s="1490"/>
      <c r="W1608" s="89"/>
      <c r="X1608" s="1490"/>
      <c r="Y1608" s="141"/>
      <c r="Z1608" s="1492"/>
      <c r="AA1608" s="1193"/>
    </row>
    <row r="1609" spans="1:27" s="1498" customFormat="1">
      <c r="A1609" s="141"/>
      <c r="B1609" s="1885" t="s">
        <v>2750</v>
      </c>
      <c r="C1609" s="1885"/>
      <c r="D1609" s="1885"/>
      <c r="E1609" s="1886">
        <v>0.13724383561643835</v>
      </c>
      <c r="F1609" s="1887">
        <f t="shared" si="6"/>
        <v>100.188</v>
      </c>
      <c r="G1609" s="1754" t="e">
        <v>#N/A</v>
      </c>
      <c r="H1609" s="1869" t="e">
        <v>#N/A</v>
      </c>
      <c r="I1609" s="1490"/>
      <c r="J1609" s="1490"/>
      <c r="K1609" s="1490"/>
      <c r="L1609" s="1490"/>
      <c r="M1609" s="1490"/>
      <c r="N1609" s="1490"/>
      <c r="O1609" s="1490"/>
      <c r="P1609" s="1490"/>
      <c r="Q1609" s="1490"/>
      <c r="R1609" s="1490"/>
      <c r="S1609" s="1490"/>
      <c r="T1609" s="1490"/>
      <c r="U1609" s="1490"/>
      <c r="V1609" s="1490"/>
      <c r="W1609" s="89"/>
      <c r="X1609" s="1490"/>
      <c r="Y1609" s="141"/>
      <c r="Z1609" s="1492"/>
      <c r="AA1609" s="1193"/>
    </row>
    <row r="1610" spans="1:27" s="1498" customFormat="1">
      <c r="A1610" s="141"/>
      <c r="B1610" s="1885" t="s">
        <v>2441</v>
      </c>
      <c r="C1610" s="1885"/>
      <c r="D1610" s="1885"/>
      <c r="E1610" s="1886">
        <v>0.20586575342465799</v>
      </c>
      <c r="F1610" s="1887">
        <f t="shared" si="6"/>
        <v>150.28200000000032</v>
      </c>
      <c r="G1610" s="1754">
        <v>2.1095757534246573</v>
      </c>
      <c r="H1610" s="1869">
        <v>1451.6564999999998</v>
      </c>
      <c r="I1610" s="1490"/>
      <c r="J1610" s="1490"/>
      <c r="K1610" s="1490"/>
      <c r="L1610" s="1490"/>
      <c r="M1610" s="1490"/>
      <c r="N1610" s="1490"/>
      <c r="O1610" s="1490"/>
      <c r="P1610" s="1490"/>
      <c r="Q1610" s="1490"/>
      <c r="R1610" s="1490"/>
      <c r="S1610" s="1490"/>
      <c r="T1610" s="1490"/>
      <c r="U1610" s="1490"/>
      <c r="V1610" s="1490"/>
      <c r="W1610" s="89"/>
      <c r="X1610" s="1490"/>
      <c r="Y1610" s="141"/>
      <c r="Z1610" s="1492"/>
      <c r="AA1610" s="1193"/>
    </row>
    <row r="1611" spans="1:27" s="1498" customFormat="1">
      <c r="A1611" s="141"/>
      <c r="B1611" s="1885" t="s">
        <v>2385</v>
      </c>
      <c r="C1611" s="1885"/>
      <c r="D1611" s="1885"/>
      <c r="E1611" s="1886">
        <v>0.27448767123287671</v>
      </c>
      <c r="F1611" s="1887">
        <f t="shared" si="6"/>
        <v>200.376</v>
      </c>
      <c r="G1611" s="1754">
        <v>2.5834576712328765</v>
      </c>
      <c r="H1611" s="1869">
        <v>1782.2930000000001</v>
      </c>
      <c r="I1611" s="1490"/>
      <c r="J1611" s="1490"/>
      <c r="K1611" s="1490"/>
      <c r="L1611" s="1490"/>
      <c r="M1611" s="1490"/>
      <c r="N1611" s="1490"/>
      <c r="O1611" s="1490"/>
      <c r="P1611" s="1490"/>
      <c r="Q1611" s="1490"/>
      <c r="R1611" s="1490"/>
      <c r="S1611" s="1490"/>
      <c r="T1611" s="1490"/>
      <c r="U1611" s="1490"/>
      <c r="V1611" s="1490"/>
      <c r="W1611" s="89"/>
      <c r="X1611" s="1490"/>
      <c r="Y1611" s="141"/>
      <c r="Z1611" s="1492"/>
      <c r="AA1611" s="1193"/>
    </row>
    <row r="1612" spans="1:27" s="1498" customFormat="1">
      <c r="A1612" s="141"/>
      <c r="B1612" s="1885" t="s">
        <v>2386</v>
      </c>
      <c r="C1612" s="1885"/>
      <c r="D1612" s="1885"/>
      <c r="E1612" s="1886">
        <v>0.54897534246575341</v>
      </c>
      <c r="F1612" s="1887">
        <f t="shared" si="6"/>
        <v>400.75200000000001</v>
      </c>
      <c r="G1612" s="1754">
        <v>5.166915342465753</v>
      </c>
      <c r="H1612" s="1869">
        <v>3564.5860000000002</v>
      </c>
      <c r="I1612" s="1490"/>
      <c r="J1612" s="1490"/>
      <c r="K1612" s="1490"/>
      <c r="L1612" s="1490"/>
      <c r="M1612" s="1490"/>
      <c r="N1612" s="1490"/>
      <c r="O1612" s="1490"/>
      <c r="P1612" s="1490"/>
      <c r="Q1612" s="1490"/>
      <c r="R1612" s="1490"/>
      <c r="S1612" s="1490"/>
      <c r="T1612" s="1490"/>
      <c r="U1612" s="1490"/>
      <c r="V1612" s="1490"/>
      <c r="W1612" s="89"/>
      <c r="X1612" s="1490"/>
      <c r="Y1612" s="141"/>
      <c r="Z1612" s="1492"/>
      <c r="AA1612" s="1193"/>
    </row>
    <row r="1613" spans="1:27" s="1498" customFormat="1">
      <c r="A1613" s="141"/>
      <c r="B1613" s="1885" t="s">
        <v>2386</v>
      </c>
      <c r="C1613" s="1885"/>
      <c r="D1613" s="1885"/>
      <c r="E1613" s="1886">
        <v>0.54897534246575341</v>
      </c>
      <c r="F1613" s="1887">
        <f t="shared" si="6"/>
        <v>400.75200000000001</v>
      </c>
      <c r="G1613" s="1754">
        <v>4.6522509589041086</v>
      </c>
      <c r="H1613" s="1869">
        <v>3188.8809999999999</v>
      </c>
      <c r="I1613" s="1490"/>
      <c r="J1613" s="1490"/>
      <c r="K1613" s="1490"/>
      <c r="L1613" s="1490"/>
      <c r="M1613" s="1490"/>
      <c r="N1613" s="1490"/>
      <c r="O1613" s="1490"/>
      <c r="P1613" s="1490"/>
      <c r="Q1613" s="1490"/>
      <c r="R1613" s="1490"/>
      <c r="S1613" s="1490"/>
      <c r="T1613" s="1490"/>
      <c r="U1613" s="1490"/>
      <c r="V1613" s="1490"/>
      <c r="W1613" s="89"/>
      <c r="X1613" s="1490"/>
      <c r="Y1613" s="141"/>
      <c r="Z1613" s="1492"/>
      <c r="AA1613" s="1193"/>
    </row>
    <row r="1614" spans="1:27" s="1498" customFormat="1">
      <c r="A1614" s="141"/>
      <c r="B1614" s="1885" t="s">
        <v>2596</v>
      </c>
      <c r="C1614" s="1885"/>
      <c r="D1614" s="1885"/>
      <c r="E1614" s="1886">
        <v>3.4310958904109588E-2</v>
      </c>
      <c r="F1614" s="1887">
        <f t="shared" si="6"/>
        <v>25.047000000000001</v>
      </c>
      <c r="G1614" s="1754">
        <v>0.35861095890410954</v>
      </c>
      <c r="H1614" s="1869">
        <v>247.06599999999997</v>
      </c>
      <c r="I1614" s="1490"/>
      <c r="J1614" s="1490"/>
      <c r="K1614" s="1490"/>
      <c r="L1614" s="1490"/>
      <c r="M1614" s="1490"/>
      <c r="N1614" s="1490"/>
      <c r="O1614" s="1490"/>
      <c r="P1614" s="1490"/>
      <c r="Q1614" s="1490"/>
      <c r="R1614" s="1490"/>
      <c r="S1614" s="1490"/>
      <c r="T1614" s="1490"/>
      <c r="U1614" s="1490"/>
      <c r="V1614" s="1490"/>
      <c r="W1614" s="89"/>
      <c r="X1614" s="1490"/>
      <c r="Y1614" s="141"/>
      <c r="Z1614" s="1492"/>
      <c r="AA1614" s="1193"/>
    </row>
    <row r="1615" spans="1:27" s="1498" customFormat="1">
      <c r="A1615" s="141"/>
      <c r="B1615" s="1885" t="s">
        <v>2597</v>
      </c>
      <c r="C1615" s="1885"/>
      <c r="D1615" s="1885"/>
      <c r="E1615" s="1886">
        <v>6.8621917808219177E-2</v>
      </c>
      <c r="F1615" s="1887">
        <f t="shared" si="6"/>
        <v>50.094000000000001</v>
      </c>
      <c r="G1615" s="1754">
        <v>0.7031919178082191</v>
      </c>
      <c r="H1615" s="1869">
        <v>483.88549999999992</v>
      </c>
      <c r="I1615" s="1490"/>
      <c r="J1615" s="1490"/>
      <c r="K1615" s="1490"/>
      <c r="L1615" s="1490"/>
      <c r="M1615" s="1490"/>
      <c r="N1615" s="1490"/>
      <c r="O1615" s="1490"/>
      <c r="P1615" s="1490"/>
      <c r="Q1615" s="1490"/>
      <c r="R1615" s="1490"/>
      <c r="S1615" s="1490"/>
      <c r="T1615" s="1490"/>
      <c r="U1615" s="1490"/>
      <c r="V1615" s="1490"/>
      <c r="W1615" s="89"/>
      <c r="X1615" s="1490"/>
      <c r="Y1615" s="141"/>
      <c r="Z1615" s="1492"/>
      <c r="AA1615" s="1193"/>
    </row>
    <row r="1616" spans="1:27" s="1498" customFormat="1">
      <c r="A1616" s="141"/>
      <c r="B1616" s="1885" t="s">
        <v>2601</v>
      </c>
      <c r="C1616" s="1885"/>
      <c r="D1616" s="1885"/>
      <c r="E1616" s="1886">
        <v>3.4310958904109588E-2</v>
      </c>
      <c r="F1616" s="1887">
        <f t="shared" si="6"/>
        <v>25.047000000000001</v>
      </c>
      <c r="G1616" s="1754">
        <v>0.35861095890410954</v>
      </c>
      <c r="H1616" s="1869">
        <v>247.06599999999997</v>
      </c>
      <c r="I1616" s="1490"/>
      <c r="J1616" s="1490"/>
      <c r="K1616" s="1490"/>
      <c r="L1616" s="1490"/>
      <c r="M1616" s="1490"/>
      <c r="N1616" s="1490"/>
      <c r="O1616" s="1490"/>
      <c r="P1616" s="1490"/>
      <c r="Q1616" s="1490"/>
      <c r="R1616" s="1490"/>
      <c r="S1616" s="1490"/>
      <c r="T1616" s="1490"/>
      <c r="U1616" s="1490"/>
      <c r="V1616" s="1490"/>
      <c r="W1616" s="89"/>
      <c r="X1616" s="1490"/>
      <c r="Y1616" s="141"/>
      <c r="Z1616" s="1492"/>
      <c r="AA1616" s="1193"/>
    </row>
    <row r="1617" spans="1:38" s="1498" customFormat="1">
      <c r="A1617" s="141"/>
      <c r="B1617" s="1885" t="s">
        <v>2602</v>
      </c>
      <c r="C1617" s="1885"/>
      <c r="D1617" s="1885"/>
      <c r="E1617" s="1886">
        <v>6.8621917808219177E-2</v>
      </c>
      <c r="F1617" s="1887">
        <f t="shared" si="6"/>
        <v>50.094000000000001</v>
      </c>
      <c r="G1617" s="1754">
        <v>0.7031919178082191</v>
      </c>
      <c r="H1617" s="1869">
        <v>483.88549999999992</v>
      </c>
      <c r="I1617" s="1490"/>
      <c r="J1617" s="1490"/>
      <c r="K1617" s="1490"/>
      <c r="L1617" s="1490"/>
      <c r="M1617" s="1490"/>
      <c r="N1617" s="1490"/>
      <c r="O1617" s="1490"/>
      <c r="P1617" s="1490"/>
      <c r="Q1617" s="1490"/>
      <c r="R1617" s="1490"/>
      <c r="S1617" s="1490"/>
      <c r="T1617" s="1490"/>
      <c r="U1617" s="1490"/>
      <c r="V1617" s="1490"/>
      <c r="W1617" s="89"/>
      <c r="X1617" s="1490"/>
      <c r="Y1617" s="141"/>
      <c r="Z1617" s="1492"/>
      <c r="AA1617" s="1193"/>
    </row>
    <row r="1618" spans="1:38" s="613" customFormat="1">
      <c r="A1618" s="53"/>
      <c r="B1618" s="1497"/>
      <c r="C1618" s="1497"/>
      <c r="D1618" s="1497"/>
      <c r="E1618" s="1431"/>
      <c r="F1618" s="1431"/>
      <c r="G1618" s="737"/>
      <c r="H1618" s="1432"/>
      <c r="I1618" s="1490"/>
      <c r="J1618" s="1490"/>
      <c r="K1618" s="1490"/>
      <c r="L1618" s="1490"/>
      <c r="M1618" s="1490"/>
      <c r="N1618" s="1490"/>
      <c r="O1618" s="1490"/>
      <c r="P1618" s="1490"/>
      <c r="Q1618" s="1490"/>
      <c r="R1618" s="1490"/>
      <c r="S1618" s="1490"/>
      <c r="T1618" s="1490"/>
      <c r="U1618" s="1490"/>
      <c r="V1618" s="1490"/>
      <c r="W1618" s="89"/>
      <c r="X1618" s="1490"/>
      <c r="Y1618" s="141"/>
      <c r="Z1618" s="1492"/>
      <c r="AA1618" s="1193"/>
      <c r="AB1618" s="1498"/>
      <c r="AC1618" s="1498"/>
      <c r="AD1618" s="1498"/>
      <c r="AE1618" s="1498"/>
      <c r="AF1618" s="1498"/>
      <c r="AG1618" s="1498"/>
      <c r="AH1618" s="1498"/>
      <c r="AI1618" s="1498"/>
      <c r="AJ1618" s="1498"/>
      <c r="AK1618" s="1498"/>
      <c r="AL1618" s="1498"/>
    </row>
    <row r="1619" spans="1:38" s="613" customFormat="1">
      <c r="A1619" s="53"/>
      <c r="B1619" s="305"/>
      <c r="C1619" s="305"/>
      <c r="D1619" s="305"/>
      <c r="E1619" s="305"/>
      <c r="F1619" s="305"/>
      <c r="G1619" s="714"/>
      <c r="H1619" s="304"/>
      <c r="I1619" s="612"/>
      <c r="J1619" s="612"/>
      <c r="K1619" s="612"/>
      <c r="L1619" s="612"/>
      <c r="M1619" s="612"/>
      <c r="N1619" s="612"/>
      <c r="O1619" s="612"/>
      <c r="P1619" s="612"/>
      <c r="Q1619" s="612"/>
      <c r="R1619" s="612"/>
      <c r="S1619" s="612"/>
      <c r="T1619" s="612"/>
      <c r="U1619" s="612"/>
      <c r="V1619" s="612"/>
      <c r="W1619" s="761"/>
      <c r="X1619" s="612"/>
      <c r="Y1619" s="679"/>
      <c r="Z1619" s="730"/>
      <c r="AA1619" s="678"/>
      <c r="AB1619" s="593"/>
      <c r="AC1619" s="593"/>
      <c r="AD1619" s="593"/>
      <c r="AE1619" s="593"/>
      <c r="AF1619" s="593"/>
      <c r="AG1619" s="593"/>
      <c r="AH1619" s="593"/>
      <c r="AI1619" s="593"/>
      <c r="AJ1619" s="593"/>
      <c r="AK1619" s="593"/>
      <c r="AL1619" s="593"/>
    </row>
    <row r="1620" spans="1:38" s="613" customFormat="1" ht="15.6">
      <c r="A1620" s="53"/>
      <c r="B1620" s="689" t="s">
        <v>1104</v>
      </c>
      <c r="C1620" s="684"/>
      <c r="D1620" s="26" t="s">
        <v>147</v>
      </c>
      <c r="F1620" s="4"/>
      <c r="G1620" s="222"/>
      <c r="H1620" s="164"/>
      <c r="I1620" s="4"/>
      <c r="J1620" s="4"/>
      <c r="K1620" s="4"/>
      <c r="L1620" s="4"/>
      <c r="M1620" s="4"/>
      <c r="N1620" s="4"/>
      <c r="O1620" s="4"/>
      <c r="P1620" s="4"/>
      <c r="Q1620" s="4"/>
      <c r="R1620" s="4"/>
      <c r="S1620" s="4"/>
      <c r="T1620" s="4"/>
      <c r="U1620" s="4"/>
      <c r="V1620" s="4"/>
      <c r="W1620" s="89"/>
      <c r="X1620" s="4"/>
      <c r="Y1620" s="53"/>
      <c r="Z1620" s="218"/>
      <c r="AA1620" s="7"/>
    </row>
    <row r="1621" spans="1:38" s="613" customFormat="1">
      <c r="A1621" s="53"/>
      <c r="B1621" s="690" t="s">
        <v>638</v>
      </c>
      <c r="C1621" s="690" t="s">
        <v>3</v>
      </c>
      <c r="D1621" s="690" t="s">
        <v>37</v>
      </c>
      <c r="E1621" s="691" t="s">
        <v>639</v>
      </c>
      <c r="G1621" s="222"/>
      <c r="H1621" s="164"/>
      <c r="I1621" s="165"/>
      <c r="J1621" s="4"/>
      <c r="K1621" s="4"/>
      <c r="L1621" s="4"/>
      <c r="M1621" s="4"/>
      <c r="N1621" s="4"/>
      <c r="O1621" s="4"/>
      <c r="P1621" s="4"/>
      <c r="Q1621" s="4"/>
      <c r="R1621" s="4"/>
      <c r="S1621" s="4"/>
      <c r="T1621" s="4"/>
      <c r="U1621" s="4"/>
      <c r="V1621" s="4"/>
      <c r="W1621" s="89"/>
      <c r="X1621" s="4"/>
      <c r="Y1621" s="53"/>
      <c r="Z1621" s="218"/>
      <c r="AA1621" s="7"/>
    </row>
    <row r="1622" spans="1:38" s="613" customFormat="1">
      <c r="A1622" s="53"/>
      <c r="B1622" s="1923" t="s">
        <v>1100</v>
      </c>
      <c r="C1622" s="1924"/>
      <c r="D1622" s="1924"/>
      <c r="E1622" s="1925"/>
      <c r="F1622" s="222"/>
      <c r="G1622" s="222"/>
      <c r="H1622" s="164"/>
      <c r="I1622" s="165"/>
      <c r="J1622" s="4"/>
      <c r="K1622" s="4"/>
      <c r="L1622" s="4"/>
      <c r="M1622" s="4"/>
      <c r="N1622" s="4"/>
      <c r="O1622" s="4"/>
      <c r="P1622" s="4"/>
      <c r="Q1622" s="4"/>
      <c r="R1622" s="4"/>
      <c r="S1622" s="4"/>
      <c r="T1622" s="4"/>
      <c r="U1622" s="4"/>
      <c r="V1622" s="4"/>
      <c r="W1622" s="89"/>
      <c r="X1622" s="4"/>
      <c r="Y1622" s="53"/>
      <c r="Z1622" s="218"/>
      <c r="AA1622" s="7"/>
    </row>
    <row r="1623" spans="1:38" s="613" customFormat="1">
      <c r="A1623" s="53"/>
      <c r="B1623" s="712" t="s">
        <v>640</v>
      </c>
      <c r="C1623" s="712">
        <v>1</v>
      </c>
      <c r="D1623" s="1514">
        <v>2</v>
      </c>
      <c r="E1623" s="1518">
        <v>4.1399999999999992E-2</v>
      </c>
      <c r="F1623" s="222"/>
      <c r="G1623" s="222"/>
      <c r="H1623" s="164"/>
      <c r="I1623" s="165"/>
      <c r="J1623" s="4"/>
      <c r="K1623" s="4"/>
      <c r="L1623" s="4"/>
      <c r="M1623" s="4"/>
      <c r="N1623" s="4"/>
      <c r="O1623" s="4"/>
      <c r="P1623" s="4"/>
      <c r="Q1623" s="4"/>
      <c r="R1623" s="4"/>
      <c r="S1623" s="4"/>
      <c r="T1623" s="4"/>
      <c r="U1623" s="4"/>
      <c r="V1623" s="4"/>
      <c r="W1623" s="89"/>
      <c r="X1623" s="4"/>
      <c r="Y1623" s="53"/>
      <c r="Z1623" s="218"/>
      <c r="AA1623" s="7"/>
    </row>
    <row r="1624" spans="1:38" s="613" customFormat="1" ht="129.6">
      <c r="A1624" s="53"/>
      <c r="B1624" s="517" t="s">
        <v>641</v>
      </c>
      <c r="C1624" s="517">
        <v>1</v>
      </c>
      <c r="D1624" s="701">
        <v>4</v>
      </c>
      <c r="E1624" s="1518">
        <v>8.3949999999999983E-2</v>
      </c>
      <c r="F1624" s="222"/>
      <c r="G1624" s="222"/>
      <c r="H1624" s="602" t="s">
        <v>648</v>
      </c>
      <c r="I1624" s="165"/>
      <c r="J1624" s="4"/>
      <c r="K1624" s="4"/>
      <c r="L1624" s="4"/>
      <c r="M1624" s="4"/>
      <c r="N1624" s="4"/>
      <c r="O1624" s="4"/>
      <c r="P1624" s="4"/>
      <c r="Q1624" s="4"/>
      <c r="R1624" s="4"/>
      <c r="S1624" s="4"/>
      <c r="T1624" s="4"/>
      <c r="U1624" s="4"/>
      <c r="V1624" s="4"/>
      <c r="W1624" s="89"/>
      <c r="X1624" s="4"/>
      <c r="Y1624" s="53"/>
      <c r="Z1624" s="218"/>
      <c r="AA1624" s="7"/>
    </row>
    <row r="1625" spans="1:38" s="613" customFormat="1">
      <c r="A1625" s="53"/>
      <c r="B1625" s="517" t="s">
        <v>642</v>
      </c>
      <c r="C1625" s="517">
        <v>2</v>
      </c>
      <c r="D1625" s="701">
        <v>8</v>
      </c>
      <c r="E1625" s="1518">
        <v>0.16789999999999997</v>
      </c>
      <c r="F1625" s="222"/>
      <c r="G1625" s="222"/>
      <c r="H1625" s="164"/>
      <c r="I1625" s="165"/>
      <c r="J1625" s="4"/>
      <c r="K1625" s="4"/>
      <c r="L1625" s="4"/>
      <c r="M1625" s="4"/>
      <c r="N1625" s="4"/>
      <c r="O1625" s="4"/>
      <c r="P1625" s="4"/>
      <c r="Q1625" s="4"/>
      <c r="R1625" s="4"/>
      <c r="S1625" s="4"/>
      <c r="T1625" s="4"/>
      <c r="U1625" s="4"/>
      <c r="V1625" s="4"/>
      <c r="W1625" s="89"/>
      <c r="X1625" s="4"/>
      <c r="Y1625" s="53"/>
      <c r="Z1625" s="218"/>
      <c r="AA1625" s="7"/>
    </row>
    <row r="1626" spans="1:38" s="613" customFormat="1">
      <c r="A1626" s="53"/>
      <c r="B1626" s="517" t="s">
        <v>643</v>
      </c>
      <c r="C1626" s="517">
        <v>2</v>
      </c>
      <c r="D1626" s="701">
        <v>16</v>
      </c>
      <c r="E1626" s="1518">
        <v>0.30590000000000001</v>
      </c>
      <c r="F1626" s="222"/>
      <c r="G1626" s="222"/>
      <c r="H1626" s="164"/>
      <c r="I1626" s="165"/>
      <c r="J1626" s="4"/>
      <c r="K1626" s="4"/>
      <c r="L1626" s="4"/>
      <c r="M1626" s="4"/>
      <c r="N1626" s="4"/>
      <c r="O1626" s="4"/>
      <c r="P1626" s="4"/>
      <c r="Q1626" s="4"/>
      <c r="R1626" s="4"/>
      <c r="S1626" s="4"/>
      <c r="T1626" s="4"/>
      <c r="U1626" s="4"/>
      <c r="V1626" s="4"/>
      <c r="W1626" s="89"/>
      <c r="X1626" s="4"/>
      <c r="Y1626" s="53"/>
      <c r="Z1626" s="218"/>
      <c r="AA1626" s="7"/>
    </row>
    <row r="1627" spans="1:38" s="613" customFormat="1">
      <c r="A1627" s="53"/>
      <c r="B1627" s="517" t="s">
        <v>644</v>
      </c>
      <c r="C1627" s="517">
        <v>4</v>
      </c>
      <c r="D1627" s="701">
        <v>32</v>
      </c>
      <c r="E1627" s="1518">
        <v>0.60949999999999993</v>
      </c>
      <c r="F1627" s="222"/>
      <c r="G1627" s="222"/>
      <c r="H1627" s="164"/>
      <c r="I1627" s="165"/>
      <c r="J1627" s="4"/>
      <c r="K1627" s="4"/>
      <c r="L1627" s="4"/>
      <c r="M1627" s="4"/>
      <c r="N1627" s="4"/>
      <c r="O1627" s="4"/>
      <c r="P1627" s="4"/>
      <c r="Q1627" s="4"/>
      <c r="R1627" s="4"/>
      <c r="S1627" s="4"/>
      <c r="T1627" s="4"/>
      <c r="U1627" s="4"/>
      <c r="V1627" s="4"/>
      <c r="W1627" s="89"/>
      <c r="X1627" s="4"/>
      <c r="Y1627" s="53"/>
      <c r="Z1627" s="218"/>
      <c r="AA1627" s="7"/>
    </row>
    <row r="1628" spans="1:38" s="613" customFormat="1">
      <c r="A1628" s="53"/>
      <c r="B1628" s="713" t="s">
        <v>645</v>
      </c>
      <c r="C1628" s="713">
        <v>8</v>
      </c>
      <c r="D1628" s="1515">
        <v>64</v>
      </c>
      <c r="E1628" s="1518">
        <v>1.2213000000000001</v>
      </c>
      <c r="F1628" s="222"/>
      <c r="G1628" s="222"/>
      <c r="H1628" s="164"/>
      <c r="I1628" s="165"/>
      <c r="J1628" s="4"/>
      <c r="K1628" s="4"/>
      <c r="L1628" s="4"/>
      <c r="M1628" s="4"/>
      <c r="N1628" s="4"/>
      <c r="O1628" s="4"/>
      <c r="P1628" s="4"/>
      <c r="Q1628" s="4"/>
      <c r="R1628" s="4"/>
      <c r="S1628" s="4"/>
      <c r="T1628" s="4"/>
      <c r="U1628" s="4"/>
      <c r="V1628" s="4"/>
      <c r="W1628" s="89"/>
      <c r="X1628" s="4"/>
      <c r="Y1628" s="53"/>
      <c r="Z1628" s="218"/>
      <c r="AA1628" s="7"/>
    </row>
    <row r="1629" spans="1:38" s="613" customFormat="1">
      <c r="A1629" s="53"/>
      <c r="B1629" s="1923" t="s">
        <v>1101</v>
      </c>
      <c r="C1629" s="1924"/>
      <c r="D1629" s="1924"/>
      <c r="E1629" s="1925"/>
      <c r="F1629" s="222"/>
      <c r="G1629" s="222"/>
      <c r="H1629" s="164"/>
      <c r="I1629" s="165"/>
      <c r="J1629" s="4"/>
      <c r="K1629" s="4"/>
      <c r="L1629" s="4"/>
      <c r="M1629" s="4"/>
      <c r="N1629" s="4"/>
      <c r="O1629" s="4"/>
      <c r="P1629" s="4"/>
      <c r="Q1629" s="4"/>
      <c r="R1629" s="4"/>
      <c r="S1629" s="4"/>
      <c r="T1629" s="4"/>
      <c r="U1629" s="4"/>
      <c r="V1629" s="4"/>
      <c r="W1629" s="89"/>
      <c r="X1629" s="4"/>
      <c r="Y1629" s="53"/>
      <c r="Z1629" s="218"/>
      <c r="AA1629" s="7"/>
    </row>
    <row r="1630" spans="1:38" s="613" customFormat="1">
      <c r="A1630" s="53"/>
      <c r="B1630" s="712" t="s">
        <v>640</v>
      </c>
      <c r="C1630" s="712">
        <v>1</v>
      </c>
      <c r="D1630" s="1514">
        <v>2</v>
      </c>
      <c r="E1630" s="1518">
        <v>7.8200000000000006E-2</v>
      </c>
      <c r="F1630" s="222"/>
      <c r="G1630" s="222"/>
      <c r="H1630" s="164"/>
      <c r="I1630" s="165"/>
      <c r="J1630" s="4"/>
      <c r="K1630" s="4"/>
      <c r="L1630" s="4"/>
      <c r="M1630" s="4"/>
      <c r="N1630" s="4"/>
      <c r="O1630" s="4"/>
      <c r="P1630" s="4"/>
      <c r="Q1630" s="4"/>
      <c r="R1630" s="4"/>
      <c r="S1630" s="4"/>
      <c r="T1630" s="4"/>
      <c r="U1630" s="4"/>
      <c r="V1630" s="4"/>
      <c r="W1630" s="89"/>
      <c r="X1630" s="4"/>
      <c r="Y1630" s="53"/>
      <c r="Z1630" s="218"/>
      <c r="AA1630" s="7"/>
    </row>
    <row r="1631" spans="1:38" s="613" customFormat="1">
      <c r="A1631" s="53"/>
      <c r="B1631" s="517" t="s">
        <v>641</v>
      </c>
      <c r="C1631" s="517">
        <v>1</v>
      </c>
      <c r="D1631" s="701">
        <v>4</v>
      </c>
      <c r="E1631" s="1518">
        <v>0.15870000000000001</v>
      </c>
      <c r="F1631" s="222"/>
      <c r="G1631" s="222"/>
      <c r="H1631" s="164"/>
      <c r="I1631" s="165"/>
      <c r="J1631" s="4"/>
      <c r="K1631" s="4"/>
      <c r="L1631" s="4"/>
      <c r="M1631" s="4"/>
      <c r="N1631" s="4"/>
      <c r="O1631" s="4"/>
      <c r="P1631" s="4"/>
      <c r="Q1631" s="4"/>
      <c r="R1631" s="4"/>
      <c r="S1631" s="4"/>
      <c r="T1631" s="4"/>
      <c r="U1631" s="4"/>
      <c r="V1631" s="4"/>
      <c r="W1631" s="89"/>
      <c r="X1631" s="4"/>
      <c r="Y1631" s="53"/>
      <c r="Z1631" s="218"/>
      <c r="AA1631" s="7"/>
    </row>
    <row r="1632" spans="1:38" s="613" customFormat="1">
      <c r="A1632" s="53"/>
      <c r="B1632" s="517" t="s">
        <v>642</v>
      </c>
      <c r="C1632" s="517">
        <v>2</v>
      </c>
      <c r="D1632" s="701">
        <v>8</v>
      </c>
      <c r="E1632" s="1518">
        <v>0.31855</v>
      </c>
      <c r="F1632" s="222"/>
      <c r="G1632" s="222"/>
      <c r="H1632" s="164"/>
      <c r="I1632" s="165"/>
      <c r="J1632" s="4"/>
      <c r="K1632" s="4"/>
      <c r="L1632" s="4"/>
      <c r="M1632" s="4"/>
      <c r="N1632" s="4"/>
      <c r="O1632" s="4"/>
      <c r="P1632" s="4"/>
      <c r="Q1632" s="4"/>
      <c r="R1632" s="4"/>
      <c r="S1632" s="4"/>
      <c r="T1632" s="4"/>
      <c r="U1632" s="4"/>
      <c r="V1632" s="4"/>
      <c r="W1632" s="89"/>
      <c r="X1632" s="4"/>
      <c r="Y1632" s="53"/>
      <c r="Z1632" s="218"/>
      <c r="AA1632" s="7"/>
    </row>
    <row r="1633" spans="1:38" s="613" customFormat="1">
      <c r="A1633" s="53"/>
      <c r="B1633" s="517" t="s">
        <v>643</v>
      </c>
      <c r="C1633" s="517">
        <v>2</v>
      </c>
      <c r="D1633" s="701">
        <v>16</v>
      </c>
      <c r="E1633" s="1518">
        <v>0.57844999999999991</v>
      </c>
      <c r="F1633" s="222"/>
      <c r="G1633" s="222"/>
      <c r="H1633" s="164"/>
      <c r="I1633" s="165"/>
      <c r="J1633" s="4"/>
      <c r="K1633" s="4"/>
      <c r="L1633" s="4"/>
      <c r="M1633" s="4"/>
      <c r="N1633" s="4"/>
      <c r="O1633" s="4"/>
      <c r="P1633" s="4"/>
      <c r="Q1633" s="4"/>
      <c r="R1633" s="4"/>
      <c r="S1633" s="4"/>
      <c r="T1633" s="4"/>
      <c r="U1633" s="4"/>
      <c r="V1633" s="4"/>
      <c r="W1633" s="89"/>
      <c r="X1633" s="4"/>
      <c r="Y1633" s="53"/>
      <c r="Z1633" s="218"/>
      <c r="AA1633" s="7"/>
    </row>
    <row r="1634" spans="1:38" s="613" customFormat="1">
      <c r="A1634" s="53"/>
      <c r="B1634" s="517" t="s">
        <v>644</v>
      </c>
      <c r="C1634" s="517">
        <v>4</v>
      </c>
      <c r="D1634" s="701">
        <v>32</v>
      </c>
      <c r="E1634" s="1518">
        <v>1.1522999999999999</v>
      </c>
      <c r="F1634" s="164"/>
      <c r="G1634" s="164"/>
      <c r="H1634" s="164"/>
      <c r="I1634" s="165"/>
      <c r="J1634" s="4"/>
      <c r="K1634" s="4"/>
      <c r="L1634" s="4"/>
      <c r="M1634" s="4"/>
      <c r="N1634" s="4"/>
      <c r="O1634" s="4"/>
      <c r="P1634" s="4"/>
      <c r="Q1634" s="4"/>
      <c r="R1634" s="4"/>
      <c r="S1634" s="4"/>
      <c r="T1634" s="4"/>
      <c r="U1634" s="4"/>
      <c r="V1634" s="4"/>
      <c r="W1634" s="89"/>
      <c r="X1634" s="4"/>
      <c r="Y1634" s="53"/>
      <c r="Z1634" s="218"/>
      <c r="AA1634" s="7"/>
    </row>
    <row r="1635" spans="1:38" s="613" customFormat="1">
      <c r="A1635" s="53"/>
      <c r="B1635" s="517" t="s">
        <v>645</v>
      </c>
      <c r="C1635" s="517">
        <v>8</v>
      </c>
      <c r="D1635" s="701">
        <v>64</v>
      </c>
      <c r="E1635" s="1518">
        <v>2.3068999999999997</v>
      </c>
      <c r="F1635" s="164"/>
      <c r="G1635" s="164"/>
      <c r="H1635" s="164"/>
      <c r="I1635" s="165"/>
      <c r="J1635" s="693"/>
      <c r="K1635" s="693"/>
      <c r="L1635" s="4"/>
      <c r="M1635" s="4"/>
      <c r="N1635" s="4"/>
      <c r="O1635" s="4"/>
      <c r="P1635" s="4"/>
      <c r="Q1635" s="4"/>
      <c r="R1635" s="4"/>
      <c r="S1635" s="4"/>
      <c r="T1635" s="4"/>
      <c r="U1635" s="4"/>
      <c r="V1635" s="4"/>
      <c r="W1635" s="89"/>
      <c r="X1635" s="4"/>
      <c r="Y1635" s="53"/>
      <c r="Z1635" s="218"/>
      <c r="AA1635" s="7"/>
    </row>
    <row r="1636" spans="1:38" s="1185" customFormat="1">
      <c r="A1636" s="1186"/>
      <c r="B1636" s="1923" t="s">
        <v>1102</v>
      </c>
      <c r="C1636" s="1924"/>
      <c r="D1636" s="1924"/>
      <c r="E1636" s="1925"/>
      <c r="F1636" s="164"/>
      <c r="G1636" s="164"/>
      <c r="H1636" s="164"/>
      <c r="I1636" s="693"/>
      <c r="J1636" s="693"/>
      <c r="K1636" s="693"/>
      <c r="L1636" s="4"/>
      <c r="M1636" s="4"/>
      <c r="N1636" s="4"/>
      <c r="O1636" s="4"/>
      <c r="P1636" s="4"/>
      <c r="Q1636" s="4"/>
      <c r="R1636" s="4"/>
      <c r="S1636" s="4"/>
      <c r="T1636" s="4"/>
      <c r="U1636" s="4"/>
      <c r="V1636" s="4"/>
      <c r="W1636" s="89"/>
      <c r="X1636" s="4"/>
      <c r="Y1636" s="53"/>
      <c r="Z1636" s="218"/>
      <c r="AA1636" s="7"/>
      <c r="AB1636" s="613"/>
      <c r="AC1636" s="613"/>
      <c r="AD1636" s="613"/>
      <c r="AE1636" s="613"/>
      <c r="AF1636" s="613"/>
      <c r="AG1636" s="613"/>
      <c r="AH1636" s="613"/>
      <c r="AI1636" s="613"/>
      <c r="AJ1636" s="613"/>
      <c r="AK1636" s="613"/>
      <c r="AL1636" s="613"/>
    </row>
    <row r="1637" spans="1:38" s="1185" customFormat="1">
      <c r="A1637" s="1186"/>
      <c r="B1637" s="712" t="s">
        <v>1068</v>
      </c>
      <c r="C1637" s="1916" t="s">
        <v>1099</v>
      </c>
      <c r="D1637" s="1514">
        <v>64</v>
      </c>
      <c r="E1637" s="1518">
        <v>4.1854249999999995</v>
      </c>
      <c r="F1637" s="164"/>
      <c r="G1637" s="164"/>
      <c r="H1637" s="164"/>
      <c r="I1637" s="693"/>
      <c r="J1637" s="693"/>
      <c r="K1637" s="693"/>
      <c r="L1637" s="4"/>
      <c r="M1637" s="4"/>
      <c r="N1637" s="4"/>
      <c r="O1637" s="4"/>
      <c r="P1637" s="4"/>
      <c r="Q1637" s="4"/>
      <c r="R1637" s="4"/>
      <c r="S1637" s="4"/>
      <c r="T1637" s="4"/>
      <c r="U1637" s="4"/>
      <c r="V1637" s="4"/>
      <c r="W1637" s="89"/>
      <c r="X1637" s="4"/>
      <c r="Y1637" s="53"/>
      <c r="Z1637" s="218"/>
      <c r="AA1637" s="7"/>
      <c r="AB1637" s="613"/>
      <c r="AC1637" s="613"/>
      <c r="AD1637" s="613"/>
      <c r="AE1637" s="613"/>
      <c r="AF1637" s="613"/>
      <c r="AG1637" s="613"/>
      <c r="AH1637" s="613"/>
      <c r="AI1637" s="613"/>
      <c r="AJ1637" s="613"/>
      <c r="AK1637" s="613"/>
      <c r="AL1637" s="613"/>
    </row>
    <row r="1638" spans="1:38" s="1185" customFormat="1">
      <c r="A1638" s="1186"/>
      <c r="B1638" s="712" t="s">
        <v>640</v>
      </c>
      <c r="C1638" s="1917"/>
      <c r="D1638" s="1514">
        <v>128</v>
      </c>
      <c r="E1638" s="1518">
        <v>7.1038949999999996</v>
      </c>
      <c r="F1638" s="164"/>
      <c r="G1638" s="164"/>
      <c r="H1638" s="164"/>
      <c r="I1638" s="693"/>
      <c r="J1638" s="693"/>
      <c r="K1638" s="693"/>
      <c r="L1638" s="4"/>
      <c r="M1638" s="4"/>
      <c r="N1638" s="4"/>
      <c r="O1638" s="4"/>
      <c r="P1638" s="4"/>
      <c r="Q1638" s="4"/>
      <c r="R1638" s="4"/>
      <c r="S1638" s="4"/>
      <c r="T1638" s="4"/>
      <c r="U1638" s="4"/>
      <c r="V1638" s="4"/>
      <c r="W1638" s="89"/>
      <c r="X1638" s="4"/>
      <c r="Y1638" s="53"/>
      <c r="Z1638" s="218"/>
      <c r="AA1638" s="7"/>
      <c r="AB1638" s="613"/>
      <c r="AC1638" s="613"/>
      <c r="AD1638" s="613"/>
      <c r="AE1638" s="613"/>
      <c r="AF1638" s="613"/>
      <c r="AG1638" s="613"/>
      <c r="AH1638" s="613"/>
      <c r="AI1638" s="613"/>
      <c r="AJ1638" s="613"/>
      <c r="AK1638" s="613"/>
      <c r="AL1638" s="613"/>
    </row>
    <row r="1639" spans="1:38" s="1185" customFormat="1">
      <c r="A1639" s="1186"/>
      <c r="B1639" s="712" t="s">
        <v>641</v>
      </c>
      <c r="C1639" s="1917"/>
      <c r="D1639" s="1514">
        <v>256</v>
      </c>
      <c r="E1639" s="1518">
        <v>11.207784999999999</v>
      </c>
      <c r="F1639" s="164"/>
      <c r="G1639" s="164"/>
      <c r="H1639" s="164"/>
      <c r="I1639" s="693"/>
      <c r="J1639" s="693"/>
      <c r="K1639" s="693"/>
      <c r="L1639" s="4"/>
      <c r="M1639" s="4"/>
      <c r="N1639" s="4"/>
      <c r="O1639" s="4"/>
      <c r="P1639" s="4"/>
      <c r="Q1639" s="4"/>
      <c r="R1639" s="4"/>
      <c r="S1639" s="4"/>
      <c r="T1639" s="4"/>
      <c r="U1639" s="4"/>
      <c r="V1639" s="4"/>
      <c r="W1639" s="89"/>
      <c r="X1639" s="4"/>
      <c r="Y1639" s="53"/>
      <c r="Z1639" s="218"/>
      <c r="AA1639" s="7"/>
      <c r="AB1639" s="613"/>
      <c r="AC1639" s="613"/>
      <c r="AD1639" s="613"/>
      <c r="AE1639" s="613"/>
      <c r="AF1639" s="613"/>
      <c r="AG1639" s="613"/>
      <c r="AH1639" s="613"/>
      <c r="AI1639" s="613"/>
      <c r="AJ1639" s="613"/>
      <c r="AK1639" s="613"/>
      <c r="AL1639" s="613"/>
    </row>
    <row r="1640" spans="1:38" s="1185" customFormat="1">
      <c r="A1640" s="1186"/>
      <c r="B1640" s="712" t="s">
        <v>642</v>
      </c>
      <c r="C1640" s="1917"/>
      <c r="D1640" s="1514">
        <v>512</v>
      </c>
      <c r="E1640" s="1518">
        <v>21.148729999999997</v>
      </c>
      <c r="F1640" s="164"/>
      <c r="G1640" s="164"/>
      <c r="H1640" s="164"/>
      <c r="I1640" s="693"/>
      <c r="J1640" s="693"/>
      <c r="K1640" s="693"/>
      <c r="L1640" s="4"/>
      <c r="M1640" s="4"/>
      <c r="N1640" s="4"/>
      <c r="O1640" s="4"/>
      <c r="P1640" s="4"/>
      <c r="Q1640" s="4"/>
      <c r="R1640" s="4"/>
      <c r="S1640" s="4"/>
      <c r="T1640" s="4"/>
      <c r="U1640" s="4"/>
      <c r="V1640" s="4"/>
      <c r="W1640" s="89"/>
      <c r="X1640" s="4"/>
      <c r="Y1640" s="53"/>
      <c r="Z1640" s="218"/>
      <c r="AA1640" s="7"/>
      <c r="AB1640" s="613"/>
      <c r="AC1640" s="613"/>
      <c r="AD1640" s="613"/>
      <c r="AE1640" s="613"/>
      <c r="AF1640" s="613"/>
      <c r="AG1640" s="613"/>
      <c r="AH1640" s="613"/>
      <c r="AI1640" s="613"/>
      <c r="AJ1640" s="613"/>
      <c r="AK1640" s="613"/>
      <c r="AL1640" s="613"/>
    </row>
    <row r="1641" spans="1:38" s="1185" customFormat="1">
      <c r="A1641" s="1186"/>
      <c r="B1641" s="712" t="s">
        <v>1069</v>
      </c>
      <c r="C1641" s="1918"/>
      <c r="D1641" s="1514">
        <v>1024</v>
      </c>
      <c r="E1641" s="1518">
        <v>36.256969999999995</v>
      </c>
      <c r="F1641" s="164"/>
      <c r="G1641" s="164"/>
      <c r="H1641" s="164"/>
      <c r="I1641" s="693"/>
      <c r="J1641" s="693"/>
      <c r="K1641" s="693"/>
      <c r="L1641" s="4"/>
      <c r="M1641" s="4"/>
      <c r="N1641" s="4"/>
      <c r="O1641" s="4"/>
      <c r="P1641" s="4"/>
      <c r="Q1641" s="4"/>
      <c r="R1641" s="4"/>
      <c r="S1641" s="4"/>
      <c r="T1641" s="4"/>
      <c r="U1641" s="4"/>
      <c r="V1641" s="4"/>
      <c r="W1641" s="89"/>
      <c r="X1641" s="4"/>
      <c r="Y1641" s="53"/>
      <c r="Z1641" s="218"/>
      <c r="AA1641" s="7"/>
      <c r="AB1641" s="613"/>
      <c r="AC1641" s="613"/>
      <c r="AD1641" s="613"/>
      <c r="AE1641" s="613"/>
      <c r="AF1641" s="613"/>
      <c r="AG1641" s="613"/>
      <c r="AH1641" s="613"/>
      <c r="AI1641" s="613"/>
      <c r="AJ1641" s="613"/>
      <c r="AK1641" s="613"/>
      <c r="AL1641" s="613"/>
    </row>
    <row r="1642" spans="1:38" s="613" customFormat="1">
      <c r="A1642" s="53"/>
      <c r="B1642" s="295"/>
      <c r="C1642" s="295"/>
      <c r="D1642" s="295"/>
      <c r="E1642" s="891"/>
      <c r="F1642" s="164"/>
      <c r="G1642" s="164"/>
      <c r="H1642" s="164"/>
      <c r="I1642" s="693"/>
      <c r="J1642" s="693"/>
      <c r="K1642" s="693"/>
      <c r="L1642" s="4"/>
      <c r="M1642" s="4"/>
      <c r="N1642" s="4"/>
      <c r="O1642" s="4"/>
      <c r="P1642" s="4"/>
      <c r="Q1642" s="4"/>
      <c r="R1642" s="4"/>
      <c r="S1642" s="4"/>
      <c r="T1642" s="4"/>
      <c r="U1642" s="4"/>
      <c r="V1642" s="4"/>
      <c r="W1642" s="89"/>
      <c r="X1642" s="4"/>
      <c r="Y1642" s="53"/>
      <c r="Z1642" s="218"/>
      <c r="AA1642" s="7"/>
    </row>
    <row r="1643" spans="1:38" s="613" customFormat="1" ht="15.6">
      <c r="A1643" s="53"/>
      <c r="B1643" s="689" t="s">
        <v>1105</v>
      </c>
      <c r="C1643" s="684"/>
      <c r="D1643" s="26" t="s">
        <v>147</v>
      </c>
      <c r="F1643" s="164"/>
      <c r="G1643" s="164"/>
      <c r="H1643" s="164"/>
      <c r="I1643" s="693"/>
      <c r="J1643" s="4"/>
      <c r="K1643" s="4"/>
      <c r="L1643" s="4"/>
      <c r="M1643" s="4"/>
      <c r="N1643" s="4"/>
      <c r="O1643" s="4"/>
      <c r="P1643" s="4"/>
      <c r="Q1643" s="4"/>
      <c r="R1643" s="4"/>
      <c r="S1643" s="4"/>
      <c r="T1643" s="4"/>
      <c r="U1643" s="4"/>
      <c r="V1643" s="4"/>
      <c r="W1643" s="89"/>
      <c r="X1643" s="4"/>
      <c r="Y1643" s="53"/>
      <c r="Z1643" s="218"/>
      <c r="AA1643" s="7"/>
    </row>
    <row r="1644" spans="1:38" s="613" customFormat="1">
      <c r="A1644" s="53"/>
      <c r="B1644" s="690" t="s">
        <v>638</v>
      </c>
      <c r="C1644" s="690" t="s">
        <v>3</v>
      </c>
      <c r="D1644" s="690" t="s">
        <v>37</v>
      </c>
      <c r="E1644" s="691" t="s">
        <v>639</v>
      </c>
      <c r="F1644" s="164"/>
      <c r="G1644" s="164"/>
      <c r="H1644" s="164"/>
      <c r="I1644" s="693"/>
      <c r="J1644" s="4"/>
      <c r="K1644" s="4"/>
      <c r="L1644" s="4"/>
      <c r="M1644" s="4"/>
      <c r="N1644" s="4"/>
      <c r="O1644" s="4"/>
      <c r="P1644" s="4"/>
      <c r="Q1644" s="4"/>
      <c r="R1644" s="4"/>
      <c r="S1644" s="4"/>
      <c r="T1644" s="4"/>
      <c r="U1644" s="4"/>
      <c r="V1644" s="4"/>
      <c r="W1644" s="89"/>
      <c r="X1644" s="4"/>
      <c r="Y1644" s="53"/>
      <c r="Z1644" s="218"/>
      <c r="AA1644" s="7"/>
    </row>
    <row r="1645" spans="1:38" s="613" customFormat="1">
      <c r="A1645" s="53"/>
      <c r="B1645" s="1494" t="s">
        <v>1100</v>
      </c>
      <c r="C1645" s="711"/>
      <c r="D1645" s="711"/>
      <c r="E1645" s="1495"/>
      <c r="G1645" s="222"/>
      <c r="H1645" s="164"/>
      <c r="I1645" s="693"/>
      <c r="J1645" s="4"/>
      <c r="K1645" s="4"/>
      <c r="L1645" s="4"/>
      <c r="M1645" s="4"/>
      <c r="N1645" s="4"/>
      <c r="O1645" s="4"/>
      <c r="P1645" s="4"/>
      <c r="Q1645" s="4"/>
      <c r="R1645" s="4"/>
      <c r="S1645" s="4"/>
      <c r="T1645" s="4"/>
      <c r="U1645" s="4"/>
      <c r="V1645" s="4"/>
      <c r="W1645" s="89"/>
      <c r="X1645" s="4"/>
      <c r="Y1645" s="53"/>
      <c r="Z1645" s="218"/>
      <c r="AA1645" s="7"/>
    </row>
    <row r="1646" spans="1:38" s="613" customFormat="1">
      <c r="A1646" s="53"/>
      <c r="B1646" s="1598" t="s">
        <v>1829</v>
      </c>
      <c r="C1646" s="712">
        <v>1</v>
      </c>
      <c r="D1646" s="701">
        <v>0.128</v>
      </c>
      <c r="E1646" s="1596">
        <v>2.8462499999999998E-3</v>
      </c>
      <c r="F1646" s="613">
        <v>1.1499999999999999</v>
      </c>
      <c r="G1646" s="222"/>
      <c r="H1646" s="164"/>
      <c r="I1646" s="693"/>
      <c r="J1646" s="4"/>
      <c r="K1646" s="4"/>
      <c r="L1646" s="4"/>
      <c r="M1646" s="4"/>
      <c r="N1646" s="4"/>
      <c r="O1646" s="4"/>
      <c r="P1646" s="4"/>
      <c r="Q1646" s="4"/>
      <c r="R1646" s="4"/>
      <c r="S1646" s="4"/>
      <c r="T1646" s="4"/>
      <c r="U1646" s="4"/>
      <c r="V1646" s="4"/>
      <c r="W1646" s="89"/>
      <c r="X1646" s="4"/>
      <c r="Y1646" s="53"/>
      <c r="Z1646" s="218"/>
      <c r="AA1646" s="7"/>
    </row>
    <row r="1647" spans="1:38" s="613" customFormat="1">
      <c r="A1647" s="53"/>
      <c r="B1647" s="1598" t="s">
        <v>1830</v>
      </c>
      <c r="C1647" s="1496">
        <v>1</v>
      </c>
      <c r="D1647" s="701">
        <v>0.25600000000000001</v>
      </c>
      <c r="E1647" s="1596">
        <v>5.6924999999999996E-3</v>
      </c>
      <c r="G1647" s="222"/>
      <c r="H1647" s="164"/>
      <c r="I1647" s="693"/>
      <c r="J1647" s="4"/>
      <c r="K1647" s="4"/>
      <c r="L1647" s="4"/>
      <c r="M1647" s="4"/>
      <c r="N1647" s="4"/>
      <c r="O1647" s="4"/>
      <c r="P1647" s="4"/>
      <c r="Q1647" s="4"/>
      <c r="R1647" s="4"/>
      <c r="S1647" s="4"/>
      <c r="T1647" s="4"/>
      <c r="U1647" s="4"/>
      <c r="V1647" s="4"/>
      <c r="W1647" s="89"/>
      <c r="X1647" s="4"/>
      <c r="Y1647" s="53"/>
      <c r="Z1647" s="218"/>
      <c r="AA1647" s="7"/>
    </row>
    <row r="1648" spans="1:38" s="613" customFormat="1">
      <c r="A1648" s="53"/>
      <c r="B1648" s="1598" t="s">
        <v>1831</v>
      </c>
      <c r="C1648" s="1496">
        <v>2</v>
      </c>
      <c r="D1648" s="701">
        <v>0.51200000000000001</v>
      </c>
      <c r="E1648" s="1596">
        <v>1.1384999999999999E-2</v>
      </c>
      <c r="G1648" s="222"/>
      <c r="H1648" s="164"/>
      <c r="I1648" s="693"/>
      <c r="J1648" s="4"/>
      <c r="K1648" s="4"/>
      <c r="L1648" s="4"/>
      <c r="M1648" s="4"/>
      <c r="N1648" s="4"/>
      <c r="O1648" s="4"/>
      <c r="P1648" s="4"/>
      <c r="Q1648" s="4"/>
      <c r="R1648" s="4"/>
      <c r="S1648" s="4"/>
      <c r="T1648" s="4"/>
      <c r="U1648" s="4"/>
      <c r="V1648" s="4"/>
      <c r="W1648" s="89"/>
      <c r="X1648" s="4"/>
      <c r="Y1648" s="53"/>
      <c r="Z1648" s="218"/>
      <c r="AA1648" s="7"/>
    </row>
    <row r="1649" spans="1:38" s="1185" customFormat="1">
      <c r="A1649" s="1186"/>
      <c r="B1649" s="1598" t="s">
        <v>1832</v>
      </c>
      <c r="C1649" s="1496">
        <v>2</v>
      </c>
      <c r="D1649" s="701">
        <v>1</v>
      </c>
      <c r="E1649" s="1596">
        <v>2.2769999999999999E-2</v>
      </c>
      <c r="F1649" s="613"/>
      <c r="G1649" s="222"/>
      <c r="H1649" s="164"/>
      <c r="I1649" s="693"/>
      <c r="J1649" s="4"/>
      <c r="K1649" s="4"/>
      <c r="L1649" s="4"/>
      <c r="M1649" s="4"/>
      <c r="N1649" s="4"/>
      <c r="O1649" s="4"/>
      <c r="P1649" s="4"/>
      <c r="Q1649" s="4"/>
      <c r="R1649" s="4"/>
      <c r="S1649" s="4"/>
      <c r="T1649" s="4"/>
      <c r="U1649" s="4"/>
      <c r="V1649" s="4"/>
      <c r="W1649" s="89"/>
      <c r="X1649" s="4"/>
      <c r="Y1649" s="53"/>
      <c r="Z1649" s="218"/>
      <c r="AA1649" s="7"/>
      <c r="AB1649" s="613"/>
      <c r="AC1649" s="613"/>
      <c r="AD1649" s="613"/>
      <c r="AE1649" s="613"/>
      <c r="AF1649" s="613"/>
      <c r="AG1649" s="613"/>
      <c r="AH1649" s="613"/>
      <c r="AI1649" s="613"/>
      <c r="AJ1649" s="613"/>
      <c r="AK1649" s="613"/>
      <c r="AL1649" s="613"/>
    </row>
    <row r="1650" spans="1:38" s="1185" customFormat="1">
      <c r="A1650" s="1186"/>
      <c r="B1650" s="1598" t="s">
        <v>1108</v>
      </c>
      <c r="C1650" s="1496">
        <v>4</v>
      </c>
      <c r="D1650" s="1514">
        <v>2</v>
      </c>
      <c r="E1650" s="1596">
        <v>4.5539999999999997E-2</v>
      </c>
      <c r="F1650" s="613"/>
      <c r="G1650" s="222"/>
      <c r="H1650" s="164"/>
      <c r="I1650" s="693"/>
      <c r="J1650" s="4"/>
      <c r="K1650" s="4"/>
      <c r="L1650" s="4"/>
      <c r="M1650" s="4"/>
      <c r="N1650" s="4"/>
      <c r="O1650" s="4"/>
      <c r="P1650" s="4"/>
      <c r="Q1650" s="4"/>
      <c r="R1650" s="4"/>
      <c r="S1650" s="4"/>
      <c r="T1650" s="4"/>
      <c r="U1650" s="4"/>
      <c r="V1650" s="4"/>
      <c r="W1650" s="89"/>
      <c r="X1650" s="4"/>
      <c r="Y1650" s="53"/>
      <c r="Z1650" s="218"/>
      <c r="AA1650" s="7"/>
      <c r="AB1650" s="613"/>
      <c r="AC1650" s="613"/>
      <c r="AD1650" s="613"/>
      <c r="AE1650" s="613"/>
      <c r="AF1650" s="613"/>
      <c r="AG1650" s="613"/>
      <c r="AH1650" s="613"/>
      <c r="AI1650" s="613"/>
      <c r="AJ1650" s="613"/>
      <c r="AK1650" s="613"/>
      <c r="AL1650" s="613"/>
    </row>
    <row r="1651" spans="1:38" s="1185" customFormat="1">
      <c r="A1651" s="1186"/>
      <c r="B1651" s="1598" t="s">
        <v>1109</v>
      </c>
      <c r="C1651" s="713">
        <v>8</v>
      </c>
      <c r="D1651" s="701">
        <v>4</v>
      </c>
      <c r="E1651" s="1596">
        <v>9.2344999999999983E-2</v>
      </c>
      <c r="F1651" s="613"/>
      <c r="G1651" s="222"/>
      <c r="H1651" s="164"/>
      <c r="I1651" s="693"/>
      <c r="J1651" s="4"/>
      <c r="K1651" s="4"/>
      <c r="L1651" s="4"/>
      <c r="M1651" s="4"/>
      <c r="N1651" s="4"/>
      <c r="O1651" s="4"/>
      <c r="P1651" s="4"/>
      <c r="Q1651" s="4"/>
      <c r="R1651" s="4"/>
      <c r="S1651" s="4"/>
      <c r="T1651" s="4"/>
      <c r="U1651" s="4"/>
      <c r="V1651" s="4"/>
      <c r="W1651" s="89"/>
      <c r="X1651" s="4"/>
      <c r="Y1651" s="53"/>
      <c r="Z1651" s="218"/>
      <c r="AA1651" s="7"/>
      <c r="AB1651" s="613"/>
      <c r="AC1651" s="613"/>
      <c r="AD1651" s="613"/>
      <c r="AE1651" s="613"/>
      <c r="AF1651" s="613"/>
      <c r="AG1651" s="613"/>
      <c r="AH1651" s="613"/>
      <c r="AI1651" s="613"/>
      <c r="AJ1651" s="613"/>
      <c r="AK1651" s="613"/>
      <c r="AL1651" s="613"/>
    </row>
    <row r="1652" spans="1:38" s="1185" customFormat="1">
      <c r="A1652" s="1186"/>
      <c r="B1652" s="1598" t="s">
        <v>1110</v>
      </c>
      <c r="C1652" s="1496"/>
      <c r="D1652" s="701">
        <v>8</v>
      </c>
      <c r="E1652" s="1596">
        <v>0.18468999999999997</v>
      </c>
      <c r="G1652" s="222"/>
      <c r="H1652" s="164"/>
      <c r="I1652" s="693"/>
      <c r="J1652" s="4"/>
      <c r="K1652" s="4"/>
      <c r="L1652" s="4"/>
      <c r="M1652" s="4"/>
      <c r="N1652" s="4"/>
      <c r="O1652" s="4"/>
      <c r="P1652" s="4"/>
      <c r="Q1652" s="4"/>
      <c r="R1652" s="4"/>
      <c r="S1652" s="4"/>
      <c r="T1652" s="4"/>
      <c r="U1652" s="4"/>
      <c r="V1652" s="4"/>
      <c r="W1652" s="89"/>
      <c r="X1652" s="4"/>
      <c r="Y1652" s="1186"/>
      <c r="Z1652" s="1192"/>
      <c r="AA1652" s="1187"/>
    </row>
    <row r="1653" spans="1:38" s="1185" customFormat="1">
      <c r="A1653" s="1186"/>
      <c r="B1653" s="1598" t="s">
        <v>1111</v>
      </c>
      <c r="C1653" s="1496"/>
      <c r="D1653" s="701">
        <v>16</v>
      </c>
      <c r="E1653" s="1596">
        <v>0.33649000000000001</v>
      </c>
      <c r="G1653" s="222"/>
      <c r="H1653" s="164"/>
      <c r="I1653" s="693"/>
      <c r="J1653" s="4"/>
      <c r="K1653" s="4"/>
      <c r="L1653" s="4"/>
      <c r="M1653" s="4"/>
      <c r="N1653" s="4"/>
      <c r="O1653" s="4"/>
      <c r="P1653" s="4"/>
      <c r="Q1653" s="4"/>
      <c r="R1653" s="4"/>
      <c r="S1653" s="4"/>
      <c r="T1653" s="4"/>
      <c r="U1653" s="4"/>
      <c r="V1653" s="4"/>
      <c r="W1653" s="89"/>
      <c r="X1653" s="4"/>
      <c r="Y1653" s="1186"/>
      <c r="Z1653" s="1192"/>
      <c r="AA1653" s="1187"/>
    </row>
    <row r="1654" spans="1:38" s="1185" customFormat="1">
      <c r="A1654" s="1186"/>
      <c r="B1654" s="1598" t="s">
        <v>1833</v>
      </c>
      <c r="C1654" s="1496"/>
      <c r="D1654" s="701">
        <v>24</v>
      </c>
      <c r="E1654" s="1596">
        <v>0.55406999999999995</v>
      </c>
      <c r="G1654" s="222"/>
      <c r="H1654" s="164"/>
      <c r="I1654" s="693"/>
      <c r="J1654" s="4"/>
      <c r="K1654" s="4"/>
      <c r="L1654" s="4"/>
      <c r="M1654" s="4"/>
      <c r="N1654" s="4"/>
      <c r="O1654" s="4"/>
      <c r="P1654" s="4"/>
      <c r="Q1654" s="4"/>
      <c r="R1654" s="4"/>
      <c r="S1654" s="4"/>
      <c r="T1654" s="4"/>
      <c r="U1654" s="4"/>
      <c r="V1654" s="4"/>
      <c r="W1654" s="89"/>
      <c r="X1654" s="4"/>
      <c r="Y1654" s="1186"/>
      <c r="Z1654" s="1192"/>
      <c r="AA1654" s="1187"/>
    </row>
    <row r="1655" spans="1:38" s="1185" customFormat="1">
      <c r="A1655" s="1186"/>
      <c r="B1655" s="1598" t="s">
        <v>1112</v>
      </c>
      <c r="C1655" s="1496"/>
      <c r="D1655" s="701">
        <v>32</v>
      </c>
      <c r="E1655" s="1596">
        <v>0.67044999999999999</v>
      </c>
      <c r="G1655" s="222"/>
      <c r="H1655" s="164"/>
      <c r="I1655" s="693"/>
      <c r="J1655" s="4"/>
      <c r="K1655" s="4"/>
      <c r="L1655" s="4"/>
      <c r="M1655" s="4"/>
      <c r="N1655" s="4"/>
      <c r="O1655" s="4"/>
      <c r="P1655" s="4"/>
      <c r="Q1655" s="4"/>
      <c r="R1655" s="4"/>
      <c r="S1655" s="4"/>
      <c r="T1655" s="4"/>
      <c r="U1655" s="4"/>
      <c r="V1655" s="4"/>
      <c r="W1655" s="89"/>
      <c r="X1655" s="4"/>
      <c r="Y1655" s="1186"/>
      <c r="Z1655" s="1192"/>
      <c r="AA1655" s="1187"/>
    </row>
    <row r="1656" spans="1:38" s="1185" customFormat="1">
      <c r="A1656" s="1186"/>
      <c r="B1656" s="1598" t="s">
        <v>1834</v>
      </c>
      <c r="C1656" s="1496"/>
      <c r="D1656" s="1515">
        <v>48</v>
      </c>
      <c r="E1656" s="1596">
        <v>1.0094700000000001</v>
      </c>
      <c r="G1656" s="222"/>
      <c r="H1656" s="164"/>
      <c r="I1656" s="693"/>
      <c r="J1656" s="4"/>
      <c r="K1656" s="4"/>
      <c r="L1656" s="4"/>
      <c r="M1656" s="4"/>
      <c r="N1656" s="4"/>
      <c r="O1656" s="4"/>
      <c r="P1656" s="4"/>
      <c r="Q1656" s="4"/>
      <c r="R1656" s="4"/>
      <c r="S1656" s="4"/>
      <c r="T1656" s="4"/>
      <c r="U1656" s="4"/>
      <c r="V1656" s="4"/>
      <c r="W1656" s="89"/>
      <c r="X1656" s="4"/>
      <c r="Y1656" s="1186"/>
      <c r="Z1656" s="1192"/>
      <c r="AA1656" s="1187"/>
    </row>
    <row r="1657" spans="1:38" s="1185" customFormat="1">
      <c r="A1657" s="1186"/>
      <c r="B1657" s="1598" t="s">
        <v>1113</v>
      </c>
      <c r="C1657" s="1496"/>
      <c r="D1657" s="1515">
        <v>64</v>
      </c>
      <c r="E1657" s="1596">
        <v>1.3434300000000001</v>
      </c>
      <c r="G1657" s="222"/>
      <c r="H1657" s="164"/>
      <c r="I1657" s="693"/>
      <c r="J1657" s="4"/>
      <c r="K1657" s="4"/>
      <c r="L1657" s="4"/>
      <c r="M1657" s="4"/>
      <c r="N1657" s="4"/>
      <c r="O1657" s="4"/>
      <c r="P1657" s="4"/>
      <c r="Q1657" s="4"/>
      <c r="R1657" s="4"/>
      <c r="S1657" s="4"/>
      <c r="T1657" s="4"/>
      <c r="U1657" s="4"/>
      <c r="V1657" s="4"/>
      <c r="W1657" s="89"/>
      <c r="X1657" s="4"/>
      <c r="Y1657" s="1186"/>
      <c r="Z1657" s="1192"/>
      <c r="AA1657" s="1187"/>
    </row>
    <row r="1658" spans="1:38" s="1185" customFormat="1">
      <c r="A1658" s="1186"/>
      <c r="B1658" s="1971" t="s">
        <v>1835</v>
      </c>
      <c r="C1658" s="1924"/>
      <c r="D1658" s="1924"/>
      <c r="E1658" s="1925"/>
      <c r="F1658" s="613"/>
      <c r="G1658" s="222"/>
      <c r="H1658" s="164"/>
      <c r="I1658" s="693"/>
      <c r="J1658" s="4"/>
      <c r="K1658" s="4"/>
      <c r="L1658" s="4"/>
      <c r="M1658" s="4"/>
      <c r="N1658" s="4"/>
      <c r="O1658" s="4"/>
      <c r="P1658" s="4"/>
      <c r="Q1658" s="4"/>
      <c r="R1658" s="4"/>
      <c r="S1658" s="4"/>
      <c r="T1658" s="4"/>
      <c r="U1658" s="4"/>
      <c r="V1658" s="4"/>
      <c r="W1658" s="89"/>
      <c r="X1658" s="4"/>
      <c r="Y1658" s="53"/>
      <c r="Z1658" s="218"/>
      <c r="AA1658" s="7"/>
      <c r="AB1658" s="613"/>
      <c r="AC1658" s="613"/>
      <c r="AD1658" s="613"/>
      <c r="AE1658" s="613"/>
      <c r="AF1658" s="613"/>
      <c r="AG1658" s="613"/>
      <c r="AH1658" s="613"/>
      <c r="AI1658" s="613"/>
      <c r="AJ1658" s="613"/>
      <c r="AK1658" s="613"/>
      <c r="AL1658" s="613"/>
    </row>
    <row r="1659" spans="1:38" s="1185" customFormat="1">
      <c r="A1659" s="1186"/>
      <c r="B1659" s="1598" t="s">
        <v>1836</v>
      </c>
      <c r="C1659" s="712">
        <v>1</v>
      </c>
      <c r="D1659" s="701">
        <v>0.128</v>
      </c>
      <c r="E1659" s="1596">
        <v>5.37625E-3</v>
      </c>
      <c r="F1659" s="1556"/>
      <c r="G1659" s="222"/>
      <c r="H1659" s="164"/>
      <c r="I1659" s="693"/>
      <c r="J1659" s="4"/>
      <c r="K1659" s="4"/>
      <c r="L1659" s="4"/>
      <c r="M1659" s="4"/>
      <c r="N1659" s="4"/>
      <c r="O1659" s="4"/>
      <c r="P1659" s="4"/>
      <c r="Q1659" s="4"/>
      <c r="R1659" s="4"/>
      <c r="S1659" s="4"/>
      <c r="T1659" s="4"/>
      <c r="U1659" s="4"/>
      <c r="V1659" s="4"/>
      <c r="W1659" s="89"/>
      <c r="X1659" s="4"/>
      <c r="Y1659" s="53"/>
      <c r="Z1659" s="218"/>
      <c r="AA1659" s="7"/>
      <c r="AB1659" s="613"/>
      <c r="AC1659" s="613"/>
      <c r="AD1659" s="613"/>
      <c r="AE1659" s="613"/>
      <c r="AF1659" s="613"/>
      <c r="AG1659" s="613"/>
      <c r="AH1659" s="613"/>
      <c r="AI1659" s="613"/>
      <c r="AJ1659" s="613"/>
      <c r="AK1659" s="613"/>
      <c r="AL1659" s="613"/>
    </row>
    <row r="1660" spans="1:38" s="1185" customFormat="1">
      <c r="A1660" s="1186"/>
      <c r="B1660" s="1598" t="s">
        <v>1837</v>
      </c>
      <c r="C1660" s="1496">
        <v>1</v>
      </c>
      <c r="D1660" s="701">
        <v>0.25600000000000001</v>
      </c>
      <c r="E1660" s="1596">
        <v>1.07525E-2</v>
      </c>
      <c r="F1660" s="613"/>
      <c r="G1660" s="222"/>
      <c r="H1660" s="164"/>
      <c r="I1660" s="693"/>
      <c r="J1660" s="4"/>
      <c r="K1660" s="4"/>
      <c r="L1660" s="4"/>
      <c r="M1660" s="4"/>
      <c r="N1660" s="4"/>
      <c r="O1660" s="4"/>
      <c r="P1660" s="4"/>
      <c r="Q1660" s="4"/>
      <c r="R1660" s="4"/>
      <c r="S1660" s="4"/>
      <c r="T1660" s="4"/>
      <c r="U1660" s="4"/>
      <c r="V1660" s="4"/>
      <c r="W1660" s="89"/>
      <c r="X1660" s="4"/>
      <c r="Y1660" s="53"/>
      <c r="Z1660" s="218"/>
      <c r="AA1660" s="7"/>
      <c r="AB1660" s="613"/>
      <c r="AC1660" s="613"/>
      <c r="AD1660" s="613"/>
      <c r="AE1660" s="613"/>
      <c r="AF1660" s="613"/>
      <c r="AG1660" s="613"/>
      <c r="AH1660" s="613"/>
      <c r="AI1660" s="613"/>
      <c r="AJ1660" s="613"/>
      <c r="AK1660" s="613"/>
      <c r="AL1660" s="613"/>
    </row>
    <row r="1661" spans="1:38" s="1185" customFormat="1">
      <c r="A1661" s="1186"/>
      <c r="B1661" s="1598" t="s">
        <v>1838</v>
      </c>
      <c r="C1661" s="1496">
        <v>2</v>
      </c>
      <c r="D1661" s="701">
        <v>0.51200000000000001</v>
      </c>
      <c r="E1661" s="1596">
        <v>2.1505E-2</v>
      </c>
      <c r="F1661" s="613"/>
      <c r="G1661" s="222"/>
      <c r="H1661" s="164"/>
      <c r="I1661" s="693"/>
      <c r="J1661" s="4"/>
      <c r="K1661" s="4"/>
      <c r="L1661" s="4"/>
      <c r="M1661" s="4"/>
      <c r="N1661" s="4"/>
      <c r="O1661" s="4"/>
      <c r="P1661" s="4"/>
      <c r="Q1661" s="4"/>
      <c r="R1661" s="4"/>
      <c r="S1661" s="4"/>
      <c r="T1661" s="4"/>
      <c r="U1661" s="4"/>
      <c r="V1661" s="4"/>
      <c r="W1661" s="89"/>
      <c r="X1661" s="4"/>
      <c r="Y1661" s="53"/>
      <c r="Z1661" s="218"/>
      <c r="AA1661" s="7"/>
      <c r="AB1661" s="613"/>
      <c r="AC1661" s="613"/>
      <c r="AD1661" s="613"/>
      <c r="AE1661" s="613"/>
      <c r="AF1661" s="613"/>
      <c r="AG1661" s="613"/>
      <c r="AH1661" s="613"/>
      <c r="AI1661" s="613"/>
      <c r="AJ1661" s="613"/>
      <c r="AK1661" s="613"/>
      <c r="AL1661" s="613"/>
    </row>
    <row r="1662" spans="1:38" s="1185" customFormat="1">
      <c r="A1662" s="1186"/>
      <c r="B1662" s="1598" t="s">
        <v>1839</v>
      </c>
      <c r="C1662" s="1496">
        <v>2</v>
      </c>
      <c r="D1662" s="701">
        <v>1</v>
      </c>
      <c r="E1662" s="1596">
        <v>4.301E-2</v>
      </c>
      <c r="F1662" s="613"/>
      <c r="G1662" s="222"/>
      <c r="H1662" s="164"/>
      <c r="I1662" s="693"/>
      <c r="J1662" s="4"/>
      <c r="K1662" s="4"/>
      <c r="L1662" s="4"/>
      <c r="M1662" s="4"/>
      <c r="N1662" s="4"/>
      <c r="O1662" s="4"/>
      <c r="P1662" s="4"/>
      <c r="Q1662" s="4"/>
      <c r="R1662" s="4"/>
      <c r="S1662" s="4"/>
      <c r="T1662" s="4"/>
      <c r="U1662" s="4"/>
      <c r="V1662" s="4"/>
      <c r="W1662" s="89"/>
      <c r="X1662" s="4"/>
      <c r="Y1662" s="53"/>
      <c r="Z1662" s="218"/>
      <c r="AA1662" s="7"/>
      <c r="AB1662" s="613"/>
      <c r="AC1662" s="613"/>
      <c r="AD1662" s="613"/>
      <c r="AE1662" s="613"/>
      <c r="AF1662" s="613"/>
      <c r="AG1662" s="613"/>
      <c r="AH1662" s="613"/>
      <c r="AI1662" s="613"/>
      <c r="AJ1662" s="613"/>
      <c r="AK1662" s="613"/>
      <c r="AL1662" s="613"/>
    </row>
    <row r="1663" spans="1:38" s="1185" customFormat="1">
      <c r="A1663" s="1186"/>
      <c r="B1663" s="1598" t="s">
        <v>1114</v>
      </c>
      <c r="C1663" s="1496">
        <v>4</v>
      </c>
      <c r="D1663" s="701">
        <v>2</v>
      </c>
      <c r="E1663" s="1596">
        <v>8.6019999999999999E-2</v>
      </c>
      <c r="F1663" s="613"/>
      <c r="G1663" s="222"/>
      <c r="H1663" s="164"/>
      <c r="I1663" s="693"/>
      <c r="J1663" s="4"/>
      <c r="K1663" s="4"/>
      <c r="L1663" s="4"/>
      <c r="M1663" s="4"/>
      <c r="N1663" s="4"/>
      <c r="O1663" s="4"/>
      <c r="P1663" s="4"/>
      <c r="Q1663" s="4"/>
      <c r="R1663" s="4"/>
      <c r="S1663" s="4"/>
      <c r="T1663" s="4"/>
      <c r="U1663" s="4"/>
      <c r="V1663" s="4"/>
      <c r="W1663" s="89"/>
      <c r="X1663" s="4"/>
      <c r="Y1663" s="53"/>
      <c r="Z1663" s="218"/>
      <c r="AA1663" s="7"/>
      <c r="AB1663" s="613"/>
      <c r="AC1663" s="613"/>
      <c r="AD1663" s="613"/>
      <c r="AE1663" s="613"/>
      <c r="AF1663" s="613"/>
      <c r="AG1663" s="613"/>
      <c r="AH1663" s="613"/>
      <c r="AI1663" s="613"/>
      <c r="AJ1663" s="613"/>
      <c r="AK1663" s="613"/>
      <c r="AL1663" s="613"/>
    </row>
    <row r="1664" spans="1:38" s="1185" customFormat="1">
      <c r="A1664" s="1186"/>
      <c r="B1664" s="1598" t="s">
        <v>1115</v>
      </c>
      <c r="C1664" s="1496">
        <v>8</v>
      </c>
      <c r="D1664" s="701">
        <v>4</v>
      </c>
      <c r="E1664" s="1596">
        <v>0.17457</v>
      </c>
      <c r="F1664" s="613"/>
      <c r="G1664" s="906" t="s">
        <v>1107</v>
      </c>
      <c r="H1664" s="907"/>
      <c r="I1664" s="908"/>
      <c r="J1664" s="909"/>
      <c r="K1664" s="4"/>
      <c r="L1664" s="4"/>
      <c r="M1664" s="4"/>
      <c r="N1664" s="4"/>
      <c r="O1664" s="4"/>
      <c r="P1664" s="4"/>
      <c r="Q1664" s="4"/>
      <c r="R1664" s="4"/>
      <c r="S1664" s="4"/>
      <c r="T1664" s="4"/>
      <c r="U1664" s="4"/>
      <c r="V1664" s="4"/>
      <c r="W1664" s="89"/>
      <c r="X1664" s="4"/>
      <c r="Y1664" s="53"/>
      <c r="Z1664" s="218"/>
      <c r="AA1664" s="7"/>
      <c r="AB1664" s="613"/>
      <c r="AC1664" s="613"/>
      <c r="AD1664" s="613"/>
      <c r="AE1664" s="613"/>
      <c r="AF1664" s="613"/>
      <c r="AG1664" s="613"/>
      <c r="AH1664" s="613"/>
      <c r="AI1664" s="613"/>
      <c r="AJ1664" s="613"/>
      <c r="AK1664" s="613"/>
      <c r="AL1664" s="613"/>
    </row>
    <row r="1665" spans="1:27" s="1185" customFormat="1">
      <c r="A1665" s="1186"/>
      <c r="B1665" s="1598" t="s">
        <v>1116</v>
      </c>
      <c r="C1665" s="1599"/>
      <c r="D1665" s="701">
        <v>8</v>
      </c>
      <c r="E1665" s="1596">
        <v>0.35040500000000002</v>
      </c>
      <c r="G1665" s="906"/>
      <c r="H1665" s="907"/>
      <c r="I1665" s="908"/>
      <c r="J1665" s="909"/>
      <c r="K1665" s="4"/>
      <c r="L1665" s="4"/>
      <c r="M1665" s="4"/>
      <c r="N1665" s="4"/>
      <c r="O1665" s="4"/>
      <c r="P1665" s="4"/>
      <c r="Q1665" s="4"/>
      <c r="R1665" s="4"/>
      <c r="S1665" s="4"/>
      <c r="T1665" s="4"/>
      <c r="U1665" s="4"/>
      <c r="V1665" s="4"/>
      <c r="W1665" s="89"/>
      <c r="X1665" s="4"/>
      <c r="Y1665" s="1186"/>
      <c r="Z1665" s="1192"/>
      <c r="AA1665" s="1187"/>
    </row>
    <row r="1666" spans="1:27" s="1185" customFormat="1">
      <c r="A1666" s="1186"/>
      <c r="B1666" s="1598" t="s">
        <v>1117</v>
      </c>
      <c r="C1666" s="1496"/>
      <c r="D1666" s="701">
        <v>16</v>
      </c>
      <c r="E1666" s="1596">
        <v>0.63629499999999994</v>
      </c>
      <c r="G1666" s="906"/>
      <c r="H1666" s="907"/>
      <c r="I1666" s="908"/>
      <c r="J1666" s="909"/>
      <c r="K1666" s="4"/>
      <c r="L1666" s="4"/>
      <c r="M1666" s="4"/>
      <c r="N1666" s="4"/>
      <c r="O1666" s="4"/>
      <c r="P1666" s="4"/>
      <c r="Q1666" s="4"/>
      <c r="R1666" s="4"/>
      <c r="S1666" s="4"/>
      <c r="T1666" s="4"/>
      <c r="U1666" s="4"/>
      <c r="V1666" s="4"/>
      <c r="W1666" s="89"/>
      <c r="X1666" s="4"/>
      <c r="Y1666" s="1186"/>
      <c r="Z1666" s="1192"/>
      <c r="AA1666" s="1187"/>
    </row>
    <row r="1667" spans="1:27" s="1185" customFormat="1">
      <c r="A1667" s="1186"/>
      <c r="B1667" s="1598" t="s">
        <v>1840</v>
      </c>
      <c r="C1667" s="1496"/>
      <c r="D1667" s="701">
        <v>24</v>
      </c>
      <c r="E1667" s="1596">
        <v>1.051215</v>
      </c>
      <c r="G1667" s="906"/>
      <c r="H1667" s="907"/>
      <c r="I1667" s="908"/>
      <c r="J1667" s="909"/>
      <c r="K1667" s="4"/>
      <c r="L1667" s="4"/>
      <c r="M1667" s="4"/>
      <c r="N1667" s="4"/>
      <c r="O1667" s="4"/>
      <c r="P1667" s="4"/>
      <c r="Q1667" s="4"/>
      <c r="R1667" s="4"/>
      <c r="S1667" s="4"/>
      <c r="T1667" s="4"/>
      <c r="U1667" s="4"/>
      <c r="V1667" s="4"/>
      <c r="W1667" s="89"/>
      <c r="X1667" s="4"/>
      <c r="Y1667" s="1186"/>
      <c r="Z1667" s="1192"/>
      <c r="AA1667" s="1187"/>
    </row>
    <row r="1668" spans="1:27" s="1185" customFormat="1">
      <c r="A1668" s="1186"/>
      <c r="B1668" s="1598" t="s">
        <v>1118</v>
      </c>
      <c r="C1668" s="1496"/>
      <c r="D1668" s="701">
        <v>32</v>
      </c>
      <c r="E1668" s="1596">
        <v>1.26753</v>
      </c>
      <c r="G1668" s="906"/>
      <c r="H1668" s="907"/>
      <c r="I1668" s="908"/>
      <c r="J1668" s="909"/>
      <c r="K1668" s="4"/>
      <c r="L1668" s="4"/>
      <c r="M1668" s="4"/>
      <c r="N1668" s="4"/>
      <c r="O1668" s="4"/>
      <c r="P1668" s="4"/>
      <c r="Q1668" s="4"/>
      <c r="R1668" s="4"/>
      <c r="S1668" s="4"/>
      <c r="T1668" s="4"/>
      <c r="U1668" s="4"/>
      <c r="V1668" s="4"/>
      <c r="W1668" s="89"/>
      <c r="X1668" s="4"/>
      <c r="Y1668" s="1186"/>
      <c r="Z1668" s="1192"/>
      <c r="AA1668" s="1187"/>
    </row>
    <row r="1669" spans="1:27" s="1185" customFormat="1">
      <c r="A1669" s="1186"/>
      <c r="B1669" s="1598" t="s">
        <v>1841</v>
      </c>
      <c r="C1669" s="1496"/>
      <c r="D1669" s="701">
        <v>48</v>
      </c>
      <c r="E1669" s="1596">
        <v>2.10243</v>
      </c>
      <c r="G1669" s="906"/>
      <c r="H1669" s="907"/>
      <c r="I1669" s="908"/>
      <c r="J1669" s="909"/>
      <c r="K1669" s="4"/>
      <c r="L1669" s="4"/>
      <c r="M1669" s="4"/>
      <c r="N1669" s="4"/>
      <c r="O1669" s="4"/>
      <c r="P1669" s="4"/>
      <c r="Q1669" s="4"/>
      <c r="R1669" s="4"/>
      <c r="S1669" s="4"/>
      <c r="T1669" s="4"/>
      <c r="U1669" s="4"/>
      <c r="V1669" s="4"/>
      <c r="W1669" s="89"/>
      <c r="X1669" s="4"/>
      <c r="Y1669" s="1186"/>
      <c r="Z1669" s="1192"/>
      <c r="AA1669" s="1187"/>
    </row>
    <row r="1670" spans="1:27" s="1185" customFormat="1">
      <c r="A1670" s="1186"/>
      <c r="B1670" s="1598" t="s">
        <v>1119</v>
      </c>
      <c r="C1670" s="1496"/>
      <c r="D1670" s="701">
        <v>64</v>
      </c>
      <c r="E1670" s="1596">
        <v>2.5375899999999998</v>
      </c>
      <c r="G1670" s="906"/>
      <c r="H1670" s="907"/>
      <c r="I1670" s="908"/>
      <c r="J1670" s="909"/>
      <c r="K1670" s="4"/>
      <c r="L1670" s="4"/>
      <c r="M1670" s="4"/>
      <c r="N1670" s="4"/>
      <c r="O1670" s="4"/>
      <c r="P1670" s="4"/>
      <c r="Q1670" s="4"/>
      <c r="R1670" s="4"/>
      <c r="S1670" s="4"/>
      <c r="T1670" s="4"/>
      <c r="U1670" s="4"/>
      <c r="V1670" s="4"/>
      <c r="W1670" s="89"/>
      <c r="X1670" s="4"/>
      <c r="Y1670" s="1186"/>
      <c r="Z1670" s="1192"/>
      <c r="AA1670" s="1187"/>
    </row>
    <row r="1671" spans="1:27" s="1185" customFormat="1">
      <c r="A1671" s="1186"/>
      <c r="B1671" s="1971" t="s">
        <v>1842</v>
      </c>
      <c r="C1671" s="1924"/>
      <c r="D1671" s="1924"/>
      <c r="E1671" s="1925"/>
      <c r="G1671" s="906"/>
      <c r="H1671" s="907"/>
      <c r="I1671" s="908"/>
      <c r="J1671" s="909"/>
      <c r="K1671" s="4"/>
      <c r="L1671" s="4"/>
      <c r="M1671" s="4"/>
      <c r="N1671" s="4"/>
      <c r="O1671" s="4"/>
      <c r="P1671" s="4"/>
      <c r="Q1671" s="4"/>
      <c r="R1671" s="4"/>
      <c r="S1671" s="4"/>
      <c r="T1671" s="4"/>
      <c r="U1671" s="4"/>
      <c r="V1671" s="4"/>
      <c r="W1671" s="89"/>
      <c r="X1671" s="4"/>
      <c r="Y1671" s="1186"/>
      <c r="Z1671" s="1192"/>
      <c r="AA1671" s="1187"/>
    </row>
    <row r="1672" spans="1:27" s="1185" customFormat="1">
      <c r="A1672" s="1186"/>
      <c r="B1672" s="1598" t="s">
        <v>1843</v>
      </c>
      <c r="C1672" s="1496"/>
      <c r="D1672" s="701">
        <v>0.128</v>
      </c>
      <c r="E1672" s="1596">
        <v>1.07525E-2</v>
      </c>
      <c r="G1672" s="906"/>
      <c r="H1672" s="907"/>
      <c r="I1672" s="908"/>
      <c r="J1672" s="909"/>
      <c r="K1672" s="4"/>
      <c r="L1672" s="4"/>
      <c r="M1672" s="4"/>
      <c r="N1672" s="4"/>
      <c r="O1672" s="4"/>
      <c r="P1672" s="4"/>
      <c r="Q1672" s="4"/>
      <c r="R1672" s="4"/>
      <c r="S1672" s="4"/>
      <c r="T1672" s="4"/>
      <c r="U1672" s="4"/>
      <c r="V1672" s="4"/>
      <c r="W1672" s="89"/>
      <c r="X1672" s="4"/>
      <c r="Y1672" s="1186"/>
      <c r="Z1672" s="1192"/>
      <c r="AA1672" s="1187"/>
    </row>
    <row r="1673" spans="1:27" s="1185" customFormat="1">
      <c r="A1673" s="1186"/>
      <c r="B1673" s="1598" t="s">
        <v>1844</v>
      </c>
      <c r="C1673" s="1496"/>
      <c r="D1673" s="701">
        <v>0.25600000000000001</v>
      </c>
      <c r="E1673" s="1596">
        <v>2.1505E-2</v>
      </c>
      <c r="G1673" s="906"/>
      <c r="H1673" s="907"/>
      <c r="I1673" s="908"/>
      <c r="J1673" s="909"/>
      <c r="K1673" s="4"/>
      <c r="L1673" s="4"/>
      <c r="M1673" s="4"/>
      <c r="N1673" s="4"/>
      <c r="O1673" s="4"/>
      <c r="P1673" s="4"/>
      <c r="Q1673" s="4"/>
      <c r="R1673" s="4"/>
      <c r="S1673" s="4"/>
      <c r="T1673" s="4"/>
      <c r="U1673" s="4"/>
      <c r="V1673" s="4"/>
      <c r="W1673" s="89"/>
      <c r="X1673" s="4"/>
      <c r="Y1673" s="1186"/>
      <c r="Z1673" s="1192"/>
      <c r="AA1673" s="1187"/>
    </row>
    <row r="1674" spans="1:27" s="1185" customFormat="1">
      <c r="A1674" s="1186"/>
      <c r="B1674" s="1598" t="s">
        <v>1845</v>
      </c>
      <c r="C1674" s="1496"/>
      <c r="D1674" s="701">
        <v>0.51200000000000001</v>
      </c>
      <c r="E1674" s="1596">
        <v>4.301E-2</v>
      </c>
      <c r="G1674" s="906"/>
      <c r="H1674" s="907"/>
      <c r="I1674" s="908"/>
      <c r="J1674" s="909"/>
      <c r="K1674" s="4"/>
      <c r="L1674" s="4"/>
      <c r="M1674" s="4"/>
      <c r="N1674" s="4"/>
      <c r="O1674" s="4"/>
      <c r="P1674" s="4"/>
      <c r="Q1674" s="4"/>
      <c r="R1674" s="4"/>
      <c r="S1674" s="4"/>
      <c r="T1674" s="4"/>
      <c r="U1674" s="4"/>
      <c r="V1674" s="4"/>
      <c r="W1674" s="89"/>
      <c r="X1674" s="4"/>
      <c r="Y1674" s="1186"/>
      <c r="Z1674" s="1192"/>
      <c r="AA1674" s="1187"/>
    </row>
    <row r="1675" spans="1:27" s="1185" customFormat="1">
      <c r="A1675" s="1186"/>
      <c r="B1675" s="1598" t="s">
        <v>1846</v>
      </c>
      <c r="C1675" s="1496"/>
      <c r="D1675" s="701">
        <v>1</v>
      </c>
      <c r="E1675" s="1596">
        <v>8.6019999999999999E-2</v>
      </c>
      <c r="G1675" s="906"/>
      <c r="H1675" s="907"/>
      <c r="I1675" s="908"/>
      <c r="J1675" s="909"/>
      <c r="K1675" s="4"/>
      <c r="L1675" s="4"/>
      <c r="M1675" s="4"/>
      <c r="N1675" s="4"/>
      <c r="O1675" s="4"/>
      <c r="P1675" s="4"/>
      <c r="Q1675" s="4"/>
      <c r="R1675" s="4"/>
      <c r="S1675" s="4"/>
      <c r="T1675" s="4"/>
      <c r="U1675" s="4"/>
      <c r="V1675" s="4"/>
      <c r="W1675" s="89"/>
      <c r="X1675" s="4"/>
      <c r="Y1675" s="1186"/>
      <c r="Z1675" s="1192"/>
      <c r="AA1675" s="1187"/>
    </row>
    <row r="1676" spans="1:27" s="1185" customFormat="1">
      <c r="A1676" s="1186"/>
      <c r="B1676" s="1598" t="s">
        <v>1847</v>
      </c>
      <c r="C1676" s="1496"/>
      <c r="D1676" s="701">
        <v>2</v>
      </c>
      <c r="E1676" s="1596">
        <v>0.17204</v>
      </c>
      <c r="G1676" s="906"/>
      <c r="H1676" s="907"/>
      <c r="I1676" s="908"/>
      <c r="J1676" s="909"/>
      <c r="K1676" s="4"/>
      <c r="L1676" s="4"/>
      <c r="M1676" s="4"/>
      <c r="N1676" s="4"/>
      <c r="O1676" s="4"/>
      <c r="P1676" s="4"/>
      <c r="Q1676" s="4"/>
      <c r="R1676" s="4"/>
      <c r="S1676" s="4"/>
      <c r="T1676" s="4"/>
      <c r="U1676" s="4"/>
      <c r="V1676" s="4"/>
      <c r="W1676" s="89"/>
      <c r="X1676" s="4"/>
      <c r="Y1676" s="1186"/>
      <c r="Z1676" s="1192"/>
      <c r="AA1676" s="1187"/>
    </row>
    <row r="1677" spans="1:27" s="1185" customFormat="1">
      <c r="A1677" s="1186"/>
      <c r="B1677" s="1598" t="s">
        <v>1848</v>
      </c>
      <c r="C1677" s="1496"/>
      <c r="D1677" s="701">
        <v>4</v>
      </c>
      <c r="E1677" s="1596">
        <v>0.34408</v>
      </c>
      <c r="G1677" s="906"/>
      <c r="H1677" s="907"/>
      <c r="I1677" s="908"/>
      <c r="J1677" s="909"/>
      <c r="K1677" s="4"/>
      <c r="L1677" s="4"/>
      <c r="M1677" s="4"/>
      <c r="N1677" s="4"/>
      <c r="O1677" s="4"/>
      <c r="P1677" s="4"/>
      <c r="Q1677" s="4"/>
      <c r="R1677" s="4"/>
      <c r="S1677" s="4"/>
      <c r="T1677" s="4"/>
      <c r="U1677" s="4"/>
      <c r="V1677" s="4"/>
      <c r="W1677" s="89"/>
      <c r="X1677" s="4"/>
      <c r="Y1677" s="1186"/>
      <c r="Z1677" s="1192"/>
      <c r="AA1677" s="1187"/>
    </row>
    <row r="1678" spans="1:27" s="1185" customFormat="1">
      <c r="A1678" s="1186"/>
      <c r="B1678" s="1598" t="s">
        <v>1849</v>
      </c>
      <c r="C1678" s="1496"/>
      <c r="D1678" s="701">
        <v>8</v>
      </c>
      <c r="E1678" s="1596">
        <v>0.68815999999999999</v>
      </c>
      <c r="G1678" s="906"/>
      <c r="H1678" s="907"/>
      <c r="I1678" s="907"/>
      <c r="J1678" s="907"/>
      <c r="K1678" s="907"/>
      <c r="L1678" s="4"/>
      <c r="M1678" s="4"/>
      <c r="N1678" s="4"/>
      <c r="O1678" s="4"/>
      <c r="P1678" s="4"/>
      <c r="Q1678" s="4"/>
      <c r="R1678" s="4"/>
      <c r="S1678" s="4"/>
      <c r="T1678" s="4"/>
      <c r="U1678" s="4"/>
      <c r="V1678" s="4"/>
      <c r="W1678" s="89"/>
      <c r="X1678" s="4"/>
      <c r="Y1678" s="1186"/>
      <c r="Z1678" s="1192"/>
      <c r="AA1678" s="1187"/>
    </row>
    <row r="1679" spans="1:27" s="1185" customFormat="1">
      <c r="A1679" s="1186"/>
      <c r="B1679" s="1598" t="s">
        <v>1850</v>
      </c>
      <c r="C1679" s="1496"/>
      <c r="D1679" s="701">
        <v>16</v>
      </c>
      <c r="E1679" s="1596">
        <v>1.37632</v>
      </c>
      <c r="G1679" s="906"/>
      <c r="H1679" s="907"/>
      <c r="I1679" s="907"/>
      <c r="J1679" s="907"/>
      <c r="K1679" s="907"/>
      <c r="L1679" s="4"/>
      <c r="M1679" s="4"/>
      <c r="N1679" s="4"/>
      <c r="O1679" s="4"/>
      <c r="P1679" s="4"/>
      <c r="Q1679" s="4"/>
      <c r="R1679" s="4"/>
      <c r="S1679" s="4"/>
      <c r="T1679" s="4"/>
      <c r="U1679" s="4"/>
      <c r="V1679" s="4"/>
      <c r="W1679" s="89"/>
      <c r="X1679" s="4"/>
      <c r="Y1679" s="1186"/>
      <c r="Z1679" s="1192"/>
      <c r="AA1679" s="1187"/>
    </row>
    <row r="1680" spans="1:27" s="1185" customFormat="1">
      <c r="A1680" s="1186"/>
      <c r="B1680" s="1598" t="s">
        <v>1851</v>
      </c>
      <c r="C1680" s="1496"/>
      <c r="D1680" s="701">
        <v>24</v>
      </c>
      <c r="E1680" s="1596">
        <v>2.0644800000000001</v>
      </c>
      <c r="G1680" s="906"/>
      <c r="H1680" s="907"/>
      <c r="I1680" s="907"/>
      <c r="J1680" s="907"/>
      <c r="K1680" s="907"/>
      <c r="L1680" s="4"/>
      <c r="M1680" s="4"/>
      <c r="N1680" s="4"/>
      <c r="O1680" s="4"/>
      <c r="P1680" s="4"/>
      <c r="Q1680" s="4"/>
      <c r="R1680" s="4"/>
      <c r="S1680" s="4"/>
      <c r="T1680" s="4"/>
      <c r="U1680" s="4"/>
      <c r="V1680" s="4"/>
      <c r="W1680" s="89"/>
      <c r="X1680" s="4"/>
      <c r="Y1680" s="1186"/>
      <c r="Z1680" s="1192"/>
      <c r="AA1680" s="1187"/>
    </row>
    <row r="1681" spans="1:27" s="1185" customFormat="1">
      <c r="A1681" s="1186"/>
      <c r="B1681" s="1598" t="s">
        <v>1852</v>
      </c>
      <c r="C1681" s="1496"/>
      <c r="D1681" s="701">
        <v>32</v>
      </c>
      <c r="E1681" s="1596">
        <v>2.75264</v>
      </c>
      <c r="G1681" s="906"/>
      <c r="H1681" s="907"/>
      <c r="I1681" s="907"/>
      <c r="J1681" s="907"/>
      <c r="K1681" s="907"/>
      <c r="L1681" s="4"/>
      <c r="M1681" s="4"/>
      <c r="N1681" s="4"/>
      <c r="O1681" s="4"/>
      <c r="P1681" s="4"/>
      <c r="Q1681" s="4"/>
      <c r="R1681" s="4"/>
      <c r="S1681" s="4"/>
      <c r="T1681" s="4"/>
      <c r="U1681" s="4"/>
      <c r="V1681" s="4"/>
      <c r="W1681" s="89"/>
      <c r="X1681" s="4"/>
      <c r="Y1681" s="1186"/>
      <c r="Z1681" s="1192"/>
      <c r="AA1681" s="1187"/>
    </row>
    <row r="1682" spans="1:27" s="1185" customFormat="1">
      <c r="A1682" s="1186"/>
      <c r="B1682" s="1598" t="s">
        <v>1853</v>
      </c>
      <c r="C1682" s="1496"/>
      <c r="D1682" s="701">
        <v>48</v>
      </c>
      <c r="E1682" s="1596">
        <v>4.1289600000000002</v>
      </c>
      <c r="G1682" s="906"/>
      <c r="H1682" s="907"/>
      <c r="I1682" s="907"/>
      <c r="J1682" s="907"/>
      <c r="K1682" s="907"/>
      <c r="L1682" s="4"/>
      <c r="M1682" s="4"/>
      <c r="N1682" s="4"/>
      <c r="O1682" s="4"/>
      <c r="P1682" s="4"/>
      <c r="Q1682" s="4"/>
      <c r="R1682" s="4"/>
      <c r="S1682" s="4"/>
      <c r="T1682" s="4"/>
      <c r="U1682" s="4"/>
      <c r="V1682" s="4"/>
      <c r="W1682" s="89"/>
      <c r="X1682" s="4"/>
      <c r="Y1682" s="1186"/>
      <c r="Z1682" s="1192"/>
      <c r="AA1682" s="1187"/>
    </row>
    <row r="1683" spans="1:27" s="1185" customFormat="1">
      <c r="A1683" s="1186"/>
      <c r="B1683" s="1598" t="s">
        <v>1854</v>
      </c>
      <c r="C1683" s="1496"/>
      <c r="D1683" s="701">
        <v>64</v>
      </c>
      <c r="E1683" s="1596">
        <v>5.50528</v>
      </c>
      <c r="G1683" s="906"/>
      <c r="H1683" s="907"/>
      <c r="I1683" s="907"/>
      <c r="J1683" s="907"/>
      <c r="K1683" s="907"/>
      <c r="L1683" s="4"/>
      <c r="M1683" s="4"/>
      <c r="N1683" s="4"/>
      <c r="O1683" s="4"/>
      <c r="P1683" s="4"/>
      <c r="Q1683" s="4"/>
      <c r="R1683" s="4"/>
      <c r="S1683" s="4"/>
      <c r="T1683" s="4"/>
      <c r="U1683" s="4"/>
      <c r="V1683" s="4"/>
      <c r="W1683" s="89"/>
      <c r="X1683" s="4"/>
      <c r="Y1683" s="1186"/>
      <c r="Z1683" s="1192"/>
      <c r="AA1683" s="1187"/>
    </row>
    <row r="1684" spans="1:27" s="1185" customFormat="1">
      <c r="A1684" s="1186"/>
      <c r="B1684" s="1971" t="s">
        <v>1855</v>
      </c>
      <c r="C1684" s="1972"/>
      <c r="D1684" s="1972"/>
      <c r="E1684" s="1973"/>
      <c r="G1684" s="906"/>
      <c r="H1684" s="907"/>
      <c r="I1684" s="907"/>
      <c r="J1684" s="907"/>
      <c r="K1684" s="907"/>
      <c r="L1684" s="4"/>
      <c r="M1684" s="4"/>
      <c r="N1684" s="4"/>
      <c r="O1684" s="4"/>
      <c r="P1684" s="4"/>
      <c r="Q1684" s="4"/>
      <c r="R1684" s="4"/>
      <c r="S1684" s="4"/>
      <c r="T1684" s="4"/>
      <c r="U1684" s="4"/>
      <c r="V1684" s="4"/>
      <c r="W1684" s="89"/>
      <c r="X1684" s="4"/>
      <c r="Y1684" s="1186"/>
      <c r="Z1684" s="1192"/>
      <c r="AA1684" s="1187"/>
    </row>
    <row r="1685" spans="1:27" s="1185" customFormat="1">
      <c r="A1685" s="1186"/>
      <c r="B1685" s="1598" t="s">
        <v>1856</v>
      </c>
      <c r="C1685" s="1496"/>
      <c r="D1685" s="701">
        <v>0.128</v>
      </c>
      <c r="E1685" s="1596">
        <v>2.1505E-2</v>
      </c>
      <c r="G1685" s="906"/>
      <c r="H1685" s="907"/>
      <c r="I1685" s="907"/>
      <c r="J1685" s="907"/>
      <c r="K1685" s="907"/>
      <c r="L1685" s="4"/>
      <c r="M1685" s="4"/>
      <c r="N1685" s="4"/>
      <c r="O1685" s="4"/>
      <c r="P1685" s="4"/>
      <c r="Q1685" s="4"/>
      <c r="R1685" s="4"/>
      <c r="S1685" s="4"/>
      <c r="T1685" s="4"/>
      <c r="U1685" s="4"/>
      <c r="V1685" s="4"/>
      <c r="W1685" s="89"/>
      <c r="X1685" s="4"/>
      <c r="Y1685" s="1186"/>
      <c r="Z1685" s="1192"/>
      <c r="AA1685" s="1187"/>
    </row>
    <row r="1686" spans="1:27" s="1185" customFormat="1">
      <c r="A1686" s="1186"/>
      <c r="B1686" s="1598" t="s">
        <v>1857</v>
      </c>
      <c r="C1686" s="1496"/>
      <c r="D1686" s="701">
        <v>0.25600000000000001</v>
      </c>
      <c r="E1686" s="1596">
        <v>4.301E-2</v>
      </c>
      <c r="G1686" s="906"/>
      <c r="H1686" s="907"/>
      <c r="I1686" s="907"/>
      <c r="J1686" s="907"/>
      <c r="K1686" s="907"/>
      <c r="L1686" s="4"/>
      <c r="M1686" s="4"/>
      <c r="N1686" s="4"/>
      <c r="O1686" s="4"/>
      <c r="P1686" s="4"/>
      <c r="Q1686" s="4"/>
      <c r="R1686" s="4"/>
      <c r="S1686" s="4"/>
      <c r="T1686" s="4"/>
      <c r="U1686" s="4"/>
      <c r="V1686" s="4"/>
      <c r="W1686" s="89"/>
      <c r="X1686" s="4"/>
      <c r="Y1686" s="1186"/>
      <c r="Z1686" s="1192"/>
      <c r="AA1686" s="1187"/>
    </row>
    <row r="1687" spans="1:27" s="1185" customFormat="1">
      <c r="A1687" s="1186"/>
      <c r="B1687" s="1598" t="s">
        <v>1858</v>
      </c>
      <c r="C1687" s="1496"/>
      <c r="D1687" s="701">
        <v>0.51200000000000001</v>
      </c>
      <c r="E1687" s="1596">
        <v>8.6019999999999999E-2</v>
      </c>
      <c r="G1687" s="906"/>
      <c r="H1687" s="907"/>
      <c r="I1687" s="907"/>
      <c r="J1687" s="907"/>
      <c r="K1687" s="907"/>
      <c r="L1687" s="4"/>
      <c r="M1687" s="4"/>
      <c r="N1687" s="4"/>
      <c r="O1687" s="4"/>
      <c r="P1687" s="4"/>
      <c r="Q1687" s="4"/>
      <c r="R1687" s="4"/>
      <c r="S1687" s="4"/>
      <c r="T1687" s="4"/>
      <c r="U1687" s="4"/>
      <c r="V1687" s="4"/>
      <c r="W1687" s="89"/>
      <c r="X1687" s="4"/>
      <c r="Y1687" s="1186"/>
      <c r="Z1687" s="1192"/>
      <c r="AA1687" s="1187"/>
    </row>
    <row r="1688" spans="1:27" s="1185" customFormat="1">
      <c r="A1688" s="1186"/>
      <c r="B1688" s="1598" t="s">
        <v>1859</v>
      </c>
      <c r="C1688" s="1496"/>
      <c r="D1688" s="701">
        <v>1</v>
      </c>
      <c r="E1688" s="1596">
        <v>0.17204</v>
      </c>
      <c r="G1688" s="906"/>
      <c r="H1688" s="907"/>
      <c r="I1688" s="907"/>
      <c r="J1688" s="907"/>
      <c r="K1688" s="907"/>
      <c r="L1688" s="4"/>
      <c r="M1688" s="4"/>
      <c r="N1688" s="4"/>
      <c r="O1688" s="4"/>
      <c r="P1688" s="4"/>
      <c r="Q1688" s="4"/>
      <c r="R1688" s="4"/>
      <c r="S1688" s="4"/>
      <c r="T1688" s="4"/>
      <c r="U1688" s="4"/>
      <c r="V1688" s="4"/>
      <c r="W1688" s="89"/>
      <c r="X1688" s="4"/>
      <c r="Y1688" s="1186"/>
      <c r="Z1688" s="1192"/>
      <c r="AA1688" s="1187"/>
    </row>
    <row r="1689" spans="1:27" s="1185" customFormat="1">
      <c r="A1689" s="1186"/>
      <c r="B1689" s="1598" t="s">
        <v>1860</v>
      </c>
      <c r="C1689" s="1496"/>
      <c r="D1689" s="701">
        <v>2</v>
      </c>
      <c r="E1689" s="1596">
        <v>0.34408</v>
      </c>
      <c r="G1689" s="906"/>
      <c r="H1689" s="907"/>
      <c r="I1689" s="907"/>
      <c r="J1689" s="907"/>
      <c r="K1689" s="907"/>
      <c r="L1689" s="4"/>
      <c r="M1689" s="4"/>
      <c r="N1689" s="4"/>
      <c r="O1689" s="4"/>
      <c r="P1689" s="4"/>
      <c r="Q1689" s="4"/>
      <c r="R1689" s="4"/>
      <c r="S1689" s="4"/>
      <c r="T1689" s="4"/>
      <c r="U1689" s="4"/>
      <c r="V1689" s="4"/>
      <c r="W1689" s="89"/>
      <c r="X1689" s="4"/>
      <c r="Y1689" s="1186"/>
      <c r="Z1689" s="1192"/>
      <c r="AA1689" s="1187"/>
    </row>
    <row r="1690" spans="1:27" s="1185" customFormat="1">
      <c r="A1690" s="1186"/>
      <c r="B1690" s="1598" t="s">
        <v>1861</v>
      </c>
      <c r="C1690" s="1496"/>
      <c r="D1690" s="701">
        <v>4</v>
      </c>
      <c r="E1690" s="1596">
        <v>0.68815999999999999</v>
      </c>
      <c r="G1690" s="906"/>
      <c r="H1690" s="907"/>
      <c r="I1690" s="907"/>
      <c r="J1690" s="907"/>
      <c r="K1690" s="907"/>
      <c r="L1690" s="4"/>
      <c r="M1690" s="4"/>
      <c r="N1690" s="4"/>
      <c r="O1690" s="4"/>
      <c r="P1690" s="4"/>
      <c r="Q1690" s="4"/>
      <c r="R1690" s="4"/>
      <c r="S1690" s="4"/>
      <c r="T1690" s="4"/>
      <c r="U1690" s="4"/>
      <c r="V1690" s="4"/>
      <c r="W1690" s="89"/>
      <c r="X1690" s="4"/>
      <c r="Y1690" s="1186"/>
      <c r="Z1690" s="1192"/>
      <c r="AA1690" s="1187"/>
    </row>
    <row r="1691" spans="1:27" s="1185" customFormat="1">
      <c r="A1691" s="1186"/>
      <c r="B1691" s="1598" t="s">
        <v>1862</v>
      </c>
      <c r="C1691" s="1496"/>
      <c r="D1691" s="701">
        <v>8</v>
      </c>
      <c r="E1691" s="1596">
        <v>1.37632</v>
      </c>
      <c r="G1691" s="906"/>
      <c r="H1691" s="907"/>
      <c r="I1691" s="907"/>
      <c r="J1691" s="907"/>
      <c r="K1691" s="907"/>
      <c r="L1691" s="4"/>
      <c r="M1691" s="4"/>
      <c r="N1691" s="4"/>
      <c r="O1691" s="4"/>
      <c r="P1691" s="4"/>
      <c r="Q1691" s="4"/>
      <c r="R1691" s="4"/>
      <c r="S1691" s="4"/>
      <c r="T1691" s="4"/>
      <c r="U1691" s="4"/>
      <c r="V1691" s="4"/>
      <c r="W1691" s="89"/>
      <c r="X1691" s="4"/>
      <c r="Y1691" s="1186"/>
      <c r="Z1691" s="1192"/>
      <c r="AA1691" s="1187"/>
    </row>
    <row r="1692" spans="1:27" s="1185" customFormat="1">
      <c r="A1692" s="1186"/>
      <c r="B1692" s="1598" t="s">
        <v>1863</v>
      </c>
      <c r="C1692" s="1496"/>
      <c r="D1692" s="701">
        <v>16</v>
      </c>
      <c r="E1692" s="1596">
        <v>2.75264</v>
      </c>
      <c r="G1692" s="906"/>
      <c r="H1692" s="907"/>
      <c r="I1692" s="908"/>
      <c r="J1692" s="909"/>
      <c r="K1692" s="4"/>
      <c r="L1692" s="4"/>
      <c r="M1692" s="4"/>
      <c r="N1692" s="4"/>
      <c r="O1692" s="4"/>
      <c r="P1692" s="4"/>
      <c r="Q1692" s="4"/>
      <c r="R1692" s="4"/>
      <c r="S1692" s="4"/>
      <c r="T1692" s="4"/>
      <c r="U1692" s="4"/>
      <c r="V1692" s="4"/>
      <c r="W1692" s="89"/>
      <c r="X1692" s="4"/>
      <c r="Y1692" s="1186"/>
      <c r="Z1692" s="1192"/>
      <c r="AA1692" s="1187"/>
    </row>
    <row r="1693" spans="1:27" s="1185" customFormat="1">
      <c r="A1693" s="1186"/>
      <c r="B1693" s="1598" t="s">
        <v>1864</v>
      </c>
      <c r="C1693" s="1496"/>
      <c r="D1693" s="701">
        <v>24</v>
      </c>
      <c r="E1693" s="1596">
        <v>4.1289600000000002</v>
      </c>
      <c r="G1693" s="906"/>
      <c r="H1693" s="907"/>
      <c r="I1693" s="908"/>
      <c r="J1693" s="909"/>
      <c r="K1693" s="4"/>
      <c r="L1693" s="4"/>
      <c r="M1693" s="4"/>
      <c r="N1693" s="4"/>
      <c r="O1693" s="4"/>
      <c r="P1693" s="4"/>
      <c r="Q1693" s="4"/>
      <c r="R1693" s="4"/>
      <c r="S1693" s="4"/>
      <c r="T1693" s="4"/>
      <c r="U1693" s="4"/>
      <c r="V1693" s="4"/>
      <c r="W1693" s="89"/>
      <c r="X1693" s="4"/>
      <c r="Y1693" s="1186"/>
      <c r="Z1693" s="1192"/>
      <c r="AA1693" s="1187"/>
    </row>
    <row r="1694" spans="1:27" s="1185" customFormat="1">
      <c r="A1694" s="1186"/>
      <c r="B1694" s="1598" t="s">
        <v>1865</v>
      </c>
      <c r="C1694" s="1496"/>
      <c r="D1694" s="701">
        <v>32</v>
      </c>
      <c r="E1694" s="1596">
        <v>5.50528</v>
      </c>
      <c r="G1694" s="906"/>
      <c r="H1694" s="907"/>
      <c r="I1694" s="908"/>
      <c r="J1694" s="909"/>
      <c r="K1694" s="4"/>
      <c r="L1694" s="4"/>
      <c r="M1694" s="4"/>
      <c r="N1694" s="4"/>
      <c r="O1694" s="4"/>
      <c r="P1694" s="4"/>
      <c r="Q1694" s="4"/>
      <c r="R1694" s="4"/>
      <c r="S1694" s="4"/>
      <c r="T1694" s="4"/>
      <c r="U1694" s="4"/>
      <c r="V1694" s="4"/>
      <c r="W1694" s="89"/>
      <c r="X1694" s="4"/>
      <c r="Y1694" s="1186"/>
      <c r="Z1694" s="1192"/>
      <c r="AA1694" s="1187"/>
    </row>
    <row r="1695" spans="1:27" s="1185" customFormat="1">
      <c r="A1695" s="1186"/>
      <c r="B1695" s="1598" t="s">
        <v>1866</v>
      </c>
      <c r="C1695" s="1496"/>
      <c r="D1695" s="701">
        <v>48</v>
      </c>
      <c r="E1695" s="1596">
        <v>8.2579200000000004</v>
      </c>
      <c r="G1695" s="906"/>
      <c r="H1695" s="907"/>
      <c r="I1695" s="908"/>
      <c r="J1695" s="909"/>
      <c r="K1695" s="4"/>
      <c r="L1695" s="4"/>
      <c r="M1695" s="4"/>
      <c r="N1695" s="4"/>
      <c r="O1695" s="4"/>
      <c r="P1695" s="4"/>
      <c r="Q1695" s="4"/>
      <c r="R1695" s="4"/>
      <c r="S1695" s="4"/>
      <c r="T1695" s="4"/>
      <c r="U1695" s="4"/>
      <c r="V1695" s="4"/>
      <c r="W1695" s="89"/>
      <c r="X1695" s="4"/>
      <c r="Y1695" s="1186"/>
      <c r="Z1695" s="1192"/>
      <c r="AA1695" s="1187"/>
    </row>
    <row r="1696" spans="1:27" s="1185" customFormat="1">
      <c r="A1696" s="1186"/>
      <c r="B1696" s="1598" t="s">
        <v>1867</v>
      </c>
      <c r="C1696" s="1496"/>
      <c r="D1696" s="701">
        <v>64</v>
      </c>
      <c r="E1696" s="1596">
        <v>11.01056</v>
      </c>
      <c r="G1696" s="906"/>
      <c r="H1696" s="907"/>
      <c r="I1696" s="908"/>
      <c r="J1696" s="909"/>
      <c r="K1696" s="4"/>
      <c r="L1696" s="4"/>
      <c r="M1696" s="4"/>
      <c r="N1696" s="4"/>
      <c r="O1696" s="4"/>
      <c r="P1696" s="4"/>
      <c r="Q1696" s="4"/>
      <c r="R1696" s="4"/>
      <c r="S1696" s="4"/>
      <c r="T1696" s="4"/>
      <c r="U1696" s="4"/>
      <c r="V1696" s="4"/>
      <c r="W1696" s="89"/>
      <c r="X1696" s="4"/>
      <c r="Y1696" s="1186"/>
      <c r="Z1696" s="1192"/>
      <c r="AA1696" s="1187"/>
    </row>
    <row r="1697" spans="1:27" s="1185" customFormat="1">
      <c r="A1697" s="1186"/>
      <c r="B1697" s="1971" t="s">
        <v>1868</v>
      </c>
      <c r="C1697" s="1972"/>
      <c r="D1697" s="1972"/>
      <c r="E1697" s="1973"/>
      <c r="G1697" s="906"/>
      <c r="H1697" s="907"/>
      <c r="I1697" s="908"/>
      <c r="J1697" s="909"/>
      <c r="K1697" s="4"/>
      <c r="L1697" s="4"/>
      <c r="M1697" s="4"/>
      <c r="N1697" s="4"/>
      <c r="O1697" s="4"/>
      <c r="P1697" s="4"/>
      <c r="Q1697" s="4"/>
      <c r="R1697" s="4"/>
      <c r="S1697" s="4"/>
      <c r="T1697" s="4"/>
      <c r="U1697" s="4"/>
      <c r="V1697" s="4"/>
      <c r="W1697" s="89"/>
      <c r="X1697" s="4"/>
      <c r="Y1697" s="1186"/>
      <c r="Z1697" s="1192"/>
      <c r="AA1697" s="1187"/>
    </row>
    <row r="1698" spans="1:27" s="1185" customFormat="1">
      <c r="A1698" s="1186"/>
      <c r="B1698" s="1598" t="s">
        <v>1869</v>
      </c>
      <c r="C1698" s="1496"/>
      <c r="D1698" s="701">
        <v>0.128</v>
      </c>
      <c r="E1698" s="1596">
        <v>4.301E-2</v>
      </c>
      <c r="G1698" s="906"/>
      <c r="H1698" s="907"/>
      <c r="I1698" s="908"/>
      <c r="J1698" s="909"/>
      <c r="K1698" s="4"/>
      <c r="L1698" s="4"/>
      <c r="M1698" s="4"/>
      <c r="N1698" s="4"/>
      <c r="O1698" s="4"/>
      <c r="P1698" s="4"/>
      <c r="Q1698" s="4"/>
      <c r="R1698" s="4"/>
      <c r="S1698" s="4"/>
      <c r="T1698" s="4"/>
      <c r="U1698" s="4"/>
      <c r="V1698" s="4"/>
      <c r="W1698" s="89"/>
      <c r="X1698" s="4"/>
      <c r="Y1698" s="1186"/>
      <c r="Z1698" s="1192"/>
      <c r="AA1698" s="1187"/>
    </row>
    <row r="1699" spans="1:27" s="1185" customFormat="1">
      <c r="A1699" s="1186"/>
      <c r="B1699" s="1598" t="s">
        <v>1870</v>
      </c>
      <c r="C1699" s="1496"/>
      <c r="D1699" s="701">
        <v>0.25600000000000001</v>
      </c>
      <c r="E1699" s="1596">
        <v>8.6019999999999999E-2</v>
      </c>
      <c r="G1699" s="906"/>
      <c r="H1699" s="907"/>
      <c r="I1699" s="908"/>
      <c r="J1699" s="909"/>
      <c r="K1699" s="4"/>
      <c r="L1699" s="4"/>
      <c r="M1699" s="4"/>
      <c r="N1699" s="4"/>
      <c r="O1699" s="4"/>
      <c r="P1699" s="4"/>
      <c r="Q1699" s="4"/>
      <c r="R1699" s="4"/>
      <c r="S1699" s="4"/>
      <c r="T1699" s="4"/>
      <c r="U1699" s="4"/>
      <c r="V1699" s="4"/>
      <c r="W1699" s="89"/>
      <c r="X1699" s="4"/>
      <c r="Y1699" s="1186"/>
      <c r="Z1699" s="1192"/>
      <c r="AA1699" s="1187"/>
    </row>
    <row r="1700" spans="1:27" s="1185" customFormat="1">
      <c r="A1700" s="1186"/>
      <c r="B1700" s="1598" t="s">
        <v>1871</v>
      </c>
      <c r="C1700" s="1496"/>
      <c r="D1700" s="701">
        <v>0.51200000000000001</v>
      </c>
      <c r="E1700" s="1596">
        <v>0.17204</v>
      </c>
      <c r="G1700" s="906"/>
      <c r="H1700" s="907"/>
      <c r="I1700" s="908"/>
      <c r="J1700" s="909"/>
      <c r="K1700" s="4"/>
      <c r="L1700" s="4"/>
      <c r="M1700" s="4"/>
      <c r="N1700" s="4"/>
      <c r="O1700" s="4"/>
      <c r="P1700" s="4"/>
      <c r="Q1700" s="4"/>
      <c r="R1700" s="4"/>
      <c r="S1700" s="4"/>
      <c r="T1700" s="4"/>
      <c r="U1700" s="4"/>
      <c r="V1700" s="4"/>
      <c r="W1700" s="89"/>
      <c r="X1700" s="4"/>
      <c r="Y1700" s="1186"/>
      <c r="Z1700" s="1192"/>
      <c r="AA1700" s="1187"/>
    </row>
    <row r="1701" spans="1:27" s="1185" customFormat="1">
      <c r="A1701" s="1186"/>
      <c r="B1701" s="1598" t="s">
        <v>1872</v>
      </c>
      <c r="C1701" s="1496"/>
      <c r="D1701" s="701">
        <v>1</v>
      </c>
      <c r="E1701" s="1596">
        <v>0.34408</v>
      </c>
      <c r="G1701" s="906"/>
      <c r="H1701" s="907"/>
      <c r="I1701" s="908"/>
      <c r="J1701" s="909"/>
      <c r="K1701" s="4"/>
      <c r="L1701" s="4"/>
      <c r="M1701" s="4"/>
      <c r="N1701" s="4"/>
      <c r="O1701" s="4"/>
      <c r="P1701" s="4"/>
      <c r="Q1701" s="4"/>
      <c r="R1701" s="4"/>
      <c r="S1701" s="4"/>
      <c r="T1701" s="4"/>
      <c r="U1701" s="4"/>
      <c r="V1701" s="4"/>
      <c r="W1701" s="89"/>
      <c r="X1701" s="4"/>
      <c r="Y1701" s="1186"/>
      <c r="Z1701" s="1192"/>
      <c r="AA1701" s="1187"/>
    </row>
    <row r="1702" spans="1:27" s="1185" customFormat="1">
      <c r="A1702" s="1186"/>
      <c r="B1702" s="1598" t="s">
        <v>1873</v>
      </c>
      <c r="C1702" s="1496"/>
      <c r="D1702" s="701">
        <v>2</v>
      </c>
      <c r="E1702" s="1596">
        <v>0.68815999999999999</v>
      </c>
      <c r="G1702" s="906"/>
      <c r="H1702" s="907"/>
      <c r="I1702" s="908"/>
      <c r="J1702" s="909"/>
      <c r="K1702" s="4"/>
      <c r="L1702" s="4"/>
      <c r="M1702" s="4"/>
      <c r="N1702" s="4"/>
      <c r="O1702" s="4"/>
      <c r="P1702" s="4"/>
      <c r="Q1702" s="4"/>
      <c r="R1702" s="4"/>
      <c r="S1702" s="4"/>
      <c r="T1702" s="4"/>
      <c r="U1702" s="4"/>
      <c r="V1702" s="4"/>
      <c r="W1702" s="89"/>
      <c r="X1702" s="4"/>
      <c r="Y1702" s="1186"/>
      <c r="Z1702" s="1192"/>
      <c r="AA1702" s="1187"/>
    </row>
    <row r="1703" spans="1:27" s="1185" customFormat="1">
      <c r="A1703" s="1186"/>
      <c r="B1703" s="1598" t="s">
        <v>1874</v>
      </c>
      <c r="C1703" s="1496"/>
      <c r="D1703" s="701">
        <v>4</v>
      </c>
      <c r="E1703" s="1596">
        <v>1.37632</v>
      </c>
      <c r="G1703" s="906"/>
      <c r="H1703" s="907"/>
      <c r="I1703" s="908"/>
      <c r="J1703" s="909"/>
      <c r="K1703" s="4"/>
      <c r="L1703" s="4"/>
      <c r="M1703" s="4"/>
      <c r="N1703" s="4"/>
      <c r="O1703" s="4"/>
      <c r="P1703" s="4"/>
      <c r="Q1703" s="4"/>
      <c r="R1703" s="4"/>
      <c r="S1703" s="4"/>
      <c r="T1703" s="4"/>
      <c r="U1703" s="4"/>
      <c r="V1703" s="4"/>
      <c r="W1703" s="89"/>
      <c r="X1703" s="4"/>
      <c r="Y1703" s="1186"/>
      <c r="Z1703" s="1192"/>
      <c r="AA1703" s="1187"/>
    </row>
    <row r="1704" spans="1:27" s="1185" customFormat="1">
      <c r="A1704" s="1186"/>
      <c r="B1704" s="1598" t="s">
        <v>1875</v>
      </c>
      <c r="C1704" s="1496"/>
      <c r="D1704" s="701">
        <v>8</v>
      </c>
      <c r="E1704" s="1596">
        <v>2.75264</v>
      </c>
      <c r="G1704" s="906"/>
      <c r="H1704" s="907"/>
      <c r="I1704" s="908"/>
      <c r="J1704" s="909"/>
      <c r="K1704" s="4"/>
      <c r="L1704" s="4"/>
      <c r="M1704" s="4"/>
      <c r="N1704" s="4"/>
      <c r="O1704" s="4"/>
      <c r="P1704" s="4"/>
      <c r="Q1704" s="4"/>
      <c r="R1704" s="4"/>
      <c r="S1704" s="4"/>
      <c r="T1704" s="4"/>
      <c r="U1704" s="4"/>
      <c r="V1704" s="4"/>
      <c r="W1704" s="89"/>
      <c r="X1704" s="4"/>
      <c r="Y1704" s="1186"/>
      <c r="Z1704" s="1192"/>
      <c r="AA1704" s="1187"/>
    </row>
    <row r="1705" spans="1:27" s="1185" customFormat="1">
      <c r="A1705" s="1186"/>
      <c r="B1705" s="1598" t="s">
        <v>1876</v>
      </c>
      <c r="C1705" s="1496"/>
      <c r="D1705" s="701">
        <v>16</v>
      </c>
      <c r="E1705" s="1596">
        <v>5.50528</v>
      </c>
      <c r="G1705" s="906"/>
      <c r="H1705" s="907"/>
      <c r="I1705" s="908"/>
      <c r="J1705" s="909"/>
      <c r="K1705" s="4"/>
      <c r="L1705" s="4"/>
      <c r="M1705" s="4"/>
      <c r="N1705" s="4"/>
      <c r="O1705" s="4"/>
      <c r="P1705" s="4"/>
      <c r="Q1705" s="4"/>
      <c r="R1705" s="4"/>
      <c r="S1705" s="4"/>
      <c r="T1705" s="4"/>
      <c r="U1705" s="4"/>
      <c r="V1705" s="4"/>
      <c r="W1705" s="89"/>
      <c r="X1705" s="4"/>
      <c r="Y1705" s="1186"/>
      <c r="Z1705" s="1192"/>
      <c r="AA1705" s="1187"/>
    </row>
    <row r="1706" spans="1:27" s="1185" customFormat="1">
      <c r="A1706" s="1186"/>
      <c r="B1706" s="1598" t="s">
        <v>1877</v>
      </c>
      <c r="C1706" s="1496"/>
      <c r="D1706" s="701">
        <v>24</v>
      </c>
      <c r="E1706" s="1596">
        <v>8.2579200000000004</v>
      </c>
      <c r="G1706" s="906"/>
      <c r="H1706" s="907"/>
      <c r="I1706" s="908"/>
      <c r="J1706" s="909"/>
      <c r="K1706" s="4"/>
      <c r="L1706" s="4"/>
      <c r="M1706" s="4"/>
      <c r="N1706" s="4"/>
      <c r="O1706" s="4"/>
      <c r="P1706" s="4"/>
      <c r="Q1706" s="4"/>
      <c r="R1706" s="4"/>
      <c r="S1706" s="4"/>
      <c r="T1706" s="4"/>
      <c r="U1706" s="4"/>
      <c r="V1706" s="4"/>
      <c r="W1706" s="89"/>
      <c r="X1706" s="4"/>
      <c r="Y1706" s="1186"/>
      <c r="Z1706" s="1192"/>
      <c r="AA1706" s="1187"/>
    </row>
    <row r="1707" spans="1:27" s="1185" customFormat="1">
      <c r="A1707" s="1186"/>
      <c r="B1707" s="1598" t="s">
        <v>1878</v>
      </c>
      <c r="C1707" s="1496"/>
      <c r="D1707" s="701">
        <v>32</v>
      </c>
      <c r="E1707" s="1596">
        <v>11.01056</v>
      </c>
      <c r="G1707" s="906"/>
      <c r="H1707" s="907"/>
      <c r="I1707" s="908"/>
      <c r="J1707" s="909"/>
      <c r="K1707" s="4"/>
      <c r="L1707" s="4"/>
      <c r="M1707" s="4"/>
      <c r="N1707" s="4"/>
      <c r="O1707" s="4"/>
      <c r="P1707" s="4"/>
      <c r="Q1707" s="4"/>
      <c r="R1707" s="4"/>
      <c r="S1707" s="4"/>
      <c r="T1707" s="4"/>
      <c r="U1707" s="4"/>
      <c r="V1707" s="4"/>
      <c r="W1707" s="89"/>
      <c r="X1707" s="4"/>
      <c r="Y1707" s="1186"/>
      <c r="Z1707" s="1192"/>
      <c r="AA1707" s="1187"/>
    </row>
    <row r="1708" spans="1:27" s="1185" customFormat="1">
      <c r="A1708" s="1186"/>
      <c r="B1708" s="1598" t="s">
        <v>1879</v>
      </c>
      <c r="C1708" s="1496"/>
      <c r="D1708" s="701">
        <v>48</v>
      </c>
      <c r="E1708" s="1596">
        <v>16.515840000000001</v>
      </c>
      <c r="G1708" s="906"/>
      <c r="H1708" s="907"/>
      <c r="I1708" s="908"/>
      <c r="J1708" s="909"/>
      <c r="K1708" s="4"/>
      <c r="L1708" s="4"/>
      <c r="M1708" s="4"/>
      <c r="N1708" s="4"/>
      <c r="O1708" s="4"/>
      <c r="P1708" s="4"/>
      <c r="Q1708" s="4"/>
      <c r="R1708" s="4"/>
      <c r="S1708" s="4"/>
      <c r="T1708" s="4"/>
      <c r="U1708" s="4"/>
      <c r="V1708" s="4"/>
      <c r="W1708" s="89"/>
      <c r="X1708" s="4"/>
      <c r="Y1708" s="1186"/>
      <c r="Z1708" s="1192"/>
      <c r="AA1708" s="1187"/>
    </row>
    <row r="1709" spans="1:27" s="1185" customFormat="1">
      <c r="A1709" s="1186"/>
      <c r="B1709" s="1598" t="s">
        <v>1880</v>
      </c>
      <c r="C1709" s="1496"/>
      <c r="D1709" s="701">
        <v>64</v>
      </c>
      <c r="E1709" s="1596">
        <v>22.02112</v>
      </c>
      <c r="G1709" s="906"/>
      <c r="H1709" s="907"/>
      <c r="I1709" s="908"/>
      <c r="J1709" s="909"/>
      <c r="K1709" s="4"/>
      <c r="L1709" s="4"/>
      <c r="M1709" s="4"/>
      <c r="N1709" s="4"/>
      <c r="O1709" s="4"/>
      <c r="P1709" s="4"/>
      <c r="Q1709" s="4"/>
      <c r="R1709" s="4"/>
      <c r="S1709" s="4"/>
      <c r="T1709" s="4"/>
      <c r="U1709" s="4"/>
      <c r="V1709" s="4"/>
      <c r="W1709" s="89"/>
      <c r="X1709" s="4"/>
      <c r="Y1709" s="1186"/>
      <c r="Z1709" s="1192"/>
      <c r="AA1709" s="1187"/>
    </row>
    <row r="1710" spans="1:27" s="1185" customFormat="1">
      <c r="A1710" s="1186"/>
      <c r="B1710" s="1971" t="s">
        <v>1881</v>
      </c>
      <c r="C1710" s="1924"/>
      <c r="D1710" s="1924"/>
      <c r="E1710" s="1925"/>
      <c r="G1710" s="906"/>
      <c r="H1710" s="907"/>
      <c r="I1710" s="908"/>
      <c r="J1710" s="909"/>
      <c r="K1710" s="4"/>
      <c r="L1710" s="4"/>
      <c r="M1710" s="4"/>
      <c r="N1710" s="4"/>
      <c r="O1710" s="4"/>
      <c r="P1710" s="4"/>
      <c r="Q1710" s="4"/>
      <c r="R1710" s="4"/>
      <c r="S1710" s="4"/>
      <c r="T1710" s="4"/>
      <c r="U1710" s="4"/>
      <c r="V1710" s="4"/>
      <c r="W1710" s="89"/>
      <c r="X1710" s="4"/>
      <c r="Y1710" s="1186"/>
      <c r="Z1710" s="1192"/>
      <c r="AA1710" s="1187"/>
    </row>
    <row r="1711" spans="1:27" s="1185" customFormat="1">
      <c r="A1711" s="1186"/>
      <c r="B1711" s="1598" t="s">
        <v>1882</v>
      </c>
      <c r="C1711" s="1496"/>
      <c r="D1711" s="1514">
        <v>4</v>
      </c>
      <c r="E1711" s="1596">
        <v>8.5561933856502251E-2</v>
      </c>
      <c r="G1711" s="906"/>
      <c r="H1711" s="907"/>
      <c r="I1711" s="908"/>
      <c r="J1711" s="909"/>
      <c r="K1711" s="4"/>
      <c r="L1711" s="4"/>
      <c r="M1711" s="4"/>
      <c r="N1711" s="4"/>
      <c r="O1711" s="4"/>
      <c r="P1711" s="4"/>
      <c r="Q1711" s="4"/>
      <c r="R1711" s="4"/>
      <c r="S1711" s="4"/>
      <c r="T1711" s="4"/>
      <c r="U1711" s="4"/>
      <c r="V1711" s="4"/>
      <c r="W1711" s="89"/>
      <c r="X1711" s="4"/>
      <c r="Y1711" s="1186"/>
      <c r="Z1711" s="1192"/>
      <c r="AA1711" s="1187"/>
    </row>
    <row r="1712" spans="1:27" s="1185" customFormat="1">
      <c r="A1712" s="1186"/>
      <c r="B1712" s="1598" t="s">
        <v>1883</v>
      </c>
      <c r="C1712" s="1916" t="s">
        <v>1099</v>
      </c>
      <c r="D1712" s="1514">
        <v>8</v>
      </c>
      <c r="E1712" s="1596">
        <v>0.1711238677130045</v>
      </c>
      <c r="G1712" s="906"/>
      <c r="H1712" s="907"/>
      <c r="I1712" s="908"/>
      <c r="J1712" s="909"/>
      <c r="K1712" s="4"/>
      <c r="L1712" s="4"/>
      <c r="M1712" s="4"/>
      <c r="N1712" s="4"/>
      <c r="O1712" s="4"/>
      <c r="P1712" s="4"/>
      <c r="Q1712" s="4"/>
      <c r="R1712" s="4"/>
      <c r="S1712" s="4"/>
      <c r="T1712" s="4"/>
      <c r="U1712" s="4"/>
      <c r="V1712" s="4"/>
      <c r="W1712" s="89"/>
      <c r="X1712" s="4"/>
      <c r="Y1712" s="1186"/>
      <c r="Z1712" s="1192"/>
      <c r="AA1712" s="1187"/>
    </row>
    <row r="1713" spans="1:27" s="1185" customFormat="1">
      <c r="A1713" s="1186"/>
      <c r="B1713" s="1598" t="s">
        <v>1884</v>
      </c>
      <c r="C1713" s="1917"/>
      <c r="D1713" s="1514">
        <v>16</v>
      </c>
      <c r="E1713" s="1596">
        <v>0.342247735426009</v>
      </c>
      <c r="G1713" s="906"/>
      <c r="H1713" s="907"/>
      <c r="I1713" s="908"/>
      <c r="J1713" s="909"/>
      <c r="K1713" s="4"/>
      <c r="L1713" s="4"/>
      <c r="M1713" s="4"/>
      <c r="N1713" s="4"/>
      <c r="O1713" s="4"/>
      <c r="P1713" s="4"/>
      <c r="Q1713" s="4"/>
      <c r="R1713" s="4"/>
      <c r="S1713" s="4"/>
      <c r="T1713" s="4"/>
      <c r="U1713" s="4"/>
      <c r="V1713" s="4"/>
      <c r="W1713" s="89"/>
      <c r="X1713" s="4"/>
      <c r="Y1713" s="1186"/>
      <c r="Z1713" s="1192"/>
      <c r="AA1713" s="1187"/>
    </row>
    <row r="1714" spans="1:27" s="1185" customFormat="1">
      <c r="A1714" s="1186"/>
      <c r="B1714" s="1598" t="s">
        <v>1885</v>
      </c>
      <c r="C1714" s="1917"/>
      <c r="D1714" s="1514">
        <v>24</v>
      </c>
      <c r="E1714" s="1596">
        <v>0.51337160313901353</v>
      </c>
      <c r="G1714" s="906"/>
      <c r="H1714" s="907"/>
      <c r="I1714" s="908"/>
      <c r="J1714" s="909"/>
      <c r="K1714" s="4"/>
      <c r="L1714" s="4"/>
      <c r="M1714" s="4"/>
      <c r="N1714" s="4"/>
      <c r="O1714" s="4"/>
      <c r="P1714" s="4"/>
      <c r="Q1714" s="4"/>
      <c r="R1714" s="4"/>
      <c r="S1714" s="4"/>
      <c r="T1714" s="4"/>
      <c r="U1714" s="4"/>
      <c r="V1714" s="4"/>
      <c r="W1714" s="89"/>
      <c r="X1714" s="4"/>
      <c r="Y1714" s="1186"/>
      <c r="Z1714" s="1192"/>
      <c r="AA1714" s="1187"/>
    </row>
    <row r="1715" spans="1:27" s="1185" customFormat="1">
      <c r="A1715" s="1186"/>
      <c r="B1715" s="1598" t="s">
        <v>1126</v>
      </c>
      <c r="C1715" s="1917"/>
      <c r="D1715" s="1514">
        <v>32</v>
      </c>
      <c r="E1715" s="1596">
        <v>0.68449547085201801</v>
      </c>
      <c r="G1715" s="906"/>
      <c r="H1715" s="907"/>
      <c r="I1715" s="908"/>
      <c r="J1715" s="909"/>
      <c r="K1715" s="4"/>
      <c r="L1715" s="4"/>
      <c r="M1715" s="4"/>
      <c r="N1715" s="4"/>
      <c r="O1715" s="4"/>
      <c r="P1715" s="4"/>
      <c r="Q1715" s="4"/>
      <c r="R1715" s="4"/>
      <c r="S1715" s="4"/>
      <c r="T1715" s="4"/>
      <c r="U1715" s="4"/>
      <c r="V1715" s="4"/>
      <c r="W1715" s="89"/>
      <c r="X1715" s="4"/>
      <c r="Y1715" s="1186"/>
      <c r="Z1715" s="1192"/>
      <c r="AA1715" s="1187"/>
    </row>
    <row r="1716" spans="1:27" s="1185" customFormat="1">
      <c r="A1716" s="1186"/>
      <c r="B1716" s="1598" t="s">
        <v>1886</v>
      </c>
      <c r="C1716" s="1917"/>
      <c r="D1716" s="1514">
        <v>48</v>
      </c>
      <c r="E1716" s="1596">
        <v>1.0267432062780271</v>
      </c>
      <c r="G1716" s="906"/>
      <c r="H1716" s="907"/>
      <c r="I1716" s="908"/>
      <c r="J1716" s="909"/>
      <c r="K1716" s="4"/>
      <c r="L1716" s="4"/>
      <c r="M1716" s="4"/>
      <c r="N1716" s="4"/>
      <c r="O1716" s="4"/>
      <c r="P1716" s="4"/>
      <c r="Q1716" s="4"/>
      <c r="R1716" s="4"/>
      <c r="S1716" s="4"/>
      <c r="T1716" s="4"/>
      <c r="U1716" s="4"/>
      <c r="V1716" s="4"/>
      <c r="W1716" s="89"/>
      <c r="X1716" s="4"/>
      <c r="Y1716" s="1186"/>
      <c r="Z1716" s="1192"/>
      <c r="AA1716" s="1187"/>
    </row>
    <row r="1717" spans="1:27" s="1185" customFormat="1">
      <c r="A1717" s="1186"/>
      <c r="B1717" s="1598" t="s">
        <v>1127</v>
      </c>
      <c r="C1717" s="1918"/>
      <c r="D1717" s="1514">
        <v>64</v>
      </c>
      <c r="E1717" s="1596">
        <v>1.368990941704036</v>
      </c>
      <c r="G1717" s="906"/>
      <c r="H1717" s="907"/>
      <c r="I1717" s="908"/>
      <c r="J1717" s="909"/>
      <c r="K1717" s="4"/>
      <c r="L1717" s="4"/>
      <c r="M1717" s="4"/>
      <c r="N1717" s="4"/>
      <c r="O1717" s="4"/>
      <c r="P1717" s="4"/>
      <c r="Q1717" s="4"/>
      <c r="R1717" s="4"/>
      <c r="S1717" s="4"/>
      <c r="T1717" s="4"/>
      <c r="U1717" s="4"/>
      <c r="V1717" s="4"/>
      <c r="W1717" s="89"/>
      <c r="X1717" s="4"/>
      <c r="Y1717" s="1186"/>
      <c r="Z1717" s="1192"/>
      <c r="AA1717" s="1187"/>
    </row>
    <row r="1718" spans="1:27" s="1185" customFormat="1">
      <c r="A1718" s="1186"/>
      <c r="B1718" s="1598" t="s">
        <v>1887</v>
      </c>
      <c r="C1718" s="1496"/>
      <c r="D1718" s="1514">
        <v>96</v>
      </c>
      <c r="E1718" s="1596">
        <v>2.0534864125560541</v>
      </c>
      <c r="G1718" s="906"/>
      <c r="H1718" s="907"/>
      <c r="I1718" s="908"/>
      <c r="J1718" s="909"/>
      <c r="K1718" s="4"/>
      <c r="L1718" s="4"/>
      <c r="M1718" s="4"/>
      <c r="N1718" s="4"/>
      <c r="O1718" s="4"/>
      <c r="P1718" s="4"/>
      <c r="Q1718" s="4"/>
      <c r="R1718" s="4"/>
      <c r="S1718" s="4"/>
      <c r="T1718" s="4"/>
      <c r="U1718" s="4"/>
      <c r="V1718" s="4"/>
      <c r="W1718" s="89"/>
      <c r="X1718" s="4"/>
      <c r="Y1718" s="1186"/>
      <c r="Z1718" s="1192"/>
      <c r="AA1718" s="1187"/>
    </row>
    <row r="1719" spans="1:27" s="1185" customFormat="1">
      <c r="A1719" s="1186"/>
      <c r="B1719" s="1598" t="s">
        <v>1128</v>
      </c>
      <c r="C1719" s="1496"/>
      <c r="D1719" s="1514">
        <v>128</v>
      </c>
      <c r="E1719" s="1596">
        <v>2.737981883408072</v>
      </c>
      <c r="G1719" s="906"/>
      <c r="H1719" s="907"/>
      <c r="I1719" s="908"/>
      <c r="J1719" s="909"/>
      <c r="K1719" s="4"/>
      <c r="L1719" s="4"/>
      <c r="M1719" s="4"/>
      <c r="N1719" s="4"/>
      <c r="O1719" s="4"/>
      <c r="P1719" s="4"/>
      <c r="Q1719" s="4"/>
      <c r="R1719" s="4"/>
      <c r="S1719" s="4"/>
      <c r="T1719" s="4"/>
      <c r="U1719" s="4"/>
      <c r="V1719" s="4"/>
      <c r="W1719" s="89"/>
      <c r="X1719" s="4"/>
      <c r="Y1719" s="1186"/>
      <c r="Z1719" s="1192"/>
      <c r="AA1719" s="1187"/>
    </row>
    <row r="1720" spans="1:27" s="1185" customFormat="1">
      <c r="A1720" s="1186"/>
      <c r="B1720" s="1598" t="s">
        <v>1888</v>
      </c>
      <c r="C1720" s="1496"/>
      <c r="D1720" s="1514">
        <v>192</v>
      </c>
      <c r="E1720" s="1596">
        <v>4.1069728251121083</v>
      </c>
      <c r="G1720" s="906"/>
      <c r="H1720" s="907"/>
      <c r="I1720" s="908"/>
      <c r="J1720" s="909"/>
      <c r="K1720" s="4"/>
      <c r="L1720" s="4"/>
      <c r="M1720" s="4"/>
      <c r="N1720" s="4"/>
      <c r="O1720" s="4"/>
      <c r="P1720" s="4"/>
      <c r="Q1720" s="4"/>
      <c r="R1720" s="4"/>
      <c r="S1720" s="4"/>
      <c r="T1720" s="4"/>
      <c r="U1720" s="4"/>
      <c r="V1720" s="4"/>
      <c r="W1720" s="89"/>
      <c r="X1720" s="4"/>
      <c r="Y1720" s="1186"/>
      <c r="Z1720" s="1192"/>
      <c r="AA1720" s="1187"/>
    </row>
    <row r="1721" spans="1:27" s="1185" customFormat="1">
      <c r="A1721" s="1186"/>
      <c r="B1721" s="1598" t="s">
        <v>1129</v>
      </c>
      <c r="C1721" s="1496"/>
      <c r="D1721" s="1514">
        <v>256</v>
      </c>
      <c r="E1721" s="1596">
        <v>5.4759637668161441</v>
      </c>
      <c r="G1721" s="906"/>
      <c r="H1721" s="907"/>
      <c r="I1721" s="908"/>
      <c r="J1721" s="909"/>
      <c r="K1721" s="4"/>
      <c r="L1721" s="4"/>
      <c r="M1721" s="4"/>
      <c r="N1721" s="4"/>
      <c r="O1721" s="4"/>
      <c r="P1721" s="4"/>
      <c r="Q1721" s="4"/>
      <c r="R1721" s="4"/>
      <c r="S1721" s="4"/>
      <c r="T1721" s="4"/>
      <c r="U1721" s="4"/>
      <c r="V1721" s="4"/>
      <c r="W1721" s="89"/>
      <c r="X1721" s="4"/>
      <c r="Y1721" s="1186"/>
      <c r="Z1721" s="1192"/>
      <c r="AA1721" s="1187"/>
    </row>
    <row r="1722" spans="1:27" s="1185" customFormat="1">
      <c r="A1722" s="1186"/>
      <c r="B1722" s="1598" t="s">
        <v>1889</v>
      </c>
      <c r="C1722" s="1496"/>
      <c r="D1722" s="1514">
        <v>384</v>
      </c>
      <c r="E1722" s="1596">
        <v>8.2139456502242165</v>
      </c>
      <c r="G1722" s="906"/>
      <c r="H1722" s="907"/>
      <c r="I1722" s="908"/>
      <c r="J1722" s="909"/>
      <c r="K1722" s="4"/>
      <c r="L1722" s="4"/>
      <c r="M1722" s="4"/>
      <c r="N1722" s="4"/>
      <c r="O1722" s="4"/>
      <c r="P1722" s="4"/>
      <c r="Q1722" s="4"/>
      <c r="R1722" s="4"/>
      <c r="S1722" s="4"/>
      <c r="T1722" s="4"/>
      <c r="U1722" s="4"/>
      <c r="V1722" s="4"/>
      <c r="W1722" s="89"/>
      <c r="X1722" s="4"/>
      <c r="Y1722" s="1186"/>
      <c r="Z1722" s="1192"/>
      <c r="AA1722" s="1187"/>
    </row>
    <row r="1723" spans="1:27" s="1185" customFormat="1">
      <c r="A1723" s="1186"/>
      <c r="B1723" s="1598" t="s">
        <v>1130</v>
      </c>
      <c r="C1723" s="1496"/>
      <c r="D1723" s="1514">
        <v>512</v>
      </c>
      <c r="E1723" s="1596">
        <v>10.951927533632288</v>
      </c>
      <c r="G1723" s="906"/>
      <c r="H1723" s="907"/>
      <c r="I1723" s="908"/>
      <c r="J1723" s="909"/>
      <c r="K1723" s="4"/>
      <c r="L1723" s="4"/>
      <c r="M1723" s="4"/>
      <c r="N1723" s="4"/>
      <c r="O1723" s="4"/>
      <c r="P1723" s="4"/>
      <c r="Q1723" s="4"/>
      <c r="R1723" s="4"/>
      <c r="S1723" s="4"/>
      <c r="T1723" s="4"/>
      <c r="U1723" s="4"/>
      <c r="V1723" s="4"/>
      <c r="W1723" s="89"/>
      <c r="X1723" s="4"/>
      <c r="Y1723" s="1186"/>
      <c r="Z1723" s="1192"/>
      <c r="AA1723" s="1187"/>
    </row>
    <row r="1724" spans="1:27" s="1185" customFormat="1">
      <c r="A1724" s="1186"/>
      <c r="B1724" s="1598" t="s">
        <v>1890</v>
      </c>
      <c r="C1724" s="1496"/>
      <c r="D1724" s="1514">
        <v>768</v>
      </c>
      <c r="E1724" s="1596">
        <v>16.427891300448433</v>
      </c>
      <c r="G1724" s="906"/>
      <c r="H1724" s="907"/>
      <c r="I1724" s="908"/>
      <c r="J1724" s="909"/>
      <c r="K1724" s="4"/>
      <c r="L1724" s="4"/>
      <c r="M1724" s="4"/>
      <c r="N1724" s="4"/>
      <c r="O1724" s="4"/>
      <c r="P1724" s="4"/>
      <c r="Q1724" s="4"/>
      <c r="R1724" s="4"/>
      <c r="S1724" s="4"/>
      <c r="T1724" s="4"/>
      <c r="U1724" s="4"/>
      <c r="V1724" s="4"/>
      <c r="W1724" s="89"/>
      <c r="X1724" s="4"/>
      <c r="Y1724" s="1186"/>
      <c r="Z1724" s="1192"/>
      <c r="AA1724" s="1187"/>
    </row>
    <row r="1725" spans="1:27" s="1185" customFormat="1">
      <c r="A1725" s="1186"/>
      <c r="B1725" s="1598" t="s">
        <v>1131</v>
      </c>
      <c r="C1725" s="1496"/>
      <c r="D1725" s="1514">
        <v>1024</v>
      </c>
      <c r="E1725" s="1596">
        <v>21.903855067264576</v>
      </c>
      <c r="G1725" s="906"/>
      <c r="H1725" s="907"/>
      <c r="I1725" s="908"/>
      <c r="J1725" s="909"/>
      <c r="K1725" s="4"/>
      <c r="L1725" s="4"/>
      <c r="M1725" s="4"/>
      <c r="N1725" s="4"/>
      <c r="O1725" s="4"/>
      <c r="P1725" s="4"/>
      <c r="Q1725" s="4"/>
      <c r="R1725" s="4"/>
      <c r="S1725" s="4"/>
      <c r="T1725" s="4"/>
      <c r="U1725" s="4"/>
      <c r="V1725" s="4"/>
      <c r="W1725" s="89"/>
      <c r="X1725" s="4"/>
      <c r="Y1725" s="1186"/>
      <c r="Z1725" s="1192"/>
      <c r="AA1725" s="1187"/>
    </row>
    <row r="1726" spans="1:27" s="1185" customFormat="1">
      <c r="A1726" s="1186"/>
      <c r="B1726" s="1971" t="s">
        <v>1891</v>
      </c>
      <c r="C1726" s="1924"/>
      <c r="D1726" s="1924"/>
      <c r="E1726" s="1925"/>
      <c r="G1726" s="906"/>
      <c r="H1726" s="907"/>
      <c r="I1726" s="908"/>
      <c r="J1726" s="909"/>
      <c r="K1726" s="4"/>
      <c r="L1726" s="4"/>
      <c r="M1726" s="4"/>
      <c r="N1726" s="4"/>
      <c r="O1726" s="4"/>
      <c r="P1726" s="4"/>
      <c r="Q1726" s="4"/>
      <c r="R1726" s="4"/>
      <c r="S1726" s="4"/>
      <c r="T1726" s="4"/>
      <c r="U1726" s="4"/>
      <c r="V1726" s="4"/>
      <c r="W1726" s="89"/>
      <c r="X1726" s="4"/>
      <c r="Y1726" s="1186"/>
      <c r="Z1726" s="1192"/>
      <c r="AA1726" s="1187"/>
    </row>
    <row r="1727" spans="1:27" s="1185" customFormat="1">
      <c r="A1727" s="1186"/>
      <c r="B1727" s="1598" t="s">
        <v>1892</v>
      </c>
      <c r="C1727" s="1496"/>
      <c r="D1727" s="1514">
        <v>4</v>
      </c>
      <c r="E1727" s="1596">
        <v>0.1711238677130045</v>
      </c>
      <c r="G1727" s="906"/>
      <c r="H1727" s="907"/>
      <c r="I1727" s="908"/>
      <c r="J1727" s="909"/>
      <c r="K1727" s="4"/>
      <c r="L1727" s="4"/>
      <c r="M1727" s="4"/>
      <c r="N1727" s="4"/>
      <c r="O1727" s="4"/>
      <c r="P1727" s="4"/>
      <c r="Q1727" s="4"/>
      <c r="R1727" s="4"/>
      <c r="S1727" s="4"/>
      <c r="T1727" s="4"/>
      <c r="U1727" s="4"/>
      <c r="V1727" s="4"/>
      <c r="W1727" s="89"/>
      <c r="X1727" s="4"/>
      <c r="Y1727" s="1186"/>
      <c r="Z1727" s="1192"/>
      <c r="AA1727" s="1187"/>
    </row>
    <row r="1728" spans="1:27" s="1185" customFormat="1">
      <c r="A1728" s="1186"/>
      <c r="B1728" s="1598" t="s">
        <v>1893</v>
      </c>
      <c r="C1728" s="1916" t="s">
        <v>1099</v>
      </c>
      <c r="D1728" s="1514">
        <v>8</v>
      </c>
      <c r="E1728" s="1596">
        <v>0.342247735426009</v>
      </c>
      <c r="G1728" s="906"/>
      <c r="H1728" s="907"/>
      <c r="I1728" s="908"/>
      <c r="J1728" s="909"/>
      <c r="K1728" s="4"/>
      <c r="L1728" s="4"/>
      <c r="M1728" s="4"/>
      <c r="N1728" s="4"/>
      <c r="O1728" s="4"/>
      <c r="P1728" s="4"/>
      <c r="Q1728" s="4"/>
      <c r="R1728" s="4"/>
      <c r="S1728" s="4"/>
      <c r="T1728" s="4"/>
      <c r="U1728" s="4"/>
      <c r="V1728" s="4"/>
      <c r="W1728" s="89"/>
      <c r="X1728" s="4"/>
      <c r="Y1728" s="1186"/>
      <c r="Z1728" s="1192"/>
      <c r="AA1728" s="1187"/>
    </row>
    <row r="1729" spans="1:27" s="1185" customFormat="1">
      <c r="A1729" s="1186"/>
      <c r="B1729" s="1598" t="s">
        <v>1894</v>
      </c>
      <c r="C1729" s="1917"/>
      <c r="D1729" s="1514">
        <v>16</v>
      </c>
      <c r="E1729" s="1596">
        <v>0.68449547085201801</v>
      </c>
      <c r="G1729" s="906"/>
      <c r="H1729" s="907"/>
      <c r="I1729" s="908"/>
      <c r="J1729" s="909"/>
      <c r="K1729" s="4"/>
      <c r="L1729" s="4"/>
      <c r="M1729" s="4"/>
      <c r="N1729" s="4"/>
      <c r="O1729" s="4"/>
      <c r="P1729" s="4"/>
      <c r="Q1729" s="4"/>
      <c r="R1729" s="4"/>
      <c r="S1729" s="4"/>
      <c r="T1729" s="4"/>
      <c r="U1729" s="4"/>
      <c r="V1729" s="4"/>
      <c r="W1729" s="89"/>
      <c r="X1729" s="4"/>
      <c r="Y1729" s="1186"/>
      <c r="Z1729" s="1192"/>
      <c r="AA1729" s="1187"/>
    </row>
    <row r="1730" spans="1:27" s="1185" customFormat="1">
      <c r="A1730" s="1186"/>
      <c r="B1730" s="1598" t="s">
        <v>1895</v>
      </c>
      <c r="C1730" s="1917"/>
      <c r="D1730" s="1514">
        <v>24</v>
      </c>
      <c r="E1730" s="1596">
        <v>1.0267432062780271</v>
      </c>
      <c r="G1730" s="906"/>
      <c r="H1730" s="907"/>
      <c r="I1730" s="908"/>
      <c r="J1730" s="909"/>
      <c r="K1730" s="4"/>
      <c r="L1730" s="4"/>
      <c r="M1730" s="4"/>
      <c r="N1730" s="4"/>
      <c r="O1730" s="4"/>
      <c r="P1730" s="4"/>
      <c r="Q1730" s="4"/>
      <c r="R1730" s="4"/>
      <c r="S1730" s="4"/>
      <c r="T1730" s="4"/>
      <c r="U1730" s="4"/>
      <c r="V1730" s="4"/>
      <c r="W1730" s="89"/>
      <c r="X1730" s="4"/>
      <c r="Y1730" s="1186"/>
      <c r="Z1730" s="1192"/>
      <c r="AA1730" s="1187"/>
    </row>
    <row r="1731" spans="1:27" s="1185" customFormat="1">
      <c r="A1731" s="1186"/>
      <c r="B1731" s="1598" t="s">
        <v>1120</v>
      </c>
      <c r="C1731" s="1917"/>
      <c r="D1731" s="1514">
        <v>32</v>
      </c>
      <c r="E1731" s="1596">
        <v>1.368990941704036</v>
      </c>
      <c r="G1731" s="906"/>
      <c r="H1731" s="907"/>
      <c r="I1731" s="908"/>
      <c r="J1731" s="909"/>
      <c r="K1731" s="4"/>
      <c r="L1731" s="4"/>
      <c r="M1731" s="4"/>
      <c r="N1731" s="4"/>
      <c r="O1731" s="4"/>
      <c r="P1731" s="4"/>
      <c r="Q1731" s="4"/>
      <c r="R1731" s="4"/>
      <c r="S1731" s="4"/>
      <c r="T1731" s="4"/>
      <c r="U1731" s="4"/>
      <c r="V1731" s="4"/>
      <c r="W1731" s="89"/>
      <c r="X1731" s="4"/>
      <c r="Y1731" s="1186"/>
      <c r="Z1731" s="1192"/>
      <c r="AA1731" s="1187"/>
    </row>
    <row r="1732" spans="1:27" s="1185" customFormat="1">
      <c r="A1732" s="1186"/>
      <c r="B1732" s="1598" t="s">
        <v>1896</v>
      </c>
      <c r="C1732" s="1917"/>
      <c r="D1732" s="1514">
        <v>48</v>
      </c>
      <c r="E1732" s="1596">
        <v>2.0534864125560541</v>
      </c>
      <c r="G1732" s="906"/>
      <c r="H1732" s="907"/>
      <c r="I1732" s="908"/>
      <c r="J1732" s="909"/>
      <c r="K1732" s="4"/>
      <c r="L1732" s="4"/>
      <c r="M1732" s="4"/>
      <c r="N1732" s="4"/>
      <c r="O1732" s="4"/>
      <c r="P1732" s="4"/>
      <c r="Q1732" s="4"/>
      <c r="R1732" s="4"/>
      <c r="S1732" s="4"/>
      <c r="T1732" s="4"/>
      <c r="U1732" s="4"/>
      <c r="V1732" s="4"/>
      <c r="W1732" s="89"/>
      <c r="X1732" s="4"/>
      <c r="Y1732" s="1186"/>
      <c r="Z1732" s="1192"/>
      <c r="AA1732" s="1187"/>
    </row>
    <row r="1733" spans="1:27" s="1185" customFormat="1">
      <c r="A1733" s="1186"/>
      <c r="B1733" s="1598" t="s">
        <v>1121</v>
      </c>
      <c r="C1733" s="1918"/>
      <c r="D1733" s="1514">
        <v>64</v>
      </c>
      <c r="E1733" s="1596">
        <v>2.737981883408072</v>
      </c>
      <c r="G1733" s="906"/>
      <c r="H1733" s="907"/>
      <c r="I1733" s="908"/>
      <c r="J1733" s="909"/>
      <c r="K1733" s="4"/>
      <c r="L1733" s="4"/>
      <c r="M1733" s="4"/>
      <c r="N1733" s="4"/>
      <c r="O1733" s="4"/>
      <c r="P1733" s="4"/>
      <c r="Q1733" s="4"/>
      <c r="R1733" s="4"/>
      <c r="S1733" s="4"/>
      <c r="T1733" s="4"/>
      <c r="U1733" s="4"/>
      <c r="V1733" s="4"/>
      <c r="W1733" s="89"/>
      <c r="X1733" s="4"/>
      <c r="Y1733" s="1186"/>
      <c r="Z1733" s="1192"/>
      <c r="AA1733" s="1187"/>
    </row>
    <row r="1734" spans="1:27" s="1185" customFormat="1">
      <c r="A1734" s="1186"/>
      <c r="B1734" s="1598" t="s">
        <v>1897</v>
      </c>
      <c r="C1734" s="1496"/>
      <c r="D1734" s="1514">
        <v>96</v>
      </c>
      <c r="E1734" s="1596">
        <v>4.1069728251121083</v>
      </c>
      <c r="G1734" s="906"/>
      <c r="H1734" s="907"/>
      <c r="I1734" s="908"/>
      <c r="J1734" s="909"/>
      <c r="K1734" s="4"/>
      <c r="L1734" s="4"/>
      <c r="M1734" s="4"/>
      <c r="N1734" s="4"/>
      <c r="O1734" s="4"/>
      <c r="P1734" s="4"/>
      <c r="Q1734" s="4"/>
      <c r="R1734" s="4"/>
      <c r="S1734" s="4"/>
      <c r="T1734" s="4"/>
      <c r="U1734" s="4"/>
      <c r="V1734" s="4"/>
      <c r="W1734" s="89"/>
      <c r="X1734" s="4"/>
      <c r="Y1734" s="1186"/>
      <c r="Z1734" s="1192"/>
      <c r="AA1734" s="1187"/>
    </row>
    <row r="1735" spans="1:27" s="1185" customFormat="1">
      <c r="A1735" s="1186"/>
      <c r="B1735" s="1598" t="s">
        <v>1122</v>
      </c>
      <c r="C1735" s="1496"/>
      <c r="D1735" s="1514">
        <v>128</v>
      </c>
      <c r="E1735" s="1596">
        <v>5.4759637668161441</v>
      </c>
      <c r="G1735" s="906"/>
      <c r="H1735" s="907"/>
      <c r="I1735" s="908"/>
      <c r="J1735" s="909"/>
      <c r="K1735" s="4"/>
      <c r="L1735" s="4"/>
      <c r="M1735" s="4"/>
      <c r="N1735" s="4"/>
      <c r="O1735" s="4"/>
      <c r="P1735" s="4"/>
      <c r="Q1735" s="4"/>
      <c r="R1735" s="4"/>
      <c r="S1735" s="4"/>
      <c r="T1735" s="4"/>
      <c r="U1735" s="4"/>
      <c r="V1735" s="4"/>
      <c r="W1735" s="89"/>
      <c r="X1735" s="4"/>
      <c r="Y1735" s="1186"/>
      <c r="Z1735" s="1192"/>
      <c r="AA1735" s="1187"/>
    </row>
    <row r="1736" spans="1:27" s="1185" customFormat="1">
      <c r="A1736" s="1186"/>
      <c r="B1736" s="1598" t="s">
        <v>1898</v>
      </c>
      <c r="C1736" s="1496"/>
      <c r="D1736" s="1514">
        <v>192</v>
      </c>
      <c r="E1736" s="1596">
        <v>8.2139456502242165</v>
      </c>
      <c r="G1736" s="906"/>
      <c r="H1736" s="907"/>
      <c r="I1736" s="908"/>
      <c r="J1736" s="909"/>
      <c r="K1736" s="4"/>
      <c r="L1736" s="4"/>
      <c r="M1736" s="4"/>
      <c r="N1736" s="4"/>
      <c r="O1736" s="4"/>
      <c r="P1736" s="4"/>
      <c r="Q1736" s="4"/>
      <c r="R1736" s="4"/>
      <c r="S1736" s="4"/>
      <c r="T1736" s="4"/>
      <c r="U1736" s="4"/>
      <c r="V1736" s="4"/>
      <c r="W1736" s="89"/>
      <c r="X1736" s="4"/>
      <c r="Y1736" s="1186"/>
      <c r="Z1736" s="1192"/>
      <c r="AA1736" s="1187"/>
    </row>
    <row r="1737" spans="1:27" s="1185" customFormat="1">
      <c r="A1737" s="1186"/>
      <c r="B1737" s="1598" t="s">
        <v>1123</v>
      </c>
      <c r="C1737" s="1496"/>
      <c r="D1737" s="1514">
        <v>256</v>
      </c>
      <c r="E1737" s="1596">
        <v>10.951927533632288</v>
      </c>
      <c r="G1737" s="906"/>
      <c r="H1737" s="907"/>
      <c r="I1737" s="908"/>
      <c r="J1737" s="909"/>
      <c r="K1737" s="4"/>
      <c r="L1737" s="4"/>
      <c r="M1737" s="4"/>
      <c r="N1737" s="4"/>
      <c r="O1737" s="4"/>
      <c r="P1737" s="4"/>
      <c r="Q1737" s="4"/>
      <c r="R1737" s="4"/>
      <c r="S1737" s="4"/>
      <c r="T1737" s="4"/>
      <c r="U1737" s="4"/>
      <c r="V1737" s="4"/>
      <c r="W1737" s="89"/>
      <c r="X1737" s="4"/>
      <c r="Y1737" s="1186"/>
      <c r="Z1737" s="1192"/>
      <c r="AA1737" s="1187"/>
    </row>
    <row r="1738" spans="1:27" s="1185" customFormat="1">
      <c r="A1738" s="1186"/>
      <c r="B1738" s="1598" t="s">
        <v>1899</v>
      </c>
      <c r="C1738" s="1496"/>
      <c r="D1738" s="1514">
        <v>384</v>
      </c>
      <c r="E1738" s="1596">
        <v>16.427891300448433</v>
      </c>
      <c r="G1738" s="906"/>
      <c r="H1738" s="907"/>
      <c r="I1738" s="908"/>
      <c r="J1738" s="909"/>
      <c r="K1738" s="4"/>
      <c r="L1738" s="4"/>
      <c r="M1738" s="4"/>
      <c r="N1738" s="4"/>
      <c r="O1738" s="4"/>
      <c r="P1738" s="4"/>
      <c r="Q1738" s="4"/>
      <c r="R1738" s="4"/>
      <c r="S1738" s="4"/>
      <c r="T1738" s="4"/>
      <c r="U1738" s="4"/>
      <c r="V1738" s="4"/>
      <c r="W1738" s="89"/>
      <c r="X1738" s="4"/>
      <c r="Y1738" s="1186"/>
      <c r="Z1738" s="1192"/>
      <c r="AA1738" s="1187"/>
    </row>
    <row r="1739" spans="1:27" s="1185" customFormat="1">
      <c r="A1739" s="1186"/>
      <c r="B1739" s="1598" t="s">
        <v>1124</v>
      </c>
      <c r="C1739" s="1496"/>
      <c r="D1739" s="1514">
        <v>512</v>
      </c>
      <c r="E1739" s="1596">
        <v>21.903855067264576</v>
      </c>
      <c r="G1739" s="906"/>
      <c r="H1739" s="907"/>
      <c r="I1739" s="908"/>
      <c r="J1739" s="909"/>
      <c r="K1739" s="4"/>
      <c r="L1739" s="4"/>
      <c r="M1739" s="4"/>
      <c r="N1739" s="4"/>
      <c r="O1739" s="4"/>
      <c r="P1739" s="4"/>
      <c r="Q1739" s="4"/>
      <c r="R1739" s="4"/>
      <c r="S1739" s="4"/>
      <c r="T1739" s="4"/>
      <c r="U1739" s="4"/>
      <c r="V1739" s="4"/>
      <c r="W1739" s="89"/>
      <c r="X1739" s="4"/>
      <c r="Y1739" s="1186"/>
      <c r="Z1739" s="1192"/>
      <c r="AA1739" s="1187"/>
    </row>
    <row r="1740" spans="1:27" s="1185" customFormat="1">
      <c r="A1740" s="1186"/>
      <c r="B1740" s="1598" t="s">
        <v>1900</v>
      </c>
      <c r="C1740" s="1496"/>
      <c r="D1740" s="1514">
        <v>768</v>
      </c>
      <c r="E1740" s="1596">
        <v>32.855782600896866</v>
      </c>
      <c r="G1740" s="906"/>
      <c r="H1740" s="907"/>
      <c r="I1740" s="908"/>
      <c r="J1740" s="909"/>
      <c r="K1740" s="4"/>
      <c r="L1740" s="4"/>
      <c r="M1740" s="4"/>
      <c r="N1740" s="4"/>
      <c r="O1740" s="4"/>
      <c r="P1740" s="4"/>
      <c r="Q1740" s="4"/>
      <c r="R1740" s="4"/>
      <c r="S1740" s="4"/>
      <c r="T1740" s="4"/>
      <c r="U1740" s="4"/>
      <c r="V1740" s="4"/>
      <c r="W1740" s="89"/>
      <c r="X1740" s="4"/>
      <c r="Y1740" s="1186"/>
      <c r="Z1740" s="1192"/>
      <c r="AA1740" s="1187"/>
    </row>
    <row r="1741" spans="1:27" s="1185" customFormat="1">
      <c r="A1741" s="1186"/>
      <c r="B1741" s="1598" t="s">
        <v>1125</v>
      </c>
      <c r="C1741" s="1496"/>
      <c r="D1741" s="1514">
        <v>1024</v>
      </c>
      <c r="E1741" s="1596">
        <v>43.807710134529152</v>
      </c>
      <c r="G1741" s="906"/>
      <c r="H1741" s="907"/>
      <c r="I1741" s="908"/>
      <c r="J1741" s="909"/>
      <c r="K1741" s="4"/>
      <c r="L1741" s="4"/>
      <c r="M1741" s="4"/>
      <c r="N1741" s="4"/>
      <c r="O1741" s="4"/>
      <c r="P1741" s="4"/>
      <c r="Q1741" s="4"/>
      <c r="R1741" s="4"/>
      <c r="S1741" s="4"/>
      <c r="T1741" s="4"/>
      <c r="U1741" s="4"/>
      <c r="V1741" s="4"/>
      <c r="W1741" s="89"/>
      <c r="X1741" s="4"/>
      <c r="Y1741" s="1186"/>
      <c r="Z1741" s="1192"/>
      <c r="AA1741" s="1187"/>
    </row>
    <row r="1742" spans="1:27" s="1185" customFormat="1">
      <c r="A1742" s="1186"/>
      <c r="B1742" s="1971" t="s">
        <v>1901</v>
      </c>
      <c r="C1742" s="1924"/>
      <c r="D1742" s="1924"/>
      <c r="E1742" s="1925"/>
      <c r="G1742" s="906"/>
      <c r="H1742" s="907"/>
      <c r="I1742" s="908"/>
      <c r="J1742" s="909"/>
      <c r="K1742" s="4"/>
      <c r="L1742" s="4"/>
      <c r="M1742" s="4"/>
      <c r="N1742" s="4"/>
      <c r="O1742" s="4"/>
      <c r="P1742" s="4"/>
      <c r="Q1742" s="4"/>
      <c r="R1742" s="4"/>
      <c r="S1742" s="4"/>
      <c r="T1742" s="4"/>
      <c r="U1742" s="4"/>
      <c r="V1742" s="4"/>
      <c r="W1742" s="89"/>
      <c r="X1742" s="4"/>
      <c r="Y1742" s="1186"/>
      <c r="Z1742" s="1192"/>
      <c r="AA1742" s="1187"/>
    </row>
    <row r="1743" spans="1:27" s="1185" customFormat="1">
      <c r="A1743" s="1186"/>
      <c r="B1743" s="1598" t="s">
        <v>1902</v>
      </c>
      <c r="C1743" s="1496"/>
      <c r="D1743" s="1514">
        <v>4</v>
      </c>
      <c r="E1743" s="1596">
        <v>0.342247735426009</v>
      </c>
      <c r="G1743" s="906"/>
      <c r="H1743" s="907"/>
      <c r="I1743" s="908"/>
      <c r="J1743" s="909"/>
      <c r="K1743" s="4"/>
      <c r="L1743" s="4"/>
      <c r="M1743" s="4"/>
      <c r="N1743" s="4"/>
      <c r="O1743" s="4"/>
      <c r="P1743" s="4"/>
      <c r="Q1743" s="4"/>
      <c r="R1743" s="4"/>
      <c r="S1743" s="4"/>
      <c r="T1743" s="4"/>
      <c r="U1743" s="4"/>
      <c r="V1743" s="4"/>
      <c r="W1743" s="89"/>
      <c r="X1743" s="4"/>
      <c r="Y1743" s="1186"/>
      <c r="Z1743" s="1192"/>
      <c r="AA1743" s="1187"/>
    </row>
    <row r="1744" spans="1:27" s="1185" customFormat="1">
      <c r="A1744" s="1186"/>
      <c r="B1744" s="1598" t="s">
        <v>1903</v>
      </c>
      <c r="C1744" s="1496"/>
      <c r="D1744" s="1514">
        <v>8</v>
      </c>
      <c r="E1744" s="1596">
        <v>0.68449547085201801</v>
      </c>
      <c r="G1744" s="906"/>
      <c r="H1744" s="907"/>
      <c r="I1744" s="908"/>
      <c r="J1744" s="909"/>
      <c r="K1744" s="4"/>
      <c r="L1744" s="4"/>
      <c r="M1744" s="4"/>
      <c r="N1744" s="4"/>
      <c r="O1744" s="4"/>
      <c r="P1744" s="4"/>
      <c r="Q1744" s="4"/>
      <c r="R1744" s="4"/>
      <c r="S1744" s="4"/>
      <c r="T1744" s="4"/>
      <c r="U1744" s="4"/>
      <c r="V1744" s="4"/>
      <c r="W1744" s="89"/>
      <c r="X1744" s="4"/>
      <c r="Y1744" s="1186"/>
      <c r="Z1744" s="1192"/>
      <c r="AA1744" s="1187"/>
    </row>
    <row r="1745" spans="1:38" s="1185" customFormat="1">
      <c r="A1745" s="1186"/>
      <c r="B1745" s="1598" t="s">
        <v>1904</v>
      </c>
      <c r="C1745" s="1496"/>
      <c r="D1745" s="1514">
        <v>16</v>
      </c>
      <c r="E1745" s="1596">
        <v>1.368990941704036</v>
      </c>
      <c r="G1745" s="906"/>
      <c r="H1745" s="907"/>
      <c r="I1745" s="908"/>
      <c r="J1745" s="909"/>
      <c r="K1745" s="4"/>
      <c r="L1745" s="4"/>
      <c r="M1745" s="4"/>
      <c r="N1745" s="4"/>
      <c r="O1745" s="4"/>
      <c r="P1745" s="4"/>
      <c r="Q1745" s="4"/>
      <c r="R1745" s="4"/>
      <c r="S1745" s="4"/>
      <c r="T1745" s="4"/>
      <c r="U1745" s="4"/>
      <c r="V1745" s="4"/>
      <c r="W1745" s="89"/>
      <c r="X1745" s="4"/>
      <c r="Y1745" s="1186"/>
      <c r="Z1745" s="1192"/>
      <c r="AA1745" s="1187"/>
    </row>
    <row r="1746" spans="1:38" s="1185" customFormat="1">
      <c r="A1746" s="1186"/>
      <c r="B1746" s="1598" t="s">
        <v>1905</v>
      </c>
      <c r="C1746" s="1496"/>
      <c r="D1746" s="1514">
        <v>24</v>
      </c>
      <c r="E1746" s="1596">
        <v>2.0534864125560541</v>
      </c>
      <c r="G1746" s="906"/>
      <c r="H1746" s="907"/>
      <c r="I1746" s="908"/>
      <c r="J1746" s="909"/>
      <c r="K1746" s="4"/>
      <c r="L1746" s="4"/>
      <c r="M1746" s="4"/>
      <c r="N1746" s="4"/>
      <c r="O1746" s="4"/>
      <c r="P1746" s="4"/>
      <c r="Q1746" s="4"/>
      <c r="R1746" s="4"/>
      <c r="S1746" s="4"/>
      <c r="T1746" s="4"/>
      <c r="U1746" s="4"/>
      <c r="V1746" s="4"/>
      <c r="W1746" s="89"/>
      <c r="X1746" s="4"/>
      <c r="Y1746" s="1186"/>
      <c r="Z1746" s="1192"/>
      <c r="AA1746" s="1187"/>
    </row>
    <row r="1747" spans="1:38" s="1185" customFormat="1">
      <c r="A1747" s="1186"/>
      <c r="B1747" s="1598" t="s">
        <v>1906</v>
      </c>
      <c r="C1747" s="1496"/>
      <c r="D1747" s="1514">
        <v>32</v>
      </c>
      <c r="E1747" s="1596">
        <v>2.737981883408072</v>
      </c>
      <c r="G1747" s="906"/>
      <c r="H1747" s="907"/>
      <c r="I1747" s="908"/>
      <c r="J1747" s="909"/>
      <c r="K1747" s="4"/>
      <c r="L1747" s="4"/>
      <c r="M1747" s="4"/>
      <c r="N1747" s="4"/>
      <c r="O1747" s="4"/>
      <c r="P1747" s="4"/>
      <c r="Q1747" s="4"/>
      <c r="R1747" s="4"/>
      <c r="S1747" s="4"/>
      <c r="T1747" s="4"/>
      <c r="U1747" s="4"/>
      <c r="V1747" s="4"/>
      <c r="W1747" s="89"/>
      <c r="X1747" s="4"/>
      <c r="Y1747" s="1186"/>
      <c r="Z1747" s="1192"/>
      <c r="AA1747" s="1187"/>
    </row>
    <row r="1748" spans="1:38" s="1185" customFormat="1">
      <c r="A1748" s="1186"/>
      <c r="B1748" s="1598" t="s">
        <v>1907</v>
      </c>
      <c r="C1748" s="1496"/>
      <c r="D1748" s="1514">
        <v>48</v>
      </c>
      <c r="E1748" s="1596">
        <v>4.1069728251121083</v>
      </c>
      <c r="G1748" s="906"/>
      <c r="H1748" s="907"/>
      <c r="I1748" s="908"/>
      <c r="J1748" s="909"/>
      <c r="K1748" s="4"/>
      <c r="L1748" s="4"/>
      <c r="M1748" s="4"/>
      <c r="N1748" s="4"/>
      <c r="O1748" s="4"/>
      <c r="P1748" s="4"/>
      <c r="Q1748" s="4"/>
      <c r="R1748" s="4"/>
      <c r="S1748" s="4"/>
      <c r="T1748" s="4"/>
      <c r="U1748" s="4"/>
      <c r="V1748" s="4"/>
      <c r="W1748" s="89"/>
      <c r="X1748" s="4"/>
      <c r="Y1748" s="1186"/>
      <c r="Z1748" s="1192"/>
      <c r="AA1748" s="1187"/>
    </row>
    <row r="1749" spans="1:38" s="1185" customFormat="1">
      <c r="A1749" s="1186"/>
      <c r="B1749" s="1598" t="s">
        <v>1908</v>
      </c>
      <c r="C1749" s="1496"/>
      <c r="D1749" s="1514">
        <v>64</v>
      </c>
      <c r="E1749" s="1596">
        <v>5.4759637668161441</v>
      </c>
      <c r="G1749" s="906"/>
      <c r="H1749" s="907"/>
      <c r="I1749" s="908"/>
      <c r="J1749" s="909"/>
      <c r="K1749" s="4"/>
      <c r="L1749" s="4"/>
      <c r="M1749" s="4"/>
      <c r="N1749" s="4"/>
      <c r="O1749" s="4"/>
      <c r="P1749" s="4"/>
      <c r="Q1749" s="4"/>
      <c r="R1749" s="4"/>
      <c r="S1749" s="4"/>
      <c r="T1749" s="4"/>
      <c r="U1749" s="4"/>
      <c r="V1749" s="4"/>
      <c r="W1749" s="89"/>
      <c r="X1749" s="4"/>
      <c r="Y1749" s="1186"/>
      <c r="Z1749" s="1192"/>
      <c r="AA1749" s="1187"/>
    </row>
    <row r="1750" spans="1:38" s="1185" customFormat="1">
      <c r="A1750" s="1186"/>
      <c r="B1750" s="1598" t="s">
        <v>1909</v>
      </c>
      <c r="C1750" s="1496"/>
      <c r="D1750" s="1514">
        <v>96</v>
      </c>
      <c r="E1750" s="1596">
        <v>8.2139456502242165</v>
      </c>
      <c r="G1750" s="906"/>
      <c r="H1750" s="907"/>
      <c r="I1750" s="908"/>
      <c r="J1750" s="909"/>
      <c r="K1750" s="4"/>
      <c r="L1750" s="4"/>
      <c r="M1750" s="4"/>
      <c r="N1750" s="4"/>
      <c r="O1750" s="4"/>
      <c r="P1750" s="4"/>
      <c r="Q1750" s="4"/>
      <c r="R1750" s="4"/>
      <c r="S1750" s="4"/>
      <c r="T1750" s="4"/>
      <c r="U1750" s="4"/>
      <c r="V1750" s="4"/>
      <c r="W1750" s="89"/>
      <c r="X1750" s="4"/>
      <c r="Y1750" s="1186"/>
      <c r="Z1750" s="1192"/>
      <c r="AA1750" s="1187"/>
    </row>
    <row r="1751" spans="1:38" s="1185" customFormat="1">
      <c r="A1751" s="1186"/>
      <c r="B1751" s="1598" t="s">
        <v>1910</v>
      </c>
      <c r="C1751" s="1496"/>
      <c r="D1751" s="1514">
        <v>128</v>
      </c>
      <c r="E1751" s="1596">
        <v>10.951927533632288</v>
      </c>
      <c r="G1751" s="906"/>
      <c r="H1751" s="907"/>
      <c r="I1751" s="908"/>
      <c r="J1751" s="909"/>
      <c r="K1751" s="4"/>
      <c r="L1751" s="4"/>
      <c r="M1751" s="4"/>
      <c r="N1751" s="4"/>
      <c r="O1751" s="4"/>
      <c r="P1751" s="4"/>
      <c r="Q1751" s="4"/>
      <c r="R1751" s="4"/>
      <c r="S1751" s="4"/>
      <c r="T1751" s="4"/>
      <c r="U1751" s="4"/>
      <c r="V1751" s="4"/>
      <c r="W1751" s="89"/>
      <c r="X1751" s="4"/>
      <c r="Y1751" s="1186"/>
      <c r="Z1751" s="1192"/>
      <c r="AA1751" s="1187"/>
    </row>
    <row r="1752" spans="1:38" s="1185" customFormat="1">
      <c r="A1752" s="1186"/>
      <c r="B1752" s="1598" t="s">
        <v>1911</v>
      </c>
      <c r="C1752" s="1496"/>
      <c r="D1752" s="1514">
        <v>192</v>
      </c>
      <c r="E1752" s="1596">
        <v>16.427891300448433</v>
      </c>
      <c r="G1752" s="906"/>
      <c r="H1752" s="907"/>
      <c r="I1752" s="908"/>
      <c r="J1752" s="909"/>
      <c r="K1752" s="4"/>
      <c r="L1752" s="4"/>
      <c r="M1752" s="4"/>
      <c r="N1752" s="4"/>
      <c r="O1752" s="4"/>
      <c r="P1752" s="4"/>
      <c r="Q1752" s="4"/>
      <c r="R1752" s="4"/>
      <c r="S1752" s="4"/>
      <c r="T1752" s="4"/>
      <c r="U1752" s="4"/>
      <c r="V1752" s="4"/>
      <c r="W1752" s="89"/>
      <c r="X1752" s="4"/>
      <c r="Y1752" s="1186"/>
      <c r="Z1752" s="1192"/>
      <c r="AA1752" s="1187"/>
    </row>
    <row r="1753" spans="1:38" s="1185" customFormat="1">
      <c r="A1753" s="1186"/>
      <c r="B1753" s="1598" t="s">
        <v>1912</v>
      </c>
      <c r="C1753" s="1496"/>
      <c r="D1753" s="1514">
        <v>256</v>
      </c>
      <c r="E1753" s="1596">
        <v>21.903855067264576</v>
      </c>
      <c r="G1753" s="906"/>
      <c r="H1753" s="907"/>
      <c r="I1753" s="908"/>
      <c r="J1753" s="909"/>
      <c r="K1753" s="4"/>
      <c r="L1753" s="4"/>
      <c r="M1753" s="4"/>
      <c r="N1753" s="4"/>
      <c r="O1753" s="4"/>
      <c r="P1753" s="4"/>
      <c r="Q1753" s="4"/>
      <c r="R1753" s="4"/>
      <c r="S1753" s="4"/>
      <c r="T1753" s="4"/>
      <c r="U1753" s="4"/>
      <c r="V1753" s="4"/>
      <c r="W1753" s="89"/>
      <c r="X1753" s="4"/>
      <c r="Y1753" s="1186"/>
      <c r="Z1753" s="1192"/>
      <c r="AA1753" s="1187"/>
    </row>
    <row r="1754" spans="1:38" s="1489" customFormat="1">
      <c r="A1754" s="1491"/>
      <c r="B1754" s="1598" t="s">
        <v>1913</v>
      </c>
      <c r="C1754" s="1496"/>
      <c r="D1754" s="1514">
        <v>384</v>
      </c>
      <c r="E1754" s="1596">
        <v>32.855782600896866</v>
      </c>
      <c r="F1754" s="1185"/>
      <c r="G1754" s="906"/>
      <c r="H1754" s="907"/>
      <c r="I1754" s="908"/>
      <c r="J1754" s="909"/>
      <c r="K1754" s="4"/>
      <c r="L1754" s="4"/>
      <c r="M1754" s="4"/>
      <c r="N1754" s="4"/>
      <c r="O1754" s="4"/>
      <c r="P1754" s="4"/>
      <c r="Q1754" s="4"/>
      <c r="R1754" s="4"/>
      <c r="S1754" s="4"/>
      <c r="T1754" s="4"/>
      <c r="U1754" s="4"/>
      <c r="V1754" s="4"/>
      <c r="W1754" s="89"/>
      <c r="X1754" s="4"/>
      <c r="Y1754" s="1186"/>
      <c r="Z1754" s="1192"/>
      <c r="AA1754" s="1187"/>
      <c r="AB1754" s="1185"/>
      <c r="AC1754" s="1185"/>
      <c r="AD1754" s="1185"/>
      <c r="AE1754" s="1185"/>
      <c r="AF1754" s="1185"/>
      <c r="AG1754" s="1185"/>
      <c r="AH1754" s="1185"/>
      <c r="AI1754" s="1185"/>
      <c r="AJ1754" s="1185"/>
      <c r="AK1754" s="1185"/>
      <c r="AL1754" s="1185"/>
    </row>
    <row r="1755" spans="1:38" s="1489" customFormat="1">
      <c r="A1755" s="1491"/>
      <c r="B1755" s="1598" t="s">
        <v>1914</v>
      </c>
      <c r="C1755" s="1496"/>
      <c r="D1755" s="1514">
        <v>512</v>
      </c>
      <c r="E1755" s="1596">
        <v>43.807710134529152</v>
      </c>
      <c r="F1755" s="1185"/>
      <c r="G1755" s="906"/>
      <c r="H1755" s="907"/>
      <c r="I1755" s="908"/>
      <c r="J1755" s="909"/>
      <c r="K1755" s="4"/>
      <c r="L1755" s="4"/>
      <c r="M1755" s="4"/>
      <c r="N1755" s="4"/>
      <c r="O1755" s="4"/>
      <c r="P1755" s="4"/>
      <c r="Q1755" s="4"/>
      <c r="R1755" s="4"/>
      <c r="S1755" s="4"/>
      <c r="T1755" s="4"/>
      <c r="U1755" s="4"/>
      <c r="V1755" s="4"/>
      <c r="W1755" s="89"/>
      <c r="X1755" s="4"/>
      <c r="Y1755" s="1186"/>
      <c r="Z1755" s="1192"/>
      <c r="AA1755" s="1187"/>
      <c r="AB1755" s="1185"/>
      <c r="AC1755" s="1185"/>
      <c r="AD1755" s="1185"/>
      <c r="AE1755" s="1185"/>
      <c r="AF1755" s="1185"/>
      <c r="AG1755" s="1185"/>
      <c r="AH1755" s="1185"/>
      <c r="AI1755" s="1185"/>
      <c r="AJ1755" s="1185"/>
      <c r="AK1755" s="1185"/>
      <c r="AL1755" s="1185"/>
    </row>
    <row r="1756" spans="1:38" s="1489" customFormat="1">
      <c r="A1756" s="1491"/>
      <c r="B1756" s="1598" t="s">
        <v>1915</v>
      </c>
      <c r="C1756" s="1496"/>
      <c r="D1756" s="1514">
        <v>768</v>
      </c>
      <c r="E1756" s="1596">
        <v>65.711565201793732</v>
      </c>
      <c r="F1756" s="1185"/>
      <c r="G1756" s="906"/>
      <c r="H1756" s="907"/>
      <c r="I1756" s="908"/>
      <c r="J1756" s="909"/>
      <c r="K1756" s="4"/>
      <c r="L1756" s="4"/>
      <c r="M1756" s="4"/>
      <c r="N1756" s="4"/>
      <c r="O1756" s="4"/>
      <c r="P1756" s="4"/>
      <c r="Q1756" s="4"/>
      <c r="R1756" s="4"/>
      <c r="S1756" s="4"/>
      <c r="T1756" s="4"/>
      <c r="U1756" s="4"/>
      <c r="V1756" s="4"/>
      <c r="W1756" s="89"/>
      <c r="X1756" s="4"/>
      <c r="Y1756" s="1186"/>
      <c r="Z1756" s="1192"/>
      <c r="AA1756" s="1187"/>
      <c r="AB1756" s="1185"/>
      <c r="AC1756" s="1185"/>
      <c r="AD1756" s="1185"/>
      <c r="AE1756" s="1185"/>
      <c r="AF1756" s="1185"/>
      <c r="AG1756" s="1185"/>
      <c r="AH1756" s="1185"/>
      <c r="AI1756" s="1185"/>
      <c r="AJ1756" s="1185"/>
      <c r="AK1756" s="1185"/>
      <c r="AL1756" s="1185"/>
    </row>
    <row r="1757" spans="1:38" s="1489" customFormat="1">
      <c r="A1757" s="1491"/>
      <c r="B1757" s="1598" t="s">
        <v>1916</v>
      </c>
      <c r="C1757" s="1496"/>
      <c r="D1757" s="1514">
        <v>1024</v>
      </c>
      <c r="E1757" s="1596">
        <v>87.615420269058305</v>
      </c>
      <c r="F1757" s="1185"/>
      <c r="G1757" s="906"/>
      <c r="H1757" s="907"/>
      <c r="I1757" s="908"/>
      <c r="J1757" s="909"/>
      <c r="K1757" s="4"/>
      <c r="L1757" s="4"/>
      <c r="M1757" s="4"/>
      <c r="N1757" s="4"/>
      <c r="O1757" s="4"/>
      <c r="P1757" s="4"/>
      <c r="Q1757" s="4"/>
      <c r="R1757" s="4"/>
      <c r="S1757" s="4"/>
      <c r="T1757" s="4"/>
      <c r="U1757" s="4"/>
      <c r="V1757" s="4"/>
      <c r="W1757" s="89"/>
      <c r="X1757" s="4"/>
      <c r="Y1757" s="1186"/>
      <c r="Z1757" s="1192"/>
      <c r="AA1757" s="1187"/>
      <c r="AB1757" s="1185"/>
      <c r="AC1757" s="1185"/>
      <c r="AD1757" s="1185"/>
      <c r="AE1757" s="1185"/>
      <c r="AF1757" s="1185"/>
      <c r="AG1757" s="1185"/>
      <c r="AH1757" s="1185"/>
      <c r="AI1757" s="1185"/>
      <c r="AJ1757" s="1185"/>
      <c r="AK1757" s="1185"/>
      <c r="AL1757" s="1185"/>
    </row>
    <row r="1758" spans="1:38" s="1489" customFormat="1">
      <c r="A1758" s="1491"/>
      <c r="B1758" s="1494" t="s">
        <v>1917</v>
      </c>
      <c r="C1758" s="1496"/>
      <c r="D1758" s="1514"/>
      <c r="E1758" s="1596">
        <v>0</v>
      </c>
      <c r="F1758" s="1185"/>
      <c r="G1758" s="906"/>
      <c r="H1758" s="907"/>
      <c r="I1758" s="908"/>
      <c r="J1758" s="909"/>
      <c r="K1758" s="4"/>
      <c r="L1758" s="4"/>
      <c r="M1758" s="4"/>
      <c r="N1758" s="4"/>
      <c r="O1758" s="4"/>
      <c r="P1758" s="4"/>
      <c r="Q1758" s="4"/>
      <c r="R1758" s="4"/>
      <c r="S1758" s="4"/>
      <c r="T1758" s="4"/>
      <c r="U1758" s="4"/>
      <c r="V1758" s="4"/>
      <c r="W1758" s="89"/>
      <c r="X1758" s="4"/>
      <c r="Y1758" s="1186"/>
      <c r="Z1758" s="1192"/>
      <c r="AA1758" s="1187"/>
      <c r="AB1758" s="1185"/>
      <c r="AC1758" s="1185"/>
      <c r="AD1758" s="1185"/>
      <c r="AE1758" s="1185"/>
      <c r="AF1758" s="1185"/>
      <c r="AG1758" s="1185"/>
      <c r="AH1758" s="1185"/>
      <c r="AI1758" s="1185"/>
      <c r="AJ1758" s="1185"/>
      <c r="AK1758" s="1185"/>
      <c r="AL1758" s="1185"/>
    </row>
    <row r="1759" spans="1:38" s="1489" customFormat="1">
      <c r="A1759" s="1491"/>
      <c r="B1759" s="1598" t="s">
        <v>1918</v>
      </c>
      <c r="C1759" s="1496"/>
      <c r="D1759" s="1514">
        <v>4</v>
      </c>
      <c r="E1759" s="1596">
        <v>0.68449547085201801</v>
      </c>
      <c r="F1759" s="1185"/>
      <c r="G1759" s="906"/>
      <c r="H1759" s="907"/>
      <c r="I1759" s="908"/>
      <c r="J1759" s="909"/>
      <c r="K1759" s="4"/>
      <c r="L1759" s="4"/>
      <c r="M1759" s="4"/>
      <c r="N1759" s="4"/>
      <c r="O1759" s="4"/>
      <c r="P1759" s="4"/>
      <c r="Q1759" s="4"/>
      <c r="R1759" s="4"/>
      <c r="S1759" s="4"/>
      <c r="T1759" s="4"/>
      <c r="U1759" s="4"/>
      <c r="V1759" s="4"/>
      <c r="W1759" s="89"/>
      <c r="X1759" s="4"/>
      <c r="Y1759" s="1186"/>
      <c r="Z1759" s="1192"/>
      <c r="AA1759" s="1187"/>
      <c r="AB1759" s="1185"/>
      <c r="AC1759" s="1185"/>
      <c r="AD1759" s="1185"/>
      <c r="AE1759" s="1185"/>
      <c r="AF1759" s="1185"/>
      <c r="AG1759" s="1185"/>
      <c r="AH1759" s="1185"/>
      <c r="AI1759" s="1185"/>
      <c r="AJ1759" s="1185"/>
      <c r="AK1759" s="1185"/>
      <c r="AL1759" s="1185"/>
    </row>
    <row r="1760" spans="1:38" s="1489" customFormat="1">
      <c r="A1760" s="1491"/>
      <c r="B1760" s="1598" t="s">
        <v>1919</v>
      </c>
      <c r="C1760" s="1496"/>
      <c r="D1760" s="1514">
        <v>8</v>
      </c>
      <c r="E1760" s="1596">
        <v>1.368990941704036</v>
      </c>
      <c r="F1760" s="1185"/>
      <c r="G1760" s="906"/>
      <c r="H1760" s="907"/>
      <c r="I1760" s="908"/>
      <c r="J1760" s="909"/>
      <c r="K1760" s="4"/>
      <c r="L1760" s="4"/>
      <c r="M1760" s="4"/>
      <c r="N1760" s="4"/>
      <c r="O1760" s="4"/>
      <c r="P1760" s="4"/>
      <c r="Q1760" s="4"/>
      <c r="R1760" s="4"/>
      <c r="S1760" s="4"/>
      <c r="T1760" s="4"/>
      <c r="U1760" s="4"/>
      <c r="V1760" s="4"/>
      <c r="W1760" s="89"/>
      <c r="X1760" s="4"/>
      <c r="Y1760" s="1186"/>
      <c r="Z1760" s="1192"/>
      <c r="AA1760" s="1187"/>
      <c r="AB1760" s="1185"/>
      <c r="AC1760" s="1185"/>
      <c r="AD1760" s="1185"/>
      <c r="AE1760" s="1185"/>
      <c r="AF1760" s="1185"/>
      <c r="AG1760" s="1185"/>
      <c r="AH1760" s="1185"/>
      <c r="AI1760" s="1185"/>
      <c r="AJ1760" s="1185"/>
      <c r="AK1760" s="1185"/>
      <c r="AL1760" s="1185"/>
    </row>
    <row r="1761" spans="1:38" s="1489" customFormat="1">
      <c r="A1761" s="1491"/>
      <c r="B1761" s="1598" t="s">
        <v>1920</v>
      </c>
      <c r="C1761" s="1496"/>
      <c r="D1761" s="1514">
        <v>16</v>
      </c>
      <c r="E1761" s="1596">
        <v>2.737981883408072</v>
      </c>
      <c r="F1761" s="1185"/>
      <c r="G1761" s="906"/>
      <c r="H1761" s="907"/>
      <c r="I1761" s="908"/>
      <c r="J1761" s="909"/>
      <c r="K1761" s="4"/>
      <c r="L1761" s="4"/>
      <c r="M1761" s="4"/>
      <c r="N1761" s="4"/>
      <c r="O1761" s="4"/>
      <c r="P1761" s="4"/>
      <c r="Q1761" s="4"/>
      <c r="R1761" s="4"/>
      <c r="S1761" s="4"/>
      <c r="T1761" s="4"/>
      <c r="U1761" s="4"/>
      <c r="V1761" s="4"/>
      <c r="W1761" s="89"/>
      <c r="X1761" s="4"/>
      <c r="Y1761" s="1186"/>
      <c r="Z1761" s="1192"/>
      <c r="AA1761" s="1187"/>
      <c r="AB1761" s="1185"/>
      <c r="AC1761" s="1185"/>
      <c r="AD1761" s="1185"/>
      <c r="AE1761" s="1185"/>
      <c r="AF1761" s="1185"/>
      <c r="AG1761" s="1185"/>
      <c r="AH1761" s="1185"/>
      <c r="AI1761" s="1185"/>
      <c r="AJ1761" s="1185"/>
      <c r="AK1761" s="1185"/>
      <c r="AL1761" s="1185"/>
    </row>
    <row r="1762" spans="1:38" s="1489" customFormat="1">
      <c r="A1762" s="1491"/>
      <c r="B1762" s="1598" t="s">
        <v>1921</v>
      </c>
      <c r="C1762" s="1496"/>
      <c r="D1762" s="1514">
        <v>24</v>
      </c>
      <c r="E1762" s="1596">
        <v>4.1069728251121083</v>
      </c>
      <c r="F1762" s="1185"/>
      <c r="G1762" s="906"/>
      <c r="H1762" s="907"/>
      <c r="I1762" s="908"/>
      <c r="J1762" s="909"/>
      <c r="K1762" s="4"/>
      <c r="L1762" s="4"/>
      <c r="M1762" s="4"/>
      <c r="N1762" s="4"/>
      <c r="O1762" s="4"/>
      <c r="P1762" s="4"/>
      <c r="Q1762" s="4"/>
      <c r="R1762" s="4"/>
      <c r="S1762" s="4"/>
      <c r="T1762" s="4"/>
      <c r="U1762" s="4"/>
      <c r="V1762" s="4"/>
      <c r="W1762" s="89"/>
      <c r="X1762" s="4"/>
      <c r="Y1762" s="1186"/>
      <c r="Z1762" s="1192"/>
      <c r="AA1762" s="1187"/>
      <c r="AB1762" s="1185"/>
      <c r="AC1762" s="1185"/>
      <c r="AD1762" s="1185"/>
      <c r="AE1762" s="1185"/>
      <c r="AF1762" s="1185"/>
      <c r="AG1762" s="1185"/>
      <c r="AH1762" s="1185"/>
      <c r="AI1762" s="1185"/>
      <c r="AJ1762" s="1185"/>
      <c r="AK1762" s="1185"/>
      <c r="AL1762" s="1185"/>
    </row>
    <row r="1763" spans="1:38" s="1489" customFormat="1">
      <c r="A1763" s="1491"/>
      <c r="B1763" s="1598" t="s">
        <v>1922</v>
      </c>
      <c r="C1763" s="1496"/>
      <c r="D1763" s="1514">
        <v>32</v>
      </c>
      <c r="E1763" s="1596">
        <v>5.4759637668161441</v>
      </c>
      <c r="F1763" s="1185"/>
      <c r="G1763" s="906"/>
      <c r="H1763" s="907"/>
      <c r="I1763" s="908"/>
      <c r="J1763" s="909"/>
      <c r="K1763" s="4"/>
      <c r="L1763" s="4"/>
      <c r="M1763" s="4"/>
      <c r="N1763" s="4"/>
      <c r="O1763" s="4"/>
      <c r="P1763" s="4"/>
      <c r="Q1763" s="4"/>
      <c r="R1763" s="4"/>
      <c r="S1763" s="4"/>
      <c r="T1763" s="4"/>
      <c r="U1763" s="4"/>
      <c r="V1763" s="4"/>
      <c r="W1763" s="89"/>
      <c r="X1763" s="4"/>
      <c r="Y1763" s="1186"/>
      <c r="Z1763" s="1192"/>
      <c r="AA1763" s="1187"/>
      <c r="AB1763" s="1185"/>
      <c r="AC1763" s="1185"/>
      <c r="AD1763" s="1185"/>
      <c r="AE1763" s="1185"/>
      <c r="AF1763" s="1185"/>
      <c r="AG1763" s="1185"/>
      <c r="AH1763" s="1185"/>
      <c r="AI1763" s="1185"/>
      <c r="AJ1763" s="1185"/>
      <c r="AK1763" s="1185"/>
      <c r="AL1763" s="1185"/>
    </row>
    <row r="1764" spans="1:38" s="1489" customFormat="1">
      <c r="A1764" s="1491"/>
      <c r="B1764" s="1598" t="s">
        <v>1923</v>
      </c>
      <c r="C1764" s="1496"/>
      <c r="D1764" s="1514">
        <v>48</v>
      </c>
      <c r="E1764" s="1596">
        <v>8.2139456502242165</v>
      </c>
      <c r="F1764" s="1185"/>
      <c r="G1764" s="906"/>
      <c r="H1764" s="907"/>
      <c r="I1764" s="908"/>
      <c r="J1764" s="909"/>
      <c r="K1764" s="4"/>
      <c r="L1764" s="4"/>
      <c r="M1764" s="4"/>
      <c r="N1764" s="4"/>
      <c r="O1764" s="4"/>
      <c r="P1764" s="4"/>
      <c r="Q1764" s="4"/>
      <c r="R1764" s="4"/>
      <c r="S1764" s="4"/>
      <c r="T1764" s="4"/>
      <c r="U1764" s="4"/>
      <c r="V1764" s="4"/>
      <c r="W1764" s="89"/>
      <c r="X1764" s="4"/>
      <c r="Y1764" s="1186"/>
      <c r="Z1764" s="1192"/>
      <c r="AA1764" s="1187"/>
      <c r="AB1764" s="1185"/>
      <c r="AC1764" s="1185"/>
      <c r="AD1764" s="1185"/>
      <c r="AE1764" s="1185"/>
      <c r="AF1764" s="1185"/>
      <c r="AG1764" s="1185"/>
      <c r="AH1764" s="1185"/>
      <c r="AI1764" s="1185"/>
      <c r="AJ1764" s="1185"/>
      <c r="AK1764" s="1185"/>
      <c r="AL1764" s="1185"/>
    </row>
    <row r="1765" spans="1:38" s="1489" customFormat="1">
      <c r="A1765" s="1491"/>
      <c r="B1765" s="1598" t="s">
        <v>1924</v>
      </c>
      <c r="C1765" s="1496"/>
      <c r="D1765" s="1514">
        <v>64</v>
      </c>
      <c r="E1765" s="1596">
        <v>10.951927533632288</v>
      </c>
      <c r="F1765" s="1185"/>
      <c r="G1765" s="906"/>
      <c r="H1765" s="907"/>
      <c r="I1765" s="908"/>
      <c r="J1765" s="909"/>
      <c r="K1765" s="4"/>
      <c r="L1765" s="4"/>
      <c r="M1765" s="4"/>
      <c r="N1765" s="4"/>
      <c r="O1765" s="4"/>
      <c r="P1765" s="4"/>
      <c r="Q1765" s="4"/>
      <c r="R1765" s="4"/>
      <c r="S1765" s="4"/>
      <c r="T1765" s="4"/>
      <c r="U1765" s="4"/>
      <c r="V1765" s="4"/>
      <c r="W1765" s="89"/>
      <c r="X1765" s="4"/>
      <c r="Y1765" s="1186"/>
      <c r="Z1765" s="1192"/>
      <c r="AA1765" s="1187"/>
      <c r="AB1765" s="1185"/>
      <c r="AC1765" s="1185"/>
      <c r="AD1765" s="1185"/>
      <c r="AE1765" s="1185"/>
      <c r="AF1765" s="1185"/>
      <c r="AG1765" s="1185"/>
      <c r="AH1765" s="1185"/>
      <c r="AI1765" s="1185"/>
      <c r="AJ1765" s="1185"/>
      <c r="AK1765" s="1185"/>
      <c r="AL1765" s="1185"/>
    </row>
    <row r="1766" spans="1:38" s="1489" customFormat="1">
      <c r="A1766" s="1491"/>
      <c r="B1766" s="1598" t="s">
        <v>1925</v>
      </c>
      <c r="C1766" s="1496"/>
      <c r="D1766" s="1514">
        <v>96</v>
      </c>
      <c r="E1766" s="1596">
        <v>16.427891300448433</v>
      </c>
      <c r="F1766" s="1185"/>
      <c r="G1766" s="906"/>
      <c r="H1766" s="907"/>
      <c r="I1766" s="908"/>
      <c r="J1766" s="909"/>
      <c r="K1766" s="4"/>
      <c r="L1766" s="4"/>
      <c r="M1766" s="4"/>
      <c r="N1766" s="4"/>
      <c r="O1766" s="4"/>
      <c r="P1766" s="4"/>
      <c r="Q1766" s="4"/>
      <c r="R1766" s="4"/>
      <c r="S1766" s="4"/>
      <c r="T1766" s="4"/>
      <c r="U1766" s="4"/>
      <c r="V1766" s="4"/>
      <c r="W1766" s="89"/>
      <c r="X1766" s="4"/>
      <c r="Y1766" s="1186"/>
      <c r="Z1766" s="1192"/>
      <c r="AA1766" s="1187"/>
      <c r="AB1766" s="1185"/>
      <c r="AC1766" s="1185"/>
      <c r="AD1766" s="1185"/>
      <c r="AE1766" s="1185"/>
      <c r="AF1766" s="1185"/>
      <c r="AG1766" s="1185"/>
      <c r="AH1766" s="1185"/>
      <c r="AI1766" s="1185"/>
      <c r="AJ1766" s="1185"/>
      <c r="AK1766" s="1185"/>
      <c r="AL1766" s="1185"/>
    </row>
    <row r="1767" spans="1:38" s="1489" customFormat="1">
      <c r="A1767" s="1491"/>
      <c r="B1767" s="1598" t="s">
        <v>1926</v>
      </c>
      <c r="C1767" s="1496"/>
      <c r="D1767" s="1514">
        <v>128</v>
      </c>
      <c r="E1767" s="1596">
        <v>21.903855067264576</v>
      </c>
      <c r="F1767" s="1185"/>
      <c r="G1767" s="906"/>
      <c r="H1767" s="907"/>
      <c r="I1767" s="908"/>
      <c r="J1767" s="909"/>
      <c r="K1767" s="4"/>
      <c r="L1767" s="4"/>
      <c r="M1767" s="4"/>
      <c r="N1767" s="4"/>
      <c r="O1767" s="4"/>
      <c r="P1767" s="4"/>
      <c r="Q1767" s="4"/>
      <c r="R1767" s="4"/>
      <c r="S1767" s="4"/>
      <c r="T1767" s="4"/>
      <c r="U1767" s="4"/>
      <c r="V1767" s="4"/>
      <c r="W1767" s="89"/>
      <c r="X1767" s="4"/>
      <c r="Y1767" s="1186"/>
      <c r="Z1767" s="1192"/>
      <c r="AA1767" s="1187"/>
      <c r="AB1767" s="1185"/>
      <c r="AC1767" s="1185"/>
      <c r="AD1767" s="1185"/>
      <c r="AE1767" s="1185"/>
      <c r="AF1767" s="1185"/>
      <c r="AG1767" s="1185"/>
      <c r="AH1767" s="1185"/>
      <c r="AI1767" s="1185"/>
      <c r="AJ1767" s="1185"/>
      <c r="AK1767" s="1185"/>
      <c r="AL1767" s="1185"/>
    </row>
    <row r="1768" spans="1:38" s="1489" customFormat="1">
      <c r="A1768" s="1491"/>
      <c r="B1768" s="1598" t="s">
        <v>1927</v>
      </c>
      <c r="C1768" s="1496"/>
      <c r="D1768" s="1514">
        <v>192</v>
      </c>
      <c r="E1768" s="1596">
        <v>32.855782600896866</v>
      </c>
      <c r="F1768" s="1185"/>
      <c r="G1768" s="906"/>
      <c r="H1768" s="907"/>
      <c r="I1768" s="908"/>
      <c r="J1768" s="909"/>
      <c r="K1768" s="4"/>
      <c r="L1768" s="4"/>
      <c r="M1768" s="4"/>
      <c r="N1768" s="4"/>
      <c r="O1768" s="4"/>
      <c r="P1768" s="4"/>
      <c r="Q1768" s="4"/>
      <c r="R1768" s="4"/>
      <c r="S1768" s="4"/>
      <c r="T1768" s="4"/>
      <c r="U1768" s="4"/>
      <c r="V1768" s="4"/>
      <c r="W1768" s="89"/>
      <c r="X1768" s="4"/>
      <c r="Y1768" s="1186"/>
      <c r="Z1768" s="1192"/>
      <c r="AA1768" s="1187"/>
      <c r="AB1768" s="1185"/>
      <c r="AC1768" s="1185"/>
      <c r="AD1768" s="1185"/>
      <c r="AE1768" s="1185"/>
      <c r="AF1768" s="1185"/>
      <c r="AG1768" s="1185"/>
      <c r="AH1768" s="1185"/>
      <c r="AI1768" s="1185"/>
      <c r="AJ1768" s="1185"/>
      <c r="AK1768" s="1185"/>
      <c r="AL1768" s="1185"/>
    </row>
    <row r="1769" spans="1:38" s="1489" customFormat="1">
      <c r="A1769" s="1491"/>
      <c r="B1769" s="1598" t="s">
        <v>1928</v>
      </c>
      <c r="C1769" s="1496"/>
      <c r="D1769" s="1514">
        <v>256</v>
      </c>
      <c r="E1769" s="1596">
        <v>43.807710134529152</v>
      </c>
      <c r="F1769" s="1185"/>
      <c r="G1769" s="906"/>
      <c r="H1769" s="907"/>
      <c r="I1769" s="908"/>
      <c r="J1769" s="909"/>
      <c r="K1769" s="4"/>
      <c r="L1769" s="4"/>
      <c r="M1769" s="4"/>
      <c r="N1769" s="4"/>
      <c r="O1769" s="4"/>
      <c r="P1769" s="4"/>
      <c r="Q1769" s="4"/>
      <c r="R1769" s="4"/>
      <c r="S1769" s="4"/>
      <c r="T1769" s="4"/>
      <c r="U1769" s="4"/>
      <c r="V1769" s="4"/>
      <c r="W1769" s="89"/>
      <c r="X1769" s="4"/>
      <c r="Y1769" s="1186"/>
      <c r="Z1769" s="1192"/>
      <c r="AA1769" s="1187"/>
      <c r="AB1769" s="1185"/>
      <c r="AC1769" s="1185"/>
      <c r="AD1769" s="1185"/>
      <c r="AE1769" s="1185"/>
      <c r="AF1769" s="1185"/>
      <c r="AG1769" s="1185"/>
      <c r="AH1769" s="1185"/>
      <c r="AI1769" s="1185"/>
      <c r="AJ1769" s="1185"/>
      <c r="AK1769" s="1185"/>
      <c r="AL1769" s="1185"/>
    </row>
    <row r="1770" spans="1:38" s="1489" customFormat="1">
      <c r="A1770" s="1491"/>
      <c r="B1770" s="1598" t="s">
        <v>1929</v>
      </c>
      <c r="C1770" s="1496"/>
      <c r="D1770" s="1514">
        <v>384</v>
      </c>
      <c r="E1770" s="1596">
        <v>65.711565201793732</v>
      </c>
      <c r="G1770" s="906"/>
      <c r="H1770" s="907"/>
      <c r="I1770" s="908"/>
      <c r="J1770" s="909"/>
      <c r="K1770" s="1490"/>
      <c r="L1770" s="1490"/>
      <c r="M1770" s="1490"/>
      <c r="N1770" s="1490"/>
      <c r="O1770" s="1490"/>
      <c r="P1770" s="1490"/>
      <c r="Q1770" s="1490"/>
      <c r="R1770" s="1490"/>
      <c r="S1770" s="1490"/>
      <c r="T1770" s="1490"/>
      <c r="U1770" s="1490"/>
      <c r="V1770" s="1490"/>
      <c r="W1770" s="89"/>
      <c r="X1770" s="1490"/>
      <c r="Y1770" s="1491"/>
      <c r="Z1770" s="1492"/>
      <c r="AA1770" s="1493"/>
    </row>
    <row r="1771" spans="1:38" s="1489" customFormat="1">
      <c r="A1771" s="1491"/>
      <c r="B1771" s="1598" t="s">
        <v>1930</v>
      </c>
      <c r="C1771" s="1496"/>
      <c r="D1771" s="1514">
        <v>512</v>
      </c>
      <c r="E1771" s="1596">
        <v>87.615420269058305</v>
      </c>
      <c r="G1771" s="906"/>
      <c r="H1771" s="907"/>
      <c r="I1771" s="908"/>
      <c r="J1771" s="909"/>
      <c r="K1771" s="1490"/>
      <c r="L1771" s="1490"/>
      <c r="M1771" s="1490"/>
      <c r="N1771" s="1490"/>
      <c r="O1771" s="1490"/>
      <c r="P1771" s="1490"/>
      <c r="Q1771" s="1490"/>
      <c r="R1771" s="1490"/>
      <c r="S1771" s="1490"/>
      <c r="T1771" s="1490"/>
      <c r="U1771" s="1490"/>
      <c r="V1771" s="1490"/>
      <c r="W1771" s="89"/>
      <c r="X1771" s="1490"/>
      <c r="Y1771" s="1491"/>
      <c r="Z1771" s="1492"/>
      <c r="AA1771" s="1493"/>
    </row>
    <row r="1772" spans="1:38" s="1489" customFormat="1">
      <c r="A1772" s="1491"/>
      <c r="B1772" s="1598" t="s">
        <v>1931</v>
      </c>
      <c r="C1772" s="1496"/>
      <c r="D1772" s="1514">
        <v>768</v>
      </c>
      <c r="E1772" s="1596">
        <v>131.42313040358746</v>
      </c>
      <c r="G1772" s="906"/>
      <c r="H1772" s="907"/>
      <c r="I1772" s="908"/>
      <c r="J1772" s="909"/>
      <c r="K1772" s="1490"/>
      <c r="L1772" s="1490"/>
      <c r="M1772" s="1490"/>
      <c r="N1772" s="1490"/>
      <c r="O1772" s="1490"/>
      <c r="P1772" s="1490"/>
      <c r="Q1772" s="1490"/>
      <c r="R1772" s="1490"/>
      <c r="S1772" s="1490"/>
      <c r="T1772" s="1490"/>
      <c r="U1772" s="1490"/>
      <c r="V1772" s="1490"/>
      <c r="W1772" s="89"/>
      <c r="X1772" s="1490"/>
      <c r="Y1772" s="1491"/>
      <c r="Z1772" s="1492"/>
      <c r="AA1772" s="1493"/>
    </row>
    <row r="1773" spans="1:38" s="1489" customFormat="1">
      <c r="A1773" s="1491"/>
      <c r="B1773" s="1598" t="s">
        <v>1932</v>
      </c>
      <c r="C1773" s="1496"/>
      <c r="D1773" s="1514">
        <v>1024</v>
      </c>
      <c r="E1773" s="1596">
        <v>175.23084053811661</v>
      </c>
      <c r="G1773" s="906"/>
      <c r="H1773" s="907"/>
      <c r="I1773" s="908"/>
      <c r="J1773" s="909"/>
      <c r="K1773" s="1490"/>
      <c r="L1773" s="1490"/>
      <c r="M1773" s="1490"/>
      <c r="N1773" s="1490"/>
      <c r="O1773" s="1490"/>
      <c r="P1773" s="1490"/>
      <c r="Q1773" s="1490"/>
      <c r="R1773" s="1490"/>
      <c r="S1773" s="1490"/>
      <c r="T1773" s="1490"/>
      <c r="U1773" s="1490"/>
      <c r="V1773" s="1490"/>
      <c r="W1773" s="89"/>
      <c r="X1773" s="1490"/>
      <c r="Y1773" s="1491"/>
      <c r="Z1773" s="1492"/>
      <c r="AA1773" s="1493"/>
    </row>
    <row r="1774" spans="1:38" s="1489" customFormat="1">
      <c r="A1774" s="1491"/>
      <c r="B1774" s="1971" t="s">
        <v>1933</v>
      </c>
      <c r="C1774" s="1924"/>
      <c r="D1774" s="1924"/>
      <c r="E1774" s="1925"/>
      <c r="G1774" s="906"/>
      <c r="H1774" s="907"/>
      <c r="I1774" s="908"/>
      <c r="J1774" s="909"/>
      <c r="K1774" s="1490"/>
      <c r="L1774" s="1490"/>
      <c r="M1774" s="1490"/>
      <c r="N1774" s="1490"/>
      <c r="O1774" s="1490"/>
      <c r="P1774" s="1490"/>
      <c r="Q1774" s="1490"/>
      <c r="R1774" s="1490"/>
      <c r="S1774" s="1490"/>
      <c r="T1774" s="1490"/>
      <c r="U1774" s="1490"/>
      <c r="V1774" s="1490"/>
      <c r="W1774" s="89"/>
      <c r="X1774" s="1490"/>
      <c r="Y1774" s="1491"/>
      <c r="Z1774" s="1492"/>
      <c r="AA1774" s="1493"/>
    </row>
    <row r="1775" spans="1:38" s="1489" customFormat="1">
      <c r="A1775" s="1491"/>
      <c r="B1775" s="1598" t="s">
        <v>1934</v>
      </c>
      <c r="C1775" s="1496"/>
      <c r="D1775" s="1514">
        <v>4</v>
      </c>
      <c r="E1775" s="1596">
        <v>1.368990941704036</v>
      </c>
      <c r="G1775" s="906"/>
      <c r="H1775" s="907"/>
      <c r="I1775" s="908"/>
      <c r="J1775" s="909"/>
      <c r="K1775" s="1490"/>
      <c r="L1775" s="1490"/>
      <c r="M1775" s="1490"/>
      <c r="N1775" s="1490"/>
      <c r="O1775" s="1490"/>
      <c r="P1775" s="1490"/>
      <c r="Q1775" s="1490"/>
      <c r="R1775" s="1490"/>
      <c r="S1775" s="1490"/>
      <c r="T1775" s="1490"/>
      <c r="U1775" s="1490"/>
      <c r="V1775" s="1490"/>
      <c r="W1775" s="89"/>
      <c r="X1775" s="1490"/>
      <c r="Y1775" s="1491"/>
      <c r="Z1775" s="1492"/>
      <c r="AA1775" s="1493"/>
    </row>
    <row r="1776" spans="1:38" s="1489" customFormat="1">
      <c r="A1776" s="1491"/>
      <c r="B1776" s="1598" t="s">
        <v>1935</v>
      </c>
      <c r="C1776" s="1496"/>
      <c r="D1776" s="1514">
        <v>8</v>
      </c>
      <c r="E1776" s="1596">
        <v>2.737981883408072</v>
      </c>
      <c r="G1776" s="906"/>
      <c r="H1776" s="907"/>
      <c r="I1776" s="908"/>
      <c r="J1776" s="909"/>
      <c r="K1776" s="1490"/>
      <c r="L1776" s="1490"/>
      <c r="M1776" s="1490"/>
      <c r="N1776" s="1490"/>
      <c r="O1776" s="1490"/>
      <c r="P1776" s="1490"/>
      <c r="Q1776" s="1490"/>
      <c r="R1776" s="1490"/>
      <c r="S1776" s="1490"/>
      <c r="T1776" s="1490"/>
      <c r="U1776" s="1490"/>
      <c r="V1776" s="1490"/>
      <c r="W1776" s="89"/>
      <c r="X1776" s="1490"/>
      <c r="Y1776" s="1491"/>
      <c r="Z1776" s="1492"/>
      <c r="AA1776" s="1493"/>
    </row>
    <row r="1777" spans="1:38" s="1489" customFormat="1">
      <c r="A1777" s="1491"/>
      <c r="B1777" s="1598" t="s">
        <v>1936</v>
      </c>
      <c r="C1777" s="1496"/>
      <c r="D1777" s="1514">
        <v>16</v>
      </c>
      <c r="E1777" s="1596">
        <v>5.4759637668161441</v>
      </c>
      <c r="G1777" s="906"/>
      <c r="H1777" s="907"/>
      <c r="I1777" s="908"/>
      <c r="J1777" s="909"/>
      <c r="K1777" s="1490"/>
      <c r="L1777" s="1490"/>
      <c r="M1777" s="1490"/>
      <c r="N1777" s="1490"/>
      <c r="O1777" s="1490"/>
      <c r="P1777" s="1490"/>
      <c r="Q1777" s="1490"/>
      <c r="R1777" s="1490"/>
      <c r="S1777" s="1490"/>
      <c r="T1777" s="1490"/>
      <c r="U1777" s="1490"/>
      <c r="V1777" s="1490"/>
      <c r="W1777" s="89"/>
      <c r="X1777" s="1490"/>
      <c r="Y1777" s="1491"/>
      <c r="Z1777" s="1492"/>
      <c r="AA1777" s="1493"/>
    </row>
    <row r="1778" spans="1:38" s="1489" customFormat="1">
      <c r="A1778" s="1491"/>
      <c r="B1778" s="1598" t="s">
        <v>1937</v>
      </c>
      <c r="C1778" s="1496"/>
      <c r="D1778" s="1514">
        <v>24</v>
      </c>
      <c r="E1778" s="1596">
        <v>8.2139456502242165</v>
      </c>
      <c r="G1778" s="906"/>
      <c r="H1778" s="907"/>
      <c r="I1778" s="908"/>
      <c r="J1778" s="909"/>
      <c r="K1778" s="1490"/>
      <c r="L1778" s="1490"/>
      <c r="M1778" s="1490"/>
      <c r="N1778" s="1490"/>
      <c r="O1778" s="1490"/>
      <c r="P1778" s="1490"/>
      <c r="Q1778" s="1490"/>
      <c r="R1778" s="1490"/>
      <c r="S1778" s="1490"/>
      <c r="T1778" s="1490"/>
      <c r="U1778" s="1490"/>
      <c r="V1778" s="1490"/>
      <c r="W1778" s="89"/>
      <c r="X1778" s="1490"/>
      <c r="Y1778" s="1491"/>
      <c r="Z1778" s="1492"/>
      <c r="AA1778" s="1493"/>
    </row>
    <row r="1779" spans="1:38" s="1489" customFormat="1">
      <c r="A1779" s="1491"/>
      <c r="B1779" s="1598" t="s">
        <v>1938</v>
      </c>
      <c r="C1779" s="1496"/>
      <c r="D1779" s="1514">
        <v>32</v>
      </c>
      <c r="E1779" s="1596">
        <v>10.951927533632288</v>
      </c>
      <c r="G1779" s="906"/>
      <c r="H1779" s="907"/>
      <c r="I1779" s="908"/>
      <c r="J1779" s="909"/>
      <c r="K1779" s="1490"/>
      <c r="L1779" s="1490"/>
      <c r="M1779" s="1490"/>
      <c r="N1779" s="1490"/>
      <c r="O1779" s="1490"/>
      <c r="P1779" s="1490"/>
      <c r="Q1779" s="1490"/>
      <c r="R1779" s="1490"/>
      <c r="S1779" s="1490"/>
      <c r="T1779" s="1490"/>
      <c r="U1779" s="1490"/>
      <c r="V1779" s="1490"/>
      <c r="W1779" s="89"/>
      <c r="X1779" s="1490"/>
      <c r="Y1779" s="1491"/>
      <c r="Z1779" s="1492"/>
      <c r="AA1779" s="1493"/>
    </row>
    <row r="1780" spans="1:38" s="1489" customFormat="1">
      <c r="A1780" s="1491"/>
      <c r="B1780" s="1598" t="s">
        <v>1939</v>
      </c>
      <c r="C1780" s="1496"/>
      <c r="D1780" s="1514">
        <v>48</v>
      </c>
      <c r="E1780" s="1596">
        <v>16.427891300448433</v>
      </c>
      <c r="G1780" s="906"/>
      <c r="H1780" s="907"/>
      <c r="I1780" s="908"/>
      <c r="J1780" s="909"/>
      <c r="K1780" s="1490"/>
      <c r="L1780" s="1490"/>
      <c r="M1780" s="1490"/>
      <c r="N1780" s="1490"/>
      <c r="O1780" s="1490"/>
      <c r="P1780" s="1490"/>
      <c r="Q1780" s="1490"/>
      <c r="R1780" s="1490"/>
      <c r="S1780" s="1490"/>
      <c r="T1780" s="1490"/>
      <c r="U1780" s="1490"/>
      <c r="V1780" s="1490"/>
      <c r="W1780" s="89"/>
      <c r="X1780" s="1490"/>
      <c r="Y1780" s="1491"/>
      <c r="Z1780" s="1492"/>
      <c r="AA1780" s="1493"/>
    </row>
    <row r="1781" spans="1:38" s="1489" customFormat="1">
      <c r="A1781" s="1491"/>
      <c r="B1781" s="1598" t="s">
        <v>1940</v>
      </c>
      <c r="C1781" s="1496"/>
      <c r="D1781" s="1514">
        <v>64</v>
      </c>
      <c r="E1781" s="1596">
        <v>21.903855067264576</v>
      </c>
      <c r="G1781" s="906"/>
      <c r="H1781" s="907"/>
      <c r="I1781" s="908"/>
      <c r="J1781" s="909"/>
      <c r="K1781" s="1490"/>
      <c r="L1781" s="1490"/>
      <c r="M1781" s="1490"/>
      <c r="N1781" s="1490"/>
      <c r="O1781" s="1490"/>
      <c r="P1781" s="1490"/>
      <c r="Q1781" s="1490"/>
      <c r="R1781" s="1490"/>
      <c r="S1781" s="1490"/>
      <c r="T1781" s="1490"/>
      <c r="U1781" s="1490"/>
      <c r="V1781" s="1490"/>
      <c r="W1781" s="89"/>
      <c r="X1781" s="1490"/>
      <c r="Y1781" s="1491"/>
      <c r="Z1781" s="1492"/>
      <c r="AA1781" s="1493"/>
    </row>
    <row r="1782" spans="1:38" s="1489" customFormat="1">
      <c r="A1782" s="1491"/>
      <c r="B1782" s="1598" t="s">
        <v>1941</v>
      </c>
      <c r="C1782" s="1496"/>
      <c r="D1782" s="1514">
        <v>96</v>
      </c>
      <c r="E1782" s="1596">
        <v>32.855782600896866</v>
      </c>
      <c r="G1782" s="906"/>
      <c r="H1782" s="907"/>
      <c r="I1782" s="908"/>
      <c r="J1782" s="909"/>
      <c r="K1782" s="1490"/>
      <c r="L1782" s="1490"/>
      <c r="M1782" s="1490"/>
      <c r="N1782" s="1490"/>
      <c r="O1782" s="1490"/>
      <c r="P1782" s="1490"/>
      <c r="Q1782" s="1490"/>
      <c r="R1782" s="1490"/>
      <c r="S1782" s="1490"/>
      <c r="T1782" s="1490"/>
      <c r="U1782" s="1490"/>
      <c r="V1782" s="1490"/>
      <c r="W1782" s="89"/>
      <c r="X1782" s="1490"/>
      <c r="Y1782" s="1491"/>
      <c r="Z1782" s="1492"/>
      <c r="AA1782" s="1493"/>
    </row>
    <row r="1783" spans="1:38" s="1489" customFormat="1">
      <c r="A1783" s="1491"/>
      <c r="B1783" s="1598" t="s">
        <v>1942</v>
      </c>
      <c r="C1783" s="1496"/>
      <c r="D1783" s="1514">
        <v>128</v>
      </c>
      <c r="E1783" s="1596">
        <v>43.807710134529152</v>
      </c>
      <c r="G1783" s="906"/>
      <c r="H1783" s="907"/>
      <c r="I1783" s="908"/>
      <c r="J1783" s="909"/>
      <c r="K1783" s="1490"/>
      <c r="L1783" s="1490"/>
      <c r="M1783" s="1490"/>
      <c r="N1783" s="1490"/>
      <c r="O1783" s="1490"/>
      <c r="P1783" s="1490"/>
      <c r="Q1783" s="1490"/>
      <c r="R1783" s="1490"/>
      <c r="S1783" s="1490"/>
      <c r="T1783" s="1490"/>
      <c r="U1783" s="1490"/>
      <c r="V1783" s="1490"/>
      <c r="W1783" s="89"/>
      <c r="X1783" s="1490"/>
      <c r="Y1783" s="1491"/>
      <c r="Z1783" s="1492"/>
      <c r="AA1783" s="1493"/>
    </row>
    <row r="1784" spans="1:38" s="1489" customFormat="1">
      <c r="A1784" s="1491"/>
      <c r="B1784" s="1598" t="s">
        <v>1943</v>
      </c>
      <c r="C1784" s="1496"/>
      <c r="D1784" s="1514">
        <v>192</v>
      </c>
      <c r="E1784" s="1596">
        <v>65.711565201793732</v>
      </c>
      <c r="G1784" s="906"/>
      <c r="H1784" s="907"/>
      <c r="I1784" s="908"/>
      <c r="J1784" s="909"/>
      <c r="K1784" s="1490"/>
      <c r="L1784" s="1490"/>
      <c r="M1784" s="1490"/>
      <c r="N1784" s="1490"/>
      <c r="O1784" s="1490"/>
      <c r="P1784" s="1490"/>
      <c r="Q1784" s="1490"/>
      <c r="R1784" s="1490"/>
      <c r="S1784" s="1490"/>
      <c r="T1784" s="1490"/>
      <c r="U1784" s="1490"/>
      <c r="V1784" s="1490"/>
      <c r="W1784" s="89"/>
      <c r="X1784" s="1490"/>
      <c r="Y1784" s="1491"/>
      <c r="Z1784" s="1492"/>
      <c r="AA1784" s="1493"/>
    </row>
    <row r="1785" spans="1:38" s="1489" customFormat="1">
      <c r="A1785" s="1491"/>
      <c r="B1785" s="1598" t="s">
        <v>1944</v>
      </c>
      <c r="C1785" s="1496"/>
      <c r="D1785" s="1514">
        <v>256</v>
      </c>
      <c r="E1785" s="1596">
        <v>87.615420269058305</v>
      </c>
      <c r="G1785" s="906"/>
      <c r="H1785" s="907"/>
      <c r="I1785" s="908"/>
      <c r="J1785" s="909"/>
      <c r="K1785" s="1490"/>
      <c r="L1785" s="1490"/>
      <c r="M1785" s="1490"/>
      <c r="N1785" s="1490"/>
      <c r="O1785" s="1490"/>
      <c r="P1785" s="1490"/>
      <c r="Q1785" s="1490"/>
      <c r="R1785" s="1490"/>
      <c r="S1785" s="1490"/>
      <c r="T1785" s="1490"/>
      <c r="U1785" s="1490"/>
      <c r="V1785" s="1490"/>
      <c r="W1785" s="89"/>
      <c r="X1785" s="1490"/>
      <c r="Y1785" s="1491"/>
      <c r="Z1785" s="1492"/>
      <c r="AA1785" s="1493"/>
    </row>
    <row r="1786" spans="1:38" s="1489" customFormat="1">
      <c r="A1786" s="1491"/>
      <c r="B1786" s="1598" t="s">
        <v>1945</v>
      </c>
      <c r="C1786" s="1496"/>
      <c r="D1786" s="1514">
        <v>384</v>
      </c>
      <c r="E1786" s="1596">
        <v>131.42313040358746</v>
      </c>
      <c r="G1786" s="906"/>
      <c r="H1786" s="907"/>
      <c r="I1786" s="908"/>
      <c r="J1786" s="909"/>
      <c r="K1786" s="1490"/>
      <c r="L1786" s="1490"/>
      <c r="M1786" s="1490"/>
      <c r="N1786" s="1490"/>
      <c r="O1786" s="1490"/>
      <c r="P1786" s="1490"/>
      <c r="Q1786" s="1490"/>
      <c r="R1786" s="1490"/>
      <c r="S1786" s="1490"/>
      <c r="T1786" s="1490"/>
      <c r="U1786" s="1490"/>
      <c r="V1786" s="1490"/>
      <c r="W1786" s="89"/>
      <c r="X1786" s="1490"/>
      <c r="Y1786" s="1491"/>
      <c r="Z1786" s="1492"/>
      <c r="AA1786" s="1493"/>
    </row>
    <row r="1787" spans="1:38" s="1489" customFormat="1">
      <c r="A1787" s="1491"/>
      <c r="B1787" s="1598" t="s">
        <v>1946</v>
      </c>
      <c r="C1787" s="1496"/>
      <c r="D1787" s="1514">
        <v>512</v>
      </c>
      <c r="E1787" s="1596">
        <v>175.23084053811661</v>
      </c>
      <c r="G1787" s="906"/>
      <c r="H1787" s="907"/>
      <c r="I1787" s="908"/>
      <c r="J1787" s="909"/>
      <c r="K1787" s="1490"/>
      <c r="L1787" s="1490"/>
      <c r="M1787" s="1490"/>
      <c r="N1787" s="1490"/>
      <c r="O1787" s="1490"/>
      <c r="P1787" s="1490"/>
      <c r="Q1787" s="1490"/>
      <c r="R1787" s="1490"/>
      <c r="S1787" s="1490"/>
      <c r="T1787" s="1490"/>
      <c r="U1787" s="1490"/>
      <c r="V1787" s="1490"/>
      <c r="W1787" s="89"/>
      <c r="X1787" s="1490"/>
      <c r="Y1787" s="1491"/>
      <c r="Z1787" s="1492"/>
      <c r="AA1787" s="1493"/>
    </row>
    <row r="1788" spans="1:38" s="1489" customFormat="1">
      <c r="A1788" s="1491"/>
      <c r="B1788" s="1598" t="s">
        <v>1947</v>
      </c>
      <c r="C1788" s="1496"/>
      <c r="D1788" s="1514">
        <v>768</v>
      </c>
      <c r="E1788" s="1596">
        <v>262.84626080717493</v>
      </c>
      <c r="G1788" s="906"/>
      <c r="H1788" s="907"/>
      <c r="I1788" s="908"/>
      <c r="J1788" s="909"/>
      <c r="K1788" s="1490"/>
      <c r="L1788" s="1490"/>
      <c r="M1788" s="1490"/>
      <c r="N1788" s="1490"/>
      <c r="O1788" s="1490"/>
      <c r="P1788" s="1490"/>
      <c r="Q1788" s="1490"/>
      <c r="R1788" s="1490"/>
      <c r="S1788" s="1490"/>
      <c r="T1788" s="1490"/>
      <c r="U1788" s="1490"/>
      <c r="V1788" s="1490"/>
      <c r="W1788" s="89"/>
      <c r="X1788" s="1490"/>
      <c r="Y1788" s="1491"/>
      <c r="Z1788" s="1492"/>
      <c r="AA1788" s="1493"/>
    </row>
    <row r="1789" spans="1:38" s="1489" customFormat="1" ht="15" thickBot="1">
      <c r="A1789" s="1491"/>
      <c r="B1789" s="1600" t="s">
        <v>1948</v>
      </c>
      <c r="C1789" s="1496"/>
      <c r="D1789" s="1601">
        <v>1024</v>
      </c>
      <c r="E1789" s="1596">
        <v>350.46168107623322</v>
      </c>
      <c r="G1789" s="906"/>
      <c r="H1789" s="907"/>
      <c r="I1789" s="908"/>
      <c r="J1789" s="909"/>
      <c r="K1789" s="1490"/>
      <c r="L1789" s="1490"/>
      <c r="M1789" s="1490"/>
      <c r="N1789" s="1490"/>
      <c r="O1789" s="1490"/>
      <c r="P1789" s="1490"/>
      <c r="Q1789" s="1490"/>
      <c r="R1789" s="1490"/>
      <c r="S1789" s="1490"/>
      <c r="T1789" s="1490"/>
      <c r="U1789" s="1490"/>
      <c r="V1789" s="1490"/>
      <c r="W1789" s="89"/>
      <c r="X1789" s="1490"/>
      <c r="Y1789" s="1491"/>
      <c r="Z1789" s="1492"/>
      <c r="AA1789" s="1493"/>
    </row>
    <row r="1790" spans="1:38" s="1489" customFormat="1">
      <c r="A1790" s="1491"/>
      <c r="B1790" s="2026" t="s">
        <v>2177</v>
      </c>
      <c r="C1790" s="2026"/>
      <c r="D1790" s="2026"/>
      <c r="E1790" s="2026"/>
      <c r="G1790" s="906"/>
      <c r="H1790" s="907"/>
      <c r="I1790" s="908"/>
      <c r="J1790" s="909"/>
      <c r="K1790" s="1490"/>
      <c r="L1790" s="1490"/>
      <c r="M1790" s="1490"/>
      <c r="N1790" s="1490"/>
      <c r="O1790" s="1490"/>
      <c r="P1790" s="1490"/>
      <c r="Q1790" s="1490"/>
      <c r="R1790" s="1490"/>
      <c r="S1790" s="1490"/>
      <c r="T1790" s="1490"/>
      <c r="U1790" s="1490"/>
      <c r="V1790" s="1490"/>
      <c r="W1790" s="89"/>
      <c r="X1790" s="1490"/>
      <c r="Y1790" s="1491"/>
      <c r="Z1790" s="1492"/>
      <c r="AA1790" s="1493"/>
    </row>
    <row r="1791" spans="1:38" s="613" customFormat="1">
      <c r="A1791" s="53"/>
      <c r="B1791" s="1440" t="s">
        <v>2178</v>
      </c>
      <c r="C1791" s="1440"/>
      <c r="D1791" s="1440">
        <v>4</v>
      </c>
      <c r="E1791" s="1596">
        <v>0.64227499999999993</v>
      </c>
      <c r="F1791" s="1489"/>
      <c r="G1791" s="906"/>
      <c r="H1791" s="907"/>
      <c r="I1791" s="908"/>
      <c r="J1791" s="909"/>
      <c r="K1791" s="1490"/>
      <c r="L1791" s="1490"/>
      <c r="M1791" s="1490"/>
      <c r="N1791" s="1490"/>
      <c r="O1791" s="1490"/>
      <c r="P1791" s="1490"/>
      <c r="Q1791" s="1490"/>
      <c r="R1791" s="1490"/>
      <c r="S1791" s="1490"/>
      <c r="T1791" s="1490"/>
      <c r="U1791" s="1490"/>
      <c r="V1791" s="1490"/>
      <c r="W1791" s="89"/>
      <c r="X1791" s="1490"/>
      <c r="Y1791" s="1491"/>
      <c r="Z1791" s="1492"/>
      <c r="AA1791" s="1493"/>
      <c r="AB1791" s="1489"/>
      <c r="AC1791" s="1489"/>
      <c r="AD1791" s="1489"/>
      <c r="AE1791" s="1489"/>
      <c r="AF1791" s="1489"/>
      <c r="AG1791" s="1489"/>
      <c r="AH1791" s="1489"/>
      <c r="AI1791" s="1489"/>
      <c r="AJ1791" s="1489"/>
      <c r="AK1791" s="1489"/>
      <c r="AL1791" s="1489"/>
    </row>
    <row r="1792" spans="1:38" s="613" customFormat="1">
      <c r="A1792" s="53"/>
      <c r="B1792" s="1440" t="s">
        <v>2179</v>
      </c>
      <c r="C1792" s="1440"/>
      <c r="D1792" s="1440">
        <v>8</v>
      </c>
      <c r="E1792" s="1596">
        <v>1.2697149999999999</v>
      </c>
      <c r="F1792" s="1489"/>
      <c r="G1792" s="906"/>
      <c r="H1792" s="907"/>
      <c r="I1792" s="908"/>
      <c r="J1792" s="909"/>
      <c r="K1792" s="1490"/>
      <c r="L1792" s="1490"/>
      <c r="M1792" s="1490"/>
      <c r="N1792" s="1490"/>
      <c r="O1792" s="1490"/>
      <c r="P1792" s="1490"/>
      <c r="Q1792" s="1490"/>
      <c r="R1792" s="1490"/>
      <c r="S1792" s="1490"/>
      <c r="T1792" s="1490"/>
      <c r="U1792" s="1490"/>
      <c r="V1792" s="1490"/>
      <c r="W1792" s="89"/>
      <c r="X1792" s="1490"/>
      <c r="Y1792" s="1491"/>
      <c r="Z1792" s="1492"/>
      <c r="AA1792" s="1493"/>
      <c r="AB1792" s="1489"/>
      <c r="AC1792" s="1489"/>
      <c r="AD1792" s="1489"/>
      <c r="AE1792" s="1489"/>
      <c r="AF1792" s="1489"/>
      <c r="AG1792" s="1489"/>
      <c r="AH1792" s="1489"/>
      <c r="AI1792" s="1489"/>
      <c r="AJ1792" s="1489"/>
      <c r="AK1792" s="1489"/>
      <c r="AL1792" s="1489"/>
    </row>
    <row r="1793" spans="1:38" s="613" customFormat="1">
      <c r="A1793" s="53"/>
      <c r="B1793" s="1440" t="s">
        <v>2180</v>
      </c>
      <c r="C1793" s="1440"/>
      <c r="D1793" s="1440">
        <v>16</v>
      </c>
      <c r="E1793" s="1596">
        <v>2.524365</v>
      </c>
      <c r="F1793" s="1489"/>
      <c r="G1793" s="906"/>
      <c r="H1793" s="907"/>
      <c r="I1793" s="908"/>
      <c r="J1793" s="909"/>
      <c r="K1793" s="1490"/>
      <c r="L1793" s="1490"/>
      <c r="M1793" s="1490"/>
      <c r="N1793" s="1490"/>
      <c r="O1793" s="1490"/>
      <c r="P1793" s="1490"/>
      <c r="Q1793" s="1490"/>
      <c r="R1793" s="1490"/>
      <c r="S1793" s="1490"/>
      <c r="T1793" s="1490"/>
      <c r="U1793" s="1490"/>
      <c r="V1793" s="1490"/>
      <c r="W1793" s="89"/>
      <c r="X1793" s="1490"/>
      <c r="Y1793" s="1491"/>
      <c r="Z1793" s="1492"/>
      <c r="AA1793" s="1493"/>
      <c r="AB1793" s="1489"/>
      <c r="AC1793" s="1489"/>
      <c r="AD1793" s="1489"/>
      <c r="AE1793" s="1489"/>
      <c r="AF1793" s="1489"/>
      <c r="AG1793" s="1489"/>
      <c r="AH1793" s="1489"/>
      <c r="AI1793" s="1489"/>
      <c r="AJ1793" s="1489"/>
      <c r="AK1793" s="1489"/>
      <c r="AL1793" s="1489"/>
    </row>
    <row r="1794" spans="1:38" s="613" customFormat="1">
      <c r="A1794" s="53"/>
      <c r="B1794" s="1440" t="s">
        <v>2181</v>
      </c>
      <c r="C1794" s="1440"/>
      <c r="D1794" s="1440">
        <v>24</v>
      </c>
      <c r="E1794" s="1596">
        <v>3.7791299999999999</v>
      </c>
      <c r="F1794" s="1489"/>
      <c r="G1794" s="906"/>
      <c r="H1794" s="907"/>
      <c r="I1794" s="908"/>
      <c r="J1794" s="909"/>
      <c r="K1794" s="1490"/>
      <c r="L1794" s="1490"/>
      <c r="M1794" s="1490"/>
      <c r="N1794" s="1490"/>
      <c r="O1794" s="1490"/>
      <c r="P1794" s="1490"/>
      <c r="Q1794" s="1490"/>
      <c r="R1794" s="1490"/>
      <c r="S1794" s="1490"/>
      <c r="T1794" s="1490"/>
      <c r="U1794" s="1490"/>
      <c r="V1794" s="1490"/>
      <c r="W1794" s="89"/>
      <c r="X1794" s="1490"/>
      <c r="Y1794" s="1491"/>
      <c r="Z1794" s="1492"/>
      <c r="AA1794" s="1493"/>
      <c r="AB1794" s="1489"/>
      <c r="AC1794" s="1489"/>
      <c r="AD1794" s="1489"/>
      <c r="AE1794" s="1489"/>
      <c r="AF1794" s="1489"/>
      <c r="AG1794" s="1489"/>
      <c r="AH1794" s="1489"/>
      <c r="AI1794" s="1489"/>
      <c r="AJ1794" s="1489"/>
      <c r="AK1794" s="1489"/>
      <c r="AL1794" s="1489"/>
    </row>
    <row r="1795" spans="1:38" s="613" customFormat="1">
      <c r="A1795" s="53"/>
      <c r="B1795" s="1440" t="s">
        <v>2182</v>
      </c>
      <c r="C1795" s="1440"/>
      <c r="D1795" s="1440">
        <v>32</v>
      </c>
      <c r="E1795" s="1596">
        <v>5.0338949999999993</v>
      </c>
      <c r="F1795" s="1489"/>
      <c r="G1795" s="906"/>
      <c r="H1795" s="907"/>
      <c r="I1795" s="908"/>
      <c r="J1795" s="909"/>
      <c r="K1795" s="1490"/>
      <c r="L1795" s="1490"/>
      <c r="M1795" s="1490"/>
      <c r="N1795" s="1490"/>
      <c r="O1795" s="1490"/>
      <c r="P1795" s="1490"/>
      <c r="Q1795" s="1490"/>
      <c r="R1795" s="1490"/>
      <c r="S1795" s="1490"/>
      <c r="T1795" s="1490"/>
      <c r="U1795" s="1490"/>
      <c r="V1795" s="1490"/>
      <c r="W1795" s="89"/>
      <c r="X1795" s="1490"/>
      <c r="Y1795" s="1491"/>
      <c r="Z1795" s="1492"/>
      <c r="AA1795" s="1493"/>
      <c r="AB1795" s="1489"/>
      <c r="AC1795" s="1489"/>
      <c r="AD1795" s="1489"/>
      <c r="AE1795" s="1489"/>
      <c r="AF1795" s="1489"/>
      <c r="AG1795" s="1489"/>
      <c r="AH1795" s="1489"/>
      <c r="AI1795" s="1489"/>
      <c r="AJ1795" s="1489"/>
      <c r="AK1795" s="1489"/>
      <c r="AL1795" s="1489"/>
    </row>
    <row r="1796" spans="1:38" s="613" customFormat="1">
      <c r="A1796" s="53"/>
      <c r="B1796" s="1440" t="s">
        <v>2183</v>
      </c>
      <c r="C1796" s="1440"/>
      <c r="D1796" s="1440">
        <v>48</v>
      </c>
      <c r="E1796" s="1596">
        <v>7.54331</v>
      </c>
      <c r="F1796" s="1489"/>
      <c r="G1796" s="906"/>
      <c r="H1796" s="907"/>
      <c r="I1796" s="908"/>
      <c r="J1796" s="909"/>
      <c r="K1796" s="1490"/>
      <c r="L1796" s="1490"/>
      <c r="M1796" s="1490"/>
      <c r="N1796" s="1490"/>
      <c r="O1796" s="1490"/>
      <c r="P1796" s="1490"/>
      <c r="Q1796" s="1490"/>
      <c r="R1796" s="1490"/>
      <c r="S1796" s="1490"/>
      <c r="T1796" s="1490"/>
      <c r="U1796" s="1490"/>
      <c r="V1796" s="1490"/>
      <c r="W1796" s="89"/>
      <c r="X1796" s="1490"/>
      <c r="Y1796" s="1491"/>
      <c r="Z1796" s="1492"/>
      <c r="AA1796" s="1493"/>
      <c r="AB1796" s="1489"/>
      <c r="AC1796" s="1489"/>
      <c r="AD1796" s="1489"/>
      <c r="AE1796" s="1489"/>
      <c r="AF1796" s="1489"/>
      <c r="AG1796" s="1489"/>
      <c r="AH1796" s="1489"/>
      <c r="AI1796" s="1489"/>
      <c r="AJ1796" s="1489"/>
      <c r="AK1796" s="1489"/>
      <c r="AL1796" s="1489"/>
    </row>
    <row r="1797" spans="1:38" s="613" customFormat="1">
      <c r="A1797" s="53"/>
      <c r="B1797" s="1440" t="s">
        <v>2184</v>
      </c>
      <c r="C1797" s="1440"/>
      <c r="D1797" s="1440">
        <v>64</v>
      </c>
      <c r="E1797" s="1596">
        <v>10.052724999999999</v>
      </c>
      <c r="F1797" s="1489"/>
      <c r="G1797" s="906"/>
      <c r="H1797" s="907"/>
      <c r="I1797" s="908"/>
      <c r="J1797" s="909"/>
      <c r="K1797" s="1490"/>
      <c r="L1797" s="1490"/>
      <c r="M1797" s="1490"/>
      <c r="N1797" s="1490"/>
      <c r="O1797" s="1490"/>
      <c r="P1797" s="1490"/>
      <c r="Q1797" s="1490"/>
      <c r="R1797" s="1490"/>
      <c r="S1797" s="1490"/>
      <c r="T1797" s="1490"/>
      <c r="U1797" s="1490"/>
      <c r="V1797" s="1490"/>
      <c r="W1797" s="89"/>
      <c r="X1797" s="1490"/>
      <c r="Y1797" s="1491"/>
      <c r="Z1797" s="1492"/>
      <c r="AA1797" s="1493"/>
      <c r="AB1797" s="1489"/>
      <c r="AC1797" s="1489"/>
      <c r="AD1797" s="1489"/>
      <c r="AE1797" s="1489"/>
      <c r="AF1797" s="1489"/>
      <c r="AG1797" s="1489"/>
      <c r="AH1797" s="1489"/>
      <c r="AI1797" s="1489"/>
      <c r="AJ1797" s="1489"/>
      <c r="AK1797" s="1489"/>
      <c r="AL1797" s="1489"/>
    </row>
    <row r="1798" spans="1:38" s="613" customFormat="1">
      <c r="A1798" s="53"/>
      <c r="B1798" s="1440" t="s">
        <v>2185</v>
      </c>
      <c r="C1798" s="1440"/>
      <c r="D1798" s="1440">
        <v>96</v>
      </c>
      <c r="E1798" s="1596">
        <v>15.071669999999999</v>
      </c>
      <c r="F1798" s="1489"/>
      <c r="G1798" s="906"/>
      <c r="H1798" s="907"/>
      <c r="I1798" s="908"/>
      <c r="J1798" s="909"/>
      <c r="K1798" s="1490"/>
      <c r="L1798" s="1490"/>
      <c r="M1798" s="1490"/>
      <c r="N1798" s="1490"/>
      <c r="O1798" s="1490"/>
      <c r="P1798" s="1490"/>
      <c r="Q1798" s="1490"/>
      <c r="R1798" s="1490"/>
      <c r="S1798" s="1490"/>
      <c r="T1798" s="1490"/>
      <c r="U1798" s="1490"/>
      <c r="V1798" s="1490"/>
      <c r="W1798" s="89"/>
      <c r="X1798" s="1490"/>
      <c r="Y1798" s="1491"/>
      <c r="Z1798" s="1492"/>
      <c r="AA1798" s="1493"/>
      <c r="AB1798" s="1489"/>
      <c r="AC1798" s="1489"/>
      <c r="AD1798" s="1489"/>
      <c r="AE1798" s="1489"/>
      <c r="AF1798" s="1489"/>
      <c r="AG1798" s="1489"/>
      <c r="AH1798" s="1489"/>
      <c r="AI1798" s="1489"/>
      <c r="AJ1798" s="1489"/>
      <c r="AK1798" s="1489"/>
      <c r="AL1798" s="1489"/>
    </row>
    <row r="1799" spans="1:38" s="613" customFormat="1">
      <c r="A1799" s="53"/>
      <c r="B1799" s="1440" t="s">
        <v>2186</v>
      </c>
      <c r="C1799" s="1440"/>
      <c r="D1799" s="1440">
        <v>128</v>
      </c>
      <c r="E1799" s="1596">
        <v>20.090614999999996</v>
      </c>
      <c r="F1799" s="1489"/>
      <c r="G1799" s="906"/>
      <c r="H1799" s="907"/>
      <c r="I1799" s="908"/>
      <c r="J1799" s="909"/>
      <c r="K1799" s="1490"/>
      <c r="L1799" s="1490"/>
      <c r="M1799" s="1490"/>
      <c r="N1799" s="1490"/>
      <c r="O1799" s="1490"/>
      <c r="P1799" s="1490"/>
      <c r="Q1799" s="1490"/>
      <c r="R1799" s="1490"/>
      <c r="S1799" s="1490"/>
      <c r="T1799" s="1490"/>
      <c r="U1799" s="1490"/>
      <c r="V1799" s="1490"/>
      <c r="W1799" s="89"/>
      <c r="X1799" s="1490"/>
      <c r="Y1799" s="1491"/>
      <c r="Z1799" s="1492"/>
      <c r="AA1799" s="1493"/>
      <c r="AB1799" s="1489"/>
      <c r="AC1799" s="1489"/>
      <c r="AD1799" s="1489"/>
      <c r="AE1799" s="1489"/>
      <c r="AF1799" s="1489"/>
      <c r="AG1799" s="1489"/>
      <c r="AH1799" s="1489"/>
      <c r="AI1799" s="1489"/>
      <c r="AJ1799" s="1489"/>
      <c r="AK1799" s="1489"/>
      <c r="AL1799" s="1489"/>
    </row>
    <row r="1800" spans="1:38" s="613" customFormat="1">
      <c r="A1800" s="53"/>
      <c r="B1800" s="1440" t="s">
        <v>2187</v>
      </c>
      <c r="C1800" s="1440"/>
      <c r="D1800" s="1440">
        <v>192</v>
      </c>
      <c r="E1800" s="1596">
        <v>30.128389999999996</v>
      </c>
      <c r="F1800" s="1489"/>
      <c r="G1800" s="906"/>
      <c r="H1800" s="907"/>
      <c r="I1800" s="908"/>
      <c r="J1800" s="909"/>
      <c r="K1800" s="1490"/>
      <c r="L1800" s="1490"/>
      <c r="M1800" s="1490"/>
      <c r="N1800" s="1490"/>
      <c r="O1800" s="1490"/>
      <c r="P1800" s="1490"/>
      <c r="Q1800" s="1490"/>
      <c r="R1800" s="1490"/>
      <c r="S1800" s="1490"/>
      <c r="T1800" s="1490"/>
      <c r="U1800" s="1490"/>
      <c r="V1800" s="1490"/>
      <c r="W1800" s="89"/>
      <c r="X1800" s="1490"/>
      <c r="Y1800" s="1491"/>
      <c r="Z1800" s="1492"/>
      <c r="AA1800" s="1493"/>
      <c r="AB1800" s="1489"/>
      <c r="AC1800" s="1489"/>
      <c r="AD1800" s="1489"/>
      <c r="AE1800" s="1489"/>
      <c r="AF1800" s="1489"/>
      <c r="AG1800" s="1489"/>
      <c r="AH1800" s="1489"/>
      <c r="AI1800" s="1489"/>
      <c r="AJ1800" s="1489"/>
      <c r="AK1800" s="1489"/>
      <c r="AL1800" s="1489"/>
    </row>
    <row r="1801" spans="1:38" s="613" customFormat="1">
      <c r="A1801" s="53"/>
      <c r="B1801" s="1440" t="s">
        <v>2188</v>
      </c>
      <c r="C1801" s="1440"/>
      <c r="D1801" s="1440">
        <v>256</v>
      </c>
      <c r="E1801" s="1596">
        <v>40.166279999999993</v>
      </c>
      <c r="F1801" s="1489"/>
      <c r="G1801" s="906"/>
      <c r="H1801" s="907"/>
      <c r="I1801" s="908"/>
      <c r="J1801" s="909"/>
      <c r="K1801" s="1490"/>
      <c r="L1801" s="1490"/>
      <c r="M1801" s="1490"/>
      <c r="N1801" s="1490"/>
      <c r="O1801" s="1490"/>
      <c r="P1801" s="1490"/>
      <c r="Q1801" s="1490"/>
      <c r="R1801" s="1490"/>
      <c r="S1801" s="1490"/>
      <c r="T1801" s="1490"/>
      <c r="U1801" s="1490"/>
      <c r="V1801" s="1490"/>
      <c r="W1801" s="89"/>
      <c r="X1801" s="1490"/>
      <c r="Y1801" s="1491"/>
      <c r="Z1801" s="1492"/>
      <c r="AA1801" s="1493"/>
      <c r="AB1801" s="1489"/>
      <c r="AC1801" s="1489"/>
      <c r="AD1801" s="1489"/>
      <c r="AE1801" s="1489"/>
      <c r="AF1801" s="1489"/>
      <c r="AG1801" s="1489"/>
      <c r="AH1801" s="1489"/>
      <c r="AI1801" s="1489"/>
      <c r="AJ1801" s="1489"/>
      <c r="AK1801" s="1489"/>
      <c r="AL1801" s="1489"/>
    </row>
    <row r="1802" spans="1:38" s="613" customFormat="1">
      <c r="A1802" s="53"/>
      <c r="B1802" s="1440" t="s">
        <v>2189</v>
      </c>
      <c r="C1802" s="1440"/>
      <c r="D1802" s="1440">
        <v>384</v>
      </c>
      <c r="E1802" s="1596">
        <v>60.241945000000001</v>
      </c>
      <c r="F1802" s="1489"/>
      <c r="G1802" s="906"/>
      <c r="H1802" s="907"/>
      <c r="I1802" s="908"/>
      <c r="J1802" s="909"/>
      <c r="K1802" s="1490"/>
      <c r="L1802" s="1490"/>
      <c r="M1802" s="1490"/>
      <c r="N1802" s="1490"/>
      <c r="O1802" s="1490"/>
      <c r="P1802" s="1490"/>
      <c r="Q1802" s="1490"/>
      <c r="R1802" s="1490"/>
      <c r="S1802" s="1490"/>
      <c r="T1802" s="1490"/>
      <c r="U1802" s="1490"/>
      <c r="V1802" s="1490"/>
      <c r="W1802" s="89"/>
      <c r="X1802" s="1490"/>
      <c r="Y1802" s="1491"/>
      <c r="Z1802" s="1492"/>
      <c r="AA1802" s="1493"/>
      <c r="AB1802" s="1489"/>
      <c r="AC1802" s="1489"/>
      <c r="AD1802" s="1489"/>
      <c r="AE1802" s="1489"/>
      <c r="AF1802" s="1489"/>
      <c r="AG1802" s="1489"/>
      <c r="AH1802" s="1489"/>
      <c r="AI1802" s="1489"/>
      <c r="AJ1802" s="1489"/>
      <c r="AK1802" s="1489"/>
      <c r="AL1802" s="1489"/>
    </row>
    <row r="1803" spans="1:38" s="613" customFormat="1">
      <c r="A1803" s="53"/>
      <c r="B1803" s="1440" t="s">
        <v>2190</v>
      </c>
      <c r="C1803" s="1440"/>
      <c r="D1803" s="1440">
        <v>512</v>
      </c>
      <c r="E1803" s="1596">
        <v>80.317494999999994</v>
      </c>
      <c r="F1803" s="1489"/>
      <c r="G1803" s="906"/>
      <c r="H1803" s="907"/>
      <c r="I1803" s="908"/>
      <c r="J1803" s="909"/>
      <c r="K1803" s="1490"/>
      <c r="L1803" s="1490"/>
      <c r="M1803" s="1490"/>
      <c r="N1803" s="1490"/>
      <c r="O1803" s="1490"/>
      <c r="P1803" s="1490"/>
      <c r="Q1803" s="1490"/>
      <c r="R1803" s="1490"/>
      <c r="S1803" s="1490"/>
      <c r="T1803" s="1490"/>
      <c r="U1803" s="1490"/>
      <c r="V1803" s="1490"/>
      <c r="W1803" s="89"/>
      <c r="X1803" s="1490"/>
      <c r="Y1803" s="1491"/>
      <c r="Z1803" s="1492"/>
      <c r="AA1803" s="1493"/>
      <c r="AB1803" s="1489"/>
      <c r="AC1803" s="1489"/>
      <c r="AD1803" s="1489"/>
      <c r="AE1803" s="1489"/>
      <c r="AF1803" s="1489"/>
      <c r="AG1803" s="1489"/>
      <c r="AH1803" s="1489"/>
      <c r="AI1803" s="1489"/>
      <c r="AJ1803" s="1489"/>
      <c r="AK1803" s="1489"/>
      <c r="AL1803" s="1489"/>
    </row>
    <row r="1804" spans="1:38" s="613" customFormat="1">
      <c r="A1804" s="53"/>
      <c r="B1804" s="1440" t="s">
        <v>2191</v>
      </c>
      <c r="C1804" s="1440"/>
      <c r="D1804" s="1440">
        <v>768</v>
      </c>
      <c r="E1804" s="1596">
        <v>120.46882499999998</v>
      </c>
      <c r="F1804" s="1489"/>
      <c r="G1804" s="906"/>
      <c r="H1804" s="907"/>
      <c r="I1804" s="908"/>
      <c r="J1804" s="909"/>
      <c r="K1804" s="1490"/>
      <c r="L1804" s="1490"/>
      <c r="M1804" s="1490"/>
      <c r="N1804" s="1490"/>
      <c r="O1804" s="1490"/>
      <c r="P1804" s="1490"/>
      <c r="Q1804" s="1490"/>
      <c r="R1804" s="1490"/>
      <c r="S1804" s="1490"/>
      <c r="T1804" s="1490"/>
      <c r="U1804" s="1490"/>
      <c r="V1804" s="1490"/>
      <c r="W1804" s="89"/>
      <c r="X1804" s="1490"/>
      <c r="Y1804" s="1491"/>
      <c r="Z1804" s="1492"/>
      <c r="AA1804" s="1493"/>
      <c r="AB1804" s="1489"/>
      <c r="AC1804" s="1489"/>
      <c r="AD1804" s="1489"/>
      <c r="AE1804" s="1489"/>
      <c r="AF1804" s="1489"/>
      <c r="AG1804" s="1489"/>
      <c r="AH1804" s="1489"/>
      <c r="AI1804" s="1489"/>
      <c r="AJ1804" s="1489"/>
      <c r="AK1804" s="1489"/>
      <c r="AL1804" s="1489"/>
    </row>
    <row r="1805" spans="1:38" s="613" customFormat="1">
      <c r="A1805" s="53"/>
      <c r="B1805" s="1440" t="s">
        <v>2192</v>
      </c>
      <c r="C1805" s="1440"/>
      <c r="D1805" s="1440">
        <v>1024</v>
      </c>
      <c r="E1805" s="1596">
        <v>160.62015499999998</v>
      </c>
      <c r="F1805" s="1489"/>
      <c r="G1805" s="906"/>
      <c r="H1805" s="907"/>
      <c r="I1805" s="908"/>
      <c r="J1805" s="909"/>
      <c r="K1805" s="1490"/>
      <c r="L1805" s="1490"/>
      <c r="M1805" s="1490"/>
      <c r="N1805" s="1490"/>
      <c r="O1805" s="1490"/>
      <c r="P1805" s="1490"/>
      <c r="Q1805" s="1490"/>
      <c r="R1805" s="1490"/>
      <c r="S1805" s="1490"/>
      <c r="T1805" s="1490"/>
      <c r="U1805" s="1490"/>
      <c r="V1805" s="1490"/>
      <c r="W1805" s="89"/>
      <c r="X1805" s="1490"/>
      <c r="Y1805" s="1491"/>
      <c r="Z1805" s="1492"/>
      <c r="AA1805" s="1493"/>
      <c r="AB1805" s="1489"/>
      <c r="AC1805" s="1489"/>
      <c r="AD1805" s="1489"/>
      <c r="AE1805" s="1489"/>
      <c r="AF1805" s="1489"/>
      <c r="AG1805" s="1489"/>
      <c r="AH1805" s="1489"/>
      <c r="AI1805" s="1489"/>
      <c r="AJ1805" s="1489"/>
      <c r="AK1805" s="1489"/>
      <c r="AL1805" s="1489"/>
    </row>
    <row r="1806" spans="1:38" s="613" customFormat="1">
      <c r="A1806" s="53"/>
      <c r="B1806" s="817" t="s">
        <v>2567</v>
      </c>
      <c r="C1806" s="1753"/>
      <c r="D1806" s="1753">
        <v>4096</v>
      </c>
      <c r="E1806" s="1792">
        <v>642.48080000000004</v>
      </c>
      <c r="F1806" s="1489"/>
      <c r="G1806" s="906"/>
      <c r="H1806" s="907"/>
      <c r="I1806" s="908"/>
      <c r="J1806" s="909"/>
      <c r="K1806" s="1490"/>
      <c r="L1806" s="1490"/>
      <c r="M1806" s="1490"/>
      <c r="N1806" s="1490"/>
      <c r="O1806" s="1490"/>
      <c r="P1806" s="1490"/>
      <c r="Q1806" s="1490"/>
      <c r="R1806" s="1490"/>
      <c r="S1806" s="1490"/>
      <c r="T1806" s="1490"/>
      <c r="U1806" s="1490"/>
      <c r="V1806" s="1490"/>
      <c r="W1806" s="89"/>
      <c r="X1806" s="1490"/>
      <c r="Y1806" s="1491"/>
      <c r="Z1806" s="1492"/>
      <c r="AA1806" s="1493"/>
      <c r="AB1806" s="1489"/>
      <c r="AC1806" s="1489"/>
      <c r="AD1806" s="1489"/>
      <c r="AE1806" s="1489"/>
      <c r="AF1806" s="1489"/>
      <c r="AG1806" s="1489"/>
      <c r="AH1806" s="1489"/>
      <c r="AI1806" s="1489"/>
      <c r="AJ1806" s="1489"/>
      <c r="AK1806" s="1489"/>
      <c r="AL1806" s="1489"/>
    </row>
    <row r="1807" spans="1:38" s="613" customFormat="1" ht="16.5" customHeight="1">
      <c r="A1807" s="53"/>
      <c r="B1807" s="295"/>
      <c r="C1807" s="295"/>
      <c r="D1807" s="295"/>
      <c r="E1807" s="1497"/>
      <c r="G1807" s="222"/>
      <c r="H1807" s="164"/>
      <c r="I1807" s="693"/>
      <c r="J1807" s="4"/>
      <c r="K1807" s="4"/>
      <c r="L1807" s="4"/>
      <c r="M1807" s="4"/>
      <c r="N1807" s="4"/>
      <c r="O1807" s="4"/>
      <c r="P1807" s="4"/>
      <c r="Q1807" s="4"/>
      <c r="R1807" s="4"/>
      <c r="S1807" s="4"/>
      <c r="T1807" s="4"/>
      <c r="U1807" s="4"/>
      <c r="V1807" s="4"/>
      <c r="W1807" s="89"/>
      <c r="X1807" s="4"/>
      <c r="Y1807" s="53"/>
      <c r="Z1807" s="218"/>
      <c r="AA1807" s="7"/>
    </row>
    <row r="1808" spans="1:38" s="1185" customFormat="1" ht="15.6">
      <c r="A1808" s="1186"/>
      <c r="B1808" s="689" t="s">
        <v>1106</v>
      </c>
      <c r="C1808" s="684"/>
      <c r="D1808" s="2028" t="s">
        <v>147</v>
      </c>
      <c r="E1808" s="2028"/>
      <c r="F1808" s="613"/>
      <c r="G1808" s="222"/>
      <c r="H1808" s="164"/>
      <c r="I1808" s="693"/>
      <c r="J1808" s="4"/>
      <c r="K1808" s="4"/>
      <c r="L1808" s="4"/>
      <c r="M1808" s="4"/>
      <c r="N1808" s="4"/>
      <c r="O1808" s="4"/>
      <c r="P1808" s="4"/>
      <c r="Q1808" s="4"/>
      <c r="R1808" s="4"/>
      <c r="S1808" s="4"/>
      <c r="T1808" s="4"/>
      <c r="U1808" s="4"/>
      <c r="V1808" s="4"/>
      <c r="W1808" s="89"/>
      <c r="X1808" s="4"/>
      <c r="Y1808" s="53"/>
      <c r="Z1808" s="218"/>
      <c r="AA1808" s="7"/>
      <c r="AB1808" s="613"/>
      <c r="AC1808" s="613"/>
      <c r="AD1808" s="613"/>
      <c r="AE1808" s="613"/>
      <c r="AF1808" s="613"/>
      <c r="AG1808" s="613"/>
      <c r="AH1808" s="613"/>
      <c r="AI1808" s="613"/>
      <c r="AJ1808" s="613"/>
      <c r="AK1808" s="613"/>
      <c r="AL1808" s="613"/>
    </row>
    <row r="1809" spans="1:38" s="613" customFormat="1">
      <c r="A1809" s="53"/>
      <c r="B1809" s="690" t="s">
        <v>638</v>
      </c>
      <c r="C1809" s="690" t="s">
        <v>3</v>
      </c>
      <c r="D1809" s="1516" t="s">
        <v>37</v>
      </c>
      <c r="E1809" s="1229" t="s">
        <v>639</v>
      </c>
      <c r="G1809" s="222"/>
      <c r="H1809" s="164"/>
      <c r="I1809" s="693"/>
      <c r="J1809" s="4"/>
      <c r="K1809" s="4"/>
      <c r="L1809" s="4"/>
      <c r="M1809" s="4"/>
      <c r="N1809" s="4"/>
      <c r="O1809" s="4"/>
      <c r="P1809" s="4"/>
      <c r="Q1809" s="4"/>
      <c r="R1809" s="4"/>
      <c r="S1809" s="4"/>
      <c r="T1809" s="4"/>
      <c r="U1809" s="4"/>
      <c r="V1809" s="4"/>
      <c r="W1809" s="89"/>
      <c r="X1809" s="4"/>
      <c r="Y1809" s="53"/>
      <c r="Z1809" s="218"/>
      <c r="AA1809" s="7"/>
    </row>
    <row r="1810" spans="1:38" s="163" customFormat="1" ht="14.55" customHeight="1">
      <c r="A1810" s="53"/>
      <c r="B1810" s="1923" t="s">
        <v>1100</v>
      </c>
      <c r="C1810" s="1924"/>
      <c r="D1810" s="1924"/>
      <c r="E1810" s="1925"/>
      <c r="F1810" s="613"/>
      <c r="G1810" s="222"/>
      <c r="H1810" s="164"/>
      <c r="I1810" s="693"/>
      <c r="J1810" s="4"/>
      <c r="K1810" s="4"/>
      <c r="L1810" s="4"/>
      <c r="M1810" s="4"/>
      <c r="N1810" s="4"/>
      <c r="O1810" s="4"/>
      <c r="P1810" s="4"/>
      <c r="Q1810" s="4"/>
      <c r="R1810" s="4"/>
      <c r="S1810" s="4"/>
      <c r="T1810" s="4"/>
      <c r="U1810" s="4"/>
      <c r="V1810" s="4"/>
      <c r="W1810" s="89"/>
      <c r="X1810" s="4"/>
      <c r="Y1810" s="53"/>
      <c r="Z1810" s="218"/>
      <c r="AA1810" s="7"/>
      <c r="AB1810" s="613"/>
      <c r="AC1810" s="613"/>
      <c r="AD1810" s="613"/>
      <c r="AE1810" s="613"/>
      <c r="AF1810" s="613"/>
      <c r="AG1810" s="613"/>
      <c r="AH1810" s="613"/>
      <c r="AI1810" s="613"/>
      <c r="AJ1810" s="613"/>
      <c r="AK1810" s="613"/>
      <c r="AL1810" s="613"/>
    </row>
    <row r="1811" spans="1:38" s="163" customFormat="1">
      <c r="A1811" s="53"/>
      <c r="B1811" s="712" t="s">
        <v>640</v>
      </c>
      <c r="C1811" s="712">
        <v>1</v>
      </c>
      <c r="D1811" s="1514">
        <v>2</v>
      </c>
      <c r="E1811" s="1518">
        <v>0.15295</v>
      </c>
      <c r="F1811" s="613"/>
      <c r="G1811" s="222"/>
      <c r="H1811" s="164"/>
      <c r="I1811" s="693"/>
      <c r="J1811" s="4"/>
      <c r="K1811" s="4"/>
      <c r="L1811" s="4"/>
      <c r="M1811" s="4"/>
      <c r="N1811" s="4"/>
      <c r="O1811" s="4"/>
      <c r="P1811" s="4"/>
      <c r="Q1811" s="4"/>
      <c r="R1811" s="4"/>
      <c r="S1811" s="4"/>
      <c r="T1811" s="4"/>
      <c r="U1811" s="4"/>
      <c r="V1811" s="4"/>
      <c r="W1811" s="89"/>
      <c r="X1811" s="4"/>
      <c r="Y1811" s="53"/>
      <c r="Z1811" s="218"/>
      <c r="AA1811" s="7"/>
      <c r="AB1811" s="613"/>
      <c r="AC1811" s="613"/>
      <c r="AD1811" s="613"/>
      <c r="AE1811" s="613"/>
      <c r="AF1811" s="613"/>
      <c r="AG1811" s="613"/>
      <c r="AH1811" s="613"/>
      <c r="AI1811" s="613"/>
      <c r="AJ1811" s="613"/>
      <c r="AK1811" s="613"/>
      <c r="AL1811" s="613"/>
    </row>
    <row r="1812" spans="1:38" s="163" customFormat="1">
      <c r="A1812" s="53"/>
      <c r="B1812" s="517" t="s">
        <v>641</v>
      </c>
      <c r="C1812" s="517">
        <v>1</v>
      </c>
      <c r="D1812" s="701">
        <v>4</v>
      </c>
      <c r="E1812" s="1518">
        <v>0.31682499999999991</v>
      </c>
      <c r="F1812" s="613"/>
      <c r="G1812" s="222"/>
      <c r="H1812" s="164"/>
      <c r="I1812" s="693"/>
      <c r="J1812" s="4"/>
      <c r="K1812" s="4"/>
      <c r="L1812" s="4"/>
      <c r="M1812" s="4"/>
      <c r="N1812" s="4"/>
      <c r="O1812" s="4"/>
      <c r="P1812" s="4"/>
      <c r="Q1812" s="4"/>
      <c r="R1812" s="4"/>
      <c r="S1812" s="4"/>
      <c r="T1812" s="4"/>
      <c r="U1812" s="4"/>
      <c r="V1812" s="4"/>
      <c r="W1812" s="89"/>
      <c r="X1812" s="4"/>
      <c r="Y1812" s="53"/>
      <c r="Z1812" s="218"/>
      <c r="AA1812" s="7"/>
      <c r="AB1812" s="613"/>
      <c r="AC1812" s="613"/>
      <c r="AD1812" s="613"/>
      <c r="AE1812" s="613"/>
      <c r="AF1812" s="613"/>
      <c r="AG1812" s="613"/>
      <c r="AH1812" s="613"/>
      <c r="AI1812" s="613"/>
      <c r="AJ1812" s="613"/>
      <c r="AK1812" s="613"/>
      <c r="AL1812" s="613"/>
    </row>
    <row r="1813" spans="1:38" s="163" customFormat="1">
      <c r="A1813" s="53"/>
      <c r="B1813" s="517" t="s">
        <v>642</v>
      </c>
      <c r="C1813" s="517">
        <v>2</v>
      </c>
      <c r="D1813" s="701">
        <v>8</v>
      </c>
      <c r="E1813" s="1518">
        <v>0.63364999999999982</v>
      </c>
      <c r="F1813" s="613"/>
      <c r="G1813" s="222"/>
      <c r="H1813" s="164"/>
      <c r="I1813" s="693"/>
      <c r="J1813" s="4"/>
      <c r="K1813" s="4"/>
      <c r="L1813" s="4"/>
      <c r="M1813" s="4"/>
      <c r="N1813" s="4"/>
      <c r="O1813" s="4"/>
      <c r="P1813" s="4"/>
      <c r="Q1813" s="4"/>
      <c r="R1813" s="4"/>
      <c r="S1813" s="4"/>
      <c r="T1813" s="4"/>
      <c r="U1813" s="4"/>
      <c r="V1813" s="4"/>
      <c r="W1813" s="89"/>
      <c r="X1813" s="4"/>
      <c r="Y1813" s="53"/>
      <c r="Z1813" s="218"/>
      <c r="AA1813" s="7"/>
      <c r="AB1813" s="613"/>
      <c r="AC1813" s="613"/>
      <c r="AD1813" s="613"/>
      <c r="AE1813" s="613"/>
      <c r="AF1813" s="613"/>
      <c r="AG1813" s="613"/>
      <c r="AH1813" s="613"/>
      <c r="AI1813" s="613"/>
      <c r="AJ1813" s="613"/>
      <c r="AK1813" s="613"/>
      <c r="AL1813" s="613"/>
    </row>
    <row r="1814" spans="1:38" s="613" customFormat="1">
      <c r="A1814" s="53"/>
      <c r="B1814" s="517" t="s">
        <v>643</v>
      </c>
      <c r="C1814" s="517">
        <v>2</v>
      </c>
      <c r="D1814" s="701">
        <v>16</v>
      </c>
      <c r="E1814" s="1518">
        <v>1.2563749999999996</v>
      </c>
      <c r="G1814" s="222"/>
      <c r="H1814" s="164"/>
      <c r="I1814" s="693"/>
      <c r="J1814" s="4"/>
      <c r="K1814" s="4"/>
      <c r="L1814" s="4"/>
      <c r="M1814" s="4"/>
      <c r="N1814" s="4"/>
      <c r="O1814" s="4"/>
      <c r="P1814" s="4"/>
      <c r="Q1814" s="4"/>
      <c r="R1814" s="4"/>
      <c r="S1814" s="4"/>
      <c r="T1814" s="4"/>
      <c r="U1814" s="4"/>
      <c r="V1814" s="4"/>
      <c r="W1814" s="89"/>
      <c r="X1814" s="4"/>
      <c r="Y1814" s="53"/>
      <c r="Z1814" s="218"/>
      <c r="AA1814" s="7"/>
    </row>
    <row r="1815" spans="1:38" s="613" customFormat="1">
      <c r="A1815" s="53"/>
      <c r="B1815" s="517" t="s">
        <v>644</v>
      </c>
      <c r="C1815" s="517">
        <v>4</v>
      </c>
      <c r="D1815" s="701">
        <v>32</v>
      </c>
      <c r="E1815" s="1518">
        <v>3.7144999999999997</v>
      </c>
      <c r="G1815" s="222"/>
      <c r="H1815" s="164"/>
      <c r="I1815" s="693"/>
      <c r="J1815" s="4"/>
      <c r="K1815" s="4"/>
      <c r="L1815" s="4"/>
      <c r="M1815" s="4"/>
      <c r="N1815" s="4"/>
      <c r="O1815" s="4"/>
      <c r="P1815" s="4"/>
      <c r="Q1815" s="4"/>
      <c r="R1815" s="4"/>
      <c r="S1815" s="4"/>
      <c r="T1815" s="4"/>
      <c r="U1815" s="4"/>
      <c r="V1815" s="4"/>
      <c r="W1815" s="89"/>
      <c r="X1815" s="4"/>
      <c r="Y1815" s="53"/>
      <c r="Z1815" s="218"/>
      <c r="AA1815" s="7"/>
    </row>
    <row r="1816" spans="1:38" s="613" customFormat="1">
      <c r="A1816" s="53"/>
      <c r="B1816" s="1163" t="s">
        <v>645</v>
      </c>
      <c r="C1816" s="713">
        <v>8</v>
      </c>
      <c r="D1816" s="1515">
        <v>64</v>
      </c>
      <c r="E1816" s="1518">
        <v>4.9490249999999989</v>
      </c>
      <c r="G1816" s="222"/>
      <c r="H1816" s="164"/>
      <c r="I1816" s="693"/>
      <c r="J1816" s="4"/>
      <c r="K1816" s="4"/>
      <c r="L1816" s="4"/>
      <c r="M1816" s="4"/>
      <c r="N1816" s="4"/>
      <c r="O1816" s="4"/>
      <c r="P1816" s="4"/>
      <c r="Q1816" s="4"/>
      <c r="R1816" s="4"/>
      <c r="S1816" s="4"/>
      <c r="T1816" s="4"/>
      <c r="U1816" s="4"/>
      <c r="V1816" s="4"/>
      <c r="W1816" s="89"/>
      <c r="X1816" s="4"/>
      <c r="Y1816" s="53"/>
      <c r="Z1816" s="218"/>
      <c r="AA1816" s="7"/>
    </row>
    <row r="1817" spans="1:38" s="613" customFormat="1">
      <c r="A1817" s="53"/>
      <c r="B1817" s="1923" t="s">
        <v>1101</v>
      </c>
      <c r="C1817" s="1924"/>
      <c r="D1817" s="1924"/>
      <c r="E1817" s="1925"/>
      <c r="G1817" s="222"/>
      <c r="H1817" s="164"/>
      <c r="I1817" s="693"/>
      <c r="J1817" s="4"/>
      <c r="K1817" s="4"/>
      <c r="L1817" s="4"/>
      <c r="M1817" s="4"/>
      <c r="N1817" s="4"/>
      <c r="O1817" s="4"/>
      <c r="P1817" s="4"/>
      <c r="Q1817" s="4"/>
      <c r="R1817" s="4"/>
      <c r="S1817" s="4"/>
      <c r="T1817" s="4"/>
      <c r="U1817" s="4"/>
      <c r="V1817" s="4"/>
      <c r="W1817" s="89"/>
      <c r="X1817" s="4"/>
      <c r="Y1817" s="53"/>
      <c r="Z1817" s="218"/>
      <c r="AA1817" s="7"/>
    </row>
    <row r="1818" spans="1:38" s="1405" customFormat="1">
      <c r="A1818" s="1186"/>
      <c r="B1818" s="712" t="s">
        <v>640</v>
      </c>
      <c r="C1818" s="712">
        <v>1</v>
      </c>
      <c r="D1818" s="1514">
        <v>2</v>
      </c>
      <c r="E1818" s="1518">
        <v>0.30590000000000001</v>
      </c>
      <c r="F1818" s="613"/>
      <c r="G1818" s="910" t="s">
        <v>1132</v>
      </c>
      <c r="H1818" s="911"/>
      <c r="I1818" s="912"/>
      <c r="J1818" s="4"/>
      <c r="K1818" s="4"/>
      <c r="L1818" s="4"/>
      <c r="M1818" s="4"/>
      <c r="N1818" s="4"/>
      <c r="O1818" s="4"/>
      <c r="P1818" s="4"/>
      <c r="Q1818" s="4"/>
      <c r="R1818" s="4"/>
      <c r="S1818" s="4"/>
      <c r="T1818" s="4"/>
      <c r="U1818" s="4"/>
      <c r="V1818" s="4"/>
      <c r="W1818" s="89"/>
      <c r="X1818" s="4"/>
      <c r="Y1818" s="53"/>
      <c r="Z1818" s="218"/>
      <c r="AA1818" s="7"/>
      <c r="AB1818" s="613"/>
      <c r="AC1818" s="613"/>
      <c r="AD1818" s="613"/>
      <c r="AE1818" s="613"/>
      <c r="AF1818" s="613"/>
      <c r="AG1818" s="613"/>
      <c r="AH1818" s="613"/>
      <c r="AI1818" s="613"/>
      <c r="AJ1818" s="613"/>
      <c r="AK1818" s="613"/>
      <c r="AL1818" s="613"/>
    </row>
    <row r="1819" spans="1:38" s="1394" customFormat="1">
      <c r="A1819" s="1186"/>
      <c r="B1819" s="517" t="s">
        <v>641</v>
      </c>
      <c r="C1819" s="517">
        <v>1</v>
      </c>
      <c r="D1819" s="701">
        <v>4</v>
      </c>
      <c r="E1819" s="1518">
        <v>0.63365000000000005</v>
      </c>
      <c r="F1819" s="613"/>
      <c r="G1819" s="222"/>
      <c r="H1819" s="164"/>
      <c r="I1819" s="693"/>
      <c r="J1819" s="4"/>
      <c r="K1819" s="4"/>
      <c r="L1819" s="4"/>
      <c r="M1819" s="4"/>
      <c r="N1819" s="4"/>
      <c r="O1819" s="4"/>
      <c r="P1819" s="4"/>
      <c r="Q1819" s="4"/>
      <c r="R1819" s="4"/>
      <c r="S1819" s="4"/>
      <c r="T1819" s="4"/>
      <c r="U1819" s="4"/>
      <c r="V1819" s="4"/>
      <c r="W1819" s="89"/>
      <c r="X1819" s="4"/>
      <c r="Y1819" s="53"/>
      <c r="Z1819" s="218"/>
      <c r="AA1819" s="7"/>
      <c r="AB1819" s="613"/>
      <c r="AC1819" s="613"/>
      <c r="AD1819" s="613"/>
      <c r="AE1819" s="613"/>
      <c r="AF1819" s="613"/>
      <c r="AG1819" s="613"/>
      <c r="AH1819" s="613"/>
      <c r="AI1819" s="613"/>
      <c r="AJ1819" s="613"/>
      <c r="AK1819" s="613"/>
      <c r="AL1819" s="613"/>
    </row>
    <row r="1820" spans="1:38" s="1405" customFormat="1">
      <c r="A1820" s="1186"/>
      <c r="B1820" s="517" t="s">
        <v>642</v>
      </c>
      <c r="C1820" s="517">
        <v>2</v>
      </c>
      <c r="D1820" s="701">
        <v>8</v>
      </c>
      <c r="E1820" s="1518">
        <v>1.2673000000000001</v>
      </c>
      <c r="F1820" s="613"/>
      <c r="G1820" s="222"/>
      <c r="H1820" s="164"/>
      <c r="I1820" s="693"/>
      <c r="J1820" s="4"/>
      <c r="K1820" s="4"/>
      <c r="L1820" s="4"/>
      <c r="M1820" s="4"/>
      <c r="N1820" s="4"/>
      <c r="O1820" s="4"/>
      <c r="P1820" s="4"/>
      <c r="Q1820" s="4"/>
      <c r="R1820" s="4"/>
      <c r="S1820" s="4"/>
      <c r="T1820" s="4"/>
      <c r="U1820" s="4"/>
      <c r="V1820" s="4"/>
      <c r="W1820" s="89"/>
      <c r="X1820" s="4"/>
      <c r="Y1820" s="53"/>
      <c r="Z1820" s="218"/>
      <c r="AA1820" s="7"/>
      <c r="AB1820" s="613"/>
      <c r="AC1820" s="613"/>
      <c r="AD1820" s="613"/>
      <c r="AE1820" s="613"/>
      <c r="AF1820" s="613"/>
      <c r="AG1820" s="613"/>
      <c r="AH1820" s="613"/>
      <c r="AI1820" s="613"/>
      <c r="AJ1820" s="613"/>
      <c r="AK1820" s="613"/>
      <c r="AL1820" s="613"/>
    </row>
    <row r="1821" spans="1:38" s="613" customFormat="1">
      <c r="A1821" s="53"/>
      <c r="B1821" s="517" t="s">
        <v>643</v>
      </c>
      <c r="C1821" s="517">
        <v>2</v>
      </c>
      <c r="D1821" s="701">
        <v>16</v>
      </c>
      <c r="E1821" s="1518">
        <v>2.51275</v>
      </c>
      <c r="G1821" s="222"/>
      <c r="H1821" s="164"/>
      <c r="I1821" s="693"/>
      <c r="J1821" s="4"/>
      <c r="K1821" s="4"/>
      <c r="L1821" s="4"/>
      <c r="M1821" s="4"/>
      <c r="N1821" s="4"/>
      <c r="O1821" s="4"/>
      <c r="P1821" s="4"/>
      <c r="Q1821" s="4"/>
      <c r="R1821" s="4"/>
      <c r="S1821" s="4"/>
      <c r="T1821" s="4"/>
      <c r="U1821" s="4"/>
      <c r="V1821" s="4"/>
      <c r="W1821" s="89"/>
      <c r="X1821" s="4"/>
      <c r="Y1821" s="53"/>
      <c r="Z1821" s="218"/>
      <c r="AA1821" s="7"/>
    </row>
    <row r="1822" spans="1:38" s="1489" customFormat="1">
      <c r="A1822" s="1491"/>
      <c r="B1822" s="517" t="s">
        <v>644</v>
      </c>
      <c r="C1822" s="517">
        <v>4</v>
      </c>
      <c r="D1822" s="701">
        <v>32</v>
      </c>
      <c r="E1822" s="1518">
        <v>7.4289999999999994</v>
      </c>
      <c r="F1822" s="613"/>
      <c r="G1822" s="222"/>
      <c r="H1822" s="164"/>
      <c r="I1822" s="693"/>
      <c r="J1822" s="4"/>
      <c r="K1822" s="4"/>
      <c r="L1822" s="4"/>
      <c r="M1822" s="4"/>
      <c r="N1822" s="4"/>
      <c r="O1822" s="4"/>
      <c r="P1822" s="4"/>
      <c r="Q1822" s="4"/>
      <c r="R1822" s="4"/>
      <c r="S1822" s="4"/>
      <c r="T1822" s="4"/>
      <c r="U1822" s="4"/>
      <c r="V1822" s="4"/>
      <c r="W1822" s="89"/>
      <c r="X1822" s="4"/>
      <c r="Y1822" s="53"/>
      <c r="Z1822" s="218"/>
      <c r="AA1822" s="7"/>
      <c r="AB1822" s="613"/>
      <c r="AC1822" s="613"/>
      <c r="AD1822" s="613"/>
      <c r="AE1822" s="613"/>
      <c r="AF1822" s="613"/>
      <c r="AG1822" s="613"/>
      <c r="AH1822" s="613"/>
      <c r="AI1822" s="613"/>
      <c r="AJ1822" s="613"/>
      <c r="AK1822" s="613"/>
      <c r="AL1822" s="613"/>
    </row>
    <row r="1823" spans="1:38" s="1489" customFormat="1">
      <c r="A1823" s="1491"/>
      <c r="B1823" s="517" t="s">
        <v>645</v>
      </c>
      <c r="C1823" s="517">
        <v>8</v>
      </c>
      <c r="D1823" s="701">
        <v>64</v>
      </c>
      <c r="E1823" s="1518">
        <v>9.8980499999999978</v>
      </c>
      <c r="F1823" s="613"/>
      <c r="G1823" s="222"/>
      <c r="H1823" s="164"/>
      <c r="I1823" s="693"/>
      <c r="J1823" s="4"/>
      <c r="K1823" s="4"/>
      <c r="L1823" s="4"/>
      <c r="M1823" s="4"/>
      <c r="N1823" s="4"/>
      <c r="O1823" s="4"/>
      <c r="P1823" s="4"/>
      <c r="Q1823" s="4"/>
      <c r="R1823" s="4"/>
      <c r="S1823" s="4"/>
      <c r="T1823" s="4"/>
      <c r="U1823" s="4"/>
      <c r="V1823" s="4"/>
      <c r="W1823" s="89"/>
      <c r="X1823" s="4"/>
      <c r="Y1823" s="53"/>
      <c r="Z1823" s="218"/>
      <c r="AA1823" s="7"/>
      <c r="AB1823" s="613"/>
      <c r="AC1823" s="613"/>
      <c r="AD1823" s="613"/>
      <c r="AE1823" s="613"/>
      <c r="AF1823" s="613"/>
      <c r="AG1823" s="613"/>
      <c r="AH1823" s="613"/>
      <c r="AI1823" s="613"/>
      <c r="AJ1823" s="613"/>
      <c r="AK1823" s="613"/>
      <c r="AL1823" s="613"/>
    </row>
    <row r="1824" spans="1:38" s="613" customFormat="1">
      <c r="A1824" s="53"/>
      <c r="B1824" s="295"/>
      <c r="C1824" s="295"/>
      <c r="D1824" s="295"/>
      <c r="E1824" s="891"/>
      <c r="F1824" s="1185"/>
      <c r="G1824" s="222"/>
      <c r="H1824" s="164"/>
      <c r="I1824" s="693"/>
      <c r="J1824" s="4"/>
      <c r="K1824" s="4"/>
      <c r="L1824" s="4"/>
      <c r="M1824" s="4"/>
      <c r="N1824" s="4"/>
      <c r="O1824" s="4"/>
      <c r="P1824" s="4"/>
      <c r="Q1824" s="4"/>
      <c r="R1824" s="4"/>
      <c r="S1824" s="4"/>
      <c r="T1824" s="4"/>
      <c r="U1824" s="4"/>
      <c r="V1824" s="4"/>
      <c r="W1824" s="89"/>
      <c r="X1824" s="4"/>
      <c r="Y1824" s="1186"/>
      <c r="Z1824" s="1192"/>
      <c r="AA1824" s="1187"/>
      <c r="AB1824" s="1185"/>
      <c r="AC1824" s="1185"/>
      <c r="AD1824" s="1185"/>
      <c r="AE1824" s="1185"/>
      <c r="AF1824" s="1185"/>
      <c r="AG1824" s="1185"/>
      <c r="AH1824" s="1185"/>
      <c r="AI1824" s="1185"/>
      <c r="AJ1824" s="1185"/>
      <c r="AK1824" s="1185"/>
      <c r="AL1824" s="1185"/>
    </row>
    <row r="1825" spans="1:38" s="1489" customFormat="1" hidden="1">
      <c r="A1825" s="1491"/>
      <c r="B1825" s="222"/>
      <c r="C1825" s="222"/>
      <c r="D1825" s="222"/>
      <c r="E1825" s="222"/>
      <c r="F1825" s="613"/>
      <c r="G1825" s="222"/>
      <c r="H1825" s="164"/>
      <c r="I1825" s="693"/>
      <c r="J1825" s="4"/>
      <c r="K1825" s="4"/>
      <c r="L1825" s="4"/>
      <c r="M1825" s="4"/>
      <c r="N1825" s="4"/>
      <c r="O1825" s="4"/>
      <c r="P1825" s="4"/>
      <c r="Q1825" s="4"/>
      <c r="R1825" s="4"/>
      <c r="S1825" s="4"/>
      <c r="T1825" s="4"/>
      <c r="U1825" s="4"/>
      <c r="V1825" s="4"/>
      <c r="W1825" s="89"/>
      <c r="X1825" s="4"/>
      <c r="Y1825" s="53"/>
      <c r="Z1825" s="218"/>
      <c r="AA1825" s="7"/>
      <c r="AB1825" s="613"/>
      <c r="AC1825" s="613"/>
      <c r="AD1825" s="613"/>
      <c r="AE1825" s="613"/>
      <c r="AF1825" s="613"/>
      <c r="AG1825" s="613"/>
      <c r="AH1825" s="613"/>
      <c r="AI1825" s="613"/>
      <c r="AJ1825" s="613"/>
      <c r="AK1825" s="613"/>
      <c r="AL1825" s="613"/>
    </row>
    <row r="1826" spans="1:38" s="1489" customFormat="1" hidden="1">
      <c r="A1826" s="1491"/>
      <c r="B1826" s="1921" t="s">
        <v>811</v>
      </c>
      <c r="C1826" s="1922"/>
      <c r="D1826" s="1922"/>
      <c r="E1826" s="1922"/>
      <c r="F1826" s="26" t="s">
        <v>398</v>
      </c>
      <c r="G1826" s="4"/>
      <c r="H1826" s="4"/>
      <c r="I1826" s="4"/>
      <c r="J1826" s="4"/>
      <c r="K1826" s="165"/>
      <c r="L1826" s="165"/>
      <c r="M1826" s="4"/>
      <c r="N1826" s="4"/>
      <c r="O1826" s="4"/>
      <c r="P1826" s="4"/>
      <c r="Q1826" s="4"/>
      <c r="R1826" s="4"/>
      <c r="S1826" s="4"/>
      <c r="T1826" s="4"/>
      <c r="U1826" s="4"/>
      <c r="V1826" s="4"/>
      <c r="W1826" s="89"/>
      <c r="X1826" s="4"/>
      <c r="Y1826" s="53"/>
      <c r="Z1826" s="1919" t="s">
        <v>611</v>
      </c>
      <c r="AA1826" s="7"/>
      <c r="AB1826" s="163"/>
      <c r="AC1826" s="163"/>
      <c r="AD1826" s="163"/>
      <c r="AE1826" s="163"/>
      <c r="AF1826" s="163"/>
      <c r="AG1826" s="163"/>
      <c r="AH1826" s="163"/>
      <c r="AI1826" s="163"/>
      <c r="AJ1826" s="163"/>
      <c r="AK1826" s="163"/>
      <c r="AL1826" s="163"/>
    </row>
    <row r="1827" spans="1:38" s="613" customFormat="1" ht="28.8" hidden="1">
      <c r="A1827" s="53"/>
      <c r="B1827" s="138" t="s">
        <v>2</v>
      </c>
      <c r="C1827" s="108" t="s">
        <v>393</v>
      </c>
      <c r="D1827" s="108" t="s">
        <v>37</v>
      </c>
      <c r="E1827" s="108" t="s">
        <v>395</v>
      </c>
      <c r="F1827" s="108" t="s">
        <v>396</v>
      </c>
      <c r="G1827" s="108" t="s">
        <v>397</v>
      </c>
      <c r="H1827" s="108" t="s">
        <v>427</v>
      </c>
      <c r="I1827" s="109" t="s">
        <v>157</v>
      </c>
      <c r="J1827" s="163"/>
      <c r="K1827" s="165"/>
      <c r="L1827" s="165"/>
      <c r="M1827" s="127"/>
      <c r="N1827" s="4"/>
      <c r="O1827" s="4"/>
      <c r="P1827" s="4"/>
      <c r="Q1827" s="4"/>
      <c r="R1827" s="4"/>
      <c r="S1827" s="4"/>
      <c r="T1827" s="4"/>
      <c r="U1827" s="4"/>
      <c r="V1827" s="4"/>
      <c r="W1827" s="89"/>
      <c r="X1827" s="4"/>
      <c r="Y1827" s="125"/>
      <c r="Z1827" s="1919"/>
      <c r="AA1827" s="7"/>
      <c r="AB1827" s="163"/>
      <c r="AC1827" s="163"/>
      <c r="AD1827" s="163"/>
      <c r="AE1827" s="163"/>
      <c r="AF1827" s="163"/>
      <c r="AG1827" s="163"/>
      <c r="AH1827" s="163"/>
      <c r="AI1827" s="163"/>
      <c r="AJ1827" s="163"/>
      <c r="AK1827" s="163"/>
      <c r="AL1827" s="163"/>
    </row>
    <row r="1828" spans="1:38" s="613" customFormat="1" hidden="1">
      <c r="A1828" s="53"/>
      <c r="B1828" s="538" t="s">
        <v>392</v>
      </c>
      <c r="C1828" s="673" t="s">
        <v>428</v>
      </c>
      <c r="D1828" s="673">
        <v>320</v>
      </c>
      <c r="E1828" s="515" t="s">
        <v>71</v>
      </c>
      <c r="F1828" s="538" t="s">
        <v>71</v>
      </c>
      <c r="G1828" s="515" t="s">
        <v>102</v>
      </c>
      <c r="H1828" s="674">
        <v>24650</v>
      </c>
      <c r="I1828" s="674">
        <v>2054</v>
      </c>
      <c r="J1828" s="163"/>
      <c r="K1828" s="165"/>
      <c r="L1828" s="165"/>
      <c r="M1828" s="4"/>
      <c r="N1828" s="4"/>
      <c r="O1828" s="4"/>
      <c r="P1828" s="4"/>
      <c r="Q1828" s="4"/>
      <c r="R1828" s="4"/>
      <c r="S1828" s="4"/>
      <c r="T1828" s="4"/>
      <c r="U1828" s="4"/>
      <c r="V1828" s="4"/>
      <c r="W1828" s="89"/>
      <c r="X1828" s="4"/>
      <c r="Y1828" s="53"/>
      <c r="Z1828" s="730"/>
      <c r="AA1828" s="7"/>
      <c r="AB1828" s="163"/>
      <c r="AC1828" s="163"/>
      <c r="AD1828" s="163"/>
      <c r="AE1828" s="163"/>
      <c r="AF1828" s="163"/>
      <c r="AG1828" s="163"/>
      <c r="AH1828" s="163"/>
      <c r="AI1828" s="163"/>
      <c r="AJ1828" s="163"/>
      <c r="AK1828" s="163"/>
      <c r="AL1828" s="163"/>
    </row>
    <row r="1829" spans="1:38" s="613" customFormat="1" hidden="1">
      <c r="A1829" s="53"/>
      <c r="B1829" s="163"/>
      <c r="C1829" s="219"/>
      <c r="D1829" s="63"/>
      <c r="E1829" s="46"/>
      <c r="F1829" s="63"/>
      <c r="G1829" s="46"/>
      <c r="H1829" s="61"/>
      <c r="I1829" s="106"/>
      <c r="J1829" s="163"/>
      <c r="K1829" s="165"/>
      <c r="L1829" s="165"/>
      <c r="M1829" s="4"/>
      <c r="N1829" s="4"/>
      <c r="O1829" s="4"/>
      <c r="P1829" s="4"/>
      <c r="Q1829" s="4"/>
      <c r="R1829" s="4"/>
      <c r="S1829" s="4"/>
      <c r="T1829" s="4"/>
      <c r="U1829" s="4"/>
      <c r="V1829" s="4"/>
      <c r="W1829" s="89"/>
      <c r="X1829" s="4"/>
      <c r="Y1829" s="53"/>
      <c r="Z1829" s="730"/>
      <c r="AA1829" s="7"/>
      <c r="AB1829" s="163"/>
      <c r="AC1829" s="163"/>
      <c r="AD1829" s="163"/>
      <c r="AE1829" s="163"/>
      <c r="AF1829" s="163"/>
      <c r="AG1829" s="163"/>
      <c r="AH1829" s="163"/>
      <c r="AI1829" s="163"/>
      <c r="AJ1829" s="163"/>
      <c r="AK1829" s="163"/>
      <c r="AL1829" s="163"/>
    </row>
    <row r="1830" spans="1:38" s="613" customFormat="1" hidden="1">
      <c r="A1830" s="53"/>
      <c r="C1830" s="4"/>
      <c r="D1830" s="4"/>
      <c r="E1830" s="42"/>
      <c r="F1830" s="4"/>
      <c r="G1830" s="42"/>
      <c r="H1830" s="222"/>
      <c r="I1830" s="164"/>
      <c r="K1830" s="693"/>
      <c r="L1830" s="693"/>
      <c r="M1830" s="4"/>
      <c r="N1830" s="4"/>
      <c r="O1830" s="4"/>
      <c r="P1830" s="4"/>
      <c r="Q1830" s="4"/>
      <c r="R1830" s="4"/>
      <c r="S1830" s="4"/>
      <c r="T1830" s="4"/>
      <c r="U1830" s="4"/>
      <c r="V1830" s="4"/>
      <c r="W1830" s="89"/>
      <c r="X1830" s="4"/>
      <c r="Y1830" s="53"/>
      <c r="Z1830" s="730"/>
      <c r="AA1830" s="7"/>
    </row>
    <row r="1831" spans="1:38" s="613" customFormat="1">
      <c r="A1831" s="53"/>
      <c r="B1831" s="1936" t="s">
        <v>862</v>
      </c>
      <c r="C1831" s="1937"/>
      <c r="D1831" s="1938"/>
      <c r="E1831" s="26"/>
      <c r="F1831" s="4"/>
      <c r="G1831" s="4"/>
      <c r="H1831" s="4"/>
      <c r="I1831" s="4"/>
      <c r="J1831" s="164"/>
      <c r="K1831" s="164"/>
      <c r="L1831" s="428"/>
      <c r="M1831" s="304"/>
      <c r="N1831" s="304"/>
      <c r="O1831" s="428"/>
      <c r="P1831" s="428"/>
      <c r="Q1831" s="304"/>
      <c r="R1831" s="304"/>
      <c r="S1831" s="4"/>
      <c r="T1831" s="4"/>
      <c r="U1831" s="4"/>
      <c r="V1831" s="4"/>
      <c r="W1831" s="89"/>
      <c r="X1831" s="4"/>
      <c r="Y1831" s="53"/>
      <c r="Z1831" s="730"/>
      <c r="AA1831" s="7"/>
    </row>
    <row r="1832" spans="1:38" s="613" customFormat="1" ht="115.2">
      <c r="A1832" s="53"/>
      <c r="B1832" s="791"/>
      <c r="C1832" s="792"/>
      <c r="D1832" s="793"/>
      <c r="E1832" s="26"/>
      <c r="F1832" s="1666" t="s">
        <v>2420</v>
      </c>
      <c r="G1832" s="1636" t="s">
        <v>836</v>
      </c>
      <c r="H1832" s="1652" t="s">
        <v>835</v>
      </c>
      <c r="I1832" s="1652"/>
      <c r="J1832" s="1652"/>
      <c r="K1832" s="1636" t="s">
        <v>855</v>
      </c>
      <c r="L1832" s="1649" t="s">
        <v>853</v>
      </c>
      <c r="M1832" s="1653"/>
      <c r="N1832" s="1654"/>
      <c r="O1832" s="1636" t="s">
        <v>856</v>
      </c>
      <c r="P1832" s="1649" t="s">
        <v>854</v>
      </c>
      <c r="Q1832" s="1650"/>
      <c r="R1832" s="1651"/>
      <c r="S1832" s="4"/>
      <c r="T1832" s="4"/>
      <c r="U1832" s="4"/>
      <c r="V1832" s="4"/>
      <c r="W1832" s="89"/>
      <c r="X1832" s="4"/>
      <c r="Y1832" s="53"/>
      <c r="Z1832" s="730" t="s">
        <v>857</v>
      </c>
      <c r="AA1832" s="7"/>
    </row>
    <row r="1833" spans="1:38" s="613" customFormat="1" ht="28.8">
      <c r="A1833" s="53"/>
      <c r="B1833" s="505" t="s">
        <v>2</v>
      </c>
      <c r="C1833" s="505" t="s">
        <v>393</v>
      </c>
      <c r="D1833" s="505" t="s">
        <v>472</v>
      </c>
      <c r="E1833" s="505" t="s">
        <v>826</v>
      </c>
      <c r="F1833" s="1395" t="s">
        <v>2351</v>
      </c>
      <c r="G1833" s="540" t="s">
        <v>471</v>
      </c>
      <c r="H1833" s="540" t="s">
        <v>832</v>
      </c>
      <c r="I1833" s="540" t="s">
        <v>833</v>
      </c>
      <c r="J1833" s="540" t="s">
        <v>834</v>
      </c>
      <c r="K1833" s="540" t="s">
        <v>471</v>
      </c>
      <c r="L1833" s="540" t="s">
        <v>832</v>
      </c>
      <c r="M1833" s="540" t="s">
        <v>833</v>
      </c>
      <c r="N1833" s="540" t="s">
        <v>834</v>
      </c>
      <c r="O1833" s="540" t="s">
        <v>471</v>
      </c>
      <c r="P1833" s="540" t="s">
        <v>832</v>
      </c>
      <c r="Q1833" s="540" t="s">
        <v>833</v>
      </c>
      <c r="R1833" s="540" t="s">
        <v>834</v>
      </c>
      <c r="S1833" s="4"/>
      <c r="T1833" s="4"/>
      <c r="U1833" s="4"/>
      <c r="V1833" s="4"/>
      <c r="W1833" s="89"/>
      <c r="X1833" s="4"/>
      <c r="Y1833" s="53"/>
      <c r="Z1833" s="730"/>
      <c r="AA1833" s="7"/>
    </row>
    <row r="1834" spans="1:38" s="613" customFormat="1">
      <c r="A1834" s="53"/>
      <c r="B1834" s="1602" t="s">
        <v>2115</v>
      </c>
      <c r="C1834" s="1612">
        <v>76</v>
      </c>
      <c r="D1834" s="1612">
        <v>608</v>
      </c>
      <c r="E1834" s="1603"/>
      <c r="F1834" s="1596">
        <v>5.6001000000000003</v>
      </c>
      <c r="G1834" s="1648">
        <v>2575.4699999999998</v>
      </c>
      <c r="H1834" s="1648">
        <v>14716.98</v>
      </c>
      <c r="I1834" s="1648">
        <v>1226.42</v>
      </c>
      <c r="J1834" s="1648">
        <v>2452.83</v>
      </c>
      <c r="K1834" s="1648">
        <v>2207.54</v>
      </c>
      <c r="L1834" s="1648">
        <v>25509.42</v>
      </c>
      <c r="M1834" s="1648">
        <v>1062.8900000000001</v>
      </c>
      <c r="N1834" s="1648">
        <v>2125.7800000000002</v>
      </c>
      <c r="O1834" s="1648">
        <v>1757.86</v>
      </c>
      <c r="P1834" s="1648">
        <v>29433.95</v>
      </c>
      <c r="Q1834" s="1648">
        <v>817.61</v>
      </c>
      <c r="R1834" s="1648">
        <v>1635.22</v>
      </c>
      <c r="S1834" s="4"/>
      <c r="T1834" s="4"/>
      <c r="U1834" s="4"/>
      <c r="V1834" s="4"/>
      <c r="W1834" s="89"/>
      <c r="X1834" s="4"/>
      <c r="Y1834" s="1186"/>
      <c r="Z1834" s="730"/>
      <c r="AA1834" s="1187"/>
      <c r="AB1834" s="1405"/>
      <c r="AC1834" s="1405"/>
      <c r="AD1834" s="1405"/>
      <c r="AE1834" s="1405"/>
      <c r="AF1834" s="1405"/>
      <c r="AG1834" s="1405"/>
      <c r="AH1834" s="1405"/>
      <c r="AI1834" s="1405"/>
      <c r="AJ1834" s="1405"/>
      <c r="AK1834" s="1405"/>
      <c r="AL1834" s="1405"/>
    </row>
    <row r="1835" spans="1:38" s="613" customFormat="1" ht="43.2">
      <c r="A1835" s="53"/>
      <c r="B1835" s="1488" t="s">
        <v>1996</v>
      </c>
      <c r="C1835" s="1488">
        <v>74</v>
      </c>
      <c r="D1835" s="1496">
        <v>148</v>
      </c>
      <c r="E1835" s="1604" t="s">
        <v>827</v>
      </c>
      <c r="F1835" s="1596">
        <v>3.7378999999999998</v>
      </c>
      <c r="G1835" s="1648">
        <v>1719.07</v>
      </c>
      <c r="H1835" s="1648">
        <v>9823.27</v>
      </c>
      <c r="I1835" s="1648">
        <v>818.61</v>
      </c>
      <c r="J1835" s="1648">
        <v>1637.22</v>
      </c>
      <c r="K1835" s="1648">
        <v>1482.08</v>
      </c>
      <c r="L1835" s="1648">
        <v>17027.009999999998</v>
      </c>
      <c r="M1835" s="1648">
        <v>709.46</v>
      </c>
      <c r="N1835" s="1648">
        <v>1418.92</v>
      </c>
      <c r="O1835" s="1648">
        <v>1166.23</v>
      </c>
      <c r="P1835" s="1648">
        <v>19646.560000000001</v>
      </c>
      <c r="Q1835" s="1648">
        <v>545.74</v>
      </c>
      <c r="R1835" s="1648">
        <v>1091.47</v>
      </c>
      <c r="S1835" s="4"/>
      <c r="T1835" s="4"/>
      <c r="U1835" s="4"/>
      <c r="V1835" s="4"/>
      <c r="W1835" s="89"/>
      <c r="X1835" s="4"/>
      <c r="Y1835" s="1186"/>
      <c r="Z1835" s="730"/>
      <c r="AA1835" s="1187"/>
      <c r="AB1835" s="1394"/>
      <c r="AC1835" s="1394"/>
      <c r="AD1835" s="1394"/>
      <c r="AE1835" s="1394"/>
      <c r="AF1835" s="1394"/>
      <c r="AG1835" s="1394"/>
      <c r="AH1835" s="1394"/>
      <c r="AI1835" s="1394"/>
      <c r="AJ1835" s="1394"/>
      <c r="AK1835" s="1394"/>
      <c r="AL1835" s="1394"/>
    </row>
    <row r="1836" spans="1:38" s="613" customFormat="1" ht="43.2">
      <c r="A1836" s="53"/>
      <c r="B1836" s="1488" t="s">
        <v>2050</v>
      </c>
      <c r="C1836" s="1488">
        <v>74</v>
      </c>
      <c r="D1836" s="1496">
        <v>296</v>
      </c>
      <c r="E1836" s="1604" t="s">
        <v>827</v>
      </c>
      <c r="F1836" s="1596">
        <v>4.1398999999999999</v>
      </c>
      <c r="G1836" s="1648">
        <v>1903.92</v>
      </c>
      <c r="H1836" s="1648">
        <v>10879.55</v>
      </c>
      <c r="I1836" s="1648">
        <v>906.63</v>
      </c>
      <c r="J1836" s="1648">
        <v>1813.26</v>
      </c>
      <c r="K1836" s="1648">
        <v>1641.45</v>
      </c>
      <c r="L1836" s="1648">
        <v>18857.88</v>
      </c>
      <c r="M1836" s="1648">
        <v>785.75</v>
      </c>
      <c r="N1836" s="1648">
        <v>1571.49</v>
      </c>
      <c r="O1836" s="1648">
        <v>1291.6400000000001</v>
      </c>
      <c r="P1836" s="1648">
        <v>21759.08</v>
      </c>
      <c r="Q1836" s="1648">
        <v>604.41999999999996</v>
      </c>
      <c r="R1836" s="1648">
        <v>1208.8399999999999</v>
      </c>
      <c r="S1836" s="4"/>
      <c r="T1836" s="4"/>
      <c r="U1836" s="4"/>
      <c r="V1836" s="4"/>
      <c r="W1836" s="89"/>
      <c r="X1836" s="4"/>
      <c r="Y1836" s="1186"/>
      <c r="Z1836" s="730"/>
      <c r="AA1836" s="1187"/>
      <c r="AB1836" s="1405"/>
      <c r="AC1836" s="1405"/>
      <c r="AD1836" s="1405"/>
      <c r="AE1836" s="1405"/>
      <c r="AF1836" s="1405"/>
      <c r="AG1836" s="1405"/>
      <c r="AH1836" s="1405"/>
      <c r="AI1836" s="1405"/>
      <c r="AJ1836" s="1405"/>
      <c r="AK1836" s="1405"/>
      <c r="AL1836" s="1405"/>
    </row>
    <row r="1837" spans="1:38" s="613" customFormat="1" ht="43.2">
      <c r="A1837" s="53"/>
      <c r="B1837" s="538" t="s">
        <v>823</v>
      </c>
      <c r="C1837" s="1613" t="s">
        <v>2278</v>
      </c>
      <c r="D1837" s="673">
        <v>320</v>
      </c>
      <c r="E1837" s="1604" t="s">
        <v>827</v>
      </c>
      <c r="F1837" s="1596">
        <v>5.4882</v>
      </c>
      <c r="G1837" s="1648">
        <v>2497.11</v>
      </c>
      <c r="H1837" s="1648">
        <v>12985.23</v>
      </c>
      <c r="I1837" s="1648">
        <v>1081.58</v>
      </c>
      <c r="J1837" s="1648">
        <v>2164.42</v>
      </c>
      <c r="K1837" s="1648">
        <v>2140.38</v>
      </c>
      <c r="L1837" s="1648">
        <v>22830.720000000001</v>
      </c>
      <c r="M1837" s="1648">
        <v>951.28</v>
      </c>
      <c r="N1837" s="1648">
        <v>1902.56</v>
      </c>
      <c r="O1837" s="1648">
        <v>1783.65</v>
      </c>
      <c r="P1837" s="1648">
        <v>29537.75</v>
      </c>
      <c r="Q1837" s="1648">
        <v>820.99</v>
      </c>
      <c r="R1837" s="1648">
        <v>1640.71</v>
      </c>
      <c r="S1837" s="4"/>
      <c r="T1837" s="4"/>
      <c r="U1837" s="4"/>
      <c r="V1837" s="4"/>
      <c r="W1837" s="89"/>
      <c r="X1837" s="4"/>
      <c r="Y1837" s="53"/>
      <c r="Z1837" s="730"/>
      <c r="AA1837" s="7"/>
    </row>
    <row r="1838" spans="1:38" s="613" customFormat="1" ht="43.2">
      <c r="A1838" s="53"/>
      <c r="B1838" s="538" t="s">
        <v>2277</v>
      </c>
      <c r="C1838" s="1613" t="s">
        <v>2276</v>
      </c>
      <c r="D1838" s="673">
        <v>516</v>
      </c>
      <c r="E1838" s="1604" t="s">
        <v>827</v>
      </c>
      <c r="F1838" s="1596">
        <v>3.6286999999999998</v>
      </c>
      <c r="G1838" s="1596">
        <v>1668.8391300000001</v>
      </c>
      <c r="H1838" s="1596">
        <v>9536.2235999999994</v>
      </c>
      <c r="I1838" s="1596">
        <v>794.68529999999998</v>
      </c>
      <c r="J1838" s="1596">
        <v>1589.3706</v>
      </c>
      <c r="K1838" s="1596">
        <v>1456.9230500000001</v>
      </c>
      <c r="L1838" s="1596">
        <v>16529.454239999999</v>
      </c>
      <c r="M1838" s="1596">
        <v>688.72726</v>
      </c>
      <c r="N1838" s="1596">
        <v>1377.45452</v>
      </c>
      <c r="O1838" s="1596">
        <v>1139.0489300000002</v>
      </c>
      <c r="P1838" s="1596">
        <v>19072.447200000002</v>
      </c>
      <c r="Q1838" s="1596">
        <v>529.79020000000003</v>
      </c>
      <c r="R1838" s="1596">
        <v>1059.5804000000001</v>
      </c>
      <c r="S1838" s="1490"/>
      <c r="T1838" s="1490"/>
      <c r="U1838" s="1490"/>
      <c r="V1838" s="1490"/>
      <c r="W1838" s="89"/>
      <c r="X1838" s="1490"/>
      <c r="Y1838" s="1491"/>
      <c r="Z1838" s="730"/>
      <c r="AA1838" s="1493"/>
      <c r="AB1838" s="1489"/>
      <c r="AC1838" s="1489"/>
      <c r="AD1838" s="1489"/>
      <c r="AE1838" s="1489"/>
      <c r="AF1838" s="1489"/>
      <c r="AG1838" s="1489"/>
      <c r="AH1838" s="1489"/>
      <c r="AI1838" s="1489"/>
      <c r="AJ1838" s="1489"/>
      <c r="AK1838" s="1489"/>
      <c r="AL1838" s="1489"/>
    </row>
    <row r="1839" spans="1:38" s="613" customFormat="1" ht="43.2">
      <c r="A1839" s="53"/>
      <c r="B1839" s="538" t="s">
        <v>2279</v>
      </c>
      <c r="C1839" s="1613" t="s">
        <v>2276</v>
      </c>
      <c r="D1839" s="673">
        <v>704</v>
      </c>
      <c r="E1839" s="1604" t="s">
        <v>827</v>
      </c>
      <c r="F1839" s="1596">
        <v>4.0189000000000004</v>
      </c>
      <c r="G1839" s="1596">
        <v>1848.2921100000003</v>
      </c>
      <c r="H1839" s="1596">
        <v>10561.6692</v>
      </c>
      <c r="I1839" s="1596">
        <v>880.13909999999998</v>
      </c>
      <c r="J1839" s="1596">
        <v>1760.2782000000002</v>
      </c>
      <c r="K1839" s="1596">
        <v>1613.5883500000004</v>
      </c>
      <c r="L1839" s="1596">
        <v>18306.893280000004</v>
      </c>
      <c r="M1839" s="1596">
        <v>762.78722000000016</v>
      </c>
      <c r="N1839" s="1596">
        <v>1525.5744400000003</v>
      </c>
      <c r="O1839" s="1596">
        <v>1261.5327100000004</v>
      </c>
      <c r="P1839" s="1596">
        <v>21123.338400000004</v>
      </c>
      <c r="Q1839" s="1596">
        <v>586.75940000000014</v>
      </c>
      <c r="R1839" s="1596">
        <v>1173.5188000000003</v>
      </c>
      <c r="S1839" s="1490"/>
      <c r="T1839" s="1490"/>
      <c r="U1839" s="1490"/>
      <c r="V1839" s="1490"/>
      <c r="W1839" s="89"/>
      <c r="X1839" s="1490"/>
      <c r="Y1839" s="1491"/>
      <c r="Z1839" s="730"/>
      <c r="AA1839" s="1493"/>
      <c r="AB1839" s="1489"/>
      <c r="AC1839" s="1489"/>
      <c r="AD1839" s="1489"/>
      <c r="AE1839" s="1489"/>
      <c r="AF1839" s="1489"/>
      <c r="AG1839" s="1489"/>
      <c r="AH1839" s="1489"/>
      <c r="AI1839" s="1489"/>
      <c r="AJ1839" s="1489"/>
      <c r="AK1839" s="1489"/>
      <c r="AL1839" s="1489"/>
    </row>
    <row r="1840" spans="1:38" s="613" customFormat="1" ht="57.6">
      <c r="A1840" s="53"/>
      <c r="B1840" s="538" t="s">
        <v>824</v>
      </c>
      <c r="C1840" s="1613" t="s">
        <v>825</v>
      </c>
      <c r="D1840" s="673">
        <v>320</v>
      </c>
      <c r="E1840" s="1604" t="s">
        <v>828</v>
      </c>
      <c r="F1840" s="1678" t="s">
        <v>634</v>
      </c>
      <c r="G1840" s="1605">
        <v>2054</v>
      </c>
      <c r="H1840" s="1605">
        <v>10681</v>
      </c>
      <c r="I1840" s="1605">
        <v>890</v>
      </c>
      <c r="J1840" s="1605">
        <v>1780</v>
      </c>
      <c r="K1840" s="1605">
        <v>1761</v>
      </c>
      <c r="L1840" s="1605">
        <v>18779</v>
      </c>
      <c r="M1840" s="1605">
        <v>782</v>
      </c>
      <c r="N1840" s="1605">
        <v>1565</v>
      </c>
      <c r="O1840" s="1605">
        <v>1467</v>
      </c>
      <c r="P1840" s="1605">
        <v>24296</v>
      </c>
      <c r="Q1840" s="1605">
        <v>675</v>
      </c>
      <c r="R1840" s="1605">
        <v>1350</v>
      </c>
      <c r="S1840" s="4"/>
      <c r="T1840" s="4"/>
      <c r="U1840" s="4"/>
      <c r="V1840" s="4"/>
      <c r="W1840" s="89"/>
      <c r="X1840" s="4"/>
      <c r="Y1840" s="53"/>
      <c r="Z1840" s="730"/>
      <c r="AA1840" s="7"/>
    </row>
    <row r="1841" spans="1:38" s="1489" customFormat="1">
      <c r="A1841" s="1491"/>
      <c r="B1841" s="1485"/>
      <c r="C1841" s="1614"/>
      <c r="D1841" s="710"/>
      <c r="E1841" s="748"/>
      <c r="F1841" s="1743"/>
      <c r="G1841" s="1610"/>
      <c r="H1841" s="1610"/>
      <c r="I1841" s="1610"/>
      <c r="J1841" s="1610"/>
      <c r="K1841" s="1610"/>
      <c r="L1841" s="1610"/>
      <c r="M1841" s="1610"/>
      <c r="N1841" s="1610"/>
      <c r="O1841" s="1610"/>
      <c r="P1841" s="1610"/>
      <c r="Q1841" s="1610"/>
      <c r="R1841" s="1610"/>
      <c r="S1841" s="1490"/>
      <c r="T1841" s="1490"/>
      <c r="U1841" s="1490"/>
      <c r="V1841" s="1490"/>
      <c r="W1841" s="89"/>
      <c r="X1841" s="1490"/>
      <c r="Y1841" s="1491"/>
      <c r="Z1841" s="730"/>
      <c r="AA1841" s="1493"/>
    </row>
    <row r="1842" spans="1:38" s="1489" customFormat="1">
      <c r="A1842" s="1491"/>
      <c r="B1842" s="1968" t="s">
        <v>2528</v>
      </c>
      <c r="C1842" s="1969"/>
      <c r="D1842" s="1970"/>
      <c r="E1842" s="748"/>
      <c r="F1842" s="1743"/>
      <c r="G1842" s="1610"/>
      <c r="H1842" s="1610"/>
      <c r="I1842" s="1610"/>
      <c r="J1842" s="1610"/>
      <c r="K1842" s="1610"/>
      <c r="L1842" s="1610"/>
      <c r="M1842" s="1610"/>
      <c r="N1842" s="1610"/>
      <c r="O1842" s="1610"/>
      <c r="P1842" s="1610"/>
      <c r="Q1842" s="1610"/>
      <c r="R1842" s="1610"/>
      <c r="S1842" s="1490"/>
      <c r="T1842" s="1490"/>
      <c r="U1842" s="1490"/>
      <c r="V1842" s="1490"/>
      <c r="W1842" s="89"/>
      <c r="X1842" s="1490"/>
      <c r="Y1842" s="1491"/>
      <c r="Z1842" s="730"/>
      <c r="AA1842" s="1493"/>
    </row>
    <row r="1843" spans="1:38" s="1489" customFormat="1" ht="28.8">
      <c r="A1843" s="1491"/>
      <c r="B1843" s="1756" t="s">
        <v>2529</v>
      </c>
      <c r="C1843" s="1756" t="s">
        <v>2541</v>
      </c>
      <c r="D1843" s="1756" t="s">
        <v>2530</v>
      </c>
      <c r="E1843" s="1757" t="s">
        <v>2531</v>
      </c>
      <c r="G1843" s="1610"/>
      <c r="H1843" s="1610"/>
      <c r="I1843" s="1610"/>
      <c r="J1843" s="1610"/>
      <c r="K1843" s="1610"/>
      <c r="L1843" s="1610"/>
      <c r="M1843" s="1610"/>
      <c r="N1843" s="1610"/>
      <c r="O1843" s="1610"/>
      <c r="P1843" s="1610"/>
      <c r="Q1843" s="1610"/>
      <c r="R1843" s="1610"/>
      <c r="S1843" s="1490"/>
      <c r="T1843" s="1490"/>
      <c r="U1843" s="1490"/>
      <c r="V1843" s="1490"/>
      <c r="W1843" s="89"/>
      <c r="X1843" s="1490"/>
      <c r="Y1843" s="1491"/>
      <c r="Z1843" s="730"/>
      <c r="AA1843" s="1493"/>
    </row>
    <row r="1844" spans="1:38" s="1489" customFormat="1">
      <c r="A1844" s="1491"/>
      <c r="B1844" s="1753" t="s">
        <v>2532</v>
      </c>
      <c r="C1844" s="1753" t="s">
        <v>2534</v>
      </c>
      <c r="D1844" s="1753" t="s">
        <v>2533</v>
      </c>
      <c r="E1844" s="1758">
        <v>73</v>
      </c>
      <c r="G1844" s="1748" t="s">
        <v>2545</v>
      </c>
      <c r="H1844" s="1610"/>
      <c r="I1844" s="1610"/>
      <c r="J1844" s="1610"/>
      <c r="K1844" s="1610"/>
      <c r="L1844" s="1610"/>
      <c r="M1844" s="1610"/>
      <c r="N1844" s="1610"/>
      <c r="O1844" s="1610"/>
      <c r="P1844" s="1610"/>
      <c r="Q1844" s="1610"/>
      <c r="R1844" s="1610"/>
      <c r="S1844" s="1490"/>
      <c r="T1844" s="1490"/>
      <c r="U1844" s="1490"/>
      <c r="V1844" s="1490"/>
      <c r="W1844" s="89"/>
      <c r="X1844" s="1490"/>
      <c r="Y1844" s="1491"/>
      <c r="Z1844" s="730"/>
      <c r="AA1844" s="1493"/>
    </row>
    <row r="1845" spans="1:38" s="1489" customFormat="1">
      <c r="A1845" s="1491"/>
      <c r="B1845" s="1753" t="s">
        <v>2535</v>
      </c>
      <c r="C1845" s="1753" t="s">
        <v>2534</v>
      </c>
      <c r="D1845" s="1753" t="s">
        <v>2536</v>
      </c>
      <c r="E1845" s="1758">
        <v>1911.25</v>
      </c>
      <c r="G1845" s="1749" t="s">
        <v>2546</v>
      </c>
      <c r="H1845" s="1610"/>
      <c r="I1845" s="1610"/>
      <c r="J1845" s="1610"/>
      <c r="K1845" s="1610"/>
      <c r="L1845" s="1610"/>
      <c r="M1845" s="1610"/>
      <c r="N1845" s="1610"/>
      <c r="O1845" s="1610"/>
      <c r="P1845" s="1610"/>
      <c r="Q1845" s="1610"/>
      <c r="R1845" s="1610"/>
      <c r="S1845" s="1490"/>
      <c r="T1845" s="1490"/>
      <c r="U1845" s="1490"/>
      <c r="V1845" s="1490"/>
      <c r="W1845" s="89"/>
      <c r="X1845" s="1490"/>
      <c r="Y1845" s="1491"/>
      <c r="Z1845" s="730"/>
      <c r="AA1845" s="1493"/>
    </row>
    <row r="1846" spans="1:38" s="1489" customFormat="1">
      <c r="A1846" s="1491"/>
      <c r="B1846" s="1753" t="s">
        <v>2537</v>
      </c>
      <c r="C1846" s="1753" t="s">
        <v>2534</v>
      </c>
      <c r="D1846" s="1753" t="s">
        <v>2536</v>
      </c>
      <c r="E1846" s="1758">
        <v>2853.75</v>
      </c>
      <c r="G1846" s="1747" t="s">
        <v>2542</v>
      </c>
      <c r="H1846" s="1610"/>
      <c r="I1846" s="1610"/>
      <c r="J1846" s="1610"/>
      <c r="K1846" s="1610"/>
      <c r="L1846" s="1610"/>
      <c r="M1846" s="1610"/>
      <c r="N1846" s="1610"/>
      <c r="O1846" s="1610"/>
      <c r="P1846" s="1610"/>
      <c r="Q1846" s="1610"/>
      <c r="R1846" s="1610"/>
      <c r="S1846" s="1490"/>
      <c r="T1846" s="1490"/>
      <c r="U1846" s="1490"/>
      <c r="V1846" s="1490"/>
      <c r="W1846" s="89"/>
      <c r="X1846" s="1490"/>
      <c r="Y1846" s="1491"/>
      <c r="Z1846" s="730"/>
      <c r="AA1846" s="1493"/>
    </row>
    <row r="1847" spans="1:38" s="1489" customFormat="1">
      <c r="A1847" s="1491"/>
      <c r="B1847" s="1753" t="s">
        <v>2538</v>
      </c>
      <c r="C1847" s="1753" t="s">
        <v>2534</v>
      </c>
      <c r="D1847" s="1753" t="s">
        <v>2536</v>
      </c>
      <c r="E1847" s="1758">
        <v>1855</v>
      </c>
      <c r="G1847" s="1747" t="s">
        <v>2543</v>
      </c>
      <c r="H1847" s="1610"/>
      <c r="I1847" s="1610"/>
      <c r="J1847" s="1610"/>
      <c r="K1847" s="1610"/>
      <c r="L1847" s="1610"/>
      <c r="M1847" s="1610"/>
      <c r="N1847" s="1610"/>
      <c r="O1847" s="1610"/>
      <c r="P1847" s="1610"/>
      <c r="Q1847" s="1610"/>
      <c r="R1847" s="1610"/>
      <c r="S1847" s="1490"/>
      <c r="T1847" s="1490"/>
      <c r="U1847" s="1490"/>
      <c r="V1847" s="1490"/>
      <c r="W1847" s="89"/>
      <c r="X1847" s="1490"/>
      <c r="Y1847" s="1491"/>
      <c r="Z1847" s="730"/>
      <c r="AA1847" s="1493"/>
    </row>
    <row r="1848" spans="1:38" s="1489" customFormat="1">
      <c r="A1848" s="1491"/>
      <c r="B1848" s="1753" t="s">
        <v>2539</v>
      </c>
      <c r="C1848" s="1753" t="s">
        <v>2534</v>
      </c>
      <c r="D1848" s="1753" t="s">
        <v>2533</v>
      </c>
      <c r="E1848" s="1758">
        <v>325.33</v>
      </c>
      <c r="G1848" s="1747" t="s">
        <v>2544</v>
      </c>
      <c r="H1848" s="1610"/>
      <c r="I1848" s="1610"/>
      <c r="J1848" s="1610"/>
      <c r="K1848" s="1610"/>
      <c r="L1848" s="1610"/>
      <c r="M1848" s="1610"/>
      <c r="N1848" s="1610"/>
      <c r="O1848" s="1610"/>
      <c r="P1848" s="1610"/>
      <c r="Q1848" s="1610"/>
      <c r="R1848" s="1610"/>
      <c r="S1848" s="1490"/>
      <c r="T1848" s="1490"/>
      <c r="U1848" s="1490"/>
      <c r="V1848" s="1490"/>
      <c r="W1848" s="89"/>
      <c r="X1848" s="1490"/>
      <c r="Y1848" s="1491"/>
      <c r="Z1848" s="730"/>
      <c r="AA1848" s="1493"/>
    </row>
    <row r="1849" spans="1:38" s="613" customFormat="1">
      <c r="A1849" s="53"/>
      <c r="B1849" s="1753" t="s">
        <v>2540</v>
      </c>
      <c r="C1849" s="1753" t="s">
        <v>2534</v>
      </c>
      <c r="D1849" s="1753" t="s">
        <v>2533</v>
      </c>
      <c r="E1849" s="1758">
        <v>245</v>
      </c>
      <c r="G1849" s="1610"/>
      <c r="H1849" s="1610"/>
      <c r="I1849" s="1610"/>
      <c r="J1849" s="1610"/>
      <c r="K1849" s="1610"/>
      <c r="L1849" s="1610"/>
      <c r="M1849" s="1610"/>
      <c r="N1849" s="1610"/>
      <c r="O1849" s="1610"/>
      <c r="P1849" s="1610"/>
      <c r="Q1849" s="1610"/>
      <c r="R1849" s="1610"/>
      <c r="S1849" s="1490"/>
      <c r="T1849" s="1490"/>
      <c r="U1849" s="1490"/>
      <c r="V1849" s="1490"/>
      <c r="W1849" s="89"/>
      <c r="X1849" s="1490"/>
      <c r="Y1849" s="1491"/>
      <c r="Z1849" s="730"/>
      <c r="AA1849" s="1493"/>
      <c r="AB1849" s="1489"/>
      <c r="AC1849" s="1489"/>
      <c r="AD1849" s="1489"/>
      <c r="AE1849" s="1489"/>
      <c r="AF1849" s="1489"/>
      <c r="AG1849" s="1489"/>
      <c r="AH1849" s="1489"/>
      <c r="AI1849" s="1489"/>
      <c r="AJ1849" s="1489"/>
      <c r="AK1849" s="1489"/>
      <c r="AL1849" s="1489"/>
    </row>
    <row r="1850" spans="1:38" s="1489" customFormat="1">
      <c r="A1850" s="1491"/>
      <c r="B1850" s="1744"/>
      <c r="C1850" s="1745"/>
      <c r="D1850" s="1745"/>
      <c r="E1850" s="1746"/>
      <c r="F1850" s="1609"/>
      <c r="G1850" s="1610"/>
      <c r="H1850" s="1610"/>
      <c r="I1850" s="1610"/>
      <c r="J1850" s="1610"/>
      <c r="K1850" s="1610"/>
      <c r="L1850" s="1610"/>
      <c r="M1850" s="1610"/>
      <c r="N1850" s="1610"/>
      <c r="O1850" s="1610"/>
      <c r="P1850" s="1610"/>
      <c r="Q1850" s="1610"/>
      <c r="R1850" s="1610"/>
      <c r="S1850" s="1490"/>
      <c r="T1850" s="1490"/>
      <c r="U1850" s="1490"/>
      <c r="V1850" s="1490"/>
      <c r="W1850" s="89"/>
      <c r="X1850" s="1490"/>
      <c r="Y1850" s="1491"/>
      <c r="Z1850" s="730"/>
      <c r="AA1850" s="1493"/>
    </row>
    <row r="1851" spans="1:38" s="1405" customFormat="1">
      <c r="A1851" s="1186"/>
      <c r="B1851" s="710" t="s">
        <v>849</v>
      </c>
      <c r="C1851" s="749"/>
      <c r="D1851" s="749"/>
      <c r="E1851" s="1408"/>
      <c r="F1851" s="1611"/>
      <c r="G1851" s="1611"/>
      <c r="H1851" s="750"/>
      <c r="I1851" s="600"/>
      <c r="J1851" s="600"/>
      <c r="K1851" s="600"/>
      <c r="L1851" s="601"/>
      <c r="M1851" s="602"/>
      <c r="N1851" s="602"/>
      <c r="O1851" s="601"/>
      <c r="P1851" s="601"/>
      <c r="Q1851" s="602"/>
      <c r="R1851" s="602"/>
      <c r="S1851" s="1490"/>
      <c r="T1851" s="1490"/>
      <c r="U1851" s="1490"/>
      <c r="V1851" s="1490"/>
      <c r="W1851" s="89"/>
      <c r="X1851" s="1490"/>
      <c r="Y1851" s="1491"/>
      <c r="Z1851" s="730"/>
      <c r="AA1851" s="1493"/>
      <c r="AB1851" s="1489"/>
      <c r="AC1851" s="1489"/>
      <c r="AD1851" s="1489"/>
      <c r="AE1851" s="1489"/>
      <c r="AF1851" s="1489"/>
      <c r="AG1851" s="1489"/>
      <c r="AH1851" s="1489"/>
      <c r="AI1851" s="1489"/>
      <c r="AJ1851" s="1489"/>
      <c r="AK1851" s="1489"/>
      <c r="AL1851" s="1489"/>
    </row>
    <row r="1852" spans="1:38" s="1405" customFormat="1" ht="28.8">
      <c r="A1852" s="1186"/>
      <c r="B1852" s="540" t="s">
        <v>837</v>
      </c>
      <c r="C1852" s="540" t="s">
        <v>3</v>
      </c>
      <c r="D1852" s="540" t="s">
        <v>472</v>
      </c>
      <c r="E1852" s="540" t="s">
        <v>848</v>
      </c>
      <c r="F1852" s="733"/>
      <c r="G1852" s="1395" t="s">
        <v>837</v>
      </c>
      <c r="H1852" s="1395" t="s">
        <v>3</v>
      </c>
      <c r="I1852" s="1395" t="s">
        <v>472</v>
      </c>
      <c r="J1852" s="1395" t="s">
        <v>848</v>
      </c>
      <c r="K1852" s="600"/>
      <c r="L1852" s="601"/>
      <c r="M1852" s="602"/>
      <c r="N1852" s="602"/>
      <c r="O1852" s="601"/>
      <c r="P1852" s="601"/>
      <c r="Q1852" s="602"/>
      <c r="R1852" s="602"/>
      <c r="S1852" s="4"/>
      <c r="T1852" s="4"/>
      <c r="U1852" s="4"/>
      <c r="V1852" s="4"/>
      <c r="W1852" s="89"/>
      <c r="X1852" s="4"/>
      <c r="Y1852" s="53"/>
      <c r="Z1852" s="730"/>
      <c r="AA1852" s="7"/>
      <c r="AB1852" s="613"/>
      <c r="AC1852" s="613"/>
      <c r="AD1852" s="613"/>
      <c r="AE1852" s="613"/>
      <c r="AF1852" s="613"/>
      <c r="AG1852" s="613"/>
      <c r="AH1852" s="613"/>
      <c r="AI1852" s="613"/>
      <c r="AJ1852" s="613"/>
      <c r="AK1852" s="613"/>
      <c r="AL1852" s="613"/>
    </row>
    <row r="1853" spans="1:38" s="1405" customFormat="1">
      <c r="A1853" s="1186"/>
      <c r="B1853" s="538" t="s">
        <v>838</v>
      </c>
      <c r="C1853" s="538">
        <v>2</v>
      </c>
      <c r="D1853" s="538">
        <v>4</v>
      </c>
      <c r="E1853" s="538">
        <v>72</v>
      </c>
      <c r="F1853" s="733"/>
      <c r="G1853" s="1406" t="s">
        <v>1363</v>
      </c>
      <c r="H1853" s="1406">
        <v>2</v>
      </c>
      <c r="I1853" s="1406">
        <v>4</v>
      </c>
      <c r="J1853" s="1430">
        <f t="shared" ref="J1853:J1861" si="7">INT(MIN(74/H1853,148/I1853))</f>
        <v>37</v>
      </c>
      <c r="K1853" s="600"/>
      <c r="L1853" s="601"/>
      <c r="M1853" s="602"/>
      <c r="N1853" s="602"/>
      <c r="O1853" s="601"/>
      <c r="P1853" s="601"/>
      <c r="Q1853" s="602"/>
      <c r="R1853" s="602"/>
      <c r="S1853" s="4"/>
      <c r="T1853" s="4"/>
      <c r="U1853" s="4"/>
      <c r="V1853" s="4"/>
      <c r="W1853" s="89"/>
      <c r="X1853" s="4"/>
      <c r="Y1853" s="53"/>
      <c r="Z1853" s="730"/>
      <c r="AA1853" s="7"/>
      <c r="AB1853" s="613"/>
      <c r="AC1853" s="613"/>
      <c r="AD1853" s="613"/>
      <c r="AE1853" s="613"/>
      <c r="AF1853" s="613"/>
      <c r="AG1853" s="613"/>
      <c r="AH1853" s="613"/>
      <c r="AI1853" s="613"/>
      <c r="AJ1853" s="613"/>
      <c r="AK1853" s="613"/>
      <c r="AL1853" s="613"/>
    </row>
    <row r="1854" spans="1:38" s="1405" customFormat="1">
      <c r="A1854" s="1186"/>
      <c r="B1854" s="538" t="s">
        <v>839</v>
      </c>
      <c r="C1854" s="538">
        <v>4</v>
      </c>
      <c r="D1854" s="538">
        <v>8</v>
      </c>
      <c r="E1854" s="538">
        <v>36</v>
      </c>
      <c r="F1854" s="733"/>
      <c r="G1854" s="1406" t="s">
        <v>1227</v>
      </c>
      <c r="H1854" s="1406">
        <v>4</v>
      </c>
      <c r="I1854" s="1406">
        <v>8</v>
      </c>
      <c r="J1854" s="1430">
        <f t="shared" si="7"/>
        <v>18</v>
      </c>
      <c r="K1854" s="600"/>
      <c r="L1854" s="601"/>
      <c r="M1854" s="602"/>
      <c r="N1854" s="602"/>
      <c r="O1854" s="601"/>
      <c r="P1854" s="601"/>
      <c r="Q1854" s="602"/>
      <c r="R1854" s="602"/>
      <c r="S1854" s="4"/>
      <c r="T1854" s="4"/>
      <c r="U1854" s="4"/>
      <c r="V1854" s="4"/>
      <c r="W1854" s="89"/>
      <c r="X1854" s="4"/>
      <c r="Y1854" s="53"/>
      <c r="Z1854" s="730"/>
      <c r="AA1854" s="7"/>
      <c r="AB1854" s="613"/>
      <c r="AC1854" s="613"/>
      <c r="AD1854" s="613"/>
      <c r="AE1854" s="613"/>
      <c r="AF1854" s="613"/>
      <c r="AG1854" s="613"/>
      <c r="AH1854" s="613"/>
      <c r="AI1854" s="613"/>
      <c r="AJ1854" s="613"/>
      <c r="AK1854" s="613"/>
      <c r="AL1854" s="613"/>
    </row>
    <row r="1855" spans="1:38" s="1405" customFormat="1">
      <c r="A1855" s="1186"/>
      <c r="B1855" s="538" t="s">
        <v>840</v>
      </c>
      <c r="C1855" s="538">
        <v>8</v>
      </c>
      <c r="D1855" s="538">
        <v>16</v>
      </c>
      <c r="E1855" s="538">
        <v>18</v>
      </c>
      <c r="F1855" s="733"/>
      <c r="G1855" s="1406" t="s">
        <v>1228</v>
      </c>
      <c r="H1855" s="1406">
        <v>8</v>
      </c>
      <c r="I1855" s="1406">
        <v>16</v>
      </c>
      <c r="J1855" s="1430">
        <f t="shared" si="7"/>
        <v>9</v>
      </c>
      <c r="K1855" s="600"/>
      <c r="L1855" s="601"/>
      <c r="M1855" s="602"/>
      <c r="N1855" s="602"/>
      <c r="O1855" s="601"/>
      <c r="P1855" s="601"/>
      <c r="Q1855" s="602"/>
      <c r="R1855" s="602"/>
      <c r="S1855" s="4"/>
      <c r="T1855" s="4"/>
      <c r="U1855" s="4"/>
      <c r="V1855" s="4"/>
      <c r="W1855" s="89"/>
      <c r="X1855" s="4"/>
      <c r="Y1855" s="53"/>
      <c r="Z1855" s="730"/>
      <c r="AA1855" s="7"/>
      <c r="AB1855" s="613"/>
      <c r="AC1855" s="613"/>
      <c r="AD1855" s="613"/>
      <c r="AE1855" s="613"/>
      <c r="AF1855" s="613"/>
      <c r="AG1855" s="613"/>
      <c r="AH1855" s="613"/>
      <c r="AI1855" s="613"/>
      <c r="AJ1855" s="613"/>
      <c r="AK1855" s="613"/>
      <c r="AL1855" s="613"/>
    </row>
    <row r="1856" spans="1:38" s="1405" customFormat="1">
      <c r="A1856" s="1186"/>
      <c r="B1856" s="538" t="s">
        <v>841</v>
      </c>
      <c r="C1856" s="538">
        <v>16</v>
      </c>
      <c r="D1856" s="538">
        <v>32</v>
      </c>
      <c r="E1856" s="538">
        <v>9</v>
      </c>
      <c r="F1856" s="733"/>
      <c r="G1856" s="1406" t="s">
        <v>1229</v>
      </c>
      <c r="H1856" s="1406">
        <v>12</v>
      </c>
      <c r="I1856" s="1406">
        <v>24</v>
      </c>
      <c r="J1856" s="1430">
        <f t="shared" si="7"/>
        <v>6</v>
      </c>
      <c r="K1856" s="600"/>
      <c r="L1856" s="601"/>
      <c r="M1856" s="602"/>
      <c r="N1856" s="602"/>
      <c r="O1856" s="601"/>
      <c r="P1856" s="601"/>
      <c r="Q1856" s="602"/>
      <c r="R1856" s="602"/>
      <c r="S1856" s="4"/>
      <c r="T1856" s="4"/>
      <c r="U1856" s="4"/>
      <c r="V1856" s="4"/>
      <c r="W1856" s="89"/>
      <c r="X1856" s="4"/>
      <c r="Y1856" s="53"/>
      <c r="Z1856" s="730"/>
      <c r="AA1856" s="7"/>
      <c r="AB1856" s="613"/>
      <c r="AC1856" s="613"/>
      <c r="AD1856" s="613"/>
      <c r="AE1856" s="613"/>
      <c r="AF1856" s="613"/>
      <c r="AG1856" s="613"/>
      <c r="AH1856" s="613"/>
      <c r="AI1856" s="613"/>
      <c r="AJ1856" s="613"/>
      <c r="AK1856" s="613"/>
      <c r="AL1856" s="613"/>
    </row>
    <row r="1857" spans="1:38" s="1405" customFormat="1">
      <c r="A1857" s="1186"/>
      <c r="B1857" s="538" t="s">
        <v>842</v>
      </c>
      <c r="C1857" s="538">
        <v>1</v>
      </c>
      <c r="D1857" s="538">
        <v>4</v>
      </c>
      <c r="E1857" s="538">
        <v>144</v>
      </c>
      <c r="F1857" s="733"/>
      <c r="G1857" s="1406" t="s">
        <v>1230</v>
      </c>
      <c r="H1857" s="1406">
        <v>16</v>
      </c>
      <c r="I1857" s="1406">
        <v>32</v>
      </c>
      <c r="J1857" s="1430">
        <f t="shared" si="7"/>
        <v>4</v>
      </c>
      <c r="K1857" s="600"/>
      <c r="L1857" s="601"/>
      <c r="M1857" s="602"/>
      <c r="N1857" s="602"/>
      <c r="O1857" s="601"/>
      <c r="P1857" s="601"/>
      <c r="Q1857" s="602"/>
      <c r="R1857" s="602"/>
      <c r="S1857" s="4"/>
      <c r="T1857" s="4"/>
      <c r="U1857" s="4"/>
      <c r="V1857" s="4"/>
      <c r="W1857" s="89"/>
      <c r="X1857" s="4"/>
      <c r="Y1857" s="53"/>
      <c r="Z1857" s="730"/>
      <c r="AA1857" s="7"/>
      <c r="AB1857" s="613"/>
      <c r="AC1857" s="613"/>
      <c r="AD1857" s="613"/>
      <c r="AE1857" s="613"/>
      <c r="AF1857" s="613"/>
      <c r="AG1857" s="613"/>
      <c r="AH1857" s="613"/>
      <c r="AI1857" s="613"/>
      <c r="AJ1857" s="613"/>
      <c r="AK1857" s="613"/>
      <c r="AL1857" s="613"/>
    </row>
    <row r="1858" spans="1:38" s="1405" customFormat="1">
      <c r="A1858" s="1186"/>
      <c r="B1858" s="538" t="s">
        <v>843</v>
      </c>
      <c r="C1858" s="538">
        <v>2</v>
      </c>
      <c r="D1858" s="538">
        <v>8</v>
      </c>
      <c r="E1858" s="538">
        <v>72</v>
      </c>
      <c r="F1858" s="733"/>
      <c r="G1858" s="1406" t="s">
        <v>1231</v>
      </c>
      <c r="H1858" s="1406">
        <v>24</v>
      </c>
      <c r="I1858" s="1406">
        <v>48</v>
      </c>
      <c r="J1858" s="1430">
        <f t="shared" si="7"/>
        <v>3</v>
      </c>
      <c r="K1858" s="600"/>
      <c r="L1858" s="601"/>
      <c r="M1858" s="602"/>
      <c r="N1858" s="602"/>
      <c r="O1858" s="601"/>
      <c r="P1858" s="601"/>
      <c r="Q1858" s="602"/>
      <c r="R1858" s="602"/>
      <c r="S1858" s="4"/>
      <c r="T1858" s="4"/>
      <c r="U1858" s="4"/>
      <c r="V1858" s="4"/>
      <c r="W1858" s="89"/>
      <c r="X1858" s="4"/>
      <c r="Y1858" s="53"/>
      <c r="Z1858" s="730"/>
      <c r="AA1858" s="7"/>
      <c r="AB1858" s="613"/>
      <c r="AC1858" s="613"/>
      <c r="AD1858" s="613"/>
      <c r="AE1858" s="613"/>
      <c r="AF1858" s="613"/>
      <c r="AG1858" s="613"/>
      <c r="AH1858" s="613"/>
      <c r="AI1858" s="613"/>
      <c r="AJ1858" s="613"/>
      <c r="AK1858" s="613"/>
      <c r="AL1858" s="613"/>
    </row>
    <row r="1859" spans="1:38" s="1405" customFormat="1">
      <c r="A1859" s="1186"/>
      <c r="B1859" s="538" t="s">
        <v>844</v>
      </c>
      <c r="C1859" s="538">
        <v>4</v>
      </c>
      <c r="D1859" s="538">
        <v>16</v>
      </c>
      <c r="E1859" s="538">
        <v>36</v>
      </c>
      <c r="F1859" s="733"/>
      <c r="G1859" s="1406" t="s">
        <v>1232</v>
      </c>
      <c r="H1859" s="1406">
        <v>32</v>
      </c>
      <c r="I1859" s="1406">
        <v>64</v>
      </c>
      <c r="J1859" s="1430">
        <f t="shared" si="7"/>
        <v>2</v>
      </c>
      <c r="K1859" s="600"/>
      <c r="L1859" s="601"/>
      <c r="M1859" s="602"/>
      <c r="N1859" s="602"/>
      <c r="O1859" s="601"/>
      <c r="P1859" s="601"/>
      <c r="Q1859" s="602"/>
      <c r="R1859" s="602"/>
      <c r="S1859" s="4"/>
      <c r="T1859" s="4"/>
      <c r="U1859" s="4"/>
      <c r="V1859" s="4"/>
      <c r="W1859" s="89"/>
      <c r="X1859" s="4"/>
      <c r="Y1859" s="53"/>
      <c r="Z1859" s="730"/>
      <c r="AA1859" s="7"/>
      <c r="AB1859" s="613"/>
      <c r="AC1859" s="613"/>
      <c r="AD1859" s="613"/>
      <c r="AE1859" s="613"/>
      <c r="AF1859" s="613"/>
      <c r="AG1859" s="613"/>
      <c r="AH1859" s="613"/>
      <c r="AI1859" s="613"/>
      <c r="AJ1859" s="613"/>
      <c r="AK1859" s="613"/>
      <c r="AL1859" s="613"/>
    </row>
    <row r="1860" spans="1:38" s="1405" customFormat="1">
      <c r="A1860" s="1186"/>
      <c r="B1860" s="538" t="s">
        <v>845</v>
      </c>
      <c r="C1860" s="538">
        <v>8</v>
      </c>
      <c r="D1860" s="538">
        <v>32</v>
      </c>
      <c r="E1860" s="538">
        <v>18</v>
      </c>
      <c r="F1860" s="733"/>
      <c r="G1860" s="1406" t="s">
        <v>1233</v>
      </c>
      <c r="H1860" s="1406">
        <v>64</v>
      </c>
      <c r="I1860" s="1406">
        <v>128</v>
      </c>
      <c r="J1860" s="1430">
        <f t="shared" si="7"/>
        <v>1</v>
      </c>
      <c r="K1860" s="600"/>
      <c r="L1860" s="601"/>
      <c r="M1860" s="602"/>
      <c r="N1860" s="602"/>
      <c r="O1860" s="601"/>
      <c r="P1860" s="601"/>
      <c r="Q1860" s="602"/>
      <c r="R1860" s="602"/>
      <c r="S1860" s="4"/>
      <c r="T1860" s="4"/>
      <c r="U1860" s="4"/>
      <c r="V1860" s="4"/>
      <c r="W1860" s="89"/>
      <c r="X1860" s="4"/>
      <c r="Y1860" s="53"/>
      <c r="Z1860" s="730"/>
      <c r="AA1860" s="7"/>
      <c r="AB1860" s="613"/>
      <c r="AC1860" s="613"/>
      <c r="AD1860" s="613"/>
      <c r="AE1860" s="613"/>
      <c r="AF1860" s="613"/>
      <c r="AG1860" s="613"/>
      <c r="AH1860" s="613"/>
      <c r="AI1860" s="613"/>
      <c r="AJ1860" s="613"/>
      <c r="AK1860" s="613"/>
      <c r="AL1860" s="613"/>
    </row>
    <row r="1861" spans="1:38" s="1405" customFormat="1">
      <c r="A1861" s="800"/>
      <c r="B1861" s="538" t="s">
        <v>846</v>
      </c>
      <c r="C1861" s="538">
        <v>16</v>
      </c>
      <c r="D1861" s="538">
        <v>64</v>
      </c>
      <c r="E1861" s="538">
        <v>9</v>
      </c>
      <c r="F1861" s="733"/>
      <c r="G1861" s="1406" t="s">
        <v>1234</v>
      </c>
      <c r="H1861" s="1406">
        <v>2</v>
      </c>
      <c r="I1861" s="1406">
        <v>8</v>
      </c>
      <c r="J1861" s="1430">
        <f t="shared" si="7"/>
        <v>18</v>
      </c>
      <c r="K1861" s="600"/>
      <c r="L1861" s="601"/>
      <c r="M1861" s="602"/>
      <c r="N1861" s="602"/>
      <c r="O1861" s="601"/>
      <c r="P1861" s="601"/>
      <c r="Q1861" s="602"/>
      <c r="R1861" s="602"/>
      <c r="S1861" s="4"/>
      <c r="T1861" s="4"/>
      <c r="U1861" s="4"/>
      <c r="V1861" s="4"/>
      <c r="W1861" s="89"/>
      <c r="X1861" s="4"/>
      <c r="Y1861" s="53"/>
      <c r="Z1861" s="730"/>
      <c r="AA1861" s="7"/>
      <c r="AB1861" s="613"/>
      <c r="AC1861" s="613"/>
      <c r="AD1861" s="613"/>
      <c r="AE1861" s="613"/>
      <c r="AF1861" s="613"/>
      <c r="AG1861" s="613"/>
      <c r="AH1861" s="613"/>
      <c r="AI1861" s="613"/>
      <c r="AJ1861" s="613"/>
      <c r="AK1861" s="613"/>
      <c r="AL1861" s="613"/>
    </row>
    <row r="1862" spans="1:38" s="1405" customFormat="1">
      <c r="A1862" s="1186"/>
      <c r="B1862" s="748"/>
      <c r="C1862" s="749"/>
      <c r="D1862" s="749"/>
      <c r="E1862" s="103"/>
      <c r="F1862" s="733"/>
      <c r="G1862" s="1406" t="s">
        <v>1235</v>
      </c>
      <c r="H1862" s="1406">
        <v>4</v>
      </c>
      <c r="I1862" s="1406">
        <v>16</v>
      </c>
      <c r="J1862" s="1430">
        <f t="shared" ref="J1862:J1867" si="8">INT(MIN(74/H1862,328/I1862))</f>
        <v>18</v>
      </c>
      <c r="K1862" s="600"/>
      <c r="L1862" s="601"/>
      <c r="M1862" s="602"/>
      <c r="N1862" s="602"/>
      <c r="O1862" s="601"/>
      <c r="P1862" s="601"/>
      <c r="Q1862" s="602"/>
      <c r="R1862" s="602"/>
      <c r="S1862" s="4"/>
      <c r="T1862" s="4"/>
      <c r="U1862" s="4"/>
      <c r="V1862" s="4"/>
      <c r="W1862" s="89"/>
      <c r="X1862" s="4"/>
      <c r="Y1862" s="53"/>
      <c r="Z1862" s="730"/>
      <c r="AA1862" s="7"/>
      <c r="AB1862" s="613"/>
      <c r="AC1862" s="613"/>
      <c r="AD1862" s="613"/>
      <c r="AE1862" s="613"/>
      <c r="AF1862" s="613"/>
      <c r="AG1862" s="613"/>
      <c r="AH1862" s="613"/>
      <c r="AI1862" s="613"/>
      <c r="AJ1862" s="613"/>
      <c r="AK1862" s="613"/>
      <c r="AL1862" s="613"/>
    </row>
    <row r="1863" spans="1:38" s="163" customFormat="1" ht="15" customHeight="1">
      <c r="A1863" s="53"/>
      <c r="B1863" s="710" t="s">
        <v>850</v>
      </c>
      <c r="C1863" s="749"/>
      <c r="D1863" s="749"/>
      <c r="E1863" s="103"/>
      <c r="F1863" s="733"/>
      <c r="G1863" s="1406" t="s">
        <v>1236</v>
      </c>
      <c r="H1863" s="1406">
        <v>8</v>
      </c>
      <c r="I1863" s="1406">
        <v>32</v>
      </c>
      <c r="J1863" s="1430">
        <f t="shared" si="8"/>
        <v>9</v>
      </c>
      <c r="K1863" s="600"/>
      <c r="L1863" s="601"/>
      <c r="M1863" s="602"/>
      <c r="N1863" s="602"/>
      <c r="O1863" s="601"/>
      <c r="P1863" s="601"/>
      <c r="Q1863" s="602"/>
      <c r="R1863" s="602"/>
      <c r="S1863" s="4"/>
      <c r="T1863" s="4"/>
      <c r="U1863" s="4"/>
      <c r="V1863" s="4"/>
      <c r="W1863" s="89"/>
      <c r="X1863" s="4"/>
      <c r="Y1863" s="53"/>
      <c r="Z1863" s="730"/>
      <c r="AA1863" s="7"/>
      <c r="AB1863" s="613"/>
      <c r="AC1863" s="613"/>
      <c r="AD1863" s="613"/>
      <c r="AE1863" s="613"/>
      <c r="AF1863" s="613"/>
      <c r="AG1863" s="613"/>
      <c r="AH1863" s="613"/>
      <c r="AI1863" s="613"/>
      <c r="AJ1863" s="613"/>
      <c r="AK1863" s="613"/>
      <c r="AL1863" s="613"/>
    </row>
    <row r="1864" spans="1:38" s="163" customFormat="1" ht="15" customHeight="1">
      <c r="A1864" s="53"/>
      <c r="B1864" s="794" t="s">
        <v>847</v>
      </c>
      <c r="C1864" s="1949" t="s">
        <v>147</v>
      </c>
      <c r="D1864" s="1949"/>
      <c r="E1864" s="1949"/>
      <c r="F1864" s="2053"/>
      <c r="G1864" s="1406" t="s">
        <v>1237</v>
      </c>
      <c r="H1864" s="1406">
        <v>12</v>
      </c>
      <c r="I1864" s="1406">
        <v>48</v>
      </c>
      <c r="J1864" s="1430">
        <f t="shared" si="8"/>
        <v>6</v>
      </c>
      <c r="K1864" s="600"/>
      <c r="L1864" s="601"/>
      <c r="M1864" s="602"/>
      <c r="N1864" s="602"/>
      <c r="O1864" s="601"/>
      <c r="P1864" s="601"/>
      <c r="Q1864" s="602"/>
      <c r="R1864" s="602"/>
      <c r="S1864" s="4"/>
      <c r="T1864" s="4"/>
      <c r="U1864" s="4"/>
      <c r="V1864" s="4"/>
      <c r="W1864" s="89"/>
      <c r="X1864" s="4"/>
      <c r="Y1864" s="53"/>
      <c r="Z1864" s="730"/>
      <c r="AA1864" s="7"/>
      <c r="AB1864" s="613"/>
      <c r="AC1864" s="613"/>
      <c r="AD1864" s="613"/>
      <c r="AE1864" s="613"/>
      <c r="AF1864" s="613"/>
      <c r="AG1864" s="613"/>
      <c r="AH1864" s="613"/>
      <c r="AI1864" s="613"/>
      <c r="AJ1864" s="613"/>
      <c r="AK1864" s="613"/>
      <c r="AL1864" s="613"/>
    </row>
    <row r="1865" spans="1:38" s="163" customFormat="1" ht="15" customHeight="1">
      <c r="A1865" s="53"/>
      <c r="B1865" s="540" t="s">
        <v>2</v>
      </c>
      <c r="C1865" s="540" t="s">
        <v>432</v>
      </c>
      <c r="D1865" s="540" t="s">
        <v>865</v>
      </c>
      <c r="E1865" s="103"/>
      <c r="F1865" s="733"/>
      <c r="G1865" s="1406" t="s">
        <v>1238</v>
      </c>
      <c r="H1865" s="1406">
        <v>16</v>
      </c>
      <c r="I1865" s="1406">
        <v>64</v>
      </c>
      <c r="J1865" s="1430">
        <f t="shared" si="8"/>
        <v>4</v>
      </c>
      <c r="K1865" s="600"/>
      <c r="L1865" s="601"/>
      <c r="M1865" s="602"/>
      <c r="N1865" s="602"/>
      <c r="O1865" s="601"/>
      <c r="P1865" s="601"/>
      <c r="Q1865" s="602"/>
      <c r="R1865" s="602"/>
      <c r="S1865" s="4"/>
      <c r="T1865" s="4"/>
      <c r="U1865" s="4"/>
      <c r="V1865" s="4"/>
      <c r="W1865" s="89"/>
      <c r="X1865" s="4"/>
      <c r="Y1865" s="53"/>
      <c r="Z1865" s="730"/>
      <c r="AA1865" s="7"/>
      <c r="AB1865" s="613"/>
      <c r="AC1865" s="613"/>
      <c r="AD1865" s="613"/>
      <c r="AE1865" s="613"/>
      <c r="AF1865" s="613"/>
      <c r="AG1865" s="613"/>
      <c r="AH1865" s="613"/>
      <c r="AI1865" s="613"/>
      <c r="AJ1865" s="613"/>
      <c r="AK1865" s="613"/>
      <c r="AL1865" s="613"/>
    </row>
    <row r="1866" spans="1:38" s="163" customFormat="1" ht="15" customHeight="1">
      <c r="A1866" s="53"/>
      <c r="B1866" s="538" t="s">
        <v>2013</v>
      </c>
      <c r="C1866" s="1409">
        <v>2.6048</v>
      </c>
      <c r="D1866" s="1478">
        <v>1693.12</v>
      </c>
      <c r="E1866" s="800"/>
      <c r="F1866" s="799"/>
      <c r="G1866" s="1406" t="s">
        <v>1239</v>
      </c>
      <c r="H1866" s="1406">
        <v>24</v>
      </c>
      <c r="I1866" s="1406">
        <v>96</v>
      </c>
      <c r="J1866" s="1430">
        <f t="shared" si="8"/>
        <v>3</v>
      </c>
      <c r="K1866" s="600"/>
      <c r="L1866" s="601"/>
      <c r="M1866" s="602"/>
      <c r="N1866" s="602"/>
      <c r="O1866" s="601"/>
      <c r="P1866" s="601"/>
      <c r="Q1866" s="602"/>
      <c r="R1866" s="602"/>
      <c r="S1866" s="4"/>
      <c r="T1866" s="4"/>
      <c r="U1866" s="4"/>
      <c r="V1866" s="4"/>
      <c r="W1866" s="89"/>
      <c r="X1866" s="4"/>
      <c r="Y1866" s="53"/>
      <c r="Z1866" s="730"/>
      <c r="AA1866" s="7"/>
      <c r="AB1866" s="613"/>
      <c r="AC1866" s="613"/>
      <c r="AD1866" s="613"/>
      <c r="AE1866" s="613"/>
      <c r="AF1866" s="613"/>
      <c r="AG1866" s="613"/>
      <c r="AH1866" s="613"/>
      <c r="AI1866" s="613"/>
      <c r="AJ1866" s="613"/>
      <c r="AK1866" s="613"/>
      <c r="AL1866" s="613"/>
    </row>
    <row r="1867" spans="1:38" s="163" customFormat="1" ht="15" customHeight="1">
      <c r="A1867" s="53"/>
      <c r="B1867" s="1406" t="s">
        <v>2051</v>
      </c>
      <c r="C1867" s="1409">
        <v>2.5326499999999998</v>
      </c>
      <c r="D1867" s="1478">
        <v>1646.2224999999999</v>
      </c>
      <c r="E1867" s="800"/>
      <c r="F1867" s="799"/>
      <c r="G1867" s="1406" t="s">
        <v>1240</v>
      </c>
      <c r="H1867" s="1406">
        <v>32</v>
      </c>
      <c r="I1867" s="1406">
        <v>128</v>
      </c>
      <c r="J1867" s="1430">
        <f t="shared" si="8"/>
        <v>2</v>
      </c>
      <c r="K1867" s="600"/>
      <c r="L1867" s="601"/>
      <c r="M1867" s="602"/>
      <c r="N1867" s="602"/>
      <c r="O1867" s="601"/>
      <c r="P1867" s="601"/>
      <c r="Q1867" s="602"/>
      <c r="R1867" s="602"/>
      <c r="S1867" s="4"/>
      <c r="T1867" s="4"/>
      <c r="U1867" s="4"/>
      <c r="V1867" s="4"/>
      <c r="W1867" s="89"/>
      <c r="X1867" s="4"/>
      <c r="Y1867" s="1186"/>
      <c r="Z1867" s="730"/>
      <c r="AA1867" s="1187"/>
      <c r="AB1867" s="1405"/>
      <c r="AC1867" s="1405"/>
      <c r="AD1867" s="1405"/>
      <c r="AE1867" s="1405"/>
      <c r="AF1867" s="1405"/>
      <c r="AG1867" s="1405"/>
      <c r="AH1867" s="1405"/>
      <c r="AI1867" s="1405"/>
      <c r="AJ1867" s="1405"/>
      <c r="AK1867" s="1405"/>
      <c r="AL1867" s="1405"/>
    </row>
    <row r="1868" spans="1:38" s="163" customFormat="1" ht="15" customHeight="1">
      <c r="A1868" s="53"/>
      <c r="B1868" s="1406" t="s">
        <v>2052</v>
      </c>
      <c r="C1868" s="1409">
        <v>1.9758</v>
      </c>
      <c r="D1868" s="1478">
        <v>1284.27</v>
      </c>
      <c r="E1868" s="800"/>
      <c r="F1868" s="799"/>
      <c r="G1868" s="799"/>
      <c r="H1868" s="799"/>
      <c r="I1868" s="799"/>
      <c r="J1868" s="799"/>
      <c r="K1868" s="600"/>
      <c r="L1868" s="601"/>
      <c r="M1868" s="602"/>
      <c r="N1868" s="602"/>
      <c r="O1868" s="601"/>
      <c r="P1868" s="601"/>
      <c r="Q1868" s="602"/>
      <c r="R1868" s="602"/>
      <c r="S1868" s="4"/>
      <c r="T1868" s="4"/>
      <c r="U1868" s="4"/>
      <c r="V1868" s="4"/>
      <c r="W1868" s="89"/>
      <c r="X1868" s="4"/>
      <c r="Y1868" s="1186"/>
      <c r="Z1868" s="730"/>
      <c r="AA1868" s="1187"/>
      <c r="AB1868" s="1405"/>
      <c r="AC1868" s="1405"/>
      <c r="AD1868" s="1405"/>
      <c r="AE1868" s="1405"/>
      <c r="AF1868" s="1405"/>
      <c r="AG1868" s="1405"/>
      <c r="AH1868" s="1405"/>
      <c r="AI1868" s="1405"/>
      <c r="AJ1868" s="1405"/>
      <c r="AK1868" s="1405"/>
      <c r="AL1868" s="1405"/>
    </row>
    <row r="1869" spans="1:38" s="163" customFormat="1">
      <c r="A1869" s="53"/>
      <c r="B1869" s="1406" t="s">
        <v>2053</v>
      </c>
      <c r="C1869" s="1409">
        <v>5.2687999999999997</v>
      </c>
      <c r="D1869" s="1478">
        <v>3424.72</v>
      </c>
      <c r="E1869" s="800"/>
      <c r="F1869" s="799"/>
      <c r="G1869" s="799"/>
      <c r="H1869" s="799"/>
      <c r="I1869" s="799"/>
      <c r="J1869" s="799"/>
      <c r="K1869" s="600"/>
      <c r="L1869" s="601"/>
      <c r="M1869" s="602"/>
      <c r="N1869" s="602"/>
      <c r="O1869" s="601"/>
      <c r="P1869" s="601"/>
      <c r="Q1869" s="602"/>
      <c r="R1869" s="602"/>
      <c r="S1869" s="4"/>
      <c r="T1869" s="4"/>
      <c r="U1869" s="4"/>
      <c r="V1869" s="4"/>
      <c r="W1869" s="89"/>
      <c r="X1869" s="4"/>
      <c r="Y1869" s="1186"/>
      <c r="Z1869" s="730"/>
      <c r="AA1869" s="1187"/>
      <c r="AB1869" s="1405"/>
      <c r="AC1869" s="1405"/>
      <c r="AD1869" s="1405"/>
      <c r="AE1869" s="1405"/>
      <c r="AF1869" s="1405"/>
      <c r="AG1869" s="1405"/>
      <c r="AH1869" s="1405"/>
      <c r="AI1869" s="1405"/>
      <c r="AJ1869" s="1405"/>
      <c r="AK1869" s="1405"/>
      <c r="AL1869" s="1405"/>
    </row>
    <row r="1870" spans="1:38" s="163" customFormat="1">
      <c r="A1870" s="1489"/>
      <c r="B1870" s="1406" t="s">
        <v>2054</v>
      </c>
      <c r="C1870" s="1477">
        <v>1.8240999999999998</v>
      </c>
      <c r="D1870" s="1478">
        <v>1185.665</v>
      </c>
      <c r="E1870" s="800"/>
      <c r="F1870" s="799"/>
      <c r="G1870" s="799"/>
      <c r="H1870" s="799"/>
      <c r="I1870" s="799"/>
      <c r="J1870" s="799"/>
      <c r="K1870" s="600"/>
      <c r="L1870" s="601"/>
      <c r="M1870" s="602"/>
      <c r="N1870" s="602"/>
      <c r="O1870" s="601"/>
      <c r="P1870" s="601"/>
      <c r="Q1870" s="602"/>
      <c r="R1870" s="602"/>
      <c r="S1870" s="4"/>
      <c r="T1870" s="4"/>
      <c r="U1870" s="4"/>
      <c r="V1870" s="4"/>
      <c r="W1870" s="89"/>
      <c r="X1870" s="4"/>
      <c r="Y1870" s="1186"/>
      <c r="Z1870" s="730"/>
      <c r="AA1870" s="1187"/>
      <c r="AB1870" s="1405"/>
      <c r="AC1870" s="1405"/>
      <c r="AD1870" s="1405"/>
      <c r="AE1870" s="1405"/>
      <c r="AF1870" s="1405"/>
      <c r="AG1870" s="1405"/>
      <c r="AH1870" s="1405"/>
      <c r="AI1870" s="1405"/>
      <c r="AJ1870" s="1405"/>
      <c r="AK1870" s="1405"/>
      <c r="AL1870" s="1405"/>
    </row>
    <row r="1871" spans="1:38">
      <c r="A1871" s="33"/>
      <c r="B1871" s="1406" t="s">
        <v>2055</v>
      </c>
      <c r="C1871" s="1409">
        <v>2.5326499999999998</v>
      </c>
      <c r="D1871" s="1478">
        <v>1646.2224999999999</v>
      </c>
      <c r="E1871" s="800"/>
      <c r="F1871" s="799"/>
      <c r="G1871" s="799"/>
      <c r="H1871" s="799"/>
      <c r="I1871" s="799"/>
      <c r="J1871" s="799"/>
      <c r="K1871" s="600"/>
      <c r="L1871" s="601"/>
      <c r="M1871" s="602"/>
      <c r="N1871" s="602"/>
      <c r="O1871" s="601"/>
      <c r="P1871" s="601"/>
      <c r="Q1871" s="602"/>
      <c r="R1871" s="602"/>
      <c r="Y1871" s="1186"/>
      <c r="Z1871" s="730"/>
      <c r="AA1871" s="1187"/>
      <c r="AB1871" s="1405"/>
      <c r="AC1871" s="1405"/>
      <c r="AD1871" s="1405"/>
      <c r="AE1871" s="1405"/>
      <c r="AF1871" s="1405"/>
      <c r="AG1871" s="1405"/>
      <c r="AH1871" s="1405"/>
      <c r="AI1871" s="1405"/>
      <c r="AJ1871" s="1405"/>
      <c r="AK1871" s="1405"/>
      <c r="AL1871" s="1405"/>
    </row>
    <row r="1872" spans="1:38" ht="15" customHeight="1">
      <c r="B1872" s="1406" t="s">
        <v>2056</v>
      </c>
      <c r="C1872" s="1409">
        <v>1.9758</v>
      </c>
      <c r="D1872" s="1478">
        <v>1284.27</v>
      </c>
      <c r="E1872" s="800"/>
      <c r="F1872" s="799"/>
      <c r="G1872" s="799"/>
      <c r="H1872" s="799"/>
      <c r="I1872" s="799"/>
      <c r="J1872" s="799"/>
      <c r="K1872" s="600"/>
      <c r="L1872" s="601"/>
      <c r="M1872" s="602"/>
      <c r="N1872" s="602"/>
      <c r="O1872" s="601"/>
      <c r="P1872" s="601"/>
      <c r="Q1872" s="602"/>
      <c r="R1872" s="602"/>
      <c r="Y1872" s="1186"/>
      <c r="Z1872" s="730"/>
      <c r="AA1872" s="1187"/>
      <c r="AB1872" s="1405"/>
      <c r="AC1872" s="1405"/>
      <c r="AD1872" s="1405"/>
      <c r="AE1872" s="1405"/>
      <c r="AF1872" s="1405"/>
      <c r="AG1872" s="1405"/>
      <c r="AH1872" s="1405"/>
      <c r="AI1872" s="1405"/>
      <c r="AJ1872" s="1405"/>
      <c r="AK1872" s="1405"/>
      <c r="AL1872" s="1405"/>
    </row>
    <row r="1873" spans="2:38">
      <c r="B1873" s="1406" t="s">
        <v>2057</v>
      </c>
      <c r="C1873" s="1409">
        <v>5.2687999999999997</v>
      </c>
      <c r="D1873" s="1478">
        <v>3424.72</v>
      </c>
      <c r="E1873" s="800"/>
      <c r="F1873" s="799"/>
      <c r="G1873" s="799"/>
      <c r="H1873" s="799"/>
      <c r="I1873" s="799"/>
      <c r="J1873" s="799"/>
      <c r="K1873" s="600"/>
      <c r="L1873" s="601"/>
      <c r="M1873" s="602"/>
      <c r="N1873" s="602"/>
      <c r="O1873" s="601"/>
      <c r="P1873" s="601"/>
      <c r="Q1873" s="602"/>
      <c r="R1873" s="602"/>
      <c r="Y1873" s="1186"/>
      <c r="Z1873" s="730"/>
      <c r="AA1873" s="1187"/>
      <c r="AB1873" s="1405"/>
      <c r="AC1873" s="1405"/>
      <c r="AD1873" s="1405"/>
      <c r="AE1873" s="1405"/>
      <c r="AF1873" s="1405"/>
      <c r="AG1873" s="1405"/>
      <c r="AH1873" s="1405"/>
      <c r="AI1873" s="1405"/>
      <c r="AJ1873" s="1405"/>
      <c r="AK1873" s="1405"/>
      <c r="AL1873" s="1405"/>
    </row>
    <row r="1874" spans="2:38">
      <c r="B1874" s="1406" t="s">
        <v>2058</v>
      </c>
      <c r="C1874" s="1477">
        <v>1.8240999999999998</v>
      </c>
      <c r="D1874" s="1478">
        <v>1185.665</v>
      </c>
      <c r="E1874" s="800"/>
      <c r="F1874" s="799"/>
      <c r="G1874" s="799"/>
      <c r="H1874" s="799"/>
      <c r="I1874" s="799"/>
      <c r="J1874" s="799"/>
      <c r="K1874" s="600"/>
      <c r="L1874" s="601"/>
      <c r="M1874" s="602"/>
      <c r="N1874" s="602"/>
      <c r="O1874" s="601"/>
      <c r="P1874" s="601"/>
      <c r="Q1874" s="602"/>
      <c r="R1874" s="602"/>
      <c r="Y1874" s="1186"/>
      <c r="Z1874" s="730"/>
      <c r="AA1874" s="1187"/>
      <c r="AB1874" s="1405"/>
      <c r="AC1874" s="1405"/>
      <c r="AD1874" s="1405"/>
      <c r="AE1874" s="1405"/>
      <c r="AF1874" s="1405"/>
      <c r="AG1874" s="1405"/>
      <c r="AH1874" s="1405"/>
      <c r="AI1874" s="1405"/>
      <c r="AJ1874" s="1405"/>
      <c r="AK1874" s="1405"/>
      <c r="AL1874" s="1405"/>
    </row>
    <row r="1875" spans="2:38" ht="15" customHeight="1">
      <c r="B1875" s="1406" t="s">
        <v>2116</v>
      </c>
      <c r="C1875" s="1477">
        <v>2.5326499999999998</v>
      </c>
      <c r="D1875" s="1478">
        <v>1646.2224999999999</v>
      </c>
      <c r="E1875" s="800"/>
      <c r="F1875" s="799"/>
      <c r="G1875" s="799"/>
      <c r="H1875" s="799"/>
      <c r="I1875" s="799"/>
      <c r="J1875" s="799"/>
      <c r="K1875" s="600"/>
      <c r="L1875" s="601"/>
      <c r="M1875" s="602"/>
      <c r="N1875" s="602"/>
      <c r="O1875" s="601"/>
      <c r="P1875" s="601"/>
      <c r="Q1875" s="602"/>
      <c r="R1875" s="602"/>
      <c r="Y1875" s="1186"/>
      <c r="Z1875" s="730"/>
      <c r="AA1875" s="1187"/>
      <c r="AB1875" s="1405"/>
      <c r="AC1875" s="1405"/>
      <c r="AD1875" s="1405"/>
      <c r="AE1875" s="1405"/>
      <c r="AF1875" s="1405"/>
      <c r="AG1875" s="1405"/>
      <c r="AH1875" s="1405"/>
      <c r="AI1875" s="1405"/>
      <c r="AJ1875" s="1405"/>
      <c r="AK1875" s="1405"/>
      <c r="AL1875" s="1405"/>
    </row>
    <row r="1876" spans="2:38">
      <c r="B1876" s="1479" t="s">
        <v>2117</v>
      </c>
      <c r="C1876" s="1477">
        <v>2.0292000000000003</v>
      </c>
      <c r="D1876" s="1478">
        <v>1318.9800000000002</v>
      </c>
      <c r="E1876" s="800"/>
      <c r="F1876" s="799"/>
      <c r="G1876" s="799"/>
      <c r="H1876" s="799"/>
      <c r="I1876" s="799"/>
      <c r="J1876" s="799"/>
      <c r="K1876" s="600"/>
      <c r="L1876" s="601"/>
      <c r="M1876" s="602"/>
      <c r="N1876" s="602"/>
      <c r="O1876" s="601"/>
      <c r="P1876" s="601"/>
      <c r="Q1876" s="602"/>
      <c r="R1876" s="602"/>
      <c r="Y1876" s="1186"/>
      <c r="Z1876" s="730"/>
      <c r="AA1876" s="1187"/>
      <c r="AB1876" s="1405"/>
      <c r="AC1876" s="1405"/>
      <c r="AD1876" s="1405"/>
      <c r="AE1876" s="1405"/>
      <c r="AF1876" s="1405"/>
      <c r="AG1876" s="1405"/>
      <c r="AH1876" s="1405"/>
      <c r="AI1876" s="1405"/>
      <c r="AJ1876" s="1405"/>
      <c r="AK1876" s="1405"/>
      <c r="AL1876" s="1405"/>
    </row>
    <row r="1877" spans="2:38" s="333" customFormat="1" ht="15" customHeight="1">
      <c r="B1877" s="1479" t="s">
        <v>2118</v>
      </c>
      <c r="C1877" s="1477">
        <v>5.4112</v>
      </c>
      <c r="D1877" s="1478">
        <v>3517.28</v>
      </c>
      <c r="E1877" s="800"/>
      <c r="F1877" s="799"/>
      <c r="G1877" s="799"/>
      <c r="H1877" s="799"/>
      <c r="I1877" s="799"/>
      <c r="J1877" s="799"/>
      <c r="K1877" s="600"/>
      <c r="L1877" s="601"/>
      <c r="M1877" s="602"/>
      <c r="N1877" s="602"/>
      <c r="O1877" s="601"/>
      <c r="P1877" s="601"/>
      <c r="Q1877" s="602"/>
      <c r="R1877" s="602"/>
      <c r="S1877" s="4"/>
      <c r="T1877" s="4"/>
      <c r="U1877" s="4"/>
      <c r="V1877" s="4"/>
      <c r="W1877" s="89"/>
      <c r="X1877" s="4"/>
      <c r="Y1877" s="1186"/>
      <c r="Z1877" s="730"/>
      <c r="AA1877" s="1187"/>
      <c r="AB1877" s="1405"/>
      <c r="AC1877" s="1405"/>
      <c r="AD1877" s="1405"/>
      <c r="AE1877" s="1405"/>
      <c r="AF1877" s="1405"/>
      <c r="AG1877" s="1405"/>
      <c r="AH1877" s="1405"/>
      <c r="AI1877" s="1405"/>
      <c r="AJ1877" s="1405"/>
      <c r="AK1877" s="1405"/>
      <c r="AL1877" s="1405"/>
    </row>
    <row r="1878" spans="2:38" s="613" customFormat="1">
      <c r="B1878" s="1479" t="s">
        <v>2119</v>
      </c>
      <c r="C1878" s="1477">
        <v>1.8734</v>
      </c>
      <c r="D1878" s="1478">
        <v>1217.71</v>
      </c>
      <c r="E1878" s="800"/>
      <c r="F1878" s="799"/>
      <c r="G1878" s="799"/>
      <c r="H1878" s="799"/>
      <c r="I1878" s="799"/>
      <c r="J1878" s="799"/>
      <c r="K1878" s="600"/>
      <c r="L1878" s="601"/>
      <c r="M1878" s="602"/>
      <c r="N1878" s="602"/>
      <c r="O1878" s="601"/>
      <c r="P1878" s="601"/>
      <c r="Q1878" s="602"/>
      <c r="R1878" s="602"/>
      <c r="S1878" s="4"/>
      <c r="T1878" s="4"/>
      <c r="U1878" s="4"/>
      <c r="V1878" s="4"/>
      <c r="W1878" s="89"/>
      <c r="X1878" s="4"/>
      <c r="Y1878" s="1186"/>
      <c r="Z1878" s="730"/>
      <c r="AA1878" s="1187"/>
      <c r="AB1878" s="1405"/>
      <c r="AC1878" s="1405"/>
      <c r="AD1878" s="1405"/>
      <c r="AE1878" s="1405"/>
      <c r="AF1878" s="1405"/>
      <c r="AG1878" s="1405"/>
      <c r="AH1878" s="1405"/>
      <c r="AI1878" s="1405"/>
      <c r="AJ1878" s="1405"/>
      <c r="AK1878" s="1405"/>
      <c r="AL1878" s="1405"/>
    </row>
    <row r="1879" spans="2:38" s="613" customFormat="1">
      <c r="B1879" s="612"/>
      <c r="C1879" s="612"/>
      <c r="D1879" s="612"/>
      <c r="E1879" s="4"/>
      <c r="F1879" s="799"/>
      <c r="G1879" s="799"/>
      <c r="H1879" s="799"/>
      <c r="I1879" s="799"/>
      <c r="J1879" s="799"/>
      <c r="K1879" s="165"/>
      <c r="L1879" s="165"/>
      <c r="M1879" s="4"/>
      <c r="N1879" s="4"/>
      <c r="O1879" s="4"/>
      <c r="P1879" s="4"/>
      <c r="Q1879" s="4"/>
      <c r="R1879" s="4"/>
      <c r="S1879" s="4"/>
      <c r="T1879" s="4"/>
      <c r="U1879" s="4"/>
      <c r="V1879" s="4"/>
      <c r="W1879" s="89"/>
      <c r="X1879" s="4"/>
      <c r="Y1879" s="53"/>
      <c r="Z1879" s="1919" t="s">
        <v>413</v>
      </c>
      <c r="AA1879" s="7"/>
      <c r="AB1879" s="163"/>
      <c r="AC1879" s="163"/>
      <c r="AD1879" s="163"/>
      <c r="AE1879" s="163"/>
      <c r="AF1879" s="163"/>
      <c r="AG1879" s="163"/>
      <c r="AH1879" s="163"/>
      <c r="AI1879" s="163"/>
      <c r="AJ1879" s="163"/>
      <c r="AK1879" s="163"/>
      <c r="AL1879" s="163"/>
    </row>
    <row r="1880" spans="2:38" s="613" customFormat="1" hidden="1">
      <c r="B1880" s="4"/>
      <c r="C1880" s="4"/>
      <c r="D1880" s="4"/>
      <c r="E1880" s="4"/>
      <c r="F1880" s="4"/>
      <c r="G1880" s="1410" t="s">
        <v>1241</v>
      </c>
      <c r="H1880" s="1410">
        <v>64</v>
      </c>
      <c r="I1880" s="1410">
        <v>256</v>
      </c>
      <c r="J1880" s="1411">
        <f>INT(MIN(74/H1880,328/I1880))</f>
        <v>1</v>
      </c>
      <c r="K1880" s="165"/>
      <c r="L1880" s="165"/>
      <c r="M1880" s="4"/>
      <c r="N1880" s="4"/>
      <c r="O1880" s="4"/>
      <c r="P1880" s="4"/>
      <c r="Q1880" s="4"/>
      <c r="R1880" s="4"/>
      <c r="S1880" s="4"/>
      <c r="T1880" s="4"/>
      <c r="U1880" s="4"/>
      <c r="V1880" s="4"/>
      <c r="W1880" s="89"/>
      <c r="X1880" s="4"/>
      <c r="Y1880" s="53"/>
      <c r="Z1880" s="1919"/>
      <c r="AA1880" s="7"/>
      <c r="AB1880" s="163"/>
      <c r="AC1880" s="163"/>
      <c r="AD1880" s="163"/>
      <c r="AE1880" s="163"/>
      <c r="AF1880" s="163"/>
      <c r="AG1880" s="163"/>
      <c r="AH1880" s="163"/>
      <c r="AI1880" s="163"/>
      <c r="AJ1880" s="163"/>
      <c r="AK1880" s="163"/>
      <c r="AL1880" s="163"/>
    </row>
    <row r="1881" spans="2:38" s="613" customFormat="1" hidden="1">
      <c r="B1881" s="1928" t="s">
        <v>267</v>
      </c>
      <c r="C1881" s="1929"/>
      <c r="D1881" s="1929"/>
      <c r="E1881" s="1929"/>
      <c r="F1881" s="4"/>
      <c r="G1881" s="4"/>
      <c r="H1881" s="4"/>
      <c r="I1881" s="4"/>
      <c r="J1881" s="4"/>
      <c r="K1881" s="165"/>
      <c r="L1881" s="165"/>
      <c r="M1881" s="4"/>
      <c r="N1881" s="4"/>
      <c r="O1881" s="4"/>
      <c r="P1881" s="4"/>
      <c r="Q1881" s="4"/>
      <c r="R1881" s="4"/>
      <c r="S1881" s="4"/>
      <c r="T1881" s="4"/>
      <c r="U1881" s="4"/>
      <c r="V1881" s="4"/>
      <c r="W1881" s="89"/>
      <c r="X1881" s="4"/>
      <c r="Y1881" s="53"/>
      <c r="Z1881" s="1919"/>
      <c r="AA1881" s="7"/>
      <c r="AB1881" s="163"/>
      <c r="AC1881" s="163"/>
      <c r="AD1881" s="163"/>
      <c r="AE1881" s="163"/>
      <c r="AF1881" s="163"/>
      <c r="AG1881" s="163"/>
      <c r="AH1881" s="163"/>
      <c r="AI1881" s="163"/>
      <c r="AJ1881" s="163"/>
      <c r="AK1881" s="163"/>
      <c r="AL1881" s="163"/>
    </row>
    <row r="1882" spans="2:38" s="613" customFormat="1" hidden="1">
      <c r="B1882" s="290" t="s">
        <v>264</v>
      </c>
      <c r="C1882" s="1995" t="s">
        <v>265</v>
      </c>
      <c r="D1882" s="2054"/>
      <c r="E1882" s="290" t="s">
        <v>266</v>
      </c>
      <c r="F1882" s="1930" t="s">
        <v>269</v>
      </c>
      <c r="G1882" s="1931"/>
      <c r="H1882" s="297" t="s">
        <v>268</v>
      </c>
      <c r="I1882" s="4"/>
      <c r="J1882" s="4"/>
      <c r="K1882" s="165"/>
      <c r="L1882" s="165"/>
      <c r="M1882" s="4"/>
      <c r="N1882" s="4"/>
      <c r="O1882" s="4"/>
      <c r="P1882" s="4"/>
      <c r="Q1882" s="4"/>
      <c r="R1882" s="4"/>
      <c r="S1882" s="4"/>
      <c r="T1882" s="4"/>
      <c r="U1882" s="4"/>
      <c r="V1882" s="4"/>
      <c r="W1882" s="89"/>
      <c r="X1882" s="4"/>
      <c r="Y1882" s="53"/>
      <c r="Z1882" s="1919"/>
      <c r="AA1882" s="7"/>
      <c r="AB1882" s="163"/>
      <c r="AC1882" s="163"/>
      <c r="AD1882" s="163"/>
      <c r="AE1882" s="163"/>
      <c r="AF1882" s="163"/>
      <c r="AG1882" s="163"/>
      <c r="AH1882" s="163"/>
      <c r="AI1882" s="163"/>
      <c r="AJ1882" s="163"/>
      <c r="AK1882" s="163"/>
      <c r="AL1882" s="163"/>
    </row>
    <row r="1883" spans="2:38" s="613" customFormat="1" ht="14.55" hidden="1" customHeight="1">
      <c r="B1883" s="311" t="s">
        <v>274</v>
      </c>
      <c r="C1883" s="1932" t="s">
        <v>270</v>
      </c>
      <c r="D1883" s="1933"/>
      <c r="E1883" s="294" t="s">
        <v>275</v>
      </c>
      <c r="F1883" s="1934" t="s">
        <v>276</v>
      </c>
      <c r="G1883" s="1935"/>
      <c r="H1883" s="537">
        <v>1273</v>
      </c>
      <c r="I1883" s="4"/>
      <c r="J1883" s="4"/>
      <c r="K1883" s="165"/>
      <c r="L1883" s="165"/>
      <c r="M1883" s="4"/>
      <c r="N1883" s="4"/>
      <c r="O1883" s="4"/>
      <c r="P1883" s="4"/>
      <c r="Q1883" s="4"/>
      <c r="R1883" s="4"/>
      <c r="S1883" s="4"/>
      <c r="T1883" s="4"/>
      <c r="U1883" s="4"/>
      <c r="V1883" s="4"/>
      <c r="W1883" s="89"/>
      <c r="X1883" s="4"/>
      <c r="Y1883" s="53"/>
      <c r="Z1883" s="1919"/>
      <c r="AA1883" s="7"/>
      <c r="AB1883" s="163"/>
      <c r="AC1883" s="163"/>
      <c r="AD1883" s="163"/>
      <c r="AE1883" s="163"/>
      <c r="AF1883" s="163"/>
      <c r="AG1883" s="163"/>
      <c r="AH1883" s="163"/>
      <c r="AI1883" s="163"/>
      <c r="AJ1883" s="163"/>
      <c r="AK1883" s="163"/>
      <c r="AL1883" s="163"/>
    </row>
    <row r="1884" spans="2:38" s="613" customFormat="1" hidden="1">
      <c r="B1884" s="4"/>
      <c r="C1884" s="4"/>
      <c r="D1884" s="4"/>
      <c r="E1884" s="4"/>
      <c r="F1884" s="4"/>
      <c r="G1884" s="4"/>
      <c r="H1884" s="4"/>
      <c r="I1884" s="4"/>
      <c r="J1884" s="4"/>
      <c r="K1884" s="165"/>
      <c r="L1884" s="165"/>
      <c r="M1884" s="4"/>
      <c r="N1884" s="4"/>
      <c r="O1884" s="4"/>
      <c r="P1884" s="4"/>
      <c r="Q1884" s="4"/>
      <c r="R1884" s="4"/>
      <c r="S1884" s="4"/>
      <c r="T1884" s="4"/>
      <c r="U1884" s="4"/>
      <c r="V1884" s="4"/>
      <c r="W1884" s="89"/>
      <c r="X1884" s="4"/>
      <c r="Y1884" s="53"/>
      <c r="Z1884" s="1919"/>
      <c r="AA1884" s="7"/>
      <c r="AB1884" s="163"/>
      <c r="AC1884" s="163"/>
      <c r="AD1884" s="163"/>
      <c r="AE1884" s="163"/>
      <c r="AF1884" s="163"/>
      <c r="AG1884" s="163"/>
      <c r="AH1884" s="163"/>
      <c r="AI1884" s="163"/>
      <c r="AJ1884" s="163"/>
      <c r="AK1884" s="163"/>
      <c r="AL1884" s="163"/>
    </row>
    <row r="1885" spans="2:38" s="613" customFormat="1">
      <c r="B1885" s="1921" t="s">
        <v>803</v>
      </c>
      <c r="C1885" s="1922"/>
      <c r="D1885" s="26" t="s">
        <v>400</v>
      </c>
      <c r="E1885" s="5"/>
      <c r="F1885" s="5"/>
      <c r="G1885" s="5"/>
      <c r="H1885" s="5"/>
      <c r="I1885" s="567" t="s">
        <v>412</v>
      </c>
      <c r="J1885" s="2038" t="s">
        <v>410</v>
      </c>
      <c r="K1885" s="2039"/>
      <c r="L1885" s="2040"/>
      <c r="M1885" s="707" t="s">
        <v>411</v>
      </c>
      <c r="N1885" s="707" t="s">
        <v>801</v>
      </c>
      <c r="O1885" s="4"/>
      <c r="P1885" s="4"/>
      <c r="Q1885" s="4"/>
      <c r="R1885" s="4"/>
      <c r="S1885" s="4"/>
      <c r="T1885" s="4"/>
      <c r="U1885" s="4"/>
      <c r="V1885" s="4"/>
      <c r="W1885" s="89"/>
      <c r="X1885" s="4"/>
      <c r="Y1885" s="53"/>
      <c r="Z1885" s="1919"/>
      <c r="AA1885" s="7"/>
      <c r="AB1885" s="163"/>
      <c r="AC1885" s="163"/>
      <c r="AD1885" s="163"/>
      <c r="AE1885" s="163"/>
      <c r="AF1885" s="163"/>
      <c r="AG1885" s="163"/>
      <c r="AH1885" s="163"/>
      <c r="AI1885" s="163"/>
      <c r="AJ1885" s="163"/>
      <c r="AK1885" s="163"/>
      <c r="AL1885" s="163"/>
    </row>
    <row r="1886" spans="2:38" s="613" customFormat="1" ht="15" customHeight="1">
      <c r="B1886" s="138" t="s">
        <v>2</v>
      </c>
      <c r="C1886" s="108" t="s">
        <v>3</v>
      </c>
      <c r="D1886" s="108" t="s">
        <v>37</v>
      </c>
      <c r="E1886" s="291" t="s">
        <v>261</v>
      </c>
      <c r="F1886" s="108" t="s">
        <v>103</v>
      </c>
      <c r="G1886" s="108" t="s">
        <v>401</v>
      </c>
      <c r="H1886" s="567" t="s">
        <v>402</v>
      </c>
      <c r="I1886" s="567" t="s">
        <v>403</v>
      </c>
      <c r="J1886" s="505" t="s">
        <v>404</v>
      </c>
      <c r="K1886" s="505" t="s">
        <v>405</v>
      </c>
      <c r="L1886" s="505" t="s">
        <v>423</v>
      </c>
      <c r="M1886" s="505" t="s">
        <v>406</v>
      </c>
      <c r="N1886" s="505" t="s">
        <v>802</v>
      </c>
      <c r="O1886" s="44"/>
      <c r="P1886" s="4"/>
      <c r="Q1886" s="44"/>
      <c r="R1886" s="44"/>
      <c r="S1886" s="44"/>
      <c r="T1886" s="818"/>
      <c r="U1886" s="818"/>
      <c r="V1886" s="818"/>
      <c r="W1886" s="92"/>
      <c r="X1886" s="4"/>
      <c r="Y1886" s="53"/>
      <c r="Z1886" s="1919"/>
      <c r="AA1886" s="7"/>
      <c r="AB1886" s="163"/>
      <c r="AC1886" s="163"/>
      <c r="AD1886" s="163"/>
      <c r="AE1886" s="163"/>
      <c r="AF1886" s="163"/>
      <c r="AG1886" s="163"/>
      <c r="AH1886" s="163"/>
      <c r="AI1886" s="163"/>
      <c r="AJ1886" s="163"/>
      <c r="AK1886" s="163"/>
      <c r="AL1886" s="163"/>
    </row>
    <row r="1887" spans="2:38" s="1389" customFormat="1" ht="15" customHeight="1">
      <c r="B1887" s="1890" t="s">
        <v>2764</v>
      </c>
      <c r="C1887" s="228">
        <v>2</v>
      </c>
      <c r="D1887" s="228">
        <v>4</v>
      </c>
      <c r="E1887" s="228" t="s">
        <v>102</v>
      </c>
      <c r="F1887" s="228" t="s">
        <v>102</v>
      </c>
      <c r="G1887" s="560" t="s">
        <v>407</v>
      </c>
      <c r="H1887" s="561" t="s">
        <v>407</v>
      </c>
      <c r="I1887" s="561" t="s">
        <v>407</v>
      </c>
      <c r="J1887" s="562">
        <v>7</v>
      </c>
      <c r="K1887" s="561">
        <v>0.25</v>
      </c>
      <c r="L1887" s="561">
        <v>182.5</v>
      </c>
      <c r="M1887" s="561">
        <v>28</v>
      </c>
      <c r="N1887" s="670" t="s">
        <v>407</v>
      </c>
      <c r="O1887" s="33"/>
      <c r="P1887" s="4"/>
      <c r="Q1887" s="163"/>
      <c r="R1887" s="163"/>
      <c r="S1887" s="44"/>
      <c r="T1887" s="818"/>
      <c r="U1887" s="818"/>
      <c r="V1887" s="818"/>
      <c r="W1887" s="44"/>
      <c r="X1887" s="44"/>
      <c r="Y1887" s="53"/>
      <c r="Z1887" s="44"/>
      <c r="AA1887" s="7"/>
      <c r="AB1887" s="33"/>
      <c r="AC1887" s="33"/>
      <c r="AD1887" s="33"/>
      <c r="AE1887" s="33"/>
      <c r="AF1887" s="33"/>
      <c r="AG1887" s="33"/>
      <c r="AH1887" s="33"/>
      <c r="AI1887" s="33"/>
      <c r="AJ1887" s="33"/>
      <c r="AK1887" s="33"/>
      <c r="AL1887" s="33"/>
    </row>
    <row r="1888" spans="2:38" s="1389" customFormat="1" ht="15" customHeight="1">
      <c r="B1888" s="1891" t="s">
        <v>2765</v>
      </c>
      <c r="C1888" s="228">
        <v>4</v>
      </c>
      <c r="D1888" s="228">
        <v>8</v>
      </c>
      <c r="E1888" s="228" t="s">
        <v>102</v>
      </c>
      <c r="F1888" s="228" t="s">
        <v>102</v>
      </c>
      <c r="G1888" s="560" t="s">
        <v>407</v>
      </c>
      <c r="H1888" s="561" t="s">
        <v>407</v>
      </c>
      <c r="I1888" s="561" t="s">
        <v>407</v>
      </c>
      <c r="J1888" s="561">
        <v>7</v>
      </c>
      <c r="K1888" s="561">
        <v>0.53</v>
      </c>
      <c r="L1888" s="561">
        <v>386.90000000000003</v>
      </c>
      <c r="M1888" s="561">
        <v>50</v>
      </c>
      <c r="N1888" s="670" t="s">
        <v>407</v>
      </c>
      <c r="O1888" s="4"/>
      <c r="P1888" s="4"/>
      <c r="Q1888" s="4"/>
      <c r="R1888" s="4"/>
      <c r="S1888" s="4"/>
      <c r="T1888" s="4"/>
      <c r="U1888" s="4"/>
      <c r="V1888" s="4"/>
      <c r="W1888" s="89"/>
      <c r="X1888" s="4"/>
      <c r="Y1888" s="53"/>
      <c r="Z1888" s="1920" t="s">
        <v>819</v>
      </c>
      <c r="AA1888" s="7"/>
      <c r="AB1888" s="33"/>
      <c r="AC1888" s="33"/>
      <c r="AD1888" s="33"/>
      <c r="AE1888" s="33"/>
      <c r="AF1888" s="33"/>
      <c r="AG1888" s="33"/>
      <c r="AH1888" s="33"/>
      <c r="AI1888" s="33"/>
      <c r="AJ1888" s="33"/>
      <c r="AK1888" s="33"/>
      <c r="AL1888" s="33"/>
    </row>
    <row r="1889" spans="2:38" s="1389" customFormat="1" ht="15" customHeight="1">
      <c r="B1889" s="1891" t="s">
        <v>2766</v>
      </c>
      <c r="C1889" s="228">
        <v>8</v>
      </c>
      <c r="D1889" s="306">
        <v>16</v>
      </c>
      <c r="E1889" s="228" t="s">
        <v>102</v>
      </c>
      <c r="F1889" s="228" t="s">
        <v>102</v>
      </c>
      <c r="G1889" s="560" t="s">
        <v>407</v>
      </c>
      <c r="H1889" s="561" t="s">
        <v>407</v>
      </c>
      <c r="I1889" s="561" t="s">
        <v>407</v>
      </c>
      <c r="J1889" s="561">
        <v>7</v>
      </c>
      <c r="K1889" s="561">
        <v>1.06</v>
      </c>
      <c r="L1889" s="561">
        <v>773.80000000000007</v>
      </c>
      <c r="M1889" s="561">
        <v>92</v>
      </c>
      <c r="N1889" s="670" t="s">
        <v>407</v>
      </c>
      <c r="O1889" s="4"/>
      <c r="P1889" s="4"/>
      <c r="Q1889" s="4"/>
      <c r="R1889" s="4"/>
      <c r="S1889" s="4"/>
      <c r="T1889" s="4"/>
      <c r="U1889" s="4"/>
      <c r="V1889" s="4"/>
      <c r="W1889" s="89"/>
      <c r="X1889" s="4"/>
      <c r="Y1889" s="53"/>
      <c r="Z1889" s="1920"/>
      <c r="AA1889" s="7"/>
      <c r="AB1889" s="33"/>
      <c r="AC1889" s="33"/>
      <c r="AD1889" s="33"/>
      <c r="AE1889" s="33"/>
      <c r="AF1889" s="33"/>
      <c r="AG1889" s="33"/>
      <c r="AH1889" s="33"/>
      <c r="AI1889" s="33"/>
      <c r="AJ1889" s="33"/>
      <c r="AK1889" s="33"/>
      <c r="AL1889" s="33"/>
    </row>
    <row r="1890" spans="2:38" s="1185" customFormat="1" ht="15" customHeight="1">
      <c r="B1890" s="1891" t="s">
        <v>2767</v>
      </c>
      <c r="C1890" s="228">
        <v>1</v>
      </c>
      <c r="D1890" s="306">
        <v>4</v>
      </c>
      <c r="E1890" s="228" t="s">
        <v>102</v>
      </c>
      <c r="F1890" s="228" t="s">
        <v>102</v>
      </c>
      <c r="G1890" s="560"/>
      <c r="H1890" s="561" t="s">
        <v>407</v>
      </c>
      <c r="I1890" s="561" t="s">
        <v>407</v>
      </c>
      <c r="J1890" s="561">
        <v>7</v>
      </c>
      <c r="K1890" s="561">
        <v>0.21</v>
      </c>
      <c r="L1890" s="561">
        <v>153.29999999999998</v>
      </c>
      <c r="M1890" s="561">
        <v>24</v>
      </c>
      <c r="N1890" s="670" t="s">
        <v>407</v>
      </c>
      <c r="O1890" s="4"/>
      <c r="P1890" s="4"/>
      <c r="Q1890" s="4"/>
      <c r="R1890" s="4"/>
      <c r="S1890" s="4"/>
      <c r="T1890" s="4"/>
      <c r="U1890" s="4"/>
      <c r="V1890" s="4"/>
      <c r="W1890" s="89"/>
      <c r="X1890" s="4"/>
      <c r="Y1890" s="53"/>
      <c r="Z1890" s="44"/>
      <c r="AA1890" s="7"/>
      <c r="AB1890" s="33"/>
      <c r="AC1890" s="33"/>
      <c r="AD1890" s="33"/>
      <c r="AE1890" s="33"/>
      <c r="AF1890" s="33"/>
      <c r="AG1890" s="33"/>
      <c r="AH1890" s="33"/>
      <c r="AI1890" s="33"/>
      <c r="AJ1890" s="33"/>
      <c r="AK1890" s="33"/>
      <c r="AL1890" s="33"/>
    </row>
    <row r="1891" spans="2:38" s="1185" customFormat="1" ht="15" customHeight="1">
      <c r="B1891" s="1891" t="s">
        <v>2768</v>
      </c>
      <c r="C1891" s="228">
        <v>2</v>
      </c>
      <c r="D1891" s="306">
        <v>8</v>
      </c>
      <c r="E1891" s="228" t="s">
        <v>102</v>
      </c>
      <c r="F1891" s="228" t="s">
        <v>102</v>
      </c>
      <c r="G1891" s="560"/>
      <c r="H1891" s="561" t="s">
        <v>407</v>
      </c>
      <c r="I1891" s="562" t="s">
        <v>407</v>
      </c>
      <c r="J1891" s="561">
        <v>7</v>
      </c>
      <c r="K1891" s="562">
        <v>0.49</v>
      </c>
      <c r="L1891" s="561">
        <v>357.7</v>
      </c>
      <c r="M1891" s="561">
        <v>47</v>
      </c>
      <c r="N1891" s="670" t="s">
        <v>407</v>
      </c>
      <c r="O1891" s="4"/>
      <c r="P1891" s="4"/>
      <c r="Q1891" s="4"/>
      <c r="R1891" s="4"/>
      <c r="S1891" s="4"/>
      <c r="T1891" s="4"/>
      <c r="U1891" s="4"/>
      <c r="V1891" s="4"/>
      <c r="W1891" s="89"/>
      <c r="X1891" s="4"/>
      <c r="Y1891" s="53"/>
      <c r="Z1891" s="1919" t="s">
        <v>800</v>
      </c>
      <c r="AA1891" s="7"/>
      <c r="AB1891" s="33"/>
      <c r="AC1891" s="33"/>
      <c r="AD1891" s="33"/>
      <c r="AE1891" s="33"/>
      <c r="AF1891" s="33"/>
      <c r="AG1891" s="33"/>
      <c r="AH1891" s="33"/>
      <c r="AI1891" s="33"/>
      <c r="AJ1891" s="33"/>
      <c r="AK1891" s="33"/>
      <c r="AL1891" s="33"/>
    </row>
    <row r="1892" spans="2:38" s="1185" customFormat="1" ht="15" customHeight="1">
      <c r="B1892" s="1891" t="s">
        <v>2769</v>
      </c>
      <c r="C1892" s="228">
        <v>4</v>
      </c>
      <c r="D1892" s="306">
        <v>8</v>
      </c>
      <c r="E1892" s="228" t="s">
        <v>102</v>
      </c>
      <c r="F1892" s="228" t="s">
        <v>102</v>
      </c>
      <c r="G1892" s="606">
        <v>1</v>
      </c>
      <c r="H1892" s="561" t="s">
        <v>408</v>
      </c>
      <c r="I1892" s="561" t="s">
        <v>409</v>
      </c>
      <c r="J1892" s="561">
        <v>19</v>
      </c>
      <c r="K1892" s="561">
        <v>0.39</v>
      </c>
      <c r="L1892" s="561">
        <v>303.7</v>
      </c>
      <c r="M1892" s="561">
        <v>51</v>
      </c>
      <c r="N1892" s="670" t="s">
        <v>407</v>
      </c>
      <c r="O1892" s="4"/>
      <c r="P1892" s="4"/>
      <c r="Q1892" s="4"/>
      <c r="R1892" s="4"/>
      <c r="S1892" s="4"/>
      <c r="T1892" s="4"/>
      <c r="U1892" s="4"/>
      <c r="V1892" s="4"/>
      <c r="W1892" s="89"/>
      <c r="X1892" s="4"/>
      <c r="Y1892" s="53"/>
      <c r="Z1892" s="1919"/>
      <c r="AA1892" s="7"/>
      <c r="AB1892" s="33"/>
      <c r="AC1892" s="33"/>
      <c r="AD1892" s="33"/>
      <c r="AE1892" s="33"/>
      <c r="AF1892" s="33"/>
      <c r="AG1892" s="33"/>
      <c r="AH1892" s="33"/>
      <c r="AI1892" s="33"/>
      <c r="AJ1892" s="33"/>
      <c r="AK1892" s="33"/>
      <c r="AL1892" s="33"/>
    </row>
    <row r="1893" spans="2:38" s="1185" customFormat="1" ht="15" customHeight="1">
      <c r="B1893" s="1891" t="s">
        <v>2770</v>
      </c>
      <c r="C1893" s="228">
        <v>8</v>
      </c>
      <c r="D1893" s="228">
        <v>16</v>
      </c>
      <c r="E1893" s="228" t="s">
        <v>102</v>
      </c>
      <c r="F1893" s="228" t="s">
        <v>102</v>
      </c>
      <c r="G1893" s="606">
        <v>1</v>
      </c>
      <c r="H1893" s="561" t="s">
        <v>408</v>
      </c>
      <c r="I1893" s="561" t="s">
        <v>409</v>
      </c>
      <c r="J1893" s="561">
        <v>19</v>
      </c>
      <c r="K1893" s="561">
        <v>0.78</v>
      </c>
      <c r="L1893" s="561">
        <v>588.4</v>
      </c>
      <c r="M1893" s="561">
        <v>82</v>
      </c>
      <c r="N1893" s="670" t="s">
        <v>407</v>
      </c>
      <c r="O1893" s="4"/>
      <c r="P1893" s="4"/>
      <c r="Q1893" s="4"/>
      <c r="R1893" s="4"/>
      <c r="S1893" s="4"/>
      <c r="T1893" s="4"/>
      <c r="U1893" s="4"/>
      <c r="V1893" s="4"/>
      <c r="W1893" s="89"/>
      <c r="X1893" s="4"/>
      <c r="Y1893" s="53"/>
      <c r="Z1893" s="1919"/>
      <c r="AA1893" s="7"/>
      <c r="AB1893" s="333"/>
      <c r="AC1893" s="333"/>
      <c r="AD1893" s="333"/>
      <c r="AE1893" s="333"/>
      <c r="AF1893" s="333"/>
      <c r="AG1893" s="333"/>
      <c r="AH1893" s="333"/>
      <c r="AI1893" s="333"/>
      <c r="AJ1893" s="333"/>
      <c r="AK1893" s="333"/>
      <c r="AL1893" s="333"/>
    </row>
    <row r="1894" spans="2:38" s="1185" customFormat="1" ht="15" customHeight="1">
      <c r="B1894" s="1891" t="s">
        <v>2771</v>
      </c>
      <c r="C1894" s="515">
        <v>16</v>
      </c>
      <c r="D1894" s="515">
        <v>32</v>
      </c>
      <c r="E1894" s="515" t="s">
        <v>102</v>
      </c>
      <c r="F1894" s="515" t="s">
        <v>102</v>
      </c>
      <c r="G1894" s="735">
        <v>1</v>
      </c>
      <c r="H1894" s="561" t="s">
        <v>408</v>
      </c>
      <c r="I1894" s="516" t="s">
        <v>632</v>
      </c>
      <c r="J1894" s="516">
        <v>19</v>
      </c>
      <c r="K1894" s="516">
        <v>1.56</v>
      </c>
      <c r="L1894" s="516">
        <v>1142.2</v>
      </c>
      <c r="M1894" s="670">
        <v>149</v>
      </c>
      <c r="N1894" s="670" t="s">
        <v>407</v>
      </c>
      <c r="O1894" s="4"/>
      <c r="P1894" s="4"/>
      <c r="Q1894" s="4"/>
      <c r="R1894" s="4"/>
      <c r="S1894" s="4"/>
      <c r="T1894" s="4"/>
      <c r="U1894" s="4"/>
      <c r="V1894" s="4"/>
      <c r="W1894" s="89"/>
      <c r="X1894" s="4"/>
      <c r="Y1894" s="53"/>
      <c r="Z1894" s="1919"/>
      <c r="AA1894" s="7"/>
      <c r="AB1894" s="613"/>
      <c r="AC1894" s="613"/>
      <c r="AD1894" s="613"/>
      <c r="AE1894" s="613"/>
      <c r="AF1894" s="613"/>
      <c r="AG1894" s="613"/>
      <c r="AH1894" s="613"/>
      <c r="AI1894" s="613"/>
      <c r="AJ1894" s="613"/>
      <c r="AK1894" s="613"/>
      <c r="AL1894" s="613"/>
    </row>
    <row r="1895" spans="2:38" s="1185" customFormat="1" ht="15" customHeight="1">
      <c r="B1895" s="732"/>
      <c r="C1895" s="305"/>
      <c r="D1895" s="305"/>
      <c r="E1895" s="305"/>
      <c r="F1895" s="305"/>
      <c r="G1895" s="1387"/>
      <c r="H1895" s="611"/>
      <c r="I1895" s="611"/>
      <c r="J1895" s="611"/>
      <c r="K1895" s="611"/>
      <c r="L1895" s="611"/>
      <c r="M1895" s="611"/>
      <c r="N1895" s="611"/>
      <c r="O1895" s="4"/>
      <c r="P1895" s="4"/>
      <c r="Q1895" s="4"/>
      <c r="R1895" s="4"/>
      <c r="S1895" s="4"/>
      <c r="T1895" s="4"/>
      <c r="U1895" s="4"/>
      <c r="V1895" s="4"/>
      <c r="W1895" s="89"/>
      <c r="X1895" s="4"/>
      <c r="Y1895" s="1186"/>
      <c r="Z1895" s="1919"/>
      <c r="AA1895" s="1187"/>
      <c r="AB1895" s="1389"/>
      <c r="AC1895" s="1389"/>
      <c r="AD1895" s="1389"/>
      <c r="AE1895" s="1389"/>
      <c r="AF1895" s="1389"/>
      <c r="AG1895" s="1389"/>
      <c r="AH1895" s="1389"/>
      <c r="AI1895" s="1389"/>
      <c r="AJ1895" s="1389"/>
      <c r="AK1895" s="1389"/>
      <c r="AL1895" s="1389"/>
    </row>
    <row r="1896" spans="2:38" s="1185" customFormat="1" ht="15" customHeight="1">
      <c r="B1896" s="732"/>
      <c r="C1896" s="305"/>
      <c r="D1896" s="305"/>
      <c r="E1896" s="305"/>
      <c r="F1896" s="305"/>
      <c r="G1896" s="1387"/>
      <c r="H1896" s="611"/>
      <c r="I1896" s="611"/>
      <c r="J1896" s="611"/>
      <c r="K1896" s="611"/>
      <c r="L1896" s="611"/>
      <c r="M1896" s="611"/>
      <c r="N1896" s="611"/>
      <c r="O1896" s="4"/>
      <c r="P1896" s="4"/>
      <c r="Q1896" s="4"/>
      <c r="R1896" s="4"/>
      <c r="S1896" s="4"/>
      <c r="T1896" s="4"/>
      <c r="U1896" s="4"/>
      <c r="V1896" s="4"/>
      <c r="W1896" s="89"/>
      <c r="X1896" s="4"/>
      <c r="Y1896" s="1186"/>
      <c r="Z1896" s="1919"/>
      <c r="AA1896" s="1187"/>
      <c r="AB1896" s="1389"/>
      <c r="AC1896" s="1389"/>
      <c r="AD1896" s="1389"/>
      <c r="AE1896" s="1389"/>
      <c r="AF1896" s="1389"/>
      <c r="AG1896" s="1389"/>
      <c r="AH1896" s="1389"/>
      <c r="AI1896" s="1389"/>
      <c r="AJ1896" s="1389"/>
      <c r="AK1896" s="1389"/>
      <c r="AL1896" s="1389"/>
    </row>
    <row r="1897" spans="2:38" s="1185" customFormat="1" ht="15" customHeight="1">
      <c r="B1897" s="732"/>
      <c r="C1897" s="305"/>
      <c r="D1897" s="305"/>
      <c r="E1897" s="305"/>
      <c r="F1897" s="305"/>
      <c r="G1897" s="1387"/>
      <c r="H1897" s="611"/>
      <c r="I1897" s="1679" t="s">
        <v>1983</v>
      </c>
      <c r="J1897" s="1680" t="s">
        <v>1984</v>
      </c>
      <c r="K1897" s="1680" t="s">
        <v>1985</v>
      </c>
      <c r="L1897" s="1680" t="s">
        <v>1985</v>
      </c>
      <c r="M1897" s="611"/>
      <c r="N1897" s="611"/>
      <c r="O1897" s="4"/>
      <c r="P1897" s="4"/>
      <c r="Q1897" s="4"/>
      <c r="R1897" s="4"/>
      <c r="S1897" s="4"/>
      <c r="T1897" s="4"/>
      <c r="U1897" s="4"/>
      <c r="V1897" s="4"/>
      <c r="W1897" s="89"/>
      <c r="X1897" s="4"/>
      <c r="Y1897" s="1186"/>
      <c r="Z1897" s="1919"/>
      <c r="AA1897" s="1187"/>
      <c r="AB1897" s="1389"/>
      <c r="AC1897" s="1389"/>
      <c r="AD1897" s="1389"/>
      <c r="AE1897" s="1389"/>
      <c r="AF1897" s="1389"/>
      <c r="AG1897" s="1389"/>
      <c r="AH1897" s="1389"/>
      <c r="AI1897" s="1389"/>
      <c r="AJ1897" s="1389"/>
      <c r="AK1897" s="1389"/>
      <c r="AL1897" s="1389"/>
    </row>
    <row r="1898" spans="2:38" s="1185" customFormat="1" ht="15" customHeight="1">
      <c r="B1898" s="732"/>
      <c r="C1898" s="305"/>
      <c r="D1898" s="305"/>
      <c r="E1898" s="305"/>
      <c r="F1898" s="305"/>
      <c r="G1898" s="1387"/>
      <c r="H1898" s="611"/>
      <c r="I1898" s="1404" t="s">
        <v>1986</v>
      </c>
      <c r="J1898" s="1404" t="s">
        <v>1986</v>
      </c>
      <c r="K1898" s="1404" t="s">
        <v>1986</v>
      </c>
      <c r="L1898" s="1404" t="s">
        <v>1987</v>
      </c>
      <c r="M1898" s="611"/>
      <c r="N1898" s="611"/>
      <c r="O1898" s="4"/>
      <c r="P1898" s="4"/>
      <c r="Q1898" s="4"/>
      <c r="R1898" s="4"/>
      <c r="S1898" s="4"/>
      <c r="T1898" s="4"/>
      <c r="U1898" s="4"/>
      <c r="V1898" s="4"/>
      <c r="W1898" s="89"/>
      <c r="X1898" s="4"/>
      <c r="Y1898" s="1186"/>
      <c r="Z1898" s="1919"/>
      <c r="AA1898" s="1187"/>
    </row>
    <row r="1899" spans="2:38" s="1185" customFormat="1" ht="15" customHeight="1">
      <c r="B1899" s="1400" t="s">
        <v>1962</v>
      </c>
      <c r="C1899" s="1390" t="s">
        <v>3</v>
      </c>
      <c r="D1899" s="1390" t="s">
        <v>37</v>
      </c>
      <c r="E1899" s="1390" t="s">
        <v>1963</v>
      </c>
      <c r="F1899" s="1390" t="s">
        <v>402</v>
      </c>
      <c r="G1899" s="1390" t="s">
        <v>403</v>
      </c>
      <c r="H1899" s="1402" t="s">
        <v>1964</v>
      </c>
      <c r="I1899" s="1395" t="s">
        <v>1965</v>
      </c>
      <c r="J1899" s="1395" t="s">
        <v>1965</v>
      </c>
      <c r="K1899" s="1395" t="s">
        <v>1965</v>
      </c>
      <c r="L1899" s="1396" t="s">
        <v>1966</v>
      </c>
      <c r="M1899" s="611"/>
      <c r="N1899" s="611"/>
      <c r="O1899" s="4"/>
      <c r="P1899" s="4"/>
      <c r="Q1899" s="4"/>
      <c r="R1899" s="4"/>
      <c r="S1899" s="4"/>
      <c r="T1899" s="4"/>
      <c r="U1899" s="4"/>
      <c r="V1899" s="4"/>
      <c r="W1899" s="89"/>
      <c r="X1899" s="4"/>
      <c r="Y1899" s="1186"/>
      <c r="Z1899" s="1919"/>
      <c r="AA1899" s="1187"/>
    </row>
    <row r="1900" spans="2:38" s="1185" customFormat="1" ht="15" customHeight="1">
      <c r="B1900" s="1401" t="s">
        <v>1967</v>
      </c>
      <c r="C1900" s="1399"/>
      <c r="D1900" s="1399"/>
      <c r="E1900" s="1399"/>
      <c r="F1900" s="1399"/>
      <c r="G1900" s="1399"/>
      <c r="H1900" s="1403"/>
      <c r="I1900" s="1399"/>
      <c r="J1900" s="1399"/>
      <c r="K1900" s="1399"/>
      <c r="L1900" s="1399"/>
      <c r="M1900" s="611"/>
      <c r="N1900" s="611"/>
      <c r="O1900" s="4"/>
      <c r="P1900" s="4"/>
      <c r="Q1900" s="4"/>
      <c r="R1900" s="4"/>
      <c r="S1900" s="4"/>
      <c r="T1900" s="4"/>
      <c r="U1900" s="4"/>
      <c r="V1900" s="4"/>
      <c r="W1900" s="89"/>
      <c r="X1900" s="4"/>
      <c r="Y1900" s="1186"/>
      <c r="Z1900" s="1919"/>
      <c r="AA1900" s="1187"/>
    </row>
    <row r="1901" spans="2:38" s="1391" customFormat="1" ht="15" customHeight="1">
      <c r="B1901" s="1892" t="s">
        <v>2772</v>
      </c>
      <c r="C1901" s="1414">
        <v>1</v>
      </c>
      <c r="D1901" s="1414">
        <v>4</v>
      </c>
      <c r="E1901" s="1414" t="s">
        <v>407</v>
      </c>
      <c r="F1901" s="1415" t="s">
        <v>407</v>
      </c>
      <c r="G1901" s="1414" t="s">
        <v>407</v>
      </c>
      <c r="H1901" s="1416" t="s">
        <v>102</v>
      </c>
      <c r="I1901" s="1417">
        <v>0.17699999999999999</v>
      </c>
      <c r="J1901" s="1417">
        <v>6.3E-2</v>
      </c>
      <c r="K1901" s="1417">
        <v>0.24</v>
      </c>
      <c r="L1901" s="1418">
        <v>24</v>
      </c>
      <c r="M1901" s="611"/>
      <c r="N1901" s="611"/>
      <c r="O1901" s="4"/>
      <c r="P1901" s="4"/>
      <c r="Q1901" s="4"/>
      <c r="R1901" s="4"/>
      <c r="S1901" s="4"/>
      <c r="T1901" s="4"/>
      <c r="U1901" s="4"/>
      <c r="V1901" s="4"/>
      <c r="W1901" s="89"/>
      <c r="X1901" s="4"/>
      <c r="Y1901" s="1186"/>
      <c r="Z1901" s="1919"/>
      <c r="AA1901" s="1187"/>
      <c r="AB1901" s="1185"/>
      <c r="AC1901" s="1185"/>
      <c r="AD1901" s="1185"/>
      <c r="AE1901" s="1185"/>
      <c r="AF1901" s="1185"/>
      <c r="AG1901" s="1185"/>
      <c r="AH1901" s="1185"/>
      <c r="AI1901" s="1185"/>
      <c r="AJ1901" s="1185"/>
      <c r="AK1901" s="1185"/>
      <c r="AL1901" s="1185"/>
    </row>
    <row r="1902" spans="2:38" s="1391" customFormat="1" ht="15" customHeight="1">
      <c r="B1902" s="1893" t="s">
        <v>2773</v>
      </c>
      <c r="C1902" s="1414">
        <v>2</v>
      </c>
      <c r="D1902" s="1414">
        <v>8</v>
      </c>
      <c r="E1902" s="1414" t="s">
        <v>407</v>
      </c>
      <c r="F1902" s="1415" t="s">
        <v>407</v>
      </c>
      <c r="G1902" s="1414" t="s">
        <v>407</v>
      </c>
      <c r="H1902" s="1416" t="s">
        <v>102</v>
      </c>
      <c r="I1902" s="1417">
        <v>0.34399999999999997</v>
      </c>
      <c r="J1902" s="1417">
        <v>0.126</v>
      </c>
      <c r="K1902" s="1417">
        <v>0.47</v>
      </c>
      <c r="L1902" s="1418">
        <v>47</v>
      </c>
      <c r="M1902" s="611"/>
      <c r="N1902" s="611"/>
      <c r="O1902" s="4"/>
      <c r="P1902" s="4"/>
      <c r="Q1902" s="4"/>
      <c r="R1902" s="4"/>
      <c r="S1902" s="4"/>
      <c r="T1902" s="4"/>
      <c r="U1902" s="4"/>
      <c r="V1902" s="4"/>
      <c r="W1902" s="89"/>
      <c r="X1902" s="4"/>
      <c r="Y1902" s="1186"/>
      <c r="Z1902" s="1919"/>
      <c r="AA1902" s="1187"/>
      <c r="AB1902" s="1185"/>
      <c r="AC1902" s="1185"/>
      <c r="AD1902" s="1185"/>
      <c r="AE1902" s="1185"/>
      <c r="AF1902" s="1185"/>
      <c r="AG1902" s="1185"/>
      <c r="AH1902" s="1185"/>
      <c r="AI1902" s="1185"/>
      <c r="AJ1902" s="1185"/>
      <c r="AK1902" s="1185"/>
      <c r="AL1902" s="1185"/>
    </row>
    <row r="1903" spans="2:38" s="1391" customFormat="1" ht="15" customHeight="1">
      <c r="B1903" s="1893" t="s">
        <v>2774</v>
      </c>
      <c r="C1903" s="1414">
        <v>2</v>
      </c>
      <c r="D1903" s="1414">
        <v>4</v>
      </c>
      <c r="E1903" s="1414" t="s">
        <v>407</v>
      </c>
      <c r="F1903" s="1415" t="s">
        <v>407</v>
      </c>
      <c r="G1903" s="1414" t="s">
        <v>407</v>
      </c>
      <c r="H1903" s="1416" t="s">
        <v>102</v>
      </c>
      <c r="I1903" s="1419" t="s">
        <v>2018</v>
      </c>
      <c r="J1903" s="1419">
        <v>0.126</v>
      </c>
      <c r="K1903" s="1419">
        <v>0.28000000000000003</v>
      </c>
      <c r="L1903" s="1420" t="s">
        <v>2019</v>
      </c>
      <c r="M1903" s="611"/>
      <c r="N1903" s="611"/>
      <c r="O1903" s="4"/>
      <c r="P1903" s="4"/>
      <c r="Q1903" s="4"/>
      <c r="R1903" s="4"/>
      <c r="S1903" s="4"/>
      <c r="T1903" s="4"/>
      <c r="U1903" s="4"/>
      <c r="V1903" s="4"/>
      <c r="W1903" s="89"/>
      <c r="X1903" s="4"/>
      <c r="Y1903" s="1186"/>
      <c r="Z1903" s="1919"/>
      <c r="AA1903" s="1187"/>
      <c r="AB1903" s="1185"/>
      <c r="AC1903" s="1185"/>
      <c r="AD1903" s="1185"/>
      <c r="AE1903" s="1185"/>
      <c r="AF1903" s="1185"/>
      <c r="AG1903" s="1185"/>
      <c r="AH1903" s="1185"/>
      <c r="AI1903" s="1185"/>
      <c r="AJ1903" s="1185"/>
      <c r="AK1903" s="1185"/>
      <c r="AL1903" s="1185"/>
    </row>
    <row r="1904" spans="2:38" s="1391" customFormat="1" ht="15" customHeight="1">
      <c r="B1904" s="1893" t="s">
        <v>2775</v>
      </c>
      <c r="C1904" s="1414">
        <v>4</v>
      </c>
      <c r="D1904" s="1414">
        <v>8</v>
      </c>
      <c r="E1904" s="1414" t="s">
        <v>407</v>
      </c>
      <c r="F1904" s="1415" t="s">
        <v>407</v>
      </c>
      <c r="G1904" s="1414" t="s">
        <v>407</v>
      </c>
      <c r="H1904" s="1416" t="s">
        <v>102</v>
      </c>
      <c r="I1904" s="1417">
        <v>0.248</v>
      </c>
      <c r="J1904" s="1417">
        <v>0.252</v>
      </c>
      <c r="K1904" s="1417">
        <v>0.5</v>
      </c>
      <c r="L1904" s="1418">
        <v>50</v>
      </c>
      <c r="M1904" s="611"/>
      <c r="N1904" s="611"/>
      <c r="O1904" s="4"/>
      <c r="P1904" s="4"/>
      <c r="Q1904" s="4"/>
      <c r="R1904" s="4"/>
      <c r="S1904" s="4"/>
      <c r="T1904" s="4"/>
      <c r="U1904" s="4"/>
      <c r="V1904" s="4"/>
      <c r="W1904" s="89"/>
      <c r="X1904" s="4"/>
      <c r="Y1904" s="1186"/>
      <c r="Z1904" s="1919"/>
      <c r="AA1904" s="1187"/>
      <c r="AB1904" s="1185"/>
      <c r="AC1904" s="1185"/>
      <c r="AD1904" s="1185"/>
      <c r="AE1904" s="1185"/>
      <c r="AF1904" s="1185"/>
      <c r="AG1904" s="1185"/>
      <c r="AH1904" s="1185"/>
      <c r="AI1904" s="1185"/>
      <c r="AJ1904" s="1185"/>
      <c r="AK1904" s="1185"/>
      <c r="AL1904" s="1185"/>
    </row>
    <row r="1905" spans="2:38" s="1391" customFormat="1" ht="15" customHeight="1">
      <c r="B1905" s="1893" t="s">
        <v>2776</v>
      </c>
      <c r="C1905" s="1414">
        <v>4</v>
      </c>
      <c r="D1905" s="1414">
        <v>16</v>
      </c>
      <c r="E1905" s="1414" t="s">
        <v>407</v>
      </c>
      <c r="F1905" s="1415" t="s">
        <v>407</v>
      </c>
      <c r="G1905" s="1414" t="s">
        <v>407</v>
      </c>
      <c r="H1905" s="1416" t="s">
        <v>102</v>
      </c>
      <c r="I1905" s="1417">
        <v>0.44800000000000001</v>
      </c>
      <c r="J1905" s="1417">
        <v>0.252</v>
      </c>
      <c r="K1905" s="1417">
        <v>0.7</v>
      </c>
      <c r="L1905" s="1418">
        <v>70</v>
      </c>
      <c r="M1905" s="611"/>
      <c r="N1905" s="611"/>
      <c r="O1905" s="4"/>
      <c r="P1905" s="4"/>
      <c r="Q1905" s="4"/>
      <c r="R1905" s="4"/>
      <c r="S1905" s="4"/>
      <c r="T1905" s="4"/>
      <c r="U1905" s="4"/>
      <c r="V1905" s="4"/>
      <c r="W1905" s="89"/>
      <c r="X1905" s="4"/>
      <c r="Y1905" s="1186"/>
      <c r="Z1905" s="1919"/>
      <c r="AA1905" s="1187"/>
      <c r="AB1905" s="1405"/>
      <c r="AC1905" s="1405"/>
      <c r="AD1905" s="1405"/>
      <c r="AE1905" s="1405"/>
      <c r="AF1905" s="1405"/>
      <c r="AG1905" s="1405"/>
      <c r="AH1905" s="1405"/>
      <c r="AI1905" s="1405"/>
      <c r="AJ1905" s="1405"/>
      <c r="AK1905" s="1405"/>
      <c r="AL1905" s="1405"/>
    </row>
    <row r="1906" spans="2:38" s="1391" customFormat="1" ht="15" customHeight="1">
      <c r="B1906" s="1893" t="s">
        <v>2777</v>
      </c>
      <c r="C1906" s="1414">
        <v>8</v>
      </c>
      <c r="D1906" s="1414">
        <v>16</v>
      </c>
      <c r="E1906" s="1414" t="s">
        <v>407</v>
      </c>
      <c r="F1906" s="1415" t="s">
        <v>407</v>
      </c>
      <c r="G1906" s="1414" t="s">
        <v>407</v>
      </c>
      <c r="H1906" s="1416" t="s">
        <v>102</v>
      </c>
      <c r="I1906" s="1417">
        <v>0.41600000000000004</v>
      </c>
      <c r="J1906" s="1417">
        <v>0.504</v>
      </c>
      <c r="K1906" s="1417">
        <v>0.92</v>
      </c>
      <c r="L1906" s="1418">
        <v>92</v>
      </c>
      <c r="M1906" s="611"/>
      <c r="N1906" s="611"/>
      <c r="O1906" s="4"/>
      <c r="P1906" s="4"/>
      <c r="Q1906" s="4"/>
      <c r="R1906" s="4"/>
      <c r="S1906" s="4"/>
      <c r="T1906" s="4"/>
      <c r="U1906" s="4"/>
      <c r="V1906" s="4"/>
      <c r="W1906" s="89"/>
      <c r="X1906" s="4"/>
      <c r="Y1906" s="1186"/>
      <c r="Z1906" s="1919"/>
      <c r="AA1906" s="1187"/>
      <c r="AB1906" s="1185"/>
      <c r="AC1906" s="1185"/>
      <c r="AD1906" s="1185"/>
      <c r="AE1906" s="1185"/>
      <c r="AF1906" s="1185"/>
      <c r="AG1906" s="1185"/>
      <c r="AH1906" s="1185"/>
      <c r="AI1906" s="1185"/>
      <c r="AJ1906" s="1185"/>
      <c r="AK1906" s="1185"/>
      <c r="AL1906" s="1185"/>
    </row>
    <row r="1907" spans="2:38" s="1391" customFormat="1" ht="15" customHeight="1">
      <c r="B1907" s="1893" t="s">
        <v>2778</v>
      </c>
      <c r="C1907" s="1414">
        <v>4</v>
      </c>
      <c r="D1907" s="1414">
        <v>8</v>
      </c>
      <c r="E1907" s="1414">
        <v>1</v>
      </c>
      <c r="F1907" s="1415" t="s">
        <v>408</v>
      </c>
      <c r="G1907" s="1414">
        <v>1</v>
      </c>
      <c r="H1907" s="1416" t="s">
        <v>102</v>
      </c>
      <c r="I1907" s="1417">
        <v>0.86199999999999999</v>
      </c>
      <c r="J1907" s="1417">
        <v>0.22800000000000001</v>
      </c>
      <c r="K1907" s="1417">
        <v>1.0900000000000001</v>
      </c>
      <c r="L1907" s="1418">
        <v>109.00000000000001</v>
      </c>
      <c r="M1907" s="611"/>
      <c r="N1907" s="611"/>
      <c r="O1907" s="4"/>
      <c r="P1907" s="4"/>
      <c r="Q1907" s="4"/>
      <c r="R1907" s="4"/>
      <c r="S1907" s="4"/>
      <c r="T1907" s="4"/>
      <c r="U1907" s="4"/>
      <c r="V1907" s="4"/>
      <c r="W1907" s="89"/>
      <c r="X1907" s="4"/>
      <c r="Y1907" s="1186"/>
      <c r="Z1907" s="1919"/>
      <c r="AA1907" s="1187"/>
      <c r="AB1907" s="1185"/>
      <c r="AC1907" s="1185"/>
      <c r="AD1907" s="1185"/>
      <c r="AE1907" s="1185"/>
      <c r="AF1907" s="1185"/>
      <c r="AG1907" s="1185"/>
      <c r="AH1907" s="1185"/>
      <c r="AI1907" s="1185"/>
      <c r="AJ1907" s="1185"/>
      <c r="AK1907" s="1185"/>
      <c r="AL1907" s="1185"/>
    </row>
    <row r="1908" spans="2:38" s="1185" customFormat="1" ht="15" customHeight="1">
      <c r="B1908" s="1893" t="s">
        <v>2779</v>
      </c>
      <c r="C1908" s="1414">
        <v>8</v>
      </c>
      <c r="D1908" s="1414">
        <v>16</v>
      </c>
      <c r="E1908" s="1414">
        <v>1</v>
      </c>
      <c r="F1908" s="1415" t="s">
        <v>408</v>
      </c>
      <c r="G1908" s="1414">
        <v>1</v>
      </c>
      <c r="H1908" s="1416" t="s">
        <v>102</v>
      </c>
      <c r="I1908" s="1417">
        <v>1.4340000000000002</v>
      </c>
      <c r="J1908" s="1417">
        <v>0.45600000000000002</v>
      </c>
      <c r="K1908" s="1417">
        <v>1.8900000000000001</v>
      </c>
      <c r="L1908" s="1418">
        <v>189</v>
      </c>
      <c r="M1908" s="611"/>
      <c r="N1908" s="611"/>
      <c r="O1908" s="4"/>
      <c r="P1908" s="4"/>
      <c r="Q1908" s="4"/>
      <c r="R1908" s="4"/>
      <c r="S1908" s="4"/>
      <c r="T1908" s="4"/>
      <c r="U1908" s="4"/>
      <c r="V1908" s="4"/>
      <c r="W1908" s="89"/>
      <c r="X1908" s="4"/>
      <c r="Y1908" s="1186"/>
      <c r="Z1908" s="1919"/>
      <c r="AA1908" s="1187"/>
    </row>
    <row r="1909" spans="2:38" s="1185" customFormat="1" ht="15" customHeight="1">
      <c r="B1909" s="1893" t="s">
        <v>2780</v>
      </c>
      <c r="C1909" s="1414">
        <v>16</v>
      </c>
      <c r="D1909" s="1414">
        <v>32</v>
      </c>
      <c r="E1909" s="1414">
        <v>4</v>
      </c>
      <c r="F1909" s="1415" t="s">
        <v>1979</v>
      </c>
      <c r="G1909" s="1414">
        <v>4</v>
      </c>
      <c r="H1909" s="1416" t="s">
        <v>102</v>
      </c>
      <c r="I1909" s="1417">
        <v>2.6779999999999999</v>
      </c>
      <c r="J1909" s="1417">
        <v>0.91200000000000003</v>
      </c>
      <c r="K1909" s="1417">
        <v>3.59</v>
      </c>
      <c r="L1909" s="1418">
        <v>359</v>
      </c>
      <c r="M1909" s="611"/>
      <c r="N1909" s="611"/>
      <c r="O1909" s="4"/>
      <c r="P1909" s="4"/>
      <c r="Q1909" s="4"/>
      <c r="R1909" s="4"/>
      <c r="S1909" s="4"/>
      <c r="T1909" s="4"/>
      <c r="U1909" s="4"/>
      <c r="V1909" s="4"/>
      <c r="W1909" s="89"/>
      <c r="X1909" s="4"/>
      <c r="Y1909" s="1186"/>
      <c r="Z1909" s="1919"/>
      <c r="AA1909" s="1187"/>
    </row>
    <row r="1910" spans="2:38" s="1185" customFormat="1" ht="15" customHeight="1">
      <c r="B1910" s="1893" t="s">
        <v>2781</v>
      </c>
      <c r="C1910" s="1414">
        <v>4</v>
      </c>
      <c r="D1910" s="1414">
        <v>8</v>
      </c>
      <c r="E1910" s="1414">
        <v>1</v>
      </c>
      <c r="F1910" s="1415" t="s">
        <v>796</v>
      </c>
      <c r="G1910" s="1414">
        <v>1</v>
      </c>
      <c r="H1910" s="1416" t="s">
        <v>102</v>
      </c>
      <c r="I1910" s="1417">
        <v>0.872</v>
      </c>
      <c r="J1910" s="1417">
        <v>0.22800000000000001</v>
      </c>
      <c r="K1910" s="1417">
        <v>1.1000000000000001</v>
      </c>
      <c r="L1910" s="1418">
        <v>110.00000000000001</v>
      </c>
      <c r="M1910" s="611"/>
      <c r="N1910" s="611"/>
      <c r="O1910" s="4"/>
      <c r="P1910" s="4"/>
      <c r="Q1910" s="4"/>
      <c r="R1910" s="4"/>
      <c r="S1910" s="4"/>
      <c r="T1910" s="4"/>
      <c r="U1910" s="4"/>
      <c r="V1910" s="4"/>
      <c r="W1910" s="89"/>
      <c r="X1910" s="4"/>
      <c r="Y1910" s="1186"/>
      <c r="Z1910" s="1919"/>
      <c r="AA1910" s="1187"/>
    </row>
    <row r="1911" spans="2:38" s="1185" customFormat="1" ht="15" customHeight="1">
      <c r="B1911" s="1893" t="s">
        <v>2782</v>
      </c>
      <c r="C1911" s="1414">
        <v>8</v>
      </c>
      <c r="D1911" s="1414">
        <v>16</v>
      </c>
      <c r="E1911" s="1414">
        <v>2</v>
      </c>
      <c r="F1911" s="1415" t="s">
        <v>1033</v>
      </c>
      <c r="G1911" s="1414">
        <v>2</v>
      </c>
      <c r="H1911" s="1416" t="s">
        <v>102</v>
      </c>
      <c r="I1911" s="1417">
        <v>1.5640000000000001</v>
      </c>
      <c r="J1911" s="1417">
        <v>0.45600000000000002</v>
      </c>
      <c r="K1911" s="1417">
        <v>2.02</v>
      </c>
      <c r="L1911" s="1418">
        <v>202</v>
      </c>
      <c r="M1911" s="611"/>
      <c r="N1911" s="611"/>
      <c r="O1911" s="4"/>
      <c r="P1911" s="4"/>
      <c r="Q1911" s="4"/>
      <c r="R1911" s="4"/>
      <c r="S1911" s="4"/>
      <c r="T1911" s="4"/>
      <c r="U1911" s="4"/>
      <c r="V1911" s="4"/>
      <c r="W1911" s="89"/>
      <c r="X1911" s="4"/>
      <c r="Y1911" s="1186"/>
      <c r="Z1911" s="1919"/>
      <c r="AA1911" s="1187"/>
    </row>
    <row r="1912" spans="2:38" s="1405" customFormat="1" ht="15" customHeight="1">
      <c r="B1912" s="1893" t="s">
        <v>2783</v>
      </c>
      <c r="C1912" s="1414">
        <v>16</v>
      </c>
      <c r="D1912" s="1414">
        <v>64</v>
      </c>
      <c r="E1912" s="1414">
        <v>8</v>
      </c>
      <c r="F1912" s="1415" t="s">
        <v>1034</v>
      </c>
      <c r="G1912" s="1414">
        <v>8</v>
      </c>
      <c r="H1912" s="1416" t="s">
        <v>102</v>
      </c>
      <c r="I1912" s="1417">
        <v>6.6179999999999994</v>
      </c>
      <c r="J1912" s="1417">
        <v>0.91200000000000003</v>
      </c>
      <c r="K1912" s="1417">
        <v>7.5299999999999994</v>
      </c>
      <c r="L1912" s="1418">
        <v>752.99999999999989</v>
      </c>
      <c r="M1912" s="611"/>
      <c r="N1912" s="611"/>
      <c r="O1912" s="4"/>
      <c r="P1912" s="4"/>
      <c r="Q1912" s="4"/>
      <c r="R1912" s="4"/>
      <c r="S1912" s="4"/>
      <c r="T1912" s="4"/>
      <c r="U1912" s="4"/>
      <c r="V1912" s="4"/>
      <c r="W1912" s="89"/>
      <c r="X1912" s="4"/>
      <c r="Y1912" s="1186"/>
      <c r="Z1912" s="1919"/>
      <c r="AA1912" s="1187"/>
      <c r="AB1912" s="1185"/>
      <c r="AC1912" s="1185"/>
      <c r="AD1912" s="1185"/>
      <c r="AE1912" s="1185"/>
      <c r="AF1912" s="1185"/>
      <c r="AG1912" s="1185"/>
      <c r="AH1912" s="1185"/>
      <c r="AI1912" s="1185"/>
      <c r="AJ1912" s="1185"/>
      <c r="AK1912" s="1185"/>
      <c r="AL1912" s="1185"/>
    </row>
    <row r="1913" spans="2:38" s="1405" customFormat="1" ht="15" customHeight="1">
      <c r="B1913" s="732"/>
      <c r="C1913" s="732"/>
      <c r="D1913" s="732"/>
      <c r="E1913" s="732"/>
      <c r="F1913" s="305"/>
      <c r="G1913" s="1387"/>
      <c r="H1913" s="611"/>
      <c r="I1913" s="611"/>
      <c r="J1913" s="611"/>
      <c r="K1913" s="611"/>
      <c r="L1913" s="611"/>
      <c r="M1913" s="611"/>
      <c r="N1913" s="611"/>
      <c r="O1913" s="4"/>
      <c r="P1913" s="4"/>
      <c r="Q1913" s="4"/>
      <c r="R1913" s="4"/>
      <c r="S1913" s="4"/>
      <c r="T1913" s="4"/>
      <c r="U1913" s="4"/>
      <c r="V1913" s="4"/>
      <c r="W1913" s="89"/>
      <c r="X1913" s="4"/>
      <c r="Y1913" s="1186"/>
      <c r="Z1913" s="1919"/>
      <c r="AA1913" s="1187"/>
      <c r="AB1913" s="1185"/>
      <c r="AC1913" s="1185"/>
      <c r="AD1913" s="1185"/>
      <c r="AE1913" s="1185"/>
      <c r="AF1913" s="1185"/>
      <c r="AG1913" s="1185"/>
      <c r="AH1913" s="1185"/>
      <c r="AI1913" s="1185"/>
      <c r="AJ1913" s="1185"/>
      <c r="AK1913" s="1185"/>
      <c r="AL1913" s="1185"/>
    </row>
    <row r="1914" spans="2:38" s="1405" customFormat="1" ht="15" customHeight="1">
      <c r="B1914" s="1939" t="s">
        <v>1988</v>
      </c>
      <c r="C1914" s="1940"/>
      <c r="D1914" s="1940"/>
      <c r="E1914" s="1941"/>
      <c r="F1914" s="305"/>
      <c r="G1914" s="1387"/>
      <c r="H1914" s="611"/>
      <c r="I1914" s="611"/>
      <c r="J1914" s="611"/>
      <c r="K1914" s="611"/>
      <c r="L1914" s="611"/>
      <c r="M1914" s="611"/>
      <c r="N1914" s="611"/>
      <c r="O1914" s="4"/>
      <c r="P1914" s="4"/>
      <c r="Q1914" s="4"/>
      <c r="R1914" s="4"/>
      <c r="S1914" s="4"/>
      <c r="T1914" s="4"/>
      <c r="U1914" s="4"/>
      <c r="V1914" s="4"/>
      <c r="W1914" s="89"/>
      <c r="X1914" s="4"/>
      <c r="Y1914" s="1186"/>
      <c r="Z1914" s="1919"/>
      <c r="AA1914" s="1187"/>
      <c r="AB1914" s="1391"/>
      <c r="AC1914" s="1391"/>
      <c r="AD1914" s="1391"/>
      <c r="AE1914" s="1391"/>
      <c r="AF1914" s="1391"/>
      <c r="AG1914" s="1391"/>
      <c r="AH1914" s="1391"/>
      <c r="AI1914" s="1391"/>
      <c r="AJ1914" s="1391"/>
      <c r="AK1914" s="1391"/>
      <c r="AL1914" s="1391"/>
    </row>
    <row r="1915" spans="2:38" s="1405" customFormat="1" ht="15" customHeight="1">
      <c r="B1915" s="1398" t="s">
        <v>1989</v>
      </c>
      <c r="C1915" s="1398" t="s">
        <v>1990</v>
      </c>
      <c r="D1915" s="1398" t="s">
        <v>178</v>
      </c>
      <c r="E1915" s="1398" t="s">
        <v>406</v>
      </c>
      <c r="F1915" s="593"/>
      <c r="G1915" s="1387"/>
      <c r="H1915" s="611"/>
      <c r="I1915" s="611"/>
      <c r="J1915" s="611"/>
      <c r="K1915" s="611"/>
      <c r="L1915" s="611"/>
      <c r="M1915" s="611"/>
      <c r="N1915" s="611"/>
      <c r="O1915" s="4"/>
      <c r="P1915" s="4"/>
      <c r="Q1915" s="4"/>
      <c r="R1915" s="4"/>
      <c r="S1915" s="4"/>
      <c r="T1915" s="4"/>
      <c r="U1915" s="4"/>
      <c r="V1915" s="4"/>
      <c r="W1915" s="89"/>
      <c r="X1915" s="4"/>
      <c r="Y1915" s="1186"/>
      <c r="Z1915" s="1919"/>
      <c r="AA1915" s="1187"/>
      <c r="AB1915" s="1391"/>
      <c r="AC1915" s="1391"/>
      <c r="AD1915" s="1391"/>
      <c r="AE1915" s="1391"/>
      <c r="AF1915" s="1391"/>
      <c r="AG1915" s="1391"/>
      <c r="AH1915" s="1391"/>
      <c r="AI1915" s="1391"/>
      <c r="AJ1915" s="1391"/>
      <c r="AK1915" s="1391"/>
      <c r="AL1915" s="1391"/>
    </row>
    <row r="1916" spans="2:38" s="1405" customFormat="1" ht="15" customHeight="1">
      <c r="B1916" s="1442" t="s">
        <v>2001</v>
      </c>
      <c r="C1916" s="1443" t="s">
        <v>1991</v>
      </c>
      <c r="D1916" s="1444" t="s">
        <v>1587</v>
      </c>
      <c r="E1916" s="1445">
        <v>10.5</v>
      </c>
      <c r="F1916" s="593"/>
      <c r="G1916" s="1387"/>
      <c r="H1916" s="611"/>
      <c r="I1916" s="611"/>
      <c r="J1916" s="611"/>
      <c r="K1916" s="611"/>
      <c r="L1916" s="611"/>
      <c r="M1916" s="611"/>
      <c r="N1916" s="611"/>
      <c r="O1916" s="4"/>
      <c r="P1916" s="4"/>
      <c r="Q1916" s="4"/>
      <c r="R1916" s="4"/>
      <c r="S1916" s="4"/>
      <c r="T1916" s="4"/>
      <c r="U1916" s="4"/>
      <c r="V1916" s="4"/>
      <c r="W1916" s="89"/>
      <c r="X1916" s="4"/>
      <c r="Y1916" s="1186"/>
      <c r="Z1916" s="1919"/>
      <c r="AA1916" s="1187"/>
      <c r="AB1916" s="1391"/>
      <c r="AC1916" s="1391"/>
      <c r="AD1916" s="1391"/>
      <c r="AE1916" s="1391"/>
      <c r="AF1916" s="1391"/>
      <c r="AG1916" s="1391"/>
      <c r="AH1916" s="1391"/>
      <c r="AI1916" s="1391"/>
      <c r="AJ1916" s="1391"/>
      <c r="AK1916" s="1391"/>
      <c r="AL1916" s="1391"/>
    </row>
    <row r="1917" spans="2:38" s="1405" customFormat="1" ht="15" customHeight="1">
      <c r="B1917" s="1442" t="s">
        <v>2002</v>
      </c>
      <c r="C1917" s="1443" t="s">
        <v>1992</v>
      </c>
      <c r="D1917" s="1444" t="s">
        <v>1587</v>
      </c>
      <c r="E1917" s="1445">
        <v>14.5</v>
      </c>
      <c r="F1917" s="593"/>
      <c r="G1917" s="1387"/>
      <c r="H1917" s="611"/>
      <c r="I1917" s="611"/>
      <c r="J1917" s="611"/>
      <c r="K1917" s="611"/>
      <c r="L1917" s="611"/>
      <c r="M1917" s="611"/>
      <c r="N1917" s="611"/>
      <c r="O1917" s="4"/>
      <c r="P1917" s="4"/>
      <c r="Q1917" s="4"/>
      <c r="R1917" s="4"/>
      <c r="S1917" s="4"/>
      <c r="T1917" s="4"/>
      <c r="U1917" s="4"/>
      <c r="V1917" s="4"/>
      <c r="W1917" s="89"/>
      <c r="X1917" s="4"/>
      <c r="Y1917" s="1186"/>
      <c r="Z1917" s="1919"/>
      <c r="AA1917" s="1187"/>
      <c r="AB1917" s="1391"/>
      <c r="AC1917" s="1391"/>
      <c r="AD1917" s="1391"/>
      <c r="AE1917" s="1391"/>
      <c r="AF1917" s="1391"/>
      <c r="AG1917" s="1391"/>
      <c r="AH1917" s="1391"/>
      <c r="AI1917" s="1391"/>
      <c r="AJ1917" s="1391"/>
      <c r="AK1917" s="1391"/>
      <c r="AL1917" s="1391"/>
    </row>
    <row r="1918" spans="2:38" s="1405" customFormat="1" ht="15" customHeight="1">
      <c r="B1918" s="1442" t="s">
        <v>2003</v>
      </c>
      <c r="C1918" s="1443" t="s">
        <v>1991</v>
      </c>
      <c r="D1918" s="1444" t="s">
        <v>1587</v>
      </c>
      <c r="E1918" s="1445">
        <v>14.25</v>
      </c>
      <c r="F1918" s="593"/>
      <c r="G1918" s="1387"/>
      <c r="H1918" s="611"/>
      <c r="I1918" s="611"/>
      <c r="J1918" s="611"/>
      <c r="K1918" s="611"/>
      <c r="L1918" s="611"/>
      <c r="M1918" s="611"/>
      <c r="N1918" s="611"/>
      <c r="O1918" s="4"/>
      <c r="P1918" s="4"/>
      <c r="Q1918" s="4"/>
      <c r="R1918" s="4"/>
      <c r="S1918" s="4"/>
      <c r="T1918" s="4"/>
      <c r="U1918" s="4"/>
      <c r="V1918" s="4"/>
      <c r="W1918" s="89"/>
      <c r="X1918" s="4"/>
      <c r="Y1918" s="1186"/>
      <c r="Z1918" s="1919"/>
      <c r="AA1918" s="1187"/>
      <c r="AB1918" s="1391"/>
      <c r="AC1918" s="1391"/>
      <c r="AD1918" s="1391"/>
      <c r="AE1918" s="1391"/>
      <c r="AF1918" s="1391"/>
      <c r="AG1918" s="1391"/>
      <c r="AH1918" s="1391"/>
      <c r="AI1918" s="1391"/>
      <c r="AJ1918" s="1391"/>
      <c r="AK1918" s="1391"/>
      <c r="AL1918" s="1391"/>
    </row>
    <row r="1919" spans="2:38" s="1405" customFormat="1" ht="15" customHeight="1">
      <c r="B1919" s="1442" t="s">
        <v>2004</v>
      </c>
      <c r="C1919" s="1443" t="s">
        <v>1992</v>
      </c>
      <c r="D1919" s="1444" t="s">
        <v>1587</v>
      </c>
      <c r="E1919" s="1445">
        <v>18.25</v>
      </c>
      <c r="F1919" s="1446" t="s">
        <v>2093</v>
      </c>
      <c r="G1919" s="1387"/>
      <c r="H1919" s="611"/>
      <c r="I1919" s="611"/>
      <c r="J1919" s="611"/>
      <c r="K1919" s="611"/>
      <c r="L1919" s="611"/>
      <c r="M1919" s="611"/>
      <c r="N1919" s="611"/>
      <c r="O1919" s="4"/>
      <c r="P1919" s="4"/>
      <c r="Q1919" s="4"/>
      <c r="R1919" s="4"/>
      <c r="S1919" s="4"/>
      <c r="T1919" s="4"/>
      <c r="U1919" s="4"/>
      <c r="V1919" s="4"/>
      <c r="W1919" s="89"/>
      <c r="X1919" s="4"/>
      <c r="Y1919" s="1186"/>
      <c r="Z1919" s="1919"/>
      <c r="AA1919" s="1187"/>
      <c r="AB1919" s="1391"/>
      <c r="AC1919" s="1391"/>
      <c r="AD1919" s="1391"/>
      <c r="AE1919" s="1391"/>
      <c r="AF1919" s="1391"/>
      <c r="AG1919" s="1391"/>
      <c r="AH1919" s="1391"/>
      <c r="AI1919" s="1391"/>
      <c r="AJ1919" s="1391"/>
      <c r="AK1919" s="1391"/>
      <c r="AL1919" s="1391"/>
    </row>
    <row r="1920" spans="2:38" s="1405" customFormat="1" ht="15" customHeight="1">
      <c r="B1920" s="1442" t="s">
        <v>2005</v>
      </c>
      <c r="C1920" s="1443" t="s">
        <v>1991</v>
      </c>
      <c r="D1920" s="1444" t="s">
        <v>1587</v>
      </c>
      <c r="E1920" s="1445">
        <v>18</v>
      </c>
      <c r="F1920" s="593"/>
      <c r="G1920" s="1387"/>
      <c r="H1920" s="611"/>
      <c r="I1920" s="611"/>
      <c r="J1920" s="611"/>
      <c r="K1920" s="611"/>
      <c r="L1920" s="611"/>
      <c r="M1920" s="611"/>
      <c r="N1920" s="611"/>
      <c r="O1920" s="4"/>
      <c r="P1920" s="4"/>
      <c r="Q1920" s="4"/>
      <c r="R1920" s="4"/>
      <c r="S1920" s="4"/>
      <c r="T1920" s="4"/>
      <c r="U1920" s="4"/>
      <c r="V1920" s="4"/>
      <c r="W1920" s="89"/>
      <c r="X1920" s="4"/>
      <c r="Y1920" s="1186"/>
      <c r="Z1920" s="1919"/>
      <c r="AA1920" s="1187"/>
      <c r="AB1920" s="1391"/>
      <c r="AC1920" s="1391"/>
      <c r="AD1920" s="1391"/>
      <c r="AE1920" s="1391"/>
      <c r="AF1920" s="1391"/>
      <c r="AG1920" s="1391"/>
      <c r="AH1920" s="1391"/>
      <c r="AI1920" s="1391"/>
      <c r="AJ1920" s="1391"/>
      <c r="AK1920" s="1391"/>
      <c r="AL1920" s="1391"/>
    </row>
    <row r="1921" spans="2:38" s="1405" customFormat="1" ht="15" customHeight="1">
      <c r="B1921" s="1442" t="s">
        <v>2006</v>
      </c>
      <c r="C1921" s="1443" t="s">
        <v>1992</v>
      </c>
      <c r="D1921" s="1444" t="s">
        <v>1587</v>
      </c>
      <c r="E1921" s="1445">
        <v>22</v>
      </c>
      <c r="F1921" s="593"/>
      <c r="G1921" s="1387"/>
      <c r="H1921" s="611"/>
      <c r="I1921" s="611"/>
      <c r="J1921" s="611"/>
      <c r="K1921" s="611"/>
      <c r="L1921" s="611"/>
      <c r="M1921" s="611"/>
      <c r="N1921" s="611"/>
      <c r="O1921" s="4"/>
      <c r="P1921" s="4"/>
      <c r="Q1921" s="4"/>
      <c r="R1921" s="4"/>
      <c r="S1921" s="4"/>
      <c r="T1921" s="4"/>
      <c r="U1921" s="4"/>
      <c r="V1921" s="4"/>
      <c r="W1921" s="89"/>
      <c r="X1921" s="4"/>
      <c r="Y1921" s="1186"/>
      <c r="Z1921" s="1919"/>
      <c r="AA1921" s="1187"/>
      <c r="AB1921" s="1391"/>
      <c r="AC1921" s="1391"/>
      <c r="AD1921" s="1391"/>
      <c r="AE1921" s="1391"/>
      <c r="AF1921" s="1391"/>
      <c r="AG1921" s="1391"/>
      <c r="AH1921" s="1391"/>
      <c r="AI1921" s="1391"/>
      <c r="AJ1921" s="1391"/>
      <c r="AK1921" s="1391"/>
      <c r="AL1921" s="1391"/>
    </row>
    <row r="1922" spans="2:38" s="1405" customFormat="1" ht="15" customHeight="1">
      <c r="B1922" s="1447" t="s">
        <v>2007</v>
      </c>
      <c r="C1922" s="1448" t="s">
        <v>1991</v>
      </c>
      <c r="D1922" s="1449" t="s">
        <v>1993</v>
      </c>
      <c r="E1922" s="1450">
        <v>7.5</v>
      </c>
      <c r="F1922" s="593"/>
      <c r="G1922" s="1387"/>
      <c r="H1922" s="611"/>
      <c r="I1922" s="611"/>
      <c r="J1922" s="611"/>
      <c r="K1922" s="611"/>
      <c r="L1922" s="611"/>
      <c r="M1922" s="611"/>
      <c r="N1922" s="611"/>
      <c r="O1922" s="4"/>
      <c r="P1922" s="4"/>
      <c r="Q1922" s="4"/>
      <c r="R1922" s="4"/>
      <c r="S1922" s="4"/>
      <c r="T1922" s="4"/>
      <c r="U1922" s="4"/>
      <c r="V1922" s="4"/>
      <c r="W1922" s="89"/>
      <c r="X1922" s="4"/>
      <c r="Y1922" s="1186"/>
      <c r="Z1922" s="1919"/>
      <c r="AA1922" s="1187"/>
      <c r="AB1922" s="1391"/>
      <c r="AC1922" s="1391"/>
      <c r="AD1922" s="1391"/>
      <c r="AE1922" s="1391"/>
      <c r="AF1922" s="1391"/>
      <c r="AG1922" s="1391"/>
      <c r="AH1922" s="1391"/>
      <c r="AI1922" s="1391"/>
      <c r="AJ1922" s="1391"/>
      <c r="AK1922" s="1391"/>
      <c r="AL1922" s="1391"/>
    </row>
    <row r="1923" spans="2:38" s="1405" customFormat="1" ht="15" customHeight="1">
      <c r="B1923" s="1447" t="s">
        <v>2009</v>
      </c>
      <c r="C1923" s="1448" t="s">
        <v>1992</v>
      </c>
      <c r="D1923" s="1449" t="s">
        <v>1993</v>
      </c>
      <c r="E1923" s="1450">
        <v>9.75</v>
      </c>
      <c r="F1923" s="546" t="s">
        <v>2094</v>
      </c>
      <c r="G1923" s="1387"/>
      <c r="H1923" s="611"/>
      <c r="I1923" s="611"/>
      <c r="J1923" s="611"/>
      <c r="K1923" s="611"/>
      <c r="L1923" s="611"/>
      <c r="M1923" s="611"/>
      <c r="N1923" s="611"/>
      <c r="O1923" s="4"/>
      <c r="P1923" s="4"/>
      <c r="Q1923" s="4"/>
      <c r="R1923" s="4"/>
      <c r="S1923" s="4"/>
      <c r="T1923" s="4"/>
      <c r="U1923" s="4"/>
      <c r="V1923" s="4"/>
      <c r="W1923" s="89"/>
      <c r="X1923" s="4"/>
      <c r="Y1923" s="1186"/>
      <c r="Z1923" s="1919"/>
      <c r="AA1923" s="1187"/>
      <c r="AB1923" s="1391"/>
      <c r="AC1923" s="1391"/>
      <c r="AD1923" s="1391"/>
      <c r="AE1923" s="1391"/>
      <c r="AF1923" s="1391"/>
      <c r="AG1923" s="1391"/>
      <c r="AH1923" s="1391"/>
      <c r="AI1923" s="1391"/>
      <c r="AJ1923" s="1391"/>
      <c r="AK1923" s="1391"/>
      <c r="AL1923" s="1391"/>
    </row>
    <row r="1924" spans="2:38" s="1405" customFormat="1" ht="15" customHeight="1">
      <c r="B1924" s="1447" t="s">
        <v>2010</v>
      </c>
      <c r="C1924" s="1448" t="s">
        <v>1991</v>
      </c>
      <c r="D1924" s="1449" t="s">
        <v>1993</v>
      </c>
      <c r="E1924" s="1450">
        <v>9.75</v>
      </c>
      <c r="F1924" s="593"/>
      <c r="G1924" s="1387"/>
      <c r="H1924" s="611"/>
      <c r="I1924" s="611"/>
      <c r="J1924" s="611"/>
      <c r="K1924" s="611"/>
      <c r="L1924" s="611"/>
      <c r="M1924" s="611"/>
      <c r="N1924" s="611"/>
      <c r="O1924" s="4"/>
      <c r="P1924" s="4"/>
      <c r="Q1924" s="4"/>
      <c r="R1924" s="4"/>
      <c r="S1924" s="4"/>
      <c r="T1924" s="4"/>
      <c r="U1924" s="4"/>
      <c r="V1924" s="4"/>
      <c r="W1924" s="89"/>
      <c r="X1924" s="4"/>
      <c r="Y1924" s="1186"/>
      <c r="Z1924" s="1919"/>
      <c r="AA1924" s="1187"/>
      <c r="AB1924" s="1185"/>
      <c r="AC1924" s="1185"/>
      <c r="AD1924" s="1185"/>
      <c r="AE1924" s="1185"/>
      <c r="AF1924" s="1185"/>
      <c r="AG1924" s="1185"/>
      <c r="AH1924" s="1185"/>
      <c r="AI1924" s="1185"/>
      <c r="AJ1924" s="1185"/>
      <c r="AK1924" s="1185"/>
      <c r="AL1924" s="1185"/>
    </row>
    <row r="1925" spans="2:38" s="1405" customFormat="1" ht="15" customHeight="1">
      <c r="B1925" s="1447" t="s">
        <v>2008</v>
      </c>
      <c r="C1925" s="1448" t="s">
        <v>1992</v>
      </c>
      <c r="D1925" s="1449" t="s">
        <v>1993</v>
      </c>
      <c r="E1925" s="1450">
        <v>12</v>
      </c>
      <c r="F1925" s="593"/>
      <c r="G1925" s="1387"/>
      <c r="H1925" s="611"/>
      <c r="I1925" s="611"/>
      <c r="J1925" s="611"/>
      <c r="K1925" s="611"/>
      <c r="L1925" s="611"/>
      <c r="M1925" s="611"/>
      <c r="N1925" s="611"/>
      <c r="O1925" s="4"/>
      <c r="P1925" s="4"/>
      <c r="Q1925" s="4"/>
      <c r="R1925" s="4"/>
      <c r="S1925" s="4"/>
      <c r="T1925" s="4"/>
      <c r="U1925" s="4"/>
      <c r="V1925" s="4"/>
      <c r="W1925" s="89"/>
      <c r="X1925" s="4"/>
      <c r="Y1925" s="1186"/>
      <c r="Z1925" s="1919"/>
      <c r="AA1925" s="1187"/>
      <c r="AB1925" s="1185"/>
      <c r="AC1925" s="1185"/>
      <c r="AD1925" s="1185"/>
      <c r="AE1925" s="1185"/>
      <c r="AF1925" s="1185"/>
      <c r="AG1925" s="1185"/>
      <c r="AH1925" s="1185"/>
      <c r="AI1925" s="1185"/>
      <c r="AJ1925" s="1185"/>
      <c r="AK1925" s="1185"/>
      <c r="AL1925" s="1185"/>
    </row>
    <row r="1926" spans="2:38" s="1405" customFormat="1" ht="15" customHeight="1">
      <c r="B1926" s="1447" t="s">
        <v>2011</v>
      </c>
      <c r="C1926" s="1448" t="s">
        <v>1991</v>
      </c>
      <c r="D1926" s="1449" t="s">
        <v>1993</v>
      </c>
      <c r="E1926" s="1450">
        <v>12</v>
      </c>
      <c r="F1926" s="593"/>
      <c r="G1926" s="1387"/>
      <c r="H1926" s="611"/>
      <c r="I1926" s="611"/>
      <c r="J1926" s="611"/>
      <c r="K1926" s="611"/>
      <c r="L1926" s="611"/>
      <c r="M1926" s="611"/>
      <c r="N1926" s="611"/>
      <c r="O1926" s="4"/>
      <c r="P1926" s="4"/>
      <c r="Q1926" s="4"/>
      <c r="R1926" s="4"/>
      <c r="S1926" s="4"/>
      <c r="T1926" s="4"/>
      <c r="U1926" s="4"/>
      <c r="V1926" s="4"/>
      <c r="W1926" s="89"/>
      <c r="X1926" s="4"/>
      <c r="Y1926" s="1186"/>
      <c r="Z1926" s="1919"/>
      <c r="AA1926" s="1187"/>
      <c r="AB1926" s="1185"/>
      <c r="AC1926" s="1185"/>
      <c r="AD1926" s="1185"/>
      <c r="AE1926" s="1185"/>
      <c r="AF1926" s="1185"/>
      <c r="AG1926" s="1185"/>
      <c r="AH1926" s="1185"/>
      <c r="AI1926" s="1185"/>
      <c r="AJ1926" s="1185"/>
      <c r="AK1926" s="1185"/>
      <c r="AL1926" s="1185"/>
    </row>
    <row r="1927" spans="2:38" s="1405" customFormat="1" ht="15" customHeight="1">
      <c r="B1927" s="1447" t="s">
        <v>2012</v>
      </c>
      <c r="C1927" s="1448" t="s">
        <v>1992</v>
      </c>
      <c r="D1927" s="1449" t="s">
        <v>1993</v>
      </c>
      <c r="E1927" s="1450">
        <v>14.25</v>
      </c>
      <c r="F1927" s="593"/>
      <c r="G1927" s="1387"/>
      <c r="H1927" s="611"/>
      <c r="I1927" s="611"/>
      <c r="J1927" s="611"/>
      <c r="K1927" s="611"/>
      <c r="L1927" s="611"/>
      <c r="M1927" s="611"/>
      <c r="N1927" s="611"/>
      <c r="O1927" s="4"/>
      <c r="P1927" s="4"/>
      <c r="Q1927" s="4"/>
      <c r="R1927" s="4"/>
      <c r="S1927" s="4"/>
      <c r="T1927" s="4"/>
      <c r="U1927" s="4"/>
      <c r="V1927" s="4"/>
      <c r="W1927" s="89"/>
      <c r="X1927" s="4"/>
      <c r="Y1927" s="1186"/>
      <c r="Z1927" s="1919"/>
      <c r="AA1927" s="1187"/>
      <c r="AB1927" s="1185"/>
      <c r="AC1927" s="1185"/>
      <c r="AD1927" s="1185"/>
      <c r="AE1927" s="1185"/>
      <c r="AF1927" s="1185"/>
      <c r="AG1927" s="1185"/>
      <c r="AH1927" s="1185"/>
      <c r="AI1927" s="1185"/>
      <c r="AJ1927" s="1185"/>
      <c r="AK1927" s="1185"/>
      <c r="AL1927" s="1185"/>
    </row>
    <row r="1928" spans="2:38" s="1405" customFormat="1" ht="15" customHeight="1">
      <c r="B1928" s="1451" t="s">
        <v>2027</v>
      </c>
      <c r="C1928" s="1452" t="s">
        <v>1991</v>
      </c>
      <c r="D1928" s="1453" t="s">
        <v>1587</v>
      </c>
      <c r="E1928" s="1454">
        <v>6.75</v>
      </c>
      <c r="F1928" s="593"/>
      <c r="G1928" s="1387"/>
      <c r="H1928" s="611"/>
      <c r="I1928" s="611"/>
      <c r="J1928" s="611"/>
      <c r="K1928" s="611"/>
      <c r="L1928" s="611"/>
      <c r="M1928" s="611"/>
      <c r="N1928" s="611"/>
      <c r="O1928" s="4"/>
      <c r="P1928" s="4"/>
      <c r="Q1928" s="4"/>
      <c r="R1928" s="4"/>
      <c r="S1928" s="4"/>
      <c r="T1928" s="4"/>
      <c r="U1928" s="4"/>
      <c r="V1928" s="4"/>
      <c r="W1928" s="89"/>
      <c r="X1928" s="4"/>
      <c r="Y1928" s="1186"/>
      <c r="Z1928" s="1919"/>
      <c r="AA1928" s="1187"/>
    </row>
    <row r="1929" spans="2:38" s="1405" customFormat="1" ht="15" customHeight="1">
      <c r="B1929" s="1451" t="s">
        <v>2027</v>
      </c>
      <c r="C1929" s="1452" t="s">
        <v>1992</v>
      </c>
      <c r="D1929" s="1453" t="s">
        <v>1587</v>
      </c>
      <c r="E1929" s="1454">
        <v>8.15</v>
      </c>
      <c r="F1929" s="593"/>
      <c r="G1929" s="1387"/>
      <c r="H1929" s="611"/>
      <c r="I1929" s="611"/>
      <c r="J1929" s="611"/>
      <c r="K1929" s="611"/>
      <c r="L1929" s="611"/>
      <c r="M1929" s="611"/>
      <c r="N1929" s="611"/>
      <c r="O1929" s="4"/>
      <c r="P1929" s="4"/>
      <c r="Q1929" s="4"/>
      <c r="R1929" s="4"/>
      <c r="S1929" s="4"/>
      <c r="T1929" s="4"/>
      <c r="U1929" s="4"/>
      <c r="V1929" s="4"/>
      <c r="W1929" s="89"/>
      <c r="X1929" s="4"/>
      <c r="Y1929" s="1186"/>
      <c r="Z1929" s="1919"/>
      <c r="AA1929" s="1187"/>
    </row>
    <row r="1930" spans="2:38" s="1405" customFormat="1" ht="15" customHeight="1">
      <c r="B1930" s="1451" t="s">
        <v>2028</v>
      </c>
      <c r="C1930" s="1452" t="s">
        <v>1991</v>
      </c>
      <c r="D1930" s="1453" t="s">
        <v>1587</v>
      </c>
      <c r="E1930" s="1454">
        <v>8</v>
      </c>
      <c r="F1930" s="593"/>
      <c r="G1930" s="1387"/>
      <c r="H1930" s="611"/>
      <c r="I1930" s="611"/>
      <c r="J1930" s="611"/>
      <c r="K1930" s="611"/>
      <c r="L1930" s="611"/>
      <c r="M1930" s="611"/>
      <c r="N1930" s="611"/>
      <c r="O1930" s="4"/>
      <c r="P1930" s="4"/>
      <c r="Q1930" s="4"/>
      <c r="R1930" s="4"/>
      <c r="S1930" s="4"/>
      <c r="T1930" s="4"/>
      <c r="U1930" s="4"/>
      <c r="V1930" s="4"/>
      <c r="W1930" s="89"/>
      <c r="X1930" s="4"/>
      <c r="Y1930" s="1186"/>
      <c r="Z1930" s="1919"/>
      <c r="AA1930" s="1187"/>
    </row>
    <row r="1931" spans="2:38" s="1405" customFormat="1" ht="15" customHeight="1">
      <c r="B1931" s="1451" t="s">
        <v>2028</v>
      </c>
      <c r="C1931" s="1452" t="s">
        <v>1992</v>
      </c>
      <c r="D1931" s="1453" t="s">
        <v>1587</v>
      </c>
      <c r="E1931" s="1454">
        <v>9.4</v>
      </c>
      <c r="F1931" s="1455" t="s">
        <v>2095</v>
      </c>
      <c r="G1931" s="1387"/>
      <c r="H1931" s="611"/>
      <c r="I1931" s="611"/>
      <c r="J1931" s="611"/>
      <c r="K1931" s="611"/>
      <c r="L1931" s="611"/>
      <c r="M1931" s="611"/>
      <c r="N1931" s="611"/>
      <c r="O1931" s="4"/>
      <c r="P1931" s="4"/>
      <c r="Q1931" s="4"/>
      <c r="R1931" s="4"/>
      <c r="S1931" s="4"/>
      <c r="T1931" s="4"/>
      <c r="U1931" s="4"/>
      <c r="V1931" s="4"/>
      <c r="W1931" s="89"/>
      <c r="X1931" s="4"/>
      <c r="Y1931" s="1186"/>
      <c r="Z1931" s="1919"/>
      <c r="AA1931" s="1187"/>
    </row>
    <row r="1932" spans="2:38" s="1405" customFormat="1" ht="15" customHeight="1">
      <c r="B1932" s="1451" t="s">
        <v>2029</v>
      </c>
      <c r="C1932" s="1452" t="s">
        <v>1991</v>
      </c>
      <c r="D1932" s="1453" t="s">
        <v>1587</v>
      </c>
      <c r="E1932" s="1454">
        <v>9.3000000000000007</v>
      </c>
      <c r="F1932" s="593"/>
      <c r="G1932" s="1387"/>
      <c r="H1932" s="611"/>
      <c r="I1932" s="611"/>
      <c r="J1932" s="611"/>
      <c r="K1932" s="611"/>
      <c r="L1932" s="611"/>
      <c r="M1932" s="611"/>
      <c r="N1932" s="611"/>
      <c r="O1932" s="4"/>
      <c r="P1932" s="4"/>
      <c r="Q1932" s="4"/>
      <c r="R1932" s="4"/>
      <c r="S1932" s="4"/>
      <c r="T1932" s="4"/>
      <c r="U1932" s="4"/>
      <c r="V1932" s="4"/>
      <c r="W1932" s="89"/>
      <c r="X1932" s="4"/>
      <c r="Y1932" s="1186"/>
      <c r="Z1932" s="1919"/>
      <c r="AA1932" s="1187"/>
    </row>
    <row r="1933" spans="2:38" s="1405" customFormat="1" ht="15" customHeight="1">
      <c r="B1933" s="1451" t="s">
        <v>2029</v>
      </c>
      <c r="C1933" s="1452" t="s">
        <v>1992</v>
      </c>
      <c r="D1933" s="1453" t="s">
        <v>1587</v>
      </c>
      <c r="E1933" s="1454">
        <v>10.7</v>
      </c>
      <c r="F1933" s="593"/>
      <c r="G1933" s="1387"/>
      <c r="H1933" s="611"/>
      <c r="I1933" s="611"/>
      <c r="J1933" s="611"/>
      <c r="K1933" s="611"/>
      <c r="L1933" s="611"/>
      <c r="M1933" s="611"/>
      <c r="N1933" s="611"/>
      <c r="O1933" s="4"/>
      <c r="P1933" s="4"/>
      <c r="Q1933" s="4"/>
      <c r="R1933" s="4"/>
      <c r="S1933" s="4"/>
      <c r="T1933" s="4"/>
      <c r="U1933" s="4"/>
      <c r="V1933" s="4"/>
      <c r="W1933" s="89"/>
      <c r="X1933" s="4"/>
      <c r="Y1933" s="1186"/>
      <c r="Z1933" s="1919"/>
      <c r="AA1933" s="1187"/>
    </row>
    <row r="1934" spans="2:38" s="1405" customFormat="1" ht="15" customHeight="1">
      <c r="B1934" s="1442" t="s">
        <v>2032</v>
      </c>
      <c r="C1934" s="1443" t="s">
        <v>1991</v>
      </c>
      <c r="D1934" s="1444" t="s">
        <v>1993</v>
      </c>
      <c r="E1934" s="1445">
        <v>2</v>
      </c>
      <c r="F1934" s="593"/>
      <c r="G1934" s="1387"/>
      <c r="H1934" s="611"/>
      <c r="I1934" s="611"/>
      <c r="J1934" s="611"/>
      <c r="K1934" s="611"/>
      <c r="L1934" s="611"/>
      <c r="M1934" s="611"/>
      <c r="N1934" s="611"/>
      <c r="O1934" s="4"/>
      <c r="P1934" s="4"/>
      <c r="Q1934" s="4"/>
      <c r="R1934" s="4"/>
      <c r="S1934" s="4"/>
      <c r="T1934" s="4"/>
      <c r="U1934" s="4"/>
      <c r="V1934" s="4"/>
      <c r="W1934" s="89"/>
      <c r="X1934" s="4"/>
      <c r="Y1934" s="1186"/>
      <c r="Z1934" s="1919"/>
      <c r="AA1934" s="1187"/>
    </row>
    <row r="1935" spans="2:38" s="1405" customFormat="1" ht="15" customHeight="1">
      <c r="B1935" s="1442" t="s">
        <v>2032</v>
      </c>
      <c r="C1935" s="1443" t="s">
        <v>1992</v>
      </c>
      <c r="D1935" s="1444" t="s">
        <v>1993</v>
      </c>
      <c r="E1935" s="1445">
        <v>2.6</v>
      </c>
      <c r="F1935" s="593"/>
      <c r="G1935" s="1387"/>
      <c r="H1935" s="611"/>
      <c r="I1935" s="611"/>
      <c r="J1935" s="611"/>
      <c r="K1935" s="611"/>
      <c r="L1935" s="611"/>
      <c r="M1935" s="611"/>
      <c r="N1935" s="611"/>
      <c r="O1935" s="4"/>
      <c r="P1935" s="4"/>
      <c r="Q1935" s="4"/>
      <c r="R1935" s="4"/>
      <c r="S1935" s="4"/>
      <c r="T1935" s="4"/>
      <c r="U1935" s="4"/>
      <c r="V1935" s="4"/>
      <c r="W1935" s="89"/>
      <c r="X1935" s="4"/>
      <c r="Y1935" s="1186"/>
      <c r="Z1935" s="1919"/>
      <c r="AA1935" s="1187"/>
    </row>
    <row r="1936" spans="2:38" s="1405" customFormat="1" ht="15" customHeight="1">
      <c r="B1936" s="1442" t="s">
        <v>2033</v>
      </c>
      <c r="C1936" s="1443" t="s">
        <v>1991</v>
      </c>
      <c r="D1936" s="1444" t="s">
        <v>1993</v>
      </c>
      <c r="E1936" s="1445">
        <v>2.6</v>
      </c>
      <c r="F1936" s="593"/>
      <c r="G1936" s="1387"/>
      <c r="H1936" s="611"/>
      <c r="I1936" s="611"/>
      <c r="J1936" s="611"/>
      <c r="K1936" s="611"/>
      <c r="L1936" s="611"/>
      <c r="M1936" s="611"/>
      <c r="N1936" s="611"/>
      <c r="O1936" s="4"/>
      <c r="P1936" s="4"/>
      <c r="Q1936" s="4"/>
      <c r="R1936" s="4"/>
      <c r="S1936" s="4"/>
      <c r="T1936" s="4"/>
      <c r="U1936" s="4"/>
      <c r="V1936" s="4"/>
      <c r="W1936" s="89"/>
      <c r="X1936" s="4"/>
      <c r="Y1936" s="1186"/>
      <c r="Z1936" s="1919"/>
      <c r="AA1936" s="1187"/>
    </row>
    <row r="1937" spans="1:38" s="1405" customFormat="1" ht="15" customHeight="1">
      <c r="B1937" s="1442" t="s">
        <v>2033</v>
      </c>
      <c r="C1937" s="1443" t="s">
        <v>1992</v>
      </c>
      <c r="D1937" s="1444" t="s">
        <v>1993</v>
      </c>
      <c r="E1937" s="1445">
        <v>3.2</v>
      </c>
      <c r="F1937" s="593"/>
      <c r="G1937" s="1387"/>
      <c r="H1937" s="611"/>
      <c r="I1937" s="611"/>
      <c r="J1937" s="611"/>
      <c r="K1937" s="611"/>
      <c r="L1937" s="611"/>
      <c r="M1937" s="611"/>
      <c r="N1937" s="611"/>
      <c r="O1937" s="4"/>
      <c r="P1937" s="4"/>
      <c r="Q1937" s="4"/>
      <c r="R1937" s="4"/>
      <c r="S1937" s="4"/>
      <c r="T1937" s="4"/>
      <c r="U1937" s="4"/>
      <c r="V1937" s="4"/>
      <c r="W1937" s="89"/>
      <c r="X1937" s="4"/>
      <c r="Y1937" s="1186"/>
      <c r="Z1937" s="1919"/>
      <c r="AA1937" s="1187"/>
    </row>
    <row r="1938" spans="1:38" s="1405" customFormat="1" ht="15" customHeight="1">
      <c r="B1938" s="1442" t="s">
        <v>2034</v>
      </c>
      <c r="C1938" s="1443" t="s">
        <v>1991</v>
      </c>
      <c r="D1938" s="1444" t="s">
        <v>1993</v>
      </c>
      <c r="E1938" s="1445">
        <v>3.2</v>
      </c>
      <c r="F1938" s="593"/>
      <c r="G1938" s="1387"/>
      <c r="H1938" s="611"/>
      <c r="I1938" s="611"/>
      <c r="J1938" s="611"/>
      <c r="K1938" s="611"/>
      <c r="L1938" s="611"/>
      <c r="M1938" s="611"/>
      <c r="N1938" s="611"/>
      <c r="O1938" s="4"/>
      <c r="P1938" s="4"/>
      <c r="Q1938" s="4"/>
      <c r="R1938" s="4"/>
      <c r="S1938" s="4"/>
      <c r="T1938" s="4"/>
      <c r="U1938" s="4"/>
      <c r="V1938" s="4"/>
      <c r="W1938" s="89"/>
      <c r="X1938" s="4"/>
      <c r="Y1938" s="1186"/>
      <c r="Z1938" s="1919"/>
      <c r="AA1938" s="1187"/>
    </row>
    <row r="1939" spans="1:38" s="1405" customFormat="1" ht="15" customHeight="1">
      <c r="B1939" s="1442" t="s">
        <v>2034</v>
      </c>
      <c r="C1939" s="1443" t="s">
        <v>1992</v>
      </c>
      <c r="D1939" s="1444" t="s">
        <v>1993</v>
      </c>
      <c r="E1939" s="1445">
        <v>3.8</v>
      </c>
      <c r="F1939" s="593"/>
      <c r="G1939" s="1387"/>
      <c r="H1939" s="611"/>
      <c r="I1939" s="611"/>
      <c r="J1939" s="611"/>
      <c r="K1939" s="611"/>
      <c r="L1939" s="611"/>
      <c r="M1939" s="611"/>
      <c r="N1939" s="611"/>
      <c r="O1939" s="4"/>
      <c r="P1939" s="4"/>
      <c r="Q1939" s="4"/>
      <c r="R1939" s="4"/>
      <c r="S1939" s="4"/>
      <c r="T1939" s="4"/>
      <c r="U1939" s="4"/>
      <c r="V1939" s="4"/>
      <c r="W1939" s="89"/>
      <c r="X1939" s="4"/>
      <c r="Y1939" s="1186"/>
      <c r="Z1939" s="1919"/>
      <c r="AA1939" s="1187"/>
    </row>
    <row r="1940" spans="1:38" s="1405" customFormat="1" ht="15" customHeight="1">
      <c r="B1940" s="1442" t="s">
        <v>2036</v>
      </c>
      <c r="C1940" s="1443" t="s">
        <v>1991</v>
      </c>
      <c r="D1940" s="1444" t="s">
        <v>1993</v>
      </c>
      <c r="E1940" s="1445">
        <v>3</v>
      </c>
      <c r="F1940" s="593"/>
      <c r="G1940" s="1387"/>
      <c r="H1940" s="611"/>
      <c r="I1940" s="611"/>
      <c r="J1940" s="611"/>
      <c r="K1940" s="611"/>
      <c r="L1940" s="611"/>
      <c r="M1940" s="611"/>
      <c r="N1940" s="611"/>
      <c r="O1940" s="4"/>
      <c r="P1940" s="4"/>
      <c r="Q1940" s="4"/>
      <c r="R1940" s="4"/>
      <c r="S1940" s="4"/>
      <c r="T1940" s="4"/>
      <c r="U1940" s="4"/>
      <c r="V1940" s="4"/>
      <c r="W1940" s="89"/>
      <c r="X1940" s="4"/>
      <c r="Y1940" s="1186"/>
      <c r="Z1940" s="1919"/>
      <c r="AA1940" s="1187"/>
    </row>
    <row r="1941" spans="1:38" s="1405" customFormat="1" ht="15" customHeight="1">
      <c r="B1941" s="1442" t="s">
        <v>2036</v>
      </c>
      <c r="C1941" s="1443" t="s">
        <v>1992</v>
      </c>
      <c r="D1941" s="1444" t="s">
        <v>1993</v>
      </c>
      <c r="E1941" s="1445">
        <v>3.6</v>
      </c>
      <c r="F1941" s="1443" t="s">
        <v>2096</v>
      </c>
      <c r="G1941" s="1387"/>
      <c r="H1941" s="611"/>
      <c r="I1941" s="611"/>
      <c r="J1941" s="611"/>
      <c r="K1941" s="611"/>
      <c r="L1941" s="611"/>
      <c r="M1941" s="611"/>
      <c r="N1941" s="611"/>
      <c r="O1941" s="4"/>
      <c r="P1941" s="4"/>
      <c r="Q1941" s="4"/>
      <c r="R1941" s="4"/>
      <c r="S1941" s="4"/>
      <c r="T1941" s="4"/>
      <c r="U1941" s="4"/>
      <c r="V1941" s="4"/>
      <c r="W1941" s="89"/>
      <c r="X1941" s="4"/>
      <c r="Y1941" s="1186"/>
      <c r="Z1941" s="1919"/>
      <c r="AA1941" s="1187"/>
    </row>
    <row r="1942" spans="1:38" s="1405" customFormat="1" ht="15" customHeight="1">
      <c r="B1942" s="1442" t="s">
        <v>2037</v>
      </c>
      <c r="C1942" s="1443" t="s">
        <v>1991</v>
      </c>
      <c r="D1942" s="1444" t="s">
        <v>1993</v>
      </c>
      <c r="E1942" s="1445">
        <v>3.9</v>
      </c>
      <c r="F1942" s="593"/>
      <c r="G1942" s="1387"/>
      <c r="H1942" s="611"/>
      <c r="I1942" s="611"/>
      <c r="J1942" s="611"/>
      <c r="K1942" s="611"/>
      <c r="L1942" s="611"/>
      <c r="M1942" s="611"/>
      <c r="N1942" s="611"/>
      <c r="O1942" s="4"/>
      <c r="P1942" s="4"/>
      <c r="Q1942" s="4"/>
      <c r="R1942" s="4"/>
      <c r="S1942" s="4"/>
      <c r="T1942" s="4"/>
      <c r="U1942" s="4"/>
      <c r="V1942" s="4"/>
      <c r="W1942" s="89"/>
      <c r="X1942" s="4"/>
      <c r="Y1942" s="1186"/>
      <c r="Z1942" s="1919"/>
      <c r="AA1942" s="1187"/>
    </row>
    <row r="1943" spans="1:38" s="1405" customFormat="1" ht="15" customHeight="1">
      <c r="B1943" s="1442" t="s">
        <v>2037</v>
      </c>
      <c r="C1943" s="1443" t="s">
        <v>1992</v>
      </c>
      <c r="D1943" s="1444" t="s">
        <v>1993</v>
      </c>
      <c r="E1943" s="1445">
        <v>4.5</v>
      </c>
      <c r="F1943" s="593"/>
      <c r="G1943" s="1387"/>
      <c r="H1943" s="611"/>
      <c r="I1943" s="611"/>
      <c r="J1943" s="611"/>
      <c r="K1943" s="611"/>
      <c r="L1943" s="611"/>
      <c r="M1943" s="611"/>
      <c r="N1943" s="611"/>
      <c r="O1943" s="4"/>
      <c r="P1943" s="4"/>
      <c r="Q1943" s="4"/>
      <c r="R1943" s="4"/>
      <c r="S1943" s="4"/>
      <c r="T1943" s="4"/>
      <c r="U1943" s="4"/>
      <c r="V1943" s="4"/>
      <c r="W1943" s="89"/>
      <c r="X1943" s="4"/>
      <c r="Y1943" s="1186"/>
      <c r="Z1943" s="1919"/>
      <c r="AA1943" s="1187"/>
    </row>
    <row r="1944" spans="1:38" s="1185" customFormat="1" ht="15" customHeight="1">
      <c r="B1944" s="1442" t="s">
        <v>2038</v>
      </c>
      <c r="C1944" s="1443" t="s">
        <v>1991</v>
      </c>
      <c r="D1944" s="1444" t="s">
        <v>1993</v>
      </c>
      <c r="E1944" s="1445">
        <v>4.8</v>
      </c>
      <c r="F1944" s="593"/>
      <c r="G1944" s="1387"/>
      <c r="H1944" s="611"/>
      <c r="I1944" s="611"/>
      <c r="J1944" s="611"/>
      <c r="K1944" s="611"/>
      <c r="L1944" s="611"/>
      <c r="M1944" s="611"/>
      <c r="N1944" s="611"/>
      <c r="O1944" s="4"/>
      <c r="P1944" s="4"/>
      <c r="Q1944" s="4"/>
      <c r="R1944" s="4"/>
      <c r="S1944" s="4"/>
      <c r="T1944" s="4"/>
      <c r="U1944" s="4"/>
      <c r="V1944" s="4"/>
      <c r="W1944" s="89"/>
      <c r="X1944" s="4"/>
      <c r="Y1944" s="1186"/>
      <c r="Z1944" s="1919"/>
      <c r="AA1944" s="1187"/>
      <c r="AB1944" s="1405"/>
      <c r="AC1944" s="1405"/>
      <c r="AD1944" s="1405"/>
      <c r="AE1944" s="1405"/>
      <c r="AF1944" s="1405"/>
      <c r="AG1944" s="1405"/>
      <c r="AH1944" s="1405"/>
      <c r="AI1944" s="1405"/>
      <c r="AJ1944" s="1405"/>
      <c r="AK1944" s="1405"/>
      <c r="AL1944" s="1405"/>
    </row>
    <row r="1945" spans="1:38" s="1185" customFormat="1" ht="15" customHeight="1">
      <c r="B1945" s="1442" t="s">
        <v>2038</v>
      </c>
      <c r="C1945" s="1443" t="s">
        <v>1992</v>
      </c>
      <c r="D1945" s="1444" t="s">
        <v>1993</v>
      </c>
      <c r="E1945" s="1445">
        <v>5.4</v>
      </c>
      <c r="F1945" s="593"/>
      <c r="G1945" s="1387"/>
      <c r="H1945" s="611"/>
      <c r="I1945" s="611"/>
      <c r="J1945" s="611"/>
      <c r="K1945" s="611"/>
      <c r="L1945" s="611"/>
      <c r="M1945" s="611"/>
      <c r="N1945" s="611"/>
      <c r="O1945" s="4"/>
      <c r="P1945" s="4"/>
      <c r="Q1945" s="4"/>
      <c r="R1945" s="4"/>
      <c r="S1945" s="4"/>
      <c r="T1945" s="4"/>
      <c r="U1945" s="4"/>
      <c r="V1945" s="4"/>
      <c r="W1945" s="89"/>
      <c r="X1945" s="4"/>
      <c r="Y1945" s="1186"/>
      <c r="Z1945" s="1919"/>
      <c r="AA1945" s="1187"/>
      <c r="AB1945" s="1405"/>
      <c r="AC1945" s="1405"/>
      <c r="AD1945" s="1405"/>
      <c r="AE1945" s="1405"/>
      <c r="AF1945" s="1405"/>
      <c r="AG1945" s="1405"/>
      <c r="AH1945" s="1405"/>
      <c r="AI1945" s="1405"/>
      <c r="AJ1945" s="1405"/>
      <c r="AK1945" s="1405"/>
      <c r="AL1945" s="1405"/>
    </row>
    <row r="1946" spans="1:38">
      <c r="A1946" s="33"/>
      <c r="B1946" s="1457" t="s">
        <v>2039</v>
      </c>
      <c r="C1946" s="1448" t="s">
        <v>1991</v>
      </c>
      <c r="D1946" s="1449" t="s">
        <v>1993</v>
      </c>
      <c r="E1946" s="1450">
        <v>8.5</v>
      </c>
      <c r="F1946" s="593"/>
      <c r="G1946" s="1387"/>
      <c r="H1946" s="611"/>
      <c r="I1946" s="611"/>
      <c r="J1946" s="611"/>
      <c r="K1946" s="611"/>
      <c r="L1946" s="611"/>
      <c r="M1946" s="611"/>
      <c r="N1946" s="611"/>
      <c r="Y1946" s="1186"/>
      <c r="Z1946" s="1919"/>
      <c r="AA1946" s="1187"/>
      <c r="AB1946" s="1405"/>
      <c r="AC1946" s="1405"/>
      <c r="AD1946" s="1405"/>
      <c r="AE1946" s="1405"/>
      <c r="AF1946" s="1405"/>
      <c r="AG1946" s="1405"/>
      <c r="AH1946" s="1405"/>
      <c r="AI1946" s="1405"/>
      <c r="AJ1946" s="1405"/>
      <c r="AK1946" s="1405"/>
      <c r="AL1946" s="1405"/>
    </row>
    <row r="1947" spans="1:38" s="613" customFormat="1">
      <c r="B1947" s="1457" t="s">
        <v>2039</v>
      </c>
      <c r="C1947" s="1448" t="s">
        <v>1992</v>
      </c>
      <c r="D1947" s="1449" t="s">
        <v>1993</v>
      </c>
      <c r="E1947" s="1450">
        <v>10.75</v>
      </c>
      <c r="F1947" s="593"/>
      <c r="G1947" s="1387"/>
      <c r="H1947" s="611"/>
      <c r="I1947" s="611"/>
      <c r="J1947" s="611"/>
      <c r="K1947" s="611"/>
      <c r="L1947" s="611"/>
      <c r="M1947" s="611"/>
      <c r="N1947" s="611"/>
      <c r="O1947" s="4"/>
      <c r="P1947" s="4"/>
      <c r="Q1947" s="4"/>
      <c r="R1947" s="4"/>
      <c r="S1947" s="4"/>
      <c r="T1947" s="4"/>
      <c r="U1947" s="4"/>
      <c r="V1947" s="4"/>
      <c r="W1947" s="89"/>
      <c r="X1947" s="4"/>
      <c r="Y1947" s="1186"/>
      <c r="Z1947" s="1919"/>
      <c r="AA1947" s="1187"/>
      <c r="AB1947" s="1405"/>
      <c r="AC1947" s="1405"/>
      <c r="AD1947" s="1405"/>
      <c r="AE1947" s="1405"/>
      <c r="AF1947" s="1405"/>
      <c r="AG1947" s="1405"/>
      <c r="AH1947" s="1405"/>
      <c r="AI1947" s="1405"/>
      <c r="AJ1947" s="1405"/>
      <c r="AK1947" s="1405"/>
      <c r="AL1947" s="1405"/>
    </row>
    <row r="1948" spans="1:38" s="613" customFormat="1">
      <c r="B1948" s="1457" t="s">
        <v>2040</v>
      </c>
      <c r="C1948" s="1448" t="s">
        <v>1991</v>
      </c>
      <c r="D1948" s="1449" t="s">
        <v>1993</v>
      </c>
      <c r="E1948" s="1450">
        <v>11.05</v>
      </c>
      <c r="F1948" s="546" t="s">
        <v>2094</v>
      </c>
      <c r="G1948" s="1387"/>
      <c r="H1948" s="611"/>
      <c r="I1948" s="611"/>
      <c r="J1948" s="611"/>
      <c r="K1948" s="611"/>
      <c r="L1948" s="611"/>
      <c r="M1948" s="611"/>
      <c r="N1948" s="611"/>
      <c r="O1948" s="4"/>
      <c r="P1948" s="4"/>
      <c r="Q1948" s="4"/>
      <c r="R1948" s="4"/>
      <c r="S1948" s="4"/>
      <c r="T1948" s="4"/>
      <c r="U1948" s="4"/>
      <c r="V1948" s="4"/>
      <c r="W1948" s="89"/>
      <c r="X1948" s="4"/>
      <c r="Y1948" s="1186"/>
      <c r="Z1948" s="1919"/>
      <c r="AA1948" s="1187"/>
      <c r="AB1948" s="1405"/>
      <c r="AC1948" s="1405"/>
      <c r="AD1948" s="1405"/>
      <c r="AE1948" s="1405"/>
      <c r="AF1948" s="1405"/>
      <c r="AG1948" s="1405"/>
      <c r="AH1948" s="1405"/>
      <c r="AI1948" s="1405"/>
      <c r="AJ1948" s="1405"/>
      <c r="AK1948" s="1405"/>
      <c r="AL1948" s="1405"/>
    </row>
    <row r="1949" spans="1:38" s="593" customFormat="1">
      <c r="B1949" s="1457" t="s">
        <v>2040</v>
      </c>
      <c r="C1949" s="1448" t="s">
        <v>1992</v>
      </c>
      <c r="D1949" s="1449" t="s">
        <v>1993</v>
      </c>
      <c r="E1949" s="1450">
        <v>13.3</v>
      </c>
      <c r="G1949" s="1387"/>
      <c r="H1949" s="611"/>
      <c r="I1949" s="611"/>
      <c r="J1949" s="611"/>
      <c r="K1949" s="611"/>
      <c r="L1949" s="611"/>
      <c r="M1949" s="611"/>
      <c r="N1949" s="611"/>
      <c r="O1949" s="4"/>
      <c r="P1949" s="4"/>
      <c r="Q1949" s="4"/>
      <c r="R1949" s="4"/>
      <c r="S1949" s="4"/>
      <c r="T1949" s="4"/>
      <c r="U1949" s="4"/>
      <c r="V1949" s="4"/>
      <c r="W1949" s="89"/>
      <c r="X1949" s="4"/>
      <c r="Y1949" s="1186"/>
      <c r="Z1949" s="1919"/>
      <c r="AA1949" s="1187"/>
      <c r="AB1949" s="1405"/>
      <c r="AC1949" s="1405"/>
      <c r="AD1949" s="1405"/>
      <c r="AE1949" s="1405"/>
      <c r="AF1949" s="1405"/>
      <c r="AG1949" s="1405"/>
      <c r="AH1949" s="1405"/>
      <c r="AI1949" s="1405"/>
      <c r="AJ1949" s="1405"/>
      <c r="AK1949" s="1405"/>
      <c r="AL1949" s="1405"/>
    </row>
    <row r="1950" spans="1:38" s="593" customFormat="1">
      <c r="B1950" s="1457" t="s">
        <v>2041</v>
      </c>
      <c r="C1950" s="1448" t="s">
        <v>1991</v>
      </c>
      <c r="D1950" s="1449" t="s">
        <v>1993</v>
      </c>
      <c r="E1950" s="1450">
        <v>13.6</v>
      </c>
      <c r="G1950" s="1387"/>
      <c r="H1950" s="611"/>
      <c r="I1950" s="611"/>
      <c r="J1950" s="611"/>
      <c r="K1950" s="611"/>
      <c r="L1950" s="611"/>
      <c r="M1950" s="611"/>
      <c r="N1950" s="611"/>
      <c r="O1950" s="4"/>
      <c r="P1950" s="4"/>
      <c r="Q1950" s="4"/>
      <c r="R1950" s="4"/>
      <c r="S1950" s="4"/>
      <c r="T1950" s="4"/>
      <c r="U1950" s="4"/>
      <c r="V1950" s="4"/>
      <c r="W1950" s="89"/>
      <c r="X1950" s="4"/>
      <c r="Y1950" s="1186"/>
      <c r="Z1950" s="1919"/>
      <c r="AA1950" s="1187"/>
      <c r="AB1950" s="1405"/>
      <c r="AC1950" s="1405"/>
      <c r="AD1950" s="1405"/>
      <c r="AE1950" s="1405"/>
      <c r="AF1950" s="1405"/>
      <c r="AG1950" s="1405"/>
      <c r="AH1950" s="1405"/>
      <c r="AI1950" s="1405"/>
      <c r="AJ1950" s="1405"/>
      <c r="AK1950" s="1405"/>
      <c r="AL1950" s="1405"/>
    </row>
    <row r="1951" spans="1:38" s="613" customFormat="1">
      <c r="B1951" s="1457" t="s">
        <v>2041</v>
      </c>
      <c r="C1951" s="1448" t="s">
        <v>1992</v>
      </c>
      <c r="D1951" s="1449" t="s">
        <v>1993</v>
      </c>
      <c r="E1951" s="1450">
        <v>15.85</v>
      </c>
      <c r="F1951" s="593"/>
      <c r="G1951" s="1387"/>
      <c r="H1951" s="611"/>
      <c r="I1951" s="611"/>
      <c r="J1951" s="611"/>
      <c r="K1951" s="611"/>
      <c r="L1951" s="611"/>
      <c r="M1951" s="611"/>
      <c r="N1951" s="611"/>
      <c r="O1951" s="4"/>
      <c r="P1951" s="4"/>
      <c r="Q1951" s="4"/>
      <c r="R1951" s="4"/>
      <c r="S1951" s="4"/>
      <c r="T1951" s="4"/>
      <c r="U1951" s="4"/>
      <c r="V1951" s="4"/>
      <c r="W1951" s="89"/>
      <c r="X1951" s="4"/>
      <c r="Y1951" s="1186"/>
      <c r="Z1951" s="1919"/>
      <c r="AA1951" s="1187"/>
      <c r="AB1951" s="1405"/>
      <c r="AC1951" s="1405"/>
      <c r="AD1951" s="1405"/>
      <c r="AE1951" s="1405"/>
      <c r="AF1951" s="1405"/>
      <c r="AG1951" s="1405"/>
      <c r="AH1951" s="1405"/>
      <c r="AI1951" s="1405"/>
      <c r="AJ1951" s="1405"/>
      <c r="AK1951" s="1405"/>
      <c r="AL1951" s="1405"/>
    </row>
    <row r="1952" spans="1:38" s="613" customFormat="1">
      <c r="B1952" s="1451" t="s">
        <v>2042</v>
      </c>
      <c r="C1952" s="1452" t="s">
        <v>2031</v>
      </c>
      <c r="D1952" s="1453" t="s">
        <v>2048</v>
      </c>
      <c r="E1952" s="1454">
        <v>5</v>
      </c>
      <c r="F1952" s="593"/>
      <c r="G1952" s="1387"/>
      <c r="H1952" s="611"/>
      <c r="I1952" s="611"/>
      <c r="J1952" s="611"/>
      <c r="K1952" s="611"/>
      <c r="L1952" s="611"/>
      <c r="M1952" s="611"/>
      <c r="N1952" s="611"/>
      <c r="O1952" s="4"/>
      <c r="P1952" s="4"/>
      <c r="Q1952" s="4"/>
      <c r="R1952" s="4"/>
      <c r="S1952" s="4"/>
      <c r="T1952" s="4"/>
      <c r="U1952" s="4"/>
      <c r="V1952" s="4"/>
      <c r="W1952" s="89"/>
      <c r="X1952" s="4"/>
      <c r="Y1952" s="1186"/>
      <c r="Z1952" s="1919"/>
      <c r="AA1952" s="1187"/>
      <c r="AB1952" s="1405"/>
      <c r="AC1952" s="1405"/>
      <c r="AD1952" s="1405"/>
      <c r="AE1952" s="1405"/>
      <c r="AF1952" s="1405"/>
      <c r="AG1952" s="1405"/>
      <c r="AH1952" s="1405"/>
      <c r="AI1952" s="1405"/>
      <c r="AJ1952" s="1405"/>
      <c r="AK1952" s="1405"/>
      <c r="AL1952" s="1405"/>
    </row>
    <row r="1953" spans="2:38" s="613" customFormat="1">
      <c r="B1953" s="1451" t="s">
        <v>2043</v>
      </c>
      <c r="C1953" s="1452" t="s">
        <v>2031</v>
      </c>
      <c r="D1953" s="1453" t="s">
        <v>2048</v>
      </c>
      <c r="E1953" s="1454">
        <v>1.5</v>
      </c>
      <c r="F1953" s="1455" t="s">
        <v>2097</v>
      </c>
      <c r="G1953" s="1387"/>
      <c r="H1953" s="611"/>
      <c r="I1953" s="611"/>
      <c r="J1953" s="611"/>
      <c r="K1953" s="611"/>
      <c r="L1953" s="611"/>
      <c r="M1953" s="611"/>
      <c r="N1953" s="611"/>
      <c r="O1953" s="4"/>
      <c r="P1953" s="4"/>
      <c r="Q1953" s="4"/>
      <c r="R1953" s="4"/>
      <c r="S1953" s="4"/>
      <c r="T1953" s="4"/>
      <c r="U1953" s="4"/>
      <c r="V1953" s="4"/>
      <c r="W1953" s="89"/>
      <c r="X1953" s="4"/>
      <c r="Y1953" s="1186"/>
      <c r="Z1953" s="1919"/>
      <c r="AA1953" s="1187"/>
      <c r="AB1953" s="1405"/>
      <c r="AC1953" s="1405"/>
      <c r="AD1953" s="1405"/>
      <c r="AE1953" s="1405"/>
      <c r="AF1953" s="1405"/>
      <c r="AG1953" s="1405"/>
      <c r="AH1953" s="1405"/>
      <c r="AI1953" s="1405"/>
      <c r="AJ1953" s="1405"/>
      <c r="AK1953" s="1405"/>
      <c r="AL1953" s="1405"/>
    </row>
    <row r="1954" spans="2:38" s="613" customFormat="1">
      <c r="B1954" s="1655" t="s">
        <v>2044</v>
      </c>
      <c r="C1954" s="1452" t="s">
        <v>2031</v>
      </c>
      <c r="D1954" s="1453" t="s">
        <v>2049</v>
      </c>
      <c r="E1954" s="1454" t="s">
        <v>407</v>
      </c>
      <c r="F1954" s="593"/>
      <c r="G1954" s="1387"/>
      <c r="H1954" s="611"/>
      <c r="I1954" s="611"/>
      <c r="J1954" s="611"/>
      <c r="K1954" s="611"/>
      <c r="L1954" s="611"/>
      <c r="M1954" s="611"/>
      <c r="N1954" s="611"/>
      <c r="O1954" s="4"/>
      <c r="P1954" s="4"/>
      <c r="Q1954" s="4"/>
      <c r="R1954" s="4"/>
      <c r="S1954" s="4"/>
      <c r="T1954" s="4"/>
      <c r="U1954" s="4"/>
      <c r="V1954" s="4"/>
      <c r="W1954" s="89"/>
      <c r="X1954" s="4"/>
      <c r="Y1954" s="1186"/>
      <c r="Z1954" s="1919"/>
      <c r="AA1954" s="1187"/>
      <c r="AB1954" s="1405"/>
      <c r="AC1954" s="1405"/>
      <c r="AD1954" s="1405"/>
      <c r="AE1954" s="1405"/>
      <c r="AF1954" s="1405"/>
      <c r="AG1954" s="1405"/>
      <c r="AH1954" s="1405"/>
      <c r="AI1954" s="1405"/>
      <c r="AJ1954" s="1405"/>
      <c r="AK1954" s="1405"/>
      <c r="AL1954" s="1405"/>
    </row>
    <row r="1955" spans="2:38" s="613" customFormat="1">
      <c r="B1955" s="1451" t="s">
        <v>2045</v>
      </c>
      <c r="C1955" s="1452" t="s">
        <v>1991</v>
      </c>
      <c r="D1955" s="1453" t="s">
        <v>1587</v>
      </c>
      <c r="E1955" s="1454">
        <v>5</v>
      </c>
      <c r="F1955" s="593"/>
      <c r="G1955" s="1387"/>
      <c r="H1955" s="611"/>
      <c r="I1955" s="611"/>
      <c r="J1955" s="611"/>
      <c r="K1955" s="611"/>
      <c r="L1955" s="611"/>
      <c r="M1955" s="611"/>
      <c r="N1955" s="611"/>
      <c r="O1955" s="4"/>
      <c r="P1955" s="4"/>
      <c r="Q1955" s="4"/>
      <c r="R1955" s="4"/>
      <c r="S1955" s="4"/>
      <c r="T1955" s="4"/>
      <c r="U1955" s="4"/>
      <c r="V1955" s="4"/>
      <c r="W1955" s="89"/>
      <c r="X1955" s="4"/>
      <c r="Y1955" s="1186"/>
      <c r="Z1955" s="1919"/>
      <c r="AA1955" s="1187"/>
      <c r="AB1955" s="1405"/>
      <c r="AC1955" s="1405"/>
      <c r="AD1955" s="1405"/>
      <c r="AE1955" s="1405"/>
      <c r="AF1955" s="1405"/>
      <c r="AG1955" s="1405"/>
      <c r="AH1955" s="1405"/>
      <c r="AI1955" s="1405"/>
      <c r="AJ1955" s="1405"/>
      <c r="AK1955" s="1405"/>
      <c r="AL1955" s="1405"/>
    </row>
    <row r="1956" spans="2:38" s="613" customFormat="1">
      <c r="B1956" s="1451" t="s">
        <v>2046</v>
      </c>
      <c r="C1956" s="1452" t="s">
        <v>1991</v>
      </c>
      <c r="D1956" s="1453" t="s">
        <v>1587</v>
      </c>
      <c r="E1956" s="1454">
        <v>5</v>
      </c>
      <c r="F1956" s="593"/>
      <c r="G1956" s="1387"/>
      <c r="H1956" s="611"/>
      <c r="I1956" s="611"/>
      <c r="J1956" s="611"/>
      <c r="K1956" s="611"/>
      <c r="L1956" s="611"/>
      <c r="M1956" s="611"/>
      <c r="N1956" s="611"/>
      <c r="O1956" s="4"/>
      <c r="P1956" s="4"/>
      <c r="Q1956" s="4"/>
      <c r="R1956" s="4"/>
      <c r="S1956" s="4"/>
      <c r="T1956" s="4"/>
      <c r="U1956" s="4"/>
      <c r="V1956" s="4"/>
      <c r="W1956" s="89"/>
      <c r="X1956" s="4"/>
      <c r="Y1956" s="1186"/>
      <c r="Z1956" s="1919"/>
      <c r="AA1956" s="1187"/>
      <c r="AB1956" s="1405"/>
      <c r="AC1956" s="1405"/>
      <c r="AD1956" s="1405"/>
      <c r="AE1956" s="1405"/>
      <c r="AF1956" s="1405"/>
      <c r="AG1956" s="1405"/>
      <c r="AH1956" s="1405"/>
      <c r="AI1956" s="1405"/>
      <c r="AJ1956" s="1405"/>
      <c r="AK1956" s="1405"/>
      <c r="AL1956" s="1405"/>
    </row>
    <row r="1957" spans="2:38" s="613" customFormat="1">
      <c r="B1957" s="1451" t="s">
        <v>2047</v>
      </c>
      <c r="C1957" s="1452" t="s">
        <v>1991</v>
      </c>
      <c r="D1957" s="1453" t="s">
        <v>1587</v>
      </c>
      <c r="E1957" s="1454">
        <v>5</v>
      </c>
      <c r="F1957" s="593"/>
      <c r="G1957" s="1387"/>
      <c r="H1957" s="611"/>
      <c r="I1957" s="611"/>
      <c r="J1957" s="611"/>
      <c r="K1957" s="611"/>
      <c r="L1957" s="611"/>
      <c r="M1957" s="611"/>
      <c r="N1957" s="611"/>
      <c r="O1957" s="4"/>
      <c r="P1957" s="4"/>
      <c r="Q1957" s="4"/>
      <c r="R1957" s="4"/>
      <c r="S1957" s="4"/>
      <c r="T1957" s="4"/>
      <c r="U1957" s="4"/>
      <c r="V1957" s="4"/>
      <c r="W1957" s="89"/>
      <c r="X1957" s="4"/>
      <c r="Y1957" s="1186"/>
      <c r="Z1957" s="1919"/>
      <c r="AA1957" s="1187"/>
      <c r="AB1957" s="1405"/>
      <c r="AC1957" s="1405"/>
      <c r="AD1957" s="1405"/>
      <c r="AE1957" s="1405"/>
      <c r="AF1957" s="1405"/>
      <c r="AG1957" s="1405"/>
      <c r="AH1957" s="1405"/>
      <c r="AI1957" s="1405"/>
      <c r="AJ1957" s="1405"/>
      <c r="AK1957" s="1405"/>
      <c r="AL1957" s="1405"/>
    </row>
    <row r="1958" spans="2:38" s="613" customFormat="1">
      <c r="B1958" s="1451" t="s">
        <v>2045</v>
      </c>
      <c r="C1958" s="1452" t="s">
        <v>1992</v>
      </c>
      <c r="D1958" s="1453" t="s">
        <v>1587</v>
      </c>
      <c r="E1958" s="1454">
        <v>6.5</v>
      </c>
      <c r="F1958" s="593"/>
      <c r="G1958" s="1387"/>
      <c r="H1958" s="611"/>
      <c r="I1958" s="611"/>
      <c r="J1958" s="611"/>
      <c r="K1958" s="611"/>
      <c r="L1958" s="611"/>
      <c r="M1958" s="611"/>
      <c r="N1958" s="611"/>
      <c r="O1958" s="4"/>
      <c r="P1958" s="4"/>
      <c r="Q1958" s="4"/>
      <c r="R1958" s="4"/>
      <c r="S1958" s="4"/>
      <c r="T1958" s="4"/>
      <c r="U1958" s="4"/>
      <c r="V1958" s="4"/>
      <c r="W1958" s="89"/>
      <c r="X1958" s="4"/>
      <c r="Y1958" s="1186"/>
      <c r="Z1958" s="1919"/>
      <c r="AA1958" s="1187"/>
      <c r="AB1958" s="1405"/>
      <c r="AC1958" s="1405"/>
      <c r="AD1958" s="1405"/>
      <c r="AE1958" s="1405"/>
      <c r="AF1958" s="1405"/>
      <c r="AG1958" s="1405"/>
      <c r="AH1958" s="1405"/>
      <c r="AI1958" s="1405"/>
      <c r="AJ1958" s="1405"/>
      <c r="AK1958" s="1405"/>
      <c r="AL1958" s="1405"/>
    </row>
    <row r="1959" spans="2:38" s="613" customFormat="1">
      <c r="B1959" s="1451" t="s">
        <v>2046</v>
      </c>
      <c r="C1959" s="1452" t="s">
        <v>1992</v>
      </c>
      <c r="D1959" s="1453" t="s">
        <v>1587</v>
      </c>
      <c r="E1959" s="1454">
        <v>6.5</v>
      </c>
      <c r="F1959" s="593"/>
      <c r="G1959" s="1387"/>
      <c r="H1959" s="611"/>
      <c r="I1959" s="611"/>
      <c r="J1959" s="611"/>
      <c r="K1959" s="611"/>
      <c r="L1959" s="611"/>
      <c r="M1959" s="611"/>
      <c r="N1959" s="611"/>
      <c r="O1959" s="4"/>
      <c r="P1959" s="4"/>
      <c r="Q1959" s="4"/>
      <c r="R1959" s="4"/>
      <c r="S1959" s="4"/>
      <c r="T1959" s="4"/>
      <c r="U1959" s="4"/>
      <c r="V1959" s="4"/>
      <c r="W1959" s="89"/>
      <c r="X1959" s="4"/>
      <c r="Y1959" s="1186"/>
      <c r="Z1959" s="1919"/>
      <c r="AA1959" s="1187"/>
      <c r="AB1959" s="1405"/>
      <c r="AC1959" s="1405"/>
      <c r="AD1959" s="1405"/>
      <c r="AE1959" s="1405"/>
      <c r="AF1959" s="1405"/>
      <c r="AG1959" s="1405"/>
      <c r="AH1959" s="1405"/>
      <c r="AI1959" s="1405"/>
      <c r="AJ1959" s="1405"/>
      <c r="AK1959" s="1405"/>
      <c r="AL1959" s="1405"/>
    </row>
    <row r="1960" spans="2:38" s="613" customFormat="1">
      <c r="B1960" s="1451" t="s">
        <v>2047</v>
      </c>
      <c r="C1960" s="1452" t="s">
        <v>1992</v>
      </c>
      <c r="D1960" s="1453" t="s">
        <v>1587</v>
      </c>
      <c r="E1960" s="1454">
        <v>6.5</v>
      </c>
      <c r="F1960" s="593"/>
      <c r="G1960" s="1387"/>
      <c r="H1960" s="611"/>
      <c r="I1960" s="611"/>
      <c r="J1960" s="611"/>
      <c r="K1960" s="611"/>
      <c r="L1960" s="611"/>
      <c r="M1960" s="611"/>
      <c r="N1960" s="611"/>
      <c r="O1960" s="4"/>
      <c r="P1960" s="4"/>
      <c r="Q1960" s="4"/>
      <c r="R1960" s="4"/>
      <c r="S1960" s="4"/>
      <c r="T1960" s="4"/>
      <c r="U1960" s="4"/>
      <c r="V1960" s="4"/>
      <c r="W1960" s="89"/>
      <c r="X1960" s="4"/>
      <c r="Y1960" s="1186"/>
      <c r="Z1960" s="1919"/>
      <c r="AA1960" s="1187"/>
      <c r="AB1960" s="1185"/>
      <c r="AC1960" s="1185"/>
      <c r="AD1960" s="1185"/>
      <c r="AE1960" s="1185"/>
      <c r="AF1960" s="1185"/>
      <c r="AG1960" s="1185"/>
      <c r="AH1960" s="1185"/>
      <c r="AI1960" s="1185"/>
      <c r="AJ1960" s="1185"/>
      <c r="AK1960" s="1185"/>
      <c r="AL1960" s="1185"/>
    </row>
    <row r="1961" spans="2:38" s="613" customFormat="1">
      <c r="B1961" s="1451" t="s">
        <v>2030</v>
      </c>
      <c r="C1961" s="1452" t="s">
        <v>2031</v>
      </c>
      <c r="D1961" s="1453" t="s">
        <v>2035</v>
      </c>
      <c r="E1961" s="1454">
        <v>3</v>
      </c>
      <c r="F1961" s="593"/>
      <c r="G1961" s="1387"/>
      <c r="H1961" s="611"/>
      <c r="I1961" s="611"/>
      <c r="J1961" s="611"/>
      <c r="K1961" s="611"/>
      <c r="L1961" s="611"/>
      <c r="M1961" s="611"/>
      <c r="N1961" s="611"/>
      <c r="O1961" s="4"/>
      <c r="P1961" s="4"/>
      <c r="Q1961" s="4"/>
      <c r="R1961" s="4"/>
      <c r="S1961" s="4"/>
      <c r="T1961" s="4"/>
      <c r="U1961" s="4"/>
      <c r="V1961" s="4"/>
      <c r="W1961" s="89"/>
      <c r="X1961" s="4"/>
      <c r="Y1961" s="1186"/>
      <c r="Z1961" s="1919"/>
      <c r="AA1961" s="1187"/>
      <c r="AB1961" s="1185"/>
      <c r="AC1961" s="1185"/>
      <c r="AD1961" s="1185"/>
      <c r="AE1961" s="1185"/>
      <c r="AF1961" s="1185"/>
      <c r="AG1961" s="1185"/>
      <c r="AH1961" s="1185"/>
      <c r="AI1961" s="1185"/>
      <c r="AJ1961" s="1185"/>
      <c r="AK1961" s="1185"/>
      <c r="AL1961" s="1185"/>
    </row>
    <row r="1962" spans="2:38" s="613" customFormat="1">
      <c r="B1962" s="4"/>
      <c r="C1962" s="4"/>
      <c r="D1962" s="4"/>
      <c r="E1962" s="4"/>
      <c r="F1962" s="4"/>
      <c r="G1962" s="4"/>
      <c r="H1962" s="4"/>
      <c r="I1962" s="4"/>
      <c r="J1962" s="4"/>
      <c r="K1962" s="4"/>
      <c r="L1962" s="4"/>
      <c r="M1962" s="4"/>
      <c r="N1962"/>
      <c r="O1962" s="4"/>
      <c r="P1962" s="4"/>
      <c r="Q1962" s="4"/>
      <c r="R1962" s="4"/>
      <c r="S1962" s="4"/>
      <c r="T1962" s="4"/>
      <c r="U1962" s="4"/>
      <c r="V1962" s="4"/>
      <c r="W1962" s="89"/>
      <c r="X1962" s="4"/>
      <c r="Y1962" s="53"/>
      <c r="Z1962" s="1919"/>
      <c r="AA1962" s="7"/>
      <c r="AB1962" s="33"/>
      <c r="AC1962" s="33"/>
      <c r="AD1962" s="33"/>
      <c r="AE1962" s="33"/>
      <c r="AF1962" s="33"/>
      <c r="AG1962" s="33"/>
      <c r="AH1962" s="33"/>
      <c r="AI1962" s="33"/>
      <c r="AJ1962" s="33"/>
      <c r="AK1962" s="33"/>
      <c r="AL1962" s="33"/>
    </row>
    <row r="1963" spans="2:38" s="613" customFormat="1">
      <c r="B1963" s="1921" t="s">
        <v>553</v>
      </c>
      <c r="C1963" s="1922"/>
      <c r="D1963" s="4"/>
      <c r="E1963" s="4"/>
      <c r="F1963" s="4"/>
      <c r="G1963" s="4"/>
      <c r="H1963" s="4"/>
      <c r="I1963" s="4"/>
      <c r="J1963" s="4"/>
      <c r="K1963" s="4"/>
      <c r="L1963" s="4"/>
      <c r="M1963" s="4"/>
      <c r="N1963" s="4"/>
      <c r="O1963" s="4"/>
      <c r="P1963" s="4"/>
      <c r="Q1963" s="4"/>
      <c r="R1963" s="4"/>
      <c r="S1963" s="4"/>
      <c r="T1963" s="4"/>
      <c r="U1963" s="4"/>
      <c r="V1963" s="4"/>
      <c r="W1963" s="89"/>
      <c r="X1963" s="4"/>
      <c r="Y1963" s="53"/>
      <c r="Z1963" s="1919"/>
      <c r="AA1963" s="7"/>
    </row>
    <row r="1964" spans="2:38" s="613" customFormat="1">
      <c r="B1964" s="594" t="s">
        <v>489</v>
      </c>
      <c r="C1964" s="595" t="s">
        <v>160</v>
      </c>
      <c r="D1964" s="112" t="s">
        <v>470</v>
      </c>
      <c r="E1964" s="4"/>
      <c r="F1964" s="4"/>
      <c r="G1964" s="4"/>
      <c r="H1964" s="4"/>
      <c r="I1964" s="4"/>
      <c r="J1964" s="4"/>
      <c r="K1964" s="4"/>
      <c r="L1964" s="4"/>
      <c r="M1964" s="4"/>
      <c r="N1964" s="4"/>
      <c r="O1964" s="4"/>
      <c r="P1964" s="4"/>
      <c r="Q1964" s="4"/>
      <c r="R1964" s="4"/>
      <c r="S1964" s="4"/>
      <c r="T1964" s="4"/>
      <c r="U1964" s="4"/>
      <c r="V1964" s="4"/>
      <c r="W1964" s="89"/>
      <c r="X1964" s="4"/>
      <c r="Y1964" s="53"/>
      <c r="Z1964" s="1919"/>
      <c r="AA1964" s="7"/>
    </row>
    <row r="1965" spans="2:38" s="613" customFormat="1">
      <c r="B1965" s="745" t="s">
        <v>691</v>
      </c>
      <c r="C1965" s="538" t="s">
        <v>555</v>
      </c>
      <c r="D1965" s="514">
        <v>16.829999999999998</v>
      </c>
      <c r="E1965" s="612"/>
      <c r="F1965" s="612"/>
      <c r="G1965" s="612"/>
      <c r="H1965" s="612"/>
      <c r="I1965" s="612"/>
      <c r="J1965" s="612"/>
      <c r="K1965" s="612"/>
      <c r="L1965" s="612"/>
      <c r="M1965" s="612"/>
      <c r="N1965" s="612"/>
      <c r="O1965" s="612"/>
      <c r="P1965" s="612"/>
      <c r="Q1965" s="612"/>
      <c r="R1965" s="612"/>
      <c r="S1965" s="612"/>
      <c r="T1965" s="612"/>
      <c r="U1965" s="612"/>
      <c r="V1965" s="612"/>
      <c r="W1965" s="761"/>
      <c r="X1965" s="612"/>
      <c r="Y1965" s="679"/>
      <c r="Z1965" s="1919"/>
      <c r="AA1965" s="678"/>
      <c r="AB1965" s="593"/>
      <c r="AC1965" s="593"/>
      <c r="AD1965" s="593"/>
      <c r="AE1965" s="593"/>
      <c r="AF1965" s="593"/>
      <c r="AG1965" s="593"/>
      <c r="AH1965" s="593"/>
      <c r="AI1965" s="593"/>
      <c r="AJ1965" s="593"/>
      <c r="AK1965" s="593"/>
      <c r="AL1965" s="593"/>
    </row>
    <row r="1966" spans="2:38" s="613" customFormat="1">
      <c r="B1966" s="745" t="s">
        <v>692</v>
      </c>
      <c r="C1966" s="538" t="s">
        <v>555</v>
      </c>
      <c r="D1966" s="672">
        <v>12.33</v>
      </c>
      <c r="E1966" s="612"/>
      <c r="F1966" s="612"/>
      <c r="G1966" s="612"/>
      <c r="H1966" s="612"/>
      <c r="I1966" s="612"/>
      <c r="J1966" s="612"/>
      <c r="K1966" s="612"/>
      <c r="L1966" s="612"/>
      <c r="M1966" s="612"/>
      <c r="N1966" s="612"/>
      <c r="O1966" s="612"/>
      <c r="P1966" s="612"/>
      <c r="Q1966" s="612"/>
      <c r="R1966" s="612"/>
      <c r="S1966" s="612"/>
      <c r="T1966" s="612"/>
      <c r="U1966" s="612"/>
      <c r="V1966" s="612"/>
      <c r="W1966" s="761"/>
      <c r="X1966" s="612"/>
      <c r="Y1966" s="679"/>
      <c r="Z1966" s="1919"/>
      <c r="AA1966" s="678"/>
      <c r="AB1966" s="593"/>
      <c r="AC1966" s="593"/>
      <c r="AD1966" s="593"/>
      <c r="AE1966" s="593"/>
      <c r="AF1966" s="593"/>
      <c r="AG1966" s="593"/>
      <c r="AH1966" s="593"/>
      <c r="AI1966" s="593"/>
      <c r="AJ1966" s="593"/>
      <c r="AK1966" s="593"/>
      <c r="AL1966" s="593"/>
    </row>
    <row r="1967" spans="2:38" s="613" customFormat="1">
      <c r="B1967" s="610" t="s">
        <v>554</v>
      </c>
      <c r="C1967" s="538" t="s">
        <v>555</v>
      </c>
      <c r="D1967" s="563">
        <v>5.76</v>
      </c>
      <c r="E1967" s="612"/>
      <c r="F1967" s="612"/>
      <c r="G1967" s="4"/>
      <c r="H1967" s="4"/>
      <c r="I1967" s="4"/>
      <c r="J1967" s="4"/>
      <c r="K1967" s="4"/>
      <c r="L1967" s="4"/>
      <c r="M1967" s="4"/>
      <c r="N1967" s="4"/>
      <c r="O1967" s="4"/>
      <c r="P1967" s="4"/>
      <c r="Q1967" s="4"/>
      <c r="R1967" s="4"/>
      <c r="S1967" s="4"/>
      <c r="T1967" s="4"/>
      <c r="U1967" s="4"/>
      <c r="V1967" s="4"/>
      <c r="W1967" s="89"/>
      <c r="X1967" s="4"/>
      <c r="Y1967" s="53"/>
      <c r="Z1967" s="1919"/>
      <c r="AA1967" s="7"/>
    </row>
    <row r="1968" spans="2:38" s="613" customFormat="1">
      <c r="B1968" s="732"/>
      <c r="C1968" s="4"/>
      <c r="D1968" s="550"/>
      <c r="E1968" s="612"/>
      <c r="F1968" s="612"/>
      <c r="G1968" s="4"/>
      <c r="H1968" s="4"/>
      <c r="I1968" s="4"/>
      <c r="J1968" s="4"/>
      <c r="K1968" s="4"/>
      <c r="L1968" s="4"/>
      <c r="M1968" s="4"/>
      <c r="N1968" s="4"/>
      <c r="O1968" s="4"/>
      <c r="P1968" s="4"/>
      <c r="Q1968" s="4"/>
      <c r="R1968" s="4"/>
      <c r="S1968" s="4"/>
      <c r="T1968" s="4"/>
      <c r="U1968" s="4"/>
      <c r="V1968" s="4"/>
      <c r="W1968" s="89"/>
      <c r="X1968" s="4"/>
      <c r="Y1968" s="53"/>
      <c r="Z1968" s="44"/>
      <c r="AA1968" s="7"/>
    </row>
    <row r="1969" spans="1:38" s="613" customFormat="1">
      <c r="B1969" s="4"/>
      <c r="C1969" s="4"/>
      <c r="D1969" s="4"/>
      <c r="E1969" s="612"/>
      <c r="F1969" s="612"/>
      <c r="G1969" s="4"/>
      <c r="H1969" s="4"/>
      <c r="I1969" s="4"/>
      <c r="J1969" s="4"/>
      <c r="K1969" s="4"/>
      <c r="L1969" s="4"/>
      <c r="M1969" s="4"/>
      <c r="N1969" s="4"/>
      <c r="O1969" s="4"/>
      <c r="P1969" s="4"/>
      <c r="Q1969" s="4"/>
      <c r="R1969" s="4"/>
      <c r="S1969" s="4"/>
      <c r="T1969" s="4"/>
      <c r="U1969" s="4"/>
      <c r="V1969" s="4"/>
      <c r="W1969" s="89"/>
      <c r="X1969" s="4"/>
      <c r="Y1969" s="53"/>
      <c r="Z1969" s="1919" t="s">
        <v>804</v>
      </c>
      <c r="AA1969" s="7"/>
    </row>
    <row r="1970" spans="1:38" s="613" customFormat="1">
      <c r="B1970" s="1921" t="s">
        <v>560</v>
      </c>
      <c r="C1970" s="1922"/>
      <c r="D1970" s="4"/>
      <c r="E1970" s="612"/>
      <c r="F1970" s="612" t="s">
        <v>557</v>
      </c>
      <c r="G1970" s="4"/>
      <c r="H1970" s="4"/>
      <c r="I1970" s="4"/>
      <c r="J1970" s="4"/>
      <c r="K1970" s="4"/>
      <c r="L1970" s="4"/>
      <c r="M1970" s="4"/>
      <c r="N1970" s="4"/>
      <c r="O1970" s="4"/>
      <c r="P1970" s="4"/>
      <c r="Q1970" s="4"/>
      <c r="R1970" s="4"/>
      <c r="S1970" s="4"/>
      <c r="T1970" s="4"/>
      <c r="U1970" s="4"/>
      <c r="V1970" s="4"/>
      <c r="W1970" s="89"/>
      <c r="X1970" s="4"/>
      <c r="Y1970" s="53"/>
      <c r="Z1970" s="1919"/>
      <c r="AA1970" s="7"/>
    </row>
    <row r="1971" spans="1:38" s="613" customFormat="1">
      <c r="B1971" s="594" t="s">
        <v>489</v>
      </c>
      <c r="C1971" s="595" t="s">
        <v>160</v>
      </c>
      <c r="D1971" s="112" t="s">
        <v>470</v>
      </c>
      <c r="E1971" s="612"/>
      <c r="F1971" s="612"/>
      <c r="G1971" s="4"/>
      <c r="H1971" s="4"/>
      <c r="I1971" s="4"/>
      <c r="J1971" s="4"/>
      <c r="K1971" s="4"/>
      <c r="L1971" s="4"/>
      <c r="M1971" s="4"/>
      <c r="N1971" s="4"/>
      <c r="O1971" s="4"/>
      <c r="P1971" s="4"/>
      <c r="Q1971" s="4"/>
      <c r="R1971" s="4"/>
      <c r="S1971" s="4"/>
      <c r="T1971" s="4"/>
      <c r="U1971" s="4"/>
      <c r="V1971" s="4"/>
      <c r="W1971" s="89"/>
      <c r="X1971" s="4"/>
      <c r="Y1971" s="53"/>
      <c r="Z1971" s="1919"/>
      <c r="AA1971" s="7"/>
    </row>
    <row r="1972" spans="1:38" s="613" customFormat="1">
      <c r="B1972" s="511" t="s">
        <v>556</v>
      </c>
      <c r="C1972" s="511" t="s">
        <v>558</v>
      </c>
      <c r="D1972" s="675">
        <v>0.625</v>
      </c>
      <c r="E1972" s="612"/>
      <c r="F1972" s="612" t="s">
        <v>561</v>
      </c>
      <c r="G1972" s="4"/>
      <c r="H1972" s="4"/>
      <c r="I1972" s="4"/>
      <c r="J1972" s="4"/>
      <c r="K1972" s="4"/>
      <c r="L1972" s="4"/>
      <c r="M1972" s="4"/>
      <c r="N1972" s="4"/>
      <c r="O1972" s="4"/>
      <c r="P1972" s="4"/>
      <c r="Q1972" s="4"/>
      <c r="R1972" s="4"/>
      <c r="S1972" s="4"/>
      <c r="T1972" s="4"/>
      <c r="U1972" s="4"/>
      <c r="V1972" s="4"/>
      <c r="W1972" s="89"/>
      <c r="X1972" s="4"/>
      <c r="Y1972" s="53"/>
      <c r="Z1972" s="1919"/>
      <c r="AA1972" s="7"/>
    </row>
    <row r="1973" spans="1:38" s="613" customFormat="1">
      <c r="B1973" s="511" t="s">
        <v>562</v>
      </c>
      <c r="C1973" s="511" t="s">
        <v>559</v>
      </c>
      <c r="D1973" s="563">
        <v>0</v>
      </c>
      <c r="E1973" s="612"/>
      <c r="F1973" s="612"/>
      <c r="G1973" s="4"/>
      <c r="H1973" s="4"/>
      <c r="I1973" s="4"/>
      <c r="J1973" s="4"/>
      <c r="K1973" s="4"/>
      <c r="L1973" s="4"/>
      <c r="M1973" s="4"/>
      <c r="N1973" s="4"/>
      <c r="O1973" s="4"/>
      <c r="P1973" s="4"/>
      <c r="Q1973" s="4"/>
      <c r="R1973" s="4"/>
      <c r="S1973" s="4"/>
      <c r="T1973" s="4"/>
      <c r="U1973" s="4"/>
      <c r="V1973" s="4"/>
      <c r="W1973" s="89"/>
      <c r="X1973" s="4"/>
      <c r="Y1973" s="53"/>
      <c r="Z1973" s="1919"/>
      <c r="AA1973" s="7"/>
    </row>
    <row r="1974" spans="1:38" s="613" customFormat="1">
      <c r="B1974" s="511" t="s">
        <v>563</v>
      </c>
      <c r="C1974" s="511" t="s">
        <v>559</v>
      </c>
      <c r="D1974" s="675">
        <v>1.7999999999999999E-2</v>
      </c>
      <c r="E1974" s="612"/>
      <c r="F1974" s="612"/>
      <c r="G1974" s="4"/>
      <c r="H1974" s="4"/>
      <c r="I1974" s="4"/>
      <c r="J1974" s="4"/>
      <c r="K1974" s="4"/>
      <c r="L1974" s="4"/>
      <c r="M1974" s="4"/>
      <c r="N1974" s="4"/>
      <c r="O1974" s="4"/>
      <c r="P1974" s="4"/>
      <c r="Q1974" s="4"/>
      <c r="R1974" s="4"/>
      <c r="S1974" s="4"/>
      <c r="T1974" s="4"/>
      <c r="U1974" s="4"/>
      <c r="V1974" s="4"/>
      <c r="W1974" s="89"/>
      <c r="X1974" s="4"/>
      <c r="Y1974" s="53"/>
      <c r="Z1974" s="1919"/>
      <c r="AA1974" s="7"/>
    </row>
    <row r="1975" spans="1:38" s="613" customFormat="1">
      <c r="B1975" s="4"/>
      <c r="C1975" s="4"/>
      <c r="D1975" s="4"/>
      <c r="E1975" s="612" t="s">
        <v>552</v>
      </c>
      <c r="F1975" s="612"/>
      <c r="G1975" s="4"/>
      <c r="H1975" s="4"/>
      <c r="I1975" s="4"/>
      <c r="J1975" s="4"/>
      <c r="K1975" s="4"/>
      <c r="L1975" s="4"/>
      <c r="M1975" s="4"/>
      <c r="N1975" s="4"/>
      <c r="O1975" s="4"/>
      <c r="P1975" s="4"/>
      <c r="Q1975" s="4"/>
      <c r="R1975" s="4"/>
      <c r="S1975" s="4"/>
      <c r="T1975" s="4"/>
      <c r="U1975" s="4"/>
      <c r="V1975" s="4"/>
      <c r="W1975" s="89"/>
      <c r="X1975" s="4"/>
      <c r="Y1975" s="53"/>
      <c r="Z1975" s="1919"/>
      <c r="AA1975" s="7"/>
    </row>
    <row r="1976" spans="1:38" s="613" customFormat="1">
      <c r="B1976" s="1921" t="s">
        <v>1150</v>
      </c>
      <c r="C1976" s="1922"/>
      <c r="D1976" s="612"/>
      <c r="E1976" s="612"/>
      <c r="F1976" s="612"/>
      <c r="G1976" s="612"/>
      <c r="H1976" s="612"/>
      <c r="I1976" s="612"/>
      <c r="J1976" s="612"/>
      <c r="K1976" s="612"/>
      <c r="L1976" s="612"/>
      <c r="M1976" s="612"/>
      <c r="N1976" s="612"/>
      <c r="O1976" s="612"/>
      <c r="P1976" s="612"/>
      <c r="Q1976" s="612"/>
      <c r="R1976" s="612"/>
      <c r="S1976" s="612"/>
      <c r="T1976" s="612"/>
      <c r="U1976" s="612"/>
      <c r="V1976" s="612"/>
      <c r="W1976" s="89"/>
      <c r="X1976" s="4"/>
      <c r="Y1976" s="53"/>
      <c r="Z1976" s="1919"/>
      <c r="AA1976" s="7"/>
    </row>
    <row r="1977" spans="1:38" s="613" customFormat="1" ht="57.6">
      <c r="B1977" s="138" t="s">
        <v>2</v>
      </c>
      <c r="C1977" s="108" t="s">
        <v>3</v>
      </c>
      <c r="D1977" s="108" t="s">
        <v>37</v>
      </c>
      <c r="E1977" s="291" t="s">
        <v>1151</v>
      </c>
      <c r="F1977" s="291" t="s">
        <v>1152</v>
      </c>
      <c r="G1977" s="108" t="s">
        <v>1153</v>
      </c>
      <c r="H1977" s="109" t="s">
        <v>831</v>
      </c>
      <c r="I1977" s="109" t="s">
        <v>123</v>
      </c>
      <c r="J1977" s="109" t="s">
        <v>130</v>
      </c>
      <c r="K1977" s="109" t="s">
        <v>124</v>
      </c>
      <c r="L1977" s="230" t="s">
        <v>127</v>
      </c>
      <c r="M1977" s="109" t="s">
        <v>1167</v>
      </c>
      <c r="N1977" s="109" t="s">
        <v>126</v>
      </c>
      <c r="O1977" s="109" t="s">
        <v>144</v>
      </c>
      <c r="P1977" s="230" t="s">
        <v>128</v>
      </c>
      <c r="Q1977" s="109" t="s">
        <v>884</v>
      </c>
      <c r="R1977" s="109" t="s">
        <v>125</v>
      </c>
      <c r="S1977" s="109" t="s">
        <v>145</v>
      </c>
      <c r="T1977" s="1463"/>
      <c r="U1977" s="230" t="s">
        <v>129</v>
      </c>
      <c r="V1977" s="1339"/>
      <c r="W1977" s="4"/>
      <c r="X1977" s="89"/>
      <c r="Y1977" s="53"/>
      <c r="Z1977" s="918"/>
      <c r="AA1977" s="7"/>
    </row>
    <row r="1978" spans="1:38" s="613" customFormat="1">
      <c r="B1978" s="605" t="s">
        <v>843</v>
      </c>
      <c r="C1978" s="228">
        <v>2</v>
      </c>
      <c r="D1978" s="228">
        <v>8</v>
      </c>
      <c r="E1978" s="228">
        <v>40</v>
      </c>
      <c r="F1978" s="228">
        <v>800</v>
      </c>
      <c r="G1978" s="560">
        <v>0.14701500000000001</v>
      </c>
      <c r="H1978" s="561">
        <v>95.559750000000008</v>
      </c>
      <c r="I1978" s="561">
        <v>74.051455500000003</v>
      </c>
      <c r="J1978" s="562">
        <v>431.43021899999997</v>
      </c>
      <c r="K1978" s="561">
        <v>35.952518249999997</v>
      </c>
      <c r="L1978" s="561">
        <v>71.905036499999994</v>
      </c>
      <c r="M1978" s="813">
        <v>64.929174750000001</v>
      </c>
      <c r="N1978" s="561">
        <v>753.39306900000008</v>
      </c>
      <c r="O1978" s="562">
        <v>31.391377875000003</v>
      </c>
      <c r="P1978" s="561">
        <v>62.782755750000007</v>
      </c>
      <c r="Q1978" s="813">
        <v>55.806894000000007</v>
      </c>
      <c r="R1978" s="561">
        <v>965.88855000000012</v>
      </c>
      <c r="S1978" s="561">
        <v>26.830237500000003</v>
      </c>
      <c r="T1978" s="813"/>
      <c r="U1978" s="561">
        <v>53.660475000000005</v>
      </c>
      <c r="V1978" s="611"/>
      <c r="W1978"/>
      <c r="X1978" s="89"/>
      <c r="Y1978" s="53"/>
      <c r="Z1978" s="918"/>
      <c r="AA1978" s="7"/>
    </row>
    <row r="1979" spans="1:38" s="613" customFormat="1">
      <c r="B1979" s="605" t="s">
        <v>844</v>
      </c>
      <c r="C1979" s="228">
        <v>4</v>
      </c>
      <c r="D1979" s="228">
        <v>16</v>
      </c>
      <c r="E1979" s="228">
        <v>40</v>
      </c>
      <c r="F1979" s="228">
        <v>1600</v>
      </c>
      <c r="G1979" s="560">
        <v>0.29403000000000001</v>
      </c>
      <c r="H1979" s="561">
        <v>191.11950000000002</v>
      </c>
      <c r="I1979" s="561">
        <v>148.10291100000001</v>
      </c>
      <c r="J1979" s="562">
        <v>862.86043799999993</v>
      </c>
      <c r="K1979" s="561">
        <v>71.905036499999994</v>
      </c>
      <c r="L1979" s="561">
        <v>143.81007299999999</v>
      </c>
      <c r="M1979" s="813">
        <v>129.8583495</v>
      </c>
      <c r="N1979" s="561">
        <v>1506.7861380000002</v>
      </c>
      <c r="O1979" s="562">
        <v>62.782755750000007</v>
      </c>
      <c r="P1979" s="561">
        <v>125.56551150000001</v>
      </c>
      <c r="Q1979" s="813">
        <v>111.61378800000001</v>
      </c>
      <c r="R1979" s="561">
        <v>1931.7771000000002</v>
      </c>
      <c r="S1979" s="561">
        <v>53.660475000000005</v>
      </c>
      <c r="T1979" s="813"/>
      <c r="U1979" s="561">
        <v>107.32095000000001</v>
      </c>
      <c r="V1979" s="611"/>
      <c r="W1979" s="4"/>
      <c r="X1979" s="89"/>
      <c r="Y1979" s="53"/>
      <c r="Z1979" s="918"/>
      <c r="AA1979" s="7"/>
    </row>
    <row r="1980" spans="1:38">
      <c r="A1980" s="33"/>
      <c r="B1980" s="605" t="s">
        <v>845</v>
      </c>
      <c r="C1980" s="228">
        <v>8</v>
      </c>
      <c r="D1980" s="228">
        <v>32</v>
      </c>
      <c r="E1980" s="228">
        <v>80</v>
      </c>
      <c r="F1980" s="228">
        <v>3200</v>
      </c>
      <c r="G1980" s="560">
        <v>0.58895100000000011</v>
      </c>
      <c r="H1980" s="561">
        <v>382.81815000000006</v>
      </c>
      <c r="I1980" s="561">
        <v>296.65461870000001</v>
      </c>
      <c r="J1980" s="562">
        <v>1728.3356046000004</v>
      </c>
      <c r="K1980" s="561">
        <v>144.02796705000003</v>
      </c>
      <c r="L1980" s="561">
        <v>288.05593410000006</v>
      </c>
      <c r="M1980" s="813">
        <v>260.11020915000006</v>
      </c>
      <c r="N1980" s="561">
        <v>3018.1382946000003</v>
      </c>
      <c r="O1980" s="562">
        <v>125.75576227500001</v>
      </c>
      <c r="P1980" s="561">
        <v>251.51152455000002</v>
      </c>
      <c r="Q1980" s="813">
        <v>223.56579960000008</v>
      </c>
      <c r="R1980" s="561">
        <v>3869.4080700000004</v>
      </c>
      <c r="S1980" s="561">
        <v>107.48355750000002</v>
      </c>
      <c r="T1980" s="813"/>
      <c r="U1980" s="561">
        <v>214.96711500000004</v>
      </c>
      <c r="V1980" s="611"/>
      <c r="W1980" s="4"/>
      <c r="X1980" s="89"/>
      <c r="Y1980" s="53"/>
      <c r="Z1980" s="918"/>
      <c r="AA1980" s="7"/>
      <c r="AB1980" s="613"/>
      <c r="AC1980" s="613"/>
      <c r="AD1980" s="613"/>
      <c r="AE1980" s="613"/>
      <c r="AF1980" s="613"/>
      <c r="AG1980" s="613"/>
      <c r="AH1980" s="613"/>
      <c r="AI1980" s="613"/>
      <c r="AJ1980" s="613"/>
      <c r="AK1980" s="613"/>
      <c r="AL1980" s="613"/>
    </row>
    <row r="1981" spans="1:38">
      <c r="A1981" s="33"/>
      <c r="B1981" s="605" t="s">
        <v>846</v>
      </c>
      <c r="C1981" s="228">
        <v>16</v>
      </c>
      <c r="D1981" s="228">
        <v>64</v>
      </c>
      <c r="E1981" s="228">
        <v>100</v>
      </c>
      <c r="F1981" s="228">
        <v>6400</v>
      </c>
      <c r="G1981" s="560">
        <v>1.1779020000000002</v>
      </c>
      <c r="H1981" s="561">
        <v>765.63630000000012</v>
      </c>
      <c r="I1981" s="561">
        <v>593.30923740000003</v>
      </c>
      <c r="J1981" s="562">
        <v>3456.6712092000007</v>
      </c>
      <c r="K1981" s="561">
        <v>288.05593410000006</v>
      </c>
      <c r="L1981" s="561">
        <v>576.11186820000012</v>
      </c>
      <c r="M1981" s="813">
        <v>520.22041830000012</v>
      </c>
      <c r="N1981" s="561">
        <v>6036.2765892000007</v>
      </c>
      <c r="O1981" s="562">
        <v>251.51152455000002</v>
      </c>
      <c r="P1981" s="561">
        <v>503.02304910000004</v>
      </c>
      <c r="Q1981" s="813">
        <v>447.13159920000015</v>
      </c>
      <c r="R1981" s="561">
        <v>7738.8161400000008</v>
      </c>
      <c r="S1981" s="561">
        <v>214.96711500000004</v>
      </c>
      <c r="T1981" s="813"/>
      <c r="U1981" s="561">
        <v>429.93423000000007</v>
      </c>
      <c r="V1981" s="611"/>
      <c r="W1981" s="4"/>
      <c r="X1981" s="89"/>
      <c r="Y1981" s="53"/>
      <c r="Z1981" s="918"/>
      <c r="AA1981" s="7"/>
      <c r="AB1981" s="613"/>
      <c r="AC1981" s="613"/>
      <c r="AD1981" s="613"/>
      <c r="AE1981" s="613"/>
      <c r="AF1981" s="613"/>
      <c r="AG1981" s="613"/>
      <c r="AH1981" s="613"/>
      <c r="AI1981" s="613"/>
      <c r="AJ1981" s="613"/>
      <c r="AK1981" s="613"/>
      <c r="AL1981" s="613"/>
    </row>
    <row r="1982" spans="1:38">
      <c r="A1982" s="33"/>
      <c r="B1982" s="605" t="s">
        <v>1154</v>
      </c>
      <c r="C1982" s="228">
        <v>4</v>
      </c>
      <c r="D1982" s="228">
        <v>8</v>
      </c>
      <c r="E1982" s="228">
        <v>40</v>
      </c>
      <c r="F1982" s="228">
        <v>800</v>
      </c>
      <c r="G1982" s="560">
        <v>0.26551799999999998</v>
      </c>
      <c r="H1982" s="561">
        <v>172.58669999999998</v>
      </c>
      <c r="I1982" s="561">
        <v>133.74141659999998</v>
      </c>
      <c r="J1982" s="562">
        <v>779.18912279999972</v>
      </c>
      <c r="K1982" s="561">
        <v>64.932426899999982</v>
      </c>
      <c r="L1982" s="561">
        <v>129.86485379999996</v>
      </c>
      <c r="M1982" s="813">
        <v>117.26602469999999</v>
      </c>
      <c r="N1982" s="561">
        <v>1360.6735427999997</v>
      </c>
      <c r="O1982" s="562">
        <v>56.694730949999993</v>
      </c>
      <c r="P1982" s="561">
        <v>113.38946189999999</v>
      </c>
      <c r="Q1982" s="813">
        <v>100.7906328</v>
      </c>
      <c r="R1982" s="561">
        <v>1744.45326</v>
      </c>
      <c r="S1982" s="561">
        <v>48.457034999999998</v>
      </c>
      <c r="T1982" s="813"/>
      <c r="U1982" s="561">
        <v>96.914069999999995</v>
      </c>
      <c r="V1982" s="611"/>
      <c r="W1982" s="4"/>
      <c r="X1982" s="89"/>
      <c r="Y1982" s="53"/>
      <c r="Z1982" s="918"/>
      <c r="AA1982" s="7"/>
      <c r="AB1982" s="613"/>
      <c r="AC1982" s="613"/>
      <c r="AD1982" s="613"/>
      <c r="AE1982" s="613"/>
      <c r="AF1982" s="613"/>
      <c r="AG1982" s="613"/>
      <c r="AH1982" s="613"/>
      <c r="AI1982" s="613"/>
      <c r="AJ1982" s="613"/>
      <c r="AK1982" s="613"/>
      <c r="AL1982" s="613"/>
    </row>
    <row r="1983" spans="1:38">
      <c r="A1983" s="33"/>
      <c r="B1983" s="605" t="s">
        <v>1155</v>
      </c>
      <c r="C1983" s="228">
        <v>8</v>
      </c>
      <c r="D1983" s="228">
        <v>16</v>
      </c>
      <c r="E1983" s="228">
        <v>80</v>
      </c>
      <c r="F1983" s="228">
        <v>1600</v>
      </c>
      <c r="G1983" s="560">
        <v>0.53103599999999995</v>
      </c>
      <c r="H1983" s="561">
        <v>345.17339999999996</v>
      </c>
      <c r="I1983" s="561">
        <v>267.48283319999996</v>
      </c>
      <c r="J1983" s="562">
        <v>1558.3782455999994</v>
      </c>
      <c r="K1983" s="561">
        <v>129.86485379999996</v>
      </c>
      <c r="L1983" s="561">
        <v>259.72970759999993</v>
      </c>
      <c r="M1983" s="813">
        <v>234.53204939999998</v>
      </c>
      <c r="N1983" s="561">
        <v>2721.3470855999994</v>
      </c>
      <c r="O1983" s="562">
        <v>113.38946189999999</v>
      </c>
      <c r="P1983" s="561">
        <v>226.77892379999997</v>
      </c>
      <c r="Q1983" s="813">
        <v>201.58126559999999</v>
      </c>
      <c r="R1983" s="561">
        <v>3488.90652</v>
      </c>
      <c r="S1983" s="561">
        <v>96.914069999999995</v>
      </c>
      <c r="T1983" s="813"/>
      <c r="U1983" s="561">
        <v>193.82813999999999</v>
      </c>
      <c r="V1983" s="611"/>
      <c r="W1983" s="4"/>
      <c r="X1983" s="89"/>
      <c r="Y1983" s="53"/>
      <c r="Z1983" s="918"/>
      <c r="AA1983" s="7"/>
      <c r="AB1983" s="613"/>
      <c r="AC1983" s="613"/>
      <c r="AD1983" s="613"/>
      <c r="AE1983" s="613"/>
      <c r="AF1983" s="613"/>
      <c r="AG1983" s="613"/>
      <c r="AH1983" s="613"/>
      <c r="AI1983" s="613"/>
      <c r="AJ1983" s="613"/>
      <c r="AK1983" s="613"/>
      <c r="AL1983" s="613"/>
    </row>
    <row r="1984" spans="1:38">
      <c r="A1984" s="33"/>
      <c r="B1984" s="605" t="s">
        <v>1156</v>
      </c>
      <c r="C1984" s="228">
        <v>16</v>
      </c>
      <c r="D1984" s="228">
        <v>32</v>
      </c>
      <c r="E1984" s="228">
        <v>100</v>
      </c>
      <c r="F1984" s="228">
        <v>3200</v>
      </c>
      <c r="G1984" s="560">
        <v>1.0620719999999999</v>
      </c>
      <c r="H1984" s="561">
        <v>690.35</v>
      </c>
      <c r="I1984" s="561">
        <v>534.96566639999992</v>
      </c>
      <c r="J1984" s="562">
        <v>3116.7564911999989</v>
      </c>
      <c r="K1984" s="561">
        <v>259.72970759999993</v>
      </c>
      <c r="L1984" s="561">
        <v>519.45941519999985</v>
      </c>
      <c r="M1984" s="813">
        <v>469.06409879999995</v>
      </c>
      <c r="N1984" s="561">
        <v>5442.6941711999989</v>
      </c>
      <c r="O1984" s="562">
        <v>226.77892379999997</v>
      </c>
      <c r="P1984" s="561">
        <v>453.55784759999995</v>
      </c>
      <c r="Q1984" s="813">
        <v>403.16253119999999</v>
      </c>
      <c r="R1984" s="561">
        <v>6977.81304</v>
      </c>
      <c r="S1984" s="561">
        <v>193.82813999999999</v>
      </c>
      <c r="T1984" s="813"/>
      <c r="U1984" s="561">
        <v>387.65627999999998</v>
      </c>
      <c r="V1984" s="611"/>
      <c r="W1984" s="4"/>
      <c r="X1984" s="89"/>
      <c r="Y1984" s="53"/>
      <c r="Z1984" s="918"/>
      <c r="AA1984" s="7"/>
      <c r="AB1984" s="613"/>
      <c r="AC1984" s="613"/>
      <c r="AD1984" s="613"/>
      <c r="AE1984" s="613"/>
      <c r="AF1984" s="613"/>
      <c r="AG1984" s="613"/>
      <c r="AH1984" s="613"/>
      <c r="AI1984" s="613"/>
      <c r="AJ1984" s="613"/>
      <c r="AK1984" s="613"/>
      <c r="AL1984" s="613"/>
    </row>
    <row r="1985" spans="1:38">
      <c r="A1985" s="33"/>
      <c r="B1985" s="605" t="s">
        <v>1157</v>
      </c>
      <c r="C1985" s="228">
        <v>32</v>
      </c>
      <c r="D1985" s="228">
        <v>64</v>
      </c>
      <c r="E1985" s="228">
        <v>100</v>
      </c>
      <c r="F1985" s="228">
        <v>10240</v>
      </c>
      <c r="G1985" s="560">
        <v>2.1241439999999998</v>
      </c>
      <c r="H1985" s="561">
        <v>1380.6935999999998</v>
      </c>
      <c r="I1985" s="561">
        <v>1069.9313327999998</v>
      </c>
      <c r="J1985" s="562">
        <v>6233.5129823999978</v>
      </c>
      <c r="K1985" s="561">
        <v>519.45941519999985</v>
      </c>
      <c r="L1985" s="561">
        <v>1038.9188303999997</v>
      </c>
      <c r="M1985" s="813">
        <v>938.12819759999991</v>
      </c>
      <c r="N1985" s="561">
        <v>10885.388342399998</v>
      </c>
      <c r="O1985" s="562">
        <v>453.55784759999995</v>
      </c>
      <c r="P1985" s="561">
        <v>907.11569519999989</v>
      </c>
      <c r="Q1985" s="813">
        <v>806.32506239999998</v>
      </c>
      <c r="R1985" s="561">
        <v>13955.62608</v>
      </c>
      <c r="S1985" s="561">
        <v>387.65627999999998</v>
      </c>
      <c r="T1985" s="813"/>
      <c r="U1985" s="561">
        <v>775.31255999999996</v>
      </c>
      <c r="V1985" s="611"/>
      <c r="W1985" s="4"/>
      <c r="X1985" s="89"/>
      <c r="Y1985" s="53"/>
      <c r="Z1985" s="918"/>
      <c r="AA1985" s="7"/>
      <c r="AB1985" s="613"/>
      <c r="AC1985" s="613"/>
      <c r="AD1985" s="613"/>
      <c r="AE1985" s="613"/>
      <c r="AF1985" s="613"/>
      <c r="AG1985" s="613"/>
      <c r="AH1985" s="613"/>
      <c r="AI1985" s="613"/>
      <c r="AJ1985" s="613"/>
      <c r="AK1985" s="613"/>
      <c r="AL1985" s="613"/>
    </row>
    <row r="1986" spans="1:38">
      <c r="A1986" s="33"/>
      <c r="B1986" s="605" t="s">
        <v>1158</v>
      </c>
      <c r="C1986" s="228">
        <v>2</v>
      </c>
      <c r="D1986" s="228">
        <v>16</v>
      </c>
      <c r="E1986" s="228">
        <v>40</v>
      </c>
      <c r="F1986" s="228">
        <v>1280</v>
      </c>
      <c r="G1986" s="560">
        <v>0.19423800000000002</v>
      </c>
      <c r="H1986" s="561">
        <v>126.25470000000001</v>
      </c>
      <c r="I1986" s="561">
        <v>97.837680599999999</v>
      </c>
      <c r="J1986" s="562">
        <v>570.01083480000011</v>
      </c>
      <c r="K1986" s="561">
        <v>47.500902900000007</v>
      </c>
      <c r="L1986" s="561">
        <v>95.001805800000014</v>
      </c>
      <c r="M1986" s="813">
        <v>85.785212700000002</v>
      </c>
      <c r="N1986" s="561">
        <v>995.3920548000001</v>
      </c>
      <c r="O1986" s="562">
        <v>41.474668950000002</v>
      </c>
      <c r="P1986" s="561">
        <v>82.949337900000003</v>
      </c>
      <c r="Q1986" s="813">
        <v>73.732744800000006</v>
      </c>
      <c r="R1986" s="561">
        <v>1276.1436600000002</v>
      </c>
      <c r="S1986" s="561">
        <v>35.448435000000003</v>
      </c>
      <c r="T1986" s="813"/>
      <c r="U1986" s="561">
        <v>70.896870000000007</v>
      </c>
      <c r="V1986" s="611"/>
      <c r="W1986" s="4"/>
      <c r="X1986" s="89"/>
      <c r="Y1986" s="53"/>
      <c r="Z1986" s="918"/>
      <c r="AA1986" s="7"/>
      <c r="AB1986" s="613"/>
      <c r="AC1986" s="613"/>
      <c r="AD1986" s="613"/>
      <c r="AE1986" s="613"/>
      <c r="AF1986" s="613"/>
      <c r="AG1986" s="613"/>
      <c r="AH1986" s="613"/>
      <c r="AI1986" s="613"/>
      <c r="AJ1986" s="613"/>
      <c r="AK1986" s="613"/>
      <c r="AL1986" s="613"/>
    </row>
    <row r="1987" spans="1:38">
      <c r="A1987" s="33"/>
      <c r="B1987" s="605" t="s">
        <v>1159</v>
      </c>
      <c r="C1987" s="228">
        <v>4</v>
      </c>
      <c r="D1987" s="228">
        <v>32</v>
      </c>
      <c r="E1987" s="228">
        <v>40</v>
      </c>
      <c r="F1987" s="228">
        <v>2560</v>
      </c>
      <c r="G1987" s="560">
        <v>0.38936699999999996</v>
      </c>
      <c r="H1987" s="561">
        <v>253.08854999999997</v>
      </c>
      <c r="I1987" s="561">
        <v>196.12415789999997</v>
      </c>
      <c r="J1987" s="562">
        <v>1142.6363981999998</v>
      </c>
      <c r="K1987" s="561">
        <v>95.219699849999984</v>
      </c>
      <c r="L1987" s="561">
        <v>190.43939969999997</v>
      </c>
      <c r="M1987" s="813">
        <v>171.96393554999997</v>
      </c>
      <c r="N1987" s="561">
        <v>1995.3501281999997</v>
      </c>
      <c r="O1987" s="562">
        <v>83.139588674999985</v>
      </c>
      <c r="P1987" s="561">
        <v>166.27917734999997</v>
      </c>
      <c r="Q1987" s="813">
        <v>147.80371319999998</v>
      </c>
      <c r="R1987" s="561">
        <v>2558.1411899999998</v>
      </c>
      <c r="S1987" s="561">
        <v>71.0594775</v>
      </c>
      <c r="T1987" s="813"/>
      <c r="U1987" s="561">
        <v>142.118955</v>
      </c>
      <c r="V1987" s="611"/>
      <c r="W1987" s="4"/>
      <c r="X1987" s="89"/>
      <c r="Y1987" s="53"/>
      <c r="Z1987" s="918"/>
      <c r="AA1987" s="7"/>
      <c r="AB1987" s="613"/>
      <c r="AC1987" s="613"/>
      <c r="AD1987" s="613"/>
      <c r="AE1987" s="613"/>
      <c r="AF1987" s="613"/>
      <c r="AG1987" s="613"/>
      <c r="AH1987" s="613"/>
      <c r="AI1987" s="613"/>
      <c r="AJ1987" s="613"/>
      <c r="AK1987" s="613"/>
      <c r="AL1987" s="613"/>
    </row>
    <row r="1988" spans="1:38">
      <c r="A1988" s="33"/>
      <c r="B1988" s="605" t="s">
        <v>1160</v>
      </c>
      <c r="C1988" s="228">
        <v>8</v>
      </c>
      <c r="D1988" s="228">
        <v>64</v>
      </c>
      <c r="E1988" s="228">
        <v>80</v>
      </c>
      <c r="F1988" s="228">
        <v>5120</v>
      </c>
      <c r="G1988" s="560">
        <v>0.77784300000000006</v>
      </c>
      <c r="H1988" s="561">
        <v>505.59795000000003</v>
      </c>
      <c r="I1988" s="561">
        <v>391.7995191</v>
      </c>
      <c r="J1988" s="562">
        <v>2282.6580678</v>
      </c>
      <c r="K1988" s="561">
        <v>190.22150564999998</v>
      </c>
      <c r="L1988" s="561">
        <v>380.44301129999997</v>
      </c>
      <c r="M1988" s="813">
        <v>343.53436095000001</v>
      </c>
      <c r="N1988" s="561">
        <v>3986.1342377999999</v>
      </c>
      <c r="O1988" s="562">
        <v>166.08892657499999</v>
      </c>
      <c r="P1988" s="561">
        <v>332.17785314999998</v>
      </c>
      <c r="Q1988" s="813">
        <v>295.26920280000002</v>
      </c>
      <c r="R1988" s="561">
        <v>5110.4285100000006</v>
      </c>
      <c r="S1988" s="561">
        <v>141.95634750000002</v>
      </c>
      <c r="T1988" s="813"/>
      <c r="U1988" s="561">
        <v>283.91269500000004</v>
      </c>
      <c r="V1988" s="611"/>
      <c r="W1988" s="4"/>
      <c r="X1988" s="89"/>
      <c r="Y1988" s="53"/>
      <c r="Z1988" s="918"/>
      <c r="AA1988" s="7"/>
      <c r="AB1988" s="613"/>
      <c r="AC1988" s="613"/>
      <c r="AD1988" s="613"/>
      <c r="AE1988" s="613"/>
      <c r="AF1988" s="613"/>
      <c r="AG1988" s="613"/>
      <c r="AH1988" s="613"/>
      <c r="AI1988" s="613"/>
      <c r="AJ1988" s="613"/>
      <c r="AK1988" s="613"/>
      <c r="AL1988" s="613"/>
    </row>
    <row r="1989" spans="1:38">
      <c r="A1989" s="33"/>
      <c r="B1989" s="605" t="s">
        <v>1161</v>
      </c>
      <c r="C1989" s="228">
        <v>16</v>
      </c>
      <c r="D1989" s="228">
        <v>128</v>
      </c>
      <c r="E1989" s="228">
        <v>100</v>
      </c>
      <c r="F1989" s="228">
        <v>10240</v>
      </c>
      <c r="G1989" s="560">
        <v>1.5556860000000001</v>
      </c>
      <c r="H1989" s="561">
        <v>1011.1959000000001</v>
      </c>
      <c r="I1989" s="561">
        <v>783.5990382</v>
      </c>
      <c r="J1989" s="562">
        <v>4565.3161356000001</v>
      </c>
      <c r="K1989" s="561">
        <v>380.44301129999997</v>
      </c>
      <c r="L1989" s="561">
        <v>760.88602259999993</v>
      </c>
      <c r="M1989" s="813">
        <v>687.06872190000001</v>
      </c>
      <c r="N1989" s="561">
        <v>7972.2684755999999</v>
      </c>
      <c r="O1989" s="562">
        <v>332.17785314999998</v>
      </c>
      <c r="P1989" s="561">
        <v>664.35570629999995</v>
      </c>
      <c r="Q1989" s="813">
        <v>590.53840560000003</v>
      </c>
      <c r="R1989" s="561">
        <v>10220.857020000001</v>
      </c>
      <c r="S1989" s="561">
        <v>283.91269500000004</v>
      </c>
      <c r="T1989" s="813"/>
      <c r="U1989" s="561">
        <v>567.82539000000008</v>
      </c>
      <c r="V1989" s="611"/>
      <c r="W1989" s="4"/>
      <c r="X1989" s="89"/>
      <c r="Y1989" s="53"/>
      <c r="Z1989" s="918"/>
      <c r="AA1989" s="7"/>
      <c r="AB1989" s="613"/>
      <c r="AC1989" s="613"/>
      <c r="AD1989" s="613"/>
      <c r="AE1989" s="613"/>
      <c r="AF1989" s="613"/>
      <c r="AG1989" s="613"/>
      <c r="AH1989" s="613"/>
      <c r="AI1989" s="613"/>
      <c r="AJ1989" s="613"/>
      <c r="AK1989" s="613"/>
      <c r="AL1989" s="613"/>
    </row>
    <row r="1990" spans="1:38">
      <c r="A1990" s="33"/>
      <c r="B1990" s="605" t="s">
        <v>1162</v>
      </c>
      <c r="C1990" s="228">
        <v>32</v>
      </c>
      <c r="D1990" s="228">
        <v>256</v>
      </c>
      <c r="E1990" s="228">
        <v>100</v>
      </c>
      <c r="F1990" s="228">
        <v>20480</v>
      </c>
      <c r="G1990" s="560">
        <v>3.1113720000000002</v>
      </c>
      <c r="H1990" s="561">
        <v>2022.3918000000001</v>
      </c>
      <c r="I1990" s="561">
        <v>1567.1980764</v>
      </c>
      <c r="J1990" s="562">
        <v>9130.6322712000001</v>
      </c>
      <c r="K1990" s="561">
        <v>760.88602259999993</v>
      </c>
      <c r="L1990" s="561">
        <v>1521.7720451999999</v>
      </c>
      <c r="M1990" s="813">
        <v>1374.1374438</v>
      </c>
      <c r="N1990" s="561">
        <v>15944.5369512</v>
      </c>
      <c r="O1990" s="562">
        <v>664.35570629999995</v>
      </c>
      <c r="P1990" s="561">
        <v>1328.7114125999999</v>
      </c>
      <c r="Q1990" s="813">
        <v>1181.0768112000001</v>
      </c>
      <c r="R1990" s="561">
        <v>20441.714040000003</v>
      </c>
      <c r="S1990" s="561">
        <v>567.82539000000008</v>
      </c>
      <c r="T1990" s="813"/>
      <c r="U1990" s="561">
        <v>1135.6507800000002</v>
      </c>
      <c r="V1990" s="611"/>
      <c r="W1990" s="4"/>
      <c r="X1990" s="89"/>
      <c r="Y1990" s="53"/>
      <c r="Z1990" s="918"/>
      <c r="AA1990" s="7"/>
      <c r="AB1990" s="613"/>
      <c r="AC1990" s="613"/>
      <c r="AD1990" s="613"/>
      <c r="AE1990" s="613"/>
      <c r="AF1990" s="613"/>
      <c r="AG1990" s="613"/>
      <c r="AH1990" s="613"/>
      <c r="AI1990" s="613"/>
      <c r="AJ1990" s="613"/>
      <c r="AK1990" s="613"/>
      <c r="AL1990" s="613"/>
    </row>
    <row r="1991" spans="1:38">
      <c r="B1991" s="605" t="s">
        <v>1163</v>
      </c>
      <c r="C1991" s="228">
        <v>4</v>
      </c>
      <c r="D1991" s="228">
        <v>32</v>
      </c>
      <c r="E1991" s="228">
        <v>3350</v>
      </c>
      <c r="F1991" s="228">
        <v>3350</v>
      </c>
      <c r="G1991" s="560">
        <v>0.77</v>
      </c>
      <c r="H1991" s="561">
        <v>500.5</v>
      </c>
      <c r="I1991" s="561">
        <v>387.84899999999999</v>
      </c>
      <c r="J1991" s="562">
        <v>2259.6419999999994</v>
      </c>
      <c r="K1991" s="561">
        <v>188.30349999999996</v>
      </c>
      <c r="L1991" s="561">
        <v>376.60699999999991</v>
      </c>
      <c r="M1991" s="813">
        <v>340.07049999999998</v>
      </c>
      <c r="N1991" s="561">
        <v>3945.9419999999996</v>
      </c>
      <c r="O1991" s="562">
        <v>164.41424999999998</v>
      </c>
      <c r="P1991" s="561">
        <v>328.82849999999996</v>
      </c>
      <c r="Q1991" s="813">
        <v>292.29200000000003</v>
      </c>
      <c r="R1991" s="561">
        <v>5058.9000000000005</v>
      </c>
      <c r="S1991" s="561">
        <v>140.52500000000001</v>
      </c>
      <c r="T1991" s="813"/>
      <c r="U1991" s="561">
        <v>281.05</v>
      </c>
      <c r="V1991" s="611"/>
      <c r="W1991" s="4"/>
      <c r="X1991" s="89"/>
      <c r="Y1991" s="53"/>
      <c r="Z1991" s="918"/>
      <c r="AA1991" s="7"/>
      <c r="AB1991" s="613"/>
      <c r="AC1991" s="613"/>
      <c r="AD1991" s="613"/>
      <c r="AE1991" s="613"/>
      <c r="AF1991" s="613"/>
      <c r="AG1991" s="613"/>
      <c r="AH1991" s="613"/>
      <c r="AI1991" s="613"/>
      <c r="AJ1991" s="613"/>
      <c r="AK1991" s="613"/>
      <c r="AL1991" s="613"/>
    </row>
    <row r="1992" spans="1:38">
      <c r="A1992" s="33"/>
      <c r="B1992" s="605" t="s">
        <v>1164</v>
      </c>
      <c r="C1992" s="228">
        <v>8</v>
      </c>
      <c r="D1992" s="228">
        <v>64</v>
      </c>
      <c r="E1992" s="228">
        <v>6700</v>
      </c>
      <c r="F1992" s="228">
        <v>6700</v>
      </c>
      <c r="G1992" s="560">
        <v>1.53</v>
      </c>
      <c r="H1992" s="561">
        <v>994.5</v>
      </c>
      <c r="I1992" s="561">
        <v>770.66099999999994</v>
      </c>
      <c r="J1992" s="562">
        <v>4489.9380000000001</v>
      </c>
      <c r="K1992" s="561">
        <v>374.16149999999999</v>
      </c>
      <c r="L1992" s="561">
        <v>748.32299999999998</v>
      </c>
      <c r="M1992" s="813">
        <v>675.72450000000003</v>
      </c>
      <c r="N1992" s="561">
        <v>7840.637999999999</v>
      </c>
      <c r="O1992" s="562">
        <v>326.69324999999998</v>
      </c>
      <c r="P1992" s="561">
        <v>653.38649999999996</v>
      </c>
      <c r="Q1992" s="813">
        <v>580.78800000000001</v>
      </c>
      <c r="R1992" s="561">
        <v>10052.1</v>
      </c>
      <c r="S1992" s="561">
        <v>279.22500000000002</v>
      </c>
      <c r="T1992" s="813"/>
      <c r="U1992" s="561">
        <v>558.45000000000005</v>
      </c>
      <c r="V1992" s="611"/>
      <c r="W1992" s="4"/>
      <c r="X1992" s="89"/>
      <c r="Y1992" s="53"/>
      <c r="Z1992" s="918"/>
      <c r="AA1992" s="7"/>
      <c r="AB1992" s="613"/>
      <c r="AC1992" s="613"/>
      <c r="AD1992" s="613"/>
      <c r="AE1992" s="613"/>
      <c r="AF1992" s="613"/>
      <c r="AG1992" s="613"/>
      <c r="AH1992" s="613"/>
      <c r="AI1992" s="613"/>
      <c r="AJ1992" s="613"/>
      <c r="AK1992" s="613"/>
      <c r="AL1992" s="613"/>
    </row>
    <row r="1993" spans="1:38">
      <c r="A1993" s="33"/>
      <c r="B1993" s="605" t="s">
        <v>1165</v>
      </c>
      <c r="C1993" s="228">
        <v>16</v>
      </c>
      <c r="D1993" s="228">
        <v>128</v>
      </c>
      <c r="E1993" s="228">
        <v>13400</v>
      </c>
      <c r="F1993" s="228">
        <v>13400</v>
      </c>
      <c r="G1993" s="560">
        <v>3.07</v>
      </c>
      <c r="H1993" s="561">
        <v>1995.5</v>
      </c>
      <c r="I1993" s="561">
        <v>1546.3589999999997</v>
      </c>
      <c r="J1993" s="562">
        <v>9009.2219999999979</v>
      </c>
      <c r="K1993" s="561">
        <v>750.7684999999999</v>
      </c>
      <c r="L1993" s="561">
        <v>1501.5369999999998</v>
      </c>
      <c r="M1993" s="813">
        <v>1355.8654999999999</v>
      </c>
      <c r="N1993" s="561">
        <v>15732.521999999997</v>
      </c>
      <c r="O1993" s="562">
        <v>655.52174999999988</v>
      </c>
      <c r="P1993" s="561">
        <v>1311.0434999999998</v>
      </c>
      <c r="Q1993" s="813">
        <v>1165.3720000000001</v>
      </c>
      <c r="R1993" s="561">
        <v>20169.899999999998</v>
      </c>
      <c r="S1993" s="561">
        <v>560.27499999999998</v>
      </c>
      <c r="T1993" s="813"/>
      <c r="U1993" s="561">
        <v>1120.55</v>
      </c>
      <c r="V1993" s="611"/>
      <c r="W1993" s="4"/>
      <c r="X1993" s="89"/>
      <c r="Y1993" s="53"/>
      <c r="Z1993" s="918"/>
      <c r="AA1993" s="7"/>
      <c r="AB1993" s="613"/>
      <c r="AC1993" s="613"/>
      <c r="AD1993" s="613"/>
      <c r="AE1993" s="613"/>
      <c r="AF1993" s="613"/>
      <c r="AG1993" s="613"/>
      <c r="AH1993" s="613"/>
      <c r="AI1993" s="613"/>
      <c r="AJ1993" s="613"/>
      <c r="AK1993" s="613"/>
      <c r="AL1993" s="613"/>
    </row>
    <row r="1994" spans="1:38" s="1489" customFormat="1">
      <c r="B1994" s="605" t="s">
        <v>1166</v>
      </c>
      <c r="C1994" s="228">
        <v>32</v>
      </c>
      <c r="D1994" s="228">
        <v>256</v>
      </c>
      <c r="E1994" s="228">
        <v>26800</v>
      </c>
      <c r="F1994" s="228">
        <v>26800</v>
      </c>
      <c r="G1994" s="560">
        <v>6.14</v>
      </c>
      <c r="H1994" s="561">
        <v>3991</v>
      </c>
      <c r="I1994" s="561">
        <v>3092.7179999999994</v>
      </c>
      <c r="J1994" s="562">
        <v>18018.443999999996</v>
      </c>
      <c r="K1994" s="561">
        <v>1501.5369999999998</v>
      </c>
      <c r="L1994" s="561">
        <v>3003.0739999999996</v>
      </c>
      <c r="M1994" s="813">
        <v>2711.7309999999998</v>
      </c>
      <c r="N1994" s="561">
        <v>31465.043999999994</v>
      </c>
      <c r="O1994" s="562">
        <v>1311.0434999999998</v>
      </c>
      <c r="P1994" s="561">
        <v>2622.0869999999995</v>
      </c>
      <c r="Q1994" s="813">
        <v>2330.7440000000001</v>
      </c>
      <c r="R1994" s="561">
        <v>40339.799999999996</v>
      </c>
      <c r="S1994" s="561">
        <v>1120.55</v>
      </c>
      <c r="T1994" s="813"/>
      <c r="U1994" s="561">
        <v>2241.1</v>
      </c>
      <c r="V1994" s="611"/>
      <c r="W1994" s="4"/>
      <c r="X1994" s="89"/>
      <c r="Y1994" s="53"/>
      <c r="Z1994" s="918"/>
      <c r="AA1994" s="7"/>
      <c r="AB1994" s="613"/>
      <c r="AC1994" s="613"/>
      <c r="AD1994" s="613"/>
      <c r="AE1994" s="613"/>
      <c r="AF1994" s="613"/>
      <c r="AG1994" s="613"/>
      <c r="AH1994" s="613"/>
      <c r="AI1994" s="613"/>
      <c r="AJ1994" s="613"/>
      <c r="AK1994" s="613"/>
      <c r="AL1994" s="613"/>
    </row>
    <row r="1995" spans="1:38" s="1489" customFormat="1">
      <c r="B1995" s="4"/>
      <c r="C1995" s="4"/>
      <c r="D1995" s="4"/>
      <c r="E1995" s="612"/>
      <c r="F1995" s="612"/>
      <c r="G1995" s="612"/>
      <c r="H1995" s="4"/>
      <c r="I1995" s="4"/>
      <c r="J1995" s="4"/>
      <c r="K1995" s="4"/>
      <c r="L1995" s="4"/>
      <c r="M1995" s="4"/>
      <c r="N1995" s="4"/>
      <c r="O1995" s="4"/>
      <c r="P1995" s="4"/>
      <c r="Q1995" s="4"/>
      <c r="R1995" s="4"/>
      <c r="S1995" s="4"/>
      <c r="T1995" s="4"/>
      <c r="U1995" s="4"/>
      <c r="V1995" s="4"/>
      <c r="W1995" s="89"/>
      <c r="X1995" s="4"/>
      <c r="Y1995" s="53"/>
      <c r="Z1995" s="918"/>
      <c r="AA1995" s="7"/>
      <c r="AB1995" s="613"/>
      <c r="AC1995" s="613"/>
      <c r="AD1995" s="613"/>
      <c r="AE1995" s="613"/>
      <c r="AF1995" s="613"/>
      <c r="AG1995" s="613"/>
      <c r="AH1995" s="613"/>
      <c r="AI1995" s="613"/>
      <c r="AJ1995" s="613"/>
      <c r="AK1995" s="613"/>
      <c r="AL1995" s="613"/>
    </row>
    <row r="1996" spans="1:38" s="1489" customFormat="1">
      <c r="B1996" s="1926" t="s">
        <v>731</v>
      </c>
      <c r="C1996" s="1927"/>
      <c r="D1996" s="4" t="s">
        <v>147</v>
      </c>
      <c r="E1996" s="612"/>
      <c r="F1996" s="612"/>
      <c r="G1996" s="612"/>
      <c r="H1996" s="4"/>
      <c r="I1996" s="4"/>
      <c r="J1996" s="4"/>
      <c r="K1996" s="4"/>
      <c r="L1996" s="4"/>
      <c r="M1996" s="4"/>
      <c r="N1996" s="4"/>
      <c r="O1996" s="4"/>
      <c r="P1996" s="4"/>
      <c r="Q1996" s="4"/>
      <c r="R1996" s="4"/>
      <c r="S1996" s="4"/>
      <c r="T1996" s="4"/>
      <c r="U1996" s="4"/>
      <c r="V1996" s="4"/>
      <c r="W1996" s="89"/>
      <c r="X1996" s="4"/>
      <c r="Y1996" s="53"/>
      <c r="Z1996" s="295"/>
      <c r="AA1996" s="7"/>
      <c r="AB1996" s="33"/>
      <c r="AC1996" s="33"/>
      <c r="AD1996" s="33"/>
      <c r="AE1996" s="33"/>
      <c r="AF1996" s="33"/>
      <c r="AG1996" s="33"/>
      <c r="AH1996" s="33"/>
      <c r="AI1996" s="33"/>
      <c r="AJ1996" s="33"/>
      <c r="AK1996" s="33"/>
      <c r="AL1996" s="33"/>
    </row>
    <row r="1997" spans="1:38" s="1489" customFormat="1">
      <c r="B1997" s="594" t="s">
        <v>489</v>
      </c>
      <c r="C1997" s="595" t="s">
        <v>160</v>
      </c>
      <c r="D1997" s="112" t="s">
        <v>459</v>
      </c>
      <c r="E1997" s="612"/>
      <c r="F1997" s="305" t="s">
        <v>504</v>
      </c>
      <c r="G1997" s="612"/>
      <c r="H1997" s="4"/>
      <c r="I1997" s="4"/>
      <c r="J1997" s="4"/>
      <c r="K1997" s="4"/>
      <c r="L1997" s="4"/>
      <c r="M1997" s="4"/>
      <c r="N1997" s="4"/>
      <c r="O1997" s="4"/>
      <c r="P1997" s="4"/>
      <c r="Q1997" s="4"/>
      <c r="R1997" s="4"/>
      <c r="S1997" s="4"/>
      <c r="T1997" s="4"/>
      <c r="U1997" s="4"/>
      <c r="V1997" s="4"/>
      <c r="W1997" s="89"/>
      <c r="X1997" s="4"/>
      <c r="Y1997" s="53"/>
      <c r="Z1997" s="295"/>
      <c r="AA1997" s="7"/>
      <c r="AB1997" s="33"/>
      <c r="AC1997" s="33"/>
      <c r="AD1997" s="33"/>
      <c r="AE1997" s="33"/>
      <c r="AF1997" s="33"/>
      <c r="AG1997" s="33"/>
      <c r="AH1997" s="33"/>
      <c r="AI1997" s="33"/>
      <c r="AJ1997" s="33"/>
      <c r="AK1997" s="33"/>
      <c r="AL1997" s="33"/>
    </row>
    <row r="1998" spans="1:38" s="1489" customFormat="1">
      <c r="B1998" s="614" t="s">
        <v>490</v>
      </c>
      <c r="C1998" s="543" t="s">
        <v>503</v>
      </c>
      <c r="D1998" s="635">
        <v>1.4800000000000001E-2</v>
      </c>
      <c r="E1998" s="612"/>
      <c r="F1998" s="612"/>
      <c r="G1998" s="612"/>
      <c r="H1998" s="4"/>
      <c r="I1998" s="4"/>
      <c r="J1998" s="4"/>
      <c r="K1998" s="4"/>
      <c r="L1998" s="4"/>
      <c r="M1998" s="4"/>
      <c r="N1998" s="4"/>
      <c r="O1998" s="4"/>
      <c r="P1998" s="4"/>
      <c r="Q1998" s="4"/>
      <c r="R1998" s="4"/>
      <c r="S1998" s="4"/>
      <c r="T1998" s="4"/>
      <c r="U1998" s="4"/>
      <c r="V1998" s="4"/>
      <c r="W1998" s="89"/>
      <c r="X1998" s="4"/>
      <c r="Y1998" s="53"/>
      <c r="Z1998" s="295"/>
      <c r="AA1998" s="7"/>
      <c r="AB1998" s="33"/>
      <c r="AC1998" s="33"/>
      <c r="AD1998" s="33"/>
      <c r="AE1998" s="33"/>
      <c r="AF1998" s="33"/>
      <c r="AG1998" s="33"/>
      <c r="AH1998" s="33"/>
      <c r="AI1998" s="33"/>
      <c r="AJ1998" s="33"/>
      <c r="AK1998" s="33"/>
      <c r="AL1998" s="33"/>
    </row>
    <row r="1999" spans="1:38" s="1489" customFormat="1">
      <c r="B1999" s="615" t="s">
        <v>494</v>
      </c>
      <c r="C1999" s="543" t="s">
        <v>492</v>
      </c>
      <c r="D1999" s="635">
        <v>1.43E-2</v>
      </c>
      <c r="E1999" s="612"/>
      <c r="F1999" s="612"/>
      <c r="G1999" s="612"/>
      <c r="H1999" s="4"/>
      <c r="I1999" s="4"/>
      <c r="J1999" s="4"/>
      <c r="K1999" s="4"/>
      <c r="L1999" s="4"/>
      <c r="M1999" s="4"/>
      <c r="N1999" s="4"/>
      <c r="O1999" s="4"/>
      <c r="P1999" s="4"/>
      <c r="Q1999" s="4"/>
      <c r="R1999" s="4"/>
      <c r="S1999" s="4"/>
      <c r="T1999" s="4"/>
      <c r="U1999" s="4"/>
      <c r="V1999" s="4"/>
      <c r="W1999" s="89"/>
      <c r="X1999" s="4"/>
      <c r="Y1999" s="53"/>
      <c r="Z1999" s="295"/>
      <c r="AA1999" s="7"/>
      <c r="AB1999" s="33"/>
      <c r="AC1999" s="33"/>
      <c r="AD1999" s="33"/>
      <c r="AE1999" s="33"/>
      <c r="AF1999" s="33"/>
      <c r="AG1999" s="33"/>
      <c r="AH1999" s="33"/>
      <c r="AI1999" s="33"/>
      <c r="AJ1999" s="33"/>
      <c r="AK1999" s="33"/>
      <c r="AL1999" s="33"/>
    </row>
    <row r="2000" spans="1:38">
      <c r="A2000" s="33"/>
      <c r="B2000" s="615" t="s">
        <v>491</v>
      </c>
      <c r="C2000" s="538" t="s">
        <v>493</v>
      </c>
      <c r="D2000" s="635">
        <v>2.0500000000000001E-2</v>
      </c>
      <c r="E2000" s="612"/>
      <c r="F2000" s="305" t="s">
        <v>505</v>
      </c>
      <c r="G2000" s="612"/>
      <c r="Y2000" s="53"/>
      <c r="Z2000" s="295"/>
      <c r="AA2000" s="7"/>
    </row>
    <row r="2001" spans="1:38">
      <c r="A2001" s="33"/>
      <c r="E2001" s="612"/>
      <c r="F2001" s="612"/>
      <c r="G2001" s="612"/>
      <c r="Y2001" s="53"/>
      <c r="Z2001" s="295"/>
      <c r="AA2001" s="7"/>
    </row>
    <row r="2002" spans="1:38" s="1185" customFormat="1">
      <c r="B2002" s="1926" t="s">
        <v>650</v>
      </c>
      <c r="C2002" s="1927"/>
      <c r="D2002" s="4" t="s">
        <v>147</v>
      </c>
      <c r="E2002" s="612"/>
      <c r="F2002" s="612"/>
      <c r="G2002" s="612"/>
      <c r="H2002" s="4"/>
      <c r="I2002" s="4"/>
      <c r="J2002" s="4"/>
      <c r="K2002" s="4"/>
      <c r="L2002" s="4"/>
      <c r="M2002" s="4"/>
      <c r="N2002" s="4"/>
      <c r="O2002" s="4"/>
      <c r="P2002" s="4"/>
      <c r="Q2002" s="4"/>
      <c r="R2002" s="4"/>
      <c r="S2002" s="4"/>
      <c r="T2002" s="4"/>
      <c r="U2002" s="4"/>
      <c r="V2002" s="4"/>
      <c r="W2002" s="89"/>
      <c r="X2002" s="4"/>
      <c r="Y2002" s="53"/>
      <c r="Z2002" s="295"/>
      <c r="AA2002" s="7"/>
      <c r="AB2002" s="33"/>
      <c r="AC2002" s="33"/>
      <c r="AD2002" s="33"/>
      <c r="AE2002" s="33"/>
      <c r="AF2002" s="33"/>
      <c r="AG2002" s="33"/>
      <c r="AH2002" s="33"/>
      <c r="AI2002" s="33"/>
      <c r="AJ2002" s="33"/>
      <c r="AK2002" s="33"/>
      <c r="AL2002" s="33"/>
    </row>
    <row r="2003" spans="1:38" s="1185" customFormat="1">
      <c r="B2003" s="594" t="s">
        <v>489</v>
      </c>
      <c r="C2003" s="595" t="s">
        <v>160</v>
      </c>
      <c r="D2003" s="112" t="s">
        <v>459</v>
      </c>
      <c r="E2003" s="612"/>
      <c r="F2003" s="612"/>
      <c r="G2003" s="612"/>
      <c r="H2003" s="4"/>
      <c r="I2003" s="4"/>
      <c r="J2003" s="4"/>
      <c r="K2003" s="4"/>
      <c r="L2003" s="4"/>
      <c r="M2003" s="4"/>
      <c r="N2003" s="4"/>
      <c r="O2003" s="4"/>
      <c r="P2003" s="4"/>
      <c r="Q2003" s="4"/>
      <c r="R2003" s="4"/>
      <c r="S2003" s="4"/>
      <c r="T2003" s="4"/>
      <c r="U2003" s="4"/>
      <c r="V2003" s="4"/>
      <c r="W2003" s="89"/>
      <c r="X2003" s="4"/>
      <c r="Y2003" s="53"/>
      <c r="Z2003" s="295"/>
      <c r="AA2003" s="7"/>
      <c r="AB2003" s="33"/>
      <c r="AC2003" s="33"/>
      <c r="AD2003" s="33"/>
      <c r="AE2003" s="33"/>
      <c r="AF2003" s="33"/>
      <c r="AG2003" s="33"/>
      <c r="AH2003" s="33"/>
      <c r="AI2003" s="33"/>
      <c r="AJ2003" s="33"/>
      <c r="AK2003" s="33"/>
      <c r="AL2003" s="33"/>
    </row>
    <row r="2004" spans="1:38" s="1185" customFormat="1">
      <c r="B2004" s="636" t="s">
        <v>496</v>
      </c>
      <c r="C2004" s="543" t="s">
        <v>495</v>
      </c>
      <c r="D2004" s="561">
        <v>0.08</v>
      </c>
      <c r="E2004" s="612"/>
      <c r="F2004" s="612"/>
      <c r="G2004" s="612"/>
      <c r="H2004" s="4"/>
      <c r="I2004" s="4"/>
      <c r="J2004" s="4"/>
      <c r="K2004" s="4"/>
      <c r="L2004" s="4"/>
      <c r="M2004" s="4"/>
      <c r="N2004" s="4"/>
      <c r="O2004" s="4"/>
      <c r="P2004" s="4"/>
      <c r="Q2004" s="4"/>
      <c r="R2004" s="4"/>
      <c r="S2004" s="4"/>
      <c r="T2004" s="4"/>
      <c r="U2004" s="4"/>
      <c r="V2004" s="4"/>
      <c r="W2004" s="89"/>
      <c r="X2004" s="4"/>
      <c r="Y2004" s="53"/>
      <c r="Z2004" s="1919" t="s">
        <v>851</v>
      </c>
      <c r="AA2004" s="7"/>
      <c r="AB2004" s="33"/>
      <c r="AC2004" s="33"/>
      <c r="AD2004" s="33"/>
      <c r="AE2004" s="33"/>
      <c r="AF2004" s="33"/>
      <c r="AG2004" s="33"/>
      <c r="AH2004" s="33"/>
      <c r="AI2004" s="33"/>
      <c r="AJ2004" s="33"/>
      <c r="AK2004" s="33"/>
      <c r="AL2004" s="33"/>
    </row>
    <row r="2005" spans="1:38">
      <c r="A2005" s="33"/>
      <c r="B2005" s="637" t="s">
        <v>497</v>
      </c>
      <c r="C2005" s="543" t="s">
        <v>495</v>
      </c>
      <c r="D2005" s="561">
        <v>0.49</v>
      </c>
      <c r="E2005" s="612"/>
      <c r="F2005" s="612"/>
      <c r="G2005" s="612"/>
      <c r="Y2005" s="53"/>
      <c r="Z2005" s="1919"/>
      <c r="AA2005" s="7"/>
    </row>
    <row r="2006" spans="1:38" s="1185" customFormat="1">
      <c r="B2006" s="637" t="s">
        <v>498</v>
      </c>
      <c r="C2006" s="543" t="s">
        <v>495</v>
      </c>
      <c r="D2006" s="561">
        <v>0.82</v>
      </c>
      <c r="E2006" s="33"/>
      <c r="F2006" s="33"/>
      <c r="G2006" s="33"/>
      <c r="H2006" s="33"/>
      <c r="I2006" s="33"/>
      <c r="J2006" s="33"/>
      <c r="K2006" s="33"/>
      <c r="L2006" s="33"/>
      <c r="M2006" s="33"/>
      <c r="N2006" s="33"/>
      <c r="O2006" s="33"/>
      <c r="P2006" s="33"/>
      <c r="Q2006" s="33"/>
      <c r="R2006" s="33"/>
      <c r="S2006" s="33"/>
      <c r="T2006" s="1405"/>
      <c r="U2006" s="613"/>
      <c r="W2006" s="33"/>
      <c r="X2006" s="33"/>
      <c r="Y2006" s="53"/>
      <c r="Z2006" s="790"/>
      <c r="AA2006" s="7"/>
      <c r="AB2006" s="33"/>
      <c r="AC2006" s="33"/>
      <c r="AD2006" s="33"/>
      <c r="AE2006" s="33"/>
      <c r="AF2006" s="33"/>
      <c r="AG2006" s="33"/>
      <c r="AH2006" s="33"/>
      <c r="AI2006" s="33"/>
      <c r="AJ2006" s="33"/>
      <c r="AK2006" s="33"/>
      <c r="AL2006" s="33"/>
    </row>
    <row r="2007" spans="1:38">
      <c r="A2007" s="33"/>
      <c r="Y2007" s="53"/>
      <c r="Z2007" s="790"/>
      <c r="AA2007" s="7"/>
    </row>
    <row r="2008" spans="1:38">
      <c r="A2008" s="33"/>
      <c r="B2008" s="1926" t="s">
        <v>653</v>
      </c>
      <c r="C2008" s="1927"/>
      <c r="D2008" s="4" t="s">
        <v>147</v>
      </c>
      <c r="E2008" s="33"/>
      <c r="F2008" s="33"/>
      <c r="G2008" s="33"/>
      <c r="H2008" s="33"/>
      <c r="I2008" s="33"/>
      <c r="J2008" s="33"/>
      <c r="K2008" s="33"/>
      <c r="L2008" s="33"/>
      <c r="M2008" s="33"/>
      <c r="N2008" s="33"/>
      <c r="O2008" s="33"/>
      <c r="P2008" s="33"/>
      <c r="Q2008" s="33"/>
      <c r="R2008" s="33"/>
      <c r="S2008" s="33"/>
      <c r="T2008" s="1405"/>
      <c r="U2008" s="613"/>
      <c r="V2008" s="1185"/>
      <c r="W2008" s="33"/>
      <c r="X2008" s="33"/>
      <c r="Y2008" s="53"/>
      <c r="Z2008" s="790"/>
      <c r="AA2008" s="7"/>
    </row>
    <row r="2009" spans="1:38">
      <c r="A2009" s="33"/>
      <c r="B2009" s="594" t="s">
        <v>489</v>
      </c>
      <c r="C2009" s="595" t="s">
        <v>160</v>
      </c>
      <c r="D2009" s="112" t="s">
        <v>470</v>
      </c>
      <c r="E2009" s="33">
        <v>1.1200000000000001</v>
      </c>
      <c r="F2009" s="33"/>
      <c r="G2009" s="33"/>
      <c r="H2009" s="33"/>
      <c r="I2009" s="33"/>
      <c r="J2009" s="33"/>
      <c r="K2009" s="33"/>
      <c r="L2009" s="33"/>
      <c r="M2009" s="33"/>
      <c r="N2009" s="33"/>
      <c r="O2009" s="33"/>
      <c r="P2009" s="33"/>
      <c r="Q2009" s="33"/>
      <c r="R2009" s="33"/>
      <c r="S2009" s="33"/>
      <c r="T2009" s="1405"/>
      <c r="U2009" s="613"/>
      <c r="V2009" s="1185"/>
      <c r="W2009" s="33"/>
      <c r="X2009" s="33"/>
      <c r="Y2009" s="53"/>
      <c r="Z2009" s="790"/>
      <c r="AA2009" s="7"/>
    </row>
    <row r="2010" spans="1:38">
      <c r="B2010" s="1894" t="s">
        <v>2784</v>
      </c>
      <c r="C2010" s="1440" t="s">
        <v>499</v>
      </c>
      <c r="D2010" s="1596">
        <v>1.3440000000000001</v>
      </c>
      <c r="E2010" s="1489"/>
      <c r="F2010" s="1489"/>
      <c r="G2010" s="1489"/>
      <c r="H2010" s="1489"/>
      <c r="I2010" s="1489"/>
      <c r="J2010" s="1489"/>
      <c r="K2010" s="1489"/>
      <c r="L2010" s="1489"/>
      <c r="M2010" s="1489"/>
      <c r="N2010" s="1489"/>
      <c r="O2010" s="1489"/>
      <c r="P2010" s="1489"/>
      <c r="Q2010" s="1489"/>
      <c r="R2010" s="1489"/>
      <c r="S2010" s="1489"/>
      <c r="T2010" s="1489"/>
      <c r="U2010" s="1489"/>
      <c r="V2010" s="1489"/>
      <c r="W2010" s="1489"/>
      <c r="X2010" s="1489"/>
      <c r="Y2010" s="1491"/>
      <c r="Z2010" s="790"/>
      <c r="AA2010" s="1493"/>
      <c r="AB2010" s="1489"/>
      <c r="AC2010" s="1489"/>
      <c r="AD2010" s="1489"/>
      <c r="AE2010" s="1489"/>
      <c r="AF2010" s="1489"/>
      <c r="AG2010" s="1489"/>
      <c r="AH2010" s="1489"/>
      <c r="AI2010" s="1489"/>
      <c r="AJ2010" s="1489"/>
      <c r="AK2010" s="1489"/>
      <c r="AL2010" s="1489"/>
    </row>
    <row r="2011" spans="1:38">
      <c r="B2011" s="1894" t="s">
        <v>2785</v>
      </c>
      <c r="C2011" s="1440" t="s">
        <v>499</v>
      </c>
      <c r="D2011" s="1596">
        <v>0.43680000000000008</v>
      </c>
      <c r="E2011" s="1489"/>
      <c r="F2011" s="1489"/>
      <c r="G2011" s="1489"/>
      <c r="H2011" s="1489"/>
      <c r="I2011" s="1489"/>
      <c r="J2011" s="1489"/>
      <c r="K2011" s="1489"/>
      <c r="L2011" s="1489"/>
      <c r="M2011" s="1489"/>
      <c r="N2011" s="1489"/>
      <c r="O2011" s="1489"/>
      <c r="P2011" s="1489"/>
      <c r="Q2011" s="1489"/>
      <c r="R2011" s="1489"/>
      <c r="S2011" s="1489"/>
      <c r="T2011" s="1489"/>
      <c r="U2011" s="1489"/>
      <c r="V2011" s="1489"/>
      <c r="W2011" s="1489"/>
      <c r="X2011" s="1489"/>
      <c r="Y2011" s="1491"/>
      <c r="Z2011" s="790"/>
      <c r="AA2011" s="1493"/>
      <c r="AB2011" s="1489"/>
      <c r="AC2011" s="1489"/>
      <c r="AD2011" s="1489"/>
      <c r="AE2011" s="1489"/>
      <c r="AF2011" s="1489"/>
      <c r="AG2011" s="1489"/>
      <c r="AH2011" s="1489"/>
      <c r="AI2011" s="1489"/>
      <c r="AJ2011" s="1489"/>
      <c r="AK2011" s="1489"/>
      <c r="AL2011" s="1489"/>
    </row>
    <row r="2012" spans="1:38">
      <c r="B2012" s="1894" t="s">
        <v>2786</v>
      </c>
      <c r="C2012" s="1440" t="s">
        <v>499</v>
      </c>
      <c r="D2012" s="1596">
        <v>1.8273136000000001</v>
      </c>
      <c r="E2012" s="33"/>
      <c r="F2012" s="33"/>
      <c r="G2012" s="33"/>
      <c r="H2012" s="33"/>
      <c r="I2012" s="33"/>
      <c r="J2012" s="33"/>
      <c r="K2012" s="33"/>
      <c r="L2012" s="33"/>
      <c r="M2012" s="33"/>
      <c r="N2012" s="33"/>
      <c r="O2012" s="33"/>
      <c r="P2012" s="33"/>
      <c r="Q2012" s="33"/>
      <c r="R2012" s="33"/>
      <c r="S2012" s="33"/>
      <c r="T2012" s="1405"/>
      <c r="U2012" s="613"/>
      <c r="V2012" s="1185"/>
      <c r="W2012" s="33"/>
      <c r="X2012" s="33"/>
      <c r="Y2012" s="53"/>
      <c r="Z2012" s="790"/>
      <c r="AA2012" s="7"/>
    </row>
    <row r="2013" spans="1:38">
      <c r="B2013" s="1894" t="s">
        <v>2787</v>
      </c>
      <c r="C2013" s="1440" t="s">
        <v>499</v>
      </c>
      <c r="D2013" s="1596">
        <v>3.6548008000000007</v>
      </c>
      <c r="E2013" s="33"/>
      <c r="F2013" s="33"/>
      <c r="G2013" s="33"/>
      <c r="H2013" s="33"/>
      <c r="I2013" s="33"/>
      <c r="J2013" s="33"/>
      <c r="K2013" s="33"/>
      <c r="L2013" s="33"/>
      <c r="M2013" s="33"/>
      <c r="N2013" s="33"/>
      <c r="O2013" s="33"/>
      <c r="P2013" s="33"/>
      <c r="Q2013" s="33"/>
      <c r="R2013" s="33"/>
      <c r="S2013" s="33"/>
      <c r="T2013" s="1405"/>
      <c r="U2013" s="613"/>
      <c r="V2013" s="1185"/>
      <c r="W2013" s="33"/>
      <c r="X2013" s="33"/>
      <c r="Y2013" s="53"/>
      <c r="Z2013" s="790"/>
      <c r="AA2013" s="7"/>
    </row>
    <row r="2014" spans="1:38">
      <c r="B2014" s="1894" t="s">
        <v>2788</v>
      </c>
      <c r="C2014" s="1440" t="s">
        <v>499</v>
      </c>
      <c r="D2014" s="1596">
        <v>7.3096016000000015</v>
      </c>
      <c r="E2014" s="1185"/>
      <c r="F2014" s="1185"/>
      <c r="G2014" s="1185"/>
      <c r="H2014" s="1185"/>
      <c r="I2014" s="1185"/>
      <c r="J2014" s="1185"/>
      <c r="K2014" s="1185"/>
      <c r="L2014" s="1185"/>
      <c r="M2014" s="1185"/>
      <c r="N2014" s="1185"/>
      <c r="O2014" s="1185"/>
      <c r="P2014" s="1185"/>
      <c r="Q2014" s="1185"/>
      <c r="R2014" s="1185"/>
      <c r="S2014" s="1185"/>
      <c r="T2014" s="1405"/>
      <c r="U2014" s="1185"/>
      <c r="V2014" s="1185"/>
      <c r="W2014" s="1185"/>
      <c r="X2014" s="1185"/>
      <c r="Y2014" s="1186"/>
      <c r="Z2014" s="790"/>
      <c r="AA2014" s="1187"/>
      <c r="AB2014" s="1185"/>
      <c r="AC2014" s="1185"/>
      <c r="AD2014" s="1185"/>
      <c r="AE2014" s="1185"/>
      <c r="AF2014" s="1185"/>
      <c r="AG2014" s="1185"/>
      <c r="AH2014" s="1185"/>
      <c r="AI2014" s="1185"/>
      <c r="AJ2014" s="1185"/>
      <c r="AK2014" s="1185"/>
      <c r="AL2014" s="1185"/>
    </row>
    <row r="2015" spans="1:38">
      <c r="B2015" s="1753" t="s">
        <v>2789</v>
      </c>
      <c r="C2015" s="1440" t="s">
        <v>499</v>
      </c>
      <c r="D2015" s="1596">
        <v>0.84000000000000008</v>
      </c>
      <c r="E2015" s="1489"/>
      <c r="F2015" s="1489"/>
      <c r="G2015" s="1489"/>
      <c r="H2015" s="1489"/>
      <c r="I2015" s="1489"/>
      <c r="J2015" s="1489"/>
      <c r="K2015" s="1489"/>
      <c r="L2015" s="1489"/>
      <c r="M2015" s="1489"/>
      <c r="N2015" s="1489"/>
      <c r="O2015" s="1489"/>
      <c r="P2015" s="1489"/>
      <c r="Q2015" s="1489"/>
      <c r="R2015" s="1489"/>
      <c r="S2015" s="1489"/>
      <c r="T2015" s="1489"/>
      <c r="U2015" s="1489"/>
      <c r="V2015" s="1489"/>
      <c r="W2015" s="1489"/>
      <c r="X2015" s="1489"/>
      <c r="Y2015" s="1491"/>
      <c r="Z2015" s="790"/>
      <c r="AA2015" s="1493"/>
      <c r="AB2015" s="1489"/>
      <c r="AC2015" s="1489"/>
      <c r="AD2015" s="1489"/>
      <c r="AE2015" s="1489"/>
      <c r="AF2015" s="1489"/>
      <c r="AG2015" s="1489"/>
      <c r="AH2015" s="1489"/>
      <c r="AI2015" s="1489"/>
      <c r="AJ2015" s="1489"/>
      <c r="AK2015" s="1489"/>
      <c r="AL2015" s="1489"/>
    </row>
    <row r="2016" spans="1:38">
      <c r="A2016" s="33"/>
      <c r="B2016" s="1753" t="s">
        <v>2790</v>
      </c>
      <c r="C2016" s="1440" t="s">
        <v>499</v>
      </c>
      <c r="D2016" s="1596">
        <v>1.6688000000000001</v>
      </c>
      <c r="E2016" s="1489"/>
      <c r="F2016" s="1489"/>
      <c r="G2016" s="1489"/>
      <c r="H2016" s="1489"/>
      <c r="I2016" s="1489"/>
      <c r="J2016" s="1489"/>
      <c r="K2016" s="1489"/>
      <c r="L2016" s="1489"/>
      <c r="M2016" s="1489"/>
      <c r="N2016" s="1489"/>
      <c r="O2016" s="1489"/>
      <c r="P2016" s="1489"/>
      <c r="Q2016" s="1489"/>
      <c r="R2016" s="1489"/>
      <c r="S2016" s="1489"/>
      <c r="T2016" s="1489"/>
      <c r="U2016" s="1489"/>
      <c r="V2016" s="1489"/>
      <c r="W2016" s="1489"/>
      <c r="X2016" s="1489"/>
      <c r="Y2016" s="1491"/>
      <c r="Z2016" s="790"/>
      <c r="AA2016" s="1493"/>
      <c r="AB2016" s="1489"/>
      <c r="AC2016" s="1489"/>
      <c r="AD2016" s="1489"/>
      <c r="AE2016" s="1489"/>
      <c r="AF2016" s="1489"/>
      <c r="AG2016" s="1489"/>
      <c r="AH2016" s="1489"/>
      <c r="AI2016" s="1489"/>
      <c r="AJ2016" s="1489"/>
      <c r="AK2016" s="1489"/>
      <c r="AL2016" s="1489"/>
    </row>
    <row r="2017" spans="1:38">
      <c r="A2017" s="33"/>
      <c r="B2017" s="1753" t="s">
        <v>2791</v>
      </c>
      <c r="C2017" s="1440" t="s">
        <v>499</v>
      </c>
      <c r="D2017" s="1596">
        <v>6.6304000000000007</v>
      </c>
      <c r="E2017" s="1489"/>
      <c r="F2017" s="1489"/>
      <c r="G2017" s="1489"/>
      <c r="H2017" s="1489"/>
      <c r="I2017" s="1489"/>
      <c r="J2017" s="1489"/>
      <c r="K2017" s="1489"/>
      <c r="L2017" s="1489"/>
      <c r="M2017" s="1489"/>
      <c r="N2017" s="1489"/>
      <c r="O2017" s="1489"/>
      <c r="P2017" s="1489"/>
      <c r="Q2017" s="1489"/>
      <c r="R2017" s="1489"/>
      <c r="S2017" s="1489"/>
      <c r="T2017" s="1489"/>
      <c r="U2017" s="1489"/>
      <c r="V2017" s="1489"/>
      <c r="W2017" s="1489"/>
      <c r="X2017" s="1489"/>
      <c r="Y2017" s="1491"/>
      <c r="Z2017" s="790"/>
      <c r="AA2017" s="1493"/>
      <c r="AB2017" s="1489"/>
      <c r="AC2017" s="1489"/>
      <c r="AD2017" s="1489"/>
      <c r="AE2017" s="1489"/>
      <c r="AF2017" s="1489"/>
      <c r="AG2017" s="1489"/>
      <c r="AH2017" s="1489"/>
      <c r="AI2017" s="1489"/>
      <c r="AJ2017" s="1489"/>
      <c r="AK2017" s="1489"/>
      <c r="AL2017" s="1489"/>
    </row>
    <row r="2018" spans="1:38">
      <c r="A2018" s="33"/>
      <c r="B2018" s="1753" t="s">
        <v>2792</v>
      </c>
      <c r="C2018" s="1440" t="s">
        <v>499</v>
      </c>
      <c r="D2018" s="1596">
        <v>13.249600000000001</v>
      </c>
      <c r="E2018" s="1489"/>
      <c r="F2018" s="1489"/>
      <c r="G2018" s="1489"/>
      <c r="H2018" s="1489"/>
      <c r="I2018" s="1489"/>
      <c r="J2018" s="1489"/>
      <c r="K2018" s="1489"/>
      <c r="L2018" s="1489"/>
      <c r="M2018" s="1489"/>
      <c r="N2018" s="1489"/>
      <c r="O2018" s="1489"/>
      <c r="P2018" s="1489"/>
      <c r="Q2018" s="1489"/>
      <c r="R2018" s="1489"/>
      <c r="S2018" s="1489"/>
      <c r="T2018" s="1489"/>
      <c r="U2018" s="1489"/>
      <c r="V2018" s="1489"/>
      <c r="W2018" s="1489"/>
      <c r="X2018" s="1489"/>
      <c r="Y2018" s="1491"/>
      <c r="Z2018" s="790"/>
      <c r="AA2018" s="1493"/>
      <c r="AB2018" s="1489"/>
      <c r="AC2018" s="1489"/>
      <c r="AD2018" s="1489"/>
      <c r="AE2018" s="1489"/>
      <c r="AF2018" s="1489"/>
      <c r="AG2018" s="1489"/>
      <c r="AH2018" s="1489"/>
      <c r="AI2018" s="1489"/>
      <c r="AJ2018" s="1489"/>
      <c r="AK2018" s="1489"/>
      <c r="AL2018" s="1489"/>
    </row>
    <row r="2019" spans="1:38">
      <c r="B2019" s="1894" t="s">
        <v>2793</v>
      </c>
      <c r="C2019" s="1440" t="s">
        <v>500</v>
      </c>
      <c r="D2019" s="1596">
        <v>0.115</v>
      </c>
      <c r="E2019" s="1185"/>
      <c r="F2019" s="1185"/>
      <c r="G2019" s="1185"/>
      <c r="H2019" s="1185"/>
      <c r="I2019" s="1185"/>
      <c r="J2019" s="1185"/>
      <c r="K2019" s="1185"/>
      <c r="L2019" s="1185"/>
      <c r="M2019" s="1185"/>
      <c r="N2019" s="1185"/>
      <c r="O2019" s="1185"/>
      <c r="P2019" s="1185"/>
      <c r="Q2019" s="1185"/>
      <c r="R2019" s="1185"/>
      <c r="S2019" s="1185"/>
      <c r="T2019" s="1405"/>
      <c r="U2019" s="1185"/>
      <c r="V2019" s="1185"/>
      <c r="W2019" s="1185"/>
      <c r="X2019" s="1185"/>
      <c r="Y2019" s="1186"/>
      <c r="Z2019" s="790"/>
      <c r="AA2019" s="1187"/>
      <c r="AB2019" s="1185"/>
      <c r="AC2019" s="1185"/>
      <c r="AD2019" s="1185"/>
      <c r="AE2019" s="1185"/>
      <c r="AF2019" s="1185"/>
      <c r="AG2019" s="1185"/>
      <c r="AH2019" s="1185"/>
      <c r="AI2019" s="1185"/>
      <c r="AJ2019" s="1185"/>
      <c r="AK2019" s="1185"/>
      <c r="AL2019" s="1185"/>
    </row>
    <row r="2020" spans="1:38">
      <c r="B2020" s="1894" t="s">
        <v>2794</v>
      </c>
      <c r="C2020" s="538" t="s">
        <v>500</v>
      </c>
      <c r="D2020" s="1596">
        <v>2.12E-2</v>
      </c>
      <c r="E2020" s="1556"/>
      <c r="F2020" s="1185"/>
      <c r="G2020" s="1185"/>
      <c r="H2020" s="1185"/>
      <c r="I2020" s="1185"/>
      <c r="J2020" s="1185"/>
      <c r="K2020" s="1185"/>
      <c r="L2020" s="1185"/>
      <c r="M2020" s="1185"/>
      <c r="N2020" s="1185"/>
      <c r="O2020" s="1185"/>
      <c r="P2020" s="1185"/>
      <c r="Q2020" s="1185"/>
      <c r="R2020" s="1185"/>
      <c r="S2020" s="1185"/>
      <c r="T2020" s="1405"/>
      <c r="U2020" s="1185"/>
      <c r="V2020" s="1185"/>
      <c r="W2020" s="1185"/>
      <c r="X2020" s="1185"/>
      <c r="Y2020" s="1186"/>
      <c r="Z2020" s="790"/>
      <c r="AA2020" s="1187"/>
      <c r="AB2020" s="1185"/>
      <c r="AC2020" s="1185"/>
      <c r="AD2020" s="1185"/>
      <c r="AE2020" s="1185"/>
      <c r="AF2020" s="1185"/>
      <c r="AG2020" s="1185"/>
      <c r="AH2020" s="1185"/>
      <c r="AI2020" s="1185"/>
      <c r="AJ2020" s="1185"/>
      <c r="AK2020" s="1185"/>
      <c r="AL2020" s="1185"/>
    </row>
    <row r="2021" spans="1:38">
      <c r="B2021" s="1490"/>
      <c r="Y2021" s="1186"/>
      <c r="Z2021" s="818"/>
      <c r="AA2021" s="1187"/>
      <c r="AB2021" s="1185"/>
      <c r="AC2021" s="1185"/>
      <c r="AD2021" s="1185"/>
      <c r="AE2021" s="1185"/>
      <c r="AF2021" s="1185"/>
      <c r="AG2021" s="1185"/>
      <c r="AH2021" s="1185"/>
      <c r="AI2021" s="1185"/>
      <c r="AJ2021" s="1185"/>
      <c r="AK2021" s="1185"/>
      <c r="AL2021" s="1185"/>
    </row>
    <row r="2022" spans="1:38">
      <c r="B2022" s="1926" t="s">
        <v>610</v>
      </c>
      <c r="C2022" s="1927"/>
      <c r="D2022" s="4" t="s">
        <v>147</v>
      </c>
      <c r="E2022" s="33"/>
      <c r="F2022" s="33"/>
      <c r="G2022" s="33"/>
      <c r="H2022" s="33"/>
      <c r="I2022" s="33"/>
      <c r="J2022" s="33"/>
      <c r="K2022" s="33"/>
      <c r="L2022" s="33"/>
      <c r="M2022" s="33"/>
      <c r="N2022" s="33"/>
      <c r="O2022" s="33"/>
      <c r="P2022" s="33"/>
      <c r="Q2022" s="33"/>
      <c r="R2022" s="33"/>
      <c r="S2022" s="33"/>
      <c r="T2022" s="1405"/>
      <c r="U2022" s="613"/>
      <c r="V2022" s="1185"/>
      <c r="W2022" s="33"/>
      <c r="X2022" s="33"/>
      <c r="Y2022" s="53"/>
      <c r="Z2022" s="44"/>
      <c r="AA2022" s="7"/>
    </row>
    <row r="2023" spans="1:38" ht="15" thickBot="1">
      <c r="B2023" s="594" t="s">
        <v>489</v>
      </c>
      <c r="C2023" s="595" t="s">
        <v>160</v>
      </c>
      <c r="D2023" s="112" t="s">
        <v>459</v>
      </c>
      <c r="E2023" s="33"/>
      <c r="F2023" s="33"/>
      <c r="G2023" s="33"/>
      <c r="H2023" s="33"/>
      <c r="I2023" s="33"/>
      <c r="J2023" s="33"/>
      <c r="K2023" s="33"/>
      <c r="L2023" s="33"/>
      <c r="M2023" s="33"/>
      <c r="N2023" s="33"/>
      <c r="O2023" s="33"/>
      <c r="P2023" s="33"/>
      <c r="Q2023" s="33"/>
      <c r="R2023" s="33"/>
      <c r="S2023" s="33"/>
      <c r="T2023" s="1405"/>
      <c r="U2023" s="613"/>
      <c r="V2023" s="1185"/>
      <c r="W2023" s="33"/>
      <c r="X2023" s="33"/>
      <c r="Y2023" s="783"/>
      <c r="Z2023" s="603"/>
      <c r="AA2023" s="784"/>
    </row>
    <row r="2024" spans="1:38" s="331" customFormat="1">
      <c r="B2024" s="614" t="s">
        <v>501</v>
      </c>
      <c r="C2024" s="543" t="s">
        <v>502</v>
      </c>
      <c r="D2024" s="609">
        <v>0.80800000000000005</v>
      </c>
      <c r="E2024" s="33"/>
      <c r="F2024" s="33"/>
      <c r="G2024" s="33"/>
      <c r="H2024" s="33"/>
      <c r="I2024" s="33"/>
      <c r="J2024" s="33"/>
      <c r="K2024" s="33"/>
      <c r="L2024" s="33"/>
      <c r="M2024" s="33"/>
      <c r="N2024" s="33"/>
      <c r="O2024" s="33"/>
      <c r="P2024" s="33"/>
      <c r="Q2024" s="33"/>
      <c r="R2024" s="33"/>
      <c r="S2024" s="33"/>
      <c r="T2024" s="1405"/>
      <c r="U2024" s="613"/>
      <c r="V2024" s="1185"/>
      <c r="W2024" s="33"/>
      <c r="X2024" s="33"/>
      <c r="Y2024" s="33"/>
      <c r="Z2024" s="33"/>
      <c r="AA2024" s="33"/>
      <c r="AB2024" s="33"/>
      <c r="AC2024" s="33"/>
      <c r="AD2024" s="33"/>
      <c r="AE2024" s="33"/>
      <c r="AF2024" s="33"/>
      <c r="AG2024" s="33"/>
      <c r="AH2024" s="33"/>
      <c r="AI2024" s="33"/>
      <c r="AJ2024" s="33"/>
      <c r="AK2024" s="33"/>
      <c r="AL2024" s="33"/>
    </row>
    <row r="2025" spans="1:38" s="331" customFormat="1">
      <c r="B2025" s="4"/>
      <c r="C2025" s="4"/>
      <c r="D2025" s="4"/>
      <c r="E2025" s="4"/>
      <c r="F2025" s="4"/>
      <c r="G2025" s="4"/>
      <c r="H2025" s="4"/>
      <c r="I2025" s="4"/>
      <c r="J2025" s="4"/>
      <c r="K2025" s="4"/>
      <c r="L2025" s="4"/>
      <c r="M2025" s="4"/>
      <c r="N2025" s="4"/>
      <c r="O2025" s="4"/>
      <c r="P2025" s="4"/>
      <c r="Q2025" s="4"/>
      <c r="R2025" s="4"/>
      <c r="S2025" s="4"/>
      <c r="T2025" s="4"/>
      <c r="U2025" s="4"/>
      <c r="V2025" s="4"/>
      <c r="W2025" s="89"/>
      <c r="X2025" s="4"/>
      <c r="Y2025" s="39"/>
      <c r="Z2025" s="39"/>
      <c r="AA2025" s="39"/>
      <c r="AB2025" s="33"/>
      <c r="AC2025" s="33"/>
      <c r="AD2025" s="33"/>
      <c r="AE2025" s="33"/>
      <c r="AF2025" s="33"/>
      <c r="AG2025" s="33"/>
      <c r="AH2025" s="33"/>
      <c r="AI2025" s="33"/>
      <c r="AJ2025" s="33"/>
      <c r="AK2025" s="33"/>
      <c r="AL2025" s="33"/>
    </row>
    <row r="2026" spans="1:38" s="331" customFormat="1">
      <c r="B2026" s="1926" t="s">
        <v>720</v>
      </c>
      <c r="C2026" s="1927"/>
      <c r="D2026" s="4" t="s">
        <v>147</v>
      </c>
      <c r="E2026" s="33"/>
      <c r="F2026" s="33"/>
      <c r="G2026" s="33"/>
      <c r="H2026" s="33"/>
      <c r="I2026" s="33"/>
      <c r="J2026" s="33"/>
      <c r="K2026" s="33"/>
      <c r="L2026" s="33"/>
      <c r="M2026" s="33"/>
      <c r="N2026" s="33"/>
      <c r="O2026" s="33"/>
      <c r="P2026" s="33"/>
      <c r="Q2026" s="33"/>
      <c r="R2026" s="33"/>
      <c r="S2026" s="33"/>
      <c r="T2026" s="1405"/>
      <c r="U2026" s="613"/>
      <c r="V2026" s="1185"/>
      <c r="W2026" s="33"/>
      <c r="X2026" s="33"/>
      <c r="Y2026" s="33"/>
      <c r="Z2026" s="33"/>
      <c r="AA2026" s="33"/>
      <c r="AB2026" s="33"/>
      <c r="AC2026" s="33"/>
      <c r="AD2026" s="33"/>
      <c r="AE2026" s="33"/>
      <c r="AF2026" s="33"/>
      <c r="AG2026" s="33"/>
      <c r="AH2026" s="33"/>
      <c r="AI2026" s="33"/>
      <c r="AJ2026" s="33"/>
      <c r="AK2026" s="33"/>
      <c r="AL2026" s="33"/>
    </row>
    <row r="2027" spans="1:38" s="331" customFormat="1">
      <c r="B2027" s="594" t="s">
        <v>489</v>
      </c>
      <c r="C2027" s="595" t="s">
        <v>160</v>
      </c>
      <c r="D2027" s="112" t="s">
        <v>459</v>
      </c>
      <c r="E2027" s="33"/>
      <c r="F2027" s="33"/>
      <c r="G2027" s="33"/>
      <c r="H2027" s="33"/>
      <c r="I2027" s="33"/>
      <c r="J2027" s="33"/>
      <c r="K2027" s="33"/>
      <c r="L2027" s="33"/>
      <c r="M2027" s="33"/>
      <c r="N2027" s="33"/>
      <c r="O2027" s="33"/>
      <c r="P2027" s="33"/>
      <c r="Q2027" s="33"/>
      <c r="R2027" s="33"/>
      <c r="S2027" s="33"/>
      <c r="T2027" s="1405"/>
      <c r="U2027" s="613"/>
      <c r="V2027" s="1185"/>
      <c r="W2027" s="33"/>
      <c r="X2027" s="33"/>
      <c r="Y2027" s="33"/>
      <c r="Z2027" s="33"/>
      <c r="AA2027" s="33"/>
      <c r="AB2027" s="33"/>
      <c r="AC2027" s="33"/>
      <c r="AD2027" s="33"/>
      <c r="AE2027" s="33"/>
      <c r="AF2027" s="33"/>
      <c r="AG2027" s="33"/>
      <c r="AH2027" s="33"/>
      <c r="AI2027" s="33"/>
      <c r="AJ2027" s="33"/>
      <c r="AK2027" s="33"/>
      <c r="AL2027" s="33"/>
    </row>
    <row r="2028" spans="1:38" s="331" customFormat="1">
      <c r="B2028" s="614" t="s">
        <v>651</v>
      </c>
      <c r="C2028" s="543" t="s">
        <v>652</v>
      </c>
      <c r="D2028" s="609">
        <v>9.5000000000000001E-2</v>
      </c>
      <c r="E2028" s="33"/>
      <c r="F2028" s="33"/>
      <c r="G2028" s="33"/>
      <c r="H2028" s="33"/>
      <c r="I2028" s="33"/>
      <c r="J2028" s="33"/>
      <c r="K2028" s="33"/>
      <c r="L2028" s="33"/>
      <c r="M2028" s="33"/>
      <c r="N2028" s="33"/>
      <c r="O2028" s="33"/>
      <c r="P2028" s="33"/>
      <c r="Q2028" s="33"/>
      <c r="R2028" s="33"/>
      <c r="S2028" s="33"/>
      <c r="T2028" s="1405"/>
      <c r="U2028" s="613"/>
      <c r="V2028" s="1185"/>
      <c r="W2028" s="33"/>
      <c r="X2028" s="33"/>
      <c r="Y2028" s="33"/>
      <c r="Z2028" s="33"/>
      <c r="AA2028" s="33"/>
      <c r="AB2028" s="33"/>
      <c r="AC2028" s="33"/>
      <c r="AD2028" s="33"/>
      <c r="AE2028" s="33"/>
      <c r="AF2028" s="33"/>
      <c r="AG2028" s="33"/>
      <c r="AH2028" s="33"/>
      <c r="AI2028" s="33"/>
      <c r="AJ2028" s="33"/>
      <c r="AK2028" s="33"/>
      <c r="AL2028" s="33"/>
    </row>
    <row r="2029" spans="1:38" s="331" customFormat="1">
      <c r="B2029" s="4"/>
      <c r="C2029" s="4"/>
      <c r="D2029" s="4"/>
      <c r="E2029" s="4"/>
      <c r="F2029" s="4"/>
      <c r="G2029" s="4"/>
      <c r="H2029" s="4"/>
      <c r="I2029" s="4"/>
      <c r="J2029" s="4"/>
      <c r="K2029" s="4"/>
      <c r="L2029" s="4"/>
      <c r="M2029" s="4"/>
      <c r="N2029" s="4"/>
      <c r="O2029" s="4"/>
      <c r="P2029" s="4"/>
      <c r="Q2029" s="4"/>
      <c r="R2029" s="4"/>
      <c r="S2029" s="4"/>
      <c r="T2029" s="4"/>
      <c r="U2029" s="4"/>
      <c r="V2029" s="4"/>
      <c r="W2029" s="89"/>
      <c r="X2029" s="4"/>
      <c r="Y2029" s="39"/>
      <c r="Z2029" s="39"/>
      <c r="AA2029" s="39"/>
      <c r="AB2029" s="33"/>
      <c r="AC2029" s="33"/>
      <c r="AD2029" s="33"/>
      <c r="AE2029" s="33"/>
      <c r="AF2029" s="33"/>
      <c r="AG2029" s="33"/>
      <c r="AH2029" s="33"/>
      <c r="AI2029" s="33"/>
      <c r="AJ2029" s="33"/>
      <c r="AK2029" s="33"/>
      <c r="AL2029" s="33"/>
    </row>
    <row r="2030" spans="1:38" s="331" customFormat="1">
      <c r="B2030" s="1926" t="s">
        <v>881</v>
      </c>
      <c r="C2030" s="1927"/>
      <c r="D2030" s="26" t="s">
        <v>147</v>
      </c>
      <c r="E2030" s="42"/>
      <c r="F2030" s="42"/>
      <c r="G2030" s="4"/>
      <c r="H2030" s="89" t="s">
        <v>2513</v>
      </c>
      <c r="I2030" s="4"/>
      <c r="J2030" s="4"/>
      <c r="K2030" s="4"/>
      <c r="L2030" s="4"/>
      <c r="M2030" s="4"/>
      <c r="N2030" s="4"/>
      <c r="O2030" s="4"/>
      <c r="P2030" s="4"/>
      <c r="Q2030" s="4"/>
      <c r="R2030" s="4"/>
      <c r="S2030" s="4"/>
      <c r="T2030" s="4"/>
      <c r="U2030" s="4"/>
      <c r="V2030" s="4"/>
      <c r="W2030" s="89"/>
      <c r="X2030" s="4"/>
      <c r="Y2030" s="39"/>
      <c r="Z2030" s="39"/>
      <c r="AA2030" s="39"/>
      <c r="AB2030" s="33"/>
      <c r="AC2030" s="33"/>
      <c r="AD2030" s="33"/>
      <c r="AE2030" s="33"/>
      <c r="AF2030" s="33"/>
      <c r="AG2030" s="33"/>
      <c r="AH2030" s="33"/>
      <c r="AI2030" s="33"/>
      <c r="AJ2030" s="33"/>
      <c r="AK2030" s="33"/>
      <c r="AL2030" s="33"/>
    </row>
    <row r="2031" spans="1:38" s="331" customFormat="1">
      <c r="B2031" s="544" t="s">
        <v>647</v>
      </c>
      <c r="C2031" s="544" t="s">
        <v>3</v>
      </c>
      <c r="D2031" s="544" t="s">
        <v>472</v>
      </c>
      <c r="E2031" s="544" t="s">
        <v>806</v>
      </c>
      <c r="F2031" s="544" t="s">
        <v>865</v>
      </c>
      <c r="G2031"/>
      <c r="H2031" s="1739" t="s">
        <v>2511</v>
      </c>
      <c r="I2031" s="1739" t="s">
        <v>2512</v>
      </c>
      <c r="J2031"/>
      <c r="K2031" s="4"/>
      <c r="L2031" s="4"/>
      <c r="M2031" s="4"/>
      <c r="N2031" s="4"/>
      <c r="O2031" s="4"/>
      <c r="P2031" s="4"/>
      <c r="Q2031" s="4"/>
      <c r="R2031" s="4"/>
      <c r="S2031" s="4"/>
      <c r="T2031" s="4"/>
      <c r="U2031" s="4"/>
      <c r="V2031" s="4"/>
      <c r="W2031" s="89"/>
      <c r="X2031" s="4"/>
      <c r="Y2031" s="39"/>
      <c r="Z2031" s="39"/>
      <c r="AA2031" s="39"/>
      <c r="AB2031" s="33"/>
      <c r="AC2031" s="33"/>
      <c r="AD2031" s="33"/>
      <c r="AE2031" s="33"/>
      <c r="AF2031" s="33"/>
      <c r="AG2031" s="33"/>
      <c r="AH2031" s="33"/>
      <c r="AI2031" s="33"/>
      <c r="AJ2031" s="33"/>
      <c r="AK2031" s="33"/>
      <c r="AL2031" s="33"/>
    </row>
    <row r="2032" spans="1:38" s="613" customFormat="1">
      <c r="A2032" s="100" t="str">
        <f>_xlfn.CONCAT(B2032," (",C2032," vCPU, ",D2032,"GB RAM)")</f>
        <v>s3.medium.4 (1 vCPU, 4GB RAM)</v>
      </c>
      <c r="B2032" s="616" t="s">
        <v>842</v>
      </c>
      <c r="C2032" s="506">
        <v>1</v>
      </c>
      <c r="D2032" s="506">
        <v>4</v>
      </c>
      <c r="E2032" s="786">
        <v>1.55E-2</v>
      </c>
      <c r="F2032" s="561">
        <v>11.35</v>
      </c>
      <c r="H2032" s="100">
        <f>VLOOKUP(A2032,$B$9:$X$174,6,FALSE)</f>
        <v>3.9399999999999998E-2</v>
      </c>
      <c r="I2032" s="89">
        <f t="shared" ref="I2032:I2047" si="9">VLOOKUP(A2032,$B$9:$X$174,7,FALSE)</f>
        <v>25.64</v>
      </c>
      <c r="J2032"/>
      <c r="K2032"/>
      <c r="L2032"/>
      <c r="M2032" s="4"/>
      <c r="N2032" s="4"/>
      <c r="O2032" s="4"/>
      <c r="P2032" s="4"/>
      <c r="Q2032" s="4"/>
      <c r="R2032" s="4"/>
      <c r="S2032" s="4"/>
      <c r="T2032" s="4"/>
      <c r="U2032" s="4"/>
      <c r="V2032" s="4"/>
      <c r="W2032" s="89"/>
      <c r="X2032" s="4"/>
      <c r="Y2032" s="39"/>
      <c r="Z2032" s="39"/>
      <c r="AA2032" s="39"/>
      <c r="AB2032" s="33"/>
      <c r="AC2032" s="33"/>
      <c r="AD2032" s="33"/>
      <c r="AE2032" s="33"/>
      <c r="AF2032" s="33"/>
      <c r="AG2032" s="33"/>
      <c r="AH2032" s="33"/>
      <c r="AI2032" s="33"/>
      <c r="AJ2032" s="33"/>
      <c r="AK2032" s="33"/>
      <c r="AL2032" s="33"/>
    </row>
    <row r="2033" spans="1:38" s="613" customFormat="1">
      <c r="A2033" s="100" t="str">
        <f t="shared" ref="A2033:A2047" si="10">_xlfn.CONCAT(B2033," (",C2033," vCPU, ",D2033,"GB RAM)")</f>
        <v>s3.large.2 (2 vCPU, 4GB RAM)</v>
      </c>
      <c r="B2033" s="616" t="s">
        <v>838</v>
      </c>
      <c r="C2033" s="506">
        <v>2</v>
      </c>
      <c r="D2033" s="506">
        <v>4</v>
      </c>
      <c r="E2033" s="786">
        <v>3.1099999999999999E-2</v>
      </c>
      <c r="F2033" s="561">
        <v>22.73</v>
      </c>
      <c r="H2033" s="100">
        <f t="shared" ref="H2033:H2047" si="11">VLOOKUP(A2033,$B$9:$X$174,6,FALSE)</f>
        <v>7.9000000000000001E-2</v>
      </c>
      <c r="I2033" s="89">
        <f t="shared" si="9"/>
        <v>51.35</v>
      </c>
      <c r="J2033"/>
      <c r="K2033"/>
      <c r="L2033"/>
      <c r="M2033" s="4"/>
      <c r="N2033" s="4"/>
      <c r="O2033" s="4"/>
      <c r="P2033" s="4"/>
      <c r="Q2033" s="4"/>
      <c r="R2033" s="4"/>
      <c r="S2033" s="4"/>
      <c r="T2033" s="4"/>
      <c r="U2033" s="4"/>
      <c r="V2033" s="4"/>
      <c r="W2033" s="89"/>
      <c r="X2033" s="4"/>
      <c r="Y2033" s="39"/>
      <c r="Z2033" s="39"/>
      <c r="AA2033" s="39"/>
      <c r="AB2033" s="33"/>
      <c r="AC2033" s="33"/>
      <c r="AD2033" s="33"/>
      <c r="AE2033" s="33"/>
      <c r="AF2033" s="33"/>
      <c r="AG2033" s="33"/>
      <c r="AH2033" s="33"/>
      <c r="AI2033" s="33"/>
      <c r="AJ2033" s="33"/>
      <c r="AK2033" s="33"/>
      <c r="AL2033" s="33"/>
    </row>
    <row r="2034" spans="1:38">
      <c r="A2034" s="100" t="str">
        <f t="shared" si="10"/>
        <v>s3.xlarge.2 (4 vCPU, 8GB RAM)</v>
      </c>
      <c r="B2034" s="616" t="s">
        <v>839</v>
      </c>
      <c r="C2034" s="1738">
        <v>4</v>
      </c>
      <c r="D2034" s="506">
        <v>8</v>
      </c>
      <c r="E2034" s="786">
        <v>6.2300000000000001E-2</v>
      </c>
      <c r="F2034" s="561">
        <v>45.51</v>
      </c>
      <c r="H2034" s="100">
        <f t="shared" si="11"/>
        <v>0.15809999999999999</v>
      </c>
      <c r="I2034" s="89">
        <f t="shared" si="9"/>
        <v>102.78</v>
      </c>
    </row>
    <row r="2035" spans="1:38">
      <c r="A2035" s="100" t="str">
        <f t="shared" si="10"/>
        <v>s3.2xlarge.2 (8 vCPU, 16GB RAM)</v>
      </c>
      <c r="B2035" s="616" t="s">
        <v>840</v>
      </c>
      <c r="C2035" s="1738">
        <v>8</v>
      </c>
      <c r="D2035" s="1738">
        <v>16</v>
      </c>
      <c r="E2035" s="786">
        <v>0.12470000000000001</v>
      </c>
      <c r="F2035" s="561">
        <v>91.03</v>
      </c>
      <c r="H2035" s="100">
        <f t="shared" si="11"/>
        <v>0.31640000000000001</v>
      </c>
      <c r="I2035" s="89">
        <f t="shared" si="9"/>
        <v>205.64</v>
      </c>
    </row>
    <row r="2036" spans="1:38">
      <c r="A2036" s="100" t="str">
        <f t="shared" si="10"/>
        <v>s3.large.4 (2 vCPU, 8GB RAM)</v>
      </c>
      <c r="B2036" s="616" t="s">
        <v>843</v>
      </c>
      <c r="C2036" s="1738">
        <v>2</v>
      </c>
      <c r="D2036" s="1738">
        <v>8</v>
      </c>
      <c r="E2036" s="786">
        <v>3.4599999999999999E-2</v>
      </c>
      <c r="F2036" s="561">
        <v>25.29</v>
      </c>
      <c r="H2036" s="100">
        <f t="shared" si="11"/>
        <v>8.7900000000000006E-2</v>
      </c>
      <c r="I2036" s="89">
        <f t="shared" si="9"/>
        <v>57.11</v>
      </c>
    </row>
    <row r="2037" spans="1:38">
      <c r="A2037" s="100" t="str">
        <f t="shared" si="10"/>
        <v>s3.xlarge.4 (4 vCPU, 16GB RAM)</v>
      </c>
      <c r="B2037" s="616" t="s">
        <v>844</v>
      </c>
      <c r="C2037" s="1738">
        <v>4</v>
      </c>
      <c r="D2037" s="506">
        <v>16</v>
      </c>
      <c r="E2037" s="786">
        <v>6.93E-2</v>
      </c>
      <c r="F2037" s="561">
        <v>50.58</v>
      </c>
      <c r="H2037" s="100">
        <f t="shared" si="11"/>
        <v>0.17580000000000001</v>
      </c>
      <c r="I2037" s="89">
        <f t="shared" si="9"/>
        <v>114.29</v>
      </c>
    </row>
    <row r="2038" spans="1:38">
      <c r="A2038" s="100" t="str">
        <f t="shared" si="10"/>
        <v>s3.2xlarge.4 (8 vCPU, 32GB RAM)</v>
      </c>
      <c r="B2038" s="616" t="s">
        <v>845</v>
      </c>
      <c r="C2038" s="506">
        <v>8</v>
      </c>
      <c r="D2038" s="506">
        <v>32</v>
      </c>
      <c r="E2038" s="786">
        <v>0.1386</v>
      </c>
      <c r="F2038" s="561">
        <v>101.17</v>
      </c>
      <c r="H2038" s="100">
        <f t="shared" si="11"/>
        <v>0.35170000000000001</v>
      </c>
      <c r="I2038" s="89">
        <f t="shared" si="9"/>
        <v>228.59</v>
      </c>
    </row>
    <row r="2039" spans="1:38">
      <c r="A2039" s="100" t="str">
        <f t="shared" si="10"/>
        <v>s3.4xlarge.4 (16 vCPU, 64GB RAM)</v>
      </c>
      <c r="B2039" s="616" t="s">
        <v>846</v>
      </c>
      <c r="C2039" s="506">
        <v>16</v>
      </c>
      <c r="D2039" s="506">
        <v>64</v>
      </c>
      <c r="E2039" s="786">
        <v>0.2772</v>
      </c>
      <c r="F2039" s="561">
        <v>202.35</v>
      </c>
      <c r="H2039" s="100">
        <f t="shared" si="11"/>
        <v>0.70320000000000005</v>
      </c>
      <c r="I2039" s="89">
        <f t="shared" si="9"/>
        <v>457.1</v>
      </c>
    </row>
    <row r="2040" spans="1:38">
      <c r="A2040" s="100" t="str">
        <f t="shared" si="10"/>
        <v>c6.large.4 (2 vCPU, 8GB RAM)</v>
      </c>
      <c r="B2040" s="1154" t="s">
        <v>1357</v>
      </c>
      <c r="C2040" s="816">
        <v>2</v>
      </c>
      <c r="D2040" s="816">
        <v>8</v>
      </c>
      <c r="E2040" s="786">
        <v>4.9950000000000008E-2</v>
      </c>
      <c r="F2040" s="1153">
        <v>36.463500000000003</v>
      </c>
      <c r="H2040" s="100">
        <f t="shared" si="11"/>
        <v>0.1119</v>
      </c>
      <c r="I2040" s="89">
        <f t="shared" si="9"/>
        <v>72.73</v>
      </c>
      <c r="Y2040" s="331"/>
      <c r="Z2040" s="331"/>
      <c r="AA2040" s="331"/>
      <c r="AB2040" s="331"/>
      <c r="AC2040" s="331"/>
      <c r="AD2040" s="331"/>
      <c r="AE2040" s="331"/>
      <c r="AF2040" s="331"/>
      <c r="AG2040" s="331"/>
      <c r="AH2040" s="331"/>
      <c r="AI2040" s="331"/>
      <c r="AJ2040" s="331"/>
      <c r="AK2040" s="331"/>
      <c r="AL2040" s="331"/>
    </row>
    <row r="2041" spans="1:38">
      <c r="A2041" s="100" t="str">
        <f t="shared" si="10"/>
        <v>c6.xlarge.4 (4 vCPU, 16GB RAM)</v>
      </c>
      <c r="B2041" s="1154" t="s">
        <v>1358</v>
      </c>
      <c r="C2041" s="816">
        <v>4</v>
      </c>
      <c r="D2041" s="816">
        <v>16</v>
      </c>
      <c r="E2041" s="786">
        <v>9.9900000000000017E-2</v>
      </c>
      <c r="F2041" s="1153">
        <v>72.927000000000007</v>
      </c>
      <c r="H2041" s="100">
        <f t="shared" si="11"/>
        <v>0.2238</v>
      </c>
      <c r="I2041" s="89">
        <f t="shared" si="9"/>
        <v>145.44999999999999</v>
      </c>
      <c r="Y2041" s="331"/>
      <c r="Z2041" s="331"/>
      <c r="AA2041" s="331"/>
      <c r="AB2041" s="331"/>
      <c r="AC2041" s="331"/>
      <c r="AD2041" s="331"/>
      <c r="AE2041" s="331"/>
      <c r="AF2041" s="331"/>
      <c r="AG2041" s="331"/>
      <c r="AH2041" s="331"/>
      <c r="AI2041" s="331"/>
      <c r="AJ2041" s="331"/>
      <c r="AK2041" s="331"/>
      <c r="AL2041" s="331"/>
    </row>
    <row r="2042" spans="1:38">
      <c r="A2042" s="100" t="str">
        <f t="shared" si="10"/>
        <v>c6.2xlarge.4 (8 vCPU, 32GB RAM)</v>
      </c>
      <c r="B2042" s="1154" t="s">
        <v>1359</v>
      </c>
      <c r="C2042" s="816">
        <v>8</v>
      </c>
      <c r="D2042" s="816">
        <v>32</v>
      </c>
      <c r="E2042" s="786">
        <v>0.19980000000000003</v>
      </c>
      <c r="F2042" s="1153">
        <v>145.85400000000001</v>
      </c>
      <c r="H2042" s="100">
        <f t="shared" si="11"/>
        <v>0.4476</v>
      </c>
      <c r="I2042" s="89">
        <f t="shared" si="9"/>
        <v>290.91000000000003</v>
      </c>
      <c r="Y2042" s="331"/>
      <c r="Z2042" s="331"/>
      <c r="AA2042" s="331"/>
      <c r="AB2042" s="331"/>
      <c r="AC2042" s="331"/>
      <c r="AD2042" s="331"/>
      <c r="AE2042" s="331"/>
      <c r="AF2042" s="331"/>
      <c r="AG2042" s="331"/>
      <c r="AH2042" s="331"/>
      <c r="AI2042" s="331"/>
      <c r="AJ2042" s="331"/>
      <c r="AK2042" s="331"/>
      <c r="AL2042" s="331"/>
    </row>
    <row r="2043" spans="1:38">
      <c r="A2043" s="100" t="str">
        <f t="shared" si="10"/>
        <v>c6.4xlarge.4 (16 vCPU, 64GB RAM)</v>
      </c>
      <c r="B2043" s="1154" t="s">
        <v>1360</v>
      </c>
      <c r="C2043" s="816">
        <v>16</v>
      </c>
      <c r="D2043" s="816">
        <v>64</v>
      </c>
      <c r="E2043" s="786">
        <v>0.29969999999999997</v>
      </c>
      <c r="F2043" s="1153">
        <v>218.78099999999998</v>
      </c>
      <c r="H2043" s="100">
        <f t="shared" si="11"/>
        <v>0.89500000000000002</v>
      </c>
      <c r="I2043" s="89">
        <f t="shared" si="9"/>
        <v>581.74</v>
      </c>
      <c r="Y2043" s="331"/>
      <c r="Z2043" s="331"/>
      <c r="AA2043" s="331"/>
      <c r="AB2043" s="331"/>
      <c r="AC2043" s="331"/>
      <c r="AD2043" s="331"/>
      <c r="AE2043" s="331"/>
      <c r="AF2043" s="331"/>
      <c r="AG2043" s="331"/>
      <c r="AH2043" s="331"/>
      <c r="AI2043" s="331"/>
      <c r="AJ2043" s="331"/>
      <c r="AK2043" s="331"/>
      <c r="AL2043" s="331"/>
    </row>
    <row r="2044" spans="1:38" s="613" customFormat="1">
      <c r="A2044" s="100" t="str">
        <f t="shared" si="10"/>
        <v>c6.large.2 (2 vCPU, 4GB RAM)</v>
      </c>
      <c r="B2044" s="1154" t="s">
        <v>1361</v>
      </c>
      <c r="C2044" s="816">
        <v>2</v>
      </c>
      <c r="D2044" s="816">
        <v>4</v>
      </c>
      <c r="E2044" s="786">
        <v>4.7899999999999998E-2</v>
      </c>
      <c r="F2044" s="1153">
        <v>34.966999999999999</v>
      </c>
      <c r="H2044" s="100">
        <f t="shared" si="11"/>
        <v>0.10100000000000001</v>
      </c>
      <c r="I2044" s="89">
        <f t="shared" si="9"/>
        <v>65.67</v>
      </c>
      <c r="J2044" s="4"/>
      <c r="K2044" s="4"/>
      <c r="L2044" s="4"/>
      <c r="M2044" s="4"/>
      <c r="N2044" s="4"/>
      <c r="O2044" s="4"/>
      <c r="P2044" s="4"/>
      <c r="Q2044" s="4"/>
      <c r="R2044" s="4"/>
      <c r="S2044" s="4"/>
      <c r="T2044" s="4"/>
      <c r="U2044" s="4"/>
      <c r="V2044" s="4"/>
      <c r="W2044" s="89"/>
      <c r="X2044" s="4"/>
      <c r="Y2044" s="331"/>
      <c r="Z2044" s="331"/>
      <c r="AA2044" s="331"/>
      <c r="AB2044" s="331"/>
      <c r="AC2044" s="331"/>
      <c r="AD2044" s="331"/>
      <c r="AE2044" s="331"/>
      <c r="AF2044" s="331"/>
      <c r="AG2044" s="331"/>
      <c r="AH2044" s="331"/>
      <c r="AI2044" s="331"/>
      <c r="AJ2044" s="331"/>
      <c r="AK2044" s="331"/>
      <c r="AL2044" s="331"/>
    </row>
    <row r="2045" spans="1:38" s="613" customFormat="1">
      <c r="A2045" s="100" t="str">
        <f t="shared" si="10"/>
        <v>c6.xlarge.2 (4 vCPU, 8GB RAM)</v>
      </c>
      <c r="B2045" s="1154" t="s">
        <v>1154</v>
      </c>
      <c r="C2045" s="816">
        <v>4</v>
      </c>
      <c r="D2045" s="816">
        <v>8</v>
      </c>
      <c r="E2045" s="786">
        <v>9.5799999999999996E-2</v>
      </c>
      <c r="F2045" s="1153">
        <v>69.933999999999997</v>
      </c>
      <c r="H2045" s="100">
        <f t="shared" si="11"/>
        <v>0.20200000000000001</v>
      </c>
      <c r="I2045" s="89">
        <f t="shared" si="9"/>
        <v>131.33000000000001</v>
      </c>
      <c r="J2045" s="4"/>
      <c r="K2045" s="4"/>
      <c r="L2045" s="4"/>
      <c r="M2045" s="4"/>
      <c r="N2045" s="4"/>
      <c r="O2045" s="4"/>
      <c r="P2045" s="4"/>
      <c r="Q2045" s="4"/>
      <c r="R2045" s="4"/>
      <c r="S2045" s="4"/>
      <c r="T2045" s="4"/>
      <c r="U2045" s="4"/>
      <c r="V2045" s="4"/>
      <c r="W2045" s="89"/>
      <c r="X2045" s="4"/>
      <c r="Y2045" s="331"/>
      <c r="Z2045" s="331"/>
      <c r="AA2045" s="331"/>
      <c r="AB2045" s="331"/>
      <c r="AC2045" s="331"/>
      <c r="AD2045" s="331"/>
      <c r="AE2045" s="331"/>
      <c r="AF2045" s="331"/>
      <c r="AG2045" s="331"/>
      <c r="AH2045" s="331"/>
      <c r="AI2045" s="331"/>
      <c r="AJ2045" s="331"/>
      <c r="AK2045" s="331"/>
      <c r="AL2045" s="331"/>
    </row>
    <row r="2046" spans="1:38" s="613" customFormat="1">
      <c r="A2046" s="100" t="str">
        <f t="shared" si="10"/>
        <v>c6.2xlarge.2 (8 vCPU, 16GB RAM)</v>
      </c>
      <c r="B2046" s="1154" t="s">
        <v>1155</v>
      </c>
      <c r="C2046" s="816">
        <v>8</v>
      </c>
      <c r="D2046" s="816">
        <v>16</v>
      </c>
      <c r="E2046" s="786">
        <v>0.19164999999999999</v>
      </c>
      <c r="F2046" s="1153">
        <v>139.90449999999998</v>
      </c>
      <c r="H2046" s="100">
        <f t="shared" si="11"/>
        <v>0.40410000000000001</v>
      </c>
      <c r="I2046" s="89">
        <f t="shared" si="9"/>
        <v>262.66000000000003</v>
      </c>
      <c r="J2046" s="4"/>
      <c r="K2046" s="4"/>
      <c r="L2046" s="4"/>
      <c r="M2046" s="4"/>
      <c r="N2046" s="4"/>
      <c r="O2046" s="4"/>
      <c r="P2046" s="4"/>
      <c r="Q2046" s="4"/>
      <c r="R2046" s="4"/>
      <c r="S2046" s="4"/>
      <c r="T2046" s="4"/>
      <c r="U2046" s="4"/>
      <c r="V2046" s="4"/>
      <c r="W2046" s="89"/>
      <c r="X2046" s="4"/>
      <c r="Y2046" s="331"/>
      <c r="Z2046" s="331"/>
      <c r="AA2046" s="331"/>
      <c r="AB2046" s="331"/>
      <c r="AC2046" s="331"/>
      <c r="AD2046" s="331"/>
      <c r="AE2046" s="331"/>
      <c r="AF2046" s="331"/>
      <c r="AG2046" s="331"/>
      <c r="AH2046" s="331"/>
      <c r="AI2046" s="331"/>
      <c r="AJ2046" s="331"/>
      <c r="AK2046" s="331"/>
      <c r="AL2046" s="331"/>
    </row>
    <row r="2047" spans="1:38" s="613" customFormat="1">
      <c r="A2047" s="100" t="str">
        <f t="shared" si="10"/>
        <v>c6.4xlarge.2 (16 vCPU, 32GB RAM)</v>
      </c>
      <c r="B2047" s="1154" t="s">
        <v>1156</v>
      </c>
      <c r="C2047" s="816">
        <v>16</v>
      </c>
      <c r="D2047" s="816">
        <v>32</v>
      </c>
      <c r="E2047" s="786">
        <v>0.38329999999999997</v>
      </c>
      <c r="F2047" s="1153">
        <v>279.80899999999997</v>
      </c>
      <c r="H2047" s="100">
        <f t="shared" si="11"/>
        <v>0.80830000000000002</v>
      </c>
      <c r="I2047" s="89">
        <f t="shared" si="9"/>
        <v>525.4</v>
      </c>
      <c r="J2047" s="4"/>
      <c r="K2047" s="4"/>
      <c r="L2047" s="4"/>
      <c r="M2047" s="4"/>
      <c r="N2047" s="4"/>
      <c r="O2047" s="4"/>
      <c r="P2047" s="4"/>
      <c r="Q2047" s="4"/>
      <c r="R2047" s="4"/>
      <c r="S2047" s="4"/>
      <c r="T2047" s="4"/>
      <c r="U2047" s="4"/>
      <c r="V2047" s="4"/>
      <c r="W2047" s="89"/>
      <c r="X2047" s="4"/>
      <c r="Y2047" s="331"/>
      <c r="Z2047" s="331"/>
      <c r="AA2047" s="331"/>
      <c r="AB2047" s="331"/>
      <c r="AC2047" s="331"/>
      <c r="AD2047" s="331"/>
      <c r="AE2047" s="331"/>
      <c r="AF2047" s="331"/>
      <c r="AG2047" s="331"/>
      <c r="AH2047" s="331"/>
      <c r="AI2047" s="331"/>
      <c r="AJ2047" s="331"/>
      <c r="AK2047" s="331"/>
      <c r="AL2047" s="331"/>
    </row>
    <row r="2048" spans="1:38" s="613" customFormat="1">
      <c r="B2048" s="809"/>
      <c r="C2048" s="42"/>
      <c r="D2048" s="42"/>
      <c r="E2048" s="810"/>
      <c r="F2048" s="611"/>
      <c r="I2048" s="4"/>
      <c r="J2048" s="4"/>
      <c r="K2048" s="4"/>
      <c r="L2048" s="4"/>
      <c r="M2048" s="4"/>
      <c r="N2048" s="4"/>
      <c r="O2048" s="4"/>
      <c r="P2048" s="4"/>
      <c r="Q2048" s="4"/>
      <c r="R2048" s="4"/>
      <c r="S2048" s="4"/>
      <c r="T2048" s="4"/>
      <c r="U2048" s="4"/>
      <c r="V2048" s="4"/>
      <c r="W2048" s="89"/>
      <c r="X2048" s="4"/>
    </row>
    <row r="2049" spans="2:38">
      <c r="B2049" s="1926" t="s">
        <v>873</v>
      </c>
      <c r="C2049" s="1927"/>
      <c r="D2049" s="42"/>
      <c r="E2049" s="810"/>
      <c r="F2049" s="810"/>
      <c r="G2049" s="340"/>
      <c r="H2049" s="164"/>
      <c r="I2049" s="293"/>
    </row>
    <row r="2050" spans="2:38">
      <c r="B2050" s="2017" t="s">
        <v>874</v>
      </c>
      <c r="C2050" s="2018"/>
      <c r="D2050" s="2019"/>
      <c r="E2050" s="2074" t="s">
        <v>876</v>
      </c>
      <c r="F2050" s="2074"/>
      <c r="G2050" s="2074"/>
      <c r="H2050" s="1666" t="s">
        <v>877</v>
      </c>
      <c r="I2050" s="1666"/>
      <c r="J2050" s="1666"/>
    </row>
    <row r="2051" spans="2:38">
      <c r="B2051" s="811" t="s">
        <v>599</v>
      </c>
      <c r="C2051" s="811" t="s">
        <v>875</v>
      </c>
      <c r="D2051" s="811" t="s">
        <v>4</v>
      </c>
      <c r="E2051" s="811" t="s">
        <v>599</v>
      </c>
      <c r="F2051" s="811" t="s">
        <v>875</v>
      </c>
      <c r="G2051" s="811" t="s">
        <v>4</v>
      </c>
      <c r="H2051" s="811" t="s">
        <v>599</v>
      </c>
      <c r="I2051" s="811" t="s">
        <v>875</v>
      </c>
      <c r="J2051" s="811" t="s">
        <v>4</v>
      </c>
    </row>
    <row r="2052" spans="2:38" ht="32.25" customHeight="1">
      <c r="B2052" s="616" t="s">
        <v>878</v>
      </c>
      <c r="C2052" s="812">
        <v>3.9643499999999999E-4</v>
      </c>
      <c r="D2052" s="808">
        <v>0.28799999999999998</v>
      </c>
      <c r="E2052" s="616" t="s">
        <v>878</v>
      </c>
      <c r="F2052" s="812">
        <v>3.9643499999999999E-4</v>
      </c>
      <c r="G2052" s="808">
        <v>0.28799999999999998</v>
      </c>
      <c r="H2052" s="616" t="s">
        <v>878</v>
      </c>
      <c r="I2052" s="812">
        <v>3.9643499999999999E-4</v>
      </c>
      <c r="J2052" s="808">
        <v>0.28799999999999998</v>
      </c>
    </row>
    <row r="2053" spans="2:38">
      <c r="B2053" s="616" t="s">
        <v>879</v>
      </c>
      <c r="C2053" s="812">
        <v>3.9643499999999999E-4</v>
      </c>
      <c r="D2053" s="808">
        <v>0.28799999999999998</v>
      </c>
      <c r="E2053" s="616" t="s">
        <v>879</v>
      </c>
      <c r="F2053" s="812">
        <v>3.9643499999999999E-4</v>
      </c>
      <c r="G2053" s="808">
        <v>0.28799999999999998</v>
      </c>
      <c r="H2053" s="616" t="s">
        <v>879</v>
      </c>
      <c r="I2053" s="812">
        <v>3.9643499999999999E-4</v>
      </c>
      <c r="J2053" s="808">
        <v>0.28799999999999998</v>
      </c>
    </row>
    <row r="2054" spans="2:38">
      <c r="B2054"/>
      <c r="C2054"/>
      <c r="D2054"/>
      <c r="E2054"/>
      <c r="F2054"/>
      <c r="G2054"/>
      <c r="H2054"/>
    </row>
    <row r="2055" spans="2:38">
      <c r="B2055" s="1926" t="s">
        <v>885</v>
      </c>
      <c r="C2055" s="1927"/>
      <c r="D2055"/>
      <c r="E2055"/>
      <c r="F2055"/>
      <c r="G2055"/>
      <c r="H2055"/>
    </row>
    <row r="2056" spans="2:38">
      <c r="B2056" s="819" t="s">
        <v>460</v>
      </c>
      <c r="C2056" s="820"/>
      <c r="D2056"/>
      <c r="E2056"/>
      <c r="F2056"/>
      <c r="G2056"/>
      <c r="H2056"/>
    </row>
    <row r="2057" spans="2:38">
      <c r="B2057"/>
      <c r="C2057"/>
      <c r="D2057"/>
      <c r="E2057"/>
      <c r="F2057"/>
      <c r="G2057"/>
      <c r="H2057"/>
    </row>
    <row r="2058" spans="2:38">
      <c r="B2058" s="1926" t="s">
        <v>1351</v>
      </c>
      <c r="C2058" s="1927"/>
      <c r="D2058" s="613"/>
      <c r="E2058" s="613"/>
      <c r="F2058" s="613"/>
      <c r="G2058" s="613"/>
      <c r="H2058" s="613"/>
      <c r="Y2058" s="613"/>
      <c r="Z2058" s="613"/>
      <c r="AA2058" s="613"/>
      <c r="AB2058" s="613"/>
      <c r="AC2058" s="613"/>
      <c r="AD2058" s="613"/>
      <c r="AE2058" s="613"/>
      <c r="AF2058" s="613"/>
      <c r="AG2058" s="613"/>
      <c r="AH2058" s="613"/>
      <c r="AI2058" s="613"/>
      <c r="AJ2058" s="613"/>
      <c r="AK2058" s="613"/>
      <c r="AL2058" s="613"/>
    </row>
    <row r="2059" spans="2:38">
      <c r="B2059" s="1488" t="s">
        <v>171</v>
      </c>
      <c r="C2059" s="543" t="s">
        <v>681</v>
      </c>
      <c r="D2059"/>
      <c r="E2059" s="613"/>
      <c r="F2059" s="613"/>
      <c r="G2059" s="613"/>
      <c r="H2059" s="613"/>
      <c r="Y2059" s="613"/>
      <c r="Z2059" s="613"/>
      <c r="AA2059" s="613"/>
      <c r="AB2059" s="613"/>
      <c r="AC2059" s="613"/>
      <c r="AD2059" s="613"/>
      <c r="AE2059" s="613"/>
      <c r="AF2059" s="613"/>
      <c r="AG2059" s="613"/>
      <c r="AH2059" s="613"/>
      <c r="AI2059" s="613"/>
      <c r="AJ2059" s="613"/>
      <c r="AK2059" s="613"/>
      <c r="AL2059" s="613"/>
    </row>
    <row r="2060" spans="2:38">
      <c r="B2060" s="614" t="s">
        <v>1335</v>
      </c>
      <c r="C2060" s="1576">
        <v>0.59489499999999995</v>
      </c>
      <c r="D2060">
        <v>1.1499999999999999</v>
      </c>
      <c r="E2060" s="613"/>
      <c r="F2060" s="613"/>
      <c r="G2060" s="613"/>
      <c r="H2060" s="613"/>
      <c r="Y2060" s="613"/>
      <c r="Z2060" s="613"/>
      <c r="AA2060" s="613"/>
      <c r="AB2060" s="613"/>
      <c r="AC2060" s="613"/>
      <c r="AD2060" s="613"/>
      <c r="AE2060" s="613"/>
      <c r="AF2060" s="613"/>
      <c r="AG2060" s="613"/>
      <c r="AH2060" s="613"/>
      <c r="AI2060" s="613"/>
      <c r="AJ2060" s="613"/>
      <c r="AK2060" s="613"/>
      <c r="AL2060" s="613"/>
    </row>
    <row r="2061" spans="2:38">
      <c r="B2061" s="614" t="s">
        <v>1336</v>
      </c>
      <c r="C2061" s="1576">
        <v>1.1897899999999999</v>
      </c>
      <c r="D2061"/>
      <c r="E2061" s="613"/>
      <c r="F2061" s="613"/>
      <c r="G2061" s="613"/>
      <c r="H2061" s="613"/>
      <c r="Y2061" s="613"/>
      <c r="Z2061" s="613"/>
      <c r="AA2061" s="613"/>
      <c r="AB2061" s="613"/>
      <c r="AC2061" s="613"/>
      <c r="AD2061" s="613"/>
      <c r="AE2061" s="613"/>
      <c r="AF2061" s="613"/>
      <c r="AG2061" s="613"/>
      <c r="AH2061" s="613"/>
      <c r="AI2061" s="613"/>
      <c r="AJ2061" s="613"/>
      <c r="AK2061" s="613"/>
      <c r="AL2061" s="613"/>
    </row>
    <row r="2062" spans="2:38">
      <c r="B2062" s="614" t="s">
        <v>1337</v>
      </c>
      <c r="C2062" s="1576">
        <v>2.3796949999999999</v>
      </c>
      <c r="D2062" s="613"/>
      <c r="E2062" s="613"/>
      <c r="F2062" s="613"/>
      <c r="G2062" s="613"/>
      <c r="H2062" s="613"/>
      <c r="Y2062" s="613"/>
      <c r="Z2062" s="613"/>
      <c r="AA2062" s="613"/>
      <c r="AB2062" s="613"/>
      <c r="AC2062" s="613"/>
      <c r="AD2062" s="613"/>
      <c r="AE2062" s="613"/>
      <c r="AF2062" s="613"/>
      <c r="AG2062" s="613"/>
      <c r="AH2062" s="613"/>
      <c r="AI2062" s="613"/>
      <c r="AJ2062" s="613"/>
      <c r="AK2062" s="613"/>
      <c r="AL2062" s="613"/>
    </row>
    <row r="2063" spans="2:38">
      <c r="B2063" s="614" t="s">
        <v>1338</v>
      </c>
      <c r="C2063" s="1576">
        <v>4.7593899999999998</v>
      </c>
      <c r="D2063" s="613"/>
      <c r="E2063" s="613"/>
      <c r="F2063" s="613"/>
      <c r="G2063" s="613"/>
      <c r="H2063" s="613"/>
      <c r="Y2063" s="613"/>
      <c r="Z2063" s="613"/>
      <c r="AA2063" s="613"/>
      <c r="AB2063" s="613"/>
      <c r="AC2063" s="613"/>
      <c r="AD2063" s="613"/>
      <c r="AE2063" s="613"/>
      <c r="AF2063" s="613"/>
      <c r="AG2063" s="613"/>
      <c r="AH2063" s="613"/>
      <c r="AI2063" s="613"/>
      <c r="AJ2063" s="613"/>
      <c r="AK2063" s="613"/>
      <c r="AL2063" s="613"/>
    </row>
    <row r="2064" spans="2:38">
      <c r="B2064" s="613"/>
      <c r="C2064" s="613"/>
      <c r="D2064" s="613"/>
      <c r="E2064" s="613"/>
      <c r="F2064" s="613"/>
      <c r="G2064" s="613"/>
      <c r="H2064" s="613"/>
      <c r="Y2064" s="613"/>
      <c r="Z2064" s="613"/>
      <c r="AA2064" s="613"/>
      <c r="AB2064" s="613"/>
      <c r="AC2064" s="613"/>
      <c r="AD2064" s="613"/>
      <c r="AE2064" s="613"/>
      <c r="AF2064" s="613"/>
      <c r="AG2064" s="613"/>
      <c r="AH2064" s="613"/>
      <c r="AI2064" s="613"/>
      <c r="AJ2064" s="613"/>
      <c r="AK2064" s="613"/>
      <c r="AL2064" s="613"/>
    </row>
    <row r="2065" spans="2:12">
      <c r="B2065" s="1062" t="s">
        <v>1288</v>
      </c>
      <c r="C2065"/>
      <c r="D2065"/>
      <c r="E2065"/>
      <c r="F2065"/>
      <c r="G2065"/>
      <c r="H2065"/>
    </row>
    <row r="2066" spans="2:12">
      <c r="B2066"/>
      <c r="C2066"/>
      <c r="D2066"/>
      <c r="E2066"/>
      <c r="F2066"/>
      <c r="G2066"/>
      <c r="H2066"/>
    </row>
    <row r="2067" spans="2:12" ht="57.6">
      <c r="B2067" s="1063" t="s">
        <v>2</v>
      </c>
      <c r="C2067" s="1063" t="s">
        <v>3</v>
      </c>
      <c r="D2067" s="1063" t="s">
        <v>37</v>
      </c>
      <c r="E2067" s="1063" t="s">
        <v>261</v>
      </c>
      <c r="F2067" s="1063" t="s">
        <v>904</v>
      </c>
      <c r="G2067" s="1064" t="s">
        <v>43</v>
      </c>
      <c r="H2067" s="1064" t="s">
        <v>157</v>
      </c>
      <c r="I2067" s="1065" t="s">
        <v>1289</v>
      </c>
      <c r="J2067" s="1065" t="s">
        <v>1290</v>
      </c>
    </row>
    <row r="2068" spans="2:12">
      <c r="B2068" s="817" t="s">
        <v>2604</v>
      </c>
      <c r="C2068" s="517">
        <v>1</v>
      </c>
      <c r="D2068" s="517">
        <v>1</v>
      </c>
      <c r="E2068" s="517" t="s">
        <v>102</v>
      </c>
      <c r="F2068" s="517" t="s">
        <v>102</v>
      </c>
      <c r="G2068" s="1068">
        <v>1.21E-2</v>
      </c>
      <c r="H2068" s="1069">
        <v>7.87</v>
      </c>
      <c r="I2068" s="1070">
        <v>7.07</v>
      </c>
      <c r="J2068" s="1070">
        <v>7.51</v>
      </c>
    </row>
    <row r="2069" spans="2:12">
      <c r="B2069" s="817" t="s">
        <v>2605</v>
      </c>
      <c r="C2069" s="517">
        <v>1</v>
      </c>
      <c r="D2069" s="517">
        <v>2</v>
      </c>
      <c r="E2069" s="517" t="s">
        <v>102</v>
      </c>
      <c r="F2069" s="517" t="s">
        <v>102</v>
      </c>
      <c r="G2069" s="1068">
        <v>2.41E-2</v>
      </c>
      <c r="H2069" s="1069">
        <v>15.67</v>
      </c>
      <c r="I2069" s="1070">
        <v>14.07</v>
      </c>
      <c r="J2069" s="1070">
        <v>14.95</v>
      </c>
    </row>
    <row r="2070" spans="2:12">
      <c r="B2070" s="511" t="s">
        <v>2606</v>
      </c>
      <c r="C2070" s="538">
        <v>1</v>
      </c>
      <c r="D2070" s="538">
        <v>4</v>
      </c>
      <c r="E2070" s="538" t="s">
        <v>102</v>
      </c>
      <c r="F2070" s="538" t="s">
        <v>102</v>
      </c>
      <c r="G2070" s="1071">
        <v>3.1099999999999999E-2</v>
      </c>
      <c r="H2070" s="1072">
        <v>20.22</v>
      </c>
      <c r="I2070" s="1070">
        <v>18.16</v>
      </c>
      <c r="J2070" s="1070">
        <v>19.3</v>
      </c>
    </row>
    <row r="2071" spans="2:12">
      <c r="B2071" s="511" t="s">
        <v>2394</v>
      </c>
      <c r="C2071" s="538">
        <v>2</v>
      </c>
      <c r="D2071" s="538">
        <v>4</v>
      </c>
      <c r="E2071" s="538" t="s">
        <v>102</v>
      </c>
      <c r="F2071" s="538" t="s">
        <v>102</v>
      </c>
      <c r="G2071" s="1071">
        <v>6.2300000000000001E-2</v>
      </c>
      <c r="H2071" s="1072">
        <v>40.5</v>
      </c>
      <c r="I2071" s="1070">
        <v>36.380000000000003</v>
      </c>
      <c r="J2071" s="1070">
        <v>38.659999999999997</v>
      </c>
      <c r="K2071"/>
      <c r="L2071"/>
    </row>
    <row r="2072" spans="2:12">
      <c r="B2072" s="511" t="s">
        <v>2395</v>
      </c>
      <c r="C2072" s="538">
        <v>4</v>
      </c>
      <c r="D2072" s="538">
        <v>8</v>
      </c>
      <c r="E2072" s="538" t="s">
        <v>102</v>
      </c>
      <c r="F2072" s="538" t="s">
        <v>102</v>
      </c>
      <c r="G2072" s="1071">
        <v>0.12470000000000001</v>
      </c>
      <c r="H2072" s="1072">
        <v>81.06</v>
      </c>
      <c r="I2072" s="1070">
        <v>72.819999999999993</v>
      </c>
      <c r="J2072" s="1070">
        <v>77.38</v>
      </c>
      <c r="K2072"/>
      <c r="L2072"/>
    </row>
    <row r="2073" spans="2:12">
      <c r="B2073" s="511" t="s">
        <v>2396</v>
      </c>
      <c r="C2073" s="538">
        <v>8</v>
      </c>
      <c r="D2073" s="538">
        <v>16</v>
      </c>
      <c r="E2073" s="538" t="s">
        <v>102</v>
      </c>
      <c r="F2073" s="538" t="s">
        <v>102</v>
      </c>
      <c r="G2073" s="1071">
        <v>0.24940000000000001</v>
      </c>
      <c r="H2073" s="1072">
        <v>162.11000000000001</v>
      </c>
      <c r="I2073" s="1070">
        <v>145.65</v>
      </c>
      <c r="J2073" s="1070">
        <v>154.75</v>
      </c>
    </row>
    <row r="2074" spans="2:12">
      <c r="B2074" s="511" t="s">
        <v>2393</v>
      </c>
      <c r="C2074" s="538">
        <v>16</v>
      </c>
      <c r="D2074" s="538">
        <v>32</v>
      </c>
      <c r="E2074" s="538" t="s">
        <v>102</v>
      </c>
      <c r="F2074" s="538" t="s">
        <v>102</v>
      </c>
      <c r="G2074" s="1071">
        <v>0.49890000000000001</v>
      </c>
      <c r="H2074" s="1072">
        <v>324.29000000000002</v>
      </c>
      <c r="I2074" s="1070">
        <v>291.36</v>
      </c>
      <c r="J2074" s="1070">
        <v>309.57</v>
      </c>
    </row>
    <row r="2075" spans="2:12">
      <c r="B2075" s="511" t="s">
        <v>2725</v>
      </c>
      <c r="C2075" s="538">
        <v>32</v>
      </c>
      <c r="D2075" s="538">
        <v>64</v>
      </c>
      <c r="E2075" s="538" t="s">
        <v>102</v>
      </c>
      <c r="F2075" s="538" t="s">
        <v>102</v>
      </c>
      <c r="G2075" s="1071">
        <v>0.99790000000000001</v>
      </c>
      <c r="H2075" s="1072">
        <v>648.64</v>
      </c>
      <c r="I2075" s="1070">
        <v>582.77</v>
      </c>
      <c r="J2075" s="1070">
        <v>619.20000000000005</v>
      </c>
    </row>
    <row r="2076" spans="2:12">
      <c r="B2076" s="511" t="s">
        <v>2607</v>
      </c>
      <c r="C2076" s="538">
        <v>2</v>
      </c>
      <c r="D2076" s="538">
        <v>8</v>
      </c>
      <c r="E2076" s="538" t="s">
        <v>102</v>
      </c>
      <c r="F2076" s="538" t="s">
        <v>102</v>
      </c>
      <c r="G2076" s="1071">
        <v>6.93E-2</v>
      </c>
      <c r="H2076" s="1072">
        <v>45.05</v>
      </c>
      <c r="I2076" s="1070">
        <v>40.47</v>
      </c>
      <c r="J2076" s="1070">
        <v>43</v>
      </c>
    </row>
    <row r="2077" spans="2:12">
      <c r="B2077" s="511" t="s">
        <v>2366</v>
      </c>
      <c r="C2077" s="538">
        <v>4</v>
      </c>
      <c r="D2077" s="538">
        <v>16</v>
      </c>
      <c r="E2077" s="538" t="s">
        <v>102</v>
      </c>
      <c r="F2077" s="538" t="s">
        <v>102</v>
      </c>
      <c r="G2077" s="1071">
        <v>0.1386</v>
      </c>
      <c r="H2077" s="1072">
        <v>90.09</v>
      </c>
      <c r="I2077" s="1070">
        <v>80.94</v>
      </c>
      <c r="J2077" s="1070">
        <v>86</v>
      </c>
    </row>
    <row r="2078" spans="2:12">
      <c r="B2078" s="511" t="s">
        <v>2367</v>
      </c>
      <c r="C2078" s="538">
        <v>8</v>
      </c>
      <c r="D2078" s="538">
        <v>32</v>
      </c>
      <c r="E2078" s="538" t="s">
        <v>102</v>
      </c>
      <c r="F2078" s="538" t="s">
        <v>102</v>
      </c>
      <c r="G2078" s="1071">
        <v>0.2772</v>
      </c>
      <c r="H2078" s="1072">
        <v>180.18</v>
      </c>
      <c r="I2078" s="1070">
        <v>161.88</v>
      </c>
      <c r="J2078" s="1070">
        <v>172</v>
      </c>
    </row>
    <row r="2079" spans="2:12">
      <c r="B2079" s="511" t="s">
        <v>2368</v>
      </c>
      <c r="C2079" s="538">
        <v>16</v>
      </c>
      <c r="D2079" s="538">
        <v>64</v>
      </c>
      <c r="E2079" s="538" t="s">
        <v>102</v>
      </c>
      <c r="F2079" s="538" t="s">
        <v>102</v>
      </c>
      <c r="G2079" s="1071">
        <v>0.5544</v>
      </c>
      <c r="H2079" s="1072">
        <v>360.36</v>
      </c>
      <c r="I2079" s="1070">
        <v>323.77</v>
      </c>
      <c r="J2079" s="1070">
        <v>344.01</v>
      </c>
    </row>
    <row r="2080" spans="2:12">
      <c r="B2080" s="1850" t="s">
        <v>2593</v>
      </c>
      <c r="C2080" s="515">
        <v>1</v>
      </c>
      <c r="D2080" s="515">
        <v>1</v>
      </c>
      <c r="E2080" s="515" t="s">
        <v>102</v>
      </c>
      <c r="F2080" s="515" t="s">
        <v>102</v>
      </c>
      <c r="G2080" s="889">
        <v>1.3899999999999999E-2</v>
      </c>
      <c r="H2080" s="698">
        <v>9.0299999999999994</v>
      </c>
      <c r="I2080" s="1070">
        <v>8.11</v>
      </c>
      <c r="J2080" s="1070">
        <v>8.6199999999999992</v>
      </c>
    </row>
    <row r="2081" spans="2:38">
      <c r="B2081" s="1850" t="s">
        <v>2594</v>
      </c>
      <c r="C2081" s="515">
        <v>1</v>
      </c>
      <c r="D2081" s="515">
        <v>2</v>
      </c>
      <c r="E2081" s="515" t="s">
        <v>102</v>
      </c>
      <c r="F2081" s="515" t="s">
        <v>102</v>
      </c>
      <c r="G2081" s="889">
        <v>2.7699999999999999E-2</v>
      </c>
      <c r="H2081" s="698">
        <v>18</v>
      </c>
      <c r="I2081" s="1070">
        <v>16.170000000000002</v>
      </c>
      <c r="J2081" s="1070">
        <v>17.18</v>
      </c>
    </row>
    <row r="2082" spans="2:38">
      <c r="B2082" s="1850" t="s">
        <v>2595</v>
      </c>
      <c r="C2082" s="515">
        <v>2</v>
      </c>
      <c r="D2082" s="515">
        <v>4</v>
      </c>
      <c r="E2082" s="515" t="s">
        <v>102</v>
      </c>
      <c r="F2082" s="515" t="s">
        <v>102</v>
      </c>
      <c r="G2082" s="889">
        <v>7.17E-2</v>
      </c>
      <c r="H2082" s="698">
        <v>46.6</v>
      </c>
      <c r="I2082" s="1070">
        <v>41.87</v>
      </c>
      <c r="J2082" s="1070">
        <v>44.48</v>
      </c>
    </row>
    <row r="2083" spans="2:38">
      <c r="B2083" s="1850" t="s">
        <v>2596</v>
      </c>
      <c r="C2083" s="515">
        <v>4</v>
      </c>
      <c r="D2083" s="515">
        <v>8</v>
      </c>
      <c r="E2083" s="515" t="s">
        <v>102</v>
      </c>
      <c r="F2083" s="515" t="s">
        <v>102</v>
      </c>
      <c r="G2083" s="889">
        <v>0.1434</v>
      </c>
      <c r="H2083" s="698">
        <v>93.21</v>
      </c>
      <c r="I2083" s="1070">
        <v>83.74</v>
      </c>
      <c r="J2083" s="1070">
        <v>88.97</v>
      </c>
    </row>
    <row r="2084" spans="2:38">
      <c r="B2084" s="1850" t="s">
        <v>2597</v>
      </c>
      <c r="C2084" s="515">
        <v>8</v>
      </c>
      <c r="D2084" s="515">
        <v>16</v>
      </c>
      <c r="E2084" s="515" t="s">
        <v>102</v>
      </c>
      <c r="F2084" s="515" t="s">
        <v>102</v>
      </c>
      <c r="G2084" s="889">
        <v>0.2868</v>
      </c>
      <c r="H2084" s="698">
        <v>186.42</v>
      </c>
      <c r="I2084" s="1070">
        <v>167.49</v>
      </c>
      <c r="J2084" s="1070">
        <v>177.95</v>
      </c>
    </row>
    <row r="2085" spans="2:38">
      <c r="B2085" s="1850" t="s">
        <v>2599</v>
      </c>
      <c r="C2085" s="515">
        <v>1</v>
      </c>
      <c r="D2085" s="515">
        <v>4</v>
      </c>
      <c r="E2085" s="515" t="s">
        <v>102</v>
      </c>
      <c r="F2085" s="515" t="s">
        <v>102</v>
      </c>
      <c r="G2085" s="889">
        <v>3.3799999999999997E-2</v>
      </c>
      <c r="H2085" s="698">
        <v>21.97</v>
      </c>
      <c r="I2085" s="1070">
        <v>19.73</v>
      </c>
      <c r="J2085" s="1070">
        <v>20.97</v>
      </c>
    </row>
    <row r="2086" spans="2:38">
      <c r="B2086" s="1850" t="s">
        <v>2600</v>
      </c>
      <c r="C2086" s="515">
        <v>2</v>
      </c>
      <c r="D2086" s="515">
        <v>8</v>
      </c>
      <c r="E2086" s="515" t="s">
        <v>102</v>
      </c>
      <c r="F2086" s="515" t="s">
        <v>102</v>
      </c>
      <c r="G2086" s="889">
        <v>7.9600000000000004E-2</v>
      </c>
      <c r="H2086" s="698">
        <v>51.74</v>
      </c>
      <c r="I2086" s="1070">
        <v>46.48</v>
      </c>
      <c r="J2086" s="1070">
        <v>49.39</v>
      </c>
    </row>
    <row r="2087" spans="2:38">
      <c r="B2087" s="1850" t="s">
        <v>2601</v>
      </c>
      <c r="C2087" s="515">
        <v>4</v>
      </c>
      <c r="D2087" s="515">
        <v>16</v>
      </c>
      <c r="E2087" s="515" t="s">
        <v>102</v>
      </c>
      <c r="F2087" s="515" t="s">
        <v>102</v>
      </c>
      <c r="G2087" s="889">
        <v>0.15920000000000001</v>
      </c>
      <c r="H2087" s="698">
        <v>103.48</v>
      </c>
      <c r="I2087" s="1070">
        <v>92.97</v>
      </c>
      <c r="J2087" s="1070">
        <v>98.78</v>
      </c>
    </row>
    <row r="2088" spans="2:38">
      <c r="B2088" s="1850" t="s">
        <v>2602</v>
      </c>
      <c r="C2088" s="515">
        <v>8</v>
      </c>
      <c r="D2088" s="515">
        <v>32</v>
      </c>
      <c r="E2088" s="515" t="s">
        <v>102</v>
      </c>
      <c r="F2088" s="515" t="s">
        <v>102</v>
      </c>
      <c r="G2088" s="889">
        <v>0.31840000000000002</v>
      </c>
      <c r="H2088" s="698">
        <v>206.96</v>
      </c>
      <c r="I2088" s="1070">
        <v>185.94</v>
      </c>
      <c r="J2088" s="1070">
        <v>197.56</v>
      </c>
    </row>
    <row r="2090" spans="2:38">
      <c r="B2090" s="1926" t="s">
        <v>1367</v>
      </c>
      <c r="C2090" s="1927"/>
    </row>
    <row r="2091" spans="2:38">
      <c r="B2091" s="594" t="s">
        <v>158</v>
      </c>
      <c r="C2091" s="595" t="s">
        <v>1287</v>
      </c>
    </row>
    <row r="2092" spans="2:38">
      <c r="B2092" s="614" t="s">
        <v>1367</v>
      </c>
      <c r="C2092" s="1086">
        <v>0.7</v>
      </c>
    </row>
    <row r="2093" spans="2:38" s="1405" customFormat="1">
      <c r="B2093" s="4"/>
      <c r="C2093" s="4"/>
      <c r="D2093" s="4"/>
      <c r="E2093" s="4"/>
      <c r="F2093" s="4"/>
      <c r="G2093" s="4"/>
      <c r="H2093" s="4"/>
      <c r="I2093" s="4"/>
      <c r="J2093" s="4"/>
      <c r="K2093" s="4"/>
      <c r="L2093" s="4"/>
      <c r="M2093" s="4"/>
      <c r="N2093" s="4"/>
      <c r="O2093" s="4"/>
      <c r="P2093" s="4"/>
      <c r="Q2093" s="4"/>
      <c r="R2093" s="4"/>
      <c r="S2093" s="4"/>
      <c r="T2093" s="4"/>
      <c r="U2093" s="4"/>
      <c r="V2093" s="4"/>
      <c r="W2093" s="89"/>
      <c r="X2093" s="4"/>
      <c r="Y2093" s="39"/>
      <c r="Z2093" s="39"/>
      <c r="AA2093" s="39"/>
      <c r="AB2093" s="33"/>
      <c r="AC2093" s="33"/>
      <c r="AD2093" s="33"/>
      <c r="AE2093" s="33"/>
      <c r="AF2093" s="33"/>
      <c r="AG2093" s="33"/>
      <c r="AH2093" s="33"/>
      <c r="AI2093" s="33"/>
      <c r="AJ2093" s="33"/>
      <c r="AK2093" s="33"/>
      <c r="AL2093" s="33"/>
    </row>
    <row r="2094" spans="2:38" s="1405" customFormat="1">
      <c r="B2094" s="1926" t="s">
        <v>1368</v>
      </c>
      <c r="C2094" s="1927"/>
      <c r="D2094" s="4"/>
      <c r="E2094" s="4"/>
      <c r="F2094" s="4"/>
      <c r="G2094" s="4"/>
      <c r="H2094" s="4"/>
      <c r="I2094" s="4"/>
      <c r="J2094" s="4"/>
      <c r="K2094" s="4"/>
      <c r="L2094" s="4"/>
      <c r="M2094" s="4"/>
      <c r="N2094" s="4"/>
      <c r="O2094" s="4"/>
      <c r="P2094" s="4"/>
      <c r="Q2094" s="4"/>
      <c r="R2094" s="4"/>
      <c r="S2094" s="4"/>
      <c r="T2094" s="4"/>
      <c r="U2094" s="4"/>
      <c r="V2094" s="4"/>
      <c r="W2094" s="89"/>
      <c r="X2094" s="4"/>
      <c r="Y2094" s="39"/>
      <c r="Z2094" s="39"/>
      <c r="AA2094" s="39"/>
      <c r="AB2094" s="33"/>
      <c r="AC2094" s="33"/>
      <c r="AD2094" s="33"/>
      <c r="AE2094" s="33"/>
      <c r="AF2094" s="33"/>
      <c r="AG2094" s="33"/>
      <c r="AH2094" s="33"/>
      <c r="AI2094" s="33"/>
      <c r="AJ2094" s="33"/>
      <c r="AK2094" s="33"/>
      <c r="AL2094" s="33"/>
    </row>
    <row r="2095" spans="2:38">
      <c r="B2095" s="594" t="s">
        <v>1370</v>
      </c>
      <c r="C2095" s="595" t="s">
        <v>1369</v>
      </c>
    </row>
    <row r="2096" spans="2:38">
      <c r="B2096" s="614" t="s">
        <v>1371</v>
      </c>
      <c r="C2096" s="1086">
        <v>0</v>
      </c>
    </row>
    <row r="2097" spans="2:38">
      <c r="B2097" s="614" t="s">
        <v>1372</v>
      </c>
      <c r="C2097" s="1088">
        <v>0.17</v>
      </c>
    </row>
    <row r="2098" spans="2:38">
      <c r="B2098" s="594" t="s">
        <v>1373</v>
      </c>
      <c r="C2098" s="595" t="s">
        <v>1475</v>
      </c>
    </row>
    <row r="2099" spans="2:38">
      <c r="B2099" s="614" t="s">
        <v>1476</v>
      </c>
      <c r="C2099" s="1086">
        <v>0</v>
      </c>
    </row>
    <row r="2100" spans="2:38">
      <c r="B2100" s="614" t="s">
        <v>1477</v>
      </c>
      <c r="C2100" s="1080">
        <v>5.2200000000000003E-2</v>
      </c>
    </row>
    <row r="2102" spans="2:38">
      <c r="B2102" s="1926" t="s">
        <v>2327</v>
      </c>
      <c r="C2102" s="1927"/>
    </row>
    <row r="2103" spans="2:38">
      <c r="B2103" s="594" t="s">
        <v>2329</v>
      </c>
      <c r="C2103" s="595" t="s">
        <v>1553</v>
      </c>
    </row>
    <row r="2104" spans="2:38">
      <c r="B2104" s="614" t="s">
        <v>1458</v>
      </c>
      <c r="C2104" s="1086">
        <v>0.21</v>
      </c>
      <c r="D2104" s="604"/>
    </row>
    <row r="2105" spans="2:38">
      <c r="B2105" s="614" t="s">
        <v>1459</v>
      </c>
      <c r="C2105" s="1086">
        <v>0.17</v>
      </c>
      <c r="D2105" s="604"/>
    </row>
    <row r="2106" spans="2:38">
      <c r="B2106" s="614" t="s">
        <v>1462</v>
      </c>
      <c r="C2106" s="1086">
        <v>0.14000000000000001</v>
      </c>
      <c r="D2106" s="604"/>
    </row>
    <row r="2107" spans="2:38">
      <c r="B2107" s="594" t="s">
        <v>1460</v>
      </c>
      <c r="C2107" s="595" t="s">
        <v>1461</v>
      </c>
    </row>
    <row r="2108" spans="2:38">
      <c r="B2108" s="614"/>
      <c r="C2108" s="1086">
        <v>0.6</v>
      </c>
    </row>
    <row r="2109" spans="2:38">
      <c r="B2109" s="1424"/>
      <c r="C2109" s="1425"/>
      <c r="Y2109" s="1405"/>
      <c r="Z2109" s="1405"/>
      <c r="AA2109" s="1405"/>
      <c r="AB2109" s="1405"/>
      <c r="AC2109" s="1405"/>
      <c r="AD2109" s="1405"/>
      <c r="AE2109" s="1405"/>
      <c r="AF2109" s="1405"/>
      <c r="AG2109" s="1405"/>
      <c r="AH2109" s="1405"/>
      <c r="AI2109" s="1405"/>
      <c r="AJ2109" s="1405"/>
      <c r="AK2109" s="1405"/>
      <c r="AL2109" s="1405"/>
    </row>
    <row r="2110" spans="2:38">
      <c r="B2110" s="1926" t="s">
        <v>2024</v>
      </c>
      <c r="C2110" s="1927"/>
      <c r="Y2110" s="1405"/>
      <c r="Z2110" s="1405"/>
      <c r="AA2110" s="1405"/>
      <c r="AB2110" s="1405"/>
      <c r="AC2110" s="1405"/>
      <c r="AD2110" s="1405"/>
      <c r="AE2110" s="1405"/>
      <c r="AF2110" s="1405"/>
      <c r="AG2110" s="1405"/>
      <c r="AH2110" s="1405"/>
      <c r="AI2110" s="1405"/>
      <c r="AJ2110" s="1405"/>
      <c r="AK2110" s="1405"/>
      <c r="AL2110" s="1405"/>
    </row>
    <row r="2111" spans="2:38">
      <c r="B2111" s="1126"/>
      <c r="C2111" s="595" t="s">
        <v>2022</v>
      </c>
    </row>
    <row r="2112" spans="2:38" ht="15.6">
      <c r="B2112" s="1606" t="s">
        <v>2023</v>
      </c>
      <c r="C2112" s="1724">
        <v>4.1399999999999999E-2</v>
      </c>
      <c r="D2112"/>
    </row>
    <row r="2113" spans="2:38" ht="15.6">
      <c r="B2113" s="1125"/>
      <c r="C2113"/>
      <c r="D2113"/>
    </row>
    <row r="2114" spans="2:38">
      <c r="B2114" s="1926" t="s">
        <v>1485</v>
      </c>
      <c r="C2114" s="1927" t="s">
        <v>547</v>
      </c>
      <c r="U2114" s="89"/>
      <c r="V2114" s="89"/>
      <c r="W2114" s="4"/>
      <c r="X2114" s="39"/>
      <c r="AA2114" s="33"/>
    </row>
    <row r="2115" spans="2:38">
      <c r="B2115" s="1126"/>
      <c r="C2115" s="1126" t="s">
        <v>1484</v>
      </c>
      <c r="U2115" s="89"/>
      <c r="V2115" s="89"/>
      <c r="W2115" s="4"/>
      <c r="X2115" s="39"/>
      <c r="AA2115" s="33"/>
    </row>
    <row r="2116" spans="2:38" ht="15.6">
      <c r="B2116" s="1606" t="s">
        <v>1480</v>
      </c>
      <c r="C2116" s="1549">
        <v>4.3799999999999999E-2</v>
      </c>
      <c r="U2116" s="89"/>
      <c r="V2116" s="89"/>
      <c r="W2116" s="4"/>
      <c r="X2116" s="39"/>
      <c r="AA2116" s="33"/>
    </row>
    <row r="2117" spans="2:38" ht="15.6">
      <c r="B2117" s="1606" t="s">
        <v>1481</v>
      </c>
      <c r="C2117" s="1549">
        <v>9.64E-2</v>
      </c>
      <c r="U2117" s="89"/>
      <c r="V2117" s="89"/>
      <c r="W2117" s="4"/>
      <c r="X2117" s="39"/>
      <c r="AA2117" s="33"/>
    </row>
    <row r="2118" spans="2:38" s="613" customFormat="1" ht="15.6">
      <c r="B2118" s="1606" t="s">
        <v>1482</v>
      </c>
      <c r="C2118" s="1549">
        <v>2.1899999999999999E-2</v>
      </c>
      <c r="D2118" s="4"/>
      <c r="E2118" s="4"/>
      <c r="F2118" s="4"/>
      <c r="G2118" s="4"/>
      <c r="H2118" s="4"/>
      <c r="I2118" s="4"/>
      <c r="J2118" s="4"/>
      <c r="K2118" s="4"/>
      <c r="L2118" s="4"/>
      <c r="M2118" s="4"/>
      <c r="N2118" s="4"/>
      <c r="O2118" s="4"/>
      <c r="P2118" s="4"/>
      <c r="Q2118" s="4"/>
      <c r="R2118" s="4"/>
      <c r="S2118" s="4"/>
      <c r="T2118" s="4"/>
      <c r="U2118" s="89"/>
      <c r="V2118" s="89"/>
      <c r="W2118" s="4"/>
      <c r="X2118" s="39"/>
      <c r="Y2118" s="39"/>
      <c r="Z2118" s="39"/>
      <c r="AA2118" s="33"/>
      <c r="AB2118" s="33"/>
      <c r="AC2118" s="33"/>
      <c r="AD2118" s="33"/>
      <c r="AE2118" s="33"/>
      <c r="AF2118" s="33"/>
      <c r="AG2118" s="33"/>
      <c r="AH2118" s="33"/>
      <c r="AI2118" s="33"/>
      <c r="AJ2118" s="33"/>
      <c r="AK2118" s="33"/>
      <c r="AL2118" s="33"/>
    </row>
    <row r="2119" spans="2:38" s="613" customFormat="1" ht="15.6">
      <c r="B2119" s="1606" t="s">
        <v>1483</v>
      </c>
      <c r="C2119" s="1549">
        <v>6.5699999999999995E-2</v>
      </c>
      <c r="D2119" s="4"/>
      <c r="E2119" s="4"/>
      <c r="F2119" s="4"/>
      <c r="G2119" s="4"/>
      <c r="H2119" s="4"/>
      <c r="I2119" s="4"/>
      <c r="J2119" s="4"/>
      <c r="K2119" s="4"/>
      <c r="L2119" s="4"/>
      <c r="M2119" s="4"/>
      <c r="N2119" s="4"/>
      <c r="O2119" s="4"/>
      <c r="P2119" s="4"/>
      <c r="Q2119" s="4"/>
      <c r="R2119" s="4"/>
      <c r="S2119" s="4"/>
      <c r="T2119" s="4"/>
      <c r="U2119" s="4"/>
      <c r="V2119" s="4"/>
      <c r="W2119" s="89"/>
      <c r="X2119" s="4"/>
      <c r="Y2119" s="39"/>
      <c r="Z2119" s="39"/>
      <c r="AA2119" s="39"/>
      <c r="AB2119" s="33"/>
      <c r="AC2119" s="33"/>
      <c r="AD2119" s="33"/>
      <c r="AE2119" s="33"/>
      <c r="AF2119" s="33"/>
      <c r="AG2119" s="33"/>
      <c r="AH2119" s="33"/>
      <c r="AI2119" s="33"/>
      <c r="AJ2119" s="33"/>
      <c r="AK2119" s="33"/>
      <c r="AL2119" s="33"/>
    </row>
    <row r="2121" spans="2:38">
      <c r="B2121" s="1926" t="s">
        <v>1504</v>
      </c>
      <c r="C2121" s="1927"/>
    </row>
    <row r="2122" spans="2:38">
      <c r="B2122" s="1126"/>
      <c r="C2122" s="1126" t="s">
        <v>1505</v>
      </c>
    </row>
    <row r="2123" spans="2:38" ht="15.6">
      <c r="B2123" s="1127" t="s">
        <v>1493</v>
      </c>
      <c r="C2123" s="1144">
        <v>0.14899999999999999</v>
      </c>
    </row>
    <row r="2124" spans="2:38" ht="15.6">
      <c r="B2124" s="1127" t="s">
        <v>1494</v>
      </c>
      <c r="C2124" s="1144">
        <v>0.14899999999999999</v>
      </c>
    </row>
    <row r="2125" spans="2:38" ht="15.6">
      <c r="B2125" s="1127" t="s">
        <v>1495</v>
      </c>
      <c r="C2125" s="1144">
        <v>0.59499999999999997</v>
      </c>
    </row>
    <row r="2126" spans="2:38" ht="15.6">
      <c r="B2126" s="1127" t="s">
        <v>1496</v>
      </c>
      <c r="C2126" s="1144">
        <v>0.59499999999999997</v>
      </c>
    </row>
    <row r="2127" spans="2:38" s="1185" customFormat="1" ht="15.6">
      <c r="B2127" s="1127" t="s">
        <v>1497</v>
      </c>
      <c r="C2127" s="1144">
        <v>6.0140000000000002</v>
      </c>
      <c r="D2127" s="4"/>
      <c r="E2127" s="4"/>
      <c r="F2127" s="4"/>
      <c r="G2127" s="4"/>
      <c r="H2127" s="4"/>
      <c r="I2127" s="4"/>
      <c r="J2127" s="4"/>
      <c r="K2127" s="4"/>
      <c r="L2127" s="4"/>
      <c r="M2127" s="4"/>
      <c r="N2127" s="4"/>
      <c r="O2127" s="4"/>
      <c r="P2127" s="4"/>
      <c r="Q2127" s="4"/>
      <c r="R2127" s="4"/>
      <c r="S2127" s="4"/>
      <c r="T2127" s="4"/>
      <c r="U2127" s="4"/>
      <c r="V2127" s="4"/>
      <c r="W2127" s="89"/>
      <c r="X2127" s="4"/>
      <c r="Y2127" s="39"/>
      <c r="Z2127" s="39"/>
      <c r="AA2127" s="39"/>
      <c r="AB2127" s="33"/>
      <c r="AC2127" s="33"/>
      <c r="AD2127" s="33"/>
      <c r="AE2127" s="33"/>
      <c r="AF2127" s="33"/>
      <c r="AG2127" s="33"/>
      <c r="AH2127" s="33"/>
      <c r="AI2127" s="33"/>
      <c r="AJ2127" s="33"/>
      <c r="AK2127" s="33"/>
      <c r="AL2127" s="33"/>
    </row>
    <row r="2128" spans="2:38" ht="15.6">
      <c r="B2128" s="1127" t="s">
        <v>1498</v>
      </c>
      <c r="C2128" s="1144">
        <v>6.0140000000000002</v>
      </c>
    </row>
    <row r="2129" spans="2:38" ht="15.6">
      <c r="B2129" s="1127" t="s">
        <v>1499</v>
      </c>
      <c r="C2129" s="1144">
        <v>24.056000000000001</v>
      </c>
    </row>
    <row r="2130" spans="2:38" ht="15.6">
      <c r="B2130" s="1127" t="s">
        <v>1500</v>
      </c>
      <c r="C2130" s="1144">
        <v>0.98799999999999999</v>
      </c>
    </row>
    <row r="2131" spans="2:38" ht="15.6">
      <c r="B2131" s="1127" t="s">
        <v>1501</v>
      </c>
      <c r="C2131" s="1144">
        <v>0.98799999999999999</v>
      </c>
    </row>
    <row r="2132" spans="2:38" ht="15.6">
      <c r="B2132" s="1127" t="s">
        <v>1502</v>
      </c>
      <c r="C2132" s="1144">
        <v>1.976</v>
      </c>
    </row>
    <row r="2133" spans="2:38" ht="15.6">
      <c r="B2133" s="1127" t="s">
        <v>1503</v>
      </c>
      <c r="C2133" s="1144">
        <v>3.952</v>
      </c>
    </row>
    <row r="2134" spans="2:38" ht="15.6">
      <c r="B2134" s="1132"/>
      <c r="C2134" s="1159"/>
      <c r="Y2134" s="613"/>
      <c r="Z2134" s="613"/>
      <c r="AA2134" s="613"/>
      <c r="AB2134" s="613"/>
      <c r="AC2134" s="613"/>
      <c r="AD2134" s="613"/>
      <c r="AE2134" s="613"/>
      <c r="AF2134" s="613"/>
      <c r="AG2134" s="613"/>
      <c r="AH2134" s="613"/>
      <c r="AI2134" s="613"/>
      <c r="AJ2134" s="613"/>
      <c r="AK2134" s="613"/>
      <c r="AL2134" s="613"/>
    </row>
    <row r="2135" spans="2:38" ht="15.6">
      <c r="B2135" s="1132"/>
      <c r="C2135" s="1159"/>
      <c r="Y2135" s="613"/>
      <c r="Z2135" s="613"/>
      <c r="AA2135" s="613"/>
      <c r="AB2135" s="613"/>
      <c r="AC2135" s="613"/>
      <c r="AD2135" s="613"/>
      <c r="AE2135" s="613"/>
      <c r="AF2135" s="613"/>
      <c r="AG2135" s="613"/>
      <c r="AH2135" s="613"/>
      <c r="AI2135" s="613"/>
      <c r="AJ2135" s="613"/>
      <c r="AK2135" s="613"/>
      <c r="AL2135" s="613"/>
    </row>
    <row r="2136" spans="2:38">
      <c r="B2136" s="1926" t="s">
        <v>1554</v>
      </c>
      <c r="C2136" s="1927"/>
    </row>
    <row r="2137" spans="2:38">
      <c r="B2137" s="1126"/>
      <c r="C2137" s="1126" t="s">
        <v>1553</v>
      </c>
      <c r="D2137" s="1158"/>
      <c r="E2137" s="1158"/>
      <c r="F2137" s="1158"/>
      <c r="G2137" s="1158"/>
      <c r="H2137" s="1158"/>
    </row>
    <row r="2138" spans="2:38" ht="15.6">
      <c r="B2138" s="1127" t="s">
        <v>1552</v>
      </c>
      <c r="C2138" s="1160">
        <v>0.40460000000000002</v>
      </c>
      <c r="D2138" s="681"/>
      <c r="E2138" s="681"/>
      <c r="F2138" s="681"/>
      <c r="G2138" s="2055"/>
      <c r="H2138" s="2055"/>
    </row>
    <row r="2139" spans="2:38" ht="15.6">
      <c r="B2139" s="1127" t="s">
        <v>1551</v>
      </c>
      <c r="C2139" s="1160">
        <v>0.80920000000000003</v>
      </c>
      <c r="D2139" s="681"/>
      <c r="E2139" s="681"/>
      <c r="F2139" s="681"/>
      <c r="G2139" s="2055"/>
      <c r="H2139" s="2055"/>
    </row>
    <row r="2140" spans="2:38" ht="15.6">
      <c r="B2140" s="1127" t="s">
        <v>1550</v>
      </c>
      <c r="C2140" s="1160">
        <v>1.6188</v>
      </c>
      <c r="D2140" s="681"/>
      <c r="E2140" s="681"/>
      <c r="F2140" s="681"/>
      <c r="G2140" s="2055"/>
      <c r="H2140" s="2055"/>
    </row>
    <row r="2141" spans="2:38" ht="15.6">
      <c r="B2141" s="1127" t="s">
        <v>1549</v>
      </c>
      <c r="C2141" s="1160">
        <v>3.2378</v>
      </c>
      <c r="D2141" s="681"/>
      <c r="E2141" s="681"/>
      <c r="F2141" s="681"/>
      <c r="G2141" s="2055"/>
      <c r="H2141" s="2055"/>
    </row>
    <row r="2143" spans="2:38">
      <c r="B2143" s="1926" t="s">
        <v>1805</v>
      </c>
      <c r="C2143" s="1927"/>
      <c r="D2143" s="1511">
        <v>1.1200000000000001</v>
      </c>
      <c r="Y2143" s="1185"/>
      <c r="Z2143" s="1185"/>
      <c r="AA2143" s="1185"/>
      <c r="AB2143" s="1185"/>
      <c r="AC2143" s="1185"/>
      <c r="AD2143" s="1185"/>
      <c r="AE2143" s="1185"/>
      <c r="AF2143" s="1185"/>
      <c r="AG2143" s="1185"/>
      <c r="AH2143" s="1185"/>
      <c r="AI2143" s="1185"/>
      <c r="AJ2143" s="1185"/>
      <c r="AK2143" s="1185"/>
      <c r="AL2143" s="1185"/>
    </row>
    <row r="2144" spans="2:38">
      <c r="B2144" s="1126"/>
      <c r="C2144" s="1126" t="s">
        <v>1553</v>
      </c>
    </row>
    <row r="2145" spans="2:38" ht="15.6">
      <c r="B2145" s="1353" t="s">
        <v>1806</v>
      </c>
      <c r="C2145" s="1591">
        <v>1.1634896000000001</v>
      </c>
    </row>
    <row r="2146" spans="2:38" ht="15.6">
      <c r="B2146" s="1353" t="s">
        <v>1807</v>
      </c>
      <c r="C2146" s="1591">
        <v>4.6539584000000005</v>
      </c>
    </row>
    <row r="2147" spans="2:38" ht="15.6">
      <c r="B2147" s="1353" t="s">
        <v>1808</v>
      </c>
      <c r="C2147" s="1591">
        <v>18.615833600000002</v>
      </c>
    </row>
    <row r="2148" spans="2:38" ht="15.6">
      <c r="B2148" s="1353" t="s">
        <v>1809</v>
      </c>
      <c r="C2148" s="1591">
        <v>37.231667200000004</v>
      </c>
    </row>
    <row r="2150" spans="2:38">
      <c r="B2150" s="1370" t="s">
        <v>1824</v>
      </c>
      <c r="C2150" s="1371" t="s">
        <v>1825</v>
      </c>
      <c r="D2150" s="1372"/>
      <c r="E2150" s="1372"/>
      <c r="F2150" s="1372"/>
      <c r="G2150" s="1373"/>
    </row>
    <row r="2151" spans="2:38" ht="28.8">
      <c r="B2151" s="1374" t="s">
        <v>1826</v>
      </c>
      <c r="C2151" s="1375" t="s">
        <v>3</v>
      </c>
      <c r="D2151" s="1375" t="s">
        <v>37</v>
      </c>
      <c r="E2151" s="1375" t="s">
        <v>261</v>
      </c>
      <c r="F2151" s="1375" t="s">
        <v>904</v>
      </c>
      <c r="G2151" s="1376" t="s">
        <v>1827</v>
      </c>
    </row>
    <row r="2152" spans="2:38">
      <c r="B2152" s="1895" t="s">
        <v>2626</v>
      </c>
      <c r="C2152" s="1377">
        <v>2</v>
      </c>
      <c r="D2152" s="1378">
        <v>4</v>
      </c>
      <c r="E2152" s="1377" t="s">
        <v>102</v>
      </c>
      <c r="F2152" s="1377" t="s">
        <v>102</v>
      </c>
      <c r="G2152" s="813">
        <v>37.790999999999997</v>
      </c>
    </row>
    <row r="2153" spans="2:38">
      <c r="B2153" s="1895" t="s">
        <v>2627</v>
      </c>
      <c r="C2153" s="1377">
        <v>4</v>
      </c>
      <c r="D2153" s="1378">
        <v>8</v>
      </c>
      <c r="E2153" s="1377" t="s">
        <v>102</v>
      </c>
      <c r="F2153" s="1377" t="s">
        <v>102</v>
      </c>
      <c r="G2153" s="813">
        <v>75.637249999999995</v>
      </c>
    </row>
    <row r="2154" spans="2:38" s="1405" customFormat="1">
      <c r="B2154" s="1895" t="s">
        <v>2628</v>
      </c>
      <c r="C2154" s="1377">
        <v>8</v>
      </c>
      <c r="D2154" s="1378">
        <v>16</v>
      </c>
      <c r="E2154" s="1377" t="s">
        <v>102</v>
      </c>
      <c r="F2154" s="1377" t="s">
        <v>102</v>
      </c>
      <c r="G2154" s="813">
        <v>151.32974999999999</v>
      </c>
      <c r="H2154" s="4"/>
      <c r="I2154" s="4"/>
      <c r="J2154" s="4"/>
      <c r="K2154" s="4"/>
      <c r="L2154" s="4"/>
      <c r="M2154" s="4"/>
      <c r="N2154" s="4"/>
      <c r="O2154" s="4"/>
      <c r="P2154" s="4"/>
      <c r="Q2154" s="4"/>
      <c r="R2154" s="4"/>
      <c r="S2154" s="4"/>
      <c r="T2154" s="4"/>
      <c r="U2154" s="4"/>
      <c r="V2154" s="4"/>
      <c r="W2154" s="89"/>
      <c r="X2154" s="4"/>
      <c r="Y2154" s="39"/>
      <c r="Z2154" s="39"/>
      <c r="AA2154" s="39"/>
      <c r="AB2154" s="33"/>
      <c r="AC2154" s="33"/>
      <c r="AD2154" s="33"/>
      <c r="AE2154" s="33"/>
      <c r="AF2154" s="33"/>
      <c r="AG2154" s="33"/>
      <c r="AH2154" s="33"/>
      <c r="AI2154" s="33"/>
      <c r="AJ2154" s="33"/>
      <c r="AK2154" s="33"/>
      <c r="AL2154" s="33"/>
    </row>
    <row r="2155" spans="2:38">
      <c r="B2155" s="1895" t="s">
        <v>2629</v>
      </c>
      <c r="C2155" s="1377">
        <v>12</v>
      </c>
      <c r="D2155" s="1378">
        <v>24</v>
      </c>
      <c r="E2155" s="1377" t="s">
        <v>102</v>
      </c>
      <c r="F2155" s="1377" t="s">
        <v>102</v>
      </c>
      <c r="G2155" s="813">
        <v>227.02224999999999</v>
      </c>
    </row>
    <row r="2156" spans="2:38" ht="32.549999999999997" customHeight="1">
      <c r="B2156" s="1895" t="s">
        <v>2388</v>
      </c>
      <c r="C2156" s="1377">
        <v>16</v>
      </c>
      <c r="D2156" s="1378">
        <v>32</v>
      </c>
      <c r="E2156" s="1377" t="s">
        <v>102</v>
      </c>
      <c r="F2156" s="1377" t="s">
        <v>102</v>
      </c>
      <c r="G2156" s="813">
        <v>302.71474999999998</v>
      </c>
    </row>
    <row r="2157" spans="2:38">
      <c r="B2157" s="1895" t="s">
        <v>2630</v>
      </c>
      <c r="C2157" s="1377">
        <v>24</v>
      </c>
      <c r="D2157" s="1378">
        <v>48</v>
      </c>
      <c r="E2157" s="1377" t="s">
        <v>102</v>
      </c>
      <c r="F2157" s="1377" t="s">
        <v>102</v>
      </c>
      <c r="G2157" s="813">
        <v>454.09974999999997</v>
      </c>
    </row>
    <row r="2158" spans="2:38">
      <c r="B2158" s="1895" t="s">
        <v>2442</v>
      </c>
      <c r="C2158" s="1377">
        <v>32</v>
      </c>
      <c r="D2158" s="1378">
        <v>64</v>
      </c>
      <c r="E2158" s="1377" t="s">
        <v>102</v>
      </c>
      <c r="F2158" s="1377" t="s">
        <v>102</v>
      </c>
      <c r="G2158" s="813">
        <v>532.77575000000002</v>
      </c>
    </row>
    <row r="2159" spans="2:38">
      <c r="B2159" s="1895" t="s">
        <v>2443</v>
      </c>
      <c r="C2159" s="1377">
        <v>64</v>
      </c>
      <c r="D2159" s="1378">
        <v>128</v>
      </c>
      <c r="E2159" s="1377" t="s">
        <v>102</v>
      </c>
      <c r="F2159" s="1377" t="s">
        <v>102</v>
      </c>
      <c r="G2159" s="813">
        <v>1065.6067499999999</v>
      </c>
    </row>
    <row r="2160" spans="2:38">
      <c r="B2160" s="1895" t="s">
        <v>2631</v>
      </c>
      <c r="C2160" s="1377">
        <v>2</v>
      </c>
      <c r="D2160" s="1378">
        <v>8</v>
      </c>
      <c r="E2160" s="1377" t="s">
        <v>102</v>
      </c>
      <c r="F2160" s="1377" t="s">
        <v>102</v>
      </c>
      <c r="G2160" s="813">
        <v>37.790999999999997</v>
      </c>
    </row>
    <row r="2161" spans="2:38">
      <c r="B2161" s="1895" t="s">
        <v>2632</v>
      </c>
      <c r="C2161" s="1377">
        <v>4</v>
      </c>
      <c r="D2161" s="1378">
        <v>16</v>
      </c>
      <c r="E2161" s="1377" t="s">
        <v>102</v>
      </c>
      <c r="F2161" s="1377" t="s">
        <v>102</v>
      </c>
      <c r="G2161" s="813">
        <v>75.637249999999995</v>
      </c>
    </row>
    <row r="2162" spans="2:38">
      <c r="B2162" s="1895" t="s">
        <v>2633</v>
      </c>
      <c r="C2162" s="1377">
        <v>8</v>
      </c>
      <c r="D2162" s="1378">
        <v>32</v>
      </c>
      <c r="E2162" s="1377" t="s">
        <v>102</v>
      </c>
      <c r="F2162" s="1377" t="s">
        <v>102</v>
      </c>
      <c r="G2162" s="813">
        <v>151.32974999999999</v>
      </c>
    </row>
    <row r="2163" spans="2:38">
      <c r="B2163" s="1895" t="s">
        <v>2634</v>
      </c>
      <c r="C2163" s="1377">
        <v>12</v>
      </c>
      <c r="D2163" s="1378">
        <v>48</v>
      </c>
      <c r="E2163" s="1377" t="s">
        <v>102</v>
      </c>
      <c r="F2163" s="1377" t="s">
        <v>102</v>
      </c>
      <c r="G2163" s="813">
        <v>227.02224999999999</v>
      </c>
    </row>
    <row r="2164" spans="2:38">
      <c r="B2164" s="1895" t="s">
        <v>2389</v>
      </c>
      <c r="C2164" s="1377">
        <v>16</v>
      </c>
      <c r="D2164" s="1378">
        <v>64</v>
      </c>
      <c r="E2164" s="1377" t="s">
        <v>102</v>
      </c>
      <c r="F2164" s="1377" t="s">
        <v>102</v>
      </c>
      <c r="G2164" s="813">
        <v>302.71475000000004</v>
      </c>
    </row>
    <row r="2165" spans="2:38">
      <c r="B2165" s="1895" t="s">
        <v>2390</v>
      </c>
      <c r="C2165" s="1377">
        <v>24</v>
      </c>
      <c r="D2165" s="1378">
        <v>96</v>
      </c>
      <c r="E2165" s="1377" t="s">
        <v>102</v>
      </c>
      <c r="F2165" s="1377" t="s">
        <v>102</v>
      </c>
      <c r="G2165" s="813">
        <v>454.09974999999997</v>
      </c>
    </row>
    <row r="2166" spans="2:38">
      <c r="B2166" s="1895" t="s">
        <v>2391</v>
      </c>
      <c r="C2166" s="1377">
        <v>32</v>
      </c>
      <c r="D2166" s="1378">
        <v>128</v>
      </c>
      <c r="E2166" s="1377" t="s">
        <v>102</v>
      </c>
      <c r="F2166" s="1377" t="s">
        <v>102</v>
      </c>
      <c r="G2166" s="813">
        <v>532.77575000000002</v>
      </c>
    </row>
    <row r="2167" spans="2:38">
      <c r="B2167" s="1895" t="s">
        <v>2392</v>
      </c>
      <c r="C2167" s="1377">
        <v>64</v>
      </c>
      <c r="D2167" s="1378">
        <v>256</v>
      </c>
      <c r="E2167" s="1377" t="s">
        <v>102</v>
      </c>
      <c r="F2167" s="1377" t="s">
        <v>102</v>
      </c>
      <c r="G2167" s="813">
        <v>1065.6067499999999</v>
      </c>
    </row>
    <row r="2168" spans="2:38">
      <c r="B2168" s="1895" t="s">
        <v>2384</v>
      </c>
      <c r="C2168" s="1377">
        <v>16</v>
      </c>
      <c r="D2168" s="673">
        <v>128</v>
      </c>
      <c r="E2168" s="1377" t="s">
        <v>102</v>
      </c>
      <c r="F2168" s="1377" t="s">
        <v>102</v>
      </c>
      <c r="G2168" s="813">
        <v>302.71474999999998</v>
      </c>
    </row>
    <row r="2170" spans="2:38">
      <c r="Y2170" s="1405"/>
      <c r="Z2170" s="1405"/>
      <c r="AA2170" s="1405"/>
      <c r="AB2170" s="1405"/>
      <c r="AC2170" s="1405"/>
      <c r="AD2170" s="1405"/>
      <c r="AE2170" s="1405"/>
      <c r="AF2170" s="1405"/>
      <c r="AG2170" s="1405"/>
      <c r="AH2170" s="1405"/>
      <c r="AI2170" s="1405"/>
      <c r="AJ2170" s="1405"/>
      <c r="AK2170" s="1405"/>
      <c r="AL2170" s="1405"/>
    </row>
    <row r="2171" spans="2:38">
      <c r="B2171" s="1926" t="s">
        <v>2074</v>
      </c>
      <c r="C2171" s="1927"/>
    </row>
    <row r="2172" spans="2:38">
      <c r="B2172" s="1434" t="s">
        <v>146</v>
      </c>
      <c r="C2172" s="1434" t="s">
        <v>489</v>
      </c>
      <c r="D2172" s="1434" t="s">
        <v>2073</v>
      </c>
      <c r="E2172" s="1434" t="s">
        <v>2471</v>
      </c>
    </row>
    <row r="2173" spans="2:38">
      <c r="B2173" s="1436" t="s">
        <v>83</v>
      </c>
      <c r="C2173" s="1440" t="s">
        <v>2067</v>
      </c>
      <c r="D2173" s="1574">
        <v>0</v>
      </c>
      <c r="E2173" s="1574">
        <v>0</v>
      </c>
    </row>
    <row r="2174" spans="2:38">
      <c r="B2174" s="1436" t="s">
        <v>2068</v>
      </c>
      <c r="C2174" s="1440" t="s">
        <v>2069</v>
      </c>
      <c r="D2174" s="1574">
        <v>3.3000000000000002E-2</v>
      </c>
      <c r="E2174" s="1574">
        <v>15.12</v>
      </c>
    </row>
    <row r="2175" spans="2:38">
      <c r="B2175" s="1436" t="s">
        <v>21</v>
      </c>
      <c r="C2175" s="1440" t="s">
        <v>2070</v>
      </c>
      <c r="D2175" s="1574">
        <v>4.2999999999999997E-2</v>
      </c>
      <c r="E2175" s="1574">
        <v>30.24</v>
      </c>
    </row>
    <row r="2176" spans="2:38">
      <c r="B2176" s="1436" t="s">
        <v>2071</v>
      </c>
      <c r="C2176" s="1440" t="s">
        <v>2072</v>
      </c>
      <c r="D2176" s="1574">
        <v>0.21099999999999999</v>
      </c>
      <c r="E2176" s="1574">
        <v>151.19999999999999</v>
      </c>
    </row>
    <row r="2178" spans="2:24" s="1489" customFormat="1">
      <c r="B2178" s="1926" t="s">
        <v>2434</v>
      </c>
      <c r="C2178" s="1927"/>
      <c r="D2178" s="1490"/>
      <c r="E2178" s="1490"/>
      <c r="F2178" s="1490"/>
      <c r="G2178" s="1490"/>
      <c r="H2178" s="1490"/>
      <c r="I2178" s="1490"/>
      <c r="J2178" s="1490"/>
      <c r="K2178" s="1490"/>
      <c r="L2178" s="1490"/>
      <c r="M2178" s="1490"/>
      <c r="N2178" s="1490"/>
      <c r="O2178" s="1490"/>
      <c r="P2178" s="1490"/>
      <c r="Q2178" s="1490"/>
      <c r="R2178" s="1490"/>
      <c r="S2178" s="1490"/>
      <c r="T2178" s="1490"/>
      <c r="U2178" s="1490"/>
      <c r="V2178" s="1490"/>
      <c r="W2178" s="89"/>
      <c r="X2178" s="1490"/>
    </row>
    <row r="2179" spans="2:24" s="1489" customFormat="1">
      <c r="B2179" s="1434" t="s">
        <v>146</v>
      </c>
      <c r="C2179" s="1434" t="s">
        <v>489</v>
      </c>
      <c r="D2179" s="1434" t="s">
        <v>2073</v>
      </c>
      <c r="E2179" s="1434" t="s">
        <v>2470</v>
      </c>
      <c r="F2179" s="1490"/>
      <c r="G2179" s="1490"/>
      <c r="H2179" s="1490"/>
      <c r="I2179" s="1490"/>
      <c r="J2179" s="1490"/>
      <c r="K2179" s="1490"/>
      <c r="L2179" s="1490"/>
      <c r="M2179" s="1490"/>
      <c r="N2179" s="1490"/>
      <c r="O2179" s="1490"/>
      <c r="P2179" s="1490"/>
      <c r="Q2179" s="1490"/>
      <c r="R2179" s="1490"/>
      <c r="S2179" s="1490"/>
      <c r="T2179" s="1490"/>
      <c r="U2179" s="1490"/>
      <c r="V2179" s="1490"/>
      <c r="W2179" s="89"/>
      <c r="X2179" s="1490"/>
    </row>
    <row r="2180" spans="2:24" s="1489" customFormat="1">
      <c r="B2180" s="1436" t="s">
        <v>2434</v>
      </c>
      <c r="C2180" s="1440"/>
      <c r="D2180" s="1549">
        <v>6.3E-2</v>
      </c>
      <c r="E2180" s="1574">
        <v>45.36</v>
      </c>
      <c r="F2180" s="1490"/>
      <c r="G2180" s="1490"/>
      <c r="H2180" s="1490"/>
      <c r="I2180" s="1490"/>
      <c r="J2180" s="1490"/>
      <c r="K2180" s="1490"/>
      <c r="L2180" s="1490"/>
      <c r="M2180" s="1490"/>
      <c r="N2180" s="1490"/>
      <c r="O2180" s="1490"/>
      <c r="P2180" s="1490"/>
      <c r="Q2180" s="1490"/>
      <c r="R2180" s="1490"/>
      <c r="S2180" s="1490"/>
      <c r="T2180" s="1490"/>
      <c r="U2180" s="1490"/>
      <c r="V2180" s="1490"/>
      <c r="W2180" s="89"/>
      <c r="X2180" s="1490"/>
    </row>
    <row r="2181" spans="2:24" s="1489" customFormat="1">
      <c r="B2181" s="1771"/>
      <c r="C2181" s="1772"/>
      <c r="D2181" s="1773"/>
      <c r="E2181" s="1774"/>
      <c r="F2181" s="1490"/>
      <c r="G2181" s="1490"/>
      <c r="H2181" s="1490"/>
      <c r="I2181" s="1490"/>
      <c r="J2181" s="1490"/>
      <c r="K2181" s="1490"/>
      <c r="L2181" s="1490"/>
      <c r="M2181" s="1490"/>
      <c r="N2181" s="1490"/>
      <c r="O2181" s="1490"/>
      <c r="P2181" s="1490"/>
      <c r="Q2181" s="1490"/>
      <c r="R2181" s="1490"/>
      <c r="S2181" s="1490"/>
      <c r="T2181" s="1490"/>
      <c r="U2181" s="1490"/>
      <c r="V2181" s="1490"/>
      <c r="W2181" s="89"/>
      <c r="X2181" s="1490"/>
    </row>
    <row r="2182" spans="2:24" s="1489" customFormat="1">
      <c r="B2182" s="1926" t="s">
        <v>2585</v>
      </c>
      <c r="C2182" s="1927"/>
      <c r="D2182" s="1773"/>
      <c r="E2182" s="1774"/>
      <c r="F2182" s="1490"/>
      <c r="G2182" s="1490"/>
      <c r="H2182" s="1490"/>
      <c r="I2182" s="1490"/>
      <c r="J2182" s="1490"/>
      <c r="K2182" s="1490"/>
      <c r="L2182" s="1490"/>
      <c r="M2182" s="1490"/>
      <c r="N2182" s="1490"/>
      <c r="O2182" s="1490"/>
      <c r="P2182" s="1490"/>
      <c r="Q2182" s="1490"/>
      <c r="R2182" s="1490"/>
      <c r="S2182" s="1490"/>
      <c r="T2182" s="1490"/>
      <c r="U2182" s="1490"/>
      <c r="V2182" s="1490"/>
      <c r="W2182" s="89"/>
      <c r="X2182" s="1490"/>
    </row>
    <row r="2183" spans="2:24" s="1489" customFormat="1">
      <c r="B2183" s="1434" t="s">
        <v>146</v>
      </c>
      <c r="C2183" s="1434" t="s">
        <v>1553</v>
      </c>
      <c r="D2183" s="1773"/>
      <c r="E2183" s="1774"/>
      <c r="F2183" s="1490"/>
      <c r="G2183" s="1490"/>
      <c r="H2183" s="1490"/>
      <c r="I2183" s="1490"/>
      <c r="J2183" s="1490"/>
      <c r="K2183" s="1490"/>
      <c r="L2183" s="1490"/>
      <c r="M2183" s="1490"/>
      <c r="N2183" s="1490"/>
      <c r="O2183" s="1490"/>
      <c r="P2183" s="1490"/>
      <c r="Q2183" s="1490"/>
      <c r="R2183" s="1490"/>
      <c r="S2183" s="1490"/>
      <c r="T2183" s="1490"/>
      <c r="U2183" s="1490"/>
      <c r="V2183" s="1490"/>
      <c r="W2183" s="89"/>
      <c r="X2183" s="1490"/>
    </row>
    <row r="2184" spans="2:24" s="1489" customFormat="1">
      <c r="B2184" s="1793" t="s">
        <v>2572</v>
      </c>
      <c r="C2184" s="1794">
        <v>0.76627397260273966</v>
      </c>
      <c r="D2184" s="1773"/>
      <c r="E2184" s="1774"/>
      <c r="F2184" s="1490"/>
      <c r="G2184" s="1490"/>
      <c r="H2184" s="1490"/>
      <c r="I2184" s="1490"/>
      <c r="J2184" s="1490"/>
      <c r="K2184" s="1490"/>
      <c r="L2184" s="1490"/>
      <c r="M2184" s="1490"/>
      <c r="N2184" s="1490"/>
      <c r="O2184" s="1490"/>
      <c r="P2184" s="1490"/>
      <c r="Q2184" s="1490"/>
      <c r="R2184" s="1490"/>
      <c r="S2184" s="1490"/>
      <c r="T2184" s="1490"/>
      <c r="U2184" s="1490"/>
      <c r="V2184" s="1490"/>
      <c r="W2184" s="89"/>
      <c r="X2184" s="1490"/>
    </row>
    <row r="2185" spans="2:24" s="1489" customFormat="1">
      <c r="B2185" s="1793" t="s">
        <v>2573</v>
      </c>
      <c r="C2185" s="1794">
        <v>1.1494109589041097</v>
      </c>
      <c r="D2185" s="1773"/>
      <c r="E2185" s="1774"/>
      <c r="F2185" s="1490"/>
      <c r="G2185" s="1490"/>
      <c r="H2185" s="1490"/>
      <c r="I2185" s="1490"/>
      <c r="J2185" s="1490"/>
      <c r="K2185" s="1490"/>
      <c r="L2185" s="1490"/>
      <c r="M2185" s="1490"/>
      <c r="N2185" s="1490"/>
      <c r="O2185" s="1490"/>
      <c r="P2185" s="1490"/>
      <c r="Q2185" s="1490"/>
      <c r="R2185" s="1490"/>
      <c r="S2185" s="1490"/>
      <c r="T2185" s="1490"/>
      <c r="U2185" s="1490"/>
      <c r="V2185" s="1490"/>
      <c r="W2185" s="89"/>
      <c r="X2185" s="1490"/>
    </row>
    <row r="2186" spans="2:24" s="1489" customFormat="1">
      <c r="B2186" s="1793" t="s">
        <v>2574</v>
      </c>
      <c r="C2186" s="1794">
        <v>1.3409794520547946</v>
      </c>
      <c r="D2186" s="1773"/>
      <c r="E2186" s="1774"/>
      <c r="F2186" s="1490"/>
      <c r="G2186" s="1490"/>
      <c r="H2186" s="1490"/>
      <c r="I2186" s="1490"/>
      <c r="J2186" s="1490"/>
      <c r="K2186" s="1490"/>
      <c r="L2186" s="1490"/>
      <c r="M2186" s="1490"/>
      <c r="N2186" s="1490"/>
      <c r="O2186" s="1490"/>
      <c r="P2186" s="1490"/>
      <c r="Q2186" s="1490"/>
      <c r="R2186" s="1490"/>
      <c r="S2186" s="1490"/>
      <c r="T2186" s="1490"/>
      <c r="U2186" s="1490"/>
      <c r="V2186" s="1490"/>
      <c r="W2186" s="89"/>
      <c r="X2186" s="1490"/>
    </row>
    <row r="2187" spans="2:24" s="1489" customFormat="1">
      <c r="B2187" s="1793" t="s">
        <v>2575</v>
      </c>
      <c r="C2187" s="1794">
        <v>2.1072534246575345</v>
      </c>
      <c r="D2187" s="1773"/>
      <c r="E2187" s="1774"/>
      <c r="F2187" s="1490"/>
      <c r="G2187" s="1490"/>
      <c r="H2187" s="1490"/>
      <c r="I2187" s="1490"/>
      <c r="J2187" s="1490"/>
      <c r="K2187" s="1490"/>
      <c r="L2187" s="1490"/>
      <c r="M2187" s="1490"/>
      <c r="N2187" s="1490"/>
      <c r="O2187" s="1490"/>
      <c r="P2187" s="1490"/>
      <c r="Q2187" s="1490"/>
      <c r="R2187" s="1490"/>
      <c r="S2187" s="1490"/>
      <c r="T2187" s="1490"/>
      <c r="U2187" s="1490"/>
      <c r="V2187" s="1490"/>
      <c r="W2187" s="89"/>
      <c r="X2187" s="1490"/>
    </row>
    <row r="2188" spans="2:24" s="1489" customFormat="1">
      <c r="B2188" s="1793" t="s">
        <v>2576</v>
      </c>
      <c r="C2188" s="1794">
        <v>3.8313698630136992</v>
      </c>
      <c r="D2188" s="1773"/>
      <c r="E2188" s="1774"/>
      <c r="F2188" s="1490"/>
      <c r="G2188" s="1490"/>
      <c r="H2188" s="1490"/>
      <c r="I2188" s="1490"/>
      <c r="J2188" s="1490"/>
      <c r="K2188" s="1490"/>
      <c r="L2188" s="1490"/>
      <c r="M2188" s="1490"/>
      <c r="N2188" s="1490"/>
      <c r="O2188" s="1490"/>
      <c r="P2188" s="1490"/>
      <c r="Q2188" s="1490"/>
      <c r="R2188" s="1490"/>
      <c r="S2188" s="1490"/>
      <c r="T2188" s="1490"/>
      <c r="U2188" s="1490"/>
      <c r="V2188" s="1490"/>
      <c r="W2188" s="89"/>
      <c r="X2188" s="1490"/>
    </row>
    <row r="2189" spans="2:24" s="1489" customFormat="1">
      <c r="B2189" s="1793" t="s">
        <v>2577</v>
      </c>
      <c r="C2189" s="1794">
        <v>6.7048972602739729</v>
      </c>
      <c r="D2189" s="1773"/>
      <c r="E2189" s="1774"/>
      <c r="F2189" s="1490"/>
      <c r="G2189" s="1490"/>
      <c r="H2189" s="1490"/>
      <c r="I2189" s="1490"/>
      <c r="J2189" s="1490"/>
      <c r="K2189" s="1490"/>
      <c r="L2189" s="1490"/>
      <c r="M2189" s="1490"/>
      <c r="N2189" s="1490"/>
      <c r="O2189" s="1490"/>
      <c r="P2189" s="1490"/>
      <c r="Q2189" s="1490"/>
      <c r="R2189" s="1490"/>
      <c r="S2189" s="1490"/>
      <c r="T2189" s="1490"/>
      <c r="U2189" s="1490"/>
      <c r="V2189" s="1490"/>
      <c r="W2189" s="89"/>
      <c r="X2189" s="1490"/>
    </row>
    <row r="2190" spans="2:24" s="1489" customFormat="1">
      <c r="B2190" s="1793" t="s">
        <v>2578</v>
      </c>
      <c r="C2190" s="1794">
        <v>11.494109589041095</v>
      </c>
      <c r="D2190" s="1773"/>
      <c r="E2190" s="1774"/>
      <c r="F2190" s="1490"/>
      <c r="G2190" s="1490"/>
      <c r="H2190" s="1490"/>
      <c r="I2190" s="1490"/>
      <c r="J2190" s="1490"/>
      <c r="K2190" s="1490"/>
      <c r="L2190" s="1490"/>
      <c r="M2190" s="1490"/>
      <c r="N2190" s="1490"/>
      <c r="O2190" s="1490"/>
      <c r="P2190" s="1490"/>
      <c r="Q2190" s="1490"/>
      <c r="R2190" s="1490"/>
      <c r="S2190" s="1490"/>
      <c r="T2190" s="1490"/>
      <c r="U2190" s="1490"/>
      <c r="V2190" s="1490"/>
      <c r="W2190" s="89"/>
      <c r="X2190" s="1490"/>
    </row>
    <row r="2191" spans="2:24" s="1489" customFormat="1">
      <c r="B2191" s="1793" t="s">
        <v>2579</v>
      </c>
      <c r="C2191" s="1794">
        <v>1.7241164383561645</v>
      </c>
      <c r="D2191" s="1773"/>
      <c r="E2191" s="1774"/>
      <c r="F2191" s="1490"/>
      <c r="G2191" s="1490"/>
      <c r="H2191" s="1490"/>
      <c r="I2191" s="1490"/>
      <c r="J2191" s="1490"/>
      <c r="K2191" s="1490"/>
      <c r="L2191" s="1490"/>
      <c r="M2191" s="1490"/>
      <c r="N2191" s="1490"/>
      <c r="O2191" s="1490"/>
      <c r="P2191" s="1490"/>
      <c r="Q2191" s="1490"/>
      <c r="R2191" s="1490"/>
      <c r="S2191" s="1490"/>
      <c r="T2191" s="1490"/>
      <c r="U2191" s="1490"/>
      <c r="V2191" s="1490"/>
      <c r="W2191" s="89"/>
      <c r="X2191" s="1490"/>
    </row>
    <row r="2192" spans="2:24" s="1489" customFormat="1">
      <c r="B2192" s="1793" t="s">
        <v>2580</v>
      </c>
      <c r="C2192" s="1794">
        <v>2.0114691780821916</v>
      </c>
      <c r="D2192" s="1773"/>
      <c r="E2192" s="1774"/>
      <c r="F2192" s="1490"/>
      <c r="G2192" s="1490"/>
      <c r="H2192" s="1490"/>
      <c r="I2192" s="1490"/>
      <c r="J2192" s="1490"/>
      <c r="K2192" s="1490"/>
      <c r="L2192" s="1490"/>
      <c r="M2192" s="1490"/>
      <c r="N2192" s="1490"/>
      <c r="O2192" s="1490"/>
      <c r="P2192" s="1490"/>
      <c r="Q2192" s="1490"/>
      <c r="R2192" s="1490"/>
      <c r="S2192" s="1490"/>
      <c r="T2192" s="1490"/>
      <c r="U2192" s="1490"/>
      <c r="V2192" s="1490"/>
      <c r="W2192" s="89"/>
      <c r="X2192" s="1490"/>
    </row>
    <row r="2193" spans="2:24" s="1489" customFormat="1">
      <c r="B2193" s="1793" t="s">
        <v>2581</v>
      </c>
      <c r="C2193" s="1794">
        <v>3.1608801369863015</v>
      </c>
      <c r="D2193" s="1773"/>
      <c r="E2193" s="1774"/>
      <c r="F2193" s="1490"/>
      <c r="G2193" s="1490"/>
      <c r="H2193" s="1490"/>
      <c r="I2193" s="1490"/>
      <c r="J2193" s="1490"/>
      <c r="K2193" s="1490"/>
      <c r="L2193" s="1490"/>
      <c r="M2193" s="1490"/>
      <c r="N2193" s="1490"/>
      <c r="O2193" s="1490"/>
      <c r="P2193" s="1490"/>
      <c r="Q2193" s="1490"/>
      <c r="R2193" s="1490"/>
      <c r="S2193" s="1490"/>
      <c r="T2193" s="1490"/>
      <c r="U2193" s="1490"/>
      <c r="V2193" s="1490"/>
      <c r="W2193" s="89"/>
      <c r="X2193" s="1490"/>
    </row>
    <row r="2194" spans="2:24" s="1489" customFormat="1">
      <c r="B2194" s="1793" t="s">
        <v>2582</v>
      </c>
      <c r="C2194" s="1794">
        <v>5.7470547945205475</v>
      </c>
      <c r="D2194" s="1773"/>
      <c r="E2194" s="1774"/>
      <c r="F2194" s="1490"/>
      <c r="G2194" s="1490"/>
      <c r="H2194" s="1490"/>
      <c r="I2194" s="1490"/>
      <c r="J2194" s="1490"/>
      <c r="K2194" s="1490"/>
      <c r="L2194" s="1490"/>
      <c r="M2194" s="1490"/>
      <c r="N2194" s="1490"/>
      <c r="O2194" s="1490"/>
      <c r="P2194" s="1490"/>
      <c r="Q2194" s="1490"/>
      <c r="R2194" s="1490"/>
      <c r="S2194" s="1490"/>
      <c r="T2194" s="1490"/>
      <c r="U2194" s="1490"/>
      <c r="V2194" s="1490"/>
      <c r="W2194" s="89"/>
      <c r="X2194" s="1490"/>
    </row>
    <row r="2195" spans="2:24" s="1489" customFormat="1">
      <c r="B2195" s="1793" t="s">
        <v>2583</v>
      </c>
      <c r="C2195" s="1794">
        <v>10.057345890410959</v>
      </c>
      <c r="D2195" s="1773"/>
      <c r="E2195" s="1774"/>
      <c r="F2195" s="1490"/>
      <c r="G2195" s="1490"/>
      <c r="H2195" s="1490"/>
      <c r="I2195" s="1490"/>
      <c r="J2195" s="1490"/>
      <c r="K2195" s="1490"/>
      <c r="L2195" s="1490"/>
      <c r="M2195" s="1490"/>
      <c r="N2195" s="1490"/>
      <c r="O2195" s="1490"/>
      <c r="P2195" s="1490"/>
      <c r="Q2195" s="1490"/>
      <c r="R2195" s="1490"/>
      <c r="S2195" s="1490"/>
      <c r="T2195" s="1490"/>
      <c r="U2195" s="1490"/>
      <c r="V2195" s="1490"/>
      <c r="W2195" s="89"/>
      <c r="X2195" s="1490"/>
    </row>
    <row r="2196" spans="2:24" s="1489" customFormat="1">
      <c r="B2196" s="1793" t="s">
        <v>2584</v>
      </c>
      <c r="C2196" s="1794">
        <v>17.241164383561646</v>
      </c>
      <c r="D2196" s="1773"/>
      <c r="E2196" s="1774"/>
      <c r="F2196" s="1490"/>
      <c r="G2196" s="1490"/>
      <c r="H2196" s="1490"/>
      <c r="I2196" s="1490"/>
      <c r="J2196" s="1490"/>
      <c r="K2196" s="1490"/>
      <c r="L2196" s="1490"/>
      <c r="M2196" s="1490"/>
      <c r="N2196" s="1490"/>
      <c r="O2196" s="1490"/>
      <c r="P2196" s="1490"/>
      <c r="Q2196" s="1490"/>
      <c r="R2196" s="1490"/>
      <c r="S2196" s="1490"/>
      <c r="T2196" s="1490"/>
      <c r="U2196" s="1490"/>
      <c r="V2196" s="1490"/>
      <c r="W2196" s="89"/>
      <c r="X2196" s="1490"/>
    </row>
    <row r="2197" spans="2:24">
      <c r="B2197" s="1490"/>
      <c r="C2197" s="1490"/>
    </row>
    <row r="2198" spans="2:24">
      <c r="B2198" s="2020" t="s">
        <v>2087</v>
      </c>
      <c r="C2198" s="2021"/>
    </row>
    <row r="2199" spans="2:24">
      <c r="B2199" s="1434"/>
      <c r="C2199" s="1434" t="s">
        <v>2086</v>
      </c>
    </row>
    <row r="2200" spans="2:24">
      <c r="B2200" s="1436" t="s">
        <v>2087</v>
      </c>
      <c r="C2200" s="1440">
        <v>1.2999999999999999E-2</v>
      </c>
    </row>
    <row r="2203" spans="2:24">
      <c r="B2203" s="1926" t="s">
        <v>2481</v>
      </c>
      <c r="C2203" s="1927"/>
      <c r="D2203" s="1489"/>
    </row>
    <row r="2204" spans="2:24">
      <c r="B2204" s="1466" t="s">
        <v>158</v>
      </c>
      <c r="C2204" s="1466" t="s">
        <v>2129</v>
      </c>
      <c r="D2204" s="1466" t="s">
        <v>681</v>
      </c>
    </row>
    <row r="2205" spans="2:24">
      <c r="B2205" s="1440" t="s">
        <v>2130</v>
      </c>
      <c r="C2205" s="1440">
        <v>10</v>
      </c>
      <c r="D2205" s="1595">
        <v>7.784000000000002E-2</v>
      </c>
      <c r="E2205" s="4">
        <v>1.1200000000000001</v>
      </c>
    </row>
    <row r="2206" spans="2:24">
      <c r="B2206" s="1440" t="s">
        <v>2131</v>
      </c>
      <c r="C2206" s="1440">
        <v>20</v>
      </c>
      <c r="D2206" s="1595">
        <v>0.15568000000000004</v>
      </c>
    </row>
    <row r="2207" spans="2:24">
      <c r="B2207" s="1440" t="s">
        <v>2132</v>
      </c>
      <c r="C2207" s="1440">
        <v>40</v>
      </c>
      <c r="D2207" s="1595">
        <v>0.31136000000000008</v>
      </c>
    </row>
    <row r="2208" spans="2:24">
      <c r="B2208" s="1440" t="s">
        <v>2133</v>
      </c>
      <c r="C2208" s="1440">
        <v>100</v>
      </c>
      <c r="D2208" s="1595">
        <f>0.695*E2205</f>
        <v>0.77839999999999998</v>
      </c>
    </row>
    <row r="2209" spans="2:4">
      <c r="B2209" s="1753" t="s">
        <v>2134</v>
      </c>
      <c r="C2209" s="1753">
        <v>200</v>
      </c>
      <c r="D2209" s="1754">
        <v>1.5568</v>
      </c>
    </row>
    <row r="2210" spans="2:4">
      <c r="B2210" s="1753" t="s">
        <v>2135</v>
      </c>
      <c r="C2210" s="1753">
        <v>400</v>
      </c>
      <c r="D2210" s="1754">
        <v>3.1135999999999999</v>
      </c>
    </row>
    <row r="2211" spans="2:4">
      <c r="B2211" s="1753" t="s">
        <v>2136</v>
      </c>
      <c r="C2211" s="1753">
        <v>10</v>
      </c>
      <c r="D2211" s="1754">
        <v>0.15568000000000004</v>
      </c>
    </row>
    <row r="2212" spans="2:4">
      <c r="B2212" s="1753" t="s">
        <v>2137</v>
      </c>
      <c r="C2212" s="1753">
        <v>20</v>
      </c>
      <c r="D2212" s="1754">
        <v>0.31136000000000008</v>
      </c>
    </row>
    <row r="2213" spans="2:4">
      <c r="B2213" s="1753" t="s">
        <v>2138</v>
      </c>
      <c r="C2213" s="1753">
        <v>40</v>
      </c>
      <c r="D2213" s="1754">
        <v>0.62272000000000016</v>
      </c>
    </row>
    <row r="2214" spans="2:4">
      <c r="B2214" s="1753" t="s">
        <v>2139</v>
      </c>
      <c r="C2214" s="1753">
        <v>100</v>
      </c>
      <c r="D2214" s="1754">
        <v>1.5568</v>
      </c>
    </row>
    <row r="2215" spans="2:4">
      <c r="B2215" s="1440" t="s">
        <v>2140</v>
      </c>
      <c r="C2215" s="1440">
        <v>200</v>
      </c>
      <c r="D2215" s="1595">
        <v>3.1135999999999999</v>
      </c>
    </row>
    <row r="2216" spans="2:4">
      <c r="B2216" s="1440" t="s">
        <v>2141</v>
      </c>
      <c r="C2216" s="1440">
        <v>400</v>
      </c>
      <c r="D2216" s="1595">
        <v>6.2271999999999998</v>
      </c>
    </row>
    <row r="2217" spans="2:4">
      <c r="B2217" s="1440" t="s">
        <v>2142</v>
      </c>
      <c r="C2217" s="1440">
        <v>10</v>
      </c>
      <c r="D2217" s="1595">
        <v>7.784000000000002E-2</v>
      </c>
    </row>
    <row r="2218" spans="2:4">
      <c r="B2218" s="1440" t="s">
        <v>2143</v>
      </c>
      <c r="C2218" s="1440">
        <v>20</v>
      </c>
      <c r="D2218" s="1595">
        <v>0.15568000000000004</v>
      </c>
    </row>
    <row r="2219" spans="2:4">
      <c r="B2219" s="1440" t="s">
        <v>2144</v>
      </c>
      <c r="C2219" s="1440">
        <v>40</v>
      </c>
      <c r="D2219" s="1595">
        <v>0.31136000000000008</v>
      </c>
    </row>
    <row r="2220" spans="2:4">
      <c r="B2220" s="1440" t="s">
        <v>2145</v>
      </c>
      <c r="C2220" s="1440">
        <v>100</v>
      </c>
      <c r="D2220" s="1595">
        <v>0.77839999999999998</v>
      </c>
    </row>
    <row r="2221" spans="2:4">
      <c r="B2221" s="1440" t="s">
        <v>2146</v>
      </c>
      <c r="C2221" s="1440">
        <v>200</v>
      </c>
      <c r="D2221" s="1595">
        <v>1.5568</v>
      </c>
    </row>
    <row r="2222" spans="2:4">
      <c r="B2222" s="1440" t="s">
        <v>2147</v>
      </c>
      <c r="C2222" s="1440">
        <v>400</v>
      </c>
      <c r="D2222" s="1595">
        <v>3.1135999999999999</v>
      </c>
    </row>
    <row r="2223" spans="2:4">
      <c r="B2223" s="1440" t="s">
        <v>2148</v>
      </c>
      <c r="C2223" s="1440">
        <v>10</v>
      </c>
      <c r="D2223" s="1595">
        <v>0.15568000000000004</v>
      </c>
    </row>
    <row r="2224" spans="2:4">
      <c r="B2224" s="1440" t="s">
        <v>2149</v>
      </c>
      <c r="C2224" s="1440">
        <v>20</v>
      </c>
      <c r="D2224" s="1595">
        <v>0.31136000000000008</v>
      </c>
    </row>
    <row r="2225" spans="2:24">
      <c r="B2225" s="1440" t="s">
        <v>2150</v>
      </c>
      <c r="C2225" s="1440">
        <v>40</v>
      </c>
      <c r="D2225" s="1595">
        <v>0.62272000000000016</v>
      </c>
    </row>
    <row r="2226" spans="2:24">
      <c r="B2226" s="1440" t="s">
        <v>2151</v>
      </c>
      <c r="C2226" s="1440">
        <v>100</v>
      </c>
      <c r="D2226" s="1595">
        <v>1.5568</v>
      </c>
    </row>
    <row r="2227" spans="2:24">
      <c r="B2227" s="1440" t="s">
        <v>2152</v>
      </c>
      <c r="C2227" s="1440">
        <v>200</v>
      </c>
      <c r="D2227" s="1595">
        <v>3.1135999999999999</v>
      </c>
    </row>
    <row r="2228" spans="2:24">
      <c r="B2228" s="1440" t="s">
        <v>2153</v>
      </c>
      <c r="C2228" s="1440">
        <v>400</v>
      </c>
      <c r="D2228" s="1595">
        <v>6.2271999999999998</v>
      </c>
    </row>
    <row r="2230" spans="2:24">
      <c r="B2230" s="1489"/>
      <c r="C2230" s="1489"/>
      <c r="D2230" s="1489"/>
    </row>
    <row r="2231" spans="2:24">
      <c r="B2231" s="1926" t="s">
        <v>2154</v>
      </c>
      <c r="C2231" s="1927"/>
      <c r="D2231" s="1489"/>
    </row>
    <row r="2232" spans="2:24">
      <c r="B2232" s="1466" t="s">
        <v>158</v>
      </c>
      <c r="C2232" s="1466" t="s">
        <v>2155</v>
      </c>
      <c r="D2232" s="1466" t="s">
        <v>681</v>
      </c>
    </row>
    <row r="2233" spans="2:24">
      <c r="B2233" s="2023" t="s">
        <v>2156</v>
      </c>
      <c r="C2233" s="2024"/>
      <c r="D2233" s="2025"/>
    </row>
    <row r="2234" spans="2:24">
      <c r="B2234" s="683" t="s">
        <v>2157</v>
      </c>
      <c r="C2234" s="683" t="s">
        <v>2158</v>
      </c>
      <c r="D2234" s="1591">
        <v>0.65</v>
      </c>
    </row>
    <row r="2235" spans="2:24">
      <c r="B2235" s="683" t="s">
        <v>2159</v>
      </c>
      <c r="C2235" s="683" t="s">
        <v>2160</v>
      </c>
      <c r="D2235" s="1591">
        <v>1.3</v>
      </c>
    </row>
    <row r="2236" spans="2:24">
      <c r="B2236" s="683" t="s">
        <v>2161</v>
      </c>
      <c r="C2236" s="683" t="s">
        <v>2162</v>
      </c>
      <c r="D2236" s="1591">
        <v>4.95</v>
      </c>
    </row>
    <row r="2237" spans="2:24" s="1489" customFormat="1" ht="28.8">
      <c r="B2237" s="1440" t="s">
        <v>2488</v>
      </c>
      <c r="C2237" s="1440" t="s">
        <v>2487</v>
      </c>
      <c r="D2237" s="1734">
        <v>0.3</v>
      </c>
      <c r="E2237" s="1490"/>
      <c r="F2237" s="1490"/>
      <c r="G2237" s="1490"/>
      <c r="H2237" s="1490"/>
      <c r="I2237" s="1490"/>
      <c r="J2237" s="1490"/>
      <c r="K2237" s="1490"/>
      <c r="L2237" s="1490"/>
      <c r="M2237" s="1490"/>
      <c r="N2237" s="1490"/>
      <c r="O2237" s="1490"/>
      <c r="P2237" s="1490"/>
      <c r="Q2237" s="1490"/>
      <c r="R2237" s="1490"/>
      <c r="S2237" s="1490"/>
      <c r="T2237" s="1490"/>
      <c r="U2237" s="1490"/>
      <c r="V2237" s="1490"/>
      <c r="W2237" s="89"/>
      <c r="X2237" s="1490"/>
    </row>
    <row r="2238" spans="2:24">
      <c r="B2238" s="2023" t="s">
        <v>2163</v>
      </c>
      <c r="C2238" s="2024"/>
      <c r="D2238" s="2025"/>
    </row>
    <row r="2239" spans="2:24">
      <c r="B2239" s="683" t="s">
        <v>2164</v>
      </c>
      <c r="C2239" s="534"/>
      <c r="D2239" s="1591">
        <v>2.52</v>
      </c>
    </row>
    <row r="2241" spans="2:38">
      <c r="B2241" s="1489"/>
      <c r="C2241" s="1489"/>
    </row>
    <row r="2242" spans="2:38">
      <c r="B2242" s="1926" t="s">
        <v>2326</v>
      </c>
      <c r="C2242" s="1927"/>
    </row>
    <row r="2243" spans="2:38">
      <c r="B2243" s="1466" t="s">
        <v>2165</v>
      </c>
      <c r="C2243" s="1466" t="s">
        <v>681</v>
      </c>
    </row>
    <row r="2244" spans="2:38" s="1489" customFormat="1">
      <c r="B2244" s="1440" t="s">
        <v>2436</v>
      </c>
      <c r="C2244" s="1549">
        <v>0.2</v>
      </c>
      <c r="D2244" s="1490"/>
      <c r="E2244" s="1490"/>
      <c r="F2244" s="1490"/>
      <c r="G2244" s="1490"/>
      <c r="H2244" s="1490"/>
      <c r="I2244" s="1490"/>
      <c r="J2244" s="1490"/>
      <c r="K2244" s="1490"/>
      <c r="L2244" s="1490"/>
      <c r="M2244" s="1490"/>
      <c r="N2244" s="1490"/>
      <c r="O2244" s="1490"/>
      <c r="P2244" s="1490"/>
      <c r="Q2244" s="1490"/>
      <c r="R2244" s="1490"/>
      <c r="S2244" s="1490"/>
      <c r="T2244" s="1490"/>
      <c r="U2244" s="1490"/>
      <c r="V2244" s="1490"/>
      <c r="W2244" s="89"/>
      <c r="X2244" s="1490"/>
    </row>
    <row r="2245" spans="2:38">
      <c r="B2245" s="683" t="s">
        <v>2166</v>
      </c>
      <c r="C2245" s="1690">
        <v>0.8</v>
      </c>
    </row>
    <row r="2246" spans="2:38">
      <c r="B2246" s="683" t="s">
        <v>2167</v>
      </c>
      <c r="C2246" s="1691">
        <v>3.0552000000000001</v>
      </c>
    </row>
    <row r="2247" spans="2:38">
      <c r="B2247" s="683" t="s">
        <v>2168</v>
      </c>
      <c r="C2247" s="1691">
        <v>6.1104000000000003</v>
      </c>
    </row>
    <row r="2248" spans="2:38" s="1489" customFormat="1">
      <c r="B2248" s="683" t="s">
        <v>2169</v>
      </c>
      <c r="C2248" s="1691">
        <v>12.266400000000001</v>
      </c>
      <c r="D2248" s="4"/>
      <c r="E2248" s="4"/>
      <c r="F2248" s="4"/>
      <c r="G2248" s="4"/>
      <c r="H2248" s="4"/>
      <c r="I2248" s="4"/>
      <c r="J2248" s="4"/>
      <c r="K2248" s="4"/>
      <c r="L2248" s="4"/>
      <c r="M2248" s="4"/>
      <c r="N2248" s="4"/>
      <c r="O2248" s="4"/>
      <c r="P2248" s="4"/>
      <c r="Q2248" s="4"/>
      <c r="R2248" s="4"/>
      <c r="S2248" s="4"/>
      <c r="T2248" s="4"/>
      <c r="U2248" s="4"/>
      <c r="V2248" s="4"/>
      <c r="W2248" s="89"/>
      <c r="X2248" s="4"/>
      <c r="Y2248" s="39"/>
      <c r="Z2248" s="39"/>
      <c r="AA2248" s="39"/>
      <c r="AB2248" s="33"/>
      <c r="AC2248" s="33"/>
      <c r="AD2248" s="33"/>
      <c r="AE2248" s="33"/>
      <c r="AF2248" s="33"/>
      <c r="AG2248" s="33"/>
      <c r="AH2248" s="33"/>
      <c r="AI2248" s="33"/>
      <c r="AJ2248" s="33"/>
      <c r="AK2248" s="33"/>
      <c r="AL2248" s="33"/>
    </row>
    <row r="2249" spans="2:38">
      <c r="B2249" s="683" t="s">
        <v>2170</v>
      </c>
      <c r="C2249" s="1691">
        <v>24.51</v>
      </c>
    </row>
    <row r="2250" spans="2:38">
      <c r="B2250" s="683" t="s">
        <v>2171</v>
      </c>
      <c r="C2250" s="1691">
        <v>73.53</v>
      </c>
    </row>
    <row r="2252" spans="2:38">
      <c r="B2252" s="1489"/>
      <c r="C2252" s="1489"/>
      <c r="D2252" s="1489"/>
    </row>
    <row r="2253" spans="2:38">
      <c r="B2253" s="1926" t="s">
        <v>2330</v>
      </c>
      <c r="C2253" s="1927"/>
      <c r="D2253" s="1489"/>
    </row>
    <row r="2254" spans="2:38">
      <c r="B2254" s="1466" t="s">
        <v>2172</v>
      </c>
      <c r="C2254" s="1466" t="s">
        <v>681</v>
      </c>
      <c r="D2254" s="1466" t="s">
        <v>2173</v>
      </c>
    </row>
    <row r="2255" spans="2:38">
      <c r="B2255" s="683" t="s">
        <v>2174</v>
      </c>
      <c r="C2255" s="1520" t="s">
        <v>2175</v>
      </c>
      <c r="D2255" s="1521">
        <v>609.84</v>
      </c>
    </row>
    <row r="2256" spans="2:38">
      <c r="B2256" s="683" t="s">
        <v>2176</v>
      </c>
      <c r="C2256" s="1520">
        <v>2.024</v>
      </c>
      <c r="D2256" s="1520">
        <v>1457.28</v>
      </c>
    </row>
    <row r="2257" spans="2:38">
      <c r="B2257" s="1489"/>
      <c r="C2257" s="1489"/>
      <c r="D2257" s="1489"/>
    </row>
    <row r="2258" spans="2:38">
      <c r="B2258" s="1489"/>
      <c r="C2258" s="1489"/>
      <c r="D2258" s="1489"/>
    </row>
    <row r="2259" spans="2:38">
      <c r="B2259" s="1926" t="s">
        <v>2194</v>
      </c>
      <c r="C2259" s="1927"/>
    </row>
    <row r="2260" spans="2:38" s="1489" customFormat="1">
      <c r="B2260" s="1466" t="s">
        <v>2195</v>
      </c>
      <c r="C2260" s="1466" t="s">
        <v>2196</v>
      </c>
      <c r="D2260" s="4"/>
      <c r="E2260" s="4"/>
      <c r="F2260" s="4"/>
      <c r="G2260" s="4"/>
      <c r="H2260" s="4"/>
      <c r="I2260" s="4"/>
      <c r="J2260" s="4"/>
      <c r="K2260" s="4"/>
      <c r="L2260" s="4"/>
      <c r="M2260" s="4"/>
      <c r="N2260" s="4"/>
      <c r="O2260" s="4"/>
      <c r="P2260" s="4"/>
      <c r="Q2260" s="4"/>
      <c r="R2260" s="4"/>
      <c r="S2260" s="4"/>
      <c r="T2260" s="4"/>
      <c r="U2260" s="4"/>
      <c r="V2260" s="4"/>
      <c r="W2260" s="89"/>
      <c r="X2260" s="4"/>
      <c r="Y2260" s="39"/>
      <c r="Z2260" s="39"/>
      <c r="AA2260" s="39"/>
      <c r="AB2260" s="33"/>
      <c r="AC2260" s="33"/>
      <c r="AD2260" s="33"/>
      <c r="AE2260" s="33"/>
      <c r="AF2260" s="33"/>
      <c r="AG2260" s="33"/>
      <c r="AH2260" s="33"/>
      <c r="AI2260" s="33"/>
      <c r="AJ2260" s="33"/>
      <c r="AK2260" s="33"/>
      <c r="AL2260" s="33"/>
    </row>
    <row r="2261" spans="2:38" s="1489" customFormat="1">
      <c r="B2261" s="683" t="s">
        <v>2197</v>
      </c>
      <c r="C2261" s="1529">
        <v>0.623</v>
      </c>
      <c r="D2261" s="4"/>
      <c r="E2261" s="4"/>
      <c r="F2261" s="4"/>
      <c r="G2261" s="4"/>
      <c r="H2261" s="4"/>
      <c r="I2261" s="4"/>
      <c r="J2261" s="4"/>
      <c r="K2261" s="4"/>
      <c r="L2261" s="4"/>
      <c r="M2261" s="4"/>
      <c r="N2261" s="4"/>
      <c r="O2261" s="4"/>
      <c r="P2261" s="4"/>
      <c r="Q2261" s="4"/>
      <c r="R2261" s="4"/>
      <c r="S2261" s="4"/>
      <c r="T2261" s="4"/>
      <c r="U2261" s="4"/>
      <c r="V2261" s="4"/>
      <c r="W2261" s="89"/>
      <c r="X2261" s="4"/>
      <c r="Y2261" s="39"/>
      <c r="Z2261" s="39"/>
      <c r="AA2261" s="39"/>
      <c r="AB2261" s="33"/>
      <c r="AC2261" s="33"/>
      <c r="AD2261" s="33"/>
      <c r="AE2261" s="33"/>
      <c r="AF2261" s="33"/>
      <c r="AG2261" s="33"/>
      <c r="AH2261" s="33"/>
      <c r="AI2261" s="33"/>
      <c r="AJ2261" s="33"/>
      <c r="AK2261" s="33"/>
      <c r="AL2261" s="33"/>
    </row>
    <row r="2262" spans="2:38" s="1489" customFormat="1">
      <c r="B2262" s="683" t="s">
        <v>2198</v>
      </c>
      <c r="C2262" s="1529">
        <v>5.6353</v>
      </c>
      <c r="D2262" s="4"/>
      <c r="E2262" s="4"/>
      <c r="F2262" s="4"/>
      <c r="G2262" s="4"/>
      <c r="H2262" s="4"/>
      <c r="I2262" s="4"/>
      <c r="J2262" s="4"/>
      <c r="K2262" s="4"/>
      <c r="L2262" s="4"/>
      <c r="M2262" s="4"/>
      <c r="N2262" s="4"/>
      <c r="O2262" s="4"/>
      <c r="P2262" s="4"/>
      <c r="Q2262" s="4"/>
      <c r="R2262" s="4"/>
      <c r="S2262" s="4"/>
      <c r="T2262" s="4"/>
      <c r="U2262" s="4"/>
      <c r="V2262" s="4"/>
      <c r="W2262" s="89"/>
      <c r="X2262" s="4"/>
      <c r="Y2262" s="39"/>
      <c r="Z2262" s="39"/>
      <c r="AA2262" s="39"/>
      <c r="AB2262" s="33"/>
      <c r="AC2262" s="33"/>
      <c r="AD2262" s="33"/>
      <c r="AE2262" s="33"/>
      <c r="AF2262" s="33"/>
      <c r="AG2262" s="33"/>
      <c r="AH2262" s="33"/>
      <c r="AI2262" s="33"/>
      <c r="AJ2262" s="33"/>
      <c r="AK2262" s="33"/>
      <c r="AL2262" s="33"/>
    </row>
    <row r="2263" spans="2:38" s="1489" customFormat="1">
      <c r="B2263" s="683" t="s">
        <v>2199</v>
      </c>
      <c r="C2263" s="1529">
        <v>15.588900000000001</v>
      </c>
      <c r="D2263" s="4"/>
      <c r="E2263" s="4"/>
      <c r="F2263" s="4"/>
      <c r="G2263" s="4"/>
      <c r="H2263" s="4"/>
      <c r="I2263" s="4"/>
      <c r="J2263" s="4"/>
      <c r="K2263" s="4"/>
      <c r="L2263" s="4"/>
      <c r="M2263" s="4"/>
      <c r="N2263" s="4"/>
      <c r="O2263" s="4"/>
      <c r="P2263" s="4"/>
      <c r="Q2263" s="4"/>
      <c r="R2263" s="4"/>
      <c r="S2263" s="4"/>
      <c r="T2263" s="4"/>
      <c r="U2263" s="4"/>
      <c r="V2263" s="4"/>
      <c r="W2263" s="89"/>
      <c r="X2263" s="4"/>
      <c r="Y2263" s="39"/>
      <c r="Z2263" s="39"/>
      <c r="AA2263" s="39"/>
      <c r="AB2263" s="33"/>
      <c r="AC2263" s="33"/>
      <c r="AD2263" s="33"/>
      <c r="AE2263" s="33"/>
      <c r="AF2263" s="33"/>
      <c r="AG2263" s="33"/>
      <c r="AH2263" s="33"/>
      <c r="AI2263" s="33"/>
      <c r="AJ2263" s="33"/>
      <c r="AK2263" s="33"/>
      <c r="AL2263" s="33"/>
    </row>
    <row r="2264" spans="2:38" s="1489" customFormat="1">
      <c r="B2264" s="1527"/>
      <c r="C2264" s="1528"/>
      <c r="D2264" s="1490"/>
      <c r="E2264" s="1490"/>
      <c r="F2264" s="1490"/>
      <c r="G2264" s="1490"/>
      <c r="H2264" s="1490"/>
      <c r="I2264" s="1490"/>
      <c r="J2264" s="1490"/>
      <c r="K2264" s="1490"/>
      <c r="L2264" s="1490"/>
      <c r="M2264" s="1490"/>
      <c r="N2264" s="1490"/>
      <c r="O2264" s="1490"/>
      <c r="P2264" s="1490"/>
      <c r="Q2264" s="1490"/>
      <c r="R2264" s="1490"/>
      <c r="S2264" s="1490"/>
      <c r="T2264" s="1490"/>
      <c r="U2264" s="1490"/>
      <c r="V2264" s="1490"/>
      <c r="W2264" s="89"/>
      <c r="X2264" s="1490"/>
    </row>
    <row r="2265" spans="2:38" s="1489" customFormat="1">
      <c r="B2265" s="1926" t="s">
        <v>2311</v>
      </c>
      <c r="C2265" s="1927"/>
      <c r="D2265" s="4"/>
      <c r="E2265" s="4"/>
      <c r="F2265" s="4"/>
      <c r="G2265" s="4"/>
      <c r="H2265" s="4"/>
      <c r="I2265" s="4"/>
      <c r="J2265" s="4"/>
      <c r="K2265" s="4"/>
      <c r="L2265" s="4"/>
      <c r="M2265" s="4"/>
      <c r="N2265" s="4"/>
      <c r="O2265" s="4"/>
      <c r="P2265" s="4"/>
      <c r="Q2265" s="4"/>
      <c r="R2265" s="4"/>
      <c r="S2265" s="4"/>
      <c r="T2265" s="4"/>
      <c r="U2265" s="4"/>
      <c r="V2265" s="4"/>
      <c r="W2265" s="89"/>
      <c r="X2265" s="4"/>
      <c r="Y2265" s="39"/>
      <c r="Z2265" s="39"/>
      <c r="AA2265" s="39"/>
      <c r="AB2265" s="33"/>
      <c r="AC2265" s="33"/>
      <c r="AD2265" s="33"/>
      <c r="AE2265" s="33"/>
      <c r="AF2265" s="33"/>
      <c r="AG2265" s="33"/>
      <c r="AH2265" s="33"/>
      <c r="AI2265" s="33"/>
      <c r="AJ2265" s="33"/>
      <c r="AK2265" s="33"/>
      <c r="AL2265" s="33"/>
    </row>
    <row r="2266" spans="2:38" s="1489" customFormat="1">
      <c r="B2266" s="1466" t="s">
        <v>1722</v>
      </c>
      <c r="C2266" s="1466" t="s">
        <v>3</v>
      </c>
      <c r="D2266" s="1466" t="s">
        <v>2200</v>
      </c>
      <c r="E2266" s="1466" t="s">
        <v>1965</v>
      </c>
      <c r="F2266" s="4"/>
      <c r="G2266" s="4"/>
      <c r="H2266" s="4"/>
      <c r="I2266" s="4"/>
      <c r="J2266" s="4"/>
      <c r="K2266" s="4"/>
      <c r="L2266" s="4"/>
      <c r="M2266" s="4"/>
      <c r="N2266" s="4"/>
      <c r="O2266" s="4"/>
      <c r="P2266" s="4"/>
      <c r="Q2266" s="4"/>
      <c r="R2266" s="4"/>
      <c r="S2266" s="4"/>
      <c r="T2266" s="4"/>
      <c r="U2266" s="4"/>
      <c r="V2266" s="4"/>
      <c r="W2266" s="89"/>
      <c r="X2266" s="4"/>
      <c r="Y2266" s="39"/>
      <c r="Z2266" s="39"/>
      <c r="AA2266" s="39"/>
      <c r="AB2266" s="33"/>
      <c r="AC2266" s="33"/>
      <c r="AD2266" s="33"/>
      <c r="AE2266" s="33"/>
      <c r="AF2266" s="33"/>
      <c r="AG2266" s="33"/>
      <c r="AH2266" s="33"/>
      <c r="AI2266" s="33"/>
      <c r="AJ2266" s="33"/>
      <c r="AK2266" s="33"/>
      <c r="AL2266" s="33"/>
    </row>
    <row r="2267" spans="2:38" s="1489" customFormat="1">
      <c r="B2267" s="1616" t="s">
        <v>2281</v>
      </c>
      <c r="C2267" s="1617">
        <v>4</v>
      </c>
      <c r="D2267" s="1617">
        <v>16</v>
      </c>
      <c r="E2267" s="1618">
        <v>0.53534120000000007</v>
      </c>
      <c r="F2267" s="4"/>
      <c r="G2267" s="4"/>
      <c r="H2267" s="4"/>
      <c r="I2267" s="4"/>
      <c r="J2267" s="4"/>
      <c r="K2267" s="4"/>
      <c r="L2267" s="4"/>
      <c r="M2267" s="4"/>
      <c r="N2267" s="4"/>
      <c r="O2267" s="4"/>
      <c r="P2267" s="4"/>
      <c r="Q2267" s="4"/>
      <c r="R2267" s="4"/>
      <c r="S2267" s="4"/>
      <c r="T2267" s="4"/>
      <c r="U2267" s="4"/>
      <c r="V2267" s="4"/>
      <c r="W2267" s="89"/>
      <c r="X2267" s="4"/>
      <c r="Y2267" s="39"/>
      <c r="Z2267" s="39"/>
      <c r="AA2267" s="39"/>
      <c r="AB2267" s="33"/>
      <c r="AC2267" s="33"/>
      <c r="AD2267" s="33"/>
      <c r="AE2267" s="33"/>
      <c r="AF2267" s="33"/>
      <c r="AG2267" s="33"/>
      <c r="AH2267" s="33"/>
      <c r="AI2267" s="33"/>
      <c r="AJ2267" s="33"/>
      <c r="AK2267" s="33"/>
      <c r="AL2267" s="33"/>
    </row>
    <row r="2268" spans="2:38" s="1489" customFormat="1">
      <c r="B2268" s="1616" t="s">
        <v>2282</v>
      </c>
      <c r="C2268" s="1617">
        <v>8</v>
      </c>
      <c r="D2268" s="1617">
        <v>32</v>
      </c>
      <c r="E2268" s="1618">
        <v>1.0706824000000001</v>
      </c>
      <c r="F2268" s="4"/>
      <c r="G2268" s="4"/>
      <c r="H2268" s="4"/>
      <c r="I2268" s="4"/>
      <c r="J2268" s="4"/>
      <c r="K2268" s="4"/>
      <c r="L2268" s="4"/>
      <c r="M2268" s="4"/>
      <c r="N2268" s="4"/>
      <c r="O2268" s="4"/>
      <c r="P2268" s="4"/>
      <c r="Q2268" s="4"/>
      <c r="R2268" s="4"/>
      <c r="S2268" s="4"/>
      <c r="T2268" s="4"/>
      <c r="U2268" s="4"/>
      <c r="V2268" s="4"/>
      <c r="W2268" s="89"/>
      <c r="X2268" s="4"/>
      <c r="Y2268" s="39"/>
      <c r="Z2268" s="39"/>
      <c r="AA2268" s="39"/>
      <c r="AB2268" s="33"/>
      <c r="AC2268" s="33"/>
      <c r="AD2268" s="33"/>
      <c r="AE2268" s="33"/>
      <c r="AF2268" s="33"/>
      <c r="AG2268" s="33"/>
      <c r="AH2268" s="33"/>
      <c r="AI2268" s="33"/>
      <c r="AJ2268" s="33"/>
      <c r="AK2268" s="33"/>
      <c r="AL2268" s="33"/>
    </row>
    <row r="2269" spans="2:38" s="1489" customFormat="1">
      <c r="B2269" s="1616" t="s">
        <v>2283</v>
      </c>
      <c r="C2269" s="1617">
        <v>16</v>
      </c>
      <c r="D2269" s="1617">
        <v>64</v>
      </c>
      <c r="E2269" s="1618">
        <v>2.1413648000000003</v>
      </c>
      <c r="F2269" s="4"/>
      <c r="G2269" s="4"/>
      <c r="H2269" s="4"/>
      <c r="I2269" s="4"/>
      <c r="J2269" s="4"/>
      <c r="K2269" s="4"/>
      <c r="L2269" s="4"/>
      <c r="M2269" s="4"/>
      <c r="N2269" s="4"/>
      <c r="O2269" s="4"/>
      <c r="P2269" s="4"/>
      <c r="Q2269" s="4"/>
      <c r="R2269" s="4"/>
      <c r="S2269" s="4"/>
      <c r="T2269" s="4"/>
      <c r="U2269" s="4"/>
      <c r="V2269" s="4"/>
      <c r="W2269" s="89"/>
      <c r="X2269" s="4"/>
      <c r="Y2269" s="39"/>
      <c r="Z2269" s="39"/>
      <c r="AA2269" s="39"/>
      <c r="AB2269" s="33"/>
      <c r="AC2269" s="33"/>
      <c r="AD2269" s="33"/>
      <c r="AE2269" s="33"/>
      <c r="AF2269" s="33"/>
      <c r="AG2269" s="33"/>
      <c r="AH2269" s="33"/>
      <c r="AI2269" s="33"/>
      <c r="AJ2269" s="33"/>
      <c r="AK2269" s="33"/>
      <c r="AL2269" s="33"/>
    </row>
    <row r="2270" spans="2:38">
      <c r="B2270" s="1616" t="s">
        <v>2284</v>
      </c>
      <c r="C2270" s="1617">
        <v>32</v>
      </c>
      <c r="D2270" s="1617">
        <v>128</v>
      </c>
      <c r="E2270" s="1618">
        <v>4.2827296000000006</v>
      </c>
    </row>
    <row r="2271" spans="2:38">
      <c r="B2271" s="1616" t="s">
        <v>2285</v>
      </c>
      <c r="C2271" s="1617">
        <v>4</v>
      </c>
      <c r="D2271" s="1617">
        <v>16</v>
      </c>
      <c r="E2271" s="1618">
        <v>0.53534120000000007</v>
      </c>
    </row>
    <row r="2272" spans="2:38">
      <c r="B2272" s="1616" t="s">
        <v>2286</v>
      </c>
      <c r="C2272" s="1617">
        <v>8</v>
      </c>
      <c r="D2272" s="1617">
        <v>32</v>
      </c>
      <c r="E2272" s="1618">
        <v>1.0706824000000001</v>
      </c>
    </row>
    <row r="2273" spans="2:38">
      <c r="B2273" s="1616" t="s">
        <v>2287</v>
      </c>
      <c r="C2273" s="1617">
        <v>16</v>
      </c>
      <c r="D2273" s="1617">
        <v>64</v>
      </c>
      <c r="E2273" s="1618">
        <v>2.1413648000000003</v>
      </c>
    </row>
    <row r="2274" spans="2:38">
      <c r="B2274" s="1616" t="s">
        <v>2288</v>
      </c>
      <c r="C2274" s="1617">
        <v>32</v>
      </c>
      <c r="D2274" s="1617">
        <v>128</v>
      </c>
      <c r="E2274" s="1618">
        <v>4.2827296000000006</v>
      </c>
    </row>
    <row r="2276" spans="2:38">
      <c r="B2276" s="1926" t="s">
        <v>2269</v>
      </c>
      <c r="C2276" s="1927"/>
      <c r="D2276" s="1490"/>
      <c r="E2276" s="1490"/>
      <c r="F2276" s="1490"/>
      <c r="G2276" s="1490"/>
      <c r="H2276" s="1490"/>
      <c r="I2276" s="1490"/>
      <c r="J2276" s="1490"/>
      <c r="K2276" s="1490"/>
      <c r="L2276" s="1490"/>
      <c r="M2276" s="1490"/>
      <c r="N2276" s="1490"/>
      <c r="O2276" s="1490"/>
      <c r="P2276" s="1490"/>
      <c r="Q2276" s="1490"/>
      <c r="R2276" s="1490"/>
      <c r="S2276" s="1490"/>
      <c r="T2276" s="1490"/>
      <c r="U2276" s="1490"/>
      <c r="V2276" s="1490"/>
      <c r="X2276" s="1490"/>
      <c r="Y2276" s="1489"/>
      <c r="Z2276" s="1489"/>
      <c r="AA2276" s="1489"/>
      <c r="AB2276" s="1489"/>
      <c r="AC2276" s="1489"/>
      <c r="AD2276" s="1489"/>
      <c r="AE2276" s="1489"/>
      <c r="AF2276" s="1489"/>
      <c r="AG2276" s="1489"/>
      <c r="AH2276" s="1489"/>
      <c r="AI2276" s="1489"/>
      <c r="AJ2276" s="1489"/>
      <c r="AK2276" s="1489"/>
      <c r="AL2276" s="1489"/>
    </row>
    <row r="2277" spans="2:38">
      <c r="B2277" s="1466" t="s">
        <v>1722</v>
      </c>
      <c r="C2277" s="1607" t="s">
        <v>2022</v>
      </c>
      <c r="D2277" s="1489"/>
      <c r="E2277" s="1489"/>
      <c r="F2277" s="1489"/>
      <c r="G2277" s="1489"/>
      <c r="H2277" s="1490"/>
      <c r="I2277" s="1490"/>
      <c r="J2277" s="1490"/>
      <c r="K2277" s="1490"/>
      <c r="L2277" s="1490"/>
      <c r="M2277" s="1490"/>
      <c r="N2277" s="1490"/>
      <c r="O2277" s="1490"/>
      <c r="P2277" s="1490"/>
      <c r="Q2277" s="1490"/>
      <c r="R2277" s="1490"/>
      <c r="S2277" s="1490"/>
      <c r="T2277" s="1490"/>
      <c r="U2277" s="1490"/>
      <c r="V2277" s="1490"/>
      <c r="X2277" s="1490"/>
      <c r="Y2277" s="1489"/>
      <c r="Z2277" s="1489"/>
      <c r="AA2277" s="1489"/>
      <c r="AB2277" s="1489"/>
      <c r="AC2277" s="1489"/>
      <c r="AD2277" s="1489"/>
      <c r="AE2277" s="1489"/>
      <c r="AF2277" s="1489"/>
      <c r="AG2277" s="1489"/>
      <c r="AH2277" s="1489"/>
      <c r="AI2277" s="1489"/>
      <c r="AJ2277" s="1489"/>
      <c r="AK2277" s="1489"/>
      <c r="AL2277" s="1489"/>
    </row>
    <row r="2278" spans="2:38">
      <c r="B2278" s="1682" t="s">
        <v>2270</v>
      </c>
      <c r="C2278" s="1683">
        <v>2.6301369863013702E-4</v>
      </c>
      <c r="D2278" s="1489"/>
      <c r="E2278" s="1489"/>
      <c r="F2278" s="1489"/>
      <c r="G2278" s="1489"/>
      <c r="H2278" s="1490"/>
      <c r="I2278" s="1490"/>
      <c r="J2278" s="1490"/>
      <c r="K2278" s="1490"/>
      <c r="L2278" s="1490"/>
      <c r="M2278" s="1490"/>
      <c r="N2278" s="1490"/>
      <c r="O2278" s="1490"/>
      <c r="P2278" s="1490"/>
      <c r="Q2278" s="1490"/>
      <c r="R2278" s="1490"/>
      <c r="S2278" s="1490"/>
      <c r="T2278" s="1490"/>
      <c r="U2278" s="1490"/>
      <c r="V2278" s="1490"/>
      <c r="X2278" s="1490"/>
      <c r="Y2278" s="1489"/>
      <c r="Z2278" s="1489"/>
      <c r="AA2278" s="1489"/>
      <c r="AB2278" s="1489"/>
      <c r="AC2278" s="1489"/>
      <c r="AD2278" s="1489"/>
      <c r="AE2278" s="1489"/>
      <c r="AF2278" s="1489"/>
      <c r="AG2278" s="1489"/>
      <c r="AH2278" s="1489"/>
      <c r="AI2278" s="1489"/>
      <c r="AJ2278" s="1489"/>
      <c r="AK2278" s="1489"/>
      <c r="AL2278" s="1489"/>
    </row>
    <row r="2279" spans="2:38">
      <c r="B2279" s="1682" t="s">
        <v>2271</v>
      </c>
      <c r="C2279" s="1683">
        <v>2.6301369863013702E-4</v>
      </c>
      <c r="D2279" s="1489"/>
      <c r="E2279" s="1489"/>
      <c r="F2279" s="1489"/>
      <c r="G2279" s="1489"/>
      <c r="H2279" s="1490"/>
      <c r="I2279" s="1490"/>
      <c r="J2279" s="1490"/>
      <c r="K2279" s="1490"/>
      <c r="L2279" s="1490"/>
      <c r="M2279" s="1490"/>
      <c r="N2279" s="1490"/>
      <c r="O2279" s="1490"/>
      <c r="P2279" s="1490"/>
      <c r="Q2279" s="1490"/>
      <c r="R2279" s="1490"/>
      <c r="S2279" s="1490"/>
      <c r="T2279" s="1490"/>
      <c r="U2279" s="1490"/>
      <c r="V2279" s="1490"/>
      <c r="X2279" s="1490"/>
      <c r="Y2279" s="1489"/>
      <c r="Z2279" s="1489"/>
      <c r="AA2279" s="1489"/>
      <c r="AB2279" s="1489"/>
      <c r="AC2279" s="1489"/>
      <c r="AD2279" s="1489"/>
      <c r="AE2279" s="1489"/>
      <c r="AF2279" s="1489"/>
      <c r="AG2279" s="1489"/>
      <c r="AH2279" s="1489"/>
      <c r="AI2279" s="1489"/>
      <c r="AJ2279" s="1489"/>
      <c r="AK2279" s="1489"/>
      <c r="AL2279" s="1489"/>
    </row>
    <row r="2280" spans="2:38">
      <c r="B2280" s="1490"/>
      <c r="C2280" s="1490"/>
      <c r="D2280" s="1490"/>
      <c r="E2280" s="1490"/>
      <c r="F2280" s="1490"/>
      <c r="G2280" s="1490"/>
      <c r="H2280" s="1490"/>
      <c r="I2280" s="1490"/>
      <c r="J2280" s="1490"/>
      <c r="K2280" s="1490"/>
      <c r="L2280" s="1490"/>
      <c r="M2280" s="1490"/>
      <c r="N2280" s="1490"/>
      <c r="O2280" s="1490"/>
      <c r="P2280" s="1490"/>
      <c r="Q2280" s="1490"/>
      <c r="R2280" s="1490"/>
      <c r="S2280" s="1490"/>
      <c r="T2280" s="1490"/>
      <c r="U2280" s="1490"/>
      <c r="V2280" s="1490"/>
      <c r="X2280" s="1490"/>
      <c r="Y2280" s="1489"/>
      <c r="Z2280" s="1489"/>
      <c r="AA2280" s="1489"/>
      <c r="AB2280" s="1489"/>
      <c r="AC2280" s="1489"/>
      <c r="AD2280" s="1489"/>
      <c r="AE2280" s="1489"/>
      <c r="AF2280" s="1489"/>
      <c r="AG2280" s="1489"/>
      <c r="AH2280" s="1489"/>
      <c r="AI2280" s="1489"/>
      <c r="AJ2280" s="1489"/>
      <c r="AK2280" s="1489"/>
      <c r="AL2280" s="1489"/>
    </row>
    <row r="2281" spans="2:38">
      <c r="B2281" s="1926" t="s">
        <v>2274</v>
      </c>
      <c r="C2281" s="1927"/>
      <c r="D2281" s="1490"/>
      <c r="E2281" s="1490"/>
      <c r="F2281" s="1490"/>
      <c r="G2281" s="1490"/>
      <c r="H2281" s="1490"/>
      <c r="I2281" s="1490"/>
      <c r="J2281" s="1490"/>
      <c r="K2281" s="1490"/>
      <c r="L2281" s="1490"/>
      <c r="M2281" s="1490"/>
      <c r="N2281" s="1490"/>
      <c r="O2281" s="1490"/>
      <c r="P2281" s="1490"/>
      <c r="Q2281" s="1490"/>
      <c r="R2281" s="1490"/>
      <c r="S2281" s="1490"/>
      <c r="T2281" s="1490"/>
      <c r="U2281" s="1490"/>
      <c r="V2281" s="1490"/>
      <c r="X2281" s="1490"/>
      <c r="Y2281" s="1489"/>
      <c r="Z2281" s="1489"/>
      <c r="AA2281" s="1489"/>
      <c r="AB2281" s="1489"/>
      <c r="AC2281" s="1489"/>
      <c r="AD2281" s="1489"/>
      <c r="AE2281" s="1489"/>
      <c r="AF2281" s="1489"/>
      <c r="AG2281" s="1489"/>
      <c r="AH2281" s="1489"/>
      <c r="AI2281" s="1489"/>
      <c r="AJ2281" s="1489"/>
      <c r="AK2281" s="1489"/>
      <c r="AL2281" s="1489"/>
    </row>
    <row r="2282" spans="2:38">
      <c r="B2282" s="1466" t="s">
        <v>1722</v>
      </c>
      <c r="C2282" s="1607" t="s">
        <v>2022</v>
      </c>
      <c r="D2282" s="1490"/>
      <c r="E2282" s="1490"/>
      <c r="F2282" s="1490"/>
      <c r="G2282" s="1490"/>
      <c r="H2282" s="1490"/>
      <c r="I2282" s="1490"/>
      <c r="J2282" s="1490"/>
      <c r="K2282" s="1490"/>
      <c r="L2282" s="1490"/>
      <c r="M2282" s="1490"/>
      <c r="N2282" s="1490"/>
      <c r="O2282" s="1490"/>
      <c r="P2282" s="1490"/>
      <c r="Q2282" s="1490"/>
      <c r="R2282" s="1490"/>
      <c r="S2282" s="1490"/>
      <c r="T2282" s="1490"/>
      <c r="U2282" s="1490"/>
      <c r="V2282" s="1490"/>
      <c r="X2282" s="1490"/>
      <c r="Y2282" s="1489"/>
      <c r="Z2282" s="1489"/>
      <c r="AA2282" s="1489"/>
      <c r="AB2282" s="1489"/>
      <c r="AC2282" s="1489"/>
      <c r="AD2282" s="1489"/>
      <c r="AE2282" s="1489"/>
      <c r="AF2282" s="1489"/>
      <c r="AG2282" s="1489"/>
      <c r="AH2282" s="1489"/>
      <c r="AI2282" s="1489"/>
      <c r="AJ2282" s="1489"/>
      <c r="AK2282" s="1489"/>
      <c r="AL2282" s="1489"/>
    </row>
    <row r="2283" spans="2:38">
      <c r="B2283" s="1682" t="s">
        <v>2272</v>
      </c>
      <c r="C2283" s="1684">
        <v>2.6164383561643834E-5</v>
      </c>
      <c r="D2283" s="1490"/>
      <c r="E2283" s="1490"/>
      <c r="F2283" s="1490"/>
      <c r="G2283" s="1490"/>
      <c r="H2283" s="1490"/>
      <c r="I2283" s="1490"/>
      <c r="J2283" s="1490"/>
      <c r="K2283" s="1490"/>
      <c r="L2283" s="1490"/>
      <c r="M2283" s="1490"/>
      <c r="N2283" s="1490"/>
      <c r="O2283" s="1490"/>
      <c r="P2283" s="1490"/>
      <c r="Q2283" s="1490"/>
      <c r="R2283" s="1490"/>
      <c r="S2283" s="1490"/>
      <c r="T2283" s="1490"/>
      <c r="U2283" s="1490"/>
      <c r="V2283" s="1490"/>
      <c r="X2283" s="1490"/>
      <c r="Y2283" s="1489"/>
      <c r="Z2283" s="1489"/>
      <c r="AA2283" s="1489"/>
      <c r="AB2283" s="1489"/>
      <c r="AC2283" s="1489"/>
      <c r="AD2283" s="1489"/>
      <c r="AE2283" s="1489"/>
      <c r="AF2283" s="1489"/>
      <c r="AG2283" s="1489"/>
      <c r="AH2283" s="1489"/>
      <c r="AI2283" s="1489"/>
      <c r="AJ2283" s="1489"/>
      <c r="AK2283" s="1489"/>
      <c r="AL2283" s="1489"/>
    </row>
    <row r="2284" spans="2:38">
      <c r="B2284" s="1682" t="s">
        <v>2273</v>
      </c>
      <c r="C2284" s="1684">
        <v>2.6164383561643834E-5</v>
      </c>
      <c r="D2284" s="1490"/>
      <c r="E2284" s="1490"/>
      <c r="F2284" s="1490"/>
      <c r="G2284" s="1490"/>
      <c r="H2284" s="1490"/>
      <c r="I2284" s="1490"/>
      <c r="J2284" s="1490"/>
      <c r="K2284" s="1490"/>
      <c r="L2284" s="1490"/>
      <c r="M2284" s="1490"/>
      <c r="N2284" s="1490"/>
      <c r="O2284" s="1490"/>
      <c r="P2284" s="1490"/>
      <c r="Q2284" s="1490"/>
      <c r="R2284" s="1490"/>
      <c r="S2284" s="1490"/>
      <c r="T2284" s="1490"/>
      <c r="U2284" s="1490"/>
      <c r="V2284" s="1490"/>
      <c r="X2284" s="1490"/>
      <c r="Y2284" s="1489"/>
      <c r="Z2284" s="1489"/>
      <c r="AA2284" s="1489"/>
      <c r="AB2284" s="1489"/>
      <c r="AC2284" s="1489"/>
      <c r="AD2284" s="1489"/>
      <c r="AE2284" s="1489"/>
      <c r="AF2284" s="1489"/>
      <c r="AG2284" s="1489"/>
      <c r="AH2284" s="1489"/>
      <c r="AI2284" s="1489"/>
      <c r="AJ2284" s="1489"/>
      <c r="AK2284" s="1489"/>
      <c r="AL2284" s="1489"/>
    </row>
    <row r="2285" spans="2:38">
      <c r="B2285" s="1490"/>
      <c r="C2285" s="1490"/>
      <c r="D2285" s="1490"/>
      <c r="E2285" s="1490"/>
      <c r="F2285" s="1490"/>
      <c r="G2285" s="1490"/>
      <c r="H2285" s="1490"/>
      <c r="I2285" s="1490"/>
      <c r="J2285" s="1490"/>
      <c r="K2285" s="1490"/>
      <c r="L2285" s="1490"/>
      <c r="M2285" s="1490"/>
      <c r="N2285" s="1490"/>
      <c r="O2285" s="1490"/>
      <c r="P2285" s="1490"/>
      <c r="Q2285" s="1490"/>
      <c r="R2285" s="1490"/>
      <c r="S2285" s="1490"/>
      <c r="T2285" s="1490"/>
      <c r="U2285" s="1490"/>
      <c r="V2285" s="1490"/>
      <c r="X2285" s="1490"/>
      <c r="Y2285" s="1489"/>
      <c r="Z2285" s="1489"/>
      <c r="AA2285" s="1489"/>
      <c r="AB2285" s="1489"/>
      <c r="AC2285" s="1489"/>
      <c r="AD2285" s="1489"/>
      <c r="AE2285" s="1489"/>
      <c r="AF2285" s="1489"/>
      <c r="AG2285" s="1489"/>
      <c r="AH2285" s="1489"/>
      <c r="AI2285" s="1489"/>
      <c r="AJ2285" s="1489"/>
      <c r="AK2285" s="1489"/>
      <c r="AL2285" s="1489"/>
    </row>
    <row r="2287" spans="2:38">
      <c r="B2287" s="1681" t="s">
        <v>2201</v>
      </c>
      <c r="C2287" s="1533" t="s">
        <v>2202</v>
      </c>
      <c r="D2287" s="1534" t="s">
        <v>2203</v>
      </c>
      <c r="E2287" s="1535" t="s">
        <v>2204</v>
      </c>
      <c r="F2287" s="1535" t="s">
        <v>2205</v>
      </c>
      <c r="G2287" s="1535" t="s">
        <v>2206</v>
      </c>
      <c r="H2287" s="1535" t="s">
        <v>2207</v>
      </c>
    </row>
    <row r="2288" spans="2:38">
      <c r="B2288" s="2022" t="s">
        <v>2208</v>
      </c>
      <c r="C2288" s="1536">
        <v>1</v>
      </c>
      <c r="D2288" s="1537">
        <f>14*C2288*3</f>
        <v>42</v>
      </c>
      <c r="E2288" s="534" t="s">
        <v>2209</v>
      </c>
      <c r="F2288" s="534">
        <v>1</v>
      </c>
      <c r="G2288" s="534" t="s">
        <v>2210</v>
      </c>
      <c r="H2288" s="1518">
        <v>1.5174000000000003</v>
      </c>
    </row>
    <row r="2289" spans="2:8">
      <c r="B2289" s="2022"/>
      <c r="C2289" s="1536">
        <v>2</v>
      </c>
      <c r="D2289" s="1537">
        <f>14*C2289*3</f>
        <v>84</v>
      </c>
      <c r="E2289" s="534" t="s">
        <v>2211</v>
      </c>
      <c r="F2289" s="534">
        <v>2</v>
      </c>
      <c r="G2289" s="534" t="s">
        <v>2210</v>
      </c>
      <c r="H2289" s="1518">
        <v>3.0348000000000006</v>
      </c>
    </row>
    <row r="2290" spans="2:8">
      <c r="B2290" s="2022" t="s">
        <v>2212</v>
      </c>
      <c r="C2290" s="1536">
        <v>1</v>
      </c>
      <c r="D2290" s="1537">
        <f>14*(3*C2290+2)</f>
        <v>70</v>
      </c>
      <c r="E2290" s="534" t="s">
        <v>2213</v>
      </c>
      <c r="F2290" s="534">
        <v>1</v>
      </c>
      <c r="G2290" s="534" t="s">
        <v>2210</v>
      </c>
      <c r="H2290" s="1518">
        <v>2.5290000000000004</v>
      </c>
    </row>
    <row r="2291" spans="2:8">
      <c r="B2291" s="2022"/>
      <c r="C2291" s="1536">
        <v>2</v>
      </c>
      <c r="D2291" s="1537">
        <f t="shared" ref="D2291:D2299" si="12">14*(3*C2291+2)</f>
        <v>112</v>
      </c>
      <c r="E2291" s="534" t="s">
        <v>2214</v>
      </c>
      <c r="F2291" s="534">
        <v>2</v>
      </c>
      <c r="G2291" s="534" t="s">
        <v>2210</v>
      </c>
      <c r="H2291" s="1518">
        <v>4.0464000000000002</v>
      </c>
    </row>
    <row r="2292" spans="2:8">
      <c r="B2292" s="2022"/>
      <c r="C2292" s="1536">
        <v>3</v>
      </c>
      <c r="D2292" s="1537">
        <f t="shared" si="12"/>
        <v>154</v>
      </c>
      <c r="E2292" s="534" t="s">
        <v>2215</v>
      </c>
      <c r="F2292" s="534">
        <v>3</v>
      </c>
      <c r="G2292" s="534" t="s">
        <v>2210</v>
      </c>
      <c r="H2292" s="1518">
        <v>5.5638000000000005</v>
      </c>
    </row>
    <row r="2293" spans="2:8">
      <c r="B2293" s="2022"/>
      <c r="C2293" s="1536">
        <v>4</v>
      </c>
      <c r="D2293" s="1537">
        <f t="shared" si="12"/>
        <v>196</v>
      </c>
      <c r="E2293" s="534" t="s">
        <v>2216</v>
      </c>
      <c r="F2293" s="534">
        <v>4</v>
      </c>
      <c r="G2293" s="534" t="s">
        <v>2210</v>
      </c>
      <c r="H2293" s="1518">
        <v>7.0812000000000008</v>
      </c>
    </row>
    <row r="2294" spans="2:8">
      <c r="B2294" s="2022"/>
      <c r="C2294" s="1536">
        <v>5</v>
      </c>
      <c r="D2294" s="1537">
        <f t="shared" si="12"/>
        <v>238</v>
      </c>
      <c r="E2294" s="534" t="s">
        <v>2217</v>
      </c>
      <c r="F2294" s="534">
        <v>5</v>
      </c>
      <c r="G2294" s="534" t="s">
        <v>2210</v>
      </c>
      <c r="H2294" s="1518">
        <v>8.5986000000000011</v>
      </c>
    </row>
    <row r="2295" spans="2:8">
      <c r="B2295" s="2022"/>
      <c r="C2295" s="1536">
        <v>6</v>
      </c>
      <c r="D2295" s="1537">
        <f t="shared" si="12"/>
        <v>280</v>
      </c>
      <c r="E2295" s="534" t="s">
        <v>2218</v>
      </c>
      <c r="F2295" s="534">
        <v>6</v>
      </c>
      <c r="G2295" s="534" t="s">
        <v>2210</v>
      </c>
      <c r="H2295" s="1518">
        <v>10.116000000000001</v>
      </c>
    </row>
    <row r="2296" spans="2:8">
      <c r="B2296" s="2022"/>
      <c r="C2296" s="1536">
        <v>7</v>
      </c>
      <c r="D2296" s="1537">
        <f t="shared" si="12"/>
        <v>322</v>
      </c>
      <c r="E2296" s="534" t="s">
        <v>2219</v>
      </c>
      <c r="F2296" s="534">
        <v>7</v>
      </c>
      <c r="G2296" s="534" t="s">
        <v>2210</v>
      </c>
      <c r="H2296" s="1518">
        <v>11.633400000000002</v>
      </c>
    </row>
    <row r="2297" spans="2:8">
      <c r="B2297" s="2022"/>
      <c r="C2297" s="1536">
        <v>8</v>
      </c>
      <c r="D2297" s="1537">
        <f t="shared" si="12"/>
        <v>364</v>
      </c>
      <c r="E2297" s="534" t="s">
        <v>2220</v>
      </c>
      <c r="F2297" s="534">
        <v>8</v>
      </c>
      <c r="G2297" s="534" t="s">
        <v>2210</v>
      </c>
      <c r="H2297" s="1518">
        <v>13.150800000000002</v>
      </c>
    </row>
    <row r="2298" spans="2:8">
      <c r="B2298" s="2022"/>
      <c r="C2298" s="1536">
        <v>9</v>
      </c>
      <c r="D2298" s="1537">
        <f t="shared" si="12"/>
        <v>406</v>
      </c>
      <c r="E2298" s="534" t="s">
        <v>2221</v>
      </c>
      <c r="F2298" s="534">
        <v>9</v>
      </c>
      <c r="G2298" s="534" t="s">
        <v>2210</v>
      </c>
      <c r="H2298" s="1518">
        <v>14.668200000000002</v>
      </c>
    </row>
    <row r="2299" spans="2:8">
      <c r="B2299" s="2022"/>
      <c r="C2299" s="1536">
        <v>10</v>
      </c>
      <c r="D2299" s="1537">
        <f t="shared" si="12"/>
        <v>448</v>
      </c>
      <c r="E2299" s="534" t="s">
        <v>2222</v>
      </c>
      <c r="F2299" s="534">
        <v>10</v>
      </c>
      <c r="G2299" s="534" t="s">
        <v>2210</v>
      </c>
      <c r="H2299" s="1518">
        <v>16.185600000000001</v>
      </c>
    </row>
    <row r="2300" spans="2:8">
      <c r="B2300" s="2022" t="s">
        <v>2223</v>
      </c>
      <c r="C2300" s="1536">
        <v>1</v>
      </c>
      <c r="D2300" s="1537">
        <f>27*(3*C2300+2)</f>
        <v>135</v>
      </c>
      <c r="E2300" s="534" t="s">
        <v>2224</v>
      </c>
      <c r="F2300" s="534">
        <v>1</v>
      </c>
      <c r="G2300" s="534" t="s">
        <v>2225</v>
      </c>
      <c r="H2300" s="1518">
        <v>4.8773571428571438</v>
      </c>
    </row>
    <row r="2301" spans="2:8">
      <c r="B2301" s="2022"/>
      <c r="C2301" s="1536">
        <v>2</v>
      </c>
      <c r="D2301" s="1537">
        <f t="shared" ref="D2301:D2309" si="13">27*(3*C2301+2)</f>
        <v>216</v>
      </c>
      <c r="E2301" s="534" t="s">
        <v>2226</v>
      </c>
      <c r="F2301" s="534">
        <v>2</v>
      </c>
      <c r="G2301" s="534" t="s">
        <v>2225</v>
      </c>
      <c r="H2301" s="1518">
        <v>7.8037714285714292</v>
      </c>
    </row>
    <row r="2302" spans="2:8">
      <c r="B2302" s="2022"/>
      <c r="C2302" s="1536">
        <v>3</v>
      </c>
      <c r="D2302" s="1537">
        <f t="shared" si="13"/>
        <v>297</v>
      </c>
      <c r="E2302" s="534" t="s">
        <v>2227</v>
      </c>
      <c r="F2302" s="534">
        <v>3</v>
      </c>
      <c r="G2302" s="534" t="s">
        <v>2225</v>
      </c>
      <c r="H2302" s="1518">
        <v>10.730185714285716</v>
      </c>
    </row>
    <row r="2303" spans="2:8">
      <c r="B2303" s="2022"/>
      <c r="C2303" s="1536">
        <v>4</v>
      </c>
      <c r="D2303" s="1537">
        <f t="shared" si="13"/>
        <v>378</v>
      </c>
      <c r="E2303" s="534" t="s">
        <v>2228</v>
      </c>
      <c r="F2303" s="534">
        <v>4</v>
      </c>
      <c r="G2303" s="534" t="s">
        <v>2225</v>
      </c>
      <c r="H2303" s="1518">
        <v>13.656600000000003</v>
      </c>
    </row>
    <row r="2304" spans="2:8">
      <c r="B2304" s="2022"/>
      <c r="C2304" s="1536">
        <v>5</v>
      </c>
      <c r="D2304" s="1537">
        <f t="shared" si="13"/>
        <v>459</v>
      </c>
      <c r="E2304" s="534" t="s">
        <v>2229</v>
      </c>
      <c r="F2304" s="534">
        <v>5</v>
      </c>
      <c r="G2304" s="534" t="s">
        <v>2225</v>
      </c>
      <c r="H2304" s="1518">
        <v>16.583014285714288</v>
      </c>
    </row>
    <row r="2305" spans="2:8">
      <c r="B2305" s="2022"/>
      <c r="C2305" s="1536">
        <v>6</v>
      </c>
      <c r="D2305" s="1537">
        <f t="shared" si="13"/>
        <v>540</v>
      </c>
      <c r="E2305" s="534" t="s">
        <v>2230</v>
      </c>
      <c r="F2305" s="534">
        <v>6</v>
      </c>
      <c r="G2305" s="534" t="s">
        <v>2225</v>
      </c>
      <c r="H2305" s="1518">
        <v>19.509428571428575</v>
      </c>
    </row>
    <row r="2306" spans="2:8">
      <c r="B2306" s="2022"/>
      <c r="C2306" s="1536">
        <v>7</v>
      </c>
      <c r="D2306" s="1537">
        <f t="shared" si="13"/>
        <v>621</v>
      </c>
      <c r="E2306" s="534" t="s">
        <v>2231</v>
      </c>
      <c r="F2306" s="534">
        <v>7</v>
      </c>
      <c r="G2306" s="534" t="s">
        <v>2225</v>
      </c>
      <c r="H2306" s="1518">
        <v>22.435842857142859</v>
      </c>
    </row>
    <row r="2307" spans="2:8">
      <c r="B2307" s="2022"/>
      <c r="C2307" s="1536">
        <v>8</v>
      </c>
      <c r="D2307" s="1537">
        <f t="shared" si="13"/>
        <v>702</v>
      </c>
      <c r="E2307" s="534" t="s">
        <v>2232</v>
      </c>
      <c r="F2307" s="534">
        <v>8</v>
      </c>
      <c r="G2307" s="534" t="s">
        <v>2225</v>
      </c>
      <c r="H2307" s="1518">
        <v>25.362257142857146</v>
      </c>
    </row>
    <row r="2308" spans="2:8">
      <c r="B2308" s="2022"/>
      <c r="C2308" s="1536">
        <v>9</v>
      </c>
      <c r="D2308" s="1537">
        <f t="shared" si="13"/>
        <v>783</v>
      </c>
      <c r="E2308" s="534" t="s">
        <v>2233</v>
      </c>
      <c r="F2308" s="534">
        <v>9</v>
      </c>
      <c r="G2308" s="534" t="s">
        <v>2225</v>
      </c>
      <c r="H2308" s="1518">
        <v>28.288671428571433</v>
      </c>
    </row>
    <row r="2309" spans="2:8">
      <c r="B2309" s="2022"/>
      <c r="C2309" s="1536">
        <v>10</v>
      </c>
      <c r="D2309" s="1537">
        <f t="shared" si="13"/>
        <v>864</v>
      </c>
      <c r="E2309" s="534" t="s">
        <v>2234</v>
      </c>
      <c r="F2309" s="534">
        <v>10</v>
      </c>
      <c r="G2309" s="534" t="s">
        <v>2225</v>
      </c>
      <c r="H2309" s="1518">
        <v>31.215085714285717</v>
      </c>
    </row>
    <row r="2310" spans="2:8">
      <c r="B2310" s="2022" t="s">
        <v>2235</v>
      </c>
      <c r="C2310" s="1536">
        <v>1</v>
      </c>
      <c r="D2310" s="1537">
        <f>41*(3*C2310+2)</f>
        <v>205</v>
      </c>
      <c r="E2310" s="534" t="s">
        <v>2236</v>
      </c>
      <c r="F2310" s="534">
        <v>1</v>
      </c>
      <c r="G2310" s="534" t="s">
        <v>2237</v>
      </c>
      <c r="H2310" s="1518">
        <v>7.4063571428571437</v>
      </c>
    </row>
    <row r="2311" spans="2:8">
      <c r="B2311" s="2022"/>
      <c r="C2311" s="1536">
        <v>2</v>
      </c>
      <c r="D2311" s="1537">
        <f t="shared" ref="D2311:D2319" si="14">41*(3*C2311+2)</f>
        <v>328</v>
      </c>
      <c r="E2311" s="534" t="s">
        <v>2238</v>
      </c>
      <c r="F2311" s="534">
        <v>2</v>
      </c>
      <c r="G2311" s="534" t="s">
        <v>2237</v>
      </c>
      <c r="H2311" s="1518">
        <v>11.85017142857143</v>
      </c>
    </row>
    <row r="2312" spans="2:8">
      <c r="B2312" s="2022"/>
      <c r="C2312" s="1536">
        <v>3</v>
      </c>
      <c r="D2312" s="1537">
        <f t="shared" si="14"/>
        <v>451</v>
      </c>
      <c r="E2312" s="534" t="s">
        <v>2239</v>
      </c>
      <c r="F2312" s="534">
        <v>3</v>
      </c>
      <c r="G2312" s="534" t="s">
        <v>2237</v>
      </c>
      <c r="H2312" s="1518">
        <v>16.293985714285718</v>
      </c>
    </row>
    <row r="2313" spans="2:8">
      <c r="B2313" s="2022"/>
      <c r="C2313" s="1536">
        <v>4</v>
      </c>
      <c r="D2313" s="1537">
        <f t="shared" si="14"/>
        <v>574</v>
      </c>
      <c r="E2313" s="534" t="s">
        <v>2240</v>
      </c>
      <c r="F2313" s="534">
        <v>4</v>
      </c>
      <c r="G2313" s="534" t="s">
        <v>2237</v>
      </c>
      <c r="H2313" s="1518">
        <v>20.737800000000004</v>
      </c>
    </row>
    <row r="2314" spans="2:8">
      <c r="B2314" s="2022"/>
      <c r="C2314" s="1536">
        <v>5</v>
      </c>
      <c r="D2314" s="1537">
        <f t="shared" si="14"/>
        <v>697</v>
      </c>
      <c r="E2314" s="534" t="s">
        <v>2241</v>
      </c>
      <c r="F2314" s="534">
        <v>5</v>
      </c>
      <c r="G2314" s="534" t="s">
        <v>2237</v>
      </c>
      <c r="H2314" s="1518">
        <v>25.181614285714289</v>
      </c>
    </row>
    <row r="2315" spans="2:8">
      <c r="B2315" s="2022"/>
      <c r="C2315" s="1536">
        <v>6</v>
      </c>
      <c r="D2315" s="1537">
        <f t="shared" si="14"/>
        <v>820</v>
      </c>
      <c r="E2315" s="534" t="s">
        <v>2242</v>
      </c>
      <c r="F2315" s="534">
        <v>6</v>
      </c>
      <c r="G2315" s="534" t="s">
        <v>2237</v>
      </c>
      <c r="H2315" s="1518">
        <v>29.625428571428575</v>
      </c>
    </row>
    <row r="2316" spans="2:8">
      <c r="B2316" s="2022"/>
      <c r="C2316" s="1536">
        <v>7</v>
      </c>
      <c r="D2316" s="1537">
        <f t="shared" si="14"/>
        <v>943</v>
      </c>
      <c r="E2316" s="534" t="s">
        <v>2243</v>
      </c>
      <c r="F2316" s="534">
        <v>7</v>
      </c>
      <c r="G2316" s="534" t="s">
        <v>2237</v>
      </c>
      <c r="H2316" s="1518">
        <v>34.069242857142861</v>
      </c>
    </row>
    <row r="2317" spans="2:8">
      <c r="B2317" s="2022"/>
      <c r="C2317" s="1536">
        <v>8</v>
      </c>
      <c r="D2317" s="1537">
        <f t="shared" si="14"/>
        <v>1066</v>
      </c>
      <c r="E2317" s="534" t="s">
        <v>2244</v>
      </c>
      <c r="F2317" s="534">
        <v>8</v>
      </c>
      <c r="G2317" s="534" t="s">
        <v>2237</v>
      </c>
      <c r="H2317" s="1518">
        <v>38.51305714285715</v>
      </c>
    </row>
    <row r="2318" spans="2:8">
      <c r="B2318" s="2022"/>
      <c r="C2318" s="1536">
        <v>9</v>
      </c>
      <c r="D2318" s="1537">
        <f t="shared" si="14"/>
        <v>1189</v>
      </c>
      <c r="E2318" s="534" t="s">
        <v>2245</v>
      </c>
      <c r="F2318" s="534">
        <v>9</v>
      </c>
      <c r="G2318" s="534" t="s">
        <v>2237</v>
      </c>
      <c r="H2318" s="1518">
        <v>42.956871428571432</v>
      </c>
    </row>
    <row r="2319" spans="2:8">
      <c r="B2319" s="2022"/>
      <c r="C2319" s="1536">
        <v>10</v>
      </c>
      <c r="D2319" s="1537">
        <f t="shared" si="14"/>
        <v>1312</v>
      </c>
      <c r="E2319" s="534" t="s">
        <v>2246</v>
      </c>
      <c r="F2319" s="534">
        <v>10</v>
      </c>
      <c r="G2319" s="534" t="s">
        <v>2237</v>
      </c>
      <c r="H2319" s="1518">
        <v>47.400685714285721</v>
      </c>
    </row>
    <row r="2320" spans="2:8">
      <c r="B2320" s="2022" t="s">
        <v>2247</v>
      </c>
      <c r="C2320" s="1536">
        <v>1</v>
      </c>
      <c r="D2320" s="1537">
        <f>50*(3*C2320+2)</f>
        <v>250</v>
      </c>
      <c r="E2320" s="534" t="s">
        <v>2248</v>
      </c>
      <c r="F2320" s="534">
        <v>1</v>
      </c>
      <c r="G2320" s="534" t="s">
        <v>2249</v>
      </c>
      <c r="H2320" s="1518">
        <v>9.0321428571428584</v>
      </c>
    </row>
    <row r="2321" spans="2:8">
      <c r="B2321" s="2022"/>
      <c r="C2321" s="1536">
        <v>2</v>
      </c>
      <c r="D2321" s="1537">
        <f t="shared" ref="D2321:D2329" si="15">50*(3*C2321+2)</f>
        <v>400</v>
      </c>
      <c r="E2321" s="534" t="s">
        <v>2250</v>
      </c>
      <c r="F2321" s="534">
        <v>2</v>
      </c>
      <c r="G2321" s="534" t="s">
        <v>2249</v>
      </c>
      <c r="H2321" s="1518">
        <v>14.451428571428574</v>
      </c>
    </row>
    <row r="2322" spans="2:8">
      <c r="B2322" s="2022"/>
      <c r="C2322" s="1536">
        <v>3</v>
      </c>
      <c r="D2322" s="1537">
        <f t="shared" si="15"/>
        <v>550</v>
      </c>
      <c r="E2322" s="534" t="s">
        <v>2251</v>
      </c>
      <c r="F2322" s="534">
        <v>3</v>
      </c>
      <c r="G2322" s="534" t="s">
        <v>2249</v>
      </c>
      <c r="H2322" s="1518">
        <v>19.870714285714289</v>
      </c>
    </row>
    <row r="2323" spans="2:8">
      <c r="B2323" s="2022"/>
      <c r="C2323" s="1536">
        <v>4</v>
      </c>
      <c r="D2323" s="1537">
        <f t="shared" si="15"/>
        <v>700</v>
      </c>
      <c r="E2323" s="534" t="s">
        <v>2252</v>
      </c>
      <c r="F2323" s="534">
        <v>4</v>
      </c>
      <c r="G2323" s="534" t="s">
        <v>2249</v>
      </c>
      <c r="H2323" s="1518">
        <v>25.290000000000003</v>
      </c>
    </row>
    <row r="2324" spans="2:8">
      <c r="B2324" s="2022"/>
      <c r="C2324" s="1536">
        <v>5</v>
      </c>
      <c r="D2324" s="1537">
        <f t="shared" si="15"/>
        <v>850</v>
      </c>
      <c r="E2324" s="534" t="s">
        <v>2253</v>
      </c>
      <c r="F2324" s="534">
        <v>5</v>
      </c>
      <c r="G2324" s="534" t="s">
        <v>2249</v>
      </c>
      <c r="H2324" s="1518">
        <v>30.70928571428572</v>
      </c>
    </row>
    <row r="2325" spans="2:8">
      <c r="B2325" s="2022"/>
      <c r="C2325" s="1536">
        <v>6</v>
      </c>
      <c r="D2325" s="1537">
        <f t="shared" si="15"/>
        <v>1000</v>
      </c>
      <c r="E2325" s="534" t="s">
        <v>2254</v>
      </c>
      <c r="F2325" s="534">
        <v>6</v>
      </c>
      <c r="G2325" s="534" t="s">
        <v>2249</v>
      </c>
      <c r="H2325" s="1518">
        <v>36.128571428571433</v>
      </c>
    </row>
    <row r="2326" spans="2:8">
      <c r="B2326" s="2022"/>
      <c r="C2326" s="1536">
        <v>7</v>
      </c>
      <c r="D2326" s="1537">
        <f t="shared" si="15"/>
        <v>1150</v>
      </c>
      <c r="E2326" s="534" t="s">
        <v>2255</v>
      </c>
      <c r="F2326" s="534">
        <v>7</v>
      </c>
      <c r="G2326" s="534" t="s">
        <v>2249</v>
      </c>
      <c r="H2326" s="1518">
        <v>41.547857142857147</v>
      </c>
    </row>
    <row r="2327" spans="2:8">
      <c r="B2327" s="2022"/>
      <c r="C2327" s="1536">
        <v>8</v>
      </c>
      <c r="D2327" s="1537">
        <f t="shared" si="15"/>
        <v>1300</v>
      </c>
      <c r="E2327" s="534" t="s">
        <v>2256</v>
      </c>
      <c r="F2327" s="534">
        <v>8</v>
      </c>
      <c r="G2327" s="534" t="s">
        <v>2249</v>
      </c>
      <c r="H2327" s="1518">
        <v>46.967142857142861</v>
      </c>
    </row>
    <row r="2328" spans="2:8">
      <c r="B2328" s="2022"/>
      <c r="C2328" s="1536">
        <v>9</v>
      </c>
      <c r="D2328" s="1537">
        <f t="shared" si="15"/>
        <v>1450</v>
      </c>
      <c r="E2328" s="534" t="s">
        <v>2257</v>
      </c>
      <c r="F2328" s="534">
        <v>9</v>
      </c>
      <c r="G2328" s="534" t="s">
        <v>2249</v>
      </c>
      <c r="H2328" s="1518">
        <v>52.386428571428581</v>
      </c>
    </row>
    <row r="2329" spans="2:8">
      <c r="B2329" s="2022"/>
      <c r="C2329" s="1536">
        <v>10</v>
      </c>
      <c r="D2329" s="1537">
        <f t="shared" si="15"/>
        <v>1600</v>
      </c>
      <c r="E2329" s="534" t="s">
        <v>2258</v>
      </c>
      <c r="F2329" s="534">
        <v>10</v>
      </c>
      <c r="G2329" s="534" t="s">
        <v>2249</v>
      </c>
      <c r="H2329" s="1518">
        <v>57.805714285714295</v>
      </c>
    </row>
    <row r="2331" spans="2:8">
      <c r="B2331" s="1681" t="s">
        <v>2449</v>
      </c>
      <c r="C2331" s="1533" t="s">
        <v>2202</v>
      </c>
      <c r="D2331" s="1534" t="s">
        <v>2203</v>
      </c>
      <c r="E2331" s="1535" t="s">
        <v>2207</v>
      </c>
      <c r="F2331" s="1490"/>
      <c r="G2331" s="1490"/>
    </row>
    <row r="2332" spans="2:8">
      <c r="B2332" s="2071" t="s">
        <v>2458</v>
      </c>
      <c r="C2332" s="1720">
        <v>3</v>
      </c>
      <c r="D2332" s="1721">
        <v>21</v>
      </c>
      <c r="E2332" s="1722">
        <v>0.90900000000000025</v>
      </c>
      <c r="F2332" s="1490"/>
    </row>
    <row r="2333" spans="2:8">
      <c r="B2333" s="2071"/>
      <c r="C2333" s="1720">
        <v>4</v>
      </c>
      <c r="D2333" s="1721">
        <v>28</v>
      </c>
      <c r="E2333" s="1722">
        <v>1.2120000000000002</v>
      </c>
      <c r="F2333" s="1490"/>
    </row>
    <row r="2334" spans="2:8">
      <c r="B2334" s="2071"/>
      <c r="C2334" s="1720">
        <v>5</v>
      </c>
      <c r="D2334" s="1721">
        <v>35</v>
      </c>
      <c r="E2334" s="1722">
        <v>1.5150000000000003</v>
      </c>
    </row>
    <row r="2335" spans="2:8">
      <c r="B2335" s="2071"/>
      <c r="C2335" s="1720">
        <v>6</v>
      </c>
      <c r="D2335" s="1721">
        <v>42</v>
      </c>
      <c r="E2335" s="1722">
        <v>1.8180000000000005</v>
      </c>
    </row>
    <row r="2336" spans="2:8">
      <c r="B2336" s="2071"/>
      <c r="C2336" s="1720">
        <v>7</v>
      </c>
      <c r="D2336" s="1721">
        <v>49</v>
      </c>
      <c r="E2336" s="1722">
        <v>2.1210000000000004</v>
      </c>
    </row>
    <row r="2337" spans="2:5">
      <c r="B2337" s="2071"/>
      <c r="C2337" s="1720">
        <v>8</v>
      </c>
      <c r="D2337" s="1721">
        <v>56</v>
      </c>
      <c r="E2337" s="1722">
        <v>2.4240000000000004</v>
      </c>
    </row>
    <row r="2338" spans="2:5">
      <c r="B2338" s="2071"/>
      <c r="C2338" s="1720">
        <v>9</v>
      </c>
      <c r="D2338" s="1721">
        <v>63</v>
      </c>
      <c r="E2338" s="1722">
        <v>2.7270000000000008</v>
      </c>
    </row>
    <row r="2339" spans="2:5">
      <c r="B2339" s="2071"/>
      <c r="C2339" s="1720">
        <v>10</v>
      </c>
      <c r="D2339" s="1721">
        <v>70</v>
      </c>
      <c r="E2339" s="1722">
        <v>3.0300000000000007</v>
      </c>
    </row>
    <row r="2340" spans="2:5">
      <c r="B2340" s="2071"/>
      <c r="C2340" s="1720">
        <v>11</v>
      </c>
      <c r="D2340" s="1721">
        <v>77</v>
      </c>
      <c r="E2340" s="1722">
        <v>3.3330000000000006</v>
      </c>
    </row>
    <row r="2341" spans="2:5">
      <c r="B2341" s="2071"/>
      <c r="C2341" s="1720">
        <v>12</v>
      </c>
      <c r="D2341" s="1721">
        <v>84</v>
      </c>
      <c r="E2341" s="1722">
        <v>3.636000000000001</v>
      </c>
    </row>
    <row r="2342" spans="2:5">
      <c r="B2342" s="2071"/>
      <c r="C2342" s="1720">
        <v>13</v>
      </c>
      <c r="D2342" s="1721">
        <v>91</v>
      </c>
      <c r="E2342" s="1722">
        <v>3.9390000000000009</v>
      </c>
    </row>
    <row r="2343" spans="2:5">
      <c r="B2343" s="2071"/>
      <c r="C2343" s="1720">
        <v>14</v>
      </c>
      <c r="D2343" s="1721">
        <v>98</v>
      </c>
      <c r="E2343" s="1722">
        <v>4.2420000000000009</v>
      </c>
    </row>
    <row r="2344" spans="2:5">
      <c r="B2344" s="2071"/>
      <c r="C2344" s="1720">
        <v>15</v>
      </c>
      <c r="D2344" s="1721">
        <v>105</v>
      </c>
      <c r="E2344" s="1722">
        <v>4.5450000000000008</v>
      </c>
    </row>
    <row r="2345" spans="2:5">
      <c r="B2345" s="2071"/>
      <c r="C2345" s="1720">
        <v>16</v>
      </c>
      <c r="D2345" s="1721">
        <v>112</v>
      </c>
      <c r="E2345" s="1722">
        <v>4.8480000000000008</v>
      </c>
    </row>
    <row r="2346" spans="2:5">
      <c r="B2346" s="2071"/>
      <c r="C2346" s="1720">
        <v>17</v>
      </c>
      <c r="D2346" s="1721">
        <v>119</v>
      </c>
      <c r="E2346" s="1722">
        <v>5.1510000000000016</v>
      </c>
    </row>
    <row r="2347" spans="2:5">
      <c r="B2347" s="2071"/>
      <c r="C2347" s="1720">
        <v>18</v>
      </c>
      <c r="D2347" s="1721">
        <v>126</v>
      </c>
      <c r="E2347" s="1722">
        <v>5.4540000000000015</v>
      </c>
    </row>
    <row r="2348" spans="2:5">
      <c r="B2348" s="2071"/>
      <c r="C2348" s="1720">
        <v>19</v>
      </c>
      <c r="D2348" s="1721">
        <v>133</v>
      </c>
      <c r="E2348" s="1722">
        <v>5.7570000000000014</v>
      </c>
    </row>
    <row r="2349" spans="2:5">
      <c r="B2349" s="2071"/>
      <c r="C2349" s="1720">
        <v>20</v>
      </c>
      <c r="D2349" s="1721">
        <v>140</v>
      </c>
      <c r="E2349" s="1722">
        <v>6.0600000000000014</v>
      </c>
    </row>
    <row r="2350" spans="2:5">
      <c r="B2350" s="2071"/>
      <c r="C2350" s="1720">
        <v>21</v>
      </c>
      <c r="D2350" s="1721">
        <v>147</v>
      </c>
      <c r="E2350" s="1722">
        <v>6.3630000000000013</v>
      </c>
    </row>
    <row r="2351" spans="2:5">
      <c r="B2351" s="2071"/>
      <c r="C2351" s="1720">
        <v>22</v>
      </c>
      <c r="D2351" s="1721">
        <v>154</v>
      </c>
      <c r="E2351" s="1722">
        <v>6.6660000000000013</v>
      </c>
    </row>
    <row r="2352" spans="2:5">
      <c r="B2352" s="2071"/>
      <c r="C2352" s="1720">
        <v>23</v>
      </c>
      <c r="D2352" s="1721">
        <v>161</v>
      </c>
      <c r="E2352" s="1722">
        <v>6.9690000000000012</v>
      </c>
    </row>
    <row r="2353" spans="2:5">
      <c r="B2353" s="2071"/>
      <c r="C2353" s="1720">
        <v>24</v>
      </c>
      <c r="D2353" s="1721">
        <v>168</v>
      </c>
      <c r="E2353" s="1722">
        <v>7.272000000000002</v>
      </c>
    </row>
    <row r="2354" spans="2:5">
      <c r="B2354" s="2071"/>
      <c r="C2354" s="1720">
        <v>25</v>
      </c>
      <c r="D2354" s="1721">
        <v>175</v>
      </c>
      <c r="E2354" s="1722">
        <v>7.575000000000002</v>
      </c>
    </row>
    <row r="2355" spans="2:5">
      <c r="B2355" s="2071"/>
      <c r="C2355" s="1720">
        <v>26</v>
      </c>
      <c r="D2355" s="1721">
        <v>182</v>
      </c>
      <c r="E2355" s="1722">
        <v>7.8780000000000019</v>
      </c>
    </row>
    <row r="2356" spans="2:5">
      <c r="B2356" s="2071"/>
      <c r="C2356" s="1720">
        <v>27</v>
      </c>
      <c r="D2356" s="1721">
        <v>189</v>
      </c>
      <c r="E2356" s="1722">
        <v>8.1810000000000027</v>
      </c>
    </row>
    <row r="2357" spans="2:5">
      <c r="B2357" s="2071"/>
      <c r="C2357" s="1720">
        <v>28</v>
      </c>
      <c r="D2357" s="1721">
        <v>196</v>
      </c>
      <c r="E2357" s="1722">
        <v>8.4840000000000018</v>
      </c>
    </row>
    <row r="2358" spans="2:5">
      <c r="B2358" s="2071"/>
      <c r="C2358" s="1720">
        <v>29</v>
      </c>
      <c r="D2358" s="1721">
        <v>203</v>
      </c>
      <c r="E2358" s="1722">
        <v>8.7870000000000026</v>
      </c>
    </row>
    <row r="2359" spans="2:5">
      <c r="B2359" s="2071"/>
      <c r="C2359" s="1720">
        <v>30</v>
      </c>
      <c r="D2359" s="1721">
        <v>210</v>
      </c>
      <c r="E2359" s="1722">
        <v>9.0900000000000016</v>
      </c>
    </row>
    <row r="2360" spans="2:5">
      <c r="B2360" s="2071" t="s">
        <v>2450</v>
      </c>
      <c r="C2360" s="1720">
        <v>3</v>
      </c>
      <c r="D2360" s="1721">
        <v>42</v>
      </c>
      <c r="E2360" s="1722">
        <v>1.8180000000000005</v>
      </c>
    </row>
    <row r="2361" spans="2:5">
      <c r="B2361" s="2071"/>
      <c r="C2361" s="1720">
        <v>4</v>
      </c>
      <c r="D2361" s="1721">
        <v>56</v>
      </c>
      <c r="E2361" s="1722">
        <v>2.4240000000000004</v>
      </c>
    </row>
    <row r="2362" spans="2:5">
      <c r="B2362" s="2071"/>
      <c r="C2362" s="1720">
        <v>5</v>
      </c>
      <c r="D2362" s="1721">
        <v>70</v>
      </c>
      <c r="E2362" s="1722">
        <v>3.0300000000000007</v>
      </c>
    </row>
    <row r="2363" spans="2:5">
      <c r="B2363" s="2071"/>
      <c r="C2363" s="1720">
        <v>6</v>
      </c>
      <c r="D2363" s="1721">
        <v>84</v>
      </c>
      <c r="E2363" s="1722">
        <v>3.636000000000001</v>
      </c>
    </row>
    <row r="2364" spans="2:5">
      <c r="B2364" s="2071"/>
      <c r="C2364" s="1720">
        <v>7</v>
      </c>
      <c r="D2364" s="1721">
        <v>98</v>
      </c>
      <c r="E2364" s="1722">
        <v>4.2420000000000009</v>
      </c>
    </row>
    <row r="2365" spans="2:5">
      <c r="B2365" s="2071"/>
      <c r="C2365" s="1720">
        <v>8</v>
      </c>
      <c r="D2365" s="1721">
        <v>112</v>
      </c>
      <c r="E2365" s="1722">
        <v>4.8480000000000008</v>
      </c>
    </row>
    <row r="2366" spans="2:5">
      <c r="B2366" s="2071"/>
      <c r="C2366" s="1720">
        <v>9</v>
      </c>
      <c r="D2366" s="1721">
        <v>126</v>
      </c>
      <c r="E2366" s="1722">
        <v>5.4540000000000015</v>
      </c>
    </row>
    <row r="2367" spans="2:5">
      <c r="B2367" s="2071"/>
      <c r="C2367" s="1720">
        <v>10</v>
      </c>
      <c r="D2367" s="1721">
        <v>140</v>
      </c>
      <c r="E2367" s="1722">
        <v>6.0600000000000014</v>
      </c>
    </row>
    <row r="2368" spans="2:5">
      <c r="B2368" s="2071"/>
      <c r="C2368" s="1720">
        <v>11</v>
      </c>
      <c r="D2368" s="1721">
        <v>154</v>
      </c>
      <c r="E2368" s="1722">
        <v>6.6660000000000013</v>
      </c>
    </row>
    <row r="2369" spans="2:5">
      <c r="B2369" s="2071"/>
      <c r="C2369" s="1720">
        <v>12</v>
      </c>
      <c r="D2369" s="1721">
        <v>168</v>
      </c>
      <c r="E2369" s="1722">
        <v>7.272000000000002</v>
      </c>
    </row>
    <row r="2370" spans="2:5">
      <c r="B2370" s="2071"/>
      <c r="C2370" s="1720">
        <v>13</v>
      </c>
      <c r="D2370" s="1721">
        <v>182</v>
      </c>
      <c r="E2370" s="1722">
        <v>7.8780000000000019</v>
      </c>
    </row>
    <row r="2371" spans="2:5">
      <c r="B2371" s="2071"/>
      <c r="C2371" s="1720">
        <v>14</v>
      </c>
      <c r="D2371" s="1721">
        <v>196</v>
      </c>
      <c r="E2371" s="1722">
        <v>8.4840000000000018</v>
      </c>
    </row>
    <row r="2372" spans="2:5">
      <c r="B2372" s="2071"/>
      <c r="C2372" s="1720">
        <v>15</v>
      </c>
      <c r="D2372" s="1721">
        <v>210</v>
      </c>
      <c r="E2372" s="1722">
        <v>9.0900000000000016</v>
      </c>
    </row>
    <row r="2373" spans="2:5">
      <c r="B2373" s="2071"/>
      <c r="C2373" s="1720">
        <v>16</v>
      </c>
      <c r="D2373" s="1721">
        <v>224</v>
      </c>
      <c r="E2373" s="1722">
        <v>9.6960000000000015</v>
      </c>
    </row>
    <row r="2374" spans="2:5">
      <c r="B2374" s="2071"/>
      <c r="C2374" s="1720">
        <v>17</v>
      </c>
      <c r="D2374" s="1721">
        <v>238</v>
      </c>
      <c r="E2374" s="1722">
        <v>10.302000000000003</v>
      </c>
    </row>
    <row r="2375" spans="2:5">
      <c r="B2375" s="2071"/>
      <c r="C2375" s="1720">
        <v>18</v>
      </c>
      <c r="D2375" s="1721">
        <v>252</v>
      </c>
      <c r="E2375" s="1722">
        <v>10.908000000000003</v>
      </c>
    </row>
    <row r="2376" spans="2:5">
      <c r="B2376" s="2071"/>
      <c r="C2376" s="1720">
        <v>19</v>
      </c>
      <c r="D2376" s="1721">
        <v>266</v>
      </c>
      <c r="E2376" s="1722">
        <v>11.514000000000003</v>
      </c>
    </row>
    <row r="2377" spans="2:5">
      <c r="B2377" s="2071"/>
      <c r="C2377" s="1720">
        <v>20</v>
      </c>
      <c r="D2377" s="1721">
        <v>280</v>
      </c>
      <c r="E2377" s="1722">
        <v>12.120000000000003</v>
      </c>
    </row>
    <row r="2378" spans="2:5">
      <c r="B2378" s="2071"/>
      <c r="C2378" s="1720">
        <v>21</v>
      </c>
      <c r="D2378" s="1721">
        <v>294</v>
      </c>
      <c r="E2378" s="1722">
        <v>12.726000000000003</v>
      </c>
    </row>
    <row r="2379" spans="2:5">
      <c r="B2379" s="2071"/>
      <c r="C2379" s="1720">
        <v>22</v>
      </c>
      <c r="D2379" s="1721">
        <v>308</v>
      </c>
      <c r="E2379" s="1722">
        <v>13.332000000000003</v>
      </c>
    </row>
    <row r="2380" spans="2:5">
      <c r="B2380" s="2071"/>
      <c r="C2380" s="1720">
        <v>23</v>
      </c>
      <c r="D2380" s="1721">
        <v>322</v>
      </c>
      <c r="E2380" s="1722">
        <v>13.938000000000002</v>
      </c>
    </row>
    <row r="2381" spans="2:5">
      <c r="B2381" s="2071"/>
      <c r="C2381" s="1720">
        <v>24</v>
      </c>
      <c r="D2381" s="1721">
        <v>336</v>
      </c>
      <c r="E2381" s="1722">
        <v>14.544000000000004</v>
      </c>
    </row>
    <row r="2382" spans="2:5">
      <c r="B2382" s="2071"/>
      <c r="C2382" s="1720">
        <v>25</v>
      </c>
      <c r="D2382" s="1721">
        <v>350</v>
      </c>
      <c r="E2382" s="1722">
        <v>15.150000000000004</v>
      </c>
    </row>
    <row r="2383" spans="2:5">
      <c r="B2383" s="2071"/>
      <c r="C2383" s="1720">
        <v>26</v>
      </c>
      <c r="D2383" s="1721">
        <v>364</v>
      </c>
      <c r="E2383" s="1722">
        <v>15.756000000000004</v>
      </c>
    </row>
    <row r="2384" spans="2:5">
      <c r="B2384" s="2071"/>
      <c r="C2384" s="1720">
        <v>27</v>
      </c>
      <c r="D2384" s="1721">
        <v>378</v>
      </c>
      <c r="E2384" s="1722">
        <v>16.362000000000005</v>
      </c>
    </row>
    <row r="2385" spans="2:5">
      <c r="B2385" s="2071"/>
      <c r="C2385" s="1720">
        <v>28</v>
      </c>
      <c r="D2385" s="1721">
        <v>392</v>
      </c>
      <c r="E2385" s="1722">
        <v>16.968000000000004</v>
      </c>
    </row>
    <row r="2386" spans="2:5">
      <c r="B2386" s="2071"/>
      <c r="C2386" s="1720">
        <v>29</v>
      </c>
      <c r="D2386" s="1721">
        <v>406</v>
      </c>
      <c r="E2386" s="1722">
        <v>17.574000000000005</v>
      </c>
    </row>
    <row r="2387" spans="2:5">
      <c r="B2387" s="2071"/>
      <c r="C2387" s="1720">
        <v>30</v>
      </c>
      <c r="D2387" s="1721">
        <v>420</v>
      </c>
      <c r="E2387" s="1722">
        <v>18.180000000000003</v>
      </c>
    </row>
    <row r="2388" spans="2:5">
      <c r="B2388" s="2071" t="s">
        <v>2451</v>
      </c>
      <c r="C2388" s="1720">
        <v>3</v>
      </c>
      <c r="D2388" s="1721">
        <v>81</v>
      </c>
      <c r="E2388" s="1722">
        <v>3.6368999999999998</v>
      </c>
    </row>
    <row r="2389" spans="2:5">
      <c r="B2389" s="2071"/>
      <c r="C2389" s="1720">
        <v>4</v>
      </c>
      <c r="D2389" s="1721">
        <v>108</v>
      </c>
      <c r="E2389" s="1722">
        <v>4.8491999999999997</v>
      </c>
    </row>
    <row r="2390" spans="2:5">
      <c r="B2390" s="2071"/>
      <c r="C2390" s="1720">
        <v>5</v>
      </c>
      <c r="D2390" s="1721">
        <v>135</v>
      </c>
      <c r="E2390" s="1722">
        <v>6.0614999999999997</v>
      </c>
    </row>
    <row r="2391" spans="2:5">
      <c r="B2391" s="2071"/>
      <c r="C2391" s="1720">
        <v>6</v>
      </c>
      <c r="D2391" s="1721">
        <v>162</v>
      </c>
      <c r="E2391" s="1722">
        <v>7.2737999999999996</v>
      </c>
    </row>
    <row r="2392" spans="2:5">
      <c r="B2392" s="2071"/>
      <c r="C2392" s="1720">
        <v>7</v>
      </c>
      <c r="D2392" s="1721">
        <v>189</v>
      </c>
      <c r="E2392" s="1722">
        <v>8.4860999999999986</v>
      </c>
    </row>
    <row r="2393" spans="2:5">
      <c r="B2393" s="2071"/>
      <c r="C2393" s="1720">
        <v>8</v>
      </c>
      <c r="D2393" s="1721">
        <v>216</v>
      </c>
      <c r="E2393" s="1722">
        <v>9.6983999999999995</v>
      </c>
    </row>
    <row r="2394" spans="2:5">
      <c r="B2394" s="2071"/>
      <c r="C2394" s="1720">
        <v>9</v>
      </c>
      <c r="D2394" s="1721">
        <v>243</v>
      </c>
      <c r="E2394" s="1722">
        <v>10.910699999999999</v>
      </c>
    </row>
    <row r="2395" spans="2:5">
      <c r="B2395" s="2071"/>
      <c r="C2395" s="1720">
        <v>10</v>
      </c>
      <c r="D2395" s="1721">
        <v>270</v>
      </c>
      <c r="E2395" s="1722">
        <v>12.122999999999999</v>
      </c>
    </row>
    <row r="2396" spans="2:5">
      <c r="B2396" s="2071"/>
      <c r="C2396" s="1720">
        <v>11</v>
      </c>
      <c r="D2396" s="1721">
        <v>297</v>
      </c>
      <c r="E2396" s="1722">
        <v>13.335299999999998</v>
      </c>
    </row>
    <row r="2397" spans="2:5">
      <c r="B2397" s="2071"/>
      <c r="C2397" s="1720">
        <v>12</v>
      </c>
      <c r="D2397" s="1721">
        <v>324</v>
      </c>
      <c r="E2397" s="1722">
        <v>14.547599999999999</v>
      </c>
    </row>
    <row r="2398" spans="2:5">
      <c r="B2398" s="2071"/>
      <c r="C2398" s="1720">
        <v>13</v>
      </c>
      <c r="D2398" s="1721">
        <v>351</v>
      </c>
      <c r="E2398" s="1722">
        <v>15.759899999999998</v>
      </c>
    </row>
    <row r="2399" spans="2:5">
      <c r="B2399" s="2071"/>
      <c r="C2399" s="1720">
        <v>14</v>
      </c>
      <c r="D2399" s="1721">
        <v>378</v>
      </c>
      <c r="E2399" s="1722">
        <v>16.972199999999997</v>
      </c>
    </row>
    <row r="2400" spans="2:5">
      <c r="B2400" s="2071"/>
      <c r="C2400" s="1720">
        <v>15</v>
      </c>
      <c r="D2400" s="1721">
        <v>405</v>
      </c>
      <c r="E2400" s="1722">
        <v>18.1845</v>
      </c>
    </row>
    <row r="2401" spans="2:5">
      <c r="B2401" s="2071"/>
      <c r="C2401" s="1720">
        <v>16</v>
      </c>
      <c r="D2401" s="1721">
        <v>432</v>
      </c>
      <c r="E2401" s="1722">
        <v>19.396799999999999</v>
      </c>
    </row>
    <row r="2402" spans="2:5">
      <c r="B2402" s="2071"/>
      <c r="C2402" s="1720">
        <v>17</v>
      </c>
      <c r="D2402" s="1721">
        <v>459</v>
      </c>
      <c r="E2402" s="1722">
        <v>20.609099999999998</v>
      </c>
    </row>
    <row r="2403" spans="2:5">
      <c r="B2403" s="2071"/>
      <c r="C2403" s="1720">
        <v>18</v>
      </c>
      <c r="D2403" s="1721">
        <v>486</v>
      </c>
      <c r="E2403" s="1722">
        <v>21.821399999999997</v>
      </c>
    </row>
    <row r="2404" spans="2:5">
      <c r="B2404" s="2071"/>
      <c r="C2404" s="1720">
        <v>19</v>
      </c>
      <c r="D2404" s="1721">
        <v>513</v>
      </c>
      <c r="E2404" s="1722">
        <v>23.033699999999996</v>
      </c>
    </row>
    <row r="2405" spans="2:5">
      <c r="B2405" s="2071"/>
      <c r="C2405" s="1720">
        <v>20</v>
      </c>
      <c r="D2405" s="1721">
        <v>540</v>
      </c>
      <c r="E2405" s="1722">
        <v>24.245999999999999</v>
      </c>
    </row>
    <row r="2406" spans="2:5">
      <c r="B2406" s="2071"/>
      <c r="C2406" s="1720">
        <v>21</v>
      </c>
      <c r="D2406" s="1721">
        <v>567</v>
      </c>
      <c r="E2406" s="1722">
        <v>25.458299999999998</v>
      </c>
    </row>
    <row r="2407" spans="2:5">
      <c r="B2407" s="2071"/>
      <c r="C2407" s="1720">
        <v>22</v>
      </c>
      <c r="D2407" s="1721">
        <v>594</v>
      </c>
      <c r="E2407" s="1722">
        <v>26.670599999999997</v>
      </c>
    </row>
    <row r="2408" spans="2:5">
      <c r="B2408" s="2071"/>
      <c r="C2408" s="1720">
        <v>23</v>
      </c>
      <c r="D2408" s="1721">
        <v>621</v>
      </c>
      <c r="E2408" s="1722">
        <v>27.882899999999996</v>
      </c>
    </row>
    <row r="2409" spans="2:5">
      <c r="B2409" s="2071"/>
      <c r="C2409" s="1720">
        <v>24</v>
      </c>
      <c r="D2409" s="1721">
        <v>648</v>
      </c>
      <c r="E2409" s="1722">
        <v>29.095199999999998</v>
      </c>
    </row>
    <row r="2410" spans="2:5">
      <c r="B2410" s="2071"/>
      <c r="C2410" s="1720">
        <v>25</v>
      </c>
      <c r="D2410" s="1721">
        <v>675</v>
      </c>
      <c r="E2410" s="1722">
        <v>30.307499999999997</v>
      </c>
    </row>
    <row r="2411" spans="2:5">
      <c r="B2411" s="2071"/>
      <c r="C2411" s="1720">
        <v>26</v>
      </c>
      <c r="D2411" s="1721">
        <v>702</v>
      </c>
      <c r="E2411" s="1722">
        <v>31.519799999999996</v>
      </c>
    </row>
    <row r="2412" spans="2:5">
      <c r="B2412" s="2071"/>
      <c r="C2412" s="1720">
        <v>27</v>
      </c>
      <c r="D2412" s="1721">
        <v>729</v>
      </c>
      <c r="E2412" s="1722">
        <v>32.732099999999996</v>
      </c>
    </row>
    <row r="2413" spans="2:5">
      <c r="B2413" s="2071"/>
      <c r="C2413" s="1720">
        <v>28</v>
      </c>
      <c r="D2413" s="1721">
        <v>756</v>
      </c>
      <c r="E2413" s="1722">
        <v>33.944399999999995</v>
      </c>
    </row>
    <row r="2414" spans="2:5">
      <c r="B2414" s="2071"/>
      <c r="C2414" s="1720">
        <v>29</v>
      </c>
      <c r="D2414" s="1721">
        <v>783</v>
      </c>
      <c r="E2414" s="1722">
        <v>35.156699999999994</v>
      </c>
    </row>
    <row r="2415" spans="2:5">
      <c r="B2415" s="2071"/>
      <c r="C2415" s="1720">
        <v>30</v>
      </c>
      <c r="D2415" s="1721">
        <v>810</v>
      </c>
      <c r="E2415" s="1722">
        <v>36.369</v>
      </c>
    </row>
    <row r="2416" spans="2:5">
      <c r="B2416" s="2071"/>
      <c r="C2416" s="1720">
        <v>31</v>
      </c>
      <c r="D2416" s="1721">
        <v>837</v>
      </c>
      <c r="E2416" s="1722">
        <v>37.581299999999999</v>
      </c>
    </row>
    <row r="2417" spans="2:5">
      <c r="B2417" s="2071"/>
      <c r="C2417" s="1720">
        <v>32</v>
      </c>
      <c r="D2417" s="1721">
        <v>864</v>
      </c>
      <c r="E2417" s="1722">
        <v>38.793599999999998</v>
      </c>
    </row>
    <row r="2418" spans="2:5">
      <c r="B2418" s="2071"/>
      <c r="C2418" s="1720">
        <v>33</v>
      </c>
      <c r="D2418" s="1721">
        <v>891</v>
      </c>
      <c r="E2418" s="1722">
        <v>40.005899999999997</v>
      </c>
    </row>
    <row r="2419" spans="2:5">
      <c r="B2419" s="2071"/>
      <c r="C2419" s="1720">
        <v>34</v>
      </c>
      <c r="D2419" s="1721">
        <v>918</v>
      </c>
      <c r="E2419" s="1722">
        <v>41.218199999999996</v>
      </c>
    </row>
    <row r="2420" spans="2:5">
      <c r="B2420" s="2071"/>
      <c r="C2420" s="1720">
        <v>35</v>
      </c>
      <c r="D2420" s="1721">
        <v>945</v>
      </c>
      <c r="E2420" s="1722">
        <v>42.430499999999995</v>
      </c>
    </row>
    <row r="2421" spans="2:5">
      <c r="B2421" s="2071"/>
      <c r="C2421" s="1720">
        <v>36</v>
      </c>
      <c r="D2421" s="1721">
        <v>972</v>
      </c>
      <c r="E2421" s="1722">
        <v>43.642799999999994</v>
      </c>
    </row>
    <row r="2422" spans="2:5">
      <c r="B2422" s="2071"/>
      <c r="C2422" s="1720">
        <v>37</v>
      </c>
      <c r="D2422" s="1721">
        <v>999</v>
      </c>
      <c r="E2422" s="1722">
        <v>44.855099999999993</v>
      </c>
    </row>
    <row r="2423" spans="2:5">
      <c r="B2423" s="2071"/>
      <c r="C2423" s="1720">
        <v>38</v>
      </c>
      <c r="D2423" s="1721">
        <v>1026</v>
      </c>
      <c r="E2423" s="1722">
        <v>46.067399999999992</v>
      </c>
    </row>
    <row r="2424" spans="2:5">
      <c r="B2424" s="2071"/>
      <c r="C2424" s="1720">
        <v>39</v>
      </c>
      <c r="D2424" s="1721">
        <v>1053</v>
      </c>
      <c r="E2424" s="1722">
        <v>47.279699999999998</v>
      </c>
    </row>
    <row r="2425" spans="2:5">
      <c r="B2425" s="2071"/>
      <c r="C2425" s="1720">
        <v>40</v>
      </c>
      <c r="D2425" s="1721">
        <v>1080</v>
      </c>
      <c r="E2425" s="1722">
        <v>48.491999999999997</v>
      </c>
    </row>
    <row r="2426" spans="2:5">
      <c r="B2426" s="2071"/>
      <c r="C2426" s="1720">
        <v>41</v>
      </c>
      <c r="D2426" s="1721">
        <v>1107</v>
      </c>
      <c r="E2426" s="1722">
        <v>49.704299999999996</v>
      </c>
    </row>
    <row r="2427" spans="2:5">
      <c r="B2427" s="2071"/>
      <c r="C2427" s="1720">
        <v>42</v>
      </c>
      <c r="D2427" s="1721">
        <v>1134</v>
      </c>
      <c r="E2427" s="1722">
        <v>50.916599999999995</v>
      </c>
    </row>
    <row r="2428" spans="2:5">
      <c r="B2428" s="2071"/>
      <c r="C2428" s="1720">
        <v>43</v>
      </c>
      <c r="D2428" s="1721">
        <v>1161</v>
      </c>
      <c r="E2428" s="1722">
        <v>52.128899999999994</v>
      </c>
    </row>
    <row r="2429" spans="2:5">
      <c r="B2429" s="2071"/>
      <c r="C2429" s="1720">
        <v>44</v>
      </c>
      <c r="D2429" s="1721">
        <v>1188</v>
      </c>
      <c r="E2429" s="1722">
        <v>53.341199999999994</v>
      </c>
    </row>
    <row r="2430" spans="2:5">
      <c r="B2430" s="2071"/>
      <c r="C2430" s="1720">
        <v>45</v>
      </c>
      <c r="D2430" s="1721">
        <v>1215</v>
      </c>
      <c r="E2430" s="1722">
        <v>54.553499999999993</v>
      </c>
    </row>
    <row r="2431" spans="2:5">
      <c r="B2431" s="2071"/>
      <c r="C2431" s="1720">
        <v>46</v>
      </c>
      <c r="D2431" s="1721">
        <v>1242</v>
      </c>
      <c r="E2431" s="1722">
        <v>55.765799999999992</v>
      </c>
    </row>
    <row r="2432" spans="2:5">
      <c r="B2432" s="2071"/>
      <c r="C2432" s="1720">
        <v>47</v>
      </c>
      <c r="D2432" s="1721">
        <v>1269</v>
      </c>
      <c r="E2432" s="1722">
        <v>56.978099999999998</v>
      </c>
    </row>
    <row r="2433" spans="2:5">
      <c r="B2433" s="2071"/>
      <c r="C2433" s="1720">
        <v>48</v>
      </c>
      <c r="D2433" s="1721">
        <v>1296</v>
      </c>
      <c r="E2433" s="1722">
        <v>58.190399999999997</v>
      </c>
    </row>
    <row r="2434" spans="2:5">
      <c r="B2434" s="2071"/>
      <c r="C2434" s="1720">
        <v>49</v>
      </c>
      <c r="D2434" s="1721">
        <v>1323</v>
      </c>
      <c r="E2434" s="1722">
        <v>59.402699999999996</v>
      </c>
    </row>
    <row r="2435" spans="2:5">
      <c r="B2435" s="2071"/>
      <c r="C2435" s="1720">
        <v>50</v>
      </c>
      <c r="D2435" s="1721">
        <v>1350</v>
      </c>
      <c r="E2435" s="1722">
        <v>60.614999999999995</v>
      </c>
    </row>
    <row r="2436" spans="2:5">
      <c r="B2436" s="2071" t="s">
        <v>2452</v>
      </c>
      <c r="C2436" s="1720">
        <v>3</v>
      </c>
      <c r="D2436" s="1721">
        <v>123</v>
      </c>
      <c r="E2436" s="1722">
        <v>5.4566999999999997</v>
      </c>
    </row>
    <row r="2437" spans="2:5">
      <c r="B2437" s="2071"/>
      <c r="C2437" s="1720">
        <v>4</v>
      </c>
      <c r="D2437" s="1721">
        <v>164</v>
      </c>
      <c r="E2437" s="1722">
        <v>7.275599999999999</v>
      </c>
    </row>
    <row r="2438" spans="2:5">
      <c r="B2438" s="2071"/>
      <c r="C2438" s="1720">
        <v>5</v>
      </c>
      <c r="D2438" s="1721">
        <v>205</v>
      </c>
      <c r="E2438" s="1722">
        <v>9.0944999999999983</v>
      </c>
    </row>
    <row r="2439" spans="2:5">
      <c r="B2439" s="2071"/>
      <c r="C2439" s="1720">
        <v>6</v>
      </c>
      <c r="D2439" s="1721">
        <v>246</v>
      </c>
      <c r="E2439" s="1722">
        <v>10.913399999999999</v>
      </c>
    </row>
    <row r="2440" spans="2:5">
      <c r="B2440" s="2071"/>
      <c r="C2440" s="1720">
        <v>7</v>
      </c>
      <c r="D2440" s="1721">
        <v>287</v>
      </c>
      <c r="E2440" s="1722">
        <v>12.732299999999999</v>
      </c>
    </row>
    <row r="2441" spans="2:5">
      <c r="B2441" s="2071"/>
      <c r="C2441" s="1720">
        <v>8</v>
      </c>
      <c r="D2441" s="1721">
        <v>328</v>
      </c>
      <c r="E2441" s="1722">
        <v>14.551199999999998</v>
      </c>
    </row>
    <row r="2442" spans="2:5">
      <c r="B2442" s="2071"/>
      <c r="C2442" s="1720">
        <v>9</v>
      </c>
      <c r="D2442" s="1721">
        <v>369</v>
      </c>
      <c r="E2442" s="1722">
        <v>16.370099999999997</v>
      </c>
    </row>
    <row r="2443" spans="2:5">
      <c r="B2443" s="2071"/>
      <c r="C2443" s="1720">
        <v>10</v>
      </c>
      <c r="D2443" s="1721">
        <v>410</v>
      </c>
      <c r="E2443" s="1722">
        <v>18.188999999999997</v>
      </c>
    </row>
    <row r="2444" spans="2:5">
      <c r="B2444" s="2071"/>
      <c r="C2444" s="1720">
        <v>11</v>
      </c>
      <c r="D2444" s="1721">
        <v>451</v>
      </c>
      <c r="E2444" s="1722">
        <v>20.007899999999999</v>
      </c>
    </row>
    <row r="2445" spans="2:5">
      <c r="B2445" s="2071"/>
      <c r="C2445" s="1720">
        <v>12</v>
      </c>
      <c r="D2445" s="1721">
        <v>492</v>
      </c>
      <c r="E2445" s="1722">
        <v>21.826799999999999</v>
      </c>
    </row>
    <row r="2446" spans="2:5">
      <c r="B2446" s="2071"/>
      <c r="C2446" s="1720">
        <v>13</v>
      </c>
      <c r="D2446" s="1721">
        <v>533</v>
      </c>
      <c r="E2446" s="1722">
        <v>23.645699999999998</v>
      </c>
    </row>
    <row r="2447" spans="2:5">
      <c r="B2447" s="2071"/>
      <c r="C2447" s="1720">
        <v>14</v>
      </c>
      <c r="D2447" s="1721">
        <v>574</v>
      </c>
      <c r="E2447" s="1722">
        <v>25.464599999999997</v>
      </c>
    </row>
    <row r="2448" spans="2:5">
      <c r="B2448" s="2071"/>
      <c r="C2448" s="1720">
        <v>15</v>
      </c>
      <c r="D2448" s="1721">
        <v>615</v>
      </c>
      <c r="E2448" s="1722">
        <v>27.283499999999997</v>
      </c>
    </row>
    <row r="2449" spans="2:5">
      <c r="B2449" s="2071"/>
      <c r="C2449" s="1720">
        <v>16</v>
      </c>
      <c r="D2449" s="1721">
        <v>656</v>
      </c>
      <c r="E2449" s="1722">
        <v>29.102399999999996</v>
      </c>
    </row>
    <row r="2450" spans="2:5">
      <c r="B2450" s="2071"/>
      <c r="C2450" s="1720">
        <v>17</v>
      </c>
      <c r="D2450" s="1721">
        <v>697</v>
      </c>
      <c r="E2450" s="1722">
        <v>30.921299999999995</v>
      </c>
    </row>
    <row r="2451" spans="2:5">
      <c r="B2451" s="2071"/>
      <c r="C2451" s="1720">
        <v>18</v>
      </c>
      <c r="D2451" s="1721">
        <v>738</v>
      </c>
      <c r="E2451" s="1722">
        <v>32.740199999999994</v>
      </c>
    </row>
    <row r="2452" spans="2:5">
      <c r="B2452" s="2071"/>
      <c r="C2452" s="1720">
        <v>19</v>
      </c>
      <c r="D2452" s="1721">
        <v>779</v>
      </c>
      <c r="E2452" s="1722">
        <v>34.559099999999994</v>
      </c>
    </row>
    <row r="2453" spans="2:5">
      <c r="B2453" s="2071"/>
      <c r="C2453" s="1720">
        <v>20</v>
      </c>
      <c r="D2453" s="1721">
        <v>820</v>
      </c>
      <c r="E2453" s="1722">
        <v>36.377999999999993</v>
      </c>
    </row>
    <row r="2454" spans="2:5">
      <c r="B2454" s="2071"/>
      <c r="C2454" s="1720">
        <v>21</v>
      </c>
      <c r="D2454" s="1721">
        <v>861</v>
      </c>
      <c r="E2454" s="1722">
        <v>38.196899999999992</v>
      </c>
    </row>
    <row r="2455" spans="2:5">
      <c r="B2455" s="2071"/>
      <c r="C2455" s="1720">
        <v>22</v>
      </c>
      <c r="D2455" s="1721">
        <v>902</v>
      </c>
      <c r="E2455" s="1722">
        <v>40.015799999999999</v>
      </c>
    </row>
    <row r="2456" spans="2:5">
      <c r="B2456" s="2071"/>
      <c r="C2456" s="1720">
        <v>23</v>
      </c>
      <c r="D2456" s="1721">
        <v>943</v>
      </c>
      <c r="E2456" s="1722">
        <v>41.834699999999998</v>
      </c>
    </row>
    <row r="2457" spans="2:5">
      <c r="B2457" s="2071"/>
      <c r="C2457" s="1720">
        <v>24</v>
      </c>
      <c r="D2457" s="1721">
        <v>984</v>
      </c>
      <c r="E2457" s="1722">
        <v>43.653599999999997</v>
      </c>
    </row>
    <row r="2458" spans="2:5">
      <c r="B2458" s="2071"/>
      <c r="C2458" s="1720">
        <v>25</v>
      </c>
      <c r="D2458" s="1721">
        <v>1025</v>
      </c>
      <c r="E2458" s="1722">
        <v>45.472499999999997</v>
      </c>
    </row>
    <row r="2459" spans="2:5">
      <c r="B2459" s="2071"/>
      <c r="C2459" s="1720">
        <v>26</v>
      </c>
      <c r="D2459" s="1721">
        <v>1066</v>
      </c>
      <c r="E2459" s="1722">
        <v>47.291399999999996</v>
      </c>
    </row>
    <row r="2460" spans="2:5">
      <c r="B2460" s="2071"/>
      <c r="C2460" s="1720">
        <v>27</v>
      </c>
      <c r="D2460" s="1721">
        <v>1107</v>
      </c>
      <c r="E2460" s="1722">
        <v>49.110299999999995</v>
      </c>
    </row>
    <row r="2461" spans="2:5">
      <c r="B2461" s="2071"/>
      <c r="C2461" s="1720">
        <v>28</v>
      </c>
      <c r="D2461" s="1721">
        <v>1148</v>
      </c>
      <c r="E2461" s="1722">
        <v>50.929199999999994</v>
      </c>
    </row>
    <row r="2462" spans="2:5">
      <c r="B2462" s="2071"/>
      <c r="C2462" s="1720">
        <v>29</v>
      </c>
      <c r="D2462" s="1721">
        <v>1189</v>
      </c>
      <c r="E2462" s="1722">
        <v>52.748099999999994</v>
      </c>
    </row>
    <row r="2463" spans="2:5">
      <c r="B2463" s="2071"/>
      <c r="C2463" s="1720">
        <v>30</v>
      </c>
      <c r="D2463" s="1721">
        <v>1230</v>
      </c>
      <c r="E2463" s="1722">
        <v>54.566999999999993</v>
      </c>
    </row>
    <row r="2464" spans="2:5">
      <c r="B2464" s="2071"/>
      <c r="C2464" s="1720">
        <v>31</v>
      </c>
      <c r="D2464" s="1721">
        <v>1271</v>
      </c>
      <c r="E2464" s="1722">
        <v>56.385899999999992</v>
      </c>
    </row>
    <row r="2465" spans="2:5">
      <c r="B2465" s="2071"/>
      <c r="C2465" s="1720">
        <v>32</v>
      </c>
      <c r="D2465" s="1721">
        <v>1312</v>
      </c>
      <c r="E2465" s="1722">
        <v>58.204799999999992</v>
      </c>
    </row>
    <row r="2466" spans="2:5">
      <c r="B2466" s="2071"/>
      <c r="C2466" s="1720">
        <v>33</v>
      </c>
      <c r="D2466" s="1721">
        <v>1353</v>
      </c>
      <c r="E2466" s="1722">
        <v>60.023699999999991</v>
      </c>
    </row>
    <row r="2467" spans="2:5">
      <c r="B2467" s="2071"/>
      <c r="C2467" s="1720">
        <v>34</v>
      </c>
      <c r="D2467" s="1721">
        <v>1394</v>
      </c>
      <c r="E2467" s="1722">
        <v>61.84259999999999</v>
      </c>
    </row>
    <row r="2468" spans="2:5">
      <c r="B2468" s="2071"/>
      <c r="C2468" s="1720">
        <v>35</v>
      </c>
      <c r="D2468" s="1721">
        <v>1435</v>
      </c>
      <c r="E2468" s="1722">
        <v>63.66149999999999</v>
      </c>
    </row>
    <row r="2469" spans="2:5">
      <c r="B2469" s="2071"/>
      <c r="C2469" s="1720">
        <v>36</v>
      </c>
      <c r="D2469" s="1721">
        <v>1476</v>
      </c>
      <c r="E2469" s="1722">
        <v>65.480399999999989</v>
      </c>
    </row>
    <row r="2470" spans="2:5">
      <c r="B2470" s="2071"/>
      <c r="C2470" s="1720">
        <v>37</v>
      </c>
      <c r="D2470" s="1721">
        <v>1517</v>
      </c>
      <c r="E2470" s="1722">
        <v>67.299299999999988</v>
      </c>
    </row>
    <row r="2471" spans="2:5">
      <c r="B2471" s="2071"/>
      <c r="C2471" s="1720">
        <v>38</v>
      </c>
      <c r="D2471" s="1721">
        <v>1558</v>
      </c>
      <c r="E2471" s="1722">
        <v>69.118199999999987</v>
      </c>
    </row>
    <row r="2472" spans="2:5">
      <c r="B2472" s="2071"/>
      <c r="C2472" s="1720">
        <v>39</v>
      </c>
      <c r="D2472" s="1721">
        <v>1599</v>
      </c>
      <c r="E2472" s="1722">
        <v>70.937099999999987</v>
      </c>
    </row>
    <row r="2473" spans="2:5">
      <c r="B2473" s="2071"/>
      <c r="C2473" s="1720">
        <v>40</v>
      </c>
      <c r="D2473" s="1721">
        <v>1640</v>
      </c>
      <c r="E2473" s="1722">
        <v>72.755999999999986</v>
      </c>
    </row>
    <row r="2474" spans="2:5">
      <c r="B2474" s="2071"/>
      <c r="C2474" s="1720">
        <v>41</v>
      </c>
      <c r="D2474" s="1721">
        <v>1681</v>
      </c>
      <c r="E2474" s="1722">
        <v>74.574899999999985</v>
      </c>
    </row>
    <row r="2475" spans="2:5">
      <c r="B2475" s="2071"/>
      <c r="C2475" s="1720">
        <v>42</v>
      </c>
      <c r="D2475" s="1721">
        <v>1722</v>
      </c>
      <c r="E2475" s="1722">
        <v>76.393799999999985</v>
      </c>
    </row>
    <row r="2476" spans="2:5">
      <c r="B2476" s="2071"/>
      <c r="C2476" s="1720">
        <v>43</v>
      </c>
      <c r="D2476" s="1721">
        <v>1763</v>
      </c>
      <c r="E2476" s="1722">
        <v>78.212699999999998</v>
      </c>
    </row>
    <row r="2477" spans="2:5">
      <c r="B2477" s="2071"/>
      <c r="C2477" s="1720">
        <v>44</v>
      </c>
      <c r="D2477" s="1721">
        <v>1804</v>
      </c>
      <c r="E2477" s="1722">
        <v>80.031599999999997</v>
      </c>
    </row>
    <row r="2478" spans="2:5">
      <c r="B2478" s="2071"/>
      <c r="C2478" s="1720">
        <v>45</v>
      </c>
      <c r="D2478" s="1721">
        <v>1845</v>
      </c>
      <c r="E2478" s="1722">
        <v>81.850499999999997</v>
      </c>
    </row>
    <row r="2479" spans="2:5">
      <c r="B2479" s="2071"/>
      <c r="C2479" s="1720">
        <v>46</v>
      </c>
      <c r="D2479" s="1721">
        <v>1886</v>
      </c>
      <c r="E2479" s="1722">
        <v>83.669399999999996</v>
      </c>
    </row>
    <row r="2480" spans="2:5">
      <c r="B2480" s="2071"/>
      <c r="C2480" s="1720">
        <v>47</v>
      </c>
      <c r="D2480" s="1721">
        <v>1927</v>
      </c>
      <c r="E2480" s="1722">
        <v>85.488299999999995</v>
      </c>
    </row>
    <row r="2481" spans="2:5">
      <c r="B2481" s="2071"/>
      <c r="C2481" s="1720">
        <v>48</v>
      </c>
      <c r="D2481" s="1721">
        <v>1968</v>
      </c>
      <c r="E2481" s="1722">
        <v>87.307199999999995</v>
      </c>
    </row>
    <row r="2482" spans="2:5">
      <c r="B2482" s="2071"/>
      <c r="C2482" s="1720">
        <v>49</v>
      </c>
      <c r="D2482" s="1721">
        <v>2009</v>
      </c>
      <c r="E2482" s="1722">
        <v>89.126099999999994</v>
      </c>
    </row>
    <row r="2483" spans="2:5">
      <c r="B2483" s="2071"/>
      <c r="C2483" s="1720">
        <v>50</v>
      </c>
      <c r="D2483" s="1721">
        <v>2050</v>
      </c>
      <c r="E2483" s="1722">
        <v>90.944999999999993</v>
      </c>
    </row>
    <row r="2484" spans="2:5">
      <c r="B2484" s="2071" t="s">
        <v>2473</v>
      </c>
      <c r="C2484" s="1720">
        <v>3</v>
      </c>
      <c r="D2484" s="1721">
        <v>150</v>
      </c>
      <c r="E2484" s="1722">
        <v>7.2747000000000002</v>
      </c>
    </row>
    <row r="2485" spans="2:5">
      <c r="B2485" s="2071"/>
      <c r="C2485" s="1720">
        <v>4</v>
      </c>
      <c r="D2485" s="1721">
        <v>200</v>
      </c>
      <c r="E2485" s="1722">
        <v>9.6996000000000002</v>
      </c>
    </row>
    <row r="2486" spans="2:5">
      <c r="B2486" s="2071"/>
      <c r="C2486" s="1720">
        <v>5</v>
      </c>
      <c r="D2486" s="1721">
        <v>250</v>
      </c>
      <c r="E2486" s="1722">
        <v>12.124499999999999</v>
      </c>
    </row>
    <row r="2487" spans="2:5">
      <c r="B2487" s="2071"/>
      <c r="C2487" s="1720">
        <v>6</v>
      </c>
      <c r="D2487" s="1721">
        <v>300</v>
      </c>
      <c r="E2487" s="1722">
        <v>14.5494</v>
      </c>
    </row>
    <row r="2488" spans="2:5">
      <c r="B2488" s="2071"/>
      <c r="C2488" s="1720">
        <v>7</v>
      </c>
      <c r="D2488" s="1721">
        <v>350</v>
      </c>
      <c r="E2488" s="1722">
        <v>16.974299999999999</v>
      </c>
    </row>
    <row r="2489" spans="2:5">
      <c r="B2489" s="2071"/>
      <c r="C2489" s="1720">
        <v>8</v>
      </c>
      <c r="D2489" s="1721">
        <v>400</v>
      </c>
      <c r="E2489" s="1722">
        <v>19.3992</v>
      </c>
    </row>
    <row r="2490" spans="2:5">
      <c r="B2490" s="2071"/>
      <c r="C2490" s="1720">
        <v>9</v>
      </c>
      <c r="D2490" s="1721">
        <v>450</v>
      </c>
      <c r="E2490" s="1722">
        <v>21.824100000000001</v>
      </c>
    </row>
    <row r="2491" spans="2:5">
      <c r="B2491" s="2071"/>
      <c r="C2491" s="1720">
        <v>10</v>
      </c>
      <c r="D2491" s="1721">
        <v>500</v>
      </c>
      <c r="E2491" s="1722">
        <v>24.248999999999999</v>
      </c>
    </row>
    <row r="2492" spans="2:5">
      <c r="B2492" s="2071"/>
      <c r="C2492" s="1720">
        <v>11</v>
      </c>
      <c r="D2492" s="1721">
        <v>550</v>
      </c>
      <c r="E2492" s="1722">
        <v>26.6739</v>
      </c>
    </row>
    <row r="2493" spans="2:5">
      <c r="B2493" s="2071"/>
      <c r="C2493" s="1720">
        <v>12</v>
      </c>
      <c r="D2493" s="1721">
        <v>600</v>
      </c>
      <c r="E2493" s="1722">
        <v>29.098800000000001</v>
      </c>
    </row>
    <row r="2494" spans="2:5">
      <c r="B2494" s="2071"/>
      <c r="C2494" s="1720">
        <v>13</v>
      </c>
      <c r="D2494" s="1721">
        <v>650</v>
      </c>
      <c r="E2494" s="1722">
        <v>31.523699999999998</v>
      </c>
    </row>
    <row r="2495" spans="2:5">
      <c r="B2495" s="2071"/>
      <c r="C2495" s="1720">
        <v>14</v>
      </c>
      <c r="D2495" s="1721">
        <v>700</v>
      </c>
      <c r="E2495" s="1722">
        <v>33.948599999999999</v>
      </c>
    </row>
    <row r="2496" spans="2:5">
      <c r="B2496" s="2071"/>
      <c r="C2496" s="1720">
        <v>15</v>
      </c>
      <c r="D2496" s="1721">
        <v>750</v>
      </c>
      <c r="E2496" s="1722">
        <v>36.3735</v>
      </c>
    </row>
    <row r="2497" spans="2:5">
      <c r="B2497" s="2071"/>
      <c r="C2497" s="1720">
        <v>16</v>
      </c>
      <c r="D2497" s="1721">
        <v>800</v>
      </c>
      <c r="E2497" s="1722">
        <v>38.798400000000001</v>
      </c>
    </row>
    <row r="2498" spans="2:5">
      <c r="B2498" s="2071"/>
      <c r="C2498" s="1720">
        <v>17</v>
      </c>
      <c r="D2498" s="1721">
        <v>850</v>
      </c>
      <c r="E2498" s="1722">
        <v>41.223300000000002</v>
      </c>
    </row>
    <row r="2499" spans="2:5">
      <c r="B2499" s="2071"/>
      <c r="C2499" s="1720">
        <v>18</v>
      </c>
      <c r="D2499" s="1721">
        <v>900</v>
      </c>
      <c r="E2499" s="1722">
        <v>43.648200000000003</v>
      </c>
    </row>
    <row r="2500" spans="2:5">
      <c r="B2500" s="2071"/>
      <c r="C2500" s="1720">
        <v>19</v>
      </c>
      <c r="D2500" s="1721">
        <v>950</v>
      </c>
      <c r="E2500" s="1722">
        <v>46.073099999999997</v>
      </c>
    </row>
    <row r="2501" spans="2:5">
      <c r="B2501" s="2071"/>
      <c r="C2501" s="1720">
        <v>20</v>
      </c>
      <c r="D2501" s="1721">
        <v>1000</v>
      </c>
      <c r="E2501" s="1722">
        <v>48.497999999999998</v>
      </c>
    </row>
    <row r="2502" spans="2:5">
      <c r="B2502" s="2071"/>
      <c r="C2502" s="1720">
        <v>21</v>
      </c>
      <c r="D2502" s="1721">
        <v>1050</v>
      </c>
      <c r="E2502" s="1722">
        <v>50.922899999999998</v>
      </c>
    </row>
    <row r="2503" spans="2:5">
      <c r="B2503" s="2071"/>
      <c r="C2503" s="1720">
        <v>22</v>
      </c>
      <c r="D2503" s="1721">
        <v>1100</v>
      </c>
      <c r="E2503" s="1722">
        <v>53.347799999999999</v>
      </c>
    </row>
    <row r="2504" spans="2:5">
      <c r="B2504" s="2071"/>
      <c r="C2504" s="1720">
        <v>23</v>
      </c>
      <c r="D2504" s="1721">
        <v>1150</v>
      </c>
      <c r="E2504" s="1722">
        <v>55.7727</v>
      </c>
    </row>
    <row r="2505" spans="2:5">
      <c r="B2505" s="2071"/>
      <c r="C2505" s="1720">
        <v>24</v>
      </c>
      <c r="D2505" s="1721">
        <v>1200</v>
      </c>
      <c r="E2505" s="1722">
        <v>58.197600000000001</v>
      </c>
    </row>
    <row r="2506" spans="2:5">
      <c r="B2506" s="2071"/>
      <c r="C2506" s="1720">
        <v>25</v>
      </c>
      <c r="D2506" s="1721">
        <v>1250</v>
      </c>
      <c r="E2506" s="1722">
        <v>60.622500000000002</v>
      </c>
    </row>
    <row r="2507" spans="2:5">
      <c r="B2507" s="2071"/>
      <c r="C2507" s="1720">
        <v>26</v>
      </c>
      <c r="D2507" s="1721">
        <v>1300</v>
      </c>
      <c r="E2507" s="1722">
        <v>63.047399999999996</v>
      </c>
    </row>
    <row r="2508" spans="2:5">
      <c r="B2508" s="2071"/>
      <c r="C2508" s="1720">
        <v>27</v>
      </c>
      <c r="D2508" s="1721">
        <v>1350</v>
      </c>
      <c r="E2508" s="1722">
        <v>65.472300000000004</v>
      </c>
    </row>
    <row r="2509" spans="2:5">
      <c r="B2509" s="2071"/>
      <c r="C2509" s="1720">
        <v>28</v>
      </c>
      <c r="D2509" s="1721">
        <v>1400</v>
      </c>
      <c r="E2509" s="1722">
        <v>67.897199999999998</v>
      </c>
    </row>
    <row r="2510" spans="2:5">
      <c r="B2510" s="2071"/>
      <c r="C2510" s="1720">
        <v>29</v>
      </c>
      <c r="D2510" s="1721">
        <v>1450</v>
      </c>
      <c r="E2510" s="1722">
        <v>70.322100000000006</v>
      </c>
    </row>
    <row r="2511" spans="2:5">
      <c r="B2511" s="2071"/>
      <c r="C2511" s="1720">
        <v>30</v>
      </c>
      <c r="D2511" s="1721">
        <v>1500</v>
      </c>
      <c r="E2511" s="1722">
        <v>72.747</v>
      </c>
    </row>
    <row r="2512" spans="2:5">
      <c r="B2512" s="2071"/>
      <c r="C2512" s="1720">
        <v>31</v>
      </c>
      <c r="D2512" s="1721">
        <v>1550</v>
      </c>
      <c r="E2512" s="1722">
        <v>75.171899999999994</v>
      </c>
    </row>
    <row r="2513" spans="2:5">
      <c r="B2513" s="2071"/>
      <c r="C2513" s="1720">
        <v>32</v>
      </c>
      <c r="D2513" s="1721">
        <v>1600</v>
      </c>
      <c r="E2513" s="1722">
        <v>77.596800000000002</v>
      </c>
    </row>
    <row r="2514" spans="2:5">
      <c r="B2514" s="2071"/>
      <c r="C2514" s="1720">
        <v>33</v>
      </c>
      <c r="D2514" s="1721">
        <v>1650</v>
      </c>
      <c r="E2514" s="1722">
        <v>80.021699999999996</v>
      </c>
    </row>
    <row r="2515" spans="2:5">
      <c r="B2515" s="2071"/>
      <c r="C2515" s="1720">
        <v>34</v>
      </c>
      <c r="D2515" s="1721">
        <v>1700</v>
      </c>
      <c r="E2515" s="1722">
        <v>82.446600000000004</v>
      </c>
    </row>
    <row r="2516" spans="2:5">
      <c r="B2516" s="2071"/>
      <c r="C2516" s="1720">
        <v>35</v>
      </c>
      <c r="D2516" s="1721">
        <v>1750</v>
      </c>
      <c r="E2516" s="1722">
        <v>84.871499999999997</v>
      </c>
    </row>
    <row r="2517" spans="2:5">
      <c r="B2517" s="2071"/>
      <c r="C2517" s="1720">
        <v>36</v>
      </c>
      <c r="D2517" s="1721">
        <v>1800</v>
      </c>
      <c r="E2517" s="1722">
        <v>87.296400000000006</v>
      </c>
    </row>
    <row r="2518" spans="2:5">
      <c r="B2518" s="2071"/>
      <c r="C2518" s="1720">
        <v>37</v>
      </c>
      <c r="D2518" s="1721">
        <v>1850</v>
      </c>
      <c r="E2518" s="1722">
        <v>89.721299999999999</v>
      </c>
    </row>
    <row r="2519" spans="2:5">
      <c r="B2519" s="2071"/>
      <c r="C2519" s="1720">
        <v>38</v>
      </c>
      <c r="D2519" s="1721">
        <v>1900</v>
      </c>
      <c r="E2519" s="1722">
        <v>92.146199999999993</v>
      </c>
    </row>
    <row r="2520" spans="2:5">
      <c r="B2520" s="2071"/>
      <c r="C2520" s="1720">
        <v>39</v>
      </c>
      <c r="D2520" s="1721">
        <v>1950</v>
      </c>
      <c r="E2520" s="1722">
        <v>94.571100000000001</v>
      </c>
    </row>
    <row r="2521" spans="2:5">
      <c r="B2521" s="2071"/>
      <c r="C2521" s="1720">
        <v>40</v>
      </c>
      <c r="D2521" s="1721">
        <v>2000</v>
      </c>
      <c r="E2521" s="1722">
        <v>96.995999999999995</v>
      </c>
    </row>
    <row r="2522" spans="2:5">
      <c r="B2522" s="2071"/>
      <c r="C2522" s="1720">
        <v>41</v>
      </c>
      <c r="D2522" s="1721">
        <v>2050</v>
      </c>
      <c r="E2522" s="1722">
        <v>99.420900000000003</v>
      </c>
    </row>
    <row r="2523" spans="2:5">
      <c r="B2523" s="2071"/>
      <c r="C2523" s="1720">
        <v>42</v>
      </c>
      <c r="D2523" s="1721">
        <v>2100</v>
      </c>
      <c r="E2523" s="1722">
        <v>101.8458</v>
      </c>
    </row>
    <row r="2524" spans="2:5">
      <c r="B2524" s="2071"/>
      <c r="C2524" s="1720">
        <v>43</v>
      </c>
      <c r="D2524" s="1721">
        <v>2150</v>
      </c>
      <c r="E2524" s="1722">
        <v>104.27070000000001</v>
      </c>
    </row>
    <row r="2525" spans="2:5">
      <c r="B2525" s="2071"/>
      <c r="C2525" s="1720">
        <v>44</v>
      </c>
      <c r="D2525" s="1721">
        <v>2200</v>
      </c>
      <c r="E2525" s="1722">
        <v>106.6956</v>
      </c>
    </row>
    <row r="2526" spans="2:5">
      <c r="B2526" s="2071"/>
      <c r="C2526" s="1720">
        <v>45</v>
      </c>
      <c r="D2526" s="1721">
        <v>2250</v>
      </c>
      <c r="E2526" s="1722">
        <v>109.12049999999999</v>
      </c>
    </row>
    <row r="2527" spans="2:5">
      <c r="B2527" s="2071"/>
      <c r="C2527" s="1720">
        <v>46</v>
      </c>
      <c r="D2527" s="1721">
        <v>2300</v>
      </c>
      <c r="E2527" s="1722">
        <v>111.5454</v>
      </c>
    </row>
    <row r="2528" spans="2:5">
      <c r="B2528" s="2071"/>
      <c r="C2528" s="1720">
        <v>47</v>
      </c>
      <c r="D2528" s="1721">
        <v>2350</v>
      </c>
      <c r="E2528" s="1722">
        <v>113.97029999999999</v>
      </c>
    </row>
    <row r="2529" spans="2:5">
      <c r="B2529" s="2071"/>
      <c r="C2529" s="1720">
        <v>48</v>
      </c>
      <c r="D2529" s="1721">
        <v>2400</v>
      </c>
      <c r="E2529" s="1722">
        <v>116.3952</v>
      </c>
    </row>
    <row r="2530" spans="2:5">
      <c r="B2530" s="2071"/>
      <c r="C2530" s="1720">
        <v>49</v>
      </c>
      <c r="D2530" s="1721">
        <v>2450</v>
      </c>
      <c r="E2530" s="1722">
        <v>118.8201</v>
      </c>
    </row>
    <row r="2531" spans="2:5">
      <c r="B2531" s="2071"/>
      <c r="C2531" s="1720">
        <v>50</v>
      </c>
      <c r="D2531" s="1721">
        <v>2500</v>
      </c>
      <c r="E2531" s="1722">
        <v>121.245</v>
      </c>
    </row>
    <row r="2533" spans="2:5">
      <c r="B2533" s="1693" t="s">
        <v>2453</v>
      </c>
    </row>
    <row r="2534" spans="2:5">
      <c r="B2534" s="1694" t="s">
        <v>1722</v>
      </c>
      <c r="C2534" s="1694" t="s">
        <v>2456</v>
      </c>
      <c r="D2534" s="1694" t="s">
        <v>2457</v>
      </c>
    </row>
    <row r="2535" spans="2:5">
      <c r="B2535" s="1723" t="s">
        <v>2454</v>
      </c>
      <c r="C2535" s="1567">
        <v>0.115</v>
      </c>
      <c r="D2535" s="564">
        <v>1.6200000000000001E-4</v>
      </c>
    </row>
    <row r="2536" spans="2:5">
      <c r="B2536" s="1723" t="s">
        <v>2455</v>
      </c>
      <c r="C2536" s="1567">
        <v>5.1999999999999998E-2</v>
      </c>
      <c r="D2536" s="564">
        <v>7.3200000000000004E-5</v>
      </c>
    </row>
    <row r="2539" spans="2:5">
      <c r="B2539" s="1693" t="s">
        <v>2560</v>
      </c>
    </row>
    <row r="2540" spans="2:5" ht="16.95" customHeight="1">
      <c r="B2540" s="1694" t="s">
        <v>1722</v>
      </c>
      <c r="C2540" s="1694" t="s">
        <v>489</v>
      </c>
      <c r="D2540" s="1694" t="s">
        <v>2559</v>
      </c>
    </row>
    <row r="2541" spans="2:5">
      <c r="B2541" s="1795" t="s">
        <v>2557</v>
      </c>
      <c r="C2541" s="1795" t="s">
        <v>2555</v>
      </c>
      <c r="D2541" s="1796">
        <v>2.8735273972602737</v>
      </c>
      <c r="E2541" s="1490"/>
    </row>
    <row r="2542" spans="2:5">
      <c r="B2542" s="1795" t="s">
        <v>2558</v>
      </c>
      <c r="C2542" s="1795" t="s">
        <v>2556</v>
      </c>
      <c r="D2542" s="1796">
        <v>9.5784246575342458</v>
      </c>
      <c r="E2542" s="1490"/>
    </row>
    <row r="2543" spans="2:5">
      <c r="E2543" s="1490"/>
    </row>
    <row r="2546" spans="2:24">
      <c r="B2546" s="1906" t="s">
        <v>2805</v>
      </c>
      <c r="C2546" s="1907"/>
      <c r="D2546" s="1907"/>
      <c r="E2546" s="1907"/>
      <c r="F2546" s="1907"/>
    </row>
    <row r="2547" spans="2:24" s="1486" customFormat="1">
      <c r="B2547" s="1801"/>
      <c r="C2547" s="1802"/>
      <c r="D2547" s="1802"/>
      <c r="E2547" s="1802"/>
      <c r="F2547" s="1802"/>
      <c r="G2547" s="1485"/>
      <c r="H2547" s="1485"/>
      <c r="I2547" s="1485"/>
      <c r="J2547" s="1485"/>
      <c r="K2547" s="1485"/>
      <c r="L2547" s="1485"/>
      <c r="M2547" s="1485"/>
      <c r="N2547" s="1485"/>
      <c r="O2547" s="1485"/>
      <c r="P2547" s="1485"/>
      <c r="Q2547" s="1485"/>
      <c r="R2547" s="1485"/>
      <c r="S2547" s="1485"/>
      <c r="T2547" s="1485"/>
      <c r="U2547" s="1485"/>
      <c r="V2547" s="1485"/>
      <c r="W2547" s="761"/>
      <c r="X2547" s="1485"/>
    </row>
    <row r="2548" spans="2:24">
      <c r="B2548" s="1799" t="s">
        <v>1381</v>
      </c>
      <c r="C2548" s="1490"/>
      <c r="D2548" s="1490"/>
      <c r="E2548" s="1490"/>
      <c r="F2548" s="1490"/>
    </row>
    <row r="2549" spans="2:24" ht="43.2">
      <c r="B2549" s="548" t="s">
        <v>2</v>
      </c>
      <c r="C2549" s="1466" t="s">
        <v>2806</v>
      </c>
      <c r="D2549" s="1466" t="s">
        <v>2807</v>
      </c>
      <c r="E2549" s="1490"/>
      <c r="F2549" s="1490"/>
    </row>
    <row r="2550" spans="2:24">
      <c r="B2550" s="1850" t="s">
        <v>2609</v>
      </c>
      <c r="C2550" s="1792">
        <v>1.18818E-2</v>
      </c>
      <c r="D2550" s="1873">
        <v>8.6661699999999993</v>
      </c>
      <c r="E2550" s="1490"/>
      <c r="F2550" s="1490"/>
    </row>
    <row r="2551" spans="2:24">
      <c r="B2551" s="817" t="s">
        <v>2606</v>
      </c>
      <c r="C2551" s="1792">
        <v>3.02703E-2</v>
      </c>
      <c r="D2551" s="1873">
        <v>22.09449</v>
      </c>
      <c r="E2551" s="1490"/>
      <c r="F2551" s="1490"/>
    </row>
    <row r="2552" spans="2:24">
      <c r="B2552" s="817" t="s">
        <v>2607</v>
      </c>
      <c r="C2552" s="1792">
        <v>6.05406E-2</v>
      </c>
      <c r="D2552" s="1873">
        <v>44.188980000000001</v>
      </c>
      <c r="E2552" s="1490"/>
      <c r="F2552" s="1490"/>
    </row>
    <row r="2553" spans="2:24">
      <c r="B2553" s="817" t="s">
        <v>2366</v>
      </c>
      <c r="C2553" s="1792">
        <v>0.115046</v>
      </c>
      <c r="D2553" s="1873">
        <v>83.983580000000003</v>
      </c>
      <c r="E2553" s="1490"/>
      <c r="F2553" s="1490"/>
    </row>
    <row r="2554" spans="2:24">
      <c r="B2554" s="817" t="s">
        <v>2367</v>
      </c>
      <c r="C2554" s="1792">
        <v>0.21858739999999999</v>
      </c>
      <c r="D2554" s="1873">
        <v>159.56503000000001</v>
      </c>
      <c r="E2554" s="1490"/>
      <c r="F2554" s="1490"/>
    </row>
    <row r="2555" spans="2:24">
      <c r="B2555" s="817" t="s">
        <v>2368</v>
      </c>
      <c r="C2555" s="1792">
        <v>0.41558010000000001</v>
      </c>
      <c r="D2555" s="1873">
        <v>303.37252999999998</v>
      </c>
      <c r="E2555" s="1490"/>
      <c r="F2555" s="1490"/>
    </row>
    <row r="2556" spans="2:24">
      <c r="B2556" s="817" t="s">
        <v>2394</v>
      </c>
      <c r="C2556" s="1792">
        <v>6.05406E-2</v>
      </c>
      <c r="D2556" s="1873">
        <v>44.188980000000001</v>
      </c>
      <c r="E2556" s="1490"/>
      <c r="F2556" s="1490"/>
    </row>
    <row r="2557" spans="2:24">
      <c r="B2557" s="817" t="s">
        <v>2395</v>
      </c>
      <c r="C2557" s="1792">
        <v>0.115046</v>
      </c>
      <c r="D2557" s="1873">
        <v>83.983580000000003</v>
      </c>
      <c r="E2557" s="1490"/>
      <c r="F2557" s="1490"/>
    </row>
    <row r="2558" spans="2:24">
      <c r="B2558" s="817" t="s">
        <v>2396</v>
      </c>
      <c r="C2558" s="1792">
        <v>0.21858739999999999</v>
      </c>
      <c r="D2558" s="1873">
        <v>159.56503000000001</v>
      </c>
      <c r="E2558" s="1490"/>
      <c r="F2558" s="1490"/>
    </row>
    <row r="2559" spans="2:24">
      <c r="B2559" s="817" t="s">
        <v>2393</v>
      </c>
      <c r="C2559" s="1792">
        <v>0.41558010000000001</v>
      </c>
      <c r="D2559" s="1873">
        <v>303.37252999999998</v>
      </c>
      <c r="E2559" s="1490"/>
      <c r="F2559" s="1490"/>
    </row>
    <row r="2560" spans="2:24">
      <c r="B2560" s="817" t="s">
        <v>2378</v>
      </c>
      <c r="C2560" s="1792">
        <v>0.83116020000000002</v>
      </c>
      <c r="D2560" s="1873">
        <v>606.74505999999997</v>
      </c>
      <c r="E2560" s="1490"/>
      <c r="F2560" s="1490"/>
    </row>
    <row r="2561" spans="2:6">
      <c r="B2561" s="817" t="s">
        <v>2641</v>
      </c>
      <c r="C2561" s="1792">
        <v>1.9739819000000001</v>
      </c>
      <c r="D2561" s="1873">
        <v>1440.9983</v>
      </c>
      <c r="E2561" s="1490"/>
      <c r="F2561" s="1490"/>
    </row>
    <row r="2562" spans="2:6">
      <c r="B2562" s="817" t="s">
        <v>2637</v>
      </c>
      <c r="C2562" s="1792">
        <v>0.83116020000000002</v>
      </c>
      <c r="D2562" s="1873">
        <v>606.74505999999997</v>
      </c>
      <c r="E2562" s="1490"/>
      <c r="F2562" s="1490"/>
    </row>
    <row r="2563" spans="2:6">
      <c r="B2563" s="817" t="s">
        <v>2638</v>
      </c>
      <c r="C2563" s="1792">
        <v>1.5584018000000002</v>
      </c>
      <c r="D2563" s="1873">
        <v>1137.6257700000001</v>
      </c>
      <c r="E2563" s="1490"/>
      <c r="F2563" s="1490"/>
    </row>
    <row r="2564" spans="2:6">
      <c r="B2564" s="817" t="s">
        <v>2626</v>
      </c>
      <c r="C2564" s="1792">
        <v>6.05406E-2</v>
      </c>
      <c r="D2564" s="1873">
        <v>44.188980000000001</v>
      </c>
      <c r="E2564" s="1490"/>
      <c r="F2564" s="1490"/>
    </row>
    <row r="2565" spans="2:6">
      <c r="B2565" s="817" t="s">
        <v>2631</v>
      </c>
      <c r="C2565" s="1792">
        <v>6.05406E-2</v>
      </c>
      <c r="D2565" s="1873">
        <v>44.188980000000001</v>
      </c>
      <c r="E2565" s="1490"/>
      <c r="F2565" s="1490"/>
    </row>
    <row r="2566" spans="2:6">
      <c r="B2566" s="817" t="s">
        <v>2627</v>
      </c>
      <c r="C2566" s="1792">
        <v>0.115046</v>
      </c>
      <c r="D2566" s="1873">
        <v>83.983580000000003</v>
      </c>
      <c r="E2566" s="1490"/>
      <c r="F2566" s="1490"/>
    </row>
    <row r="2567" spans="2:6">
      <c r="B2567" s="817" t="s">
        <v>2632</v>
      </c>
      <c r="C2567" s="1792">
        <v>0.115046</v>
      </c>
      <c r="D2567" s="1873">
        <v>83.983580000000003</v>
      </c>
      <c r="E2567" s="1490"/>
      <c r="F2567" s="1490"/>
    </row>
    <row r="2568" spans="2:6">
      <c r="B2568" s="817" t="s">
        <v>2628</v>
      </c>
      <c r="C2568" s="1792">
        <v>0.21858739999999999</v>
      </c>
      <c r="D2568" s="1873">
        <v>159.56503000000001</v>
      </c>
      <c r="E2568" s="1490"/>
      <c r="F2568" s="1490"/>
    </row>
    <row r="2569" spans="2:6">
      <c r="B2569" s="817" t="s">
        <v>2633</v>
      </c>
      <c r="C2569" s="1792">
        <v>0.21858739999999999</v>
      </c>
      <c r="D2569" s="1873">
        <v>159.56503000000001</v>
      </c>
      <c r="E2569" s="1490"/>
      <c r="F2569" s="1490"/>
    </row>
    <row r="2570" spans="2:6">
      <c r="B2570" s="817" t="s">
        <v>2388</v>
      </c>
      <c r="C2570" s="1792">
        <v>0.41558010000000001</v>
      </c>
      <c r="D2570" s="1873">
        <v>303.37252999999998</v>
      </c>
      <c r="E2570" s="1490"/>
      <c r="F2570" s="1490"/>
    </row>
    <row r="2571" spans="2:6">
      <c r="B2571" s="817" t="s">
        <v>2389</v>
      </c>
      <c r="C2571" s="1792">
        <v>0.41558010000000001</v>
      </c>
      <c r="D2571" s="1873">
        <v>303.37252999999998</v>
      </c>
      <c r="E2571" s="1490"/>
      <c r="F2571" s="1490"/>
    </row>
    <row r="2572" spans="2:6">
      <c r="B2572" s="817" t="s">
        <v>2442</v>
      </c>
      <c r="C2572" s="1792">
        <v>0.83116020000000002</v>
      </c>
      <c r="D2572" s="1873">
        <v>606.74505999999997</v>
      </c>
      <c r="E2572" s="1490"/>
      <c r="F2572" s="1490"/>
    </row>
    <row r="2573" spans="2:6">
      <c r="B2573" s="817" t="s">
        <v>2391</v>
      </c>
      <c r="C2573" s="1792">
        <v>0.83116020000000002</v>
      </c>
      <c r="D2573" s="1873">
        <v>606.74505999999997</v>
      </c>
      <c r="E2573" s="1490"/>
      <c r="F2573" s="1490"/>
    </row>
    <row r="2574" spans="2:6">
      <c r="B2574" s="817" t="s">
        <v>2443</v>
      </c>
      <c r="C2574" s="1792">
        <v>1.6623204</v>
      </c>
      <c r="D2574" s="1873">
        <v>1213.4901199999999</v>
      </c>
      <c r="E2574" s="1490"/>
      <c r="F2574" s="1490"/>
    </row>
    <row r="2575" spans="2:6">
      <c r="B2575" s="817" t="s">
        <v>2392</v>
      </c>
      <c r="C2575" s="1792">
        <v>1.6623204</v>
      </c>
      <c r="D2575" s="1873">
        <v>1213.4901199999999</v>
      </c>
      <c r="E2575" s="1490"/>
      <c r="F2575" s="1490"/>
    </row>
    <row r="2576" spans="2:6">
      <c r="B2576" s="817" t="s">
        <v>2808</v>
      </c>
      <c r="C2576" s="1792">
        <v>6.05406E-2</v>
      </c>
      <c r="D2576" s="1873">
        <v>44.194637999999998</v>
      </c>
      <c r="E2576" s="1490"/>
      <c r="F2576" s="1490"/>
    </row>
    <row r="2577" spans="2:6">
      <c r="B2577" s="817" t="s">
        <v>2643</v>
      </c>
      <c r="C2577" s="1792">
        <v>0.1210812</v>
      </c>
      <c r="D2577" s="1873">
        <v>88.389275999999995</v>
      </c>
      <c r="E2577" s="1490"/>
      <c r="F2577" s="1490"/>
    </row>
    <row r="2578" spans="2:6">
      <c r="B2578" s="817" t="s">
        <v>2383</v>
      </c>
      <c r="C2578" s="1792">
        <v>0.2421624</v>
      </c>
      <c r="D2578" s="1873">
        <v>176.77855199999999</v>
      </c>
      <c r="E2578" s="1490"/>
      <c r="F2578" s="1490"/>
    </row>
    <row r="2579" spans="2:6">
      <c r="B2579" s="817" t="s">
        <v>2440</v>
      </c>
      <c r="C2579" s="1792">
        <v>0.36324359999999994</v>
      </c>
      <c r="D2579" s="1873">
        <v>265.16782799999999</v>
      </c>
      <c r="E2579" s="1490"/>
      <c r="F2579" s="1490"/>
    </row>
    <row r="2580" spans="2:6">
      <c r="B2580" s="817" t="s">
        <v>2384</v>
      </c>
      <c r="C2580" s="1792">
        <v>0.4843248</v>
      </c>
      <c r="D2580" s="1873">
        <v>353.55710399999998</v>
      </c>
      <c r="E2580" s="1490"/>
      <c r="F2580" s="1490"/>
    </row>
    <row r="2581" spans="2:6">
      <c r="B2581" s="817" t="s">
        <v>2441</v>
      </c>
      <c r="C2581" s="1792">
        <v>0.72648719999999989</v>
      </c>
      <c r="D2581" s="1873">
        <v>530.33565599999997</v>
      </c>
      <c r="E2581" s="1490"/>
      <c r="F2581" s="1490"/>
    </row>
    <row r="2582" spans="2:6">
      <c r="B2582" s="817" t="s">
        <v>2385</v>
      </c>
      <c r="C2582" s="1792">
        <v>0.9686496</v>
      </c>
      <c r="D2582" s="1873">
        <v>707.11420799999996</v>
      </c>
      <c r="E2582" s="1490"/>
      <c r="F2582" s="1490"/>
    </row>
    <row r="2583" spans="2:6">
      <c r="B2583" s="817" t="s">
        <v>2386</v>
      </c>
      <c r="C2583" s="1792">
        <v>1.9372992</v>
      </c>
      <c r="D2583" s="1873">
        <v>1414.2284159999999</v>
      </c>
      <c r="E2583" s="1490"/>
      <c r="F2583" s="1490"/>
    </row>
    <row r="2585" spans="2:6">
      <c r="B2585" s="1800" t="s">
        <v>2809</v>
      </c>
      <c r="C2585" s="1490"/>
      <c r="D2585" s="1490"/>
      <c r="E2585" s="1490"/>
      <c r="F2585" s="1490"/>
    </row>
    <row r="2586" spans="2:6" ht="43.2">
      <c r="B2586" s="548"/>
      <c r="C2586" s="1466" t="s">
        <v>2806</v>
      </c>
      <c r="D2586" s="1466" t="s">
        <v>2807</v>
      </c>
      <c r="E2586" s="33"/>
      <c r="F2586" s="33"/>
    </row>
    <row r="2587" spans="2:6">
      <c r="B2587" s="1881" t="s">
        <v>2606</v>
      </c>
      <c r="C2587" s="1792">
        <v>3.1779099999999998E-2</v>
      </c>
      <c r="D2587" s="1873">
        <v>23.197800000000001</v>
      </c>
      <c r="E2587" s="1489"/>
      <c r="F2587" s="1489"/>
    </row>
    <row r="2588" spans="2:6">
      <c r="B2588" s="1881" t="s">
        <v>2607</v>
      </c>
      <c r="C2588" s="1792">
        <v>6.3558199999999995E-2</v>
      </c>
      <c r="D2588" s="1873">
        <v>46.395600000000002</v>
      </c>
      <c r="E2588" s="1489"/>
      <c r="F2588" s="1489"/>
    </row>
    <row r="2589" spans="2:6">
      <c r="B2589" s="1881" t="s">
        <v>2366</v>
      </c>
      <c r="C2589" s="1792">
        <v>0.12079829999999998</v>
      </c>
      <c r="D2589" s="1873">
        <v>88.179930000000013</v>
      </c>
      <c r="E2589" s="1489"/>
      <c r="F2589" s="1489"/>
    </row>
    <row r="2590" spans="2:6">
      <c r="B2590" s="1881" t="s">
        <v>2367</v>
      </c>
      <c r="C2590" s="1792">
        <v>0.22952620000000001</v>
      </c>
      <c r="D2590" s="1873">
        <v>167.54281</v>
      </c>
      <c r="E2590" s="1489"/>
      <c r="F2590" s="1489"/>
    </row>
    <row r="2591" spans="2:6">
      <c r="B2591" s="1881" t="s">
        <v>2368</v>
      </c>
      <c r="C2591" s="1792">
        <v>0.43632609999999999</v>
      </c>
      <c r="D2591" s="1873">
        <v>318.53597000000002</v>
      </c>
      <c r="E2591" s="1489"/>
      <c r="F2591" s="1489"/>
    </row>
    <row r="2592" spans="2:6">
      <c r="B2592" s="1881" t="s">
        <v>2394</v>
      </c>
      <c r="C2592" s="1792">
        <v>6.3558199999999995E-2</v>
      </c>
      <c r="D2592" s="1873">
        <v>46.395600000000002</v>
      </c>
      <c r="E2592" s="1489"/>
      <c r="F2592" s="1489"/>
    </row>
    <row r="2593" spans="2:6">
      <c r="B2593" s="1881" t="s">
        <v>2395</v>
      </c>
      <c r="C2593" s="1792">
        <v>0.12079829999999998</v>
      </c>
      <c r="D2593" s="1873">
        <v>88.179930000000013</v>
      </c>
      <c r="E2593" s="1489"/>
      <c r="F2593" s="1489"/>
    </row>
    <row r="2594" spans="2:6">
      <c r="B2594" s="1881" t="s">
        <v>2396</v>
      </c>
      <c r="C2594" s="1792">
        <v>0.22952620000000001</v>
      </c>
      <c r="D2594" s="1873">
        <v>167.54281</v>
      </c>
      <c r="E2594" s="1489"/>
      <c r="F2594" s="1489"/>
    </row>
    <row r="2595" spans="2:6">
      <c r="B2595" s="1881" t="s">
        <v>2393</v>
      </c>
      <c r="C2595" s="1792">
        <v>0.43632609999999999</v>
      </c>
      <c r="D2595" s="1873">
        <v>318.53597000000002</v>
      </c>
      <c r="E2595" s="1489"/>
      <c r="F2595" s="1489"/>
    </row>
    <row r="2596" spans="2:6">
      <c r="B2596" s="817" t="s">
        <v>2378</v>
      </c>
      <c r="C2596" s="1792">
        <v>0.87274650000000009</v>
      </c>
      <c r="D2596" s="1873">
        <v>637.08136999999999</v>
      </c>
      <c r="E2596" s="1489"/>
      <c r="F2596" s="1489"/>
    </row>
    <row r="2597" spans="2:6">
      <c r="B2597" s="817" t="s">
        <v>2641</v>
      </c>
      <c r="C2597" s="1792">
        <v>2.0727139999999999</v>
      </c>
      <c r="D2597" s="1873">
        <v>1513.0529300000001</v>
      </c>
      <c r="E2597" s="1489"/>
      <c r="F2597" s="1489"/>
    </row>
    <row r="2598" spans="2:6">
      <c r="B2598" s="817" t="s">
        <v>2637</v>
      </c>
      <c r="C2598" s="1792">
        <v>0.87274650000000009</v>
      </c>
      <c r="D2598" s="1873">
        <v>637.08136999999999</v>
      </c>
      <c r="E2598" s="1489"/>
      <c r="F2598" s="1489"/>
    </row>
    <row r="2599" spans="2:6">
      <c r="B2599" s="817" t="s">
        <v>2638</v>
      </c>
      <c r="C2599" s="1792">
        <v>1.6362936000000001</v>
      </c>
      <c r="D2599" s="1873">
        <v>1194.5169599999999</v>
      </c>
      <c r="E2599" s="1489"/>
      <c r="F2599" s="1489"/>
    </row>
    <row r="2600" spans="2:6">
      <c r="B2600" s="817" t="s">
        <v>2626</v>
      </c>
      <c r="C2600" s="1792">
        <v>6.3558199999999995E-2</v>
      </c>
      <c r="D2600" s="1873">
        <v>46.395600000000002</v>
      </c>
      <c r="E2600" s="1489"/>
      <c r="F2600" s="1489"/>
    </row>
    <row r="2601" spans="2:6">
      <c r="B2601" s="817" t="s">
        <v>2631</v>
      </c>
      <c r="C2601" s="1792">
        <v>6.3558199999999995E-2</v>
      </c>
      <c r="D2601" s="1873">
        <v>46.395600000000002</v>
      </c>
      <c r="E2601" s="1489"/>
      <c r="F2601" s="1489"/>
    </row>
    <row r="2602" spans="2:6">
      <c r="B2602" s="817" t="s">
        <v>2627</v>
      </c>
      <c r="C2602" s="1792">
        <v>0.12079829999999998</v>
      </c>
      <c r="D2602" s="1873">
        <v>88.179930000000013</v>
      </c>
      <c r="E2602" s="1489"/>
      <c r="F2602" s="1489"/>
    </row>
    <row r="2603" spans="2:6">
      <c r="B2603" s="817" t="s">
        <v>2632</v>
      </c>
      <c r="C2603" s="1792">
        <v>0.12079829999999998</v>
      </c>
      <c r="D2603" s="1873">
        <v>88.179930000000013</v>
      </c>
      <c r="E2603" s="1489"/>
      <c r="F2603" s="1489"/>
    </row>
    <row r="2604" spans="2:6">
      <c r="B2604" s="817" t="s">
        <v>2628</v>
      </c>
      <c r="C2604" s="1792">
        <v>0.22952620000000001</v>
      </c>
      <c r="D2604" s="1873">
        <v>167.54281</v>
      </c>
      <c r="E2604" s="1489"/>
      <c r="F2604" s="1489"/>
    </row>
    <row r="2605" spans="2:6">
      <c r="B2605" s="817" t="s">
        <v>2633</v>
      </c>
      <c r="C2605" s="1792">
        <v>0.22952620000000001</v>
      </c>
      <c r="D2605" s="1873">
        <v>167.54281</v>
      </c>
      <c r="E2605" s="1489"/>
      <c r="F2605" s="1489"/>
    </row>
    <row r="2606" spans="2:6">
      <c r="B2606" s="817" t="s">
        <v>2388</v>
      </c>
      <c r="C2606" s="1792">
        <v>0.43632609999999999</v>
      </c>
      <c r="D2606" s="1873">
        <v>318.53597000000002</v>
      </c>
      <c r="E2606" s="1489"/>
      <c r="F2606" s="1489"/>
    </row>
    <row r="2607" spans="2:6">
      <c r="B2607" s="817" t="s">
        <v>2389</v>
      </c>
      <c r="C2607" s="1792">
        <v>0.43632609999999999</v>
      </c>
      <c r="D2607" s="1873">
        <v>318.53597000000002</v>
      </c>
      <c r="E2607" s="1489"/>
      <c r="F2607" s="1489"/>
    </row>
    <row r="2608" spans="2:6">
      <c r="B2608" s="817" t="s">
        <v>2442</v>
      </c>
      <c r="C2608" s="1792">
        <v>0.87274650000000009</v>
      </c>
      <c r="D2608" s="1873">
        <v>637.08136999999999</v>
      </c>
      <c r="E2608" s="1489"/>
      <c r="F2608" s="1489"/>
    </row>
    <row r="2609" spans="2:6">
      <c r="B2609" s="817" t="s">
        <v>2391</v>
      </c>
      <c r="C2609" s="1792">
        <v>0.87274650000000009</v>
      </c>
      <c r="D2609" s="1873">
        <v>637.08136999999999</v>
      </c>
      <c r="E2609" s="1489"/>
      <c r="F2609" s="1489"/>
    </row>
    <row r="2610" spans="2:6">
      <c r="B2610" s="817" t="s">
        <v>2443</v>
      </c>
      <c r="C2610" s="1792">
        <v>1.7454930000000002</v>
      </c>
      <c r="D2610" s="1873">
        <v>1274.16274</v>
      </c>
      <c r="E2610" s="1489"/>
      <c r="F2610" s="1489"/>
    </row>
    <row r="2611" spans="2:6">
      <c r="B2611" s="817" t="s">
        <v>2392</v>
      </c>
      <c r="C2611" s="1792">
        <v>1.7454930000000002</v>
      </c>
      <c r="D2611" s="1873">
        <v>1274.16274</v>
      </c>
      <c r="E2611" s="1489"/>
      <c r="F2611" s="1489"/>
    </row>
    <row r="2612" spans="2:6">
      <c r="B2612" s="817" t="s">
        <v>2751</v>
      </c>
      <c r="C2612" s="1792">
        <v>0.11438590000000001</v>
      </c>
      <c r="D2612" s="1873">
        <v>83.512079999999997</v>
      </c>
      <c r="E2612" s="1489"/>
      <c r="F2612" s="1489"/>
    </row>
    <row r="2613" spans="2:6">
      <c r="B2613" s="817" t="s">
        <v>2752</v>
      </c>
      <c r="C2613" s="1792">
        <v>0.11440476000000001</v>
      </c>
      <c r="D2613" s="1873">
        <v>83.512079999999997</v>
      </c>
      <c r="E2613" s="1489"/>
      <c r="F2613" s="1489"/>
    </row>
    <row r="2614" spans="2:6">
      <c r="B2614" s="817" t="s">
        <v>2753</v>
      </c>
      <c r="C2614" s="1792">
        <v>0.21736150000000001</v>
      </c>
      <c r="D2614" s="1873">
        <v>158.72576000000001</v>
      </c>
      <c r="E2614" s="1489"/>
      <c r="F2614" s="1489"/>
    </row>
    <row r="2615" spans="2:6">
      <c r="B2615" s="817" t="s">
        <v>2754</v>
      </c>
      <c r="C2615" s="1792">
        <v>0.21743693999999997</v>
      </c>
      <c r="D2615" s="1873">
        <v>158.723874</v>
      </c>
      <c r="E2615" s="1489"/>
      <c r="F2615" s="1489"/>
    </row>
    <row r="2616" spans="2:6">
      <c r="B2616" s="817" t="s">
        <v>2755</v>
      </c>
      <c r="C2616" s="1792">
        <v>0.41314716000000001</v>
      </c>
      <c r="D2616" s="1873">
        <v>301.57705799999997</v>
      </c>
      <c r="E2616" s="1489"/>
      <c r="F2616" s="1489"/>
    </row>
    <row r="2617" spans="2:6">
      <c r="B2617" s="817" t="s">
        <v>2756</v>
      </c>
      <c r="C2617" s="1792">
        <v>0.41314716000000001</v>
      </c>
      <c r="D2617" s="1873">
        <v>301.57705799999997</v>
      </c>
      <c r="E2617" s="1489"/>
      <c r="F2617" s="1489"/>
    </row>
    <row r="2618" spans="2:6">
      <c r="B2618" s="817" t="s">
        <v>2757</v>
      </c>
      <c r="C2618" s="1792">
        <v>0.78538698000000007</v>
      </c>
      <c r="D2618" s="1873">
        <v>573.36474599999997</v>
      </c>
      <c r="E2618" s="1489"/>
      <c r="F2618" s="1489"/>
    </row>
    <row r="2619" spans="2:6">
      <c r="B2619" s="817" t="s">
        <v>2758</v>
      </c>
      <c r="C2619" s="1792">
        <v>0.78538698000000007</v>
      </c>
      <c r="D2619" s="1873">
        <v>573.36474599999997</v>
      </c>
      <c r="E2619" s="1489"/>
      <c r="F2619" s="1489"/>
    </row>
    <row r="2620" spans="2:6">
      <c r="B2620" s="817" t="s">
        <v>2759</v>
      </c>
      <c r="C2620" s="1792">
        <v>1.5709436999999999</v>
      </c>
      <c r="D2620" s="1873">
        <v>1146.7464660000001</v>
      </c>
      <c r="E2620" s="1489"/>
      <c r="F2620" s="1489"/>
    </row>
    <row r="2621" spans="2:6">
      <c r="B2621" s="817" t="s">
        <v>2760</v>
      </c>
      <c r="C2621" s="1792">
        <v>1.5709436999999999</v>
      </c>
      <c r="D2621" s="1873">
        <v>1146.7464660000001</v>
      </c>
      <c r="E2621" s="1489"/>
      <c r="F2621" s="1489"/>
    </row>
    <row r="2622" spans="2:6">
      <c r="B2622" s="817" t="s">
        <v>2761</v>
      </c>
      <c r="C2622" s="1792">
        <v>3.1418873999999999</v>
      </c>
      <c r="D2622" s="1873">
        <v>2293.4929320000001</v>
      </c>
      <c r="E2622" s="1489"/>
      <c r="F2622" s="1489"/>
    </row>
    <row r="2623" spans="2:6">
      <c r="B2623" s="817" t="s">
        <v>2762</v>
      </c>
      <c r="C2623" s="1792">
        <v>3.1418873999999999</v>
      </c>
      <c r="D2623" s="1873">
        <v>2293.4929320000001</v>
      </c>
      <c r="E2623" s="1489"/>
      <c r="F2623" s="1489"/>
    </row>
    <row r="2624" spans="2:6">
      <c r="B2624" s="817" t="s">
        <v>2763</v>
      </c>
      <c r="C2624" s="1792">
        <v>6.3558199999999995E-2</v>
      </c>
      <c r="D2624" s="1873">
        <v>46.397486000000001</v>
      </c>
      <c r="E2624" s="1489"/>
      <c r="F2624" s="1489"/>
    </row>
    <row r="2625" spans="2:24">
      <c r="B2625" s="817" t="s">
        <v>2643</v>
      </c>
      <c r="C2625" s="1792">
        <v>0.12711639999999999</v>
      </c>
      <c r="D2625" s="1873">
        <v>92.794972000000001</v>
      </c>
      <c r="E2625" s="1489"/>
      <c r="F2625" s="1489"/>
    </row>
    <row r="2626" spans="2:24">
      <c r="B2626" s="817" t="s">
        <v>2383</v>
      </c>
      <c r="C2626" s="1792">
        <v>0.25423279999999998</v>
      </c>
      <c r="D2626" s="1873">
        <v>185.589944</v>
      </c>
      <c r="E2626" s="1489"/>
      <c r="F2626" s="1489"/>
    </row>
    <row r="2627" spans="2:24">
      <c r="B2627" s="817" t="s">
        <v>2440</v>
      </c>
      <c r="C2627" s="1792">
        <v>0.38134919999999994</v>
      </c>
      <c r="D2627" s="1873">
        <v>278.38491599999998</v>
      </c>
      <c r="E2627" s="1489"/>
      <c r="F2627" s="1489"/>
    </row>
    <row r="2628" spans="2:24">
      <c r="B2628" s="817" t="s">
        <v>2384</v>
      </c>
      <c r="C2628" s="1792">
        <v>0.50846559999999996</v>
      </c>
      <c r="D2628" s="1873">
        <v>371.17988800000001</v>
      </c>
      <c r="E2628" s="1489"/>
      <c r="F2628" s="1489"/>
    </row>
    <row r="2629" spans="2:24">
      <c r="B2629" s="817" t="s">
        <v>2441</v>
      </c>
      <c r="C2629" s="1792">
        <v>0.76269839999999989</v>
      </c>
      <c r="D2629" s="1873">
        <v>556.76983199999995</v>
      </c>
      <c r="E2629" s="1489"/>
      <c r="F2629" s="1489"/>
    </row>
    <row r="2630" spans="2:24">
      <c r="B2630" s="817" t="s">
        <v>2385</v>
      </c>
      <c r="C2630" s="1792">
        <v>1.0169311999999999</v>
      </c>
      <c r="D2630" s="1873">
        <v>742.35977600000001</v>
      </c>
      <c r="E2630" s="1489"/>
      <c r="F2630" s="1489"/>
    </row>
    <row r="2631" spans="2:24">
      <c r="B2631" s="817" t="s">
        <v>2386</v>
      </c>
      <c r="C2631" s="1792">
        <v>2.0338623999999998</v>
      </c>
      <c r="D2631" s="1873">
        <v>1484.719552</v>
      </c>
      <c r="E2631" s="1489"/>
      <c r="F2631" s="1489"/>
    </row>
    <row r="2632" spans="2:24">
      <c r="B2632" s="817" t="s">
        <v>2595</v>
      </c>
      <c r="C2632" s="1792">
        <v>6.3558199999999995E-2</v>
      </c>
      <c r="D2632" s="1873">
        <v>46.397486000000001</v>
      </c>
      <c r="E2632" s="1489"/>
      <c r="F2632" s="1489"/>
    </row>
    <row r="2633" spans="2:24">
      <c r="B2633" s="817" t="s">
        <v>2596</v>
      </c>
      <c r="C2633" s="1792">
        <v>0.12711639999999999</v>
      </c>
      <c r="D2633" s="1873">
        <v>92.794972000000001</v>
      </c>
      <c r="E2633" s="1489"/>
      <c r="F2633" s="1489"/>
    </row>
    <row r="2634" spans="2:24">
      <c r="B2634" s="817" t="s">
        <v>2597</v>
      </c>
      <c r="C2634" s="1792">
        <v>0.25423279999999998</v>
      </c>
      <c r="D2634" s="1873">
        <v>185.589944</v>
      </c>
      <c r="E2634" s="1489"/>
      <c r="F2634" s="1489"/>
    </row>
    <row r="2635" spans="2:24">
      <c r="B2635" s="817" t="s">
        <v>2600</v>
      </c>
      <c r="C2635" s="1792">
        <v>6.3558199999999995E-2</v>
      </c>
      <c r="D2635" s="1873">
        <v>46.397486000000001</v>
      </c>
      <c r="E2635" s="1489"/>
      <c r="F2635" s="1489"/>
    </row>
    <row r="2636" spans="2:24">
      <c r="B2636" s="817" t="s">
        <v>2601</v>
      </c>
      <c r="C2636" s="1792">
        <v>0.12711639999999999</v>
      </c>
      <c r="D2636" s="1873">
        <v>92.794972000000001</v>
      </c>
      <c r="E2636" s="1489"/>
      <c r="F2636" s="1489"/>
    </row>
    <row r="2637" spans="2:24">
      <c r="B2637" s="817" t="s">
        <v>2602</v>
      </c>
      <c r="C2637" s="1792">
        <v>0.25423279999999998</v>
      </c>
      <c r="D2637" s="1873">
        <v>185.589944</v>
      </c>
      <c r="E2637" s="1489"/>
      <c r="F2637" s="1489"/>
    </row>
    <row r="2639" spans="2:24" s="1489" customFormat="1">
      <c r="B2639" s="1800" t="s">
        <v>2816</v>
      </c>
      <c r="C2639" s="1490"/>
      <c r="D2639" s="1490"/>
      <c r="E2639" s="1490"/>
      <c r="F2639" s="1490"/>
      <c r="G2639" s="1490"/>
      <c r="H2639" s="1490"/>
      <c r="I2639" s="1490"/>
      <c r="J2639" s="1490"/>
      <c r="K2639" s="1490"/>
      <c r="L2639" s="1490"/>
      <c r="M2639" s="1490"/>
      <c r="N2639" s="1490"/>
      <c r="O2639" s="1490"/>
      <c r="P2639" s="1490"/>
      <c r="Q2639" s="1490"/>
      <c r="R2639" s="1490"/>
      <c r="S2639" s="1490"/>
      <c r="T2639" s="1490"/>
      <c r="U2639" s="1490"/>
      <c r="V2639" s="1490"/>
      <c r="W2639" s="89"/>
      <c r="X2639" s="1490"/>
    </row>
    <row r="2640" spans="2:24" ht="57.6">
      <c r="B2640" s="548" t="s">
        <v>2</v>
      </c>
      <c r="C2640" s="1466" t="s">
        <v>2810</v>
      </c>
      <c r="D2640" s="1466" t="s">
        <v>2811</v>
      </c>
      <c r="E2640" s="1490"/>
      <c r="F2640" s="1490"/>
      <c r="G2640" s="1490"/>
    </row>
    <row r="2641" spans="2:7">
      <c r="B2641" s="1850" t="s">
        <v>2608</v>
      </c>
      <c r="C2641" s="1852">
        <v>3.7719999999999997E-3</v>
      </c>
      <c r="D2641" s="1853">
        <v>2.4518</v>
      </c>
      <c r="E2641" s="1490"/>
      <c r="F2641" s="1490"/>
      <c r="G2641" s="1490"/>
    </row>
    <row r="2642" spans="2:7">
      <c r="B2642" s="1850" t="s">
        <v>2609</v>
      </c>
      <c r="C2642" s="1852">
        <v>7.5439999999999995E-3</v>
      </c>
      <c r="D2642" s="1853">
        <v>4.9036</v>
      </c>
      <c r="E2642" s="1490"/>
      <c r="F2642" s="1490"/>
      <c r="G2642" s="1490"/>
    </row>
    <row r="2643" spans="2:7">
      <c r="B2643" s="1850" t="s">
        <v>2722</v>
      </c>
      <c r="C2643" s="1852">
        <v>3.7719999999999997E-2</v>
      </c>
      <c r="D2643" s="1853">
        <v>24.517999999999997</v>
      </c>
      <c r="E2643" s="1490"/>
      <c r="F2643" s="1490"/>
      <c r="G2643" s="1490"/>
    </row>
    <row r="2644" spans="2:7">
      <c r="B2644" s="1850" t="s">
        <v>2723</v>
      </c>
      <c r="C2644" s="1852">
        <v>7.5439999999999993E-2</v>
      </c>
      <c r="D2644" s="1853">
        <v>49.035999999999994</v>
      </c>
      <c r="E2644" s="1490"/>
      <c r="F2644" s="1490"/>
      <c r="G2644" s="1490"/>
    </row>
    <row r="2645" spans="2:7">
      <c r="B2645" s="1850" t="s">
        <v>2724</v>
      </c>
      <c r="C2645" s="1852">
        <v>0.15087999999999999</v>
      </c>
      <c r="D2645" s="1853">
        <v>98.071999999999989</v>
      </c>
      <c r="E2645" s="1490"/>
      <c r="F2645" s="1490"/>
      <c r="G2645" s="1490"/>
    </row>
    <row r="2646" spans="2:7">
      <c r="B2646" s="1850" t="s">
        <v>2604</v>
      </c>
      <c r="C2646" s="1852">
        <v>3.7719999999999997E-2</v>
      </c>
      <c r="D2646" s="1853">
        <v>24.517999999999997</v>
      </c>
      <c r="E2646" s="1489"/>
      <c r="F2646" s="1490"/>
      <c r="G2646" s="1490"/>
    </row>
    <row r="2647" spans="2:7">
      <c r="B2647" s="1850" t="s">
        <v>2605</v>
      </c>
      <c r="C2647" s="1780">
        <v>3.7719999999999997E-2</v>
      </c>
      <c r="D2647" s="1781">
        <v>24.517999999999997</v>
      </c>
      <c r="E2647" s="1489"/>
      <c r="F2647" s="1490"/>
      <c r="G2647" s="1490"/>
    </row>
    <row r="2648" spans="2:7">
      <c r="B2648" s="1850" t="s">
        <v>2606</v>
      </c>
      <c r="C2648" s="1852">
        <v>3.7719999999999997E-2</v>
      </c>
      <c r="D2648" s="1853">
        <v>24.517999999999997</v>
      </c>
      <c r="E2648" s="1489"/>
      <c r="F2648" s="1490"/>
      <c r="G2648" s="1490"/>
    </row>
    <row r="2649" spans="2:7">
      <c r="B2649" s="1850" t="s">
        <v>2394</v>
      </c>
      <c r="C2649" s="1780">
        <v>7.5439999999999993E-2</v>
      </c>
      <c r="D2649" s="1781">
        <v>49.035999999999994</v>
      </c>
      <c r="E2649" s="1489"/>
      <c r="F2649" s="1490"/>
      <c r="G2649" s="1490"/>
    </row>
    <row r="2650" spans="2:7">
      <c r="B2650" s="1850" t="s">
        <v>2395</v>
      </c>
      <c r="C2650" s="1780">
        <v>0.15087999999999999</v>
      </c>
      <c r="D2650" s="1781">
        <v>98.071999999999989</v>
      </c>
      <c r="E2650" s="1489"/>
      <c r="F2650" s="1490"/>
      <c r="G2650" s="1490"/>
    </row>
    <row r="2651" spans="2:7">
      <c r="B2651" s="1850" t="s">
        <v>2396</v>
      </c>
      <c r="C2651" s="1780">
        <v>0.30175999999999997</v>
      </c>
      <c r="D2651" s="1781">
        <v>196.14399999999998</v>
      </c>
      <c r="E2651" s="1489"/>
      <c r="F2651" s="1490"/>
      <c r="G2651" s="1490"/>
    </row>
    <row r="2652" spans="2:7">
      <c r="B2652" s="1850" t="s">
        <v>2393</v>
      </c>
      <c r="C2652" s="1780">
        <v>0.60351999999999995</v>
      </c>
      <c r="D2652" s="1781">
        <v>392.28799999999995</v>
      </c>
      <c r="E2652" s="1489"/>
      <c r="F2652" s="1490"/>
      <c r="G2652" s="1490"/>
    </row>
    <row r="2653" spans="2:7">
      <c r="B2653" s="1850" t="s">
        <v>2725</v>
      </c>
      <c r="C2653" s="1780">
        <v>1.062228</v>
      </c>
      <c r="D2653" s="1781">
        <v>690.42687999999998</v>
      </c>
      <c r="E2653" s="1489"/>
      <c r="F2653" s="1490"/>
      <c r="G2653" s="1490"/>
    </row>
    <row r="2654" spans="2:7">
      <c r="B2654" s="1850" t="s">
        <v>2607</v>
      </c>
      <c r="C2654" s="1780">
        <v>7.5439999999999993E-2</v>
      </c>
      <c r="D2654" s="1781">
        <v>49.035999999999994</v>
      </c>
      <c r="E2654" s="1489"/>
      <c r="F2654" s="1490"/>
      <c r="G2654" s="1490"/>
    </row>
    <row r="2655" spans="2:7">
      <c r="B2655" s="1850" t="s">
        <v>2366</v>
      </c>
      <c r="C2655" s="1780">
        <v>0.15087999999999999</v>
      </c>
      <c r="D2655" s="1781">
        <v>98.071999999999989</v>
      </c>
      <c r="E2655" s="1489"/>
      <c r="F2655" s="1490"/>
      <c r="G2655" s="1490"/>
    </row>
    <row r="2656" spans="2:7">
      <c r="B2656" s="1850" t="s">
        <v>2367</v>
      </c>
      <c r="C2656" s="1780">
        <v>0.30175999999999997</v>
      </c>
      <c r="D2656" s="1781">
        <v>196.14399999999998</v>
      </c>
      <c r="E2656" s="1489"/>
      <c r="F2656" s="1490"/>
      <c r="G2656" s="1490"/>
    </row>
    <row r="2657" spans="2:7">
      <c r="B2657" s="1850" t="s">
        <v>2368</v>
      </c>
      <c r="C2657" s="1780">
        <v>0.60351999999999995</v>
      </c>
      <c r="D2657" s="1781">
        <v>392.28799999999995</v>
      </c>
      <c r="E2657" s="1489"/>
      <c r="F2657" s="1490"/>
      <c r="G2657" s="1490"/>
    </row>
    <row r="2658" spans="2:7">
      <c r="B2658" s="1850" t="s">
        <v>2726</v>
      </c>
      <c r="C2658" s="1780">
        <v>1.062228</v>
      </c>
      <c r="D2658" s="1781">
        <v>690.42687999999998</v>
      </c>
      <c r="E2658" s="1489"/>
      <c r="F2658" s="1490"/>
      <c r="G2658" s="1490"/>
    </row>
    <row r="2659" spans="2:7">
      <c r="B2659" s="1850" t="s">
        <v>2649</v>
      </c>
      <c r="C2659" s="1780">
        <v>7.5439999999999993E-2</v>
      </c>
      <c r="D2659" s="1781">
        <v>49.035999999999994</v>
      </c>
      <c r="E2659" s="1489"/>
      <c r="F2659" s="1490"/>
      <c r="G2659" s="1490"/>
    </row>
    <row r="2660" spans="2:7">
      <c r="B2660" s="1850" t="s">
        <v>2650</v>
      </c>
      <c r="C2660" s="1780">
        <v>0.15087999999999999</v>
      </c>
      <c r="D2660" s="1781">
        <v>98.071999999999989</v>
      </c>
      <c r="E2660" s="1489"/>
      <c r="F2660" s="1490"/>
      <c r="G2660" s="1490"/>
    </row>
    <row r="2661" spans="2:7">
      <c r="B2661" s="1850" t="s">
        <v>2651</v>
      </c>
      <c r="C2661" s="1780">
        <v>0.30175999999999997</v>
      </c>
      <c r="D2661" s="1781">
        <v>196.14399999999998</v>
      </c>
      <c r="E2661" s="1489"/>
      <c r="F2661" s="1490"/>
      <c r="G2661" s="1490"/>
    </row>
    <row r="2662" spans="2:7">
      <c r="B2662" s="1850" t="s">
        <v>2652</v>
      </c>
      <c r="C2662" s="1780">
        <v>0.60351999999999995</v>
      </c>
      <c r="D2662" s="1781">
        <v>392.28799999999995</v>
      </c>
      <c r="E2662" s="1489"/>
      <c r="F2662" s="1490"/>
      <c r="G2662" s="1490"/>
    </row>
    <row r="2663" spans="2:7">
      <c r="B2663" s="1850" t="s">
        <v>2644</v>
      </c>
      <c r="C2663" s="1780">
        <v>7.5439999999999993E-2</v>
      </c>
      <c r="D2663" s="1781">
        <v>49.035999999999994</v>
      </c>
      <c r="E2663" s="1489"/>
      <c r="F2663" s="1490"/>
      <c r="G2663" s="1490"/>
    </row>
    <row r="2664" spans="2:7">
      <c r="B2664" s="1850" t="s">
        <v>2645</v>
      </c>
      <c r="C2664" s="1780">
        <v>0.15087999999999999</v>
      </c>
      <c r="D2664" s="1781">
        <v>98.071999999999989</v>
      </c>
      <c r="E2664" s="1489"/>
      <c r="F2664" s="1490"/>
      <c r="G2664" s="1490"/>
    </row>
    <row r="2665" spans="2:7">
      <c r="B2665" s="1850" t="s">
        <v>2646</v>
      </c>
      <c r="C2665" s="1780">
        <v>0.30175999999999997</v>
      </c>
      <c r="D2665" s="1781">
        <v>196.14399999999998</v>
      </c>
      <c r="E2665" s="1489"/>
      <c r="F2665" s="1490"/>
      <c r="G2665" s="1490"/>
    </row>
    <row r="2666" spans="2:7">
      <c r="B2666" s="1850" t="s">
        <v>2647</v>
      </c>
      <c r="C2666" s="1780">
        <v>0.60351999999999995</v>
      </c>
      <c r="D2666" s="1781">
        <v>392.28799999999995</v>
      </c>
      <c r="E2666" s="1489"/>
      <c r="F2666" s="1490"/>
      <c r="G2666" s="1490"/>
    </row>
    <row r="2667" spans="2:7">
      <c r="B2667" s="1850" t="s">
        <v>2648</v>
      </c>
      <c r="C2667" s="1780">
        <v>1.062228</v>
      </c>
      <c r="D2667" s="1781">
        <v>690.42687999999998</v>
      </c>
      <c r="E2667" s="1489"/>
      <c r="F2667" s="1490"/>
      <c r="G2667" s="1490"/>
    </row>
    <row r="2668" spans="2:7">
      <c r="B2668" s="1850" t="s">
        <v>2642</v>
      </c>
      <c r="C2668" s="1780">
        <v>7.5439999999999993E-2</v>
      </c>
      <c r="D2668" s="1781">
        <v>49.035999999999994</v>
      </c>
      <c r="E2668" s="1489"/>
      <c r="F2668" s="1490"/>
      <c r="G2668" s="1490"/>
    </row>
    <row r="2669" spans="2:7">
      <c r="B2669" s="1850" t="s">
        <v>2643</v>
      </c>
      <c r="C2669" s="1780">
        <v>0.15087999999999999</v>
      </c>
      <c r="D2669" s="1781">
        <v>98.071999999999989</v>
      </c>
      <c r="E2669" s="1489"/>
      <c r="F2669" s="1490"/>
      <c r="G2669" s="1490"/>
    </row>
    <row r="2670" spans="2:7">
      <c r="B2670" s="1850" t="s">
        <v>2383</v>
      </c>
      <c r="C2670" s="1780">
        <v>0.30175999999999997</v>
      </c>
      <c r="D2670" s="1781">
        <v>196.14399999999998</v>
      </c>
      <c r="E2670" s="1489"/>
      <c r="F2670" s="1490"/>
      <c r="G2670" s="1490"/>
    </row>
    <row r="2671" spans="2:7">
      <c r="B2671" s="1850" t="s">
        <v>2440</v>
      </c>
      <c r="C2671" s="1780">
        <v>0.45263999999999999</v>
      </c>
      <c r="D2671" s="1781">
        <v>294.21600000000001</v>
      </c>
      <c r="E2671" s="1489"/>
      <c r="F2671" s="1490"/>
      <c r="G2671" s="1490"/>
    </row>
    <row r="2672" spans="2:7">
      <c r="B2672" s="1850" t="s">
        <v>2384</v>
      </c>
      <c r="C2672" s="1780">
        <v>0.60351999999999995</v>
      </c>
      <c r="D2672" s="1781">
        <v>392.28799999999995</v>
      </c>
      <c r="E2672" s="1489"/>
      <c r="F2672" s="1490"/>
      <c r="G2672" s="1490"/>
    </row>
    <row r="2673" spans="2:7">
      <c r="B2673" s="1850" t="s">
        <v>2441</v>
      </c>
      <c r="C2673" s="1780">
        <v>0.90527999999999997</v>
      </c>
      <c r="D2673" s="1781">
        <v>588.43200000000002</v>
      </c>
      <c r="E2673" s="1489"/>
      <c r="F2673" s="1490"/>
      <c r="G2673" s="1490"/>
    </row>
    <row r="2674" spans="2:7">
      <c r="B2674" s="1850" t="s">
        <v>2385</v>
      </c>
      <c r="C2674" s="1780">
        <v>1.062228</v>
      </c>
      <c r="D2674" s="1781">
        <v>690.42687999999998</v>
      </c>
      <c r="E2674" s="1489"/>
      <c r="F2674" s="1490"/>
      <c r="G2674" s="1490"/>
    </row>
    <row r="2675" spans="2:7">
      <c r="B2675" s="1850" t="s">
        <v>2386</v>
      </c>
      <c r="C2675" s="1780">
        <v>2.124374</v>
      </c>
      <c r="D2675" s="1781">
        <v>1380.85376</v>
      </c>
      <c r="E2675" s="1489"/>
      <c r="F2675" s="1490"/>
      <c r="G2675" s="1490"/>
    </row>
    <row r="2676" spans="2:7">
      <c r="B2676" s="1850" t="s">
        <v>2613</v>
      </c>
      <c r="C2676" s="1780">
        <v>3.7719999999999997E-2</v>
      </c>
      <c r="D2676" s="1781">
        <v>24.517999999999997</v>
      </c>
      <c r="E2676" s="1489"/>
      <c r="F2676" s="1490"/>
      <c r="G2676" s="1490"/>
    </row>
    <row r="2677" spans="2:7">
      <c r="B2677" s="1850" t="s">
        <v>2614</v>
      </c>
      <c r="C2677" s="1780">
        <v>7.5439999999999993E-2</v>
      </c>
      <c r="D2677" s="1781">
        <v>49.035999999999994</v>
      </c>
      <c r="E2677" s="1489"/>
      <c r="F2677" s="1490"/>
      <c r="G2677" s="1490"/>
    </row>
    <row r="2678" spans="2:7">
      <c r="B2678" s="1850" t="s">
        <v>2615</v>
      </c>
      <c r="C2678" s="1780">
        <v>0.15087999999999999</v>
      </c>
      <c r="D2678" s="1781">
        <v>98.071999999999989</v>
      </c>
      <c r="E2678" s="1489"/>
      <c r="F2678" s="1490"/>
      <c r="G2678" s="1490"/>
    </row>
    <row r="2679" spans="2:7">
      <c r="B2679" s="1850" t="s">
        <v>2616</v>
      </c>
      <c r="C2679" s="1780">
        <v>0.30175999999999997</v>
      </c>
      <c r="D2679" s="1781">
        <v>196.14399999999998</v>
      </c>
      <c r="E2679" s="1489"/>
      <c r="F2679" s="1490"/>
      <c r="G2679" s="1490"/>
    </row>
    <row r="2680" spans="2:7">
      <c r="B2680" s="1850" t="s">
        <v>2617</v>
      </c>
      <c r="C2680" s="1780">
        <v>0.60351999999999995</v>
      </c>
      <c r="D2680" s="1781">
        <v>392.28799999999995</v>
      </c>
      <c r="E2680" s="1489"/>
      <c r="F2680" s="1490"/>
      <c r="G2680" s="1490"/>
    </row>
    <row r="2681" spans="2:7">
      <c r="B2681" s="1850" t="s">
        <v>2618</v>
      </c>
      <c r="C2681" s="1780">
        <v>1.062228</v>
      </c>
      <c r="D2681" s="1781">
        <v>690.42687999999998</v>
      </c>
      <c r="E2681" s="1489"/>
      <c r="F2681" s="1490"/>
      <c r="G2681" s="1490"/>
    </row>
    <row r="2682" spans="2:7">
      <c r="B2682" s="1850" t="s">
        <v>2623</v>
      </c>
      <c r="C2682" s="1780">
        <v>7.5439999999999993E-2</v>
      </c>
      <c r="D2682" s="1781">
        <v>49.035999999999994</v>
      </c>
      <c r="E2682" s="1489"/>
      <c r="F2682" s="1490"/>
      <c r="G2682" s="1490"/>
    </row>
    <row r="2683" spans="2:7">
      <c r="B2683" s="1850" t="s">
        <v>2624</v>
      </c>
      <c r="C2683" s="1780">
        <v>0.15087999999999999</v>
      </c>
      <c r="D2683" s="1781">
        <v>98.071999999999989</v>
      </c>
      <c r="E2683" s="1489"/>
      <c r="F2683" s="1490"/>
      <c r="G2683" s="1490"/>
    </row>
    <row r="2684" spans="2:7">
      <c r="B2684" s="1850" t="s">
        <v>2625</v>
      </c>
      <c r="C2684" s="1780">
        <v>0.30175999999999997</v>
      </c>
      <c r="D2684" s="1781">
        <v>196.14399999999998</v>
      </c>
      <c r="E2684" s="1489"/>
      <c r="F2684" s="1490"/>
      <c r="G2684" s="1490"/>
    </row>
    <row r="2685" spans="2:7">
      <c r="B2685" s="1850" t="s">
        <v>2619</v>
      </c>
      <c r="C2685" s="1780">
        <v>7.5439999999999993E-2</v>
      </c>
      <c r="D2685" s="1781">
        <v>49.035999999999994</v>
      </c>
      <c r="E2685" s="1489"/>
      <c r="F2685" s="1490"/>
      <c r="G2685" s="1490"/>
    </row>
    <row r="2686" spans="2:7">
      <c r="B2686" s="1850" t="s">
        <v>2620</v>
      </c>
      <c r="C2686" s="1780">
        <v>0.15087999999999999</v>
      </c>
      <c r="D2686" s="1781">
        <v>98.071999999999989</v>
      </c>
      <c r="E2686" s="1489"/>
      <c r="F2686" s="1490"/>
      <c r="G2686" s="1490"/>
    </row>
    <row r="2687" spans="2:7">
      <c r="B2687" s="1850" t="s">
        <v>2621</v>
      </c>
      <c r="C2687" s="1780">
        <v>0.30175999999999997</v>
      </c>
      <c r="D2687" s="1781">
        <v>196.14399999999998</v>
      </c>
      <c r="E2687" s="1489"/>
      <c r="F2687" s="1490"/>
      <c r="G2687" s="1490"/>
    </row>
    <row r="2688" spans="2:7">
      <c r="B2688" s="1850" t="s">
        <v>2622</v>
      </c>
      <c r="C2688" s="1780">
        <v>0.60351999999999995</v>
      </c>
      <c r="D2688" s="1781">
        <v>392.28799999999995</v>
      </c>
      <c r="E2688" s="1489"/>
      <c r="F2688" s="1490"/>
      <c r="G2688" s="1490"/>
    </row>
    <row r="2689" spans="2:7">
      <c r="B2689" s="1850" t="s">
        <v>2373</v>
      </c>
      <c r="C2689" s="1780">
        <v>0.15087999999999999</v>
      </c>
      <c r="D2689" s="1781">
        <v>98.071999999999989</v>
      </c>
      <c r="E2689" s="1489"/>
      <c r="F2689" s="1490"/>
      <c r="G2689" s="1490"/>
    </row>
    <row r="2690" spans="2:7">
      <c r="B2690" s="1850" t="s">
        <v>2374</v>
      </c>
      <c r="C2690" s="1780">
        <v>0.30175999999999997</v>
      </c>
      <c r="D2690" s="1781">
        <v>196.14399999999998</v>
      </c>
      <c r="E2690" s="1489"/>
      <c r="F2690" s="1490"/>
      <c r="G2690" s="1490"/>
    </row>
    <row r="2691" spans="2:7">
      <c r="B2691" s="1850" t="s">
        <v>2397</v>
      </c>
      <c r="C2691" s="1780">
        <v>0.60351999999999995</v>
      </c>
      <c r="D2691" s="1781">
        <v>392.28799999999995</v>
      </c>
      <c r="E2691" s="1489"/>
      <c r="F2691" s="1490"/>
      <c r="G2691" s="1490"/>
    </row>
    <row r="2692" spans="2:7">
      <c r="B2692" s="1850" t="s">
        <v>2727</v>
      </c>
      <c r="C2692" s="1780">
        <v>0.90527999999999997</v>
      </c>
      <c r="D2692" s="1781">
        <v>588.43200000000002</v>
      </c>
      <c r="E2692" s="1489"/>
      <c r="F2692" s="1490"/>
      <c r="G2692" s="1490"/>
    </row>
    <row r="2693" spans="2:7">
      <c r="B2693" s="1850" t="s">
        <v>2398</v>
      </c>
      <c r="C2693" s="1780">
        <v>1.062228</v>
      </c>
      <c r="D2693" s="1781">
        <v>690.42687999999998</v>
      </c>
      <c r="E2693" s="1489"/>
      <c r="F2693" s="1490"/>
      <c r="G2693" s="1490"/>
    </row>
    <row r="2694" spans="2:7">
      <c r="B2694" s="1850" t="s">
        <v>2660</v>
      </c>
      <c r="C2694" s="1780">
        <v>1.5932599999999999</v>
      </c>
      <c r="D2694" s="1781">
        <v>1035.64032</v>
      </c>
      <c r="E2694" s="1489"/>
      <c r="F2694" s="1490"/>
      <c r="G2694" s="1490"/>
    </row>
    <row r="2695" spans="2:7">
      <c r="B2695" s="817" t="s">
        <v>2379</v>
      </c>
      <c r="C2695" s="1780">
        <v>0.15087999999999999</v>
      </c>
      <c r="D2695" s="1781">
        <v>98.071999999999989</v>
      </c>
      <c r="E2695" s="1489"/>
      <c r="F2695" s="1490"/>
      <c r="G2695" s="1490"/>
    </row>
    <row r="2696" spans="2:7">
      <c r="B2696" s="817" t="s">
        <v>2380</v>
      </c>
      <c r="C2696" s="1780">
        <v>0.30175999999999997</v>
      </c>
      <c r="D2696" s="1781">
        <v>196.14399999999998</v>
      </c>
      <c r="E2696" s="1489"/>
      <c r="F2696" s="1490"/>
      <c r="G2696" s="1490"/>
    </row>
    <row r="2697" spans="2:7">
      <c r="B2697" s="817" t="s">
        <v>2399</v>
      </c>
      <c r="C2697" s="1780">
        <v>0.60351999999999995</v>
      </c>
      <c r="D2697" s="1781">
        <v>392.28799999999995</v>
      </c>
      <c r="E2697" s="1489"/>
      <c r="F2697" s="1490"/>
      <c r="G2697" s="1490"/>
    </row>
    <row r="2698" spans="2:7">
      <c r="B2698" s="817" t="s">
        <v>2400</v>
      </c>
      <c r="C2698" s="1780">
        <v>0.90527999999999997</v>
      </c>
      <c r="D2698" s="1781">
        <v>588.43200000000002</v>
      </c>
      <c r="E2698" s="1489"/>
      <c r="F2698" s="1490"/>
      <c r="G2698" s="1490"/>
    </row>
    <row r="2699" spans="2:7">
      <c r="B2699" s="817" t="s">
        <v>2401</v>
      </c>
      <c r="C2699" s="1780">
        <v>1.062228</v>
      </c>
      <c r="D2699" s="1781">
        <v>690.42687999999998</v>
      </c>
      <c r="E2699" s="1489"/>
      <c r="F2699" s="1490"/>
      <c r="G2699" s="1490"/>
    </row>
    <row r="2700" spans="2:7">
      <c r="B2700" s="817" t="s">
        <v>2402</v>
      </c>
      <c r="C2700" s="1780">
        <v>1.5932599999999999</v>
      </c>
      <c r="D2700" s="1781">
        <v>1035.64032</v>
      </c>
      <c r="E2700" s="1489"/>
      <c r="F2700" s="1490"/>
      <c r="G2700" s="1490"/>
    </row>
    <row r="2701" spans="2:7">
      <c r="B2701" s="817" t="s">
        <v>2403</v>
      </c>
      <c r="C2701" s="1780">
        <v>1.8588579999999999</v>
      </c>
      <c r="D2701" s="1781">
        <v>1208.24704</v>
      </c>
      <c r="E2701" s="1489"/>
      <c r="F2701" s="1490"/>
      <c r="G2701" s="1490"/>
    </row>
    <row r="2702" spans="2:7">
      <c r="B2702" s="817" t="s">
        <v>2661</v>
      </c>
      <c r="C2702" s="1780">
        <v>0.15087999999999999</v>
      </c>
      <c r="D2702" s="1781">
        <v>98.071999999999989</v>
      </c>
      <c r="E2702" s="1489"/>
      <c r="F2702" s="1490"/>
      <c r="G2702" s="1490"/>
    </row>
    <row r="2703" spans="2:7">
      <c r="B2703" s="817" t="s">
        <v>2662</v>
      </c>
      <c r="C2703" s="1780">
        <v>0.30175999999999997</v>
      </c>
      <c r="D2703" s="1781">
        <v>196.14399999999998</v>
      </c>
      <c r="E2703" s="1489"/>
      <c r="F2703" s="1490"/>
      <c r="G2703" s="1490"/>
    </row>
    <row r="2704" spans="2:7">
      <c r="B2704" s="817" t="s">
        <v>2663</v>
      </c>
      <c r="C2704" s="1780">
        <v>0.60351999999999995</v>
      </c>
      <c r="D2704" s="1781">
        <v>392.28799999999995</v>
      </c>
      <c r="E2704" s="1489"/>
      <c r="F2704" s="1490"/>
      <c r="G2704" s="1490"/>
    </row>
    <row r="2705" spans="2:7">
      <c r="B2705" s="817" t="s">
        <v>2664</v>
      </c>
      <c r="C2705" s="1780">
        <v>0.90527999999999997</v>
      </c>
      <c r="D2705" s="1781">
        <v>588.43200000000002</v>
      </c>
      <c r="E2705" s="1489"/>
      <c r="F2705" s="1490"/>
      <c r="G2705" s="1490"/>
    </row>
    <row r="2706" spans="2:7">
      <c r="B2706" s="817" t="s">
        <v>2665</v>
      </c>
      <c r="C2706" s="1780">
        <v>1.062228</v>
      </c>
      <c r="D2706" s="1781">
        <v>690.42687999999998</v>
      </c>
      <c r="E2706" s="1489"/>
      <c r="F2706" s="1490"/>
      <c r="G2706" s="1490"/>
    </row>
    <row r="2707" spans="2:7">
      <c r="B2707" s="817" t="s">
        <v>2666</v>
      </c>
      <c r="C2707" s="1780">
        <v>1.5932599999999999</v>
      </c>
      <c r="D2707" s="1781">
        <v>1035.64032</v>
      </c>
      <c r="E2707" s="1489"/>
      <c r="F2707" s="1490"/>
      <c r="G2707" s="1490"/>
    </row>
    <row r="2708" spans="2:7">
      <c r="B2708" s="817" t="s">
        <v>2667</v>
      </c>
      <c r="C2708" s="1780">
        <v>1.8588579999999999</v>
      </c>
      <c r="D2708" s="1781">
        <v>1208.24704</v>
      </c>
      <c r="E2708" s="1489"/>
      <c r="F2708" s="1490"/>
      <c r="G2708" s="1490"/>
    </row>
    <row r="2709" spans="2:7">
      <c r="B2709" s="817" t="s">
        <v>2668</v>
      </c>
      <c r="C2709" s="1780">
        <v>2.0912152499999999</v>
      </c>
      <c r="D2709" s="1781">
        <v>1359.2899124999999</v>
      </c>
      <c r="E2709" s="1489"/>
      <c r="F2709" s="1490"/>
      <c r="G2709" s="1490"/>
    </row>
    <row r="2710" spans="2:7">
      <c r="B2710" s="817" t="s">
        <v>2680</v>
      </c>
      <c r="C2710" s="1780">
        <v>0.15087999999999999</v>
      </c>
      <c r="D2710" s="1781">
        <v>98.071999999999989</v>
      </c>
      <c r="E2710" s="1489"/>
      <c r="F2710" s="1490"/>
      <c r="G2710" s="1490"/>
    </row>
    <row r="2711" spans="2:7">
      <c r="B2711" s="817" t="s">
        <v>2681</v>
      </c>
      <c r="C2711" s="1780">
        <v>0.30175999999999997</v>
      </c>
      <c r="D2711" s="1781">
        <v>196.14399999999998</v>
      </c>
      <c r="E2711" s="1489"/>
      <c r="F2711" s="1490"/>
      <c r="G2711" s="1490"/>
    </row>
    <row r="2712" spans="2:7">
      <c r="B2712" s="817" t="s">
        <v>2682</v>
      </c>
      <c r="C2712" s="1780">
        <v>0.60351999999999995</v>
      </c>
      <c r="D2712" s="1781">
        <v>392.28799999999995</v>
      </c>
      <c r="E2712" s="1489"/>
      <c r="F2712" s="1490"/>
      <c r="G2712" s="1490"/>
    </row>
    <row r="2713" spans="2:7">
      <c r="B2713" s="817" t="s">
        <v>2683</v>
      </c>
      <c r="C2713" s="1780">
        <v>0.30175999999999997</v>
      </c>
      <c r="D2713" s="1781">
        <v>196.14399999999998</v>
      </c>
      <c r="E2713" s="1489"/>
      <c r="F2713" s="1490"/>
      <c r="G2713" s="1490"/>
    </row>
    <row r="2714" spans="2:7">
      <c r="B2714" s="817" t="s">
        <v>2700</v>
      </c>
      <c r="C2714" s="1780">
        <v>0.15087999999999999</v>
      </c>
      <c r="D2714" s="1781">
        <v>98.071999999999989</v>
      </c>
      <c r="E2714" s="1489"/>
      <c r="F2714" s="1490"/>
      <c r="G2714" s="1490"/>
    </row>
    <row r="2715" spans="2:7">
      <c r="B2715" s="817" t="s">
        <v>2701</v>
      </c>
      <c r="C2715" s="1780">
        <v>0.60351999999999995</v>
      </c>
      <c r="D2715" s="1781">
        <v>392.28799999999995</v>
      </c>
      <c r="E2715" s="1489"/>
      <c r="F2715" s="1490"/>
      <c r="G2715" s="1490"/>
    </row>
    <row r="2716" spans="2:7">
      <c r="B2716" s="817" t="s">
        <v>2702</v>
      </c>
      <c r="C2716" s="1780">
        <v>0.90527999999999997</v>
      </c>
      <c r="D2716" s="1781">
        <v>588.43200000000002</v>
      </c>
      <c r="E2716" s="1489"/>
      <c r="F2716" s="1490"/>
      <c r="G2716" s="1490"/>
    </row>
    <row r="2717" spans="2:7">
      <c r="B2717" s="817" t="s">
        <v>2703</v>
      </c>
      <c r="C2717" s="1896">
        <v>1.1950065000000001</v>
      </c>
      <c r="D2717" s="1897">
        <v>776.75422500000002</v>
      </c>
      <c r="E2717" s="1489"/>
      <c r="F2717" s="1490"/>
      <c r="G2717" s="1490"/>
    </row>
    <row r="2718" spans="2:7">
      <c r="B2718" s="817" t="s">
        <v>2704</v>
      </c>
      <c r="C2718" s="1780">
        <v>2.3898899999999998</v>
      </c>
      <c r="D2718" s="1781">
        <v>1359.2899124999999</v>
      </c>
      <c r="E2718" s="1489"/>
      <c r="F2718" s="1490"/>
      <c r="G2718" s="1490"/>
    </row>
    <row r="2719" spans="2:7">
      <c r="B2719" s="817" t="s">
        <v>2677</v>
      </c>
      <c r="C2719" s="1780">
        <v>0.30175999999999997</v>
      </c>
      <c r="D2719" s="1781">
        <v>196.14399999999998</v>
      </c>
      <c r="E2719" s="1489"/>
      <c r="F2719" s="1490"/>
      <c r="G2719" s="1490"/>
    </row>
    <row r="2720" spans="2:7">
      <c r="B2720" s="817" t="s">
        <v>2678</v>
      </c>
      <c r="C2720" s="1780">
        <v>0.60351999999999995</v>
      </c>
      <c r="D2720" s="1781">
        <v>392.28799999999995</v>
      </c>
      <c r="E2720" s="1489"/>
      <c r="F2720" s="1490"/>
      <c r="G2720" s="1490"/>
    </row>
    <row r="2721" spans="2:7">
      <c r="B2721" s="817" t="s">
        <v>2679</v>
      </c>
      <c r="C2721" s="1780">
        <v>1.062228</v>
      </c>
      <c r="D2721" s="1781">
        <v>690.42687999999998</v>
      </c>
      <c r="E2721" s="1489"/>
      <c r="F2721" s="1490"/>
      <c r="G2721" s="1490"/>
    </row>
    <row r="2722" spans="2:7">
      <c r="B2722" s="817" t="s">
        <v>2670</v>
      </c>
      <c r="C2722" s="1780">
        <v>0.30175999999999997</v>
      </c>
      <c r="D2722" s="1781">
        <v>196.14399999999998</v>
      </c>
      <c r="E2722" s="1489"/>
      <c r="F2722" s="1490"/>
      <c r="G2722" s="1490"/>
    </row>
    <row r="2723" spans="2:7">
      <c r="B2723" s="817" t="s">
        <v>2671</v>
      </c>
      <c r="C2723" s="1780">
        <v>0.60351999999999995</v>
      </c>
      <c r="D2723" s="1781">
        <v>392.28799999999995</v>
      </c>
      <c r="E2723" s="1489"/>
      <c r="F2723" s="1490"/>
      <c r="G2723" s="1490"/>
    </row>
    <row r="2724" spans="2:7">
      <c r="B2724" s="817" t="s">
        <v>2672</v>
      </c>
      <c r="C2724" s="1780">
        <v>1.062228</v>
      </c>
      <c r="D2724" s="1781">
        <v>690.42687999999998</v>
      </c>
      <c r="E2724" s="1489"/>
      <c r="F2724" s="1490"/>
      <c r="G2724" s="1490"/>
    </row>
    <row r="2725" spans="2:7">
      <c r="B2725" s="817" t="s">
        <v>2673</v>
      </c>
      <c r="C2725" s="1780">
        <v>2.124374</v>
      </c>
      <c r="D2725" s="1781">
        <v>1380.85376</v>
      </c>
      <c r="E2725" s="1489"/>
      <c r="F2725" s="1490"/>
      <c r="G2725" s="1490"/>
    </row>
    <row r="2726" spans="2:7">
      <c r="B2726" s="1850" t="s">
        <v>2639</v>
      </c>
      <c r="C2726" s="1780">
        <v>7.5439999999999993E-2</v>
      </c>
      <c r="D2726" s="1781">
        <v>49.035999999999994</v>
      </c>
      <c r="E2726" s="1489"/>
      <c r="F2726" s="1490"/>
      <c r="G2726" s="1490"/>
    </row>
    <row r="2727" spans="2:7">
      <c r="B2727" s="1850" t="s">
        <v>2375</v>
      </c>
      <c r="C2727" s="1780">
        <v>0.15087999999999999</v>
      </c>
      <c r="D2727" s="1781">
        <v>98.071999999999989</v>
      </c>
      <c r="E2727" s="1489"/>
      <c r="F2727" s="1490"/>
      <c r="G2727" s="1490"/>
    </row>
    <row r="2728" spans="2:7">
      <c r="B2728" s="817" t="s">
        <v>2376</v>
      </c>
      <c r="C2728" s="1780">
        <v>0.30175999999999997</v>
      </c>
      <c r="D2728" s="1781">
        <v>196.14399999999998</v>
      </c>
      <c r="E2728" s="1489"/>
      <c r="F2728" s="1490"/>
      <c r="G2728" s="1490"/>
    </row>
    <row r="2729" spans="2:7">
      <c r="B2729" s="1850" t="s">
        <v>2377</v>
      </c>
      <c r="C2729" s="1780">
        <v>0.60351999999999995</v>
      </c>
      <c r="D2729" s="1781">
        <v>392.28799999999995</v>
      </c>
      <c r="E2729" s="1489"/>
      <c r="F2729" s="1490"/>
      <c r="G2729" s="1490"/>
    </row>
    <row r="2730" spans="2:7">
      <c r="B2730" s="1850" t="s">
        <v>2378</v>
      </c>
      <c r="C2730" s="1780">
        <v>1.062228</v>
      </c>
      <c r="D2730" s="1781">
        <v>690.42687999999998</v>
      </c>
      <c r="E2730" s="1489"/>
      <c r="F2730" s="1490"/>
      <c r="G2730" s="1490"/>
    </row>
    <row r="2731" spans="2:7">
      <c r="B2731" s="1856" t="s">
        <v>2710</v>
      </c>
      <c r="C2731" s="1780">
        <v>2.5227299999999997</v>
      </c>
      <c r="D2731" s="1781">
        <v>1639.7638399999998</v>
      </c>
      <c r="E2731" s="1489"/>
      <c r="F2731" s="1490"/>
      <c r="G2731" s="1490"/>
    </row>
    <row r="2732" spans="2:7">
      <c r="B2732" s="1856" t="s">
        <v>2641</v>
      </c>
      <c r="C2732" s="1780">
        <v>2.5227299999999997</v>
      </c>
      <c r="D2732" s="1781">
        <v>1639.7638399999998</v>
      </c>
      <c r="E2732" s="1489"/>
      <c r="F2732" s="1490"/>
      <c r="G2732" s="1490"/>
    </row>
    <row r="2733" spans="2:7">
      <c r="B2733" s="1850" t="s">
        <v>2635</v>
      </c>
      <c r="C2733" s="1780">
        <v>7.5439999999999993E-2</v>
      </c>
      <c r="D2733" s="1781">
        <v>49.035999999999994</v>
      </c>
      <c r="E2733" s="1489"/>
      <c r="F2733" s="1490"/>
      <c r="G2733" s="1490"/>
    </row>
    <row r="2734" spans="2:7">
      <c r="B2734" s="1850" t="s">
        <v>2636</v>
      </c>
      <c r="C2734" s="1780">
        <v>0.15087999999999999</v>
      </c>
      <c r="D2734" s="1781">
        <v>98.071999999999989</v>
      </c>
      <c r="E2734" s="1489"/>
      <c r="F2734" s="1490"/>
      <c r="G2734" s="1490"/>
    </row>
    <row r="2735" spans="2:7">
      <c r="B2735" s="1850" t="s">
        <v>2409</v>
      </c>
      <c r="C2735" s="1780">
        <v>0.30175999999999997</v>
      </c>
      <c r="D2735" s="1781">
        <v>196.14399999999998</v>
      </c>
      <c r="E2735" s="1489"/>
      <c r="F2735" s="1490"/>
      <c r="G2735" s="1490"/>
    </row>
    <row r="2736" spans="2:7">
      <c r="B2736" s="1850" t="s">
        <v>2387</v>
      </c>
      <c r="C2736" s="1780">
        <v>0.60351999999999995</v>
      </c>
      <c r="D2736" s="1781">
        <v>392.28799999999995</v>
      </c>
      <c r="E2736" s="1489"/>
      <c r="F2736" s="1490"/>
      <c r="G2736" s="1490"/>
    </row>
    <row r="2737" spans="2:7">
      <c r="B2737" s="1850" t="s">
        <v>2637</v>
      </c>
      <c r="C2737" s="1780">
        <v>1.062228</v>
      </c>
      <c r="D2737" s="1781">
        <v>690.42687999999998</v>
      </c>
      <c r="E2737" s="1489"/>
      <c r="F2737" s="1490"/>
      <c r="G2737" s="1490"/>
    </row>
    <row r="2738" spans="2:7">
      <c r="B2738" s="1850" t="s">
        <v>2638</v>
      </c>
      <c r="C2738" s="1780">
        <v>1.9916159999999998</v>
      </c>
      <c r="D2738" s="1781">
        <v>1294.5503999999999</v>
      </c>
      <c r="E2738" s="1489"/>
      <c r="F2738" s="1490"/>
      <c r="G2738" s="1490"/>
    </row>
    <row r="2739" spans="2:7">
      <c r="B2739" s="1850" t="s">
        <v>2626</v>
      </c>
      <c r="C2739" s="1780">
        <v>7.5439999999999993E-2</v>
      </c>
      <c r="D2739" s="1781">
        <v>49.035999999999994</v>
      </c>
      <c r="E2739" s="1489"/>
      <c r="F2739" s="1490"/>
      <c r="G2739" s="1490"/>
    </row>
    <row r="2740" spans="2:7">
      <c r="B2740" s="1850" t="s">
        <v>2627</v>
      </c>
      <c r="C2740" s="1780">
        <v>0.15087999999999999</v>
      </c>
      <c r="D2740" s="1781">
        <v>98.071999999999989</v>
      </c>
      <c r="E2740" s="1489"/>
      <c r="F2740" s="1490"/>
      <c r="G2740" s="1490"/>
    </row>
    <row r="2741" spans="2:7">
      <c r="B2741" s="1850" t="s">
        <v>2628</v>
      </c>
      <c r="C2741" s="1780">
        <v>0.30175999999999997</v>
      </c>
      <c r="D2741" s="1781">
        <v>196.14399999999998</v>
      </c>
      <c r="E2741" s="1489"/>
      <c r="F2741" s="1490"/>
      <c r="G2741" s="1490"/>
    </row>
    <row r="2742" spans="2:7">
      <c r="B2742" s="1850" t="s">
        <v>2629</v>
      </c>
      <c r="C2742" s="1780">
        <v>0.45263999999999999</v>
      </c>
      <c r="D2742" s="1781">
        <v>294.21600000000001</v>
      </c>
      <c r="E2742" s="1489"/>
      <c r="F2742" s="1490"/>
      <c r="G2742" s="1490"/>
    </row>
    <row r="2743" spans="2:7">
      <c r="B2743" s="1850" t="s">
        <v>2388</v>
      </c>
      <c r="C2743" s="1780">
        <v>0.60351999999999995</v>
      </c>
      <c r="D2743" s="1781">
        <v>392.28799999999995</v>
      </c>
      <c r="E2743" s="1489"/>
      <c r="F2743" s="1490"/>
      <c r="G2743" s="1490"/>
    </row>
    <row r="2744" spans="2:7">
      <c r="B2744" s="1850" t="s">
        <v>2630</v>
      </c>
      <c r="C2744" s="1780">
        <v>0.90527999999999997</v>
      </c>
      <c r="D2744" s="1781">
        <v>588.43200000000002</v>
      </c>
      <c r="E2744" s="1489"/>
      <c r="F2744" s="1490"/>
      <c r="G2744" s="1490"/>
    </row>
    <row r="2745" spans="2:7">
      <c r="B2745" s="1850" t="s">
        <v>2442</v>
      </c>
      <c r="C2745" s="1780">
        <v>1.062228</v>
      </c>
      <c r="D2745" s="1781">
        <v>690.42687999999998</v>
      </c>
      <c r="E2745" s="1489"/>
      <c r="F2745" s="1490"/>
      <c r="G2745" s="1490"/>
    </row>
    <row r="2746" spans="2:7">
      <c r="B2746" s="1850" t="s">
        <v>2443</v>
      </c>
      <c r="C2746" s="1780">
        <v>2.124374</v>
      </c>
      <c r="D2746" s="1781">
        <v>1380.85376</v>
      </c>
      <c r="E2746" s="1489"/>
      <c r="F2746" s="1490"/>
      <c r="G2746" s="1490"/>
    </row>
    <row r="2747" spans="2:7">
      <c r="B2747" s="1850" t="s">
        <v>2631</v>
      </c>
      <c r="C2747" s="1780">
        <v>7.5439999999999993E-2</v>
      </c>
      <c r="D2747" s="1781">
        <v>49.035999999999994</v>
      </c>
      <c r="E2747" s="1489"/>
      <c r="F2747" s="1490"/>
      <c r="G2747" s="1490"/>
    </row>
    <row r="2748" spans="2:7">
      <c r="B2748" s="1850" t="s">
        <v>2632</v>
      </c>
      <c r="C2748" s="1780">
        <v>0.15087999999999999</v>
      </c>
      <c r="D2748" s="1781">
        <v>98.071999999999989</v>
      </c>
      <c r="E2748" s="1489"/>
      <c r="F2748" s="1490"/>
      <c r="G2748" s="1490"/>
    </row>
    <row r="2749" spans="2:7">
      <c r="B2749" s="1850" t="s">
        <v>2633</v>
      </c>
      <c r="C2749" s="1780">
        <v>0.30175999999999997</v>
      </c>
      <c r="D2749" s="1781">
        <v>196.14399999999998</v>
      </c>
      <c r="E2749" s="1489"/>
      <c r="F2749" s="1490"/>
      <c r="G2749" s="1490"/>
    </row>
    <row r="2750" spans="2:7">
      <c r="B2750" s="1850" t="s">
        <v>2634</v>
      </c>
      <c r="C2750" s="1780">
        <v>0.45263999999999999</v>
      </c>
      <c r="D2750" s="1781">
        <v>294.21600000000001</v>
      </c>
      <c r="E2750" s="1489"/>
      <c r="F2750" s="1490"/>
      <c r="G2750" s="1490"/>
    </row>
    <row r="2751" spans="2:7">
      <c r="B2751" s="1850" t="s">
        <v>2389</v>
      </c>
      <c r="C2751" s="1780">
        <v>0.60351999999999995</v>
      </c>
      <c r="D2751" s="1781">
        <v>392.28799999999995</v>
      </c>
      <c r="E2751" s="1489"/>
      <c r="F2751" s="1490"/>
      <c r="G2751" s="1490"/>
    </row>
    <row r="2752" spans="2:7">
      <c r="B2752" s="1850" t="s">
        <v>2390</v>
      </c>
      <c r="C2752" s="1780">
        <v>0.90527999999999997</v>
      </c>
      <c r="D2752" s="1781">
        <v>588.43200000000002</v>
      </c>
      <c r="E2752" s="1489"/>
      <c r="F2752" s="1490"/>
      <c r="G2752" s="1490"/>
    </row>
    <row r="2753" spans="2:7">
      <c r="B2753" s="1850" t="s">
        <v>2391</v>
      </c>
      <c r="C2753" s="1780">
        <v>1.062228</v>
      </c>
      <c r="D2753" s="1781">
        <v>690.42687999999998</v>
      </c>
      <c r="E2753" s="1489"/>
      <c r="F2753" s="1490"/>
      <c r="G2753" s="1490"/>
    </row>
    <row r="2754" spans="2:7">
      <c r="B2754" s="1850" t="s">
        <v>2392</v>
      </c>
      <c r="C2754" s="1780">
        <v>2.124374</v>
      </c>
      <c r="D2754" s="1781">
        <v>1380.85376</v>
      </c>
      <c r="E2754" s="1489"/>
      <c r="F2754" s="1490"/>
      <c r="G2754" s="1490"/>
    </row>
    <row r="2755" spans="2:7">
      <c r="B2755" s="1850" t="s">
        <v>2381</v>
      </c>
      <c r="C2755" s="1780">
        <v>0.30175999999999997</v>
      </c>
      <c r="D2755" s="1781">
        <v>196.14399999999998</v>
      </c>
      <c r="E2755" s="1489"/>
      <c r="F2755" s="1490"/>
      <c r="G2755" s="1490"/>
    </row>
    <row r="2756" spans="2:7">
      <c r="B2756" s="1850" t="s">
        <v>2404</v>
      </c>
      <c r="C2756" s="1780">
        <v>0.60351999999999995</v>
      </c>
      <c r="D2756" s="1781">
        <v>392.28799999999995</v>
      </c>
      <c r="E2756" s="1489"/>
      <c r="F2756" s="1490"/>
      <c r="G2756" s="1490"/>
    </row>
    <row r="2757" spans="2:7">
      <c r="B2757" s="1850" t="s">
        <v>2382</v>
      </c>
      <c r="C2757" s="1780">
        <v>1.062228</v>
      </c>
      <c r="D2757" s="1781">
        <v>690.42687999999998</v>
      </c>
      <c r="E2757" s="1489"/>
      <c r="F2757" s="1490"/>
      <c r="G2757" s="1490"/>
    </row>
    <row r="2758" spans="2:7">
      <c r="B2758" s="1850" t="s">
        <v>2669</v>
      </c>
      <c r="C2758" s="1780">
        <v>0.90527999999999997</v>
      </c>
      <c r="D2758" s="1781">
        <v>588.4319999999999</v>
      </c>
      <c r="E2758" s="1489"/>
      <c r="F2758" s="1490"/>
      <c r="G2758" s="1490"/>
    </row>
    <row r="2759" spans="2:7">
      <c r="B2759" s="1850" t="s">
        <v>2405</v>
      </c>
      <c r="C2759" s="1780">
        <v>1.5932599999999999</v>
      </c>
      <c r="D2759" s="1781">
        <v>1035.64032</v>
      </c>
      <c r="E2759" s="1489"/>
      <c r="F2759" s="1490"/>
      <c r="G2759" s="1490"/>
    </row>
    <row r="2760" spans="2:7">
      <c r="B2760" s="1850" t="s">
        <v>2406</v>
      </c>
      <c r="C2760" s="1780">
        <v>1.9916159999999998</v>
      </c>
      <c r="D2760" s="1781">
        <v>1294.5503999999999</v>
      </c>
      <c r="E2760" s="1489"/>
      <c r="F2760" s="1490"/>
      <c r="G2760" s="1490"/>
    </row>
    <row r="2761" spans="2:7">
      <c r="B2761" s="817" t="s">
        <v>2689</v>
      </c>
      <c r="C2761" s="1780">
        <v>7.5439999999999993E-2</v>
      </c>
      <c r="D2761" s="1781">
        <v>49.035999999999994</v>
      </c>
      <c r="E2761" s="1489"/>
      <c r="F2761" s="1490"/>
      <c r="G2761" s="1490"/>
    </row>
    <row r="2762" spans="2:7">
      <c r="B2762" s="817" t="s">
        <v>2690</v>
      </c>
      <c r="C2762" s="1780">
        <v>0.15087999999999999</v>
      </c>
      <c r="D2762" s="1781">
        <v>98.071999999999989</v>
      </c>
      <c r="E2762" s="1489"/>
      <c r="F2762" s="1490"/>
      <c r="G2762" s="1490"/>
    </row>
    <row r="2763" spans="2:7">
      <c r="B2763" s="817" t="s">
        <v>2691</v>
      </c>
      <c r="C2763" s="1780">
        <v>0.30175999999999997</v>
      </c>
      <c r="D2763" s="1781">
        <v>196.14399999999998</v>
      </c>
      <c r="E2763" s="1489"/>
      <c r="F2763" s="1490"/>
      <c r="G2763" s="1490"/>
    </row>
    <row r="2764" spans="2:7">
      <c r="B2764" s="817" t="s">
        <v>2692</v>
      </c>
      <c r="C2764" s="1780">
        <v>0.60351999999999995</v>
      </c>
      <c r="D2764" s="1781">
        <v>392.28799999999995</v>
      </c>
      <c r="E2764" s="1489"/>
      <c r="F2764" s="1490"/>
      <c r="G2764" s="1490"/>
    </row>
    <row r="2765" spans="2:7">
      <c r="B2765" s="817" t="s">
        <v>2693</v>
      </c>
      <c r="C2765" s="1780">
        <v>1.062228</v>
      </c>
      <c r="D2765" s="1781">
        <v>690.42687999999998</v>
      </c>
      <c r="E2765" s="1489"/>
      <c r="F2765" s="1490"/>
      <c r="G2765" s="1490"/>
    </row>
    <row r="2766" spans="2:7">
      <c r="B2766" s="817" t="s">
        <v>2694</v>
      </c>
      <c r="C2766" s="1780">
        <v>7.5439999999999993E-2</v>
      </c>
      <c r="D2766" s="1781">
        <v>49.035999999999994</v>
      </c>
      <c r="E2766" s="1489"/>
      <c r="F2766" s="1490"/>
      <c r="G2766" s="1490"/>
    </row>
    <row r="2767" spans="2:7">
      <c r="B2767" s="817" t="s">
        <v>2695</v>
      </c>
      <c r="C2767" s="1780">
        <v>0.15087999999999999</v>
      </c>
      <c r="D2767" s="1781">
        <v>98.071999999999989</v>
      </c>
      <c r="E2767" s="1489"/>
      <c r="F2767" s="1490"/>
      <c r="G2767" s="1490"/>
    </row>
    <row r="2768" spans="2:7">
      <c r="B2768" s="817" t="s">
        <v>2696</v>
      </c>
      <c r="C2768" s="1780">
        <v>0.30175999999999997</v>
      </c>
      <c r="D2768" s="1781">
        <v>196.14399999999998</v>
      </c>
      <c r="E2768" s="1489"/>
      <c r="F2768" s="1490"/>
      <c r="G2768" s="1490"/>
    </row>
    <row r="2769" spans="2:7">
      <c r="B2769" s="817" t="s">
        <v>2697</v>
      </c>
      <c r="C2769" s="1780">
        <v>0.60351999999999995</v>
      </c>
      <c r="D2769" s="1781">
        <v>392.28799999999995</v>
      </c>
      <c r="E2769" s="1489"/>
      <c r="F2769" s="1490"/>
      <c r="G2769" s="1490"/>
    </row>
    <row r="2770" spans="2:7">
      <c r="B2770" s="817" t="s">
        <v>2698</v>
      </c>
      <c r="C2770" s="1780">
        <v>1.062228</v>
      </c>
      <c r="D2770" s="1781">
        <v>690.42687999999998</v>
      </c>
      <c r="E2770" s="1489"/>
      <c r="F2770" s="1490"/>
      <c r="G2770" s="1490"/>
    </row>
    <row r="2771" spans="2:7">
      <c r="B2771" s="817" t="s">
        <v>2699</v>
      </c>
      <c r="C2771" s="1859">
        <v>0.60351999999999995</v>
      </c>
      <c r="D2771" s="1860">
        <v>392.28799999999995</v>
      </c>
      <c r="E2771" s="1489"/>
      <c r="F2771" s="1490"/>
      <c r="G2771" s="1490"/>
    </row>
    <row r="2772" spans="2:7">
      <c r="B2772" s="817" t="s">
        <v>2593</v>
      </c>
      <c r="C2772" s="1780">
        <v>3.7719999999999997E-2</v>
      </c>
      <c r="D2772" s="1781">
        <v>24.517999999999997</v>
      </c>
      <c r="E2772" s="1489"/>
      <c r="F2772" s="1490"/>
      <c r="G2772" s="1490"/>
    </row>
    <row r="2773" spans="2:7">
      <c r="B2773" s="817" t="s">
        <v>2594</v>
      </c>
      <c r="C2773" s="1780">
        <v>3.7719999999999997E-2</v>
      </c>
      <c r="D2773" s="1781">
        <v>24.517999999999997</v>
      </c>
      <c r="E2773" s="1489"/>
      <c r="F2773" s="1490"/>
      <c r="G2773" s="1490"/>
    </row>
    <row r="2774" spans="2:7">
      <c r="B2774" s="817" t="s">
        <v>2595</v>
      </c>
      <c r="C2774" s="1780">
        <v>7.5439999999999993E-2</v>
      </c>
      <c r="D2774" s="1781">
        <v>49.035999999999994</v>
      </c>
      <c r="E2774" s="1489"/>
      <c r="F2774" s="1490"/>
      <c r="G2774" s="1490"/>
    </row>
    <row r="2775" spans="2:7">
      <c r="B2775" s="817" t="s">
        <v>2596</v>
      </c>
      <c r="C2775" s="1780">
        <v>0.15087999999999999</v>
      </c>
      <c r="D2775" s="1781">
        <v>98.071999999999989</v>
      </c>
      <c r="E2775" s="1489"/>
      <c r="F2775" s="1490"/>
      <c r="G2775" s="1490"/>
    </row>
    <row r="2776" spans="2:7">
      <c r="B2776" s="817" t="s">
        <v>2597</v>
      </c>
      <c r="C2776" s="1780">
        <v>0.30175999999999997</v>
      </c>
      <c r="D2776" s="1781">
        <v>196.14399999999998</v>
      </c>
      <c r="E2776" s="1489"/>
      <c r="F2776" s="1490"/>
      <c r="G2776" s="1490"/>
    </row>
    <row r="2777" spans="2:7">
      <c r="B2777" s="817" t="s">
        <v>2599</v>
      </c>
      <c r="C2777" s="1780">
        <v>3.7719999999999997E-2</v>
      </c>
      <c r="D2777" s="1781">
        <v>24.517999999999997</v>
      </c>
      <c r="E2777" s="1489"/>
      <c r="F2777" s="1490"/>
      <c r="G2777" s="1490"/>
    </row>
    <row r="2778" spans="2:7">
      <c r="B2778" s="817" t="s">
        <v>2600</v>
      </c>
      <c r="C2778" s="1780">
        <v>7.5439999999999993E-2</v>
      </c>
      <c r="D2778" s="1781">
        <v>49.035999999999994</v>
      </c>
      <c r="E2778" s="1489"/>
      <c r="F2778" s="1490"/>
      <c r="G2778" s="1490"/>
    </row>
    <row r="2779" spans="2:7">
      <c r="B2779" s="817" t="s">
        <v>2601</v>
      </c>
      <c r="C2779" s="1780">
        <v>0.15087999999999999</v>
      </c>
      <c r="D2779" s="1781">
        <v>98.071999999999989</v>
      </c>
      <c r="E2779" s="1489"/>
      <c r="F2779" s="1490"/>
      <c r="G2779" s="1490"/>
    </row>
    <row r="2780" spans="2:7">
      <c r="B2780" s="817" t="s">
        <v>2602</v>
      </c>
      <c r="C2780" s="1780">
        <v>0.30175999999999997</v>
      </c>
      <c r="D2780" s="1781">
        <v>196.14399999999998</v>
      </c>
      <c r="E2780" s="1489"/>
      <c r="F2780" s="1490"/>
      <c r="G2780" s="1490"/>
    </row>
    <row r="2781" spans="2:7">
      <c r="B2781" s="817" t="s">
        <v>2603</v>
      </c>
      <c r="C2781" s="1780">
        <v>0.60351999999999995</v>
      </c>
      <c r="D2781" s="1781">
        <v>392.28799999999995</v>
      </c>
      <c r="E2781" s="1489"/>
      <c r="F2781" s="1490"/>
      <c r="G2781" s="1490"/>
    </row>
    <row r="2782" spans="2:7">
      <c r="B2782" s="817" t="s">
        <v>2653</v>
      </c>
      <c r="C2782" s="1862">
        <v>0.12914999999999999</v>
      </c>
      <c r="D2782" s="1781">
        <v>83.965785999999994</v>
      </c>
      <c r="E2782" s="1489"/>
      <c r="F2782" s="1490"/>
      <c r="G2782" s="1490"/>
    </row>
    <row r="2783" spans="2:7">
      <c r="B2783" s="817" t="s">
        <v>2654</v>
      </c>
      <c r="C2783" s="1862">
        <v>0.258382</v>
      </c>
      <c r="D2783" s="1781">
        <v>167.93149</v>
      </c>
      <c r="E2783" s="1489"/>
      <c r="F2783" s="1490"/>
      <c r="G2783" s="1490"/>
    </row>
    <row r="2784" spans="2:7">
      <c r="B2784" s="817" t="s">
        <v>2655</v>
      </c>
      <c r="C2784" s="1862">
        <v>0.51668199999999997</v>
      </c>
      <c r="D2784" s="1781">
        <v>335.86297999999999</v>
      </c>
      <c r="E2784" s="1489"/>
      <c r="F2784" s="1490"/>
      <c r="G2784" s="1490"/>
    </row>
    <row r="2785" spans="2:7">
      <c r="B2785" s="817" t="s">
        <v>2656</v>
      </c>
      <c r="C2785" s="1862">
        <v>0.77506399999999998</v>
      </c>
      <c r="D2785" s="1781">
        <v>503.79455199999995</v>
      </c>
      <c r="E2785" s="1489"/>
      <c r="F2785" s="1490"/>
      <c r="G2785" s="1490"/>
    </row>
    <row r="2786" spans="2:7">
      <c r="B2786" s="817" t="s">
        <v>2657</v>
      </c>
      <c r="C2786" s="1862">
        <v>0.90937999999999997</v>
      </c>
      <c r="D2786" s="1781">
        <v>591.11889399999995</v>
      </c>
      <c r="E2786" s="1489"/>
      <c r="F2786" s="1490"/>
      <c r="G2786" s="1490"/>
    </row>
    <row r="2787" spans="2:7">
      <c r="B2787" s="817" t="s">
        <v>2728</v>
      </c>
      <c r="C2787" s="1862">
        <v>1.3641519999999998</v>
      </c>
      <c r="D2787" s="1781">
        <v>886.67838199999994</v>
      </c>
      <c r="E2787" s="1489"/>
      <c r="F2787" s="1490"/>
      <c r="G2787" s="1490"/>
    </row>
    <row r="2788" spans="2:7">
      <c r="B2788" s="817" t="s">
        <v>2705</v>
      </c>
      <c r="C2788" s="1780">
        <v>0.60351999999999995</v>
      </c>
      <c r="D2788" s="1781">
        <v>392.28799999999995</v>
      </c>
      <c r="E2788" s="1489"/>
      <c r="F2788" s="1490"/>
      <c r="G2788" s="1490"/>
    </row>
    <row r="2789" spans="2:7">
      <c r="B2789" s="817" t="s">
        <v>2741</v>
      </c>
      <c r="C2789" s="1780">
        <v>1.062228</v>
      </c>
      <c r="D2789" s="1781">
        <v>690.42687999999998</v>
      </c>
      <c r="E2789" s="1489"/>
      <c r="F2789" s="1490"/>
      <c r="G2789" s="1490"/>
    </row>
    <row r="2790" spans="2:7">
      <c r="B2790" s="817" t="s">
        <v>2740</v>
      </c>
      <c r="C2790" s="1780">
        <v>0.15087999999999999</v>
      </c>
      <c r="D2790" s="1781">
        <v>98.071999999999989</v>
      </c>
      <c r="E2790" s="1489"/>
      <c r="F2790" s="1490"/>
      <c r="G2790" s="1490"/>
    </row>
    <row r="2791" spans="2:7">
      <c r="B2791" s="817" t="s">
        <v>2729</v>
      </c>
      <c r="C2791" s="1780">
        <v>0.90527999999999997</v>
      </c>
      <c r="D2791" s="1781">
        <v>588.43200000000002</v>
      </c>
      <c r="E2791" s="1489"/>
      <c r="F2791" s="1490"/>
      <c r="G2791" s="1490"/>
    </row>
    <row r="2792" spans="2:7">
      <c r="B2792" s="817" t="s">
        <v>2730</v>
      </c>
      <c r="C2792" s="1780">
        <v>1.5932599999999999</v>
      </c>
      <c r="D2792" s="1781">
        <v>1035.64032</v>
      </c>
      <c r="E2792" s="1489"/>
      <c r="F2792" s="1490"/>
      <c r="G2792" s="1490"/>
    </row>
    <row r="2793" spans="2:7">
      <c r="B2793" s="817" t="s">
        <v>2731</v>
      </c>
      <c r="C2793" s="1780">
        <v>3.1866019999999997</v>
      </c>
      <c r="D2793" s="1781">
        <v>2071.2806399999999</v>
      </c>
      <c r="E2793" s="1489"/>
      <c r="F2793" s="1490"/>
      <c r="G2793" s="1490"/>
    </row>
    <row r="2794" spans="2:7">
      <c r="B2794" s="817" t="s">
        <v>2732</v>
      </c>
      <c r="C2794" s="1780">
        <v>6.3732039999999994</v>
      </c>
      <c r="D2794" s="1781">
        <v>4142.5612799999999</v>
      </c>
      <c r="E2794" s="1489"/>
      <c r="F2794" s="1490"/>
      <c r="G2794" s="1490"/>
    </row>
    <row r="2795" spans="2:7">
      <c r="B2795" s="817" t="s">
        <v>2733</v>
      </c>
      <c r="C2795" s="1780">
        <v>0.90527999999999997</v>
      </c>
      <c r="D2795" s="1781">
        <v>588.43200000000002</v>
      </c>
      <c r="E2795" s="1489"/>
      <c r="F2795" s="1490"/>
      <c r="G2795" s="1490"/>
    </row>
    <row r="2796" spans="2:7">
      <c r="B2796" s="817" t="s">
        <v>2734</v>
      </c>
      <c r="C2796" s="1780">
        <v>1.5932599999999999</v>
      </c>
      <c r="D2796" s="1781">
        <v>1035.64032</v>
      </c>
      <c r="E2796" s="1489"/>
      <c r="F2796" s="1490"/>
      <c r="G2796" s="1490"/>
    </row>
    <row r="2797" spans="2:7">
      <c r="B2797" s="817" t="s">
        <v>2735</v>
      </c>
      <c r="C2797" s="1780">
        <v>3.1866019999999997</v>
      </c>
      <c r="D2797" s="1781">
        <v>2071.2806399999999</v>
      </c>
      <c r="E2797" s="1489"/>
      <c r="F2797" s="1490"/>
      <c r="G2797" s="1490"/>
    </row>
    <row r="2798" spans="2:7">
      <c r="B2798" s="817" t="s">
        <v>2736</v>
      </c>
      <c r="C2798" s="1780">
        <v>6.3732039999999994</v>
      </c>
      <c r="D2798" s="1781">
        <v>4142.5612799999999</v>
      </c>
      <c r="E2798" s="1489"/>
      <c r="F2798" s="1490"/>
      <c r="G2798" s="1490"/>
    </row>
    <row r="2799" spans="2:7">
      <c r="B2799" s="1850" t="s">
        <v>2674</v>
      </c>
      <c r="C2799" s="1859">
        <v>0.30175999999999997</v>
      </c>
      <c r="D2799" s="1860">
        <v>196.14399999999998</v>
      </c>
      <c r="E2799" s="1489"/>
      <c r="F2799" s="1490"/>
      <c r="G2799" s="1490"/>
    </row>
    <row r="2800" spans="2:7">
      <c r="B2800" s="1850" t="s">
        <v>2675</v>
      </c>
      <c r="C2800" s="1859">
        <v>0.60351999999999995</v>
      </c>
      <c r="D2800" s="1860">
        <v>392.28799999999995</v>
      </c>
      <c r="E2800" s="1489"/>
      <c r="F2800" s="1490"/>
      <c r="G2800" s="1490"/>
    </row>
    <row r="2801" spans="2:7">
      <c r="B2801" s="1850" t="s">
        <v>2676</v>
      </c>
      <c r="C2801" s="1859">
        <v>1.062228</v>
      </c>
      <c r="D2801" s="1860">
        <v>690.44820000000004</v>
      </c>
      <c r="E2801" s="1489"/>
      <c r="F2801" s="1490"/>
      <c r="G2801" s="1490"/>
    </row>
    <row r="2804" spans="2:7">
      <c r="B2804" s="1800" t="s">
        <v>2875</v>
      </c>
      <c r="C2804" s="1805"/>
      <c r="D2804" s="1805"/>
    </row>
    <row r="2805" spans="2:7">
      <c r="B2805" s="548" t="s">
        <v>2876</v>
      </c>
      <c r="C2805" s="1466" t="s">
        <v>2877</v>
      </c>
      <c r="D2805" s="1466" t="s">
        <v>2878</v>
      </c>
    </row>
    <row r="2806" spans="2:7">
      <c r="B2806" s="1803" t="s">
        <v>2879</v>
      </c>
      <c r="C2806" s="1804" t="s">
        <v>2880</v>
      </c>
      <c r="D2806" s="1804">
        <f>0.101*1.3</f>
        <v>0.1313</v>
      </c>
    </row>
    <row r="2807" spans="2:7">
      <c r="B2807" s="1803" t="s">
        <v>2881</v>
      </c>
      <c r="C2807" s="1804" t="s">
        <v>2882</v>
      </c>
      <c r="D2807" s="1804">
        <f>0.202*1.3</f>
        <v>0.2626</v>
      </c>
    </row>
    <row r="2808" spans="2:7">
      <c r="B2808" s="1803" t="s">
        <v>2883</v>
      </c>
      <c r="C2808" s="1804" t="s">
        <v>2884</v>
      </c>
      <c r="D2808" s="1804">
        <f>0.4041*1.3</f>
        <v>0.52533000000000007</v>
      </c>
    </row>
  </sheetData>
  <sheetProtection algorithmName="SHA-512" hashValue="VWktOzBpa0Ro0wHs65CRIYNo93Mj/jg3SnPnJ200kzLnI2JXAxktZB4mLNxCmwsWG7ZRKsvftfy5ppzm/OVASQ==" saltValue="aPJPiPBZ5Zsyhq/4YUrbfw==" spinCount="100000" sheet="1" formatColumns="0" sort="0"/>
  <mergeCells count="177">
    <mergeCell ref="B1073:D1073"/>
    <mergeCell ref="W6:X7"/>
    <mergeCell ref="B2388:B2435"/>
    <mergeCell ref="B2436:B2483"/>
    <mergeCell ref="B2484:B2531"/>
    <mergeCell ref="I1284:K1284"/>
    <mergeCell ref="Z968:Z969"/>
    <mergeCell ref="Z1022:Z1023"/>
    <mergeCell ref="Z1183:Z1184"/>
    <mergeCell ref="Z1239:Z1244"/>
    <mergeCell ref="Z1153:Z1154"/>
    <mergeCell ref="Z1188:Z1190"/>
    <mergeCell ref="B2332:B2359"/>
    <mergeCell ref="B2360:B2387"/>
    <mergeCell ref="B1229:F1229"/>
    <mergeCell ref="B2300:B2309"/>
    <mergeCell ref="B2310:B2319"/>
    <mergeCell ref="B2320:B2329"/>
    <mergeCell ref="E2050:G2050"/>
    <mergeCell ref="C1285:H1285"/>
    <mergeCell ref="B2030:C2030"/>
    <mergeCell ref="B2008:C2008"/>
    <mergeCell ref="B2022:C2022"/>
    <mergeCell ref="G2138:G2141"/>
    <mergeCell ref="H2138:H2141"/>
    <mergeCell ref="AC359:AE359"/>
    <mergeCell ref="AG359:AI359"/>
    <mergeCell ref="Z1092:Z1093"/>
    <mergeCell ref="Z1132:Z1133"/>
    <mergeCell ref="Z1235:Z1237"/>
    <mergeCell ref="Z1230:Z1231"/>
    <mergeCell ref="Z1191:Z1192"/>
    <mergeCell ref="Z1194:Z1209"/>
    <mergeCell ref="B1885:C1885"/>
    <mergeCell ref="B1742:E1742"/>
    <mergeCell ref="B1710:E1710"/>
    <mergeCell ref="B1671:E1671"/>
    <mergeCell ref="B1658:E1658"/>
    <mergeCell ref="C1284:H1284"/>
    <mergeCell ref="C1102:E1102"/>
    <mergeCell ref="B995:C995"/>
    <mergeCell ref="B1019:C1019"/>
    <mergeCell ref="B1010:C1010"/>
    <mergeCell ref="B1085:D1085"/>
    <mergeCell ref="B1636:E1636"/>
    <mergeCell ref="B1131:E1131"/>
    <mergeCell ref="B1066:D1066"/>
    <mergeCell ref="D1212:D1227"/>
    <mergeCell ref="E1034:E1036"/>
    <mergeCell ref="C1289:H1289"/>
    <mergeCell ref="B1182:C1182"/>
    <mergeCell ref="C1112:E1112"/>
    <mergeCell ref="C1864:F1864"/>
    <mergeCell ref="C1882:D1882"/>
    <mergeCell ref="B1726:E1726"/>
    <mergeCell ref="B1774:E1774"/>
    <mergeCell ref="C1637:C1641"/>
    <mergeCell ref="B2290:B2299"/>
    <mergeCell ref="B2233:D2233"/>
    <mergeCell ref="B2238:D2238"/>
    <mergeCell ref="B1790:E1790"/>
    <mergeCell ref="Z1232:Z1233"/>
    <mergeCell ref="D1808:E1808"/>
    <mergeCell ref="B1629:E1629"/>
    <mergeCell ref="B1622:E1622"/>
    <mergeCell ref="B1353:E1353"/>
    <mergeCell ref="B1296:E1296"/>
    <mergeCell ref="C1291:H1291"/>
    <mergeCell ref="C1288:H1288"/>
    <mergeCell ref="C1287:H1287"/>
    <mergeCell ref="C1286:H1286"/>
    <mergeCell ref="C1290:H1290"/>
    <mergeCell ref="B2143:C2143"/>
    <mergeCell ref="B2121:C2121"/>
    <mergeCell ref="J1885:L1885"/>
    <mergeCell ref="B2288:B2289"/>
    <mergeCell ref="B2114:C2114"/>
    <mergeCell ref="B2102:C2102"/>
    <mergeCell ref="B2110:C2110"/>
    <mergeCell ref="B2265:C2265"/>
    <mergeCell ref="B2276:C2276"/>
    <mergeCell ref="D1194:D1208"/>
    <mergeCell ref="B1210:F1210"/>
    <mergeCell ref="B1173:C1173"/>
    <mergeCell ref="B1192:F1192"/>
    <mergeCell ref="B1189:C1189"/>
    <mergeCell ref="B1187:C1187"/>
    <mergeCell ref="B2281:C2281"/>
    <mergeCell ref="B2090:C2090"/>
    <mergeCell ref="B2094:C2094"/>
    <mergeCell ref="B2058:C2058"/>
    <mergeCell ref="B2178:C2178"/>
    <mergeCell ref="B2026:C2026"/>
    <mergeCell ref="B2055:C2055"/>
    <mergeCell ref="B2050:D2050"/>
    <mergeCell ref="B2171:C2171"/>
    <mergeCell ref="B2198:C2198"/>
    <mergeCell ref="B2203:C2203"/>
    <mergeCell ref="B2231:C2231"/>
    <mergeCell ref="B2242:C2242"/>
    <mergeCell ref="B2253:C2253"/>
    <mergeCell ref="B2259:C2259"/>
    <mergeCell ref="B2136:C2136"/>
    <mergeCell ref="B2049:C2049"/>
    <mergeCell ref="B2182:C2182"/>
    <mergeCell ref="B1996:C1996"/>
    <mergeCell ref="B1963:C1963"/>
    <mergeCell ref="C1292:H1292"/>
    <mergeCell ref="C1293:H1293"/>
    <mergeCell ref="A2:I3"/>
    <mergeCell ref="B1063:C1063"/>
    <mergeCell ref="B1038:E1038"/>
    <mergeCell ref="B984:D984"/>
    <mergeCell ref="B1000:D1000"/>
    <mergeCell ref="B1032:D1032"/>
    <mergeCell ref="B1006:C1006"/>
    <mergeCell ref="B1027:D1027"/>
    <mergeCell ref="B345:E345"/>
    <mergeCell ref="C346:D346"/>
    <mergeCell ref="F346:G346"/>
    <mergeCell ref="C347:D347"/>
    <mergeCell ref="F347:G347"/>
    <mergeCell ref="B547:D547"/>
    <mergeCell ref="F353:G353"/>
    <mergeCell ref="B1047:E1047"/>
    <mergeCell ref="C354:D354"/>
    <mergeCell ref="B1504:D1504"/>
    <mergeCell ref="F1212:F1227"/>
    <mergeCell ref="F1194:F1208"/>
    <mergeCell ref="B1914:E1914"/>
    <mergeCell ref="C355:D355"/>
    <mergeCell ref="B990:D990"/>
    <mergeCell ref="C348:D348"/>
    <mergeCell ref="E360:H360"/>
    <mergeCell ref="C349:D349"/>
    <mergeCell ref="F349:G349"/>
    <mergeCell ref="F348:G348"/>
    <mergeCell ref="AA9:AA10"/>
    <mergeCell ref="C359:D359"/>
    <mergeCell ref="C351:D351"/>
    <mergeCell ref="C352:D352"/>
    <mergeCell ref="F351:G351"/>
    <mergeCell ref="F352:G352"/>
    <mergeCell ref="C350:D350"/>
    <mergeCell ref="B176:D176"/>
    <mergeCell ref="F359:G359"/>
    <mergeCell ref="F350:G350"/>
    <mergeCell ref="C353:D353"/>
    <mergeCell ref="C356:D356"/>
    <mergeCell ref="F356:G356"/>
    <mergeCell ref="B1842:D1842"/>
    <mergeCell ref="B1684:E1684"/>
    <mergeCell ref="B1697:E1697"/>
    <mergeCell ref="B2546:F2546"/>
    <mergeCell ref="C1092:E1092"/>
    <mergeCell ref="B1186:D1186"/>
    <mergeCell ref="B1188:C1188"/>
    <mergeCell ref="C1712:C1717"/>
    <mergeCell ref="C1728:C1733"/>
    <mergeCell ref="Z1879:Z1886"/>
    <mergeCell ref="Z2004:Z2005"/>
    <mergeCell ref="Z1888:Z1889"/>
    <mergeCell ref="Z1826:Z1827"/>
    <mergeCell ref="B1976:C1976"/>
    <mergeCell ref="B1810:E1810"/>
    <mergeCell ref="B1817:E1817"/>
    <mergeCell ref="Z1969:Z1976"/>
    <mergeCell ref="B2002:C2002"/>
    <mergeCell ref="Z1891:Z1894"/>
    <mergeCell ref="Z1895:Z1967"/>
    <mergeCell ref="B1881:E1881"/>
    <mergeCell ref="B1826:E1826"/>
    <mergeCell ref="B1970:C1970"/>
    <mergeCell ref="F1882:G1882"/>
    <mergeCell ref="C1883:D1883"/>
    <mergeCell ref="F1883:G1883"/>
    <mergeCell ref="B1831:D1831"/>
  </mergeCells>
  <pageMargins left="0.70866141732283461" right="0.70866141732283461" top="0.94488188976377951" bottom="0.74803149606299213" header="0.31496062992125984" footer="0.31496062992125984"/>
  <pageSetup paperSize="9" scale="16" fitToHeight="0" orientation="landscape" r:id="rId1"/>
  <headerFooter>
    <oddHeader>&amp;L&amp;"-,Gras"&amp;K000000Liste des Prix des Produits cloud Flexible Engine - EUROPE&amp;RConfidentiel</oddHeader>
    <oddFooter>&amp;L&amp;"Calibri"&amp;11&amp;K000000Page &amp;P/&amp;N&amp;C&amp;"Calibri"&amp;11&amp;K000000&amp;"Calibri"&amp;11&amp;K000000&amp;9S.A.S au capital de 108 277 000 € - SIRET 518 928 924 00050 - APE 6202A - TVA 28518928924&amp;R&amp;G&amp;L&amp;"Calibri"&amp;11&amp;K000000Page &amp;P/&amp;N&amp;C&amp;"Calibri"&amp;11&amp;K000000&amp;"Calibri"&amp;11&amp;K000000&amp;9S.A.</oddFooter>
  </headerFooter>
  <customProperties>
    <customPr name="Guid" r:id="rId2"/>
  </customProperties>
  <drawing r:id="rId3"/>
  <legacyDrawing r:id="rId4"/>
  <legacyDrawingHF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2B878-0742-43E1-B631-590FB55B3C94}">
  <sheetPr>
    <tabColor rgb="FF00B0F0"/>
  </sheetPr>
  <dimension ref="A1:R248"/>
  <sheetViews>
    <sheetView topLeftCell="Q1" zoomScale="60" zoomScaleNormal="60" workbookViewId="0">
      <selection activeCell="A66" sqref="A1:P1048576"/>
    </sheetView>
  </sheetViews>
  <sheetFormatPr baseColWidth="10" defaultRowHeight="14.4"/>
  <cols>
    <col min="1" max="1" width="34.33203125" hidden="1" customWidth="1"/>
    <col min="2" max="2" width="31.21875" hidden="1" customWidth="1"/>
    <col min="3" max="3" width="42.5546875" hidden="1" customWidth="1"/>
    <col min="4" max="5" width="11.5546875" hidden="1" customWidth="1"/>
    <col min="6" max="6" width="41.33203125" hidden="1" customWidth="1"/>
    <col min="7" max="7" width="20.44140625" hidden="1" customWidth="1"/>
    <col min="8" max="8" width="34.6640625" hidden="1" customWidth="1"/>
    <col min="9" max="9" width="14.21875" style="1805" hidden="1" customWidth="1"/>
    <col min="10" max="10" width="23.21875" style="1805" hidden="1" customWidth="1"/>
    <col min="11" max="11" width="27.5546875" hidden="1" customWidth="1"/>
    <col min="12" max="12" width="19.6640625" hidden="1" customWidth="1"/>
    <col min="13" max="16" width="11.5546875" hidden="1" customWidth="1"/>
    <col min="18" max="18" width="11.33203125" bestFit="1" customWidth="1"/>
  </cols>
  <sheetData>
    <row r="1" spans="1:12">
      <c r="A1" t="s">
        <v>2820</v>
      </c>
      <c r="K1" s="1490"/>
      <c r="L1" s="1490"/>
    </row>
    <row r="2" spans="1:12">
      <c r="K2" s="1490"/>
      <c r="L2" s="1490"/>
    </row>
    <row r="3" spans="1:12">
      <c r="A3" s="717" t="s">
        <v>2821</v>
      </c>
      <c r="F3" s="2075" t="s">
        <v>2837</v>
      </c>
      <c r="G3" s="2075"/>
      <c r="H3" s="2075" t="s">
        <v>2838</v>
      </c>
      <c r="I3" s="2075"/>
      <c r="J3" s="2075"/>
      <c r="K3" s="2075"/>
      <c r="L3" s="1490"/>
    </row>
    <row r="4" spans="1:12" ht="24" customHeight="1">
      <c r="F4" s="1816" t="s">
        <v>2825</v>
      </c>
      <c r="G4" s="1816" t="s">
        <v>2826</v>
      </c>
      <c r="H4" s="1816" t="s">
        <v>2413</v>
      </c>
      <c r="I4" s="1816" t="s">
        <v>2827</v>
      </c>
      <c r="J4" s="1816" t="s">
        <v>2855</v>
      </c>
      <c r="K4" s="1816" t="s">
        <v>2856</v>
      </c>
      <c r="L4" s="1490"/>
    </row>
    <row r="5" spans="1:12">
      <c r="A5" s="1805" t="s">
        <v>2822</v>
      </c>
      <c r="F5" s="1814" t="s">
        <v>1385</v>
      </c>
      <c r="G5" s="1815">
        <v>8.6661699999999993</v>
      </c>
      <c r="H5" s="1814" t="s">
        <v>2609</v>
      </c>
      <c r="I5" s="1817">
        <v>14.82</v>
      </c>
      <c r="J5" s="1817">
        <v>11.32</v>
      </c>
      <c r="K5" s="1817">
        <v>12.98</v>
      </c>
      <c r="L5" s="1490"/>
    </row>
    <row r="6" spans="1:12">
      <c r="A6" s="1805" t="s">
        <v>2823</v>
      </c>
      <c r="F6" s="1814" t="s">
        <v>1386</v>
      </c>
      <c r="G6" s="1815">
        <v>22.09449</v>
      </c>
      <c r="H6" s="1814" t="s">
        <v>2606</v>
      </c>
      <c r="I6" s="1817">
        <v>25.64</v>
      </c>
      <c r="J6" s="1817">
        <v>19.579999999999998</v>
      </c>
      <c r="K6" s="1817">
        <v>22.46</v>
      </c>
      <c r="L6" s="1490"/>
    </row>
    <row r="7" spans="1:12">
      <c r="A7" s="1812" t="s">
        <v>2824</v>
      </c>
      <c r="F7" s="1814" t="s">
        <v>1387</v>
      </c>
      <c r="G7" s="1815">
        <v>44.188980000000001</v>
      </c>
      <c r="H7" s="1814" t="s">
        <v>2394</v>
      </c>
      <c r="I7" s="1817">
        <v>51.35</v>
      </c>
      <c r="J7" s="1817">
        <v>39.22</v>
      </c>
      <c r="K7" s="1817">
        <v>44.99</v>
      </c>
      <c r="L7" s="1490"/>
    </row>
    <row r="8" spans="1:12">
      <c r="F8" s="1814" t="s">
        <v>1388</v>
      </c>
      <c r="G8" s="1815">
        <v>44.188980000000001</v>
      </c>
      <c r="H8" s="1814" t="s">
        <v>2607</v>
      </c>
      <c r="I8" s="1817">
        <v>57.11</v>
      </c>
      <c r="J8" s="1817">
        <v>43.61</v>
      </c>
      <c r="K8" s="1817">
        <v>50.03</v>
      </c>
      <c r="L8" s="1490"/>
    </row>
    <row r="9" spans="1:12">
      <c r="F9" s="1814" t="s">
        <v>1389</v>
      </c>
      <c r="G9" s="1815">
        <v>83.983580000000003</v>
      </c>
      <c r="H9" s="1814" t="s">
        <v>2395</v>
      </c>
      <c r="I9" s="1817">
        <v>102.78</v>
      </c>
      <c r="J9" s="1817">
        <v>78.489999999999995</v>
      </c>
      <c r="K9" s="1817">
        <v>90.04</v>
      </c>
      <c r="L9" s="1490"/>
    </row>
    <row r="10" spans="1:12">
      <c r="F10" s="1814" t="s">
        <v>1390</v>
      </c>
      <c r="G10" s="1815">
        <v>83.983580000000003</v>
      </c>
      <c r="H10" s="1814" t="s">
        <v>2366</v>
      </c>
      <c r="I10" s="1817">
        <v>114.29</v>
      </c>
      <c r="J10" s="1817">
        <v>87.28</v>
      </c>
      <c r="K10" s="1817">
        <v>100.12</v>
      </c>
      <c r="L10" s="1490"/>
    </row>
    <row r="11" spans="1:12">
      <c r="F11" s="1814" t="s">
        <v>1391</v>
      </c>
      <c r="G11" s="1815">
        <v>159.56503000000001</v>
      </c>
      <c r="H11" s="1814" t="s">
        <v>2396</v>
      </c>
      <c r="I11" s="1817">
        <v>205.64</v>
      </c>
      <c r="J11" s="1817">
        <v>157.04</v>
      </c>
      <c r="K11" s="1817">
        <v>180.14</v>
      </c>
      <c r="L11" s="1490"/>
    </row>
    <row r="12" spans="1:12">
      <c r="F12" s="1814" t="s">
        <v>1392</v>
      </c>
      <c r="G12" s="1815">
        <v>159.56503000000001</v>
      </c>
      <c r="H12" s="1814" t="s">
        <v>2367</v>
      </c>
      <c r="I12" s="1817">
        <v>228.59</v>
      </c>
      <c r="J12" s="1817">
        <v>174.57</v>
      </c>
      <c r="K12" s="1817">
        <v>200.24</v>
      </c>
      <c r="L12" s="1490"/>
    </row>
    <row r="13" spans="1:12">
      <c r="F13" s="1814" t="s">
        <v>1393</v>
      </c>
      <c r="G13" s="1815">
        <v>303.37252999999998</v>
      </c>
      <c r="H13" s="1814" t="s">
        <v>2393</v>
      </c>
      <c r="I13" s="1817">
        <v>411.35</v>
      </c>
      <c r="J13" s="1817">
        <v>314.14</v>
      </c>
      <c r="K13" s="1817">
        <v>360.34</v>
      </c>
      <c r="L13" s="1490"/>
    </row>
    <row r="14" spans="1:12">
      <c r="F14" s="1814" t="s">
        <v>1394</v>
      </c>
      <c r="G14" s="1815">
        <v>303.37252999999998</v>
      </c>
      <c r="H14" s="1814" t="s">
        <v>2368</v>
      </c>
      <c r="I14" s="1817">
        <v>457.1</v>
      </c>
      <c r="J14" s="1817">
        <v>349.08</v>
      </c>
      <c r="K14" s="1817">
        <v>400.42</v>
      </c>
      <c r="L14" s="1490"/>
    </row>
    <row r="15" spans="1:12">
      <c r="F15" s="1814" t="s">
        <v>1395</v>
      </c>
      <c r="G15" s="1815">
        <v>606.74505999999997</v>
      </c>
      <c r="H15" s="1814" t="s">
        <v>2637</v>
      </c>
      <c r="I15" s="1817">
        <v>1012.08</v>
      </c>
      <c r="J15" s="1817">
        <v>716.09</v>
      </c>
      <c r="K15" s="1817">
        <v>829.75</v>
      </c>
      <c r="L15" s="1490"/>
    </row>
    <row r="16" spans="1:12">
      <c r="F16" s="1814" t="s">
        <v>1396</v>
      </c>
      <c r="G16" s="1815">
        <v>606.74505999999997</v>
      </c>
      <c r="H16" s="1814" t="s">
        <v>2378</v>
      </c>
      <c r="I16" s="1817">
        <v>1120.48</v>
      </c>
      <c r="J16" s="1817">
        <v>792.78</v>
      </c>
      <c r="K16" s="1817">
        <v>918.62</v>
      </c>
      <c r="L16" s="1490"/>
    </row>
    <row r="17" spans="6:12">
      <c r="F17" s="1814" t="s">
        <v>1397</v>
      </c>
      <c r="G17" s="1815">
        <v>1137.6257700000001</v>
      </c>
      <c r="H17" s="1814" t="s">
        <v>2638</v>
      </c>
      <c r="I17" s="1817">
        <v>1897.75</v>
      </c>
      <c r="J17" s="1817">
        <v>1342.73</v>
      </c>
      <c r="K17" s="1817">
        <v>1555.87</v>
      </c>
      <c r="L17" s="1490"/>
    </row>
    <row r="18" spans="6:12">
      <c r="F18" s="1814" t="s">
        <v>1398</v>
      </c>
      <c r="G18" s="1815">
        <v>1440.9983</v>
      </c>
      <c r="H18" s="1814" t="s">
        <v>2641</v>
      </c>
      <c r="I18" s="1817">
        <v>2661.16</v>
      </c>
      <c r="J18" s="1817">
        <v>1882.87</v>
      </c>
      <c r="K18" s="1817">
        <v>2181.7399999999998</v>
      </c>
      <c r="L18" s="1490"/>
    </row>
    <row r="19" spans="6:12">
      <c r="F19" s="1814" t="s">
        <v>1828</v>
      </c>
      <c r="G19" s="1815">
        <v>44.188980000000001</v>
      </c>
      <c r="H19" s="1814" t="s">
        <v>2626</v>
      </c>
      <c r="I19" s="1817">
        <v>65.67</v>
      </c>
      <c r="J19" s="1817">
        <v>46.46</v>
      </c>
      <c r="K19" s="1817">
        <v>53.84</v>
      </c>
      <c r="L19" s="1490"/>
    </row>
    <row r="20" spans="6:12">
      <c r="F20" s="1814" t="s">
        <v>1401</v>
      </c>
      <c r="G20" s="1815">
        <v>44.188980000000001</v>
      </c>
      <c r="H20" s="1814" t="s">
        <v>2631</v>
      </c>
      <c r="I20" s="1817">
        <v>72.73</v>
      </c>
      <c r="J20" s="1817">
        <v>51.46</v>
      </c>
      <c r="K20" s="1817">
        <v>59.63</v>
      </c>
      <c r="L20" s="1490"/>
    </row>
    <row r="21" spans="6:12">
      <c r="F21" s="1814" t="s">
        <v>1402</v>
      </c>
      <c r="G21" s="1815">
        <v>83.983580000000003</v>
      </c>
      <c r="H21" s="1814" t="s">
        <v>2627</v>
      </c>
      <c r="I21" s="1817">
        <v>131.33000000000001</v>
      </c>
      <c r="J21" s="1817">
        <v>92.92</v>
      </c>
      <c r="K21" s="1817">
        <v>107.67</v>
      </c>
      <c r="L21" s="1490"/>
    </row>
    <row r="22" spans="6:12">
      <c r="F22" s="1814" t="s">
        <v>1403</v>
      </c>
      <c r="G22" s="1815">
        <v>83.983580000000003</v>
      </c>
      <c r="H22" s="1814" t="s">
        <v>2632</v>
      </c>
      <c r="I22" s="1817">
        <v>145.44999999999999</v>
      </c>
      <c r="J22" s="1817">
        <v>102.91</v>
      </c>
      <c r="K22" s="1817">
        <v>119.25</v>
      </c>
      <c r="L22" s="1490"/>
    </row>
    <row r="23" spans="6:12">
      <c r="F23" s="1814" t="s">
        <v>2515</v>
      </c>
      <c r="G23" s="1815">
        <v>88.389275999999995</v>
      </c>
      <c r="H23" s="1814" t="s">
        <v>2643</v>
      </c>
      <c r="I23" s="1817">
        <v>191.61</v>
      </c>
      <c r="J23" s="1817">
        <v>135.57</v>
      </c>
      <c r="K23" s="1817">
        <v>157.09</v>
      </c>
      <c r="L23" s="1490"/>
    </row>
    <row r="24" spans="6:12">
      <c r="F24" s="1814" t="s">
        <v>1404</v>
      </c>
      <c r="G24" s="1815">
        <v>159.56503000000001</v>
      </c>
      <c r="H24" s="1814" t="s">
        <v>2628</v>
      </c>
      <c r="I24" s="1817">
        <v>262.66000000000003</v>
      </c>
      <c r="J24" s="1817">
        <v>185.84</v>
      </c>
      <c r="K24" s="1817">
        <v>215.34</v>
      </c>
      <c r="L24" s="1490"/>
    </row>
    <row r="25" spans="6:12">
      <c r="F25" s="1814" t="s">
        <v>1405</v>
      </c>
      <c r="G25" s="1815">
        <v>159.56503000000001</v>
      </c>
      <c r="H25" s="1814" t="s">
        <v>2633</v>
      </c>
      <c r="I25" s="1817">
        <v>290.91000000000003</v>
      </c>
      <c r="J25" s="1817">
        <v>205.83</v>
      </c>
      <c r="K25" s="1817">
        <v>238.5</v>
      </c>
      <c r="L25" s="1490"/>
    </row>
    <row r="26" spans="6:12">
      <c r="F26" s="1814" t="s">
        <v>2516</v>
      </c>
      <c r="G26" s="1815">
        <v>176.77855199999999</v>
      </c>
      <c r="H26" s="1814" t="s">
        <v>2383</v>
      </c>
      <c r="I26" s="1817">
        <v>383.15</v>
      </c>
      <c r="J26" s="1817">
        <v>271.08999999999997</v>
      </c>
      <c r="K26" s="1817">
        <v>314.12</v>
      </c>
      <c r="L26" s="1490"/>
    </row>
    <row r="27" spans="6:12">
      <c r="F27" s="1814" t="s">
        <v>1406</v>
      </c>
      <c r="G27" s="1815">
        <v>303.37252999999998</v>
      </c>
      <c r="H27" s="1814" t="s">
        <v>2388</v>
      </c>
      <c r="I27" s="1817">
        <v>525.4</v>
      </c>
      <c r="J27" s="1817">
        <v>371.74</v>
      </c>
      <c r="K27" s="1817">
        <v>430.75</v>
      </c>
      <c r="L27" s="1490"/>
    </row>
    <row r="28" spans="6:12">
      <c r="F28" s="1814" t="s">
        <v>1399</v>
      </c>
      <c r="G28" s="1815">
        <v>303.37252999999998</v>
      </c>
      <c r="H28" s="1814" t="s">
        <v>2389</v>
      </c>
      <c r="I28" s="1817">
        <v>581.74</v>
      </c>
      <c r="J28" s="1817">
        <v>411.61</v>
      </c>
      <c r="K28" s="1817">
        <v>476.94</v>
      </c>
      <c r="L28" s="1490"/>
    </row>
    <row r="29" spans="6:12">
      <c r="F29" s="1814" t="s">
        <v>1407</v>
      </c>
      <c r="G29" s="1815">
        <v>606.74505999999997</v>
      </c>
      <c r="H29" s="1814" t="s">
        <v>2442</v>
      </c>
      <c r="I29" s="1817">
        <v>1050.8699999999999</v>
      </c>
      <c r="J29" s="1817">
        <v>743.53</v>
      </c>
      <c r="K29" s="1817">
        <v>861.55</v>
      </c>
      <c r="L29" s="1490"/>
    </row>
    <row r="30" spans="6:12">
      <c r="F30" s="1814" t="s">
        <v>1400</v>
      </c>
      <c r="G30" s="1815">
        <v>606.74505999999997</v>
      </c>
      <c r="H30" s="1814" t="s">
        <v>2391</v>
      </c>
      <c r="I30" s="1817">
        <v>1163.49</v>
      </c>
      <c r="J30" s="1817">
        <v>823.21</v>
      </c>
      <c r="K30" s="1817">
        <v>953.88</v>
      </c>
      <c r="L30" s="1490"/>
    </row>
    <row r="31" spans="6:12">
      <c r="F31" s="1814" t="s">
        <v>2518</v>
      </c>
      <c r="G31" s="1815">
        <v>707.11420799999996</v>
      </c>
      <c r="H31" s="1814" t="s">
        <v>2385</v>
      </c>
      <c r="I31" s="1817">
        <v>1532.66</v>
      </c>
      <c r="J31" s="1817">
        <v>1084.4100000000001</v>
      </c>
      <c r="K31" s="1817">
        <v>1256.54</v>
      </c>
      <c r="L31" s="1490"/>
    </row>
    <row r="32" spans="6:12">
      <c r="F32" s="1814" t="s">
        <v>1408</v>
      </c>
      <c r="G32" s="1815">
        <v>1213.4901199999999</v>
      </c>
      <c r="H32" s="1814" t="s">
        <v>2443</v>
      </c>
      <c r="I32" s="1817">
        <v>2101.88</v>
      </c>
      <c r="J32" s="1817">
        <v>1487.16</v>
      </c>
      <c r="K32" s="1817">
        <v>1723.22</v>
      </c>
      <c r="L32" s="1490"/>
    </row>
    <row r="33" spans="1:12">
      <c r="F33" s="1814" t="s">
        <v>1409</v>
      </c>
      <c r="G33" s="1815">
        <v>1213.4901199999999</v>
      </c>
      <c r="H33" s="1814" t="s">
        <v>2392</v>
      </c>
      <c r="I33" s="1817">
        <v>2326.98</v>
      </c>
      <c r="J33" s="1817">
        <v>1646.43</v>
      </c>
      <c r="K33" s="1817">
        <v>1907.76</v>
      </c>
      <c r="L33" s="1490"/>
    </row>
    <row r="34" spans="1:12">
      <c r="F34" s="1814" t="s">
        <v>2519</v>
      </c>
      <c r="G34" s="1815">
        <v>1414.2284159999999</v>
      </c>
      <c r="H34" s="1814" t="s">
        <v>2386</v>
      </c>
      <c r="I34" s="1817">
        <v>3065.32</v>
      </c>
      <c r="J34" s="1817">
        <v>2168.83</v>
      </c>
      <c r="K34" s="1817">
        <v>2513.09</v>
      </c>
      <c r="L34" s="1490"/>
    </row>
    <row r="35" spans="1:12">
      <c r="K35" s="1490"/>
      <c r="L35" s="1490"/>
    </row>
    <row r="36" spans="1:12">
      <c r="K36" s="1490"/>
      <c r="L36" s="1490"/>
    </row>
    <row r="37" spans="1:12">
      <c r="A37" s="717" t="s">
        <v>1384</v>
      </c>
      <c r="F37" s="2075" t="s">
        <v>2837</v>
      </c>
      <c r="G37" s="2075"/>
      <c r="H37" s="2075" t="s">
        <v>2838</v>
      </c>
      <c r="I37" s="2075"/>
      <c r="J37" s="2075"/>
      <c r="K37" s="2075"/>
      <c r="L37" s="1490"/>
    </row>
    <row r="38" spans="1:12">
      <c r="A38" s="1805" t="s">
        <v>2828</v>
      </c>
      <c r="F38" s="1816" t="s">
        <v>2825</v>
      </c>
      <c r="G38" s="1816" t="s">
        <v>2826</v>
      </c>
      <c r="H38" s="1816" t="s">
        <v>2413</v>
      </c>
      <c r="I38" s="1816" t="s">
        <v>2827</v>
      </c>
      <c r="J38" s="1816" t="s">
        <v>2855</v>
      </c>
      <c r="K38" s="1816" t="s">
        <v>2856</v>
      </c>
      <c r="L38" s="1490"/>
    </row>
    <row r="39" spans="1:12">
      <c r="A39" s="1805" t="s">
        <v>2829</v>
      </c>
      <c r="F39" s="1814" t="s">
        <v>1385</v>
      </c>
      <c r="G39" s="1815" t="e">
        <v>#N/A</v>
      </c>
      <c r="H39" s="1814" t="s">
        <v>2609</v>
      </c>
      <c r="I39" s="1817">
        <v>14.82</v>
      </c>
      <c r="J39" s="1817">
        <v>12.98</v>
      </c>
      <c r="K39" s="1817">
        <f>VLOOKUP(H39,'Liste de prix Public EUROPE'!$B$178:$J$343,9,FALSE)</f>
        <v>12.98</v>
      </c>
      <c r="L39" s="1490"/>
    </row>
    <row r="40" spans="1:12" ht="13.5" customHeight="1">
      <c r="A40" s="1812" t="s">
        <v>2824</v>
      </c>
      <c r="F40" s="1814" t="s">
        <v>1386</v>
      </c>
      <c r="G40" s="1815">
        <v>23.197800000000001</v>
      </c>
      <c r="H40" s="1814" t="s">
        <v>2606</v>
      </c>
      <c r="I40" s="1817">
        <v>25.64</v>
      </c>
      <c r="J40" s="1817">
        <v>22.46</v>
      </c>
      <c r="K40" s="1817">
        <f>VLOOKUP(H40,'Liste de prix Public EUROPE'!$B$178:$J$343,9,FALSE)</f>
        <v>22.46</v>
      </c>
      <c r="L40" s="1805"/>
    </row>
    <row r="41" spans="1:12">
      <c r="F41" s="1814" t="s">
        <v>1387</v>
      </c>
      <c r="G41" s="1815">
        <v>46.395600000000002</v>
      </c>
      <c r="H41" s="1814" t="s">
        <v>2394</v>
      </c>
      <c r="I41" s="1817">
        <v>51.35</v>
      </c>
      <c r="J41" s="1817">
        <v>44.99</v>
      </c>
      <c r="K41" s="1817">
        <f>VLOOKUP(H41,'Liste de prix Public EUROPE'!$B$178:$J$343,9,FALSE)</f>
        <v>44.99</v>
      </c>
      <c r="L41" s="1805"/>
    </row>
    <row r="42" spans="1:12">
      <c r="F42" s="1814" t="s">
        <v>1388</v>
      </c>
      <c r="G42" s="1815">
        <v>46.395600000000002</v>
      </c>
      <c r="H42" s="1814" t="s">
        <v>2607</v>
      </c>
      <c r="I42" s="1817">
        <v>57.11</v>
      </c>
      <c r="J42" s="1817">
        <v>50.03</v>
      </c>
      <c r="K42" s="1817">
        <f>VLOOKUP(H42,'Liste de prix Public EUROPE'!$B$178:$J$343,9,FALSE)</f>
        <v>50.03</v>
      </c>
      <c r="L42" s="1805"/>
    </row>
    <row r="43" spans="1:12">
      <c r="A43" t="s">
        <v>2830</v>
      </c>
      <c r="F43" s="1814" t="s">
        <v>1389</v>
      </c>
      <c r="G43" s="1815">
        <v>88.179930000000013</v>
      </c>
      <c r="H43" s="1814" t="s">
        <v>2395</v>
      </c>
      <c r="I43" s="1817">
        <v>102.78</v>
      </c>
      <c r="J43" s="1817">
        <v>90.04</v>
      </c>
      <c r="K43" s="1817">
        <f>VLOOKUP(H43,'Liste de prix Public EUROPE'!$B$178:$J$343,9,FALSE)</f>
        <v>90.04</v>
      </c>
      <c r="L43" s="1805"/>
    </row>
    <row r="44" spans="1:12">
      <c r="F44" s="1814" t="s">
        <v>1390</v>
      </c>
      <c r="G44" s="1815">
        <v>88.179930000000013</v>
      </c>
      <c r="H44" s="1814" t="s">
        <v>2366</v>
      </c>
      <c r="I44" s="1817">
        <v>114.29</v>
      </c>
      <c r="J44" s="1817">
        <v>100.12</v>
      </c>
      <c r="K44" s="1817">
        <f>VLOOKUP(H44,'Liste de prix Public EUROPE'!$B$178:$J$343,9,FALSE)</f>
        <v>100.12</v>
      </c>
      <c r="L44" s="1805"/>
    </row>
    <row r="45" spans="1:12">
      <c r="F45" s="1814" t="s">
        <v>1391</v>
      </c>
      <c r="G45" s="1815">
        <v>167.54281</v>
      </c>
      <c r="H45" s="1814" t="s">
        <v>2396</v>
      </c>
      <c r="I45" s="1817">
        <v>205.64</v>
      </c>
      <c r="J45" s="1817">
        <v>180.14</v>
      </c>
      <c r="K45" s="1817">
        <f>VLOOKUP(H45,'Liste de prix Public EUROPE'!$B$178:$J$343,9,FALSE)</f>
        <v>180.14</v>
      </c>
      <c r="L45" s="1805"/>
    </row>
    <row r="46" spans="1:12">
      <c r="F46" s="1814" t="s">
        <v>1392</v>
      </c>
      <c r="G46" s="1815">
        <v>167.54281</v>
      </c>
      <c r="H46" s="1814" t="s">
        <v>2367</v>
      </c>
      <c r="I46" s="1817">
        <v>228.59</v>
      </c>
      <c r="J46" s="1817">
        <v>200.24</v>
      </c>
      <c r="K46" s="1817">
        <f>VLOOKUP(H46,'Liste de prix Public EUROPE'!$B$178:$J$343,9,FALSE)</f>
        <v>200.24</v>
      </c>
      <c r="L46" s="1805"/>
    </row>
    <row r="47" spans="1:12">
      <c r="F47" s="1814" t="s">
        <v>1393</v>
      </c>
      <c r="G47" s="1815">
        <v>318.53597000000002</v>
      </c>
      <c r="H47" s="1814" t="s">
        <v>2393</v>
      </c>
      <c r="I47" s="1817">
        <v>411.35</v>
      </c>
      <c r="J47" s="1817">
        <v>360.34</v>
      </c>
      <c r="K47" s="1817">
        <f>VLOOKUP(H47,'Liste de prix Public EUROPE'!$B$178:$J$343,9,FALSE)</f>
        <v>360.34</v>
      </c>
      <c r="L47" s="1805"/>
    </row>
    <row r="48" spans="1:12">
      <c r="F48" s="1814" t="s">
        <v>1394</v>
      </c>
      <c r="G48" s="1815">
        <v>318.53597000000002</v>
      </c>
      <c r="H48" s="1814" t="s">
        <v>2368</v>
      </c>
      <c r="I48" s="1817">
        <v>457.1</v>
      </c>
      <c r="J48" s="1817">
        <v>400.42</v>
      </c>
      <c r="K48" s="1817">
        <f>VLOOKUP(H48,'Liste de prix Public EUROPE'!$B$178:$J$343,9,FALSE)</f>
        <v>400.42</v>
      </c>
      <c r="L48" s="1805"/>
    </row>
    <row r="49" spans="6:12">
      <c r="F49" s="1814" t="s">
        <v>1395</v>
      </c>
      <c r="G49" s="1815">
        <v>637.08136999999999</v>
      </c>
      <c r="H49" s="1814" t="s">
        <v>2637</v>
      </c>
      <c r="I49" s="1817">
        <v>1012.08</v>
      </c>
      <c r="J49" s="1817">
        <v>716.09</v>
      </c>
      <c r="K49" s="1817">
        <f>VLOOKUP(H49,'Liste de prix Public EUROPE'!$B$178:$J$343,9,FALSE)</f>
        <v>829.75</v>
      </c>
      <c r="L49" s="1805"/>
    </row>
    <row r="50" spans="6:12">
      <c r="F50" s="1814" t="s">
        <v>1396</v>
      </c>
      <c r="G50" s="1815">
        <v>637.08136999999999</v>
      </c>
      <c r="H50" s="1814" t="s">
        <v>2378</v>
      </c>
      <c r="I50" s="1817">
        <v>1120.48</v>
      </c>
      <c r="J50" s="1817">
        <v>792.78</v>
      </c>
      <c r="K50" s="1817">
        <f>VLOOKUP(H50,'Liste de prix Public EUROPE'!$B$178:$J$343,9,FALSE)</f>
        <v>918.62</v>
      </c>
      <c r="L50" s="1805"/>
    </row>
    <row r="51" spans="6:12">
      <c r="F51" s="1814" t="s">
        <v>1397</v>
      </c>
      <c r="G51" s="1815">
        <v>1194.5169599999999</v>
      </c>
      <c r="H51" s="1814" t="s">
        <v>2638</v>
      </c>
      <c r="I51" s="1817">
        <v>1897.75</v>
      </c>
      <c r="J51" s="1817">
        <v>1342.73</v>
      </c>
      <c r="K51" s="1817">
        <f>VLOOKUP(H51,'Liste de prix Public EUROPE'!$B$178:$J$343,9,FALSE)</f>
        <v>1555.87</v>
      </c>
      <c r="L51" s="1805"/>
    </row>
    <row r="52" spans="6:12">
      <c r="F52" s="1814" t="s">
        <v>1398</v>
      </c>
      <c r="G52" s="1815">
        <v>1513.0529300000001</v>
      </c>
      <c r="H52" s="1814" t="s">
        <v>2641</v>
      </c>
      <c r="I52" s="1817">
        <v>2661.16</v>
      </c>
      <c r="J52" s="1817">
        <v>1882.87</v>
      </c>
      <c r="K52" s="1817">
        <f>VLOOKUP(H52,'Liste de prix Public EUROPE'!$B$178:$J$343,9,FALSE)</f>
        <v>2181.7399999999998</v>
      </c>
      <c r="L52" s="1805"/>
    </row>
    <row r="53" spans="6:12">
      <c r="F53" s="1814" t="s">
        <v>1828</v>
      </c>
      <c r="G53" s="1815">
        <v>46.395600000000002</v>
      </c>
      <c r="H53" s="1814" t="s">
        <v>2626</v>
      </c>
      <c r="I53" s="1817">
        <v>65.67</v>
      </c>
      <c r="J53" s="1817">
        <v>53.84</v>
      </c>
      <c r="K53" s="1817">
        <f>VLOOKUP(H53,'Liste de prix Public EUROPE'!$B$178:$J$343,9,FALSE)</f>
        <v>53.84</v>
      </c>
      <c r="L53" s="1805"/>
    </row>
    <row r="54" spans="6:12">
      <c r="F54" s="1814" t="s">
        <v>1401</v>
      </c>
      <c r="G54" s="1815">
        <v>46.395600000000002</v>
      </c>
      <c r="H54" s="1814" t="s">
        <v>2631</v>
      </c>
      <c r="I54" s="1817">
        <v>72.73</v>
      </c>
      <c r="J54" s="1817">
        <v>51.46</v>
      </c>
      <c r="K54" s="1817">
        <f>VLOOKUP(H54,'Liste de prix Public EUROPE'!$B$178:$J$343,9,FALSE)</f>
        <v>59.63</v>
      </c>
      <c r="L54" s="1805"/>
    </row>
    <row r="55" spans="6:12">
      <c r="F55" s="1814" t="s">
        <v>1402</v>
      </c>
      <c r="G55" s="1815">
        <v>88.179930000000013</v>
      </c>
      <c r="H55" s="1814" t="s">
        <v>2627</v>
      </c>
      <c r="I55" s="1817">
        <v>131.33000000000001</v>
      </c>
      <c r="J55" s="1817">
        <v>107.67</v>
      </c>
      <c r="K55" s="1817">
        <f>VLOOKUP(H55,'Liste de prix Public EUROPE'!$B$178:$J$343,9,FALSE)</f>
        <v>107.67</v>
      </c>
      <c r="L55" s="1805"/>
    </row>
    <row r="56" spans="6:12">
      <c r="F56" s="1814" t="s">
        <v>1403</v>
      </c>
      <c r="G56" s="1815">
        <v>88.179930000000013</v>
      </c>
      <c r="H56" s="1814" t="s">
        <v>2632</v>
      </c>
      <c r="I56" s="1817">
        <v>145.44999999999999</v>
      </c>
      <c r="J56" s="1817">
        <v>119.25</v>
      </c>
      <c r="K56" s="1817">
        <f>VLOOKUP(H56,'Liste de prix Public EUROPE'!$B$178:$J$343,9,FALSE)</f>
        <v>119.25</v>
      </c>
      <c r="L56" s="1805"/>
    </row>
    <row r="57" spans="6:12">
      <c r="F57" s="1814" t="s">
        <v>2515</v>
      </c>
      <c r="G57" s="1815">
        <v>92.794972000000001</v>
      </c>
      <c r="H57" s="1814" t="s">
        <v>2643</v>
      </c>
      <c r="I57" s="1817">
        <v>191.61</v>
      </c>
      <c r="J57" s="1817">
        <v>135.57</v>
      </c>
      <c r="K57" s="1817">
        <f>VLOOKUP(H57,'Liste de prix Public EUROPE'!$B$178:$J$343,9,FALSE)</f>
        <v>157.09</v>
      </c>
      <c r="L57" s="1805"/>
    </row>
    <row r="58" spans="6:12">
      <c r="F58" s="1814" t="s">
        <v>1404</v>
      </c>
      <c r="G58" s="1815">
        <v>167.54281</v>
      </c>
      <c r="H58" s="1814" t="s">
        <v>2628</v>
      </c>
      <c r="I58" s="1817">
        <v>262.66000000000003</v>
      </c>
      <c r="J58" s="1817">
        <v>215.34</v>
      </c>
      <c r="K58" s="1817">
        <f>VLOOKUP(H58,'Liste de prix Public EUROPE'!$B$178:$J$343,9,FALSE)</f>
        <v>215.34</v>
      </c>
      <c r="L58" s="1805"/>
    </row>
    <row r="59" spans="6:12">
      <c r="F59" s="1814" t="s">
        <v>1405</v>
      </c>
      <c r="G59" s="1815">
        <v>167.54281</v>
      </c>
      <c r="H59" s="1814" t="s">
        <v>2633</v>
      </c>
      <c r="I59" s="1817">
        <v>290.91000000000003</v>
      </c>
      <c r="J59" s="1817">
        <v>238.5</v>
      </c>
      <c r="K59" s="1817">
        <f>VLOOKUP(H59,'Liste de prix Public EUROPE'!$B$178:$J$343,9,FALSE)</f>
        <v>238.5</v>
      </c>
      <c r="L59" s="1805"/>
    </row>
    <row r="60" spans="6:12">
      <c r="F60" s="1814" t="s">
        <v>2516</v>
      </c>
      <c r="G60" s="1815">
        <v>185.589944</v>
      </c>
      <c r="H60" s="1814" t="s">
        <v>2383</v>
      </c>
      <c r="I60" s="1817">
        <v>383.15</v>
      </c>
      <c r="J60" s="1817">
        <v>271.08999999999997</v>
      </c>
      <c r="K60" s="1817">
        <f>VLOOKUP(H60,'Liste de prix Public EUROPE'!$B$178:$J$343,9,FALSE)</f>
        <v>314.12</v>
      </c>
      <c r="L60" s="1805"/>
    </row>
    <row r="61" spans="6:12">
      <c r="F61" s="1814" t="s">
        <v>1406</v>
      </c>
      <c r="G61" s="1815">
        <v>318.53597000000002</v>
      </c>
      <c r="H61" s="1814" t="s">
        <v>2388</v>
      </c>
      <c r="I61" s="1817">
        <v>525.4</v>
      </c>
      <c r="J61" s="1817">
        <v>430.75</v>
      </c>
      <c r="K61" s="1817">
        <f>VLOOKUP(H61,'Liste de prix Public EUROPE'!$B$178:$J$343,9,FALSE)</f>
        <v>430.75</v>
      </c>
      <c r="L61" s="1805"/>
    </row>
    <row r="62" spans="6:12">
      <c r="F62" s="1814" t="s">
        <v>1399</v>
      </c>
      <c r="G62" s="1815">
        <v>318.53597000000002</v>
      </c>
      <c r="H62" s="1814" t="s">
        <v>2389</v>
      </c>
      <c r="I62" s="1817">
        <v>581.74</v>
      </c>
      <c r="J62" s="1817">
        <v>476.94</v>
      </c>
      <c r="K62" s="1817">
        <f>VLOOKUP(H62,'Liste de prix Public EUROPE'!$B$178:$J$343,9,FALSE)</f>
        <v>476.94</v>
      </c>
      <c r="L62" s="1805"/>
    </row>
    <row r="63" spans="6:12">
      <c r="F63" s="1814" t="s">
        <v>1407</v>
      </c>
      <c r="G63" s="1815">
        <v>637.08136999999999</v>
      </c>
      <c r="H63" s="1814" t="s">
        <v>2442</v>
      </c>
      <c r="I63" s="1817">
        <v>1050.8699999999999</v>
      </c>
      <c r="J63" s="1817">
        <v>861.55</v>
      </c>
      <c r="K63" s="1817">
        <f>VLOOKUP(H63,'Liste de prix Public EUROPE'!$B$178:$J$343,9,FALSE)</f>
        <v>861.55</v>
      </c>
      <c r="L63" s="1805"/>
    </row>
    <row r="64" spans="6:12">
      <c r="F64" s="1814" t="s">
        <v>1400</v>
      </c>
      <c r="G64" s="1815">
        <v>637.08136999999999</v>
      </c>
      <c r="H64" s="1814" t="s">
        <v>2391</v>
      </c>
      <c r="I64" s="1817">
        <v>1163.49</v>
      </c>
      <c r="J64" s="1817">
        <v>953.88</v>
      </c>
      <c r="K64" s="1817">
        <f>VLOOKUP(H64,'Liste de prix Public EUROPE'!$B$178:$J$343,9,FALSE)</f>
        <v>953.88</v>
      </c>
      <c r="L64" s="1805"/>
    </row>
    <row r="65" spans="1:15">
      <c r="F65" s="1814" t="s">
        <v>2518</v>
      </c>
      <c r="G65" s="1815">
        <v>742.35977600000001</v>
      </c>
      <c r="H65" s="1814" t="s">
        <v>2385</v>
      </c>
      <c r="I65" s="1817">
        <v>1532.66</v>
      </c>
      <c r="J65" s="1817">
        <v>1084.4100000000001</v>
      </c>
      <c r="K65" s="1817">
        <f>VLOOKUP(H65,'Liste de prix Public EUROPE'!$B$178:$J$343,9,FALSE)</f>
        <v>1256.54</v>
      </c>
      <c r="L65" s="1805"/>
    </row>
    <row r="66" spans="1:15">
      <c r="F66" s="1814" t="s">
        <v>1408</v>
      </c>
      <c r="G66" s="1815">
        <v>1274.16274</v>
      </c>
      <c r="H66" s="1814" t="s">
        <v>2443</v>
      </c>
      <c r="I66" s="1817">
        <v>2101.88</v>
      </c>
      <c r="J66" s="1817">
        <v>1723.22</v>
      </c>
      <c r="K66" s="1817">
        <f>VLOOKUP(H66,'Liste de prix Public EUROPE'!$B$178:$J$343,9,FALSE)</f>
        <v>1723.22</v>
      </c>
      <c r="L66" s="1805"/>
    </row>
    <row r="67" spans="1:15">
      <c r="F67" s="1814" t="s">
        <v>1409</v>
      </c>
      <c r="G67" s="1815">
        <v>1274.16274</v>
      </c>
      <c r="H67" s="1814" t="s">
        <v>2392</v>
      </c>
      <c r="I67" s="1817">
        <v>2326.98</v>
      </c>
      <c r="J67" s="1817">
        <v>1907.76</v>
      </c>
      <c r="K67" s="1817">
        <f>VLOOKUP(H67,'Liste de prix Public EUROPE'!$B$178:$J$343,9,FALSE)</f>
        <v>1907.76</v>
      </c>
      <c r="L67" s="1805"/>
    </row>
    <row r="68" spans="1:15">
      <c r="F68" s="1814" t="s">
        <v>2519</v>
      </c>
      <c r="G68" s="1815">
        <v>1484.719552</v>
      </c>
      <c r="H68" s="1814" t="s">
        <v>2386</v>
      </c>
      <c r="I68" s="1817">
        <v>3065.32</v>
      </c>
      <c r="J68" s="1817">
        <v>2168.83</v>
      </c>
      <c r="K68" s="1817">
        <f>VLOOKUP(H68,'Liste de prix Public EUROPE'!$B$178:$J$343,9,FALSE)</f>
        <v>2513.09</v>
      </c>
      <c r="L68" s="1805"/>
    </row>
    <row r="69" spans="1:15">
      <c r="K69" s="1490"/>
      <c r="L69" s="1805"/>
    </row>
    <row r="70" spans="1:15">
      <c r="F70" s="2075" t="s">
        <v>2837</v>
      </c>
      <c r="G70" s="2075"/>
      <c r="H70" s="2075" t="s">
        <v>2838</v>
      </c>
      <c r="I70" s="2075"/>
      <c r="J70" s="2075"/>
      <c r="K70" s="2075"/>
      <c r="L70" s="1825" t="s">
        <v>2839</v>
      </c>
      <c r="M70" s="1826" t="s">
        <v>2846</v>
      </c>
      <c r="N70" s="1826"/>
      <c r="O70" s="1826"/>
    </row>
    <row r="71" spans="1:15" ht="38.549999999999997" customHeight="1">
      <c r="A71" s="1811" t="s">
        <v>2831</v>
      </c>
      <c r="B71" s="1811"/>
      <c r="C71" s="1811"/>
      <c r="F71" s="1816" t="s">
        <v>2825</v>
      </c>
      <c r="G71" s="1816" t="s">
        <v>2842</v>
      </c>
      <c r="H71" s="1816" t="s">
        <v>2413</v>
      </c>
      <c r="I71" s="1821" t="s">
        <v>2840</v>
      </c>
      <c r="J71" s="1821" t="s">
        <v>2841</v>
      </c>
      <c r="K71" s="1816" t="s">
        <v>2856</v>
      </c>
      <c r="L71" s="1820" t="s">
        <v>2847</v>
      </c>
      <c r="M71" s="1686" t="s">
        <v>2843</v>
      </c>
      <c r="N71" s="1686" t="s">
        <v>2844</v>
      </c>
      <c r="O71" s="1686" t="s">
        <v>2845</v>
      </c>
    </row>
    <row r="72" spans="1:15">
      <c r="A72" s="1805" t="s">
        <v>252</v>
      </c>
      <c r="B72" s="1805" t="s">
        <v>2832</v>
      </c>
      <c r="C72" s="1805" t="s">
        <v>2833</v>
      </c>
      <c r="F72" s="1814" t="s">
        <v>1389</v>
      </c>
      <c r="G72" s="1815">
        <v>83.983580000000003</v>
      </c>
      <c r="H72" s="1814" t="s">
        <v>2395</v>
      </c>
      <c r="I72" s="1817">
        <v>102.78</v>
      </c>
      <c r="J72" s="1817">
        <v>78.489999999999995</v>
      </c>
      <c r="K72" s="1817">
        <v>90.04</v>
      </c>
      <c r="L72" s="1817">
        <v>98.071999999999989</v>
      </c>
      <c r="M72" s="1813">
        <v>333.44939999999997</v>
      </c>
      <c r="N72" s="1813">
        <v>1072.0414999999998</v>
      </c>
      <c r="O72" s="1813">
        <v>25.047000000000001</v>
      </c>
    </row>
    <row r="73" spans="1:15">
      <c r="A73" s="1805"/>
      <c r="B73" s="1805"/>
      <c r="C73" s="1805"/>
      <c r="F73" s="1814" t="s">
        <v>1390</v>
      </c>
      <c r="G73" s="1815">
        <v>83.983580000000003</v>
      </c>
      <c r="H73" s="1814" t="s">
        <v>2366</v>
      </c>
      <c r="I73" s="1817">
        <v>114.29</v>
      </c>
      <c r="J73" s="1817">
        <v>87.28</v>
      </c>
      <c r="K73" s="1817">
        <v>100.12</v>
      </c>
      <c r="L73" s="1817">
        <v>98.071999999999989</v>
      </c>
      <c r="M73" s="1813">
        <v>333.44939999999997</v>
      </c>
      <c r="N73" s="1813">
        <v>1072.0414999999998</v>
      </c>
      <c r="O73" s="1813">
        <v>25.047000000000001</v>
      </c>
    </row>
    <row r="74" spans="1:15">
      <c r="A74" s="1805" t="s">
        <v>2834</v>
      </c>
      <c r="B74" s="1805" t="s">
        <v>2822</v>
      </c>
      <c r="C74" s="1805" t="s">
        <v>2822</v>
      </c>
      <c r="F74" s="1814" t="s">
        <v>1391</v>
      </c>
      <c r="G74" s="1815">
        <v>159.56503000000001</v>
      </c>
      <c r="H74" s="1814" t="s">
        <v>2396</v>
      </c>
      <c r="I74" s="1817">
        <v>205.64</v>
      </c>
      <c r="J74" s="1817">
        <v>157.04</v>
      </c>
      <c r="K74" s="1817">
        <v>180.14</v>
      </c>
      <c r="L74" s="1817">
        <v>196.14399999999998</v>
      </c>
      <c r="M74" s="1813">
        <v>666.89879999999994</v>
      </c>
      <c r="N74" s="1813">
        <v>2144.0829999999996</v>
      </c>
      <c r="O74" s="1813">
        <v>50.094000000000001</v>
      </c>
    </row>
    <row r="75" spans="1:15">
      <c r="A75" s="1805" t="s">
        <v>2823</v>
      </c>
      <c r="B75" s="1805" t="s">
        <v>2823</v>
      </c>
      <c r="C75" s="1805" t="s">
        <v>2823</v>
      </c>
      <c r="F75" s="1814" t="s">
        <v>1392</v>
      </c>
      <c r="G75" s="1815">
        <v>159.56503000000001</v>
      </c>
      <c r="H75" s="1814" t="s">
        <v>2367</v>
      </c>
      <c r="I75" s="1817">
        <v>228.59</v>
      </c>
      <c r="J75" s="1817">
        <v>174.57</v>
      </c>
      <c r="K75" s="1817">
        <v>200.24</v>
      </c>
      <c r="L75" s="1817">
        <v>196.14399999999998</v>
      </c>
      <c r="M75" s="1813">
        <v>666.89879999999994</v>
      </c>
      <c r="N75" s="1813">
        <v>2144.0829999999996</v>
      </c>
      <c r="O75" s="1813">
        <v>50.094000000000001</v>
      </c>
    </row>
    <row r="76" spans="1:15">
      <c r="A76" s="1812" t="s">
        <v>2824</v>
      </c>
      <c r="B76" s="1812" t="s">
        <v>2824</v>
      </c>
      <c r="C76" s="1812" t="s">
        <v>2824</v>
      </c>
      <c r="F76" s="1814" t="s">
        <v>1393</v>
      </c>
      <c r="G76" s="1815">
        <v>303.37252999999998</v>
      </c>
      <c r="H76" s="1814" t="s">
        <v>2393</v>
      </c>
      <c r="I76" s="1817">
        <v>411.35</v>
      </c>
      <c r="J76" s="1817">
        <v>314.14</v>
      </c>
      <c r="K76" s="1817">
        <v>360.34</v>
      </c>
      <c r="L76" s="1817">
        <v>392.28799999999995</v>
      </c>
      <c r="M76" s="1813">
        <v>1333.7975999999999</v>
      </c>
      <c r="N76" s="1813">
        <v>4288.1659999999993</v>
      </c>
      <c r="O76" s="1813">
        <v>100.188</v>
      </c>
    </row>
    <row r="77" spans="1:15">
      <c r="A77" s="1818" t="s">
        <v>2835</v>
      </c>
      <c r="B77" s="1818" t="s">
        <v>2835</v>
      </c>
      <c r="C77" s="1818" t="s">
        <v>2835</v>
      </c>
      <c r="F77" s="1814" t="s">
        <v>1394</v>
      </c>
      <c r="G77" s="1815">
        <v>303.37252999999998</v>
      </c>
      <c r="H77" s="1814" t="s">
        <v>2368</v>
      </c>
      <c r="I77" s="1817">
        <v>457.1</v>
      </c>
      <c r="J77" s="1817">
        <v>349.08</v>
      </c>
      <c r="K77" s="1817">
        <v>400.42</v>
      </c>
      <c r="L77" s="1817">
        <v>392.28799999999995</v>
      </c>
      <c r="M77" s="1813">
        <v>1333.7975999999999</v>
      </c>
      <c r="N77" s="1813">
        <v>4288.1659999999993</v>
      </c>
      <c r="O77" s="1813">
        <v>100.188</v>
      </c>
    </row>
    <row r="78" spans="1:15">
      <c r="A78" s="1819" t="s">
        <v>2836</v>
      </c>
      <c r="B78" s="1819" t="s">
        <v>2836</v>
      </c>
      <c r="C78" s="1819" t="s">
        <v>2836</v>
      </c>
      <c r="F78" s="1814" t="s">
        <v>1395</v>
      </c>
      <c r="G78" s="1815">
        <v>606.74505999999997</v>
      </c>
      <c r="H78" s="1814" t="s">
        <v>2637</v>
      </c>
      <c r="I78" s="1817">
        <v>1012.08</v>
      </c>
      <c r="J78" s="1817">
        <v>716.09</v>
      </c>
      <c r="K78" s="1817">
        <v>829.75</v>
      </c>
      <c r="L78" s="1817">
        <v>690.42687999999998</v>
      </c>
      <c r="M78" s="1813">
        <v>2319.6480000000001</v>
      </c>
      <c r="N78" s="1813">
        <v>8576.3319999999985</v>
      </c>
      <c r="O78" s="1813">
        <v>200.376</v>
      </c>
    </row>
    <row r="79" spans="1:15">
      <c r="F79" s="1814" t="s">
        <v>1396</v>
      </c>
      <c r="G79" s="1815">
        <v>606.74505999999997</v>
      </c>
      <c r="H79" s="1814" t="s">
        <v>2378</v>
      </c>
      <c r="I79" s="1817">
        <v>1120.48</v>
      </c>
      <c r="J79" s="1817">
        <v>792.78</v>
      </c>
      <c r="K79" s="1817">
        <v>918.62</v>
      </c>
      <c r="L79" s="1817">
        <v>690.42687999999998</v>
      </c>
      <c r="M79" s="1813">
        <v>2667.5951999999997</v>
      </c>
      <c r="N79" s="1813">
        <v>8576.3319999999985</v>
      </c>
      <c r="O79" s="1813">
        <v>200.376</v>
      </c>
    </row>
    <row r="80" spans="1:15">
      <c r="F80" s="1814" t="s">
        <v>1397</v>
      </c>
      <c r="G80" s="1815">
        <v>1137.6257700000001</v>
      </c>
      <c r="H80" s="1814" t="s">
        <v>2638</v>
      </c>
      <c r="I80" s="1817">
        <v>1897.75</v>
      </c>
      <c r="J80" s="1817">
        <v>1342.73</v>
      </c>
      <c r="K80" s="1817">
        <v>1555.87</v>
      </c>
      <c r="L80" s="1817">
        <v>1294.5503999999999</v>
      </c>
      <c r="M80" s="1813">
        <v>4349.34</v>
      </c>
      <c r="N80" s="1813">
        <v>16080.622499999999</v>
      </c>
      <c r="O80" s="1813">
        <v>375.67624999999992</v>
      </c>
    </row>
    <row r="81" spans="6:18">
      <c r="F81" s="1814" t="s">
        <v>1398</v>
      </c>
      <c r="G81" s="1815">
        <v>1440.9983</v>
      </c>
      <c r="H81" s="1814" t="s">
        <v>2641</v>
      </c>
      <c r="I81" s="1817">
        <v>2661.16</v>
      </c>
      <c r="J81" s="1817">
        <v>1882.87</v>
      </c>
      <c r="K81" s="1817">
        <v>2181.7399999999998</v>
      </c>
      <c r="L81" s="1817">
        <v>1639.7638399999998</v>
      </c>
      <c r="M81" s="1813">
        <v>5509.1639999999998</v>
      </c>
      <c r="N81" s="1813">
        <v>20368.788499999999</v>
      </c>
      <c r="O81" s="1813">
        <v>475.88725000000028</v>
      </c>
    </row>
    <row r="82" spans="6:18">
      <c r="F82" s="1814" t="s">
        <v>1402</v>
      </c>
      <c r="G82" s="1815">
        <v>83.983580000000003</v>
      </c>
      <c r="H82" s="1814" t="s">
        <v>2627</v>
      </c>
      <c r="I82" s="1817">
        <v>131.33000000000001</v>
      </c>
      <c r="J82" s="1817">
        <v>92.92</v>
      </c>
      <c r="K82" s="1817">
        <v>107.67</v>
      </c>
      <c r="L82" s="1817">
        <v>98.071999999999989</v>
      </c>
      <c r="M82" s="1813">
        <v>333.44939999999997</v>
      </c>
      <c r="N82" s="1813">
        <v>1072.0414999999998</v>
      </c>
      <c r="O82" s="1813">
        <v>25.047000000000001</v>
      </c>
    </row>
    <row r="83" spans="6:18">
      <c r="F83" s="1814" t="s">
        <v>1403</v>
      </c>
      <c r="G83" s="1815">
        <v>83.983580000000003</v>
      </c>
      <c r="H83" s="1814" t="s">
        <v>2632</v>
      </c>
      <c r="I83" s="1817">
        <v>145.44999999999999</v>
      </c>
      <c r="J83" s="1817">
        <v>102.91</v>
      </c>
      <c r="K83" s="1817">
        <v>119.25</v>
      </c>
      <c r="L83" s="1817">
        <v>98.071999999999989</v>
      </c>
      <c r="M83" s="1813">
        <v>333.44939999999997</v>
      </c>
      <c r="N83" s="1813">
        <v>1072.0414999999998</v>
      </c>
      <c r="O83" s="1813">
        <v>25.047000000000001</v>
      </c>
    </row>
    <row r="84" spans="6:18">
      <c r="F84" s="1814" t="s">
        <v>2515</v>
      </c>
      <c r="G84" s="1815">
        <v>88.389275999999995</v>
      </c>
      <c r="H84" s="1814" t="s">
        <v>2643</v>
      </c>
      <c r="I84" s="1817">
        <v>191.61</v>
      </c>
      <c r="J84" s="1817">
        <v>135.57</v>
      </c>
      <c r="K84" s="1817">
        <v>157.09</v>
      </c>
      <c r="L84" s="1817">
        <v>98.071999999999989</v>
      </c>
      <c r="M84" s="1813">
        <v>333.44939999999997</v>
      </c>
      <c r="N84" s="1813">
        <v>1072.0414999999998</v>
      </c>
      <c r="O84" s="1813">
        <v>25.047000000000001</v>
      </c>
    </row>
    <row r="85" spans="6:18">
      <c r="F85" s="1814" t="s">
        <v>1404</v>
      </c>
      <c r="G85" s="1815">
        <v>159.56503000000001</v>
      </c>
      <c r="H85" s="1814" t="s">
        <v>2628</v>
      </c>
      <c r="I85" s="1817">
        <v>262.66000000000003</v>
      </c>
      <c r="J85" s="1817">
        <v>185.84</v>
      </c>
      <c r="K85" s="1817">
        <v>215.34</v>
      </c>
      <c r="L85" s="1817">
        <v>196.14399999999998</v>
      </c>
      <c r="M85" s="1813">
        <v>666.89879999999994</v>
      </c>
      <c r="N85" s="1813">
        <v>2144.0829999999996</v>
      </c>
      <c r="O85" s="1813">
        <v>50.094000000000001</v>
      </c>
      <c r="P85" s="1805"/>
      <c r="Q85" s="1805"/>
      <c r="R85" s="1805"/>
    </row>
    <row r="86" spans="6:18" ht="16.05" customHeight="1">
      <c r="F86" s="1814" t="s">
        <v>1405</v>
      </c>
      <c r="G86" s="1815">
        <v>159.56503000000001</v>
      </c>
      <c r="H86" s="1814" t="s">
        <v>2633</v>
      </c>
      <c r="I86" s="1817">
        <v>290.91000000000003</v>
      </c>
      <c r="J86" s="1817">
        <v>205.83</v>
      </c>
      <c r="K86" s="1817">
        <v>238.5</v>
      </c>
      <c r="L86" s="1817">
        <v>196.14399999999998</v>
      </c>
      <c r="M86" s="1813">
        <v>666.89879999999994</v>
      </c>
      <c r="N86" s="1813">
        <v>2144.0829999999996</v>
      </c>
      <c r="O86" s="1813">
        <v>50.094000000000001</v>
      </c>
      <c r="P86" s="1805"/>
      <c r="Q86" s="1805"/>
      <c r="R86" s="1805"/>
    </row>
    <row r="87" spans="6:18">
      <c r="F87" s="1814" t="s">
        <v>2516</v>
      </c>
      <c r="G87" s="1815">
        <v>176.77855199999999</v>
      </c>
      <c r="H87" s="1814" t="s">
        <v>2383</v>
      </c>
      <c r="I87" s="1817">
        <v>383.15</v>
      </c>
      <c r="J87" s="1817">
        <v>271.08999999999997</v>
      </c>
      <c r="K87" s="1817">
        <v>314.12</v>
      </c>
      <c r="L87" s="1817">
        <v>196.14399999999998</v>
      </c>
      <c r="M87" s="1813">
        <v>666.89879999999994</v>
      </c>
      <c r="N87" s="1813">
        <v>2144.0829999999996</v>
      </c>
      <c r="O87" s="1813">
        <v>50.094000000000001</v>
      </c>
      <c r="P87" s="1805"/>
      <c r="Q87" s="1805"/>
      <c r="R87" s="1805"/>
    </row>
    <row r="88" spans="6:18">
      <c r="F88" s="1814" t="s">
        <v>1406</v>
      </c>
      <c r="G88" s="1815">
        <v>303.37252999999998</v>
      </c>
      <c r="H88" s="1814" t="s">
        <v>2388</v>
      </c>
      <c r="I88" s="1817">
        <v>525.4</v>
      </c>
      <c r="J88" s="1817">
        <v>371.74</v>
      </c>
      <c r="K88" s="1817">
        <v>430.75</v>
      </c>
      <c r="L88" s="1817">
        <v>392.28799999999995</v>
      </c>
      <c r="M88" s="1813">
        <v>1333.7975999999999</v>
      </c>
      <c r="N88" s="1813">
        <v>4288.1659999999993</v>
      </c>
      <c r="O88" s="1813">
        <v>100.188</v>
      </c>
      <c r="P88" s="1805"/>
      <c r="Q88" s="1805"/>
      <c r="R88" s="1805"/>
    </row>
    <row r="89" spans="6:18">
      <c r="F89" s="1814" t="s">
        <v>1399</v>
      </c>
      <c r="G89" s="1815">
        <v>303.37252999999998</v>
      </c>
      <c r="H89" s="1814" t="s">
        <v>2389</v>
      </c>
      <c r="I89" s="1817">
        <v>581.74</v>
      </c>
      <c r="J89" s="1817">
        <v>411.61</v>
      </c>
      <c r="K89" s="1817">
        <v>476.94</v>
      </c>
      <c r="L89" s="1817">
        <v>392.28799999999995</v>
      </c>
      <c r="M89" s="1813">
        <v>1333.7975999999999</v>
      </c>
      <c r="N89" s="1813">
        <v>4288.1659999999993</v>
      </c>
      <c r="O89" s="1813">
        <v>100.188</v>
      </c>
      <c r="P89" s="1805"/>
      <c r="Q89" s="1805"/>
      <c r="R89" s="1805"/>
    </row>
    <row r="90" spans="6:18">
      <c r="F90" s="1814" t="s">
        <v>1407</v>
      </c>
      <c r="G90" s="1815">
        <v>606.74505999999997</v>
      </c>
      <c r="H90" s="1814" t="s">
        <v>2442</v>
      </c>
      <c r="I90" s="1817">
        <v>1050.8699999999999</v>
      </c>
      <c r="J90" s="1817">
        <v>743.53</v>
      </c>
      <c r="K90" s="1817">
        <v>861.55</v>
      </c>
      <c r="L90" s="1817">
        <v>690.42687999999998</v>
      </c>
      <c r="M90" s="1813">
        <v>2667.5951999999997</v>
      </c>
      <c r="N90" s="1813">
        <v>8576.3319999999985</v>
      </c>
      <c r="O90" s="1813">
        <v>200.376</v>
      </c>
      <c r="P90" s="1805"/>
      <c r="Q90" s="1805"/>
      <c r="R90" s="1805"/>
    </row>
    <row r="91" spans="6:18">
      <c r="F91" s="1814" t="s">
        <v>1400</v>
      </c>
      <c r="G91" s="1815">
        <v>606.74505999999997</v>
      </c>
      <c r="H91" s="1814" t="s">
        <v>2391</v>
      </c>
      <c r="I91" s="1817">
        <v>1163.49</v>
      </c>
      <c r="J91" s="1817">
        <v>823.21</v>
      </c>
      <c r="K91" s="1817">
        <v>953.88</v>
      </c>
      <c r="L91" s="1817">
        <v>690.42687999999998</v>
      </c>
      <c r="M91" s="1813">
        <v>2667.5951999999997</v>
      </c>
      <c r="N91" s="1813">
        <v>8576.3319999999985</v>
      </c>
      <c r="O91" s="1813">
        <v>200.376</v>
      </c>
      <c r="P91" s="1805"/>
      <c r="Q91" s="1805"/>
      <c r="R91" s="1805"/>
    </row>
    <row r="92" spans="6:18">
      <c r="F92" s="1814" t="s">
        <v>2518</v>
      </c>
      <c r="G92" s="1815">
        <v>707.11420799999996</v>
      </c>
      <c r="H92" s="1814" t="s">
        <v>2385</v>
      </c>
      <c r="I92" s="1817">
        <v>1532.66</v>
      </c>
      <c r="J92" s="1817">
        <v>1084.4100000000001</v>
      </c>
      <c r="K92" s="1817">
        <v>1256.54</v>
      </c>
      <c r="L92" s="1817">
        <v>690.42687999999998</v>
      </c>
      <c r="M92" s="1813">
        <v>2667.5951999999997</v>
      </c>
      <c r="N92" s="1813">
        <v>8576.3319999999985</v>
      </c>
      <c r="O92" s="1813">
        <v>200.376</v>
      </c>
      <c r="P92" s="1805"/>
      <c r="Q92" s="1805"/>
      <c r="R92" s="1805"/>
    </row>
    <row r="93" spans="6:18">
      <c r="F93" s="1814" t="s">
        <v>1408</v>
      </c>
      <c r="G93" s="1815">
        <v>1213.4901199999999</v>
      </c>
      <c r="H93" s="1814" t="s">
        <v>2443</v>
      </c>
      <c r="I93" s="1817">
        <v>2101.88</v>
      </c>
      <c r="J93" s="1817">
        <v>1487.16</v>
      </c>
      <c r="K93" s="1817">
        <v>1723.22</v>
      </c>
      <c r="L93" s="1817">
        <v>1380.85376</v>
      </c>
      <c r="M93" s="1813">
        <v>5335.1903999999995</v>
      </c>
      <c r="N93" s="1813">
        <v>17152.663999999997</v>
      </c>
      <c r="O93" s="1813">
        <v>400.75200000000001</v>
      </c>
      <c r="P93" s="1805"/>
      <c r="Q93" s="1805"/>
      <c r="R93" s="1805"/>
    </row>
    <row r="94" spans="6:18">
      <c r="F94" s="1814" t="s">
        <v>1409</v>
      </c>
      <c r="G94" s="1815">
        <v>1213.4901199999999</v>
      </c>
      <c r="H94" s="1814" t="s">
        <v>2392</v>
      </c>
      <c r="I94" s="1817">
        <v>2326.98</v>
      </c>
      <c r="J94" s="1817">
        <v>1646.43</v>
      </c>
      <c r="K94" s="1817">
        <v>1907.76</v>
      </c>
      <c r="L94" s="1817">
        <v>1380.85376</v>
      </c>
      <c r="M94" s="1813">
        <v>5335.1903999999995</v>
      </c>
      <c r="N94" s="1813">
        <v>17152.663999999997</v>
      </c>
      <c r="O94" s="1813">
        <v>400.75200000000001</v>
      </c>
      <c r="P94" s="1805"/>
      <c r="Q94" s="1805"/>
      <c r="R94" s="1805"/>
    </row>
    <row r="95" spans="6:18">
      <c r="F95" s="1814" t="s">
        <v>2519</v>
      </c>
      <c r="G95" s="1815">
        <v>1414.2284159999999</v>
      </c>
      <c r="H95" s="1814" t="s">
        <v>2386</v>
      </c>
      <c r="I95" s="1817">
        <v>3065.32</v>
      </c>
      <c r="J95" s="1817">
        <v>2168.83</v>
      </c>
      <c r="K95" s="1817">
        <v>2513.09</v>
      </c>
      <c r="L95" s="1817">
        <v>1380.85376</v>
      </c>
      <c r="M95" s="1813">
        <v>5335.1903999999995</v>
      </c>
      <c r="N95" s="1813">
        <v>17152.663999999997</v>
      </c>
      <c r="O95" s="1813">
        <v>400.75200000000001</v>
      </c>
      <c r="P95" s="1805"/>
      <c r="Q95" s="1805"/>
      <c r="R95" s="1805"/>
    </row>
    <row r="96" spans="6:18">
      <c r="L96" s="1490"/>
      <c r="O96" s="1805"/>
      <c r="P96" s="1805"/>
      <c r="Q96" s="1805"/>
      <c r="R96" s="1805"/>
    </row>
    <row r="97" spans="12:18">
      <c r="L97" s="1490"/>
      <c r="O97" s="1805"/>
      <c r="P97" s="1805"/>
      <c r="Q97" s="1805"/>
      <c r="R97" s="1805"/>
    </row>
    <row r="98" spans="12:18">
      <c r="L98" s="1490"/>
      <c r="O98" s="1805"/>
      <c r="P98" s="1805"/>
      <c r="Q98" s="1805"/>
      <c r="R98" s="1805"/>
    </row>
    <row r="99" spans="12:18">
      <c r="L99" s="1490"/>
      <c r="O99" s="1805"/>
      <c r="P99" s="1805"/>
      <c r="Q99" s="1805"/>
      <c r="R99" s="1805"/>
    </row>
    <row r="100" spans="12:18">
      <c r="L100" s="1490"/>
      <c r="O100" s="1805"/>
      <c r="P100" s="1805"/>
      <c r="Q100" s="1805"/>
      <c r="R100" s="1805"/>
    </row>
    <row r="101" spans="12:18">
      <c r="L101" s="1490"/>
      <c r="O101" s="1805"/>
      <c r="P101" s="1805"/>
      <c r="Q101" s="1805"/>
      <c r="R101" s="1805"/>
    </row>
    <row r="102" spans="12:18">
      <c r="L102" s="1490"/>
      <c r="O102" s="1805"/>
      <c r="P102" s="1805"/>
      <c r="Q102" s="1805"/>
      <c r="R102" s="1805"/>
    </row>
    <row r="103" spans="12:18">
      <c r="L103" s="1490"/>
      <c r="O103" s="1805"/>
      <c r="P103" s="1805"/>
      <c r="Q103" s="1805"/>
      <c r="R103" s="1805"/>
    </row>
    <row r="104" spans="12:18">
      <c r="L104" s="1490"/>
      <c r="O104" s="1805"/>
      <c r="P104" s="1805"/>
      <c r="Q104" s="1805"/>
      <c r="R104" s="1805"/>
    </row>
    <row r="105" spans="12:18">
      <c r="L105" s="1490"/>
      <c r="O105" s="1805"/>
      <c r="P105" s="1805"/>
      <c r="Q105" s="1805"/>
      <c r="R105" s="1805"/>
    </row>
    <row r="106" spans="12:18">
      <c r="L106" s="1490"/>
      <c r="O106" s="1805"/>
      <c r="P106" s="1805"/>
      <c r="Q106" s="1805"/>
      <c r="R106" s="1805"/>
    </row>
    <row r="107" spans="12:18">
      <c r="L107" s="1490"/>
      <c r="O107" s="1805"/>
      <c r="P107" s="1805"/>
      <c r="Q107" s="1805"/>
      <c r="R107" s="1805"/>
    </row>
    <row r="108" spans="12:18">
      <c r="L108" s="1490"/>
      <c r="O108" s="1805"/>
      <c r="P108" s="1805"/>
      <c r="Q108" s="1805"/>
      <c r="R108" s="1805"/>
    </row>
    <row r="109" spans="12:18">
      <c r="L109" s="1490"/>
      <c r="O109" s="1805"/>
      <c r="P109" s="1805"/>
      <c r="Q109" s="1805"/>
      <c r="R109" s="1805"/>
    </row>
    <row r="110" spans="12:18">
      <c r="L110" s="1490"/>
      <c r="O110" s="1805"/>
      <c r="P110" s="1805"/>
      <c r="Q110" s="1805"/>
      <c r="R110" s="1805"/>
    </row>
    <row r="111" spans="12:18">
      <c r="L111" s="1490"/>
      <c r="O111" s="1805"/>
      <c r="P111" s="1805"/>
      <c r="Q111" s="1805"/>
      <c r="R111" s="1805"/>
    </row>
    <row r="112" spans="12:18">
      <c r="L112" s="1490"/>
      <c r="O112" s="1805"/>
      <c r="P112" s="1805"/>
      <c r="Q112" s="1805"/>
      <c r="R112" s="1805"/>
    </row>
    <row r="113" spans="12:18">
      <c r="L113" s="1490"/>
      <c r="O113" s="1805"/>
      <c r="P113" s="1805"/>
      <c r="Q113" s="1805"/>
      <c r="R113" s="1805"/>
    </row>
    <row r="114" spans="12:18">
      <c r="L114" s="1490"/>
      <c r="O114" s="1805"/>
      <c r="P114" s="1805"/>
      <c r="Q114" s="1805"/>
      <c r="R114" s="1805"/>
    </row>
    <row r="115" spans="12:18">
      <c r="L115" s="1490"/>
      <c r="O115" s="1805"/>
      <c r="P115" s="1805"/>
      <c r="Q115" s="1805"/>
      <c r="R115" s="1805"/>
    </row>
    <row r="116" spans="12:18">
      <c r="L116" s="1490"/>
      <c r="O116" s="1805"/>
      <c r="P116" s="1805"/>
      <c r="Q116" s="1805"/>
      <c r="R116" s="1805"/>
    </row>
    <row r="117" spans="12:18">
      <c r="L117" s="1490"/>
      <c r="O117" s="1805"/>
      <c r="P117" s="1805"/>
      <c r="Q117" s="1805"/>
      <c r="R117" s="1805"/>
    </row>
    <row r="118" spans="12:18">
      <c r="L118" s="1490"/>
      <c r="O118" s="1805"/>
      <c r="P118" s="1805"/>
      <c r="Q118" s="1805"/>
      <c r="R118" s="1805"/>
    </row>
    <row r="119" spans="12:18">
      <c r="L119" s="1490"/>
      <c r="O119" s="1805"/>
      <c r="P119" s="1805"/>
      <c r="Q119" s="1805"/>
      <c r="R119" s="1805"/>
    </row>
    <row r="120" spans="12:18">
      <c r="L120" s="1490"/>
      <c r="O120" s="1805"/>
      <c r="P120" s="1805"/>
      <c r="Q120" s="1805"/>
      <c r="R120" s="1805"/>
    </row>
    <row r="121" spans="12:18">
      <c r="L121" s="1490"/>
      <c r="O121" s="1805"/>
      <c r="P121" s="1805"/>
      <c r="Q121" s="1805"/>
      <c r="R121" s="1805"/>
    </row>
    <row r="122" spans="12:18">
      <c r="L122" s="1490"/>
      <c r="O122" s="1805"/>
      <c r="P122" s="1805"/>
      <c r="Q122" s="1805"/>
      <c r="R122" s="1805"/>
    </row>
    <row r="123" spans="12:18">
      <c r="L123" s="1490"/>
      <c r="O123" s="1805"/>
      <c r="P123" s="1805"/>
      <c r="Q123" s="1805"/>
      <c r="R123" s="1805"/>
    </row>
    <row r="124" spans="12:18">
      <c r="L124" s="1490"/>
      <c r="O124" s="1805"/>
      <c r="P124" s="1805"/>
      <c r="Q124" s="1805"/>
      <c r="R124" s="1805"/>
    </row>
    <row r="125" spans="12:18">
      <c r="L125" s="1490"/>
      <c r="O125" s="1805"/>
      <c r="P125" s="1805"/>
      <c r="Q125" s="1805"/>
      <c r="R125" s="1805"/>
    </row>
    <row r="126" spans="12:18">
      <c r="L126" s="1490"/>
      <c r="O126" s="1805"/>
      <c r="P126" s="1805"/>
      <c r="Q126" s="1805"/>
      <c r="R126" s="1805"/>
    </row>
    <row r="127" spans="12:18">
      <c r="L127" s="1490"/>
      <c r="O127" s="1805"/>
      <c r="P127" s="1805"/>
      <c r="Q127" s="1805"/>
      <c r="R127" s="1805"/>
    </row>
    <row r="128" spans="12:18">
      <c r="L128" s="1490"/>
      <c r="O128" s="1805"/>
      <c r="P128" s="1805"/>
      <c r="Q128" s="1805"/>
      <c r="R128" s="1805"/>
    </row>
    <row r="129" spans="12:18">
      <c r="L129" s="1490"/>
      <c r="O129" s="1805"/>
      <c r="P129" s="1805"/>
      <c r="Q129" s="1805"/>
      <c r="R129" s="1805"/>
    </row>
    <row r="130" spans="12:18">
      <c r="L130" s="1490"/>
      <c r="O130" s="1805"/>
      <c r="P130" s="1805"/>
      <c r="Q130" s="1805"/>
      <c r="R130" s="1805"/>
    </row>
    <row r="131" spans="12:18">
      <c r="L131" s="1490"/>
      <c r="O131" s="1805"/>
      <c r="P131" s="1805"/>
      <c r="Q131" s="1805"/>
      <c r="R131" s="1805"/>
    </row>
    <row r="132" spans="12:18">
      <c r="L132" s="1490"/>
      <c r="O132" s="1805"/>
      <c r="P132" s="1805"/>
      <c r="Q132" s="1805"/>
      <c r="R132" s="1805"/>
    </row>
    <row r="133" spans="12:18">
      <c r="L133" s="1490"/>
      <c r="O133" s="1805"/>
      <c r="P133" s="1805"/>
      <c r="Q133" s="1805"/>
      <c r="R133" s="1805"/>
    </row>
    <row r="134" spans="12:18">
      <c r="L134" s="1490"/>
      <c r="O134" s="1805"/>
      <c r="P134" s="1805"/>
      <c r="Q134" s="1805"/>
      <c r="R134" s="1805"/>
    </row>
    <row r="135" spans="12:18">
      <c r="L135" s="1490"/>
      <c r="O135" s="1805"/>
      <c r="P135" s="1805"/>
      <c r="Q135" s="1805"/>
      <c r="R135" s="1805"/>
    </row>
    <row r="136" spans="12:18">
      <c r="L136" s="1490"/>
      <c r="O136" s="1805"/>
      <c r="P136" s="1805"/>
      <c r="Q136" s="1805"/>
      <c r="R136" s="1805"/>
    </row>
    <row r="137" spans="12:18">
      <c r="L137" s="1490"/>
      <c r="O137" s="1805"/>
      <c r="P137" s="1805"/>
      <c r="Q137" s="1805"/>
      <c r="R137" s="1805"/>
    </row>
    <row r="138" spans="12:18">
      <c r="L138" s="1490"/>
      <c r="O138" s="1805"/>
      <c r="P138" s="1805"/>
      <c r="Q138" s="1805"/>
      <c r="R138" s="1805"/>
    </row>
    <row r="139" spans="12:18">
      <c r="L139" s="1490"/>
      <c r="O139" s="1805"/>
      <c r="P139" s="1805"/>
      <c r="Q139" s="1805"/>
      <c r="R139" s="1805"/>
    </row>
    <row r="140" spans="12:18">
      <c r="L140" s="1490"/>
      <c r="O140" s="1805"/>
      <c r="P140" s="1805"/>
      <c r="Q140" s="1805"/>
      <c r="R140" s="1805"/>
    </row>
    <row r="141" spans="12:18">
      <c r="L141" s="1490"/>
      <c r="O141" s="1805"/>
      <c r="P141" s="1805"/>
      <c r="Q141" s="1805"/>
      <c r="R141" s="1805"/>
    </row>
    <row r="142" spans="12:18">
      <c r="L142" s="1490"/>
      <c r="O142" s="1805"/>
      <c r="P142" s="1805"/>
      <c r="Q142" s="1805"/>
      <c r="R142" s="1805"/>
    </row>
    <row r="143" spans="12:18">
      <c r="L143" s="1490"/>
      <c r="O143" s="1805"/>
      <c r="P143" s="1805"/>
      <c r="Q143" s="1805"/>
      <c r="R143" s="1805"/>
    </row>
    <row r="144" spans="12:18">
      <c r="L144" s="1490"/>
      <c r="O144" s="1805"/>
      <c r="P144" s="1805"/>
      <c r="Q144" s="1805"/>
      <c r="R144" s="1805"/>
    </row>
    <row r="145" spans="12:18">
      <c r="L145" s="1490"/>
      <c r="O145" s="1805"/>
      <c r="P145" s="1805"/>
      <c r="Q145" s="1805"/>
      <c r="R145" s="1805"/>
    </row>
    <row r="146" spans="12:18">
      <c r="L146" s="1490"/>
      <c r="O146" s="1805"/>
      <c r="P146" s="1805"/>
      <c r="Q146" s="1805"/>
      <c r="R146" s="1805"/>
    </row>
    <row r="147" spans="12:18">
      <c r="L147" s="1490"/>
      <c r="O147" s="1805"/>
      <c r="P147" s="1805"/>
      <c r="Q147" s="1805"/>
      <c r="R147" s="1805"/>
    </row>
    <row r="148" spans="12:18">
      <c r="L148" s="1490"/>
      <c r="O148" s="1805"/>
      <c r="P148" s="1805"/>
      <c r="Q148" s="1805"/>
      <c r="R148" s="1805"/>
    </row>
    <row r="149" spans="12:18">
      <c r="L149" s="1490"/>
      <c r="O149" s="1805"/>
      <c r="P149" s="1805"/>
      <c r="Q149" s="1805"/>
      <c r="R149" s="1805"/>
    </row>
    <row r="150" spans="12:18">
      <c r="L150" s="1490"/>
      <c r="O150" s="1805"/>
      <c r="P150" s="1805"/>
      <c r="Q150" s="1805"/>
      <c r="R150" s="1805"/>
    </row>
    <row r="151" spans="12:18">
      <c r="L151" s="1490"/>
      <c r="O151" s="1805"/>
      <c r="P151" s="1805"/>
      <c r="Q151" s="1805"/>
      <c r="R151" s="1805"/>
    </row>
    <row r="152" spans="12:18">
      <c r="L152" s="1490"/>
      <c r="O152" s="1805"/>
      <c r="P152" s="1805"/>
      <c r="Q152" s="1805"/>
      <c r="R152" s="1805"/>
    </row>
    <row r="153" spans="12:18">
      <c r="L153" s="1490"/>
      <c r="O153" s="1805"/>
      <c r="P153" s="1805"/>
      <c r="Q153" s="1805"/>
      <c r="R153" s="1805"/>
    </row>
    <row r="154" spans="12:18">
      <c r="L154" s="1490"/>
      <c r="O154" s="1805"/>
      <c r="P154" s="1805"/>
      <c r="Q154" s="1805"/>
      <c r="R154" s="1805"/>
    </row>
    <row r="155" spans="12:18">
      <c r="L155" s="1490"/>
      <c r="O155" s="1805"/>
      <c r="P155" s="1805"/>
      <c r="Q155" s="1805"/>
      <c r="R155" s="1805"/>
    </row>
    <row r="156" spans="12:18">
      <c r="L156" s="1490"/>
      <c r="O156" s="1805"/>
      <c r="P156" s="1805"/>
      <c r="Q156" s="1805"/>
      <c r="R156" s="1805"/>
    </row>
    <row r="157" spans="12:18">
      <c r="L157" s="1490"/>
      <c r="O157" s="1805"/>
      <c r="P157" s="1805"/>
      <c r="Q157" s="1805"/>
      <c r="R157" s="1805"/>
    </row>
    <row r="158" spans="12:18">
      <c r="L158" s="1490"/>
      <c r="O158" s="1805"/>
      <c r="P158" s="1805"/>
      <c r="Q158" s="1805"/>
      <c r="R158" s="1805"/>
    </row>
    <row r="159" spans="12:18">
      <c r="L159" s="1490"/>
      <c r="O159" s="1805"/>
      <c r="P159" s="1805"/>
      <c r="Q159" s="1805"/>
      <c r="R159" s="1805"/>
    </row>
    <row r="160" spans="12:18">
      <c r="L160" s="1490"/>
      <c r="O160" s="1805"/>
      <c r="P160" s="1805"/>
      <c r="Q160" s="1805"/>
      <c r="R160" s="1805"/>
    </row>
    <row r="161" spans="12:18">
      <c r="L161" s="1490"/>
      <c r="O161" s="1805"/>
      <c r="P161" s="1805"/>
      <c r="Q161" s="1805"/>
      <c r="R161" s="1805"/>
    </row>
    <row r="162" spans="12:18">
      <c r="L162" s="1490"/>
      <c r="O162" s="1805"/>
      <c r="P162" s="1805"/>
      <c r="Q162" s="1805"/>
      <c r="R162" s="1805"/>
    </row>
    <row r="163" spans="12:18">
      <c r="L163" s="1490"/>
      <c r="O163" s="1805"/>
      <c r="P163" s="1805"/>
      <c r="Q163" s="1805"/>
      <c r="R163" s="1805"/>
    </row>
    <row r="164" spans="12:18">
      <c r="L164" s="1490"/>
      <c r="O164" s="1805"/>
      <c r="P164" s="1805"/>
      <c r="Q164" s="1805"/>
      <c r="R164" s="1805"/>
    </row>
    <row r="165" spans="12:18">
      <c r="L165" s="1490"/>
      <c r="O165" s="1805"/>
      <c r="P165" s="1805"/>
      <c r="Q165" s="1805"/>
      <c r="R165" s="1805"/>
    </row>
    <row r="166" spans="12:18">
      <c r="L166" s="1490"/>
      <c r="O166" s="1805"/>
      <c r="P166" s="1805"/>
      <c r="Q166" s="1805"/>
      <c r="R166" s="1805"/>
    </row>
    <row r="167" spans="12:18">
      <c r="L167" s="1490"/>
      <c r="O167" s="1805"/>
      <c r="P167" s="1805"/>
      <c r="Q167" s="1805"/>
      <c r="R167" s="1805"/>
    </row>
    <row r="168" spans="12:18">
      <c r="L168" s="1490"/>
      <c r="O168" s="1805"/>
      <c r="P168" s="1805"/>
      <c r="Q168" s="1805"/>
      <c r="R168" s="1805"/>
    </row>
    <row r="169" spans="12:18">
      <c r="L169" s="1490"/>
      <c r="O169" s="1805"/>
      <c r="P169" s="1805"/>
      <c r="Q169" s="1805"/>
      <c r="R169" s="1805"/>
    </row>
    <row r="170" spans="12:18">
      <c r="L170" s="1490"/>
      <c r="O170" s="1805"/>
      <c r="P170" s="1805"/>
      <c r="Q170" s="1805"/>
      <c r="R170" s="1805"/>
    </row>
    <row r="171" spans="12:18">
      <c r="L171" s="1490"/>
      <c r="O171" s="1805"/>
      <c r="P171" s="1805"/>
      <c r="Q171" s="1805"/>
      <c r="R171" s="1805"/>
    </row>
    <row r="172" spans="12:18">
      <c r="L172" s="1490"/>
      <c r="O172" s="1805"/>
      <c r="P172" s="1805"/>
      <c r="Q172" s="1805"/>
      <c r="R172" s="1805"/>
    </row>
    <row r="173" spans="12:18">
      <c r="L173" s="1490"/>
      <c r="O173" s="1805"/>
      <c r="P173" s="1805"/>
      <c r="Q173" s="1805"/>
      <c r="R173" s="1805"/>
    </row>
    <row r="174" spans="12:18">
      <c r="L174" s="1490"/>
      <c r="O174" s="1805"/>
      <c r="P174" s="1805"/>
      <c r="Q174" s="1805"/>
      <c r="R174" s="1805"/>
    </row>
    <row r="175" spans="12:18">
      <c r="L175" s="1490"/>
      <c r="O175" s="1805"/>
      <c r="P175" s="1805"/>
      <c r="Q175" s="1805"/>
      <c r="R175" s="1805"/>
    </row>
    <row r="176" spans="12:18">
      <c r="L176" s="1490"/>
      <c r="O176" s="1805"/>
      <c r="P176" s="1805"/>
      <c r="Q176" s="1805"/>
      <c r="R176" s="1805"/>
    </row>
    <row r="177" spans="12:18">
      <c r="L177" s="1490"/>
      <c r="O177" s="1805"/>
      <c r="P177" s="1805"/>
      <c r="Q177" s="1805"/>
      <c r="R177" s="1805"/>
    </row>
    <row r="178" spans="12:18">
      <c r="L178" s="1490"/>
      <c r="O178" s="1805"/>
      <c r="P178" s="1805"/>
      <c r="Q178" s="1805"/>
      <c r="R178" s="1805"/>
    </row>
    <row r="179" spans="12:18">
      <c r="L179" s="1490"/>
      <c r="O179" s="1805"/>
      <c r="P179" s="1805"/>
      <c r="Q179" s="1805"/>
      <c r="R179" s="1805"/>
    </row>
    <row r="180" spans="12:18">
      <c r="L180" s="1490"/>
      <c r="O180" s="1805"/>
      <c r="P180" s="1805"/>
      <c r="Q180" s="1805"/>
      <c r="R180" s="1805"/>
    </row>
    <row r="181" spans="12:18">
      <c r="L181" s="1490"/>
      <c r="O181" s="1805"/>
      <c r="P181" s="1805"/>
      <c r="Q181" s="1805"/>
      <c r="R181" s="1805"/>
    </row>
    <row r="182" spans="12:18">
      <c r="L182" s="1490"/>
      <c r="O182" s="1805"/>
      <c r="P182" s="1805"/>
      <c r="Q182" s="1805"/>
      <c r="R182" s="1805"/>
    </row>
    <row r="183" spans="12:18">
      <c r="L183" s="1490"/>
      <c r="O183" s="1805"/>
      <c r="P183" s="1805"/>
      <c r="Q183" s="1805"/>
      <c r="R183" s="1805"/>
    </row>
    <row r="184" spans="12:18">
      <c r="L184" s="1490"/>
      <c r="O184" s="1805"/>
      <c r="P184" s="1805"/>
      <c r="Q184" s="1805"/>
      <c r="R184" s="1805"/>
    </row>
    <row r="185" spans="12:18">
      <c r="L185" s="1490"/>
      <c r="O185" s="1805"/>
      <c r="P185" s="1805"/>
      <c r="Q185" s="1805"/>
      <c r="R185" s="1805"/>
    </row>
    <row r="186" spans="12:18">
      <c r="L186" s="1490"/>
      <c r="O186" s="1805"/>
      <c r="P186" s="1805"/>
      <c r="Q186" s="1805"/>
      <c r="R186" s="1805"/>
    </row>
    <row r="187" spans="12:18">
      <c r="L187" s="1490"/>
      <c r="O187" s="1805"/>
      <c r="P187" s="1805"/>
      <c r="Q187" s="1805"/>
      <c r="R187" s="1805"/>
    </row>
    <row r="188" spans="12:18">
      <c r="L188" s="1490"/>
      <c r="O188" s="1805"/>
      <c r="P188" s="1805"/>
      <c r="Q188" s="1805"/>
      <c r="R188" s="1805"/>
    </row>
    <row r="189" spans="12:18">
      <c r="L189" s="1490"/>
      <c r="O189" s="1805"/>
      <c r="P189" s="1805"/>
      <c r="Q189" s="1805"/>
      <c r="R189" s="1805"/>
    </row>
    <row r="190" spans="12:18">
      <c r="L190" s="1490"/>
      <c r="O190" s="1805"/>
      <c r="P190" s="1805"/>
      <c r="Q190" s="1805"/>
      <c r="R190" s="1805"/>
    </row>
    <row r="191" spans="12:18">
      <c r="L191" s="1490"/>
      <c r="O191" s="1805"/>
      <c r="P191" s="1805"/>
      <c r="Q191" s="1805"/>
      <c r="R191" s="1805"/>
    </row>
    <row r="192" spans="12:18">
      <c r="L192" s="1490"/>
      <c r="O192" s="1805"/>
      <c r="P192" s="1805"/>
      <c r="Q192" s="1805"/>
      <c r="R192" s="1805"/>
    </row>
    <row r="193" spans="12:18">
      <c r="L193" s="1490"/>
      <c r="O193" s="1805"/>
      <c r="P193" s="1805"/>
      <c r="Q193" s="1805"/>
      <c r="R193" s="1805"/>
    </row>
    <row r="194" spans="12:18">
      <c r="L194" s="1490"/>
      <c r="O194" s="1805"/>
      <c r="P194" s="1805"/>
      <c r="Q194" s="1805"/>
      <c r="R194" s="1805"/>
    </row>
    <row r="195" spans="12:18">
      <c r="L195" s="1490"/>
      <c r="O195" s="1805"/>
      <c r="P195" s="1805"/>
      <c r="Q195" s="1805"/>
      <c r="R195" s="1805"/>
    </row>
    <row r="196" spans="12:18">
      <c r="L196" s="1490"/>
      <c r="O196" s="1805"/>
      <c r="P196" s="1805"/>
      <c r="Q196" s="1805"/>
      <c r="R196" s="1805"/>
    </row>
    <row r="197" spans="12:18">
      <c r="L197" s="1490"/>
      <c r="O197" s="1805"/>
      <c r="P197" s="1805"/>
      <c r="Q197" s="1805"/>
      <c r="R197" s="1805"/>
    </row>
    <row r="198" spans="12:18">
      <c r="L198" s="1490"/>
      <c r="O198" s="1805"/>
      <c r="P198" s="1805"/>
      <c r="Q198" s="1805"/>
      <c r="R198" s="1805"/>
    </row>
    <row r="199" spans="12:18">
      <c r="L199" s="1490"/>
      <c r="O199" s="1805"/>
      <c r="P199" s="1805"/>
      <c r="Q199" s="1805"/>
      <c r="R199" s="1805"/>
    </row>
    <row r="200" spans="12:18">
      <c r="L200" s="1490"/>
      <c r="O200" s="1805"/>
      <c r="P200" s="1805"/>
      <c r="Q200" s="1805"/>
      <c r="R200" s="1805"/>
    </row>
    <row r="201" spans="12:18">
      <c r="L201" s="1490"/>
      <c r="O201" s="1805"/>
      <c r="P201" s="1805"/>
      <c r="Q201" s="1805"/>
      <c r="R201" s="1805"/>
    </row>
    <row r="202" spans="12:18">
      <c r="L202" s="1490"/>
      <c r="O202" s="1805"/>
      <c r="P202" s="1805"/>
      <c r="Q202" s="1805"/>
      <c r="R202" s="1805"/>
    </row>
    <row r="203" spans="12:18">
      <c r="L203" s="1490"/>
      <c r="O203" s="1805"/>
      <c r="P203" s="1805"/>
      <c r="Q203" s="1805"/>
      <c r="R203" s="1805"/>
    </row>
    <row r="204" spans="12:18">
      <c r="L204" s="1490"/>
      <c r="O204" s="1805"/>
      <c r="P204" s="1805"/>
      <c r="Q204" s="1805"/>
      <c r="R204" s="1805"/>
    </row>
    <row r="205" spans="12:18">
      <c r="L205" s="1490"/>
      <c r="O205" s="1805"/>
      <c r="P205" s="1805"/>
      <c r="Q205" s="1805"/>
      <c r="R205" s="1805"/>
    </row>
    <row r="206" spans="12:18">
      <c r="L206" s="1490"/>
      <c r="O206" s="1805"/>
      <c r="P206" s="1805"/>
      <c r="Q206" s="1805"/>
      <c r="R206" s="1805"/>
    </row>
    <row r="207" spans="12:18">
      <c r="L207" s="1490"/>
      <c r="O207" s="1805"/>
      <c r="P207" s="1805"/>
      <c r="Q207" s="1805"/>
      <c r="R207" s="1805"/>
    </row>
    <row r="208" spans="12:18">
      <c r="L208" s="1490"/>
      <c r="O208" s="1805"/>
      <c r="P208" s="1805"/>
      <c r="Q208" s="1805"/>
      <c r="R208" s="1805"/>
    </row>
    <row r="209" spans="12:18">
      <c r="L209" s="1490"/>
      <c r="O209" s="1805"/>
      <c r="P209" s="1805"/>
      <c r="Q209" s="1805"/>
      <c r="R209" s="1805"/>
    </row>
    <row r="210" spans="12:18">
      <c r="L210" s="1490"/>
      <c r="O210" s="1805"/>
      <c r="P210" s="1805"/>
      <c r="Q210" s="1805"/>
      <c r="R210" s="1805"/>
    </row>
    <row r="211" spans="12:18">
      <c r="L211" s="1490"/>
      <c r="O211" s="1805"/>
      <c r="P211" s="1805"/>
      <c r="Q211" s="1805"/>
      <c r="R211" s="1805"/>
    </row>
    <row r="212" spans="12:18">
      <c r="L212" s="1490"/>
      <c r="O212" s="1805"/>
      <c r="P212" s="1805"/>
      <c r="Q212" s="1805"/>
      <c r="R212" s="1805"/>
    </row>
    <row r="213" spans="12:18">
      <c r="L213" s="1490"/>
      <c r="O213" s="1805"/>
      <c r="P213" s="1805"/>
      <c r="Q213" s="1805"/>
      <c r="R213" s="1805"/>
    </row>
    <row r="214" spans="12:18">
      <c r="L214" s="1490"/>
      <c r="O214" s="1805"/>
      <c r="P214" s="1805"/>
      <c r="Q214" s="1805"/>
      <c r="R214" s="1805"/>
    </row>
    <row r="215" spans="12:18">
      <c r="L215" s="1490"/>
      <c r="O215" s="1805"/>
      <c r="P215" s="1805"/>
      <c r="Q215" s="1805"/>
      <c r="R215" s="1805"/>
    </row>
    <row r="216" spans="12:18">
      <c r="L216" s="1490"/>
      <c r="O216" s="1805"/>
      <c r="P216" s="1805"/>
      <c r="Q216" s="1805"/>
      <c r="R216" s="1805"/>
    </row>
    <row r="217" spans="12:18">
      <c r="L217" s="1490"/>
      <c r="O217" s="1805"/>
      <c r="P217" s="1805"/>
      <c r="Q217" s="1805"/>
      <c r="R217" s="1805"/>
    </row>
    <row r="218" spans="12:18">
      <c r="L218" s="1490"/>
      <c r="O218" s="1805"/>
      <c r="P218" s="1805"/>
      <c r="Q218" s="1805"/>
      <c r="R218" s="1805"/>
    </row>
    <row r="219" spans="12:18">
      <c r="L219" s="1490"/>
      <c r="O219" s="1805"/>
      <c r="P219" s="1805"/>
      <c r="Q219" s="1805"/>
      <c r="R219" s="1805"/>
    </row>
    <row r="220" spans="12:18">
      <c r="L220" s="1490"/>
      <c r="O220" s="1805"/>
      <c r="P220" s="1805"/>
      <c r="Q220" s="1805"/>
      <c r="R220" s="1805"/>
    </row>
    <row r="221" spans="12:18">
      <c r="L221" s="1490"/>
      <c r="O221" s="1805"/>
      <c r="P221" s="1805"/>
      <c r="Q221" s="1805"/>
      <c r="R221" s="1805"/>
    </row>
    <row r="222" spans="12:18">
      <c r="L222" s="1490"/>
      <c r="O222" s="1805"/>
      <c r="P222" s="1805"/>
      <c r="Q222" s="1805"/>
      <c r="R222" s="1805"/>
    </row>
    <row r="223" spans="12:18">
      <c r="L223" s="1490"/>
      <c r="O223" s="1805"/>
      <c r="P223" s="1805"/>
      <c r="Q223" s="1805"/>
      <c r="R223" s="1805"/>
    </row>
    <row r="224" spans="12:18">
      <c r="L224" s="1490"/>
      <c r="O224" s="1805"/>
      <c r="P224" s="1805"/>
      <c r="Q224" s="1805"/>
      <c r="R224" s="1805"/>
    </row>
    <row r="225" spans="12:18">
      <c r="L225" s="1490"/>
      <c r="O225" s="1805"/>
      <c r="P225" s="1805"/>
      <c r="Q225" s="1805"/>
      <c r="R225" s="1805"/>
    </row>
    <row r="226" spans="12:18">
      <c r="L226" s="1490"/>
      <c r="O226" s="1805"/>
      <c r="P226" s="1805"/>
      <c r="Q226" s="1805"/>
      <c r="R226" s="1805"/>
    </row>
    <row r="227" spans="12:18">
      <c r="L227" s="1490"/>
      <c r="O227" s="1805"/>
      <c r="P227" s="1805"/>
      <c r="Q227" s="1805"/>
      <c r="R227" s="1805"/>
    </row>
    <row r="228" spans="12:18">
      <c r="L228" s="1490"/>
      <c r="O228" s="1805"/>
      <c r="P228" s="1805"/>
      <c r="Q228" s="1805"/>
      <c r="R228" s="1805"/>
    </row>
    <row r="229" spans="12:18">
      <c r="L229" s="1490"/>
      <c r="O229" s="1805"/>
      <c r="P229" s="1805"/>
      <c r="Q229" s="1805"/>
      <c r="R229" s="1805"/>
    </row>
    <row r="230" spans="12:18">
      <c r="L230" s="1490"/>
      <c r="O230" s="1805"/>
      <c r="P230" s="1805"/>
      <c r="Q230" s="1805"/>
      <c r="R230" s="1805"/>
    </row>
    <row r="231" spans="12:18">
      <c r="L231" s="1490"/>
      <c r="O231" s="1805"/>
      <c r="P231" s="1805"/>
      <c r="Q231" s="1805"/>
      <c r="R231" s="1805"/>
    </row>
    <row r="232" spans="12:18">
      <c r="L232" s="1490"/>
      <c r="O232" s="1805"/>
      <c r="P232" s="1805"/>
      <c r="Q232" s="1805"/>
      <c r="R232" s="1805"/>
    </row>
    <row r="233" spans="12:18">
      <c r="L233" s="1490"/>
      <c r="O233" s="1805"/>
      <c r="P233" s="1805"/>
      <c r="Q233" s="1805"/>
      <c r="R233" s="1805"/>
    </row>
    <row r="234" spans="12:18">
      <c r="L234" s="1490"/>
      <c r="O234" s="1805"/>
      <c r="P234" s="1805"/>
      <c r="Q234" s="1805"/>
      <c r="R234" s="1805"/>
    </row>
    <row r="235" spans="12:18">
      <c r="L235" s="1490"/>
      <c r="O235" s="1805"/>
      <c r="P235" s="1805"/>
      <c r="Q235" s="1805"/>
      <c r="R235" s="1805"/>
    </row>
    <row r="236" spans="12:18">
      <c r="L236" s="1490"/>
      <c r="O236" s="1805"/>
      <c r="P236" s="1805"/>
      <c r="Q236" s="1805"/>
      <c r="R236" s="1805"/>
    </row>
    <row r="237" spans="12:18">
      <c r="L237" s="1490"/>
      <c r="O237" s="1805"/>
      <c r="P237" s="1805"/>
      <c r="Q237" s="1805"/>
      <c r="R237" s="1805"/>
    </row>
    <row r="238" spans="12:18">
      <c r="L238" s="1490"/>
      <c r="O238" s="1805"/>
      <c r="P238" s="1805"/>
      <c r="Q238" s="1805"/>
      <c r="R238" s="1805"/>
    </row>
    <row r="239" spans="12:18">
      <c r="L239" s="1490"/>
      <c r="O239" s="1805"/>
      <c r="P239" s="1805"/>
      <c r="Q239" s="1805"/>
      <c r="R239" s="1805"/>
    </row>
    <row r="240" spans="12:18">
      <c r="L240" s="1490"/>
      <c r="O240" s="1805"/>
      <c r="P240" s="1805"/>
      <c r="Q240" s="1805"/>
      <c r="R240" s="1805"/>
    </row>
    <row r="241" spans="12:18">
      <c r="L241" s="1490"/>
      <c r="O241" s="1805"/>
      <c r="P241" s="1805"/>
      <c r="Q241" s="1805"/>
      <c r="R241" s="1805"/>
    </row>
    <row r="242" spans="12:18">
      <c r="L242" s="1490"/>
      <c r="O242" s="1805"/>
      <c r="P242" s="1805"/>
      <c r="Q242" s="1805"/>
      <c r="R242" s="1805"/>
    </row>
    <row r="243" spans="12:18">
      <c r="L243" s="1490"/>
      <c r="O243" s="1805"/>
      <c r="P243" s="1805"/>
      <c r="Q243" s="1805"/>
      <c r="R243" s="1805"/>
    </row>
    <row r="244" spans="12:18">
      <c r="L244" s="1490"/>
      <c r="O244" s="1805"/>
      <c r="P244" s="1805"/>
      <c r="Q244" s="1805"/>
      <c r="R244" s="1805"/>
    </row>
    <row r="245" spans="12:18">
      <c r="L245" s="1490"/>
      <c r="O245" s="1805"/>
      <c r="P245" s="1805"/>
      <c r="Q245" s="1805"/>
      <c r="R245" s="1805"/>
    </row>
    <row r="246" spans="12:18">
      <c r="L246" s="1490"/>
      <c r="O246" s="1805"/>
      <c r="P246" s="1805"/>
      <c r="Q246" s="1805"/>
      <c r="R246" s="1805"/>
    </row>
    <row r="247" spans="12:18">
      <c r="L247" s="1490"/>
      <c r="O247" s="1805"/>
      <c r="P247" s="1805"/>
      <c r="Q247" s="1805"/>
      <c r="R247" s="1805"/>
    </row>
    <row r="248" spans="12:18">
      <c r="O248" s="1805"/>
      <c r="P248" s="1805"/>
      <c r="Q248" s="1805"/>
      <c r="R248" s="1805"/>
    </row>
  </sheetData>
  <sheetProtection algorithmName="SHA-512" hashValue="71zPrB8a7+Iv14kMngupGb7gq0fq62lfu6UEPD8hzWQ4p9i5tTY3Qm56nhv3nkJ5PxfgowsCWm9WFjUvTYmFiA==" saltValue="eT0bmQXsBlyYayKEu2l6bQ==" spinCount="100000" sheet="1" objects="1" scenarios="1"/>
  <mergeCells count="6">
    <mergeCell ref="H3:K3"/>
    <mergeCell ref="H37:K37"/>
    <mergeCell ref="H70:K70"/>
    <mergeCell ref="F3:G3"/>
    <mergeCell ref="F37:G37"/>
    <mergeCell ref="F70:G70"/>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7">
    <tabColor rgb="FF00B0F0"/>
    <pageSetUpPr fitToPage="1"/>
  </sheetPr>
  <dimension ref="A1:BA607"/>
  <sheetViews>
    <sheetView showGridLines="0" showWhiteSpace="0" zoomScale="70" zoomScaleNormal="70" zoomScaleSheetLayoutView="80" zoomScalePageLayoutView="85" workbookViewId="0">
      <selection activeCell="A19" sqref="A19"/>
    </sheetView>
  </sheetViews>
  <sheetFormatPr baseColWidth="10" defaultColWidth="11.44140625" defaultRowHeight="14.4"/>
  <cols>
    <col min="1" max="1" width="67.21875" style="945" customWidth="1"/>
    <col min="2" max="2" width="22.77734375" style="945" customWidth="1"/>
    <col min="3" max="3" width="33.77734375" style="945" customWidth="1"/>
    <col min="4" max="4" width="25" style="945" customWidth="1"/>
    <col min="5" max="5" width="28.5546875" style="945" customWidth="1"/>
    <col min="6" max="6" width="30.21875" style="945" customWidth="1"/>
    <col min="7" max="7" width="21.5546875" style="945" customWidth="1"/>
    <col min="8" max="8" width="19.77734375" style="945" customWidth="1"/>
    <col min="9" max="9" width="18.44140625" style="997" customWidth="1"/>
    <col min="10" max="10" width="29.21875" style="945" hidden="1" customWidth="1"/>
    <col min="11" max="11" width="36.109375" style="945" hidden="1" customWidth="1"/>
    <col min="12" max="12" width="26.77734375" style="945" hidden="1" customWidth="1"/>
    <col min="13" max="13" width="55.77734375" style="945" hidden="1" customWidth="1"/>
    <col min="14" max="19" width="29.21875" style="945" hidden="1" customWidth="1"/>
    <col min="20" max="42" width="29.21875" style="946" hidden="1" customWidth="1"/>
    <col min="43" max="43" width="104.21875" style="946" hidden="1" customWidth="1"/>
    <col min="44" max="44" width="6.5546875" style="946" hidden="1" customWidth="1"/>
    <col min="45" max="45" width="19.21875" style="946" hidden="1" customWidth="1"/>
    <col min="46" max="53" width="11.44140625" style="946" hidden="1" customWidth="1"/>
    <col min="54" max="99" width="11.44140625" style="946" customWidth="1"/>
    <col min="100" max="16384" width="11.44140625" style="946"/>
  </cols>
  <sheetData>
    <row r="1" spans="1:36" ht="22.8">
      <c r="A1" s="2106" t="s">
        <v>1183</v>
      </c>
      <c r="B1" s="2107"/>
      <c r="C1" s="2107"/>
      <c r="D1" s="2107"/>
      <c r="E1" s="2107"/>
      <c r="F1" s="2107"/>
      <c r="G1" s="2107"/>
      <c r="H1" s="2107"/>
      <c r="I1" s="2108"/>
      <c r="J1" s="943"/>
      <c r="K1" s="944"/>
      <c r="L1" s="944"/>
    </row>
    <row r="2" spans="1:36">
      <c r="A2" s="2109" t="s">
        <v>1182</v>
      </c>
      <c r="B2" s="2110"/>
      <c r="C2" s="2110"/>
      <c r="D2" s="2110"/>
      <c r="E2" s="2110"/>
      <c r="F2" s="2110"/>
      <c r="G2" s="2110"/>
      <c r="H2" s="2110"/>
      <c r="I2" s="2111"/>
      <c r="J2" s="944"/>
      <c r="K2" s="944"/>
      <c r="L2" s="944"/>
    </row>
    <row r="3" spans="1:36">
      <c r="A3" s="363" t="s">
        <v>1183</v>
      </c>
      <c r="B3" s="173" t="s">
        <v>1205</v>
      </c>
      <c r="C3" s="173"/>
      <c r="D3" s="173"/>
      <c r="E3" s="173"/>
      <c r="F3" s="173"/>
      <c r="G3" s="173"/>
      <c r="H3" s="173"/>
      <c r="I3" s="99"/>
      <c r="J3" s="944"/>
      <c r="K3" s="944"/>
      <c r="L3" s="944"/>
    </row>
    <row r="4" spans="1:36" ht="18">
      <c r="A4" s="2112" t="s">
        <v>334</v>
      </c>
      <c r="B4" s="2113"/>
      <c r="C4" s="2113"/>
      <c r="D4" s="2113"/>
      <c r="E4" s="2113"/>
      <c r="F4" s="2113"/>
      <c r="G4" s="834"/>
      <c r="H4" s="1206"/>
      <c r="I4" s="342"/>
      <c r="J4" s="944"/>
      <c r="K4" s="944"/>
      <c r="L4" s="944"/>
    </row>
    <row r="5" spans="1:36" ht="15" hidden="1" customHeight="1">
      <c r="A5" s="364" t="s">
        <v>101</v>
      </c>
      <c r="B5" s="501">
        <v>0</v>
      </c>
      <c r="C5" s="162"/>
      <c r="D5" s="162"/>
      <c r="E5" s="162"/>
      <c r="F5" s="162"/>
      <c r="G5" s="162"/>
      <c r="H5" s="162"/>
      <c r="I5" s="365"/>
      <c r="J5" s="944"/>
      <c r="K5" s="944"/>
      <c r="L5" s="944"/>
    </row>
    <row r="6" spans="1:36">
      <c r="A6" s="336" t="s">
        <v>2549</v>
      </c>
      <c r="B6" s="1522">
        <f>I7+I6</f>
        <v>0</v>
      </c>
      <c r="C6" s="356" t="s">
        <v>336</v>
      </c>
      <c r="D6" s="173"/>
      <c r="E6" s="2114" t="s">
        <v>2552</v>
      </c>
      <c r="F6" s="2114"/>
      <c r="G6" s="835"/>
      <c r="H6" s="1207"/>
      <c r="I6" s="403">
        <f>$B$11*(100%-$B$5)</f>
        <v>0</v>
      </c>
      <c r="J6" s="947"/>
      <c r="K6" s="944"/>
      <c r="L6" s="944"/>
    </row>
    <row r="7" spans="1:36">
      <c r="A7" s="557" t="s">
        <v>2550</v>
      </c>
      <c r="B7" s="322">
        <f>$B$12*(100%-$B$5)</f>
        <v>0</v>
      </c>
      <c r="C7" s="173"/>
      <c r="D7" s="173"/>
      <c r="E7" s="359" t="s">
        <v>76</v>
      </c>
      <c r="F7" s="357"/>
      <c r="G7" s="357"/>
      <c r="H7" s="357"/>
      <c r="I7" s="403">
        <f>IF(B571=V11,IF(Y11&gt;X11,Y11,X11),IF(B571=V12,IF(Y12&gt;X12,Y12,X12),IF(B571=V13,IF(Y13&gt;X13,Y13,X13),IF(B571=V14,IF(Y14&gt;X14,Y14,X14),IF(B571=V15,IF(Y15&gt;X15,Y15,X15),0)))))</f>
        <v>0</v>
      </c>
      <c r="J7" s="944"/>
      <c r="K7" s="944"/>
      <c r="L7" s="944"/>
    </row>
    <row r="8" spans="1:36">
      <c r="A8" s="336" t="s">
        <v>2551</v>
      </c>
      <c r="B8" s="322">
        <f>E281+D289+E286</f>
        <v>0</v>
      </c>
      <c r="C8" s="173"/>
      <c r="D8" s="173"/>
      <c r="E8" s="173"/>
      <c r="F8" s="173"/>
      <c r="G8" s="173"/>
      <c r="H8" s="173"/>
      <c r="I8" s="404"/>
      <c r="J8" s="944"/>
      <c r="K8" s="944"/>
      <c r="L8" s="944"/>
      <c r="Q8" s="945" t="s">
        <v>1089</v>
      </c>
    </row>
    <row r="9" spans="1:36">
      <c r="A9" s="336" t="s">
        <v>303</v>
      </c>
      <c r="B9" s="322">
        <f>IF(B571=V11,IF(Z11&gt;X11,Z11,0),IF(B571=V12,IF(Z12&gt;X12,Z12,0),IF(B571=V13,IF(Z13&gt;X13,Z13,0),IF(B571=V14,IF(Z14&gt;X14,Z14,0),IF(B571=V15,IF(Z15&gt;X15,Z15,0),0)))))</f>
        <v>0</v>
      </c>
      <c r="C9" s="173"/>
      <c r="D9" s="173"/>
      <c r="E9" s="173"/>
      <c r="F9" s="173"/>
      <c r="G9" s="173"/>
      <c r="H9" s="173"/>
      <c r="I9" s="404"/>
      <c r="J9" s="944"/>
      <c r="K9" s="944"/>
      <c r="L9" s="944"/>
      <c r="Q9" s="945" t="s">
        <v>1090</v>
      </c>
      <c r="AF9" s="946" t="s">
        <v>867</v>
      </c>
      <c r="AG9" s="946" t="s">
        <v>869</v>
      </c>
      <c r="AH9" s="946" t="s">
        <v>870</v>
      </c>
      <c r="AI9" s="946" t="s">
        <v>868</v>
      </c>
      <c r="AJ9" s="946" t="s">
        <v>872</v>
      </c>
    </row>
    <row r="10" spans="1:36">
      <c r="A10" s="1729"/>
      <c r="B10" s="1730"/>
      <c r="C10" s="1730"/>
      <c r="D10" s="173"/>
      <c r="E10" s="173"/>
      <c r="F10" s="173"/>
      <c r="G10" s="173"/>
      <c r="H10" s="173"/>
      <c r="I10" s="404"/>
      <c r="J10" s="944"/>
      <c r="K10" s="944"/>
      <c r="L10" s="944"/>
      <c r="Q10" s="945" t="s">
        <v>1091</v>
      </c>
      <c r="U10" s="966">
        <v>0</v>
      </c>
      <c r="V10" s="948" t="s">
        <v>83</v>
      </c>
      <c r="W10" s="949"/>
      <c r="X10" s="950"/>
      <c r="Y10" s="951" t="s">
        <v>292</v>
      </c>
      <c r="Z10" s="951" t="s">
        <v>293</v>
      </c>
      <c r="AE10" s="952" t="s">
        <v>83</v>
      </c>
      <c r="AF10" s="953">
        <v>0</v>
      </c>
      <c r="AG10" s="954" t="s">
        <v>407</v>
      </c>
      <c r="AH10" s="954" t="s">
        <v>407</v>
      </c>
      <c r="AI10" s="955">
        <v>0</v>
      </c>
      <c r="AJ10" s="956">
        <f>$B$11*AF10</f>
        <v>0</v>
      </c>
    </row>
    <row r="11" spans="1:36" hidden="1">
      <c r="A11" s="2242" t="s">
        <v>299</v>
      </c>
      <c r="B11" s="2243">
        <f>C163+C165+C157+C158+C155+C267+C273+C16+F36+F49+C276+C609+C212+C213+C293+F99+F54+D281+C201+C356+C357+C358+F378+C208+C209+C214+C215+C216+C217+C218+C230+C191+C308+D474+D477+D483+D486+C409+C435+C298+F170+C359+E416+D489+C198+C146+F134+F139+F129+C156+F121+C442+D449+I346+D350+C202+C203+C364+E423+E430+D286+C164+B468+G323+C151+D492+C241+C207+C516+D523+G179+D289+D290+H183+D530+C249+B314+A400+C206+G457+C270+C371+B495+C233+D547+D552+G559+C159+C160+C253+E468+C561+D567+C257+C303+C261+G330+I337+C342</f>
        <v>0</v>
      </c>
      <c r="C11" s="47"/>
      <c r="D11" s="162"/>
      <c r="E11" s="162"/>
      <c r="F11" s="173"/>
      <c r="G11" s="173"/>
      <c r="H11" s="173"/>
      <c r="I11" s="404"/>
      <c r="J11" s="944"/>
      <c r="K11" s="944"/>
      <c r="L11" s="944"/>
      <c r="Q11" s="945" t="s">
        <v>1092</v>
      </c>
      <c r="U11" s="957">
        <v>0.01</v>
      </c>
      <c r="V11" s="948" t="s">
        <v>252</v>
      </c>
      <c r="W11" s="949">
        <v>7.4999999999999997E-2</v>
      </c>
      <c r="X11" s="958">
        <v>69</v>
      </c>
      <c r="Y11" s="958">
        <f>W11*$B$11</f>
        <v>0</v>
      </c>
      <c r="Z11" s="958">
        <f>W11*$B$12</f>
        <v>0</v>
      </c>
      <c r="AE11" s="952" t="s">
        <v>252</v>
      </c>
      <c r="AF11" s="960">
        <v>7.4999999999999997E-2</v>
      </c>
      <c r="AG11" s="954" t="s">
        <v>407</v>
      </c>
      <c r="AH11" s="954" t="s">
        <v>407</v>
      </c>
      <c r="AI11" s="961">
        <v>69</v>
      </c>
      <c r="AJ11" s="956">
        <f t="shared" ref="AJ11:AJ20" si="0">$B$11*AF11</f>
        <v>0</v>
      </c>
    </row>
    <row r="12" spans="1:36" hidden="1">
      <c r="A12" s="2242" t="s">
        <v>298</v>
      </c>
      <c r="B12" s="2243">
        <f>G99+G129+G134+G139+G121+E449</f>
        <v>0</v>
      </c>
      <c r="C12" s="47"/>
      <c r="D12" s="162"/>
      <c r="E12" s="328"/>
      <c r="F12" s="173"/>
      <c r="G12" s="173"/>
      <c r="H12" s="173"/>
      <c r="I12" s="404"/>
      <c r="J12" s="944"/>
      <c r="K12" s="944"/>
      <c r="L12" s="944"/>
      <c r="R12" s="966"/>
      <c r="U12" s="957">
        <v>0.02</v>
      </c>
      <c r="V12" s="948" t="s">
        <v>89</v>
      </c>
      <c r="W12" s="949">
        <v>0.1</v>
      </c>
      <c r="X12" s="958">
        <v>199</v>
      </c>
      <c r="Y12" s="958">
        <f>W12*$B$11</f>
        <v>0</v>
      </c>
      <c r="Z12" s="958">
        <f>W12*$B$12</f>
        <v>0</v>
      </c>
      <c r="AE12" s="2079" t="s">
        <v>89</v>
      </c>
      <c r="AF12" s="953">
        <v>0.1</v>
      </c>
      <c r="AG12" s="962">
        <v>1990</v>
      </c>
      <c r="AH12" s="962">
        <v>10000</v>
      </c>
      <c r="AI12" s="961">
        <v>199</v>
      </c>
      <c r="AJ12" s="956">
        <f t="shared" si="0"/>
        <v>0</v>
      </c>
    </row>
    <row r="13" spans="1:36">
      <c r="A13" s="367"/>
      <c r="B13" s="47"/>
      <c r="C13" s="47"/>
      <c r="D13" s="201"/>
      <c r="E13" s="201"/>
      <c r="F13" s="201"/>
      <c r="G13" s="201"/>
      <c r="H13" s="201"/>
      <c r="I13" s="404"/>
      <c r="J13" s="944"/>
      <c r="K13" s="944"/>
      <c r="L13" s="944"/>
      <c r="R13" s="966"/>
      <c r="T13" s="1383" t="s">
        <v>1100</v>
      </c>
      <c r="U13" s="957">
        <v>0.03</v>
      </c>
      <c r="V13" s="948" t="s">
        <v>21</v>
      </c>
      <c r="W13" s="949">
        <v>0.12</v>
      </c>
      <c r="X13" s="958">
        <v>899</v>
      </c>
      <c r="Y13" s="958">
        <f>W13*$B$11</f>
        <v>0</v>
      </c>
      <c r="Z13" s="958">
        <f>W13*$B$12</f>
        <v>0</v>
      </c>
      <c r="AE13" s="2080"/>
      <c r="AF13" s="953">
        <v>7.0000000000000007E-2</v>
      </c>
      <c r="AG13" s="962">
        <v>10000.001</v>
      </c>
      <c r="AH13" s="962">
        <v>80000</v>
      </c>
      <c r="AI13" s="961"/>
      <c r="AJ13" s="956">
        <f t="shared" si="0"/>
        <v>0</v>
      </c>
    </row>
    <row r="14" spans="1:36" ht="23.4">
      <c r="A14" s="343" t="s">
        <v>335</v>
      </c>
      <c r="B14" s="920" t="s">
        <v>337</v>
      </c>
      <c r="C14" s="344"/>
      <c r="D14" s="346"/>
      <c r="E14" s="346"/>
      <c r="F14" s="347"/>
      <c r="G14" s="347"/>
      <c r="H14" s="347"/>
      <c r="I14" s="348"/>
      <c r="J14" s="944"/>
      <c r="K14" s="944"/>
      <c r="L14" s="944"/>
      <c r="R14" s="966"/>
      <c r="T14" s="712" t="s">
        <v>1108</v>
      </c>
      <c r="U14" s="957">
        <v>0.04</v>
      </c>
      <c r="V14" s="948" t="s">
        <v>317</v>
      </c>
      <c r="W14" s="949">
        <v>0.05</v>
      </c>
      <c r="X14" s="958">
        <v>0</v>
      </c>
      <c r="Y14" s="958">
        <f>W14*$B$11</f>
        <v>0</v>
      </c>
      <c r="Z14" s="958">
        <f>W14*$B$12</f>
        <v>0</v>
      </c>
      <c r="AE14" s="2080"/>
      <c r="AF14" s="953">
        <v>0.05</v>
      </c>
      <c r="AG14" s="962">
        <v>80000.001000000004</v>
      </c>
      <c r="AH14" s="962">
        <v>250000</v>
      </c>
      <c r="AI14" s="961"/>
      <c r="AJ14" s="956">
        <f t="shared" si="0"/>
        <v>0</v>
      </c>
    </row>
    <row r="15" spans="1:36" ht="13.5" customHeight="1">
      <c r="A15" s="2099" t="s">
        <v>236</v>
      </c>
      <c r="B15" s="2100"/>
      <c r="C15" s="368" t="s">
        <v>18</v>
      </c>
      <c r="D15" s="64"/>
      <c r="E15" s="64"/>
      <c r="F15" s="64"/>
      <c r="G15" s="64"/>
      <c r="H15" s="64"/>
      <c r="I15" s="404"/>
      <c r="J15" s="944"/>
      <c r="K15" s="944"/>
      <c r="L15" s="944"/>
      <c r="R15" s="966"/>
      <c r="T15" s="712" t="s">
        <v>1109</v>
      </c>
      <c r="U15" s="957">
        <v>0.05</v>
      </c>
      <c r="V15" s="948" t="s">
        <v>2335</v>
      </c>
      <c r="W15" s="949">
        <v>0.17</v>
      </c>
      <c r="X15" s="958">
        <v>2000</v>
      </c>
      <c r="Y15" s="958">
        <f>W15*$B$11</f>
        <v>0</v>
      </c>
      <c r="Z15" s="958">
        <f>W15*$B$12</f>
        <v>0</v>
      </c>
      <c r="AE15" s="2081"/>
      <c r="AF15" s="953">
        <v>0.03</v>
      </c>
      <c r="AG15" s="962">
        <v>250000.00099999999</v>
      </c>
      <c r="AH15" s="962"/>
      <c r="AI15" s="961"/>
      <c r="AJ15" s="956">
        <f t="shared" si="0"/>
        <v>0</v>
      </c>
    </row>
    <row r="16" spans="1:36" ht="13.5" customHeight="1">
      <c r="A16" s="369" t="s">
        <v>236</v>
      </c>
      <c r="B16" s="370">
        <f>SUM(E19:E34)+SUM(E41:E43)+SUM(E80:E97)+SUM(E47:E48)+SUM(E102:E119)+SUM(E132:E133)+SUM(E137:E138)</f>
        <v>0</v>
      </c>
      <c r="C16" s="371">
        <f>(SUM(E19:E34)+SUM(E80:E97)+SUM(E47:E48)+SUM(E102:E119)+SUM(E132:E133)+SUM(E137:E138))*'Liste de prix Public EUROPE'!$C$1082*730</f>
        <v>0</v>
      </c>
      <c r="D16" s="64"/>
      <c r="E16" s="64"/>
      <c r="F16" s="64"/>
      <c r="G16" s="64"/>
      <c r="H16" s="64"/>
      <c r="I16" s="404"/>
      <c r="J16" s="944"/>
      <c r="K16" s="944"/>
      <c r="L16" s="944"/>
      <c r="R16" s="966"/>
      <c r="T16" s="712" t="s">
        <v>1110</v>
      </c>
      <c r="U16" s="966">
        <v>0.06</v>
      </c>
      <c r="AE16" s="2079" t="s">
        <v>21</v>
      </c>
      <c r="AF16" s="953">
        <v>0.1</v>
      </c>
      <c r="AG16" s="962">
        <v>8990</v>
      </c>
      <c r="AH16" s="962">
        <v>150000</v>
      </c>
      <c r="AI16" s="961">
        <v>899</v>
      </c>
      <c r="AJ16" s="956">
        <f t="shared" si="0"/>
        <v>0</v>
      </c>
    </row>
    <row r="17" spans="1:36" ht="13.5" customHeight="1">
      <c r="A17" s="372"/>
      <c r="B17" s="69"/>
      <c r="C17" s="64"/>
      <c r="D17" s="64"/>
      <c r="E17" s="64"/>
      <c r="F17" s="64"/>
      <c r="G17" s="64"/>
      <c r="H17" s="64"/>
      <c r="I17" s="404"/>
      <c r="J17" s="944"/>
      <c r="K17" s="944"/>
      <c r="L17" s="944"/>
      <c r="R17" s="966"/>
      <c r="T17" s="712" t="s">
        <v>1111</v>
      </c>
      <c r="U17" s="957">
        <v>7.0000000000000007E-2</v>
      </c>
      <c r="AE17" s="2080"/>
      <c r="AF17" s="953">
        <v>7.0000000000000007E-2</v>
      </c>
      <c r="AG17" s="962">
        <v>150000.00099999999</v>
      </c>
      <c r="AH17" s="962">
        <v>500000</v>
      </c>
      <c r="AI17" s="961"/>
      <c r="AJ17" s="956">
        <f t="shared" si="0"/>
        <v>0</v>
      </c>
    </row>
    <row r="18" spans="1:36">
      <c r="A18" s="559" t="s">
        <v>234</v>
      </c>
      <c r="B18" s="368" t="s">
        <v>80</v>
      </c>
      <c r="C18" s="368" t="s">
        <v>73</v>
      </c>
      <c r="D18" s="368" t="s">
        <v>330</v>
      </c>
      <c r="E18" s="368" t="s">
        <v>74</v>
      </c>
      <c r="F18" s="368" t="s">
        <v>18</v>
      </c>
      <c r="G18" s="846"/>
      <c r="H18" s="846"/>
      <c r="I18" s="404"/>
      <c r="J18" s="944"/>
      <c r="K18" s="944"/>
      <c r="L18" s="944"/>
      <c r="R18" s="966"/>
      <c r="T18" s="712" t="s">
        <v>1112</v>
      </c>
      <c r="U18" s="957">
        <v>0.1</v>
      </c>
      <c r="AE18" s="2080"/>
      <c r="AF18" s="953">
        <v>0.05</v>
      </c>
      <c r="AG18" s="962">
        <v>500000.00099999999</v>
      </c>
      <c r="AH18" s="962">
        <v>1000000</v>
      </c>
      <c r="AI18" s="961"/>
      <c r="AJ18" s="956">
        <f t="shared" si="0"/>
        <v>0</v>
      </c>
    </row>
    <row r="19" spans="1:36">
      <c r="A19" s="585"/>
      <c r="B19" s="415"/>
      <c r="C19" s="416"/>
      <c r="D19" s="417"/>
      <c r="E19" s="417"/>
      <c r="F19" s="1660">
        <f>IF(C19&lt;90%,(IF(D19=$V$19,VLOOKUP(A19,'Liste de prix Public EUROPE'!$B$9:$H$174,6,FALSE),IF(D19=$V$20,VLOOKUP(A19, 'Liste de prix Public EUROPE'!$B$9:$H$174,6,FALSE)+(VLOOKUP(A19,'Liste de prix Public EUROPE'!$B$378:$H$545,6,FALSE)),IF(D19=$V$21,VLOOKUP(A19,'Liste de prix Public EUROPE'!$B$9:$H$174,6,FALSE)+ (VLOOKUP(A19,'Liste de prix Public EUROPE'!$B$559:$H$700,6,FALSE)),IF(D19=$V$22,VLOOKUP(A19,'Liste de prix Public EUROPE'!$B$9:$H$174,6,FALSE)+ (VLOOKUP(A19,'Liste de prix Public EUROPE'!$B$1303:$H$1344,6,FALSE)),IF(D19=$V$25,VLOOKUP(A19,'Liste de prix Public EUROPE'!$B$9:$H$174,6,FALSE)+(VLOOKUP(A19,'Liste de prix Public EUROPE'!$B$1354:$H$1403,6,FALSE)),IF(D19=$V$26,VLOOKUP(A19,'Liste de prix Public EUROPE'!$B$9:$H$174,6,FALSE)+(VLOOKUP(A19,'Liste de prix Public EUROPE'!$B$1407:$H$1451,6,FALSE)),IF(D19=$V$28,VLOOKUP(A19,'Liste de prix Public EUROPE'!$B$9:$H$174,6,FALSE)+ (VLOOKUP(A19,'Liste de prix Public EUROPE'!$B$1506:$H$1565,6,FALSE)),IF(D19=$V$23,VLOOKUP(A19,'Liste de prix Public EUROPE'!$B$9:$H$174,6,FALSE)+( VLOOKUP(A19,'Liste de prix Public EUROPE'!$B$834:H$974,6,FALSE)),IF(D19=$V$24,VLOOKUP(A19,'Liste de prix Public EUROPE'!$B$9:$H$174,6,FALSE)+( VLOOKUP(A19,'Liste de prix Public EUROPE'!$B704:$H$829,6,FALSE)),IF(D19=$V$27,VLOOKUP(A19,'Liste de prix Public EUROPE'!$B$9:$H$169,6,FALSE)+( VLOOKUP(A19,'Liste de prix Public EUROPE'!$B$1455:$H$1502,6,FALSE)),FALSE))))))))))*730*C19*B19),
(IF(D19=$V$19,VLOOKUP(A19,'Liste de prix Public EUROPE'!$B$9:$H$174,7,FALSE),IF(D19=$V$20, VLOOKUP(A19,'Liste de prix Public EUROPE'!$B$9:$H$174,7,FALSE)+(VLOOKUP(A19,'Liste de prix Public EUROPE'!$B$378:$H$547,7,FALSE)),IF(D19=$V$21, VLOOKUP(A19,'Liste de prix Public EUROPE'!$B$9:$H$174,7,FALSE)+(VLOOKUP(A19,'Liste de prix Public EUROPE'!$B$559:$H$700,7,FALSE)),IF(D19=$V$22, VLOOKUP(A19,'Liste de prix Public EUROPE'!$B$9:$H$174,7,FALSE)+(VLOOKUP(A19,'Liste de prix Public EUROPE'!$B$1303:$H$1344,7,FALSE)),IF(D19=$V$25, VLOOKUP(A19,'Liste de prix Public EUROPE'!$B$9:$H$174,7,FALSE)+(VLOOKUP(A19,'Liste de prix Public EUROPE'!$B$1354:$H$1403,7,FALSE)),IF(D19=$V$26, VLOOKUP(A19,'Liste de prix Public EUROPE'!$B$9:$H$174,7,FALSE)+(VLOOKUP(A19,'Liste de prix Public EUROPE'!$B$1407:$H$1451,7,FALSE)),IF(D19=$V$28, VLOOKUP(A19,'Liste de prix Public EUROPE'!$B$9:$H$174,7,FALSE)+(VLOOKUP(A19,'Liste de prix Public EUROPE'!$B$1506:$H$1565,7,FALSE)),IF(D19=$V$23, VLOOKUP(A19,'Liste de prix Public EUROPE'!$B$9:$H$174,7,FALSE)+(VLOOKUP(A19,'Liste de prix Public EUROPE'!$B$834:$H$974,7,FALSE)),IF(D19=$V$24, VLOOKUP(A19,'Liste de prix Public EUROPE'!$B$9:$H$174,7,FALSE)+(VLOOKUP(A19,'Liste de prix Public EUROPE'!$B$704:$H$829,7,FALSE)),IF(D19=$V$27, VLOOKUP(A19,'Liste de prix Public EUROPE'!$B$9:$H$174,7,FALSE)+(VLOOKUP(A19,'Liste de prix Public EUROPE'!$B$1503:$H$1506,7,FALSE)),FALSE))))))))))*B19))</f>
        <v>0</v>
      </c>
      <c r="G19" s="842"/>
      <c r="H19" s="842"/>
      <c r="I19" s="404"/>
      <c r="J19" s="944"/>
      <c r="K19" s="967"/>
      <c r="L19" s="944"/>
      <c r="R19" s="966"/>
      <c r="T19" s="712" t="s">
        <v>1113</v>
      </c>
      <c r="U19" s="966">
        <v>0.12</v>
      </c>
      <c r="V19" s="946" t="s">
        <v>7</v>
      </c>
      <c r="W19" s="946" t="s">
        <v>7</v>
      </c>
      <c r="AE19" s="2081"/>
      <c r="AF19" s="953">
        <v>0.03</v>
      </c>
      <c r="AG19" s="962">
        <v>1000000.001</v>
      </c>
      <c r="AH19" s="962"/>
      <c r="AI19" s="961"/>
      <c r="AJ19" s="956">
        <f t="shared" si="0"/>
        <v>0</v>
      </c>
    </row>
    <row r="20" spans="1:36">
      <c r="A20" s="585"/>
      <c r="B20" s="628"/>
      <c r="C20" s="854"/>
      <c r="D20" s="417"/>
      <c r="E20" s="417"/>
      <c r="F20" s="1660">
        <f>IF(C20&lt;90%,(IF(D20=$V$19,VLOOKUP(A20,'Liste de prix Public EUROPE'!$B$9:$H$174,6,FALSE),IF(D20=$V$20,VLOOKUP(A20, 'Liste de prix Public EUROPE'!$B$9:$H$174,6,FALSE)+(VLOOKUP(A20,'Liste de prix Public EUROPE'!$B$378:$H$547,6,FALSE)),IF(D20=$V$21,VLOOKUP(A20,'Liste de prix Public EUROPE'!$B$9:$H$174,6,FALSE)+ (VLOOKUP(A20,'Liste de prix Public EUROPE'!$B$559:$H$700,6,FALSE)),IF(D20=$V$22,VLOOKUP(A20,'Liste de prix Public EUROPE'!$B$9:$H$174,6,FALSE)+ (VLOOKUP(A20,'Liste de prix Public EUROPE'!$B$1303:$H$1344,6,FALSE)),IF(D20=$V$25,VLOOKUP(A20,'Liste de prix Public EUROPE'!$B$9:$H$174,6,FALSE)+(VLOOKUP(A20,'Liste de prix Public EUROPE'!$B$1354:$H$1403,6,FALSE)),IF(D20=$V$26,VLOOKUP(A20,'Liste de prix Public EUROPE'!$B$9:$H$174,6,FALSE)+(VLOOKUP(A20,'Liste de prix Public EUROPE'!$B$1407:$H$1451,6,FALSE)),IF(D20=$V$28,VLOOKUP(A20,'Liste de prix Public EUROPE'!$B$9:$H$174,6,FALSE)+ (VLOOKUP(A20,'Liste de prix Public EUROPE'!$B$1506:$H$1565,6,FALSE)),IF(D20=$V$23,VLOOKUP(A20,'Liste de prix Public EUROPE'!$B$9:$H$174,6,FALSE)+( VLOOKUP(A20,'Liste de prix Public EUROPE'!$B$834:H$974,6,FALSE)),IF(D20=$V$24,VLOOKUP(A20,'Liste de prix Public EUROPE'!$B$9:$H$174,6,FALSE)+( VLOOKUP(A20,'Liste de prix Public EUROPE'!$B705:$H$829,6,FALSE)),IF(D20=$V$27,VLOOKUP(A20,'Liste de prix Public EUROPE'!$B$9:$H$169,6,FALSE)+( VLOOKUP(A20,'Liste de prix Public EUROPE'!$B$1455:$H$1502,6,FALSE)),FALSE))))))))))*730*C20*B20),
(IF(D20=$V$19,VLOOKUP(A20,'Liste de prix Public EUROPE'!$B$9:$H$174,7,FALSE),IF(D20=$V$20, VLOOKUP(A20,'Liste de prix Public EUROPE'!$B$9:$H$174,7,FALSE)+(VLOOKUP(A20,'Liste de prix Public EUROPE'!$B$378:$H$547,7,FALSE)),IF(D20=$V$21, VLOOKUP(A20,'Liste de prix Public EUROPE'!$B$9:$H$174,7,FALSE)+(VLOOKUP(A20,'Liste de prix Public EUROPE'!$B$559:$H$700,7,FALSE)),IF(D20=$V$22, VLOOKUP(A20,'Liste de prix Public EUROPE'!$B$9:$H$174,7,FALSE)+(VLOOKUP(A20,'Liste de prix Public EUROPE'!$B$1303:$H$1344,7,FALSE)),IF(D20=$V$25, VLOOKUP(A20,'Liste de prix Public EUROPE'!$B$9:$H$174,7,FALSE)+(VLOOKUP(A20,'Liste de prix Public EUROPE'!$B$1354:$H$1403,7,FALSE)),IF(D20=$V$26, VLOOKUP(A20,'Liste de prix Public EUROPE'!$B$9:$H$174,7,FALSE)+(VLOOKUP(A20,'Liste de prix Public EUROPE'!$B$1407:$H$1451,7,FALSE)),IF(D20=$V$28, VLOOKUP(A20,'Liste de prix Public EUROPE'!$B$9:$H$174,7,FALSE)+(VLOOKUP(A20,'Liste de prix Public EUROPE'!$B$1506:$H$1565,7,FALSE)),IF(D20=$V$23, VLOOKUP(A20,'Liste de prix Public EUROPE'!$B$9:$H$174,7,FALSE)+(VLOOKUP(A20,'Liste de prix Public EUROPE'!$B$834:$H$974,7,FALSE)),IF(D20=$V$24, VLOOKUP(A20,'Liste de prix Public EUROPE'!$B$9:$H$174,7,FALSE)+(VLOOKUP(A20,'Liste de prix Public EUROPE'!$B$704:$H$829,7,FALSE)),IF(D20=$V$27, VLOOKUP(A20,'Liste de prix Public EUROPE'!$B$9:$H$174,7,FALSE)+(VLOOKUP(A20,'Liste de prix Public EUROPE'!$B$1503:$H$1506,7,FALSE)),FALSE))))))))))*B20))</f>
        <v>0</v>
      </c>
      <c r="G20" s="842"/>
      <c r="H20" s="842"/>
      <c r="I20" s="404"/>
      <c r="J20" s="944"/>
      <c r="K20" s="967"/>
      <c r="L20" s="944"/>
      <c r="R20" s="966"/>
      <c r="T20" s="1163" t="s">
        <v>1829</v>
      </c>
      <c r="V20" s="946" t="s">
        <v>0</v>
      </c>
      <c r="W20" s="946" t="s">
        <v>0</v>
      </c>
      <c r="AE20" s="952" t="s">
        <v>317</v>
      </c>
      <c r="AF20" s="953">
        <v>0.05</v>
      </c>
      <c r="AG20" s="954" t="s">
        <v>407</v>
      </c>
      <c r="AH20" s="954" t="s">
        <v>407</v>
      </c>
      <c r="AI20" s="961">
        <v>0</v>
      </c>
      <c r="AJ20" s="956">
        <f t="shared" si="0"/>
        <v>0</v>
      </c>
    </row>
    <row r="21" spans="1:36">
      <c r="A21" s="585"/>
      <c r="B21" s="628"/>
      <c r="C21" s="854"/>
      <c r="D21" s="417"/>
      <c r="E21" s="417"/>
      <c r="F21" s="1660">
        <f>IF(C21&lt;90%,(IF(D21=$V$19,VLOOKUP(A21,'Liste de prix Public EUROPE'!$B$9:$H$174,6,FALSE),IF(D21=$V$20,VLOOKUP(A21, 'Liste de prix Public EUROPE'!$B$9:$H$174,6,FALSE)+(VLOOKUP(A21,'Liste de prix Public EUROPE'!$B$378:$H$547,6,FALSE)),IF(D21=$V$21,VLOOKUP(A21,'Liste de prix Public EUROPE'!$B$9:$H$174,6,FALSE)+ (VLOOKUP(A21,'Liste de prix Public EUROPE'!$B$559:$H$700,6,FALSE)),IF(D21=$V$22,VLOOKUP(A21,'Liste de prix Public EUROPE'!$B$9:$H$174,6,FALSE)+ (VLOOKUP(A21,'Liste de prix Public EUROPE'!$B$1303:$H$1344,6,FALSE)),IF(D21=$V$25,VLOOKUP(A21,'Liste de prix Public EUROPE'!$B$9:$H$174,6,FALSE)+(VLOOKUP(A21,'Liste de prix Public EUROPE'!$B$1354:$H$1403,6,FALSE)),IF(D21=$V$26,VLOOKUP(A21,'Liste de prix Public EUROPE'!$B$9:$H$174,6,FALSE)+(VLOOKUP(A21,'Liste de prix Public EUROPE'!$B$1407:$H$1451,6,FALSE)),IF(D21=$V$28,VLOOKUP(A21,'Liste de prix Public EUROPE'!$B$9:$H$174,6,FALSE)+ (VLOOKUP(A21,'Liste de prix Public EUROPE'!$B$1506:$H$1565,6,FALSE)),IF(D21=$V$23,VLOOKUP(A21,'Liste de prix Public EUROPE'!$B$9:$H$174,6,FALSE)+( VLOOKUP(A21,'Liste de prix Public EUROPE'!$B$834:H$974,6,FALSE)),IF(D21=$V$24,VLOOKUP(A21,'Liste de prix Public EUROPE'!$B$9:$H$174,6,FALSE)+( VLOOKUP(A21,'Liste de prix Public EUROPE'!$B706:$H$829,6,FALSE)),IF(D21=$V$27,VLOOKUP(A21,'Liste de prix Public EUROPE'!$B$9:$H$169,6,FALSE)+( VLOOKUP(A21,'Liste de prix Public EUROPE'!$B$1455:$H$1502,6,FALSE)),FALSE))))))))))*730*C21*B21),
(IF(D21=$V$19,VLOOKUP(A21,'Liste de prix Public EUROPE'!$B$9:$H$174,7,FALSE),IF(D21=$V$20, VLOOKUP(A21,'Liste de prix Public EUROPE'!$B$9:$H$174,7,FALSE)+(VLOOKUP(A21,'Liste de prix Public EUROPE'!$B$378:$H$547,7,FALSE)),IF(D21=$V$21, VLOOKUP(A21,'Liste de prix Public EUROPE'!$B$9:$H$174,7,FALSE)+(VLOOKUP(A21,'Liste de prix Public EUROPE'!$B$559:$H$700,7,FALSE)),IF(D21=$V$22, VLOOKUP(A21,'Liste de prix Public EUROPE'!$B$9:$H$174,7,FALSE)+(VLOOKUP(A21,'Liste de prix Public EUROPE'!$B$1303:$H$1344,7,FALSE)),IF(D21=$V$25, VLOOKUP(A21,'Liste de prix Public EUROPE'!$B$9:$H$174,7,FALSE)+(VLOOKUP(A21,'Liste de prix Public EUROPE'!$B$1354:$H$1403,7,FALSE)),IF(D21=$V$26, VLOOKUP(A21,'Liste de prix Public EUROPE'!$B$9:$H$174,7,FALSE)+(VLOOKUP(A21,'Liste de prix Public EUROPE'!$B$1407:$H$1451,7,FALSE)),IF(D21=$V$28, VLOOKUP(A21,'Liste de prix Public EUROPE'!$B$9:$H$174,7,FALSE)+(VLOOKUP(A21,'Liste de prix Public EUROPE'!$B$1506:$H$1565,7,FALSE)),IF(D21=$V$23, VLOOKUP(A21,'Liste de prix Public EUROPE'!$B$9:$H$174,7,FALSE)+(VLOOKUP(A21,'Liste de prix Public EUROPE'!$B$834:$H$974,7,FALSE)),IF(D21=$V$24, VLOOKUP(A21,'Liste de prix Public EUROPE'!$B$9:$H$174,7,FALSE)+(VLOOKUP(A21,'Liste de prix Public EUROPE'!$B$704:$H$829,7,FALSE)),IF(D21=$V$27, VLOOKUP(A21,'Liste de prix Public EUROPE'!$B$9:$H$174,7,FALSE)+(VLOOKUP(A21,'Liste de prix Public EUROPE'!$B$1503:$H$1506,7,FALSE)),FALSE))))))))))*B21))</f>
        <v>0</v>
      </c>
      <c r="G21" s="842"/>
      <c r="H21" s="842"/>
      <c r="I21" s="404"/>
      <c r="J21" s="944"/>
      <c r="K21" s="967"/>
      <c r="L21" s="944"/>
      <c r="R21" s="966"/>
      <c r="T21" s="1163" t="s">
        <v>1830</v>
      </c>
      <c r="V21" s="946" t="s">
        <v>17</v>
      </c>
      <c r="W21" s="946" t="s">
        <v>17</v>
      </c>
    </row>
    <row r="22" spans="1:36">
      <c r="A22" s="585"/>
      <c r="B22" s="628"/>
      <c r="C22" s="854"/>
      <c r="D22" s="417"/>
      <c r="E22" s="417"/>
      <c r="F22" s="1660">
        <f>IF(C22&lt;90%,(IF(D22=$V$19,VLOOKUP(A22,'Liste de prix Public EUROPE'!$B$9:$H$174,6,FALSE),IF(D22=$V$20,VLOOKUP(A22, 'Liste de prix Public EUROPE'!$B$9:$H$174,6,FALSE)+(VLOOKUP(A22,'Liste de prix Public EUROPE'!$B$378:$H$547,6,FALSE)),IF(D22=$V$21,VLOOKUP(A22,'Liste de prix Public EUROPE'!$B$9:$H$174,6,FALSE)+ (VLOOKUP(A22,'Liste de prix Public EUROPE'!$B$559:$H$700,6,FALSE)),IF(D22=$V$22,VLOOKUP(A22,'Liste de prix Public EUROPE'!$B$9:$H$174,6,FALSE)+ (VLOOKUP(A22,'Liste de prix Public EUROPE'!$B$1303:$H$1344,6,FALSE)),IF(D22=$V$25,VLOOKUP(A22,'Liste de prix Public EUROPE'!$B$9:$H$174,6,FALSE)+(VLOOKUP(A22,'Liste de prix Public EUROPE'!$B$1354:$H$1403,6,FALSE)),IF(D22=$V$26,VLOOKUP(A22,'Liste de prix Public EUROPE'!$B$9:$H$174,6,FALSE)+(VLOOKUP(A22,'Liste de prix Public EUROPE'!$B$1407:$H$1451,6,FALSE)),IF(D22=$V$28,VLOOKUP(A22,'Liste de prix Public EUROPE'!$B$9:$H$174,6,FALSE)+ (VLOOKUP(A22,'Liste de prix Public EUROPE'!$B$1506:$H$1565,6,FALSE)),IF(D22=$V$23,VLOOKUP(A22,'Liste de prix Public EUROPE'!$B$9:$H$174,6,FALSE)+( VLOOKUP(A22,'Liste de prix Public EUROPE'!$B$834:H$974,6,FALSE)),IF(D22=$V$24,VLOOKUP(A22,'Liste de prix Public EUROPE'!$B$9:$H$174,6,FALSE)+( VLOOKUP(A22,'Liste de prix Public EUROPE'!$B707:$H$829,6,FALSE)),IF(D22=$V$27,VLOOKUP(A22,'Liste de prix Public EUROPE'!$B$9:$H$169,6,FALSE)+( VLOOKUP(A22,'Liste de prix Public EUROPE'!$B$1455:$H$1502,6,FALSE)),FALSE))))))))))*730*C22*B22),
(IF(D22=$V$19,VLOOKUP(A22,'Liste de prix Public EUROPE'!$B$9:$H$174,7,FALSE),IF(D22=$V$20, VLOOKUP(A22,'Liste de prix Public EUROPE'!$B$9:$H$174,7,FALSE)+(VLOOKUP(A22,'Liste de prix Public EUROPE'!$B$378:$H$547,7,FALSE)),IF(D22=$V$21, VLOOKUP(A22,'Liste de prix Public EUROPE'!$B$9:$H$174,7,FALSE)+(VLOOKUP(A22,'Liste de prix Public EUROPE'!$B$559:$H$700,7,FALSE)),IF(D22=$V$22, VLOOKUP(A22,'Liste de prix Public EUROPE'!$B$9:$H$174,7,FALSE)+(VLOOKUP(A22,'Liste de prix Public EUROPE'!$B$1303:$H$1344,7,FALSE)),IF(D22=$V$25, VLOOKUP(A22,'Liste de prix Public EUROPE'!$B$9:$H$174,7,FALSE)+(VLOOKUP(A22,'Liste de prix Public EUROPE'!$B$1354:$H$1403,7,FALSE)),IF(D22=$V$26, VLOOKUP(A22,'Liste de prix Public EUROPE'!$B$9:$H$174,7,FALSE)+(VLOOKUP(A22,'Liste de prix Public EUROPE'!$B$1407:$H$1451,7,FALSE)),IF(D22=$V$28, VLOOKUP(A22,'Liste de prix Public EUROPE'!$B$9:$H$174,7,FALSE)+(VLOOKUP(A22,'Liste de prix Public EUROPE'!$B$1506:$H$1565,7,FALSE)),IF(D22=$V$23, VLOOKUP(A22,'Liste de prix Public EUROPE'!$B$9:$H$174,7,FALSE)+(VLOOKUP(A22,'Liste de prix Public EUROPE'!$B$834:$H$974,7,FALSE)),IF(D22=$V$24, VLOOKUP(A22,'Liste de prix Public EUROPE'!$B$9:$H$174,7,FALSE)+(VLOOKUP(A22,'Liste de prix Public EUROPE'!$B$704:$H$829,7,FALSE)),IF(D22=$V$27, VLOOKUP(A22,'Liste de prix Public EUROPE'!$B$9:$H$174,7,FALSE)+(VLOOKUP(A22,'Liste de prix Public EUROPE'!$B$1503:$H$1506,7,FALSE)),FALSE))))))))))*B22))</f>
        <v>0</v>
      </c>
      <c r="G22" s="842"/>
      <c r="H22" s="842"/>
      <c r="I22" s="404"/>
      <c r="J22" s="944"/>
      <c r="K22" s="967"/>
      <c r="L22" s="944"/>
      <c r="R22" s="966"/>
      <c r="T22" s="1163" t="s">
        <v>1831</v>
      </c>
      <c r="V22" s="946" t="s">
        <v>229</v>
      </c>
      <c r="W22" s="946" t="s">
        <v>273</v>
      </c>
    </row>
    <row r="23" spans="1:36" ht="16.5" customHeight="1">
      <c r="A23" s="585"/>
      <c r="B23" s="628"/>
      <c r="C23" s="854"/>
      <c r="D23" s="417"/>
      <c r="E23" s="417"/>
      <c r="F23" s="1660">
        <f>IF(C23&lt;90%,(IF(D23=$V$19,VLOOKUP(A23,'Liste de prix Public EUROPE'!$B$9:$H$174,6,FALSE),IF(D23=$V$20,VLOOKUP(A23, 'Liste de prix Public EUROPE'!$B$9:$H$174,6,FALSE)+(VLOOKUP(A23,'Liste de prix Public EUROPE'!$B$378:$H$547,6,FALSE)),IF(D23=$V$21,VLOOKUP(A23,'Liste de prix Public EUROPE'!$B$9:$H$174,6,FALSE)+ (VLOOKUP(A23,'Liste de prix Public EUROPE'!$B$559:$H$700,6,FALSE)),IF(D23=$V$22,VLOOKUP(A23,'Liste de prix Public EUROPE'!$B$9:$H$174,6,FALSE)+ (VLOOKUP(A23,'Liste de prix Public EUROPE'!$B$1303:$H$1344,6,FALSE)),IF(D23=$V$25,VLOOKUP(A23,'Liste de prix Public EUROPE'!$B$9:$H$174,6,FALSE)+(VLOOKUP(A23,'Liste de prix Public EUROPE'!$B$1354:$H$1403,6,FALSE)),IF(D23=$V$26,VLOOKUP(A23,'Liste de prix Public EUROPE'!$B$9:$H$174,6,FALSE)+(VLOOKUP(A23,'Liste de prix Public EUROPE'!$B$1407:$H$1451,6,FALSE)),IF(D23=$V$28,VLOOKUP(A23,'Liste de prix Public EUROPE'!$B$9:$H$174,6,FALSE)+ (VLOOKUP(A23,'Liste de prix Public EUROPE'!$B$1506:$H$1565,6,FALSE)),IF(D23=$V$23,VLOOKUP(A23,'Liste de prix Public EUROPE'!$B$9:$H$174,6,FALSE)+( VLOOKUP(A23,'Liste de prix Public EUROPE'!$B$834:H$974,6,FALSE)),IF(D23=$V$24,VLOOKUP(A23,'Liste de prix Public EUROPE'!$B$9:$H$174,6,FALSE)+( VLOOKUP(A23,'Liste de prix Public EUROPE'!$B708:$H$829,6,FALSE)),IF(D23=$V$27,VLOOKUP(A23,'Liste de prix Public EUROPE'!$B$9:$H$169,6,FALSE)+( VLOOKUP(A23,'Liste de prix Public EUROPE'!$B$1455:$H$1502,6,FALSE)),FALSE))))))))))*730*C23*B23),
(IF(D23=$V$19,VLOOKUP(A23,'Liste de prix Public EUROPE'!$B$9:$H$174,7,FALSE),IF(D23=$V$20, VLOOKUP(A23,'Liste de prix Public EUROPE'!$B$9:$H$174,7,FALSE)+(VLOOKUP(A23,'Liste de prix Public EUROPE'!$B$378:$H$547,7,FALSE)),IF(D23=$V$21, VLOOKUP(A23,'Liste de prix Public EUROPE'!$B$9:$H$174,7,FALSE)+(VLOOKUP(A23,'Liste de prix Public EUROPE'!$B$559:$H$700,7,FALSE)),IF(D23=$V$22, VLOOKUP(A23,'Liste de prix Public EUROPE'!$B$9:$H$174,7,FALSE)+(VLOOKUP(A23,'Liste de prix Public EUROPE'!$B$1303:$H$1344,7,FALSE)),IF(D23=$V$25, VLOOKUP(A23,'Liste de prix Public EUROPE'!$B$9:$H$174,7,FALSE)+(VLOOKUP(A23,'Liste de prix Public EUROPE'!$B$1354:$H$1403,7,FALSE)),IF(D23=$V$26, VLOOKUP(A23,'Liste de prix Public EUROPE'!$B$9:$H$174,7,FALSE)+(VLOOKUP(A23,'Liste de prix Public EUROPE'!$B$1407:$H$1451,7,FALSE)),IF(D23=$V$28, VLOOKUP(A23,'Liste de prix Public EUROPE'!$B$9:$H$174,7,FALSE)+(VLOOKUP(A23,'Liste de prix Public EUROPE'!$B$1506:$H$1565,7,FALSE)),IF(D23=$V$23, VLOOKUP(A23,'Liste de prix Public EUROPE'!$B$9:$H$174,7,FALSE)+(VLOOKUP(A23,'Liste de prix Public EUROPE'!$B$834:$H$974,7,FALSE)),IF(D23=$V$24, VLOOKUP(A23,'Liste de prix Public EUROPE'!$B$9:$H$174,7,FALSE)+(VLOOKUP(A23,'Liste de prix Public EUROPE'!$B$704:$H$829,7,FALSE)),IF(D23=$V$27, VLOOKUP(A23,'Liste de prix Public EUROPE'!$B$9:$H$174,7,FALSE)+(VLOOKUP(A23,'Liste de prix Public EUROPE'!$B$1503:$H$1506,7,FALSE)),FALSE))))))))))*B23))</f>
        <v>0</v>
      </c>
      <c r="G23" s="842"/>
      <c r="H23" s="842"/>
      <c r="I23" s="1076"/>
      <c r="J23" s="944"/>
      <c r="K23" s="967"/>
      <c r="L23" s="944"/>
      <c r="R23" s="966"/>
      <c r="T23" s="1163" t="s">
        <v>1832</v>
      </c>
      <c r="V23" s="946" t="s">
        <v>104</v>
      </c>
      <c r="AE23" s="968"/>
      <c r="AF23" s="969" t="s">
        <v>340</v>
      </c>
      <c r="AG23" s="2086" t="s">
        <v>341</v>
      </c>
      <c r="AH23" s="2087"/>
      <c r="AI23" s="2088"/>
      <c r="AJ23" s="970" t="s">
        <v>342</v>
      </c>
    </row>
    <row r="24" spans="1:36">
      <c r="A24" s="585"/>
      <c r="B24" s="628"/>
      <c r="C24" s="854"/>
      <c r="D24" s="417"/>
      <c r="E24" s="417"/>
      <c r="F24" s="1660">
        <f>IF(C24&lt;90%,(IF(D24=$V$19,VLOOKUP(A24,'Liste de prix Public EUROPE'!$B$9:$H$174,6,FALSE),IF(D24=$V$20,VLOOKUP(A24, 'Liste de prix Public EUROPE'!$B$9:$H$174,6,FALSE)+(VLOOKUP(A24,'Liste de prix Public EUROPE'!$B$378:$H$547,6,FALSE)),IF(D24=$V$21,VLOOKUP(A24,'Liste de prix Public EUROPE'!$B$9:$H$174,6,FALSE)+ (VLOOKUP(A24,'Liste de prix Public EUROPE'!$B$559:$H$700,6,FALSE)),IF(D24=$V$22,VLOOKUP(A24,'Liste de prix Public EUROPE'!$B$9:$H$174,6,FALSE)+ (VLOOKUP(A24,'Liste de prix Public EUROPE'!$B$1303:$H$1344,6,FALSE)),IF(D24=$V$25,VLOOKUP(A24,'Liste de prix Public EUROPE'!$B$9:$H$174,6,FALSE)+(VLOOKUP(A24,'Liste de prix Public EUROPE'!$B$1354:$H$1403,6,FALSE)),IF(D24=$V$26,VLOOKUP(A24,'Liste de prix Public EUROPE'!$B$9:$H$174,6,FALSE)+(VLOOKUP(A24,'Liste de prix Public EUROPE'!$B$1407:$H$1451,6,FALSE)),IF(D24=$V$28,VLOOKUP(A24,'Liste de prix Public EUROPE'!$B$9:$H$174,6,FALSE)+ (VLOOKUP(A24,'Liste de prix Public EUROPE'!$B$1506:$H$1565,6,FALSE)),IF(D24=$V$23,VLOOKUP(A24,'Liste de prix Public EUROPE'!$B$9:$H$174,6,FALSE)+( VLOOKUP(A24,'Liste de prix Public EUROPE'!$B$834:H$974,6,FALSE)),IF(D24=$V$24,VLOOKUP(A24,'Liste de prix Public EUROPE'!$B$9:$H$174,6,FALSE)+( VLOOKUP(A24,'Liste de prix Public EUROPE'!$B709:$H$829,6,FALSE)),IF(D24=$V$27,VLOOKUP(A24,'Liste de prix Public EUROPE'!$B$9:$H$169,6,FALSE)+( VLOOKUP(A24,'Liste de prix Public EUROPE'!$B$1455:$H$1502,6,FALSE)),FALSE))))))))))*730*C24*B24),
(IF(D24=$V$19,VLOOKUP(A24,'Liste de prix Public EUROPE'!$B$9:$H$174,7,FALSE),IF(D24=$V$20, VLOOKUP(A24,'Liste de prix Public EUROPE'!$B$9:$H$174,7,FALSE)+(VLOOKUP(A24,'Liste de prix Public EUROPE'!$B$378:$H$547,7,FALSE)),IF(D24=$V$21, VLOOKUP(A24,'Liste de prix Public EUROPE'!$B$9:$H$174,7,FALSE)+(VLOOKUP(A24,'Liste de prix Public EUROPE'!$B$559:$H$700,7,FALSE)),IF(D24=$V$22, VLOOKUP(A24,'Liste de prix Public EUROPE'!$B$9:$H$174,7,FALSE)+(VLOOKUP(A24,'Liste de prix Public EUROPE'!$B$1303:$H$1344,7,FALSE)),IF(D24=$V$25, VLOOKUP(A24,'Liste de prix Public EUROPE'!$B$9:$H$174,7,FALSE)+(VLOOKUP(A24,'Liste de prix Public EUROPE'!$B$1354:$H$1403,7,FALSE)),IF(D24=$V$26, VLOOKUP(A24,'Liste de prix Public EUROPE'!$B$9:$H$174,7,FALSE)+(VLOOKUP(A24,'Liste de prix Public EUROPE'!$B$1407:$H$1451,7,FALSE)),IF(D24=$V$28, VLOOKUP(A24,'Liste de prix Public EUROPE'!$B$9:$H$174,7,FALSE)+(VLOOKUP(A24,'Liste de prix Public EUROPE'!$B$1506:$H$1565,7,FALSE)),IF(D24=$V$23, VLOOKUP(A24,'Liste de prix Public EUROPE'!$B$9:$H$174,7,FALSE)+(VLOOKUP(A24,'Liste de prix Public EUROPE'!$B$834:$H$974,7,FALSE)),IF(D24=$V$24, VLOOKUP(A24,'Liste de prix Public EUROPE'!$B$9:$H$174,7,FALSE)+(VLOOKUP(A24,'Liste de prix Public EUROPE'!$B$704:$H$829,7,FALSE)),IF(D24=$V$27, VLOOKUP(A24,'Liste de prix Public EUROPE'!$B$9:$H$174,7,FALSE)+(VLOOKUP(A24,'Liste de prix Public EUROPE'!$B$1503:$H$1506,7,FALSE)),FALSE))))))))))*B24))</f>
        <v>0</v>
      </c>
      <c r="G24" s="842"/>
      <c r="H24" s="842"/>
      <c r="I24" s="1076"/>
      <c r="J24" s="944"/>
      <c r="K24" s="967"/>
      <c r="L24" s="944"/>
      <c r="R24" s="966"/>
      <c r="T24" s="1163" t="s">
        <v>1833</v>
      </c>
      <c r="V24" s="946" t="s">
        <v>273</v>
      </c>
      <c r="AE24" s="971" t="s">
        <v>107</v>
      </c>
      <c r="AF24" s="972" t="s">
        <v>89</v>
      </c>
      <c r="AG24" s="2089"/>
      <c r="AH24" s="2090"/>
      <c r="AI24" s="2091"/>
      <c r="AJ24" s="973">
        <f>IF($AF$24=$AE$12,IF(AH12&gt;$B$11&gt;$AG$12,AF12*$B$11,IF(AH13&gt;$B$11&gt;AG13,AF13*$B$11,IF(AH14&gt;$B$11&gt;AG14,AF14*$B$11,IF($B$11&gt;AG15,AF15*$B$11,AI$12)))))</f>
        <v>0</v>
      </c>
    </row>
    <row r="25" spans="1:36">
      <c r="A25" s="585"/>
      <c r="B25" s="628"/>
      <c r="C25" s="854"/>
      <c r="D25" s="417"/>
      <c r="E25" s="417"/>
      <c r="F25" s="1660">
        <f>IF(C25&lt;90%,(IF(D25=$V$19,VLOOKUP(A25,'Liste de prix Public EUROPE'!$B$9:$H$174,6,FALSE),IF(D25=$V$20,VLOOKUP(A25, 'Liste de prix Public EUROPE'!$B$9:$H$174,6,FALSE)+(VLOOKUP(A25,'Liste de prix Public EUROPE'!$B$378:$H$547,6,FALSE)),IF(D25=$V$21,VLOOKUP(A25,'Liste de prix Public EUROPE'!$B$9:$H$174,6,FALSE)+ (VLOOKUP(A25,'Liste de prix Public EUROPE'!$B$559:$H$700,6,FALSE)),IF(D25=$V$22,VLOOKUP(A25,'Liste de prix Public EUROPE'!$B$9:$H$174,6,FALSE)+ (VLOOKUP(A25,'Liste de prix Public EUROPE'!$B$1303:$H$1344,6,FALSE)),IF(D25=$V$25,VLOOKUP(A25,'Liste de prix Public EUROPE'!$B$9:$H$174,6,FALSE)+(VLOOKUP(A25,'Liste de prix Public EUROPE'!$B$1354:$H$1403,6,FALSE)),IF(D25=$V$26,VLOOKUP(A25,'Liste de prix Public EUROPE'!$B$9:$H$174,6,FALSE)+(VLOOKUP(A25,'Liste de prix Public EUROPE'!$B$1407:$H$1451,6,FALSE)),IF(D25=$V$28,VLOOKUP(A25,'Liste de prix Public EUROPE'!$B$9:$H$174,6,FALSE)+ (VLOOKUP(A25,'Liste de prix Public EUROPE'!$B$1506:$H$1565,6,FALSE)),IF(D25=$V$23,VLOOKUP(A25,'Liste de prix Public EUROPE'!$B$9:$H$174,6,FALSE)+( VLOOKUP(A25,'Liste de prix Public EUROPE'!$B$834:H$974,6,FALSE)),IF(D25=$V$24,VLOOKUP(A25,'Liste de prix Public EUROPE'!$B$9:$H$174,6,FALSE)+( VLOOKUP(A25,'Liste de prix Public EUROPE'!$B710:$H$829,6,FALSE)),IF(D25=$V$27,VLOOKUP(A25,'Liste de prix Public EUROPE'!$B$9:$H$169,6,FALSE)+( VLOOKUP(A25,'Liste de prix Public EUROPE'!$B$1455:$H$1502,6,FALSE)),FALSE))))))))))*730*C25*B25),
(IF(D25=$V$19,VLOOKUP(A25,'Liste de prix Public EUROPE'!$B$9:$H$174,7,FALSE),IF(D25=$V$20, VLOOKUP(A25,'Liste de prix Public EUROPE'!$B$9:$H$174,7,FALSE)+(VLOOKUP(A25,'Liste de prix Public EUROPE'!$B$378:$H$547,7,FALSE)),IF(D25=$V$21, VLOOKUP(A25,'Liste de prix Public EUROPE'!$B$9:$H$174,7,FALSE)+(VLOOKUP(A25,'Liste de prix Public EUROPE'!$B$559:$H$700,7,FALSE)),IF(D25=$V$22, VLOOKUP(A25,'Liste de prix Public EUROPE'!$B$9:$H$174,7,FALSE)+(VLOOKUP(A25,'Liste de prix Public EUROPE'!$B$1303:$H$1344,7,FALSE)),IF(D25=$V$25, VLOOKUP(A25,'Liste de prix Public EUROPE'!$B$9:$H$174,7,FALSE)+(VLOOKUP(A25,'Liste de prix Public EUROPE'!$B$1354:$H$1403,7,FALSE)),IF(D25=$V$26, VLOOKUP(A25,'Liste de prix Public EUROPE'!$B$9:$H$174,7,FALSE)+(VLOOKUP(A25,'Liste de prix Public EUROPE'!$B$1407:$H$1451,7,FALSE)),IF(D25=$V$28, VLOOKUP(A25,'Liste de prix Public EUROPE'!$B$9:$H$174,7,FALSE)+(VLOOKUP(A25,'Liste de prix Public EUROPE'!$B$1506:$H$1565,7,FALSE)),IF(D25=$V$23, VLOOKUP(A25,'Liste de prix Public EUROPE'!$B$9:$H$174,7,FALSE)+(VLOOKUP(A25,'Liste de prix Public EUROPE'!$B$834:$H$974,7,FALSE)),IF(D25=$V$24, VLOOKUP(A25,'Liste de prix Public EUROPE'!$B$9:$H$174,7,FALSE)+(VLOOKUP(A25,'Liste de prix Public EUROPE'!$B$704:$H$829,7,FALSE)),IF(D25=$V$27, VLOOKUP(A25,'Liste de prix Public EUROPE'!$B$9:$H$174,7,FALSE)+(VLOOKUP(A25,'Liste de prix Public EUROPE'!$B$1503:$H$1506,7,FALSE)),FALSE))))))))))*B25))</f>
        <v>0</v>
      </c>
      <c r="G25" s="842"/>
      <c r="H25" s="842"/>
      <c r="I25" s="404" t="str">
        <f>IF(A48='Deviseur EUROPE'!Q8,'Devis EUROPE'!D46*12,IF('Devis EUROPE'!A51='Deviseur EUROPE'!Q9,'Devis EUROPE'!D46*24,IF('Devis EUROPE'!A51='Deviseur EUROPE'!Q10,'Devis EUROPE'!D46*36,IF('Devis EUROPE'!A51='Deviseur EUROPE'!Q11,'Devis EUROPE'!D46*60," "))))</f>
        <v xml:space="preserve"> </v>
      </c>
      <c r="J25" s="974"/>
      <c r="K25" s="944"/>
      <c r="L25" s="944"/>
      <c r="R25" s="966" t="s">
        <v>2496</v>
      </c>
      <c r="T25" s="1163" t="s">
        <v>1834</v>
      </c>
      <c r="V25" s="946" t="s">
        <v>245</v>
      </c>
      <c r="AJ25" s="946" t="s">
        <v>871</v>
      </c>
    </row>
    <row r="26" spans="1:36">
      <c r="A26" s="585"/>
      <c r="B26" s="415"/>
      <c r="C26" s="416"/>
      <c r="D26" s="417"/>
      <c r="E26" s="417"/>
      <c r="F26" s="1660">
        <f>IF(C26&lt;90%,(IF(D26=$V$19,VLOOKUP(A26,'Liste de prix Public EUROPE'!$B$9:$H$174,6,FALSE),IF(D26=$V$20,VLOOKUP(A26, 'Liste de prix Public EUROPE'!$B$9:$H$174,6,FALSE)+(VLOOKUP(A26,'Liste de prix Public EUROPE'!$B$378:$H$547,6,FALSE)),IF(D26=$V$21,VLOOKUP(A26,'Liste de prix Public EUROPE'!$B$9:$H$174,6,FALSE)+ (VLOOKUP(A26,'Liste de prix Public EUROPE'!$B$559:$H$700,6,FALSE)),IF(D26=$V$22,VLOOKUP(A26,'Liste de prix Public EUROPE'!$B$9:$H$174,6,FALSE)+ (VLOOKUP(A26,'Liste de prix Public EUROPE'!$B$1303:$H$1344,6,FALSE)),IF(D26=$V$25,VLOOKUP(A26,'Liste de prix Public EUROPE'!$B$9:$H$174,6,FALSE)+(VLOOKUP(A26,'Liste de prix Public EUROPE'!$B$1354:$H$1403,6,FALSE)),IF(D26=$V$26,VLOOKUP(A26,'Liste de prix Public EUROPE'!$B$9:$H$174,6,FALSE)+(VLOOKUP(A26,'Liste de prix Public EUROPE'!$B$1407:$H$1451,6,FALSE)),IF(D26=$V$28,VLOOKUP(A26,'Liste de prix Public EUROPE'!$B$9:$H$174,6,FALSE)+ (VLOOKUP(A26,'Liste de prix Public EUROPE'!$B$1506:$H$1565,6,FALSE)),IF(D26=$V$23,VLOOKUP(A26,'Liste de prix Public EUROPE'!$B$9:$H$174,6,FALSE)+( VLOOKUP(A26,'Liste de prix Public EUROPE'!$B$834:H$974,6,FALSE)),IF(D26=$V$24,VLOOKUP(A26,'Liste de prix Public EUROPE'!$B$9:$H$174,6,FALSE)+( VLOOKUP(A26,'Liste de prix Public EUROPE'!$B711:$H$829,6,FALSE)),IF(D26=$V$27,VLOOKUP(A26,'Liste de prix Public EUROPE'!$B$9:$H$169,6,FALSE)+( VLOOKUP(A26,'Liste de prix Public EUROPE'!$B$1455:$H$1502,6,FALSE)),FALSE))))))))))*730*C26*B26),
(IF(D26=$V$19,VLOOKUP(A26,'Liste de prix Public EUROPE'!$B$9:$H$174,7,FALSE),IF(D26=$V$20, VLOOKUP(A26,'Liste de prix Public EUROPE'!$B$9:$H$174,7,FALSE)+(VLOOKUP(A26,'Liste de prix Public EUROPE'!$B$378:$H$547,7,FALSE)),IF(D26=$V$21, VLOOKUP(A26,'Liste de prix Public EUROPE'!$B$9:$H$174,7,FALSE)+(VLOOKUP(A26,'Liste de prix Public EUROPE'!$B$559:$H$700,7,FALSE)),IF(D26=$V$22, VLOOKUP(A26,'Liste de prix Public EUROPE'!$B$9:$H$174,7,FALSE)+(VLOOKUP(A26,'Liste de prix Public EUROPE'!$B$1303:$H$1344,7,FALSE)),IF(D26=$V$25, VLOOKUP(A26,'Liste de prix Public EUROPE'!$B$9:$H$174,7,FALSE)+(VLOOKUP(A26,'Liste de prix Public EUROPE'!$B$1354:$H$1403,7,FALSE)),IF(D26=$V$26, VLOOKUP(A26,'Liste de prix Public EUROPE'!$B$9:$H$174,7,FALSE)+(VLOOKUP(A26,'Liste de prix Public EUROPE'!$B$1407:$H$1451,7,FALSE)),IF(D26=$V$28, VLOOKUP(A26,'Liste de prix Public EUROPE'!$B$9:$H$174,7,FALSE)+(VLOOKUP(A26,'Liste de prix Public EUROPE'!$B$1506:$H$1565,7,FALSE)),IF(D26=$V$23, VLOOKUP(A26,'Liste de prix Public EUROPE'!$B$9:$H$174,7,FALSE)+(VLOOKUP(A26,'Liste de prix Public EUROPE'!$B$834:$H$974,7,FALSE)),IF(D26=$V$24, VLOOKUP(A26,'Liste de prix Public EUROPE'!$B$9:$H$174,7,FALSE)+(VLOOKUP(A26,'Liste de prix Public EUROPE'!$B$704:$H$829,7,FALSE)),IF(D26=$V$27, VLOOKUP(A26,'Liste de prix Public EUROPE'!$B$9:$H$174,7,FALSE)+(VLOOKUP(A26,'Liste de prix Public EUROPE'!$B$1503:$H$1506,7,FALSE)),FALSE))))))))))*B26))</f>
        <v>0</v>
      </c>
      <c r="G26" s="842"/>
      <c r="H26" s="842"/>
      <c r="I26" s="404"/>
      <c r="J26" s="944"/>
      <c r="K26" s="944"/>
      <c r="L26" s="944"/>
      <c r="R26" s="966" t="s">
        <v>1786</v>
      </c>
      <c r="T26" s="1383" t="s">
        <v>1101</v>
      </c>
      <c r="V26" s="946" t="s">
        <v>683</v>
      </c>
    </row>
    <row r="27" spans="1:36">
      <c r="A27" s="585"/>
      <c r="B27" s="415"/>
      <c r="C27" s="416"/>
      <c r="D27" s="417"/>
      <c r="E27" s="417"/>
      <c r="F27" s="1660">
        <f>IF(C27&lt;90%,(IF(D27=$V$19,VLOOKUP(A27,'Liste de prix Public EUROPE'!$B$9:$H$174,6,FALSE),IF(D27=$V$20,VLOOKUP(A27, 'Liste de prix Public EUROPE'!$B$9:$H$174,6,FALSE)+(VLOOKUP(A27,'Liste de prix Public EUROPE'!$B$378:$H$547,6,FALSE)),IF(D27=$V$21,VLOOKUP(A27,'Liste de prix Public EUROPE'!$B$9:$H$174,6,FALSE)+ (VLOOKUP(A27,'Liste de prix Public EUROPE'!$B$559:$H$700,6,FALSE)),IF(D27=$V$22,VLOOKUP(A27,'Liste de prix Public EUROPE'!$B$9:$H$174,6,FALSE)+ (VLOOKUP(A27,'Liste de prix Public EUROPE'!$B$1303:$H$1344,6,FALSE)),IF(D27=$V$25,VLOOKUP(A27,'Liste de prix Public EUROPE'!$B$9:$H$174,6,FALSE)+(VLOOKUP(A27,'Liste de prix Public EUROPE'!$B$1354:$H$1403,6,FALSE)),IF(D27=$V$26,VLOOKUP(A27,'Liste de prix Public EUROPE'!$B$9:$H$174,6,FALSE)+(VLOOKUP(A27,'Liste de prix Public EUROPE'!$B$1407:$H$1451,6,FALSE)),IF(D27=$V$28,VLOOKUP(A27,'Liste de prix Public EUROPE'!$B$9:$H$174,6,FALSE)+ (VLOOKUP(A27,'Liste de prix Public EUROPE'!$B$1506:$H$1565,6,FALSE)),IF(D27=$V$23,VLOOKUP(A27,'Liste de prix Public EUROPE'!$B$9:$H$174,6,FALSE)+( VLOOKUP(A27,'Liste de prix Public EUROPE'!$B$834:H$974,6,FALSE)),IF(D27=$V$24,VLOOKUP(A27,'Liste de prix Public EUROPE'!$B$9:$H$174,6,FALSE)+( VLOOKUP(A27,'Liste de prix Public EUROPE'!$B712:$H$829,6,FALSE)),IF(D27=$V$27,VLOOKUP(A27,'Liste de prix Public EUROPE'!$B$9:$H$169,6,FALSE)+( VLOOKUP(A27,'Liste de prix Public EUROPE'!$B$1455:$H$1502,6,FALSE)),FALSE))))))))))*730*C27*B27),
(IF(D27=$V$19,VLOOKUP(A27,'Liste de prix Public EUROPE'!$B$9:$H$174,7,FALSE),IF(D27=$V$20, VLOOKUP(A27,'Liste de prix Public EUROPE'!$B$9:$H$174,7,FALSE)+(VLOOKUP(A27,'Liste de prix Public EUROPE'!$B$378:$H$547,7,FALSE)),IF(D27=$V$21, VLOOKUP(A27,'Liste de prix Public EUROPE'!$B$9:$H$174,7,FALSE)+(VLOOKUP(A27,'Liste de prix Public EUROPE'!$B$559:$H$700,7,FALSE)),IF(D27=$V$22, VLOOKUP(A27,'Liste de prix Public EUROPE'!$B$9:$H$174,7,FALSE)+(VLOOKUP(A27,'Liste de prix Public EUROPE'!$B$1303:$H$1344,7,FALSE)),IF(D27=$V$25, VLOOKUP(A27,'Liste de prix Public EUROPE'!$B$9:$H$174,7,FALSE)+(VLOOKUP(A27,'Liste de prix Public EUROPE'!$B$1354:$H$1403,7,FALSE)),IF(D27=$V$26, VLOOKUP(A27,'Liste de prix Public EUROPE'!$B$9:$H$174,7,FALSE)+(VLOOKUP(A27,'Liste de prix Public EUROPE'!$B$1407:$H$1451,7,FALSE)),IF(D27=$V$28, VLOOKUP(A27,'Liste de prix Public EUROPE'!$B$9:$H$174,7,FALSE)+(VLOOKUP(A27,'Liste de prix Public EUROPE'!$B$1506:$H$1565,7,FALSE)),IF(D27=$V$23, VLOOKUP(A27,'Liste de prix Public EUROPE'!$B$9:$H$174,7,FALSE)+(VLOOKUP(A27,'Liste de prix Public EUROPE'!$B$834:$H$974,7,FALSE)),IF(D27=$V$24, VLOOKUP(A27,'Liste de prix Public EUROPE'!$B$9:$H$174,7,FALSE)+(VLOOKUP(A27,'Liste de prix Public EUROPE'!$B$704:$H$829,7,FALSE)),IF(D27=$V$27, VLOOKUP(A27,'Liste de prix Public EUROPE'!$B$9:$H$174,7,FALSE)+(VLOOKUP(A27,'Liste de prix Public EUROPE'!$B$1503:$H$1506,7,FALSE)),FALSE))))))))))*B27))</f>
        <v>0</v>
      </c>
      <c r="G27" s="842"/>
      <c r="H27" s="842"/>
      <c r="I27" s="404"/>
      <c r="J27" s="944"/>
      <c r="K27" s="944"/>
      <c r="L27" s="944"/>
      <c r="R27" s="946" t="s">
        <v>140</v>
      </c>
      <c r="T27" s="712" t="s">
        <v>1114</v>
      </c>
      <c r="V27" s="946" t="s">
        <v>684</v>
      </c>
    </row>
    <row r="28" spans="1:36">
      <c r="A28" s="585"/>
      <c r="B28" s="415"/>
      <c r="C28" s="416"/>
      <c r="D28" s="417"/>
      <c r="E28" s="417"/>
      <c r="F28" s="1660">
        <f>IF(C28&lt;90%,(IF(D28=$V$19,VLOOKUP(A28,'Liste de prix Public EUROPE'!$B$9:$H$174,6,FALSE),IF(D28=$V$20,VLOOKUP(A28, 'Liste de prix Public EUROPE'!$B$9:$H$174,6,FALSE)+(VLOOKUP(A28,'Liste de prix Public EUROPE'!$B$378:$H$547,6,FALSE)),IF(D28=$V$21,VLOOKUP(A28,'Liste de prix Public EUROPE'!$B$9:$H$174,6,FALSE)+ (VLOOKUP(A28,'Liste de prix Public EUROPE'!$B$559:$H$700,6,FALSE)),IF(D28=$V$22,VLOOKUP(A28,'Liste de prix Public EUROPE'!$B$9:$H$174,6,FALSE)+ (VLOOKUP(A28,'Liste de prix Public EUROPE'!$B$1303:$H$1344,6,FALSE)),IF(D28=$V$25,VLOOKUP(A28,'Liste de prix Public EUROPE'!$B$9:$H$174,6,FALSE)+(VLOOKUP(A28,'Liste de prix Public EUROPE'!$B$1354:$H$1403,6,FALSE)),IF(D28=$V$26,VLOOKUP(A28,'Liste de prix Public EUROPE'!$B$9:$H$174,6,FALSE)+(VLOOKUP(A28,'Liste de prix Public EUROPE'!$B$1407:$H$1451,6,FALSE)),IF(D28=$V$28,VLOOKUP(A28,'Liste de prix Public EUROPE'!$B$9:$H$174,6,FALSE)+ (VLOOKUP(A28,'Liste de prix Public EUROPE'!$B$1506:$H$1565,6,FALSE)),IF(D28=$V$23,VLOOKUP(A28,'Liste de prix Public EUROPE'!$B$9:$H$174,6,FALSE)+( VLOOKUP(A28,'Liste de prix Public EUROPE'!$B$834:H$974,6,FALSE)),IF(D28=$V$24,VLOOKUP(A28,'Liste de prix Public EUROPE'!$B$9:$H$174,6,FALSE)+( VLOOKUP(A28,'Liste de prix Public EUROPE'!$B713:$H$829,6,FALSE)),IF(D28=$V$27,VLOOKUP(A28,'Liste de prix Public EUROPE'!$B$9:$H$169,6,FALSE)+( VLOOKUP(A28,'Liste de prix Public EUROPE'!$B$1455:$H$1502,6,FALSE)),FALSE))))))))))*730*C28*B28),
(IF(D28=$V$19,VLOOKUP(A28,'Liste de prix Public EUROPE'!$B$9:$H$174,7,FALSE),IF(D28=$V$20, VLOOKUP(A28,'Liste de prix Public EUROPE'!$B$9:$H$174,7,FALSE)+(VLOOKUP(A28,'Liste de prix Public EUROPE'!$B$378:$H$547,7,FALSE)),IF(D28=$V$21, VLOOKUP(A28,'Liste de prix Public EUROPE'!$B$9:$H$174,7,FALSE)+(VLOOKUP(A28,'Liste de prix Public EUROPE'!$B$559:$H$700,7,FALSE)),IF(D28=$V$22, VLOOKUP(A28,'Liste de prix Public EUROPE'!$B$9:$H$174,7,FALSE)+(VLOOKUP(A28,'Liste de prix Public EUROPE'!$B$1303:$H$1344,7,FALSE)),IF(D28=$V$25, VLOOKUP(A28,'Liste de prix Public EUROPE'!$B$9:$H$174,7,FALSE)+(VLOOKUP(A28,'Liste de prix Public EUROPE'!$B$1354:$H$1403,7,FALSE)),IF(D28=$V$26, VLOOKUP(A28,'Liste de prix Public EUROPE'!$B$9:$H$174,7,FALSE)+(VLOOKUP(A28,'Liste de prix Public EUROPE'!$B$1407:$H$1451,7,FALSE)),IF(D28=$V$28, VLOOKUP(A28,'Liste de prix Public EUROPE'!$B$9:$H$174,7,FALSE)+(VLOOKUP(A28,'Liste de prix Public EUROPE'!$B$1506:$H$1565,7,FALSE)),IF(D28=$V$23, VLOOKUP(A28,'Liste de prix Public EUROPE'!$B$9:$H$174,7,FALSE)+(VLOOKUP(A28,'Liste de prix Public EUROPE'!$B$834:$H$974,7,FALSE)),IF(D28=$V$24, VLOOKUP(A28,'Liste de prix Public EUROPE'!$B$9:$H$174,7,FALSE)+(VLOOKUP(A28,'Liste de prix Public EUROPE'!$B$704:$H$829,7,FALSE)),IF(D28=$V$27, VLOOKUP(A28,'Liste de prix Public EUROPE'!$B$9:$H$174,7,FALSE)+(VLOOKUP(A28,'Liste de prix Public EUROPE'!$B$1503:$H$1506,7,FALSE)),FALSE))))))))))*B28))</f>
        <v>0</v>
      </c>
      <c r="G28" s="842"/>
      <c r="H28" s="842"/>
      <c r="I28" s="404"/>
      <c r="J28" s="944"/>
      <c r="K28" s="944"/>
      <c r="L28" s="944"/>
      <c r="R28" s="946" t="s">
        <v>139</v>
      </c>
      <c r="T28" s="712" t="s">
        <v>1115</v>
      </c>
      <c r="V28" s="946" t="s">
        <v>685</v>
      </c>
    </row>
    <row r="29" spans="1:36">
      <c r="A29" s="585"/>
      <c r="B29" s="415"/>
      <c r="C29" s="416"/>
      <c r="D29" s="417"/>
      <c r="E29" s="417"/>
      <c r="F29" s="1660">
        <f>IF(C29&lt;90%,(IF(D29=$V$19,VLOOKUP(A29,'Liste de prix Public EUROPE'!$B$9:$H$174,6,FALSE),IF(D29=$V$20,VLOOKUP(A29, 'Liste de prix Public EUROPE'!$B$9:$H$174,6,FALSE)+(VLOOKUP(A29,'Liste de prix Public EUROPE'!$B$378:$H$547,6,FALSE)),IF(D29=$V$21,VLOOKUP(A29,'Liste de prix Public EUROPE'!$B$9:$H$174,6,FALSE)+ (VLOOKUP(A29,'Liste de prix Public EUROPE'!$B$559:$H$700,6,FALSE)),IF(D29=$V$22,VLOOKUP(A29,'Liste de prix Public EUROPE'!$B$9:$H$174,6,FALSE)+ (VLOOKUP(A29,'Liste de prix Public EUROPE'!$B$1303:$H$1344,6,FALSE)),IF(D29=$V$25,VLOOKUP(A29,'Liste de prix Public EUROPE'!$B$9:$H$174,6,FALSE)+(VLOOKUP(A29,'Liste de prix Public EUROPE'!$B$1354:$H$1403,6,FALSE)),IF(D29=$V$26,VLOOKUP(A29,'Liste de prix Public EUROPE'!$B$9:$H$174,6,FALSE)+(VLOOKUP(A29,'Liste de prix Public EUROPE'!$B$1407:$H$1451,6,FALSE)),IF(D29=$V$28,VLOOKUP(A29,'Liste de prix Public EUROPE'!$B$9:$H$174,6,FALSE)+ (VLOOKUP(A29,'Liste de prix Public EUROPE'!$B$1506:$H$1565,6,FALSE)),IF(D29=$V$23,VLOOKUP(A29,'Liste de prix Public EUROPE'!$B$9:$H$174,6,FALSE)+( VLOOKUP(A29,'Liste de prix Public EUROPE'!$B$834:H$974,6,FALSE)),IF(D29=$V$24,VLOOKUP(A29,'Liste de prix Public EUROPE'!$B$9:$H$174,6,FALSE)+( VLOOKUP(A29,'Liste de prix Public EUROPE'!$B714:$H$829,6,FALSE)),IF(D29=$V$27,VLOOKUP(A29,'Liste de prix Public EUROPE'!$B$9:$H$169,6,FALSE)+( VLOOKUP(A29,'Liste de prix Public EUROPE'!$B$1455:$H$1502,6,FALSE)),FALSE))))))))))*730*C29*B29),
(IF(D29=$V$19,VLOOKUP(A29,'Liste de prix Public EUROPE'!$B$9:$H$174,7,FALSE),IF(D29=$V$20, VLOOKUP(A29,'Liste de prix Public EUROPE'!$B$9:$H$174,7,FALSE)+(VLOOKUP(A29,'Liste de prix Public EUROPE'!$B$378:$H$547,7,FALSE)),IF(D29=$V$21, VLOOKUP(A29,'Liste de prix Public EUROPE'!$B$9:$H$174,7,FALSE)+(VLOOKUP(A29,'Liste de prix Public EUROPE'!$B$559:$H$700,7,FALSE)),IF(D29=$V$22, VLOOKUP(A29,'Liste de prix Public EUROPE'!$B$9:$H$174,7,FALSE)+(VLOOKUP(A29,'Liste de prix Public EUROPE'!$B$1303:$H$1344,7,FALSE)),IF(D29=$V$25, VLOOKUP(A29,'Liste de prix Public EUROPE'!$B$9:$H$174,7,FALSE)+(VLOOKUP(A29,'Liste de prix Public EUROPE'!$B$1354:$H$1403,7,FALSE)),IF(D29=$V$26, VLOOKUP(A29,'Liste de prix Public EUROPE'!$B$9:$H$174,7,FALSE)+(VLOOKUP(A29,'Liste de prix Public EUROPE'!$B$1407:$H$1451,7,FALSE)),IF(D29=$V$28, VLOOKUP(A29,'Liste de prix Public EUROPE'!$B$9:$H$174,7,FALSE)+(VLOOKUP(A29,'Liste de prix Public EUROPE'!$B$1506:$H$1565,7,FALSE)),IF(D29=$V$23, VLOOKUP(A29,'Liste de prix Public EUROPE'!$B$9:$H$174,7,FALSE)+(VLOOKUP(A29,'Liste de prix Public EUROPE'!$B$834:$H$974,7,FALSE)),IF(D29=$V$24, VLOOKUP(A29,'Liste de prix Public EUROPE'!$B$9:$H$174,7,FALSE)+(VLOOKUP(A29,'Liste de prix Public EUROPE'!$B$704:$H$829,7,FALSE)),IF(D29=$V$27, VLOOKUP(A29,'Liste de prix Public EUROPE'!$B$9:$H$174,7,FALSE)+(VLOOKUP(A29,'Liste de prix Public EUROPE'!$B$1503:$H$1506,7,FALSE)),FALSE))))))))))*B29))</f>
        <v>0</v>
      </c>
      <c r="G29" s="842"/>
      <c r="H29" s="842"/>
      <c r="I29" s="404"/>
      <c r="J29" s="944"/>
      <c r="K29" s="944"/>
      <c r="L29" s="944"/>
      <c r="R29" s="946" t="s">
        <v>141</v>
      </c>
      <c r="T29" s="712" t="s">
        <v>1116</v>
      </c>
    </row>
    <row r="30" spans="1:36">
      <c r="A30" s="585"/>
      <c r="B30" s="415"/>
      <c r="C30" s="416"/>
      <c r="D30" s="417"/>
      <c r="E30" s="417"/>
      <c r="F30" s="1660">
        <f>IF(C30&lt;90%,(IF(D30=$V$19,VLOOKUP(A30,'Liste de prix Public EUROPE'!$B$9:$H$174,6,FALSE),IF(D30=$V$20,VLOOKUP(A30, 'Liste de prix Public EUROPE'!$B$9:$H$174,6,FALSE)+(VLOOKUP(A30,'Liste de prix Public EUROPE'!$B$378:$H$547,6,FALSE)),IF(D30=$V$21,VLOOKUP(A30,'Liste de prix Public EUROPE'!$B$9:$H$174,6,FALSE)+ (VLOOKUP(A30,'Liste de prix Public EUROPE'!$B$559:$H$700,6,FALSE)),IF(D30=$V$22,VLOOKUP(A30,'Liste de prix Public EUROPE'!$B$9:$H$174,6,FALSE)+ (VLOOKUP(A30,'Liste de prix Public EUROPE'!$B$1303:$H$1344,6,FALSE)),IF(D30=$V$25,VLOOKUP(A30,'Liste de prix Public EUROPE'!$B$9:$H$174,6,FALSE)+(VLOOKUP(A30,'Liste de prix Public EUROPE'!$B$1354:$H$1403,6,FALSE)),IF(D30=$V$26,VLOOKUP(A30,'Liste de prix Public EUROPE'!$B$9:$H$174,6,FALSE)+(VLOOKUP(A30,'Liste de prix Public EUROPE'!$B$1407:$H$1451,6,FALSE)),IF(D30=$V$28,VLOOKUP(A30,'Liste de prix Public EUROPE'!$B$9:$H$174,6,FALSE)+ (VLOOKUP(A30,'Liste de prix Public EUROPE'!$B$1506:$H$1565,6,FALSE)),IF(D30=$V$23,VLOOKUP(A30,'Liste de prix Public EUROPE'!$B$9:$H$174,6,FALSE)+( VLOOKUP(A30,'Liste de prix Public EUROPE'!$B$834:H$974,6,FALSE)),IF(D30=$V$24,VLOOKUP(A30,'Liste de prix Public EUROPE'!$B$9:$H$174,6,FALSE)+( VLOOKUP(A30,'Liste de prix Public EUROPE'!$B715:$H$829,6,FALSE)),IF(D30=$V$27,VLOOKUP(A30,'Liste de prix Public EUROPE'!$B$9:$H$169,6,FALSE)+( VLOOKUP(A30,'Liste de prix Public EUROPE'!$B$1455:$H$1502,6,FALSE)),FALSE))))))))))*730*C30*B30),
(IF(D30=$V$19,VLOOKUP(A30,'Liste de prix Public EUROPE'!$B$9:$H$174,7,FALSE),IF(D30=$V$20, VLOOKUP(A30,'Liste de prix Public EUROPE'!$B$9:$H$174,7,FALSE)+(VLOOKUP(A30,'Liste de prix Public EUROPE'!$B$378:$H$547,7,FALSE)),IF(D30=$V$21, VLOOKUP(A30,'Liste de prix Public EUROPE'!$B$9:$H$174,7,FALSE)+(VLOOKUP(A30,'Liste de prix Public EUROPE'!$B$559:$H$700,7,FALSE)),IF(D30=$V$22, VLOOKUP(A30,'Liste de prix Public EUROPE'!$B$9:$H$174,7,FALSE)+(VLOOKUP(A30,'Liste de prix Public EUROPE'!$B$1303:$H$1344,7,FALSE)),IF(D30=$V$25, VLOOKUP(A30,'Liste de prix Public EUROPE'!$B$9:$H$174,7,FALSE)+(VLOOKUP(A30,'Liste de prix Public EUROPE'!$B$1354:$H$1403,7,FALSE)),IF(D30=$V$26, VLOOKUP(A30,'Liste de prix Public EUROPE'!$B$9:$H$174,7,FALSE)+(VLOOKUP(A30,'Liste de prix Public EUROPE'!$B$1407:$H$1451,7,FALSE)),IF(D30=$V$28, VLOOKUP(A30,'Liste de prix Public EUROPE'!$B$9:$H$174,7,FALSE)+(VLOOKUP(A30,'Liste de prix Public EUROPE'!$B$1506:$H$1565,7,FALSE)),IF(D30=$V$23, VLOOKUP(A30,'Liste de prix Public EUROPE'!$B$9:$H$174,7,FALSE)+(VLOOKUP(A30,'Liste de prix Public EUROPE'!$B$834:$H$974,7,FALSE)),IF(D30=$V$24, VLOOKUP(A30,'Liste de prix Public EUROPE'!$B$9:$H$174,7,FALSE)+(VLOOKUP(A30,'Liste de prix Public EUROPE'!$B$704:$H$829,7,FALSE)),IF(D30=$V$27, VLOOKUP(A30,'Liste de prix Public EUROPE'!$B$9:$H$174,7,FALSE)+(VLOOKUP(A30,'Liste de prix Public EUROPE'!$B$1503:$H$1506,7,FALSE)),FALSE))))))))))*B30))</f>
        <v>0</v>
      </c>
      <c r="G30" s="842"/>
      <c r="H30" s="842"/>
      <c r="I30" s="404"/>
      <c r="J30" s="944"/>
      <c r="K30" s="944"/>
      <c r="L30" s="944"/>
      <c r="R30" s="946" t="s">
        <v>2121</v>
      </c>
      <c r="T30" s="712" t="s">
        <v>1117</v>
      </c>
      <c r="V30" s="966"/>
    </row>
    <row r="31" spans="1:36">
      <c r="A31" s="585"/>
      <c r="B31" s="415"/>
      <c r="C31" s="416"/>
      <c r="D31" s="417"/>
      <c r="E31" s="417"/>
      <c r="F31" s="1660">
        <f>IF(C31&lt;90%,(IF(D31=$V$19,VLOOKUP(A31,'Liste de prix Public EUROPE'!$B$9:$H$174,6,FALSE),IF(D31=$V$20,VLOOKUP(A31, 'Liste de prix Public EUROPE'!$B$9:$H$174,6,FALSE)+(VLOOKUP(A31,'Liste de prix Public EUROPE'!$B$378:$H$547,6,FALSE)),IF(D31=$V$21,VLOOKUP(A31,'Liste de prix Public EUROPE'!$B$9:$H$174,6,FALSE)+ (VLOOKUP(A31,'Liste de prix Public EUROPE'!$B$559:$H$700,6,FALSE)),IF(D31=$V$22,VLOOKUP(A31,'Liste de prix Public EUROPE'!$B$9:$H$174,6,FALSE)+ (VLOOKUP(A31,'Liste de prix Public EUROPE'!$B$1303:$H$1344,6,FALSE)),IF(D31=$V$25,VLOOKUP(A31,'Liste de prix Public EUROPE'!$B$9:$H$174,6,FALSE)+(VLOOKUP(A31,'Liste de prix Public EUROPE'!$B$1354:$H$1403,6,FALSE)),IF(D31=$V$26,VLOOKUP(A31,'Liste de prix Public EUROPE'!$B$9:$H$174,6,FALSE)+(VLOOKUP(A31,'Liste de prix Public EUROPE'!$B$1407:$H$1451,6,FALSE)),IF(D31=$V$28,VLOOKUP(A31,'Liste de prix Public EUROPE'!$B$9:$H$174,6,FALSE)+ (VLOOKUP(A31,'Liste de prix Public EUROPE'!$B$1506:$H$1565,6,FALSE)),IF(D31=$V$23,VLOOKUP(A31,'Liste de prix Public EUROPE'!$B$9:$H$174,6,FALSE)+( VLOOKUP(A31,'Liste de prix Public EUROPE'!$B$834:H$974,6,FALSE)),IF(D31=$V$24,VLOOKUP(A31,'Liste de prix Public EUROPE'!$B$9:$H$174,6,FALSE)+( VLOOKUP(A31,'Liste de prix Public EUROPE'!$B716:$H$829,6,FALSE)),IF(D31=$V$27,VLOOKUP(A31,'Liste de prix Public EUROPE'!$B$9:$H$169,6,FALSE)+( VLOOKUP(A31,'Liste de prix Public EUROPE'!$B$1455:$H$1502,6,FALSE)),FALSE))))))))))*730*C31*B31),
(IF(D31=$V$19,VLOOKUP(A31,'Liste de prix Public EUROPE'!$B$9:$H$174,7,FALSE),IF(D31=$V$20, VLOOKUP(A31,'Liste de prix Public EUROPE'!$B$9:$H$174,7,FALSE)+(VLOOKUP(A31,'Liste de prix Public EUROPE'!$B$378:$H$547,7,FALSE)),IF(D31=$V$21, VLOOKUP(A31,'Liste de prix Public EUROPE'!$B$9:$H$174,7,FALSE)+(VLOOKUP(A31,'Liste de prix Public EUROPE'!$B$559:$H$700,7,FALSE)),IF(D31=$V$22, VLOOKUP(A31,'Liste de prix Public EUROPE'!$B$9:$H$174,7,FALSE)+(VLOOKUP(A31,'Liste de prix Public EUROPE'!$B$1303:$H$1344,7,FALSE)),IF(D31=$V$25, VLOOKUP(A31,'Liste de prix Public EUROPE'!$B$9:$H$174,7,FALSE)+(VLOOKUP(A31,'Liste de prix Public EUROPE'!$B$1354:$H$1403,7,FALSE)),IF(D31=$V$26, VLOOKUP(A31,'Liste de prix Public EUROPE'!$B$9:$H$174,7,FALSE)+(VLOOKUP(A31,'Liste de prix Public EUROPE'!$B$1407:$H$1451,7,FALSE)),IF(D31=$V$28, VLOOKUP(A31,'Liste de prix Public EUROPE'!$B$9:$H$174,7,FALSE)+(VLOOKUP(A31,'Liste de prix Public EUROPE'!$B$1506:$H$1565,7,FALSE)),IF(D31=$V$23, VLOOKUP(A31,'Liste de prix Public EUROPE'!$B$9:$H$174,7,FALSE)+(VLOOKUP(A31,'Liste de prix Public EUROPE'!$B$834:$H$974,7,FALSE)),IF(D31=$V$24, VLOOKUP(A31,'Liste de prix Public EUROPE'!$B$9:$H$174,7,FALSE)+(VLOOKUP(A31,'Liste de prix Public EUROPE'!$B$704:$H$829,7,FALSE)),IF(D31=$V$27, VLOOKUP(A31,'Liste de prix Public EUROPE'!$B$9:$H$174,7,FALSE)+(VLOOKUP(A31,'Liste de prix Public EUROPE'!$B$1503:$H$1506,7,FALSE)),FALSE))))))))))*B31))</f>
        <v>0</v>
      </c>
      <c r="G31" s="842"/>
      <c r="H31" s="842"/>
      <c r="I31" s="404"/>
      <c r="J31" s="944"/>
      <c r="K31" s="944"/>
      <c r="L31" s="944"/>
      <c r="R31" s="946" t="s">
        <v>142</v>
      </c>
      <c r="T31" s="712" t="s">
        <v>1118</v>
      </c>
      <c r="V31" s="966"/>
    </row>
    <row r="32" spans="1:36">
      <c r="A32" s="585"/>
      <c r="B32" s="415"/>
      <c r="C32" s="416"/>
      <c r="D32" s="417"/>
      <c r="E32" s="417"/>
      <c r="F32" s="1660">
        <f>IF(C32&lt;90%,(IF(D32=$V$19,VLOOKUP(A32,'Liste de prix Public EUROPE'!$B$9:$H$174,6,FALSE),IF(D32=$V$20,VLOOKUP(A32, 'Liste de prix Public EUROPE'!$B$9:$H$174,6,FALSE)+(VLOOKUP(A32,'Liste de prix Public EUROPE'!$B$378:$H$547,6,FALSE)),IF(D32=$V$21,VLOOKUP(A32,'Liste de prix Public EUROPE'!$B$9:$H$174,6,FALSE)+ (VLOOKUP(A32,'Liste de prix Public EUROPE'!$B$559:$H$700,6,FALSE)),IF(D32=$V$22,VLOOKUP(A32,'Liste de prix Public EUROPE'!$B$9:$H$174,6,FALSE)+ (VLOOKUP(A32,'Liste de prix Public EUROPE'!$B$1303:$H$1344,6,FALSE)),IF(D32=$V$25,VLOOKUP(A32,'Liste de prix Public EUROPE'!$B$9:$H$174,6,FALSE)+(VLOOKUP(A32,'Liste de prix Public EUROPE'!$B$1354:$H$1403,6,FALSE)),IF(D32=$V$26,VLOOKUP(A32,'Liste de prix Public EUROPE'!$B$9:$H$174,6,FALSE)+(VLOOKUP(A32,'Liste de prix Public EUROPE'!$B$1407:$H$1451,6,FALSE)),IF(D32=$V$28,VLOOKUP(A32,'Liste de prix Public EUROPE'!$B$9:$H$174,6,FALSE)+ (VLOOKUP(A32,'Liste de prix Public EUROPE'!$B$1506:$H$1565,6,FALSE)),IF(D32=$V$23,VLOOKUP(A32,'Liste de prix Public EUROPE'!$B$9:$H$174,6,FALSE)+( VLOOKUP(A32,'Liste de prix Public EUROPE'!$B$834:H$974,6,FALSE)),IF(D32=$V$24,VLOOKUP(A32,'Liste de prix Public EUROPE'!$B$9:$H$174,6,FALSE)+( VLOOKUP(A32,'Liste de prix Public EUROPE'!$B717:$H$829,6,FALSE)),IF(D32=$V$27,VLOOKUP(A32,'Liste de prix Public EUROPE'!$B$9:$H$169,6,FALSE)+( VLOOKUP(A32,'Liste de prix Public EUROPE'!$B$1455:$H$1502,6,FALSE)),FALSE))))))))))*730*C32*B32),
(IF(D32=$V$19,VLOOKUP(A32,'Liste de prix Public EUROPE'!$B$9:$H$174,7,FALSE),IF(D32=$V$20, VLOOKUP(A32,'Liste de prix Public EUROPE'!$B$9:$H$174,7,FALSE)+(VLOOKUP(A32,'Liste de prix Public EUROPE'!$B$378:$H$547,7,FALSE)),IF(D32=$V$21, VLOOKUP(A32,'Liste de prix Public EUROPE'!$B$9:$H$174,7,FALSE)+(VLOOKUP(A32,'Liste de prix Public EUROPE'!$B$559:$H$700,7,FALSE)),IF(D32=$V$22, VLOOKUP(A32,'Liste de prix Public EUROPE'!$B$9:$H$174,7,FALSE)+(VLOOKUP(A32,'Liste de prix Public EUROPE'!$B$1303:$H$1344,7,FALSE)),IF(D32=$V$25, VLOOKUP(A32,'Liste de prix Public EUROPE'!$B$9:$H$174,7,FALSE)+(VLOOKUP(A32,'Liste de prix Public EUROPE'!$B$1354:$H$1403,7,FALSE)),IF(D32=$V$26, VLOOKUP(A32,'Liste de prix Public EUROPE'!$B$9:$H$174,7,FALSE)+(VLOOKUP(A32,'Liste de prix Public EUROPE'!$B$1407:$H$1451,7,FALSE)),IF(D32=$V$28, VLOOKUP(A32,'Liste de prix Public EUROPE'!$B$9:$H$174,7,FALSE)+(VLOOKUP(A32,'Liste de prix Public EUROPE'!$B$1506:$H$1565,7,FALSE)),IF(D32=$V$23, VLOOKUP(A32,'Liste de prix Public EUROPE'!$B$9:$H$174,7,FALSE)+(VLOOKUP(A32,'Liste de prix Public EUROPE'!$B$834:$H$974,7,FALSE)),IF(D32=$V$24, VLOOKUP(A32,'Liste de prix Public EUROPE'!$B$9:$H$174,7,FALSE)+(VLOOKUP(A32,'Liste de prix Public EUROPE'!$B$704:$H$829,7,FALSE)),IF(D32=$V$27, VLOOKUP(A32,'Liste de prix Public EUROPE'!$B$9:$H$174,7,FALSE)+(VLOOKUP(A32,'Liste de prix Public EUROPE'!$B$1503:$H$1506,7,FALSE)),FALSE))))))))))*B32))</f>
        <v>0</v>
      </c>
      <c r="G32" s="842"/>
      <c r="H32" s="842"/>
      <c r="I32" s="404"/>
      <c r="J32" s="944"/>
      <c r="K32" s="944"/>
      <c r="L32" s="944"/>
      <c r="R32" s="946" t="s">
        <v>2341</v>
      </c>
      <c r="T32" s="712" t="s">
        <v>1119</v>
      </c>
      <c r="V32" s="966"/>
    </row>
    <row r="33" spans="1:25">
      <c r="A33" s="585"/>
      <c r="B33" s="415"/>
      <c r="C33" s="416"/>
      <c r="D33" s="417"/>
      <c r="E33" s="417"/>
      <c r="F33" s="1660">
        <f>IF(C33&lt;90%,(IF(D33=$V$19,VLOOKUP(A33,'Liste de prix Public EUROPE'!$B$9:$H$174,6,FALSE),IF(D33=$V$20,VLOOKUP(A33, 'Liste de prix Public EUROPE'!$B$9:$H$174,6,FALSE)+(VLOOKUP(A33,'Liste de prix Public EUROPE'!$B$378:$H$547,6,FALSE)),IF(D33=$V$21,VLOOKUP(A33,'Liste de prix Public EUROPE'!$B$9:$H$174,6,FALSE)+ (VLOOKUP(A33,'Liste de prix Public EUROPE'!$B$559:$H$700,6,FALSE)),IF(D33=$V$22,VLOOKUP(A33,'Liste de prix Public EUROPE'!$B$9:$H$174,6,FALSE)+ (VLOOKUP(A33,'Liste de prix Public EUROPE'!$B$1303:$H$1344,6,FALSE)),IF(D33=$V$25,VLOOKUP(A33,'Liste de prix Public EUROPE'!$B$9:$H$174,6,FALSE)+(VLOOKUP(A33,'Liste de prix Public EUROPE'!$B$1354:$H$1403,6,FALSE)),IF(D33=$V$26,VLOOKUP(A33,'Liste de prix Public EUROPE'!$B$9:$H$174,6,FALSE)+(VLOOKUP(A33,'Liste de prix Public EUROPE'!$B$1407:$H$1451,6,FALSE)),IF(D33=$V$28,VLOOKUP(A33,'Liste de prix Public EUROPE'!$B$9:$H$174,6,FALSE)+ (VLOOKUP(A33,'Liste de prix Public EUROPE'!$B$1506:$H$1565,6,FALSE)),IF(D33=$V$23,VLOOKUP(A33,'Liste de prix Public EUROPE'!$B$9:$H$174,6,FALSE)+( VLOOKUP(A33,'Liste de prix Public EUROPE'!$B$834:H$974,6,FALSE)),IF(D33=$V$24,VLOOKUP(A33,'Liste de prix Public EUROPE'!$B$9:$H$174,6,FALSE)+( VLOOKUP(A33,'Liste de prix Public EUROPE'!$B718:$H$829,6,FALSE)),IF(D33=$V$27,VLOOKUP(A33,'Liste de prix Public EUROPE'!$B$9:$H$169,6,FALSE)+( VLOOKUP(A33,'Liste de prix Public EUROPE'!$B$1455:$H$1502,6,FALSE)),FALSE))))))))))*730*C33*B33),
(IF(D33=$V$19,VLOOKUP(A33,'Liste de prix Public EUROPE'!$B$9:$H$174,7,FALSE),IF(D33=$V$20, VLOOKUP(A33,'Liste de prix Public EUROPE'!$B$9:$H$174,7,FALSE)+(VLOOKUP(A33,'Liste de prix Public EUROPE'!$B$378:$H$547,7,FALSE)),IF(D33=$V$21, VLOOKUP(A33,'Liste de prix Public EUROPE'!$B$9:$H$174,7,FALSE)+(VLOOKUP(A33,'Liste de prix Public EUROPE'!$B$559:$H$700,7,FALSE)),IF(D33=$V$22, VLOOKUP(A33,'Liste de prix Public EUROPE'!$B$9:$H$174,7,FALSE)+(VLOOKUP(A33,'Liste de prix Public EUROPE'!$B$1303:$H$1344,7,FALSE)),IF(D33=$V$25, VLOOKUP(A33,'Liste de prix Public EUROPE'!$B$9:$H$174,7,FALSE)+(VLOOKUP(A33,'Liste de prix Public EUROPE'!$B$1354:$H$1403,7,FALSE)),IF(D33=$V$26, VLOOKUP(A33,'Liste de prix Public EUROPE'!$B$9:$H$174,7,FALSE)+(VLOOKUP(A33,'Liste de prix Public EUROPE'!$B$1407:$H$1451,7,FALSE)),IF(D33=$V$28, VLOOKUP(A33,'Liste de prix Public EUROPE'!$B$9:$H$174,7,FALSE)+(VLOOKUP(A33,'Liste de prix Public EUROPE'!$B$1506:$H$1565,7,FALSE)),IF(D33=$V$23, VLOOKUP(A33,'Liste de prix Public EUROPE'!$B$9:$H$174,7,FALSE)+(VLOOKUP(A33,'Liste de prix Public EUROPE'!$B$834:$H$974,7,FALSE)),IF(D33=$V$24, VLOOKUP(A33,'Liste de prix Public EUROPE'!$B$9:$H$174,7,FALSE)+(VLOOKUP(A33,'Liste de prix Public EUROPE'!$B$704:$H$829,7,FALSE)),IF(D33=$V$27, VLOOKUP(A33,'Liste de prix Public EUROPE'!$B$9:$H$174,7,FALSE)+(VLOOKUP(A33,'Liste de prix Public EUROPE'!$B$1503:$H$1506,7,FALSE)),FALSE))))))))))*B33))</f>
        <v>0</v>
      </c>
      <c r="G33" s="842"/>
      <c r="H33" s="842"/>
      <c r="I33" s="404"/>
      <c r="J33" s="944"/>
      <c r="K33" s="944"/>
      <c r="L33" s="944"/>
      <c r="R33" s="946" t="s">
        <v>923</v>
      </c>
      <c r="T33" s="1384" t="s">
        <v>1835</v>
      </c>
      <c r="V33" s="966"/>
    </row>
    <row r="34" spans="1:25">
      <c r="A34" s="585"/>
      <c r="B34" s="415"/>
      <c r="C34" s="416"/>
      <c r="D34" s="417"/>
      <c r="E34" s="417"/>
      <c r="F34" s="1660">
        <f>IF(C34&lt;90%,(IF(D34=$V$19,VLOOKUP(A34,'Liste de prix Public EUROPE'!$B$9:$H$174,6,FALSE),IF(D34=$V$20,VLOOKUP(A34, 'Liste de prix Public EUROPE'!$B$9:$H$174,6,FALSE)+(VLOOKUP(A34,'Liste de prix Public EUROPE'!$B$378:$H$547,6,FALSE)),IF(D34=$V$21,VLOOKUP(A34,'Liste de prix Public EUROPE'!$B$9:$H$174,6,FALSE)+ (VLOOKUP(A34,'Liste de prix Public EUROPE'!$B$559:$H$700,6,FALSE)),IF(D34=$V$22,VLOOKUP(A34,'Liste de prix Public EUROPE'!$B$9:$H$174,6,FALSE)+ (VLOOKUP(A34,'Liste de prix Public EUROPE'!$B$1303:$H$1344,6,FALSE)),IF(D34=$V$25,VLOOKUP(A34,'Liste de prix Public EUROPE'!$B$9:$H$174,6,FALSE)+(VLOOKUP(A34,'Liste de prix Public EUROPE'!$B$1354:$H$1403,6,FALSE)),IF(D34=$V$26,VLOOKUP(A34,'Liste de prix Public EUROPE'!$B$9:$H$174,6,FALSE)+(VLOOKUP(A34,'Liste de prix Public EUROPE'!$B$1407:$H$1451,6,FALSE)),IF(D34=$V$28,VLOOKUP(A34,'Liste de prix Public EUROPE'!$B$9:$H$174,6,FALSE)+ (VLOOKUP(A34,'Liste de prix Public EUROPE'!$B$1506:$H$1565,6,FALSE)),IF(D34=$V$23,VLOOKUP(A34,'Liste de prix Public EUROPE'!$B$9:$H$174,6,FALSE)+( VLOOKUP(A34,'Liste de prix Public EUROPE'!$B$834:H$974,6,FALSE)),IF(D34=$V$24,VLOOKUP(A34,'Liste de prix Public EUROPE'!$B$9:$H$174,6,FALSE)+( VLOOKUP(A34,'Liste de prix Public EUROPE'!$B719:$H$829,6,FALSE)),IF(D34=$V$27,VLOOKUP(A34,'Liste de prix Public EUROPE'!$B$9:$H$169,6,FALSE)+( VLOOKUP(A34,'Liste de prix Public EUROPE'!$B$1455:$H$1502,6,FALSE)),FALSE))))))))))*730*C34*B34),
(IF(D34=$V$19,VLOOKUP(A34,'Liste de prix Public EUROPE'!$B$9:$H$174,7,FALSE),IF(D34=$V$20, VLOOKUP(A34,'Liste de prix Public EUROPE'!$B$9:$H$174,7,FALSE)+(VLOOKUP(A34,'Liste de prix Public EUROPE'!$B$378:$H$547,7,FALSE)),IF(D34=$V$21, VLOOKUP(A34,'Liste de prix Public EUROPE'!$B$9:$H$174,7,FALSE)+(VLOOKUP(A34,'Liste de prix Public EUROPE'!$B$559:$H$700,7,FALSE)),IF(D34=$V$22, VLOOKUP(A34,'Liste de prix Public EUROPE'!$B$9:$H$174,7,FALSE)+(VLOOKUP(A34,'Liste de prix Public EUROPE'!$B$1303:$H$1344,7,FALSE)),IF(D34=$V$25, VLOOKUP(A34,'Liste de prix Public EUROPE'!$B$9:$H$174,7,FALSE)+(VLOOKUP(A34,'Liste de prix Public EUROPE'!$B$1354:$H$1403,7,FALSE)),IF(D34=$V$26, VLOOKUP(A34,'Liste de prix Public EUROPE'!$B$9:$H$174,7,FALSE)+(VLOOKUP(A34,'Liste de prix Public EUROPE'!$B$1407:$H$1451,7,FALSE)),IF(D34=$V$28, VLOOKUP(A34,'Liste de prix Public EUROPE'!$B$9:$H$174,7,FALSE)+(VLOOKUP(A34,'Liste de prix Public EUROPE'!$B$1506:$H$1565,7,FALSE)),IF(D34=$V$23, VLOOKUP(A34,'Liste de prix Public EUROPE'!$B$9:$H$174,7,FALSE)+(VLOOKUP(A34,'Liste de prix Public EUROPE'!$B$834:$H$974,7,FALSE)),IF(D34=$V$24, VLOOKUP(A34,'Liste de prix Public EUROPE'!$B$9:$H$174,7,FALSE)+(VLOOKUP(A34,'Liste de prix Public EUROPE'!$B$704:$H$829,7,FALSE)),IF(D34=$V$27, VLOOKUP(A34,'Liste de prix Public EUROPE'!$B$9:$H$174,7,FALSE)+(VLOOKUP(A34,'Liste de prix Public EUROPE'!$B$1503:$H$1506,7,FALSE)),FALSE))))))))))*B34))</f>
        <v>0</v>
      </c>
      <c r="G34" s="842"/>
      <c r="H34" s="842"/>
      <c r="I34" s="404"/>
      <c r="J34" s="944"/>
      <c r="K34" s="944"/>
      <c r="L34" s="944"/>
      <c r="T34" s="1163" t="s">
        <v>1836</v>
      </c>
      <c r="V34" s="966"/>
    </row>
    <row r="35" spans="1:25">
      <c r="A35" s="558"/>
      <c r="B35" s="373">
        <f>SUM(B19:B34)</f>
        <v>0</v>
      </c>
      <c r="C35" s="374"/>
      <c r="D35" s="375"/>
      <c r="E35" s="375"/>
      <c r="F35" s="877"/>
      <c r="G35" s="842"/>
      <c r="H35" s="842"/>
      <c r="I35" s="404"/>
      <c r="J35" s="944"/>
      <c r="K35" s="944"/>
      <c r="L35" s="944"/>
      <c r="T35" s="1163" t="s">
        <v>1837</v>
      </c>
      <c r="V35" s="966"/>
    </row>
    <row r="36" spans="1:25">
      <c r="A36" s="376"/>
      <c r="B36" s="64"/>
      <c r="C36" s="64"/>
      <c r="D36" s="70"/>
      <c r="E36" s="377" t="s">
        <v>39</v>
      </c>
      <c r="F36" s="378">
        <f>SUM(F19:F35)</f>
        <v>0</v>
      </c>
      <c r="G36" s="298"/>
      <c r="H36" s="917"/>
      <c r="I36" s="404"/>
      <c r="J36" s="944"/>
      <c r="K36" s="944"/>
      <c r="L36" s="944"/>
      <c r="T36" s="1163" t="s">
        <v>1838</v>
      </c>
      <c r="V36" s="966"/>
    </row>
    <row r="37" spans="1:25">
      <c r="A37" s="376"/>
      <c r="B37" s="64"/>
      <c r="C37" s="64"/>
      <c r="D37" s="70"/>
      <c r="E37" s="64"/>
      <c r="F37" s="298"/>
      <c r="G37" s="298"/>
      <c r="H37" s="917"/>
      <c r="I37" s="404"/>
      <c r="J37" s="944"/>
      <c r="K37" s="944"/>
      <c r="L37" s="944"/>
      <c r="T37" s="1163" t="s">
        <v>1839</v>
      </c>
      <c r="V37" s="966"/>
    </row>
    <row r="38" spans="1:25">
      <c r="A38" s="376"/>
      <c r="B38" s="64"/>
      <c r="C38" s="64"/>
      <c r="D38" s="70"/>
      <c r="E38" s="64"/>
      <c r="F38" s="298"/>
      <c r="G38" s="298"/>
      <c r="H38" s="917"/>
      <c r="I38" s="404"/>
      <c r="J38" s="944"/>
      <c r="K38" s="944"/>
      <c r="L38" s="944"/>
      <c r="T38" s="1163" t="s">
        <v>1840</v>
      </c>
      <c r="V38" s="966"/>
    </row>
    <row r="39" spans="1:25">
      <c r="A39" s="376"/>
      <c r="B39" s="64"/>
      <c r="C39" s="64"/>
      <c r="D39" s="70"/>
      <c r="E39" s="64"/>
      <c r="F39" s="298"/>
      <c r="G39" s="298"/>
      <c r="H39" s="917"/>
      <c r="I39" s="404"/>
      <c r="J39" s="944"/>
      <c r="K39" s="944"/>
      <c r="L39" s="944"/>
      <c r="T39" s="1163" t="s">
        <v>1841</v>
      </c>
      <c r="V39" s="966"/>
    </row>
    <row r="40" spans="1:25" hidden="1">
      <c r="A40" s="559" t="s">
        <v>108</v>
      </c>
      <c r="B40" s="368" t="s">
        <v>281</v>
      </c>
      <c r="C40" s="655"/>
      <c r="D40" s="656"/>
      <c r="E40" s="368" t="s">
        <v>74</v>
      </c>
      <c r="F40" s="368" t="s">
        <v>18</v>
      </c>
      <c r="G40" s="841"/>
      <c r="H40" s="841"/>
      <c r="I40" s="404"/>
      <c r="J40" s="944"/>
      <c r="K40" s="944"/>
      <c r="L40" s="944"/>
      <c r="T40" s="1235" t="s">
        <v>1842</v>
      </c>
      <c r="V40" s="966"/>
    </row>
    <row r="41" spans="1:25" hidden="1">
      <c r="A41" s="585" t="s">
        <v>392</v>
      </c>
      <c r="B41" s="418"/>
      <c r="C41" s="657"/>
      <c r="D41" s="658"/>
      <c r="E41" s="417"/>
      <c r="F41" s="371" t="e">
        <f>VLOOKUP(A41,'Liste de prix Public EUROPE'!B1812:I1812,8,FALSE)*B41*(1-$B$5)</f>
        <v>#N/A</v>
      </c>
      <c r="G41" s="842"/>
      <c r="H41" s="842"/>
      <c r="I41" s="404"/>
      <c r="J41" s="944"/>
      <c r="K41" s="944"/>
      <c r="L41" s="944"/>
      <c r="T41" s="1163" t="s">
        <v>1843</v>
      </c>
      <c r="V41" s="966"/>
    </row>
    <row r="42" spans="1:25" hidden="1">
      <c r="A42" s="585" t="s">
        <v>392</v>
      </c>
      <c r="B42" s="418"/>
      <c r="C42" s="657"/>
      <c r="D42" s="658"/>
      <c r="E42" s="417"/>
      <c r="F42" s="371" t="e">
        <f>VLOOKUP(A42,'Liste de prix Public EUROPE'!B1812:I1812,8,FALSE)*B42*(1-$B$5)</f>
        <v>#N/A</v>
      </c>
      <c r="G42" s="842"/>
      <c r="H42" s="842"/>
      <c r="I42" s="404"/>
      <c r="J42" s="944"/>
      <c r="K42" s="944"/>
      <c r="L42" s="944"/>
      <c r="T42" s="1163" t="s">
        <v>1844</v>
      </c>
      <c r="V42" s="966"/>
    </row>
    <row r="43" spans="1:25" hidden="1">
      <c r="A43" s="585" t="s">
        <v>392</v>
      </c>
      <c r="B43" s="418"/>
      <c r="C43" s="657"/>
      <c r="D43" s="658"/>
      <c r="E43" s="417"/>
      <c r="F43" s="371" t="e">
        <f>VLOOKUP(A43,'Liste de prix Public EUROPE'!B1812:I1812,8,FALSE)*B43*(1-$B$5)</f>
        <v>#N/A</v>
      </c>
      <c r="G43" s="842"/>
      <c r="H43" s="842"/>
      <c r="I43" s="404"/>
      <c r="J43" s="944"/>
      <c r="K43" s="944"/>
      <c r="L43" s="944"/>
      <c r="T43" s="1163" t="s">
        <v>1845</v>
      </c>
      <c r="V43" s="966"/>
    </row>
    <row r="44" spans="1:25" hidden="1">
      <c r="A44" s="376"/>
      <c r="B44" s="64"/>
      <c r="C44" s="64"/>
      <c r="D44" s="70"/>
      <c r="E44" s="377" t="s">
        <v>39</v>
      </c>
      <c r="F44" s="378" t="e">
        <f>SUM(F41:F43)</f>
        <v>#N/A</v>
      </c>
      <c r="G44" s="298"/>
      <c r="H44" s="917"/>
      <c r="I44" s="404"/>
      <c r="J44" s="944"/>
      <c r="K44" s="944"/>
      <c r="L44" s="944"/>
      <c r="T44" s="1163" t="s">
        <v>1846</v>
      </c>
      <c r="V44" s="946" t="s">
        <v>7</v>
      </c>
    </row>
    <row r="45" spans="1:25">
      <c r="A45" s="376"/>
      <c r="B45" s="64"/>
      <c r="C45" s="64"/>
      <c r="D45" s="70"/>
      <c r="E45" s="360"/>
      <c r="F45" s="360"/>
      <c r="G45" s="360"/>
      <c r="H45" s="360"/>
      <c r="I45" s="404"/>
      <c r="J45" s="944"/>
      <c r="K45" s="944"/>
      <c r="L45" s="944"/>
      <c r="T45" s="1163" t="s">
        <v>1847</v>
      </c>
      <c r="V45" s="946" t="s">
        <v>306</v>
      </c>
    </row>
    <row r="46" spans="1:25">
      <c r="A46" s="798" t="s">
        <v>1012</v>
      </c>
      <c r="B46" s="368" t="s">
        <v>281</v>
      </c>
      <c r="C46" s="368" t="s">
        <v>424</v>
      </c>
      <c r="D46" s="368" t="s">
        <v>8</v>
      </c>
      <c r="E46" s="368" t="s">
        <v>74</v>
      </c>
      <c r="F46" s="368" t="s">
        <v>18</v>
      </c>
      <c r="G46" s="846"/>
      <c r="H46" s="846"/>
      <c r="I46" s="404"/>
      <c r="J46" s="944"/>
      <c r="K46" s="944"/>
      <c r="L46" s="944"/>
      <c r="T46" s="1163" t="s">
        <v>1848</v>
      </c>
    </row>
    <row r="47" spans="1:25">
      <c r="A47" s="585"/>
      <c r="B47" s="418"/>
      <c r="C47" s="1658"/>
      <c r="D47" s="417"/>
      <c r="E47" s="417"/>
      <c r="F47" s="1659">
        <f>IF(A47&lt;&gt;"",VLOOKUP(A47,'Liste de prix Public EUROPE'!B1834:F1839,5,FALSE)*B47*C47)+B47*IF(D47&lt;&gt;"",VLOOKUP('Deviseur EUROPE'!D47,'Liste de prix Public EUROPE'!$B$1866:$D$1866,3,FALSE))</f>
        <v>0</v>
      </c>
      <c r="G47" s="298"/>
      <c r="H47" s="917"/>
      <c r="I47" s="404"/>
      <c r="J47" s="944"/>
      <c r="K47" s="944"/>
      <c r="L47" s="944"/>
      <c r="T47" s="1163" t="s">
        <v>1849</v>
      </c>
      <c r="Y47" s="946" t="s">
        <v>1996</v>
      </c>
    </row>
    <row r="48" spans="1:25">
      <c r="A48" s="585"/>
      <c r="B48" s="418"/>
      <c r="C48" s="1658"/>
      <c r="D48" s="417"/>
      <c r="E48" s="417"/>
      <c r="F48" s="1659">
        <f>IF(A48&lt;&gt;"",VLOOKUP(A48,'Liste de prix Public EUROPE'!B1835:F1840,5,FALSE)*B48*C48)+B48*IF(D48&lt;&gt;"",VLOOKUP('Deviseur EUROPE'!D48,'Liste de prix Public EUROPE'!$B$1866:$D$1866,3,FALSE))</f>
        <v>0</v>
      </c>
      <c r="G48" s="298"/>
      <c r="H48" s="917"/>
      <c r="I48" s="404"/>
      <c r="J48" s="944"/>
      <c r="K48" s="944"/>
      <c r="L48" s="944"/>
      <c r="T48" s="1163" t="s">
        <v>1850</v>
      </c>
      <c r="W48" s="946" t="s">
        <v>2013</v>
      </c>
      <c r="Y48" s="946" t="s">
        <v>823</v>
      </c>
    </row>
    <row r="49" spans="1:22">
      <c r="A49" s="376"/>
      <c r="B49" s="64"/>
      <c r="C49" s="64"/>
      <c r="D49" s="70"/>
      <c r="E49" s="377" t="s">
        <v>39</v>
      </c>
      <c r="F49" s="378">
        <f>SUM(F47:F48)</f>
        <v>0</v>
      </c>
      <c r="G49" s="298"/>
      <c r="H49" s="917"/>
      <c r="I49" s="404"/>
      <c r="J49" s="944"/>
      <c r="K49" s="944"/>
      <c r="L49" s="944"/>
      <c r="T49" s="1163" t="s">
        <v>1851</v>
      </c>
    </row>
    <row r="50" spans="1:22">
      <c r="A50" s="376"/>
      <c r="B50" s="64"/>
      <c r="C50" s="64"/>
      <c r="D50" s="70"/>
      <c r="E50" s="360"/>
      <c r="F50" s="360"/>
      <c r="G50" s="360"/>
      <c r="H50" s="360"/>
      <c r="I50" s="404"/>
      <c r="J50" s="944"/>
      <c r="K50" s="944"/>
      <c r="L50" s="944"/>
      <c r="T50" s="1163" t="s">
        <v>1852</v>
      </c>
    </row>
    <row r="51" spans="1:22">
      <c r="A51" s="559" t="s">
        <v>1008</v>
      </c>
      <c r="B51" s="368" t="s">
        <v>281</v>
      </c>
      <c r="C51" s="368" t="s">
        <v>424</v>
      </c>
      <c r="D51" s="2095" t="s">
        <v>8</v>
      </c>
      <c r="E51" s="2096"/>
      <c r="F51" s="368" t="s">
        <v>18</v>
      </c>
      <c r="G51" s="846"/>
      <c r="H51" s="846"/>
      <c r="I51" s="404"/>
      <c r="J51" s="944"/>
      <c r="K51" s="944"/>
      <c r="L51" s="944"/>
      <c r="T51" s="1163" t="s">
        <v>1853</v>
      </c>
      <c r="V51" s="946" t="s">
        <v>307</v>
      </c>
    </row>
    <row r="52" spans="1:22">
      <c r="A52" s="585"/>
      <c r="B52" s="418"/>
      <c r="C52" s="1658"/>
      <c r="D52" s="2082"/>
      <c r="E52" s="2083"/>
      <c r="F52" s="1659">
        <f>IFERROR(IF(C52&lt;650,VLOOKUP(A52,'Liste de prix Public EUROPE'!$B$347:$K$349,10,FALSE)*B52*C52+VLOOKUP(D52,'Liste de prix Public EUROPE'!$B$978:$H$981,6,FALSE)*B52*C52,VLOOKUP(A52,'Liste de prix Public EUROPE'!$B$347:$K$349,10,FALSE)*B52*650+VLOOKUP(D52,'Liste de prix Public EUROPE'!$B$978:$H$981,7,FALSE)*B52),0)</f>
        <v>0</v>
      </c>
      <c r="G52" s="298"/>
      <c r="H52" s="917"/>
      <c r="I52" s="404"/>
      <c r="J52" s="944"/>
      <c r="K52" s="944"/>
      <c r="L52" s="944"/>
      <c r="T52" s="1163" t="s">
        <v>1854</v>
      </c>
    </row>
    <row r="53" spans="1:22">
      <c r="A53" s="585"/>
      <c r="B53" s="418"/>
      <c r="C53" s="1658"/>
      <c r="D53" s="2082"/>
      <c r="E53" s="2083"/>
      <c r="F53" s="1659">
        <f>IFERROR(IF(C53&lt;650,VLOOKUP(A53,'Liste de prix Public EUROPE'!$B$347:$K$349,10,FALSE)*B53*C53+VLOOKUP(D53,'Liste de prix Public EUROPE'!$B$978:$H$981,6,FALSE)*B53*C53,VLOOKUP(A53,'Liste de prix Public EUROPE'!$B$347:$K$349,10,FALSE)*B53*650+VLOOKUP(D53,'Liste de prix Public EUROPE'!$B$978:$H$981,7,FALSE)*B53),0)</f>
        <v>0</v>
      </c>
      <c r="G53" s="298"/>
      <c r="H53" s="917"/>
      <c r="I53" s="404"/>
      <c r="J53" s="944"/>
      <c r="K53" s="944"/>
      <c r="L53" s="944"/>
      <c r="T53" s="1385" t="s">
        <v>1855</v>
      </c>
    </row>
    <row r="54" spans="1:22">
      <c r="A54" s="376"/>
      <c r="B54" s="64"/>
      <c r="C54" s="64"/>
      <c r="D54" s="70"/>
      <c r="E54" s="377" t="s">
        <v>39</v>
      </c>
      <c r="F54" s="1659">
        <f>SUM(F52:F53)</f>
        <v>0</v>
      </c>
      <c r="G54" s="298"/>
      <c r="H54" s="917"/>
      <c r="I54" s="404"/>
      <c r="J54" s="944"/>
      <c r="K54" s="944"/>
      <c r="L54" s="944"/>
      <c r="T54" s="1163" t="s">
        <v>1856</v>
      </c>
      <c r="V54" s="966"/>
    </row>
    <row r="55" spans="1:22">
      <c r="A55" s="376"/>
      <c r="B55" s="64"/>
      <c r="C55" s="64"/>
      <c r="D55" s="70"/>
      <c r="E55"/>
      <c r="F55"/>
      <c r="G55" s="840"/>
      <c r="H55" s="917"/>
      <c r="I55" s="362"/>
      <c r="J55" s="944"/>
      <c r="K55" s="944"/>
      <c r="L55" s="944"/>
      <c r="T55" s="1163" t="s">
        <v>1857</v>
      </c>
      <c r="V55" s="946" t="s">
        <v>1786</v>
      </c>
    </row>
    <row r="56" spans="1:22" hidden="1">
      <c r="A56" s="913" t="s">
        <v>235</v>
      </c>
      <c r="B56" s="914" t="s">
        <v>80</v>
      </c>
      <c r="C56" s="914" t="s">
        <v>138</v>
      </c>
      <c r="D56" s="914" t="s">
        <v>8</v>
      </c>
      <c r="E56" s="914" t="s">
        <v>74</v>
      </c>
      <c r="F56" s="914" t="s">
        <v>18</v>
      </c>
      <c r="G56" s="915" t="s">
        <v>143</v>
      </c>
      <c r="H56" s="1214"/>
      <c r="I56" s="362"/>
      <c r="J56" s="944"/>
      <c r="K56" s="944"/>
      <c r="L56" s="944"/>
      <c r="T56" s="1163" t="s">
        <v>1858</v>
      </c>
      <c r="V56" s="946" t="s">
        <v>139</v>
      </c>
    </row>
    <row r="57" spans="1:22" hidden="1">
      <c r="A57" s="585"/>
      <c r="B57" s="628"/>
      <c r="C57" s="854"/>
      <c r="D57" s="591"/>
      <c r="E57" s="417"/>
      <c r="F57" s="371">
        <f>IF(C57=$V$79,VLOOKUP(A57,'Liste de prix Public EUROPE'!$B$9:$S$169,8,FALSE),IF(C57=$V$80,VLOOKUP(A57,'Liste de prix Public EUROPE'!$B$9:$S$169,10,FALSE),IF(C57=$V$81,VLOOKUP(A57,'Liste de prix Public EUROPE'!$B$9:$S$169,13,FALSE),IF(C57=$V$82,VLOOKUP(A57,'Liste de prix Public EUROPE'!$B$9:$S$169,17,FALSE),IF(C57=$V$83,VLOOKUP(A57,'Liste de prix Public EUROPE'!$B$9:$S$169,15,FALSE),IF(C57=$V$84,VLOOKUP(A57,'Liste de prix Public EUROPE'!$B$9:$U$169,19,FALSE),FALSE))))))*B57*(100%-$B$5)+IF(D57=$V$86,VLOOKUP(A57,'Liste de prix Public EUROPE'!$B$378:$S$542,7,FALSE),IF(D57=$V$87,VLOOKUP(A57,'Liste de prix Public EUROPE'!$B$559:$S$691,7,FALSE),IF(D57=$V$88,VLOOKUP(A57,'Liste de prix Public EUROPE'!$B$826:$S$966,7,FALSE),IF(D57=$V$89,VLOOKUP(A57,'Liste de prix Public EUROPE'!$B$1282:$S$1301,7,FALSE),IF(D57=$V$94,VLOOKUP(A57,'Liste de prix Public EUROPE'!$B$698:$S$822,7,FALSE),IF(D57=$V$90,VLOOKUP(A57,'Liste de prix Public EUROPE'!$B$1335:$S$1403,7,FALSE),IF(D57=$V$91,VLOOKUP(A57,'Liste de prix Public EUROPE'!$B$1510:$H$1565,7,FALSE),IF(D57=$V$92,VLOOKUP(A57,'Liste de prix Public EUROPE'!$B$1408:$H$1451,7,FALSE),IF(D57=$V$93,VLOOKUP(A57,'Liste de prix Public EUROPE'!$B$1456:$H$1502,7,FALSE),)))))))))*B57</f>
        <v>0</v>
      </c>
      <c r="G57" s="405">
        <f>IF(C57=$V$79,0,IF(C57=$V$80,VLOOKUP(A57,'Liste de prix Public EUROPE'!$B$9:$S$174,9,FALSE),IF(C57=$V$81,VLOOKUP(A57,'Liste de prix Public EUROPE'!$B$9:$S$174,12,FALSE),IF(C57=$V$82,VLOOKUP(A57,'Liste de prix Public EUROPE'!$B$9:$S$174,16,FALSE),FALSE))))*B57*(100%-$B$5)</f>
        <v>0</v>
      </c>
      <c r="H57" s="1215"/>
      <c r="I57" s="362"/>
      <c r="J57" s="944"/>
      <c r="K57" s="944"/>
      <c r="L57" s="944"/>
      <c r="T57" s="1163" t="s">
        <v>1859</v>
      </c>
      <c r="V57" s="946" t="s">
        <v>141</v>
      </c>
    </row>
    <row r="58" spans="1:22" hidden="1">
      <c r="A58" s="585"/>
      <c r="B58" s="628"/>
      <c r="C58" s="854"/>
      <c r="D58" s="591"/>
      <c r="E58" s="417"/>
      <c r="F58" s="371">
        <f>IF(C58=$V$79,VLOOKUP(A58,'Liste de prix Public EUROPE'!$B$9:$S$169,8,FALSE),IF(C58=$V$80,VLOOKUP(A58,'Liste de prix Public EUROPE'!$B$9:$S$169,10,FALSE),IF(C58=$V$81,VLOOKUP(A58,'Liste de prix Public EUROPE'!$B$9:$S$169,13,FALSE),IF(C58=$V$82,VLOOKUP(A58,'Liste de prix Public EUROPE'!$B$9:$S$169,17,FALSE),IF(C58=$V$83,VLOOKUP(A58,'Liste de prix Public EUROPE'!$B$9:$S$169,15,FALSE),IF(C58=$V$84,VLOOKUP(A58,'Liste de prix Public EUROPE'!$B$9:$U$169,19,FALSE),FALSE))))))*B58*(100%-$B$5)+IF(D58=$V$86,VLOOKUP(A58,'Liste de prix Public EUROPE'!$B$378:$S$542,7,FALSE),IF(D58=$V$87,VLOOKUP(A58,'Liste de prix Public EUROPE'!$B$559:$S$691,7,FALSE),IF(D58=$V$88,VLOOKUP(A58,'Liste de prix Public EUROPE'!$B$826:$S$966,7,FALSE),IF(D58=$V$89,VLOOKUP(A58,'Liste de prix Public EUROPE'!$B$1282:$S$1301,7,FALSE),IF(D58=$V$94,VLOOKUP(A58,'Liste de prix Public EUROPE'!$B$698:$S$822,7,FALSE),IF(D58=$V$90,VLOOKUP(A58,'Liste de prix Public EUROPE'!$B$1335:$S$1403,7,FALSE),IF(D58=$V$91,VLOOKUP(A58,'Liste de prix Public EUROPE'!$B$1510:$H$1565,7,FALSE),IF(D58=$V$92,VLOOKUP(A58,'Liste de prix Public EUROPE'!$B$1408:$H$1451,7,FALSE),IF(D58=$V$93,VLOOKUP(A58,'Liste de prix Public EUROPE'!$B$1456:$H$1502,7,FALSE),)))))))))*B58</f>
        <v>0</v>
      </c>
      <c r="G58" s="405">
        <f>IF(C58=$V$79,0,IF(C58=$V$80,VLOOKUP(A58,'Liste de prix Public EUROPE'!$B$9:$S$174,9,FALSE),IF(C58=$V$81,VLOOKUP(A58,'Liste de prix Public EUROPE'!$B$9:$S$174,12,FALSE),IF(C58=$V$82,VLOOKUP(A58,'Liste de prix Public EUROPE'!$B$9:$S$174,16,FALSE),FALSE))))*B58*(100%-$B$5)</f>
        <v>0</v>
      </c>
      <c r="H58" s="1215"/>
      <c r="I58" s="362"/>
      <c r="J58" s="944"/>
      <c r="K58" s="944"/>
      <c r="L58" s="944"/>
      <c r="T58" s="1163" t="s">
        <v>1860</v>
      </c>
      <c r="V58" s="946" t="s">
        <v>142</v>
      </c>
    </row>
    <row r="59" spans="1:22" hidden="1">
      <c r="A59" s="585"/>
      <c r="B59" s="628"/>
      <c r="C59" s="854"/>
      <c r="D59" s="591"/>
      <c r="E59" s="417"/>
      <c r="F59" s="371">
        <f>IF(C59=$V$79,VLOOKUP(A59,'Liste de prix Public EUROPE'!$B$9:$S$169,8,FALSE),IF(C59=$V$80,VLOOKUP(A59,'Liste de prix Public EUROPE'!$B$9:$S$169,10,FALSE),IF(C59=$V$81,VLOOKUP(A59,'Liste de prix Public EUROPE'!$B$9:$S$169,13,FALSE),IF(C59=$V$82,VLOOKUP(A59,'Liste de prix Public EUROPE'!$B$9:$S$169,17,FALSE),IF(C59=$V$83,VLOOKUP(A59,'Liste de prix Public EUROPE'!$B$9:$S$169,15,FALSE),IF(C59=$V$84,VLOOKUP(A59,'Liste de prix Public EUROPE'!$B$9:$U$169,19,FALSE),FALSE))))))*B59*(100%-$B$5)+IF(D59=$V$86,VLOOKUP(A59,'Liste de prix Public EUROPE'!$B$378:$S$542,7,FALSE),IF(D59=$V$87,VLOOKUP(A59,'Liste de prix Public EUROPE'!$B$559:$S$691,7,FALSE),IF(D59=$V$88,VLOOKUP(A59,'Liste de prix Public EUROPE'!$B$826:$S$966,7,FALSE),IF(D59=$V$89,VLOOKUP(A59,'Liste de prix Public EUROPE'!$B$1282:$S$1301,7,FALSE),IF(D59=$V$94,VLOOKUP(A59,'Liste de prix Public EUROPE'!$B$698:$S$822,7,FALSE),IF(D59=$V$90,VLOOKUP(A59,'Liste de prix Public EUROPE'!$B$1335:$S$1403,7,FALSE),IF(D59=$V$91,VLOOKUP(A59,'Liste de prix Public EUROPE'!$B$1510:$H$1565,7,FALSE),IF(D59=$V$92,VLOOKUP(A59,'Liste de prix Public EUROPE'!$B$1408:$H$1451,7,FALSE),IF(D59=$V$93,VLOOKUP(A59,'Liste de prix Public EUROPE'!$B$1456:$H$1502,7,FALSE),)))))))))*B59</f>
        <v>0</v>
      </c>
      <c r="G59" s="405">
        <f>IF(C59=$V$79,0,IF(C59=$V$80,VLOOKUP(A59,'Liste de prix Public EUROPE'!$B$9:$S$174,9,FALSE),IF(C59=$V$81,VLOOKUP(A59,'Liste de prix Public EUROPE'!$B$9:$S$174,12,FALSE),IF(C59=$V$82,VLOOKUP(A59,'Liste de prix Public EUROPE'!$B$9:$S$174,16,FALSE),FALSE))))*B59*(100%-$B$5)</f>
        <v>0</v>
      </c>
      <c r="H59" s="1215"/>
      <c r="I59" s="362"/>
      <c r="J59" s="944"/>
      <c r="K59" s="944"/>
      <c r="L59" s="944"/>
      <c r="T59" s="1163" t="s">
        <v>1861</v>
      </c>
      <c r="V59" s="946" t="s">
        <v>886</v>
      </c>
    </row>
    <row r="60" spans="1:22" hidden="1">
      <c r="A60" s="585"/>
      <c r="B60" s="628"/>
      <c r="C60" s="854"/>
      <c r="D60" s="591"/>
      <c r="E60" s="417"/>
      <c r="F60" s="371">
        <f>IF(C60=$V$79,VLOOKUP(A60,'Liste de prix Public EUROPE'!$B$9:$S$169,8,FALSE),IF(C60=$V$80,VLOOKUP(A60,'Liste de prix Public EUROPE'!$B$9:$S$169,10,FALSE),IF(C60=$V$81,VLOOKUP(A60,'Liste de prix Public EUROPE'!$B$9:$S$169,13,FALSE),IF(C60=$V$82,VLOOKUP(A60,'Liste de prix Public EUROPE'!$B$9:$S$169,17,FALSE),IF(C60=$V$83,VLOOKUP(A60,'Liste de prix Public EUROPE'!$B$9:$S$169,15,FALSE),IF(C60=$V$84,VLOOKUP(A60,'Liste de prix Public EUROPE'!$B$9:$U$169,19,FALSE),FALSE))))))*B60*(100%-$B$5)+IF(D60=$V$86,VLOOKUP(A60,'Liste de prix Public EUROPE'!$B$378:$S$542,7,FALSE),IF(D60=$V$87,VLOOKUP(A60,'Liste de prix Public EUROPE'!$B$559:$S$691,7,FALSE),IF(D60=$V$88,VLOOKUP(A60,'Liste de prix Public EUROPE'!$B$826:$S$966,7,FALSE),IF(D60=$V$89,VLOOKUP(A60,'Liste de prix Public EUROPE'!$B$1282:$S$1301,7,FALSE),IF(D60=$V$94,VLOOKUP(A60,'Liste de prix Public EUROPE'!$B$698:$S$822,7,FALSE),IF(D60=$V$90,VLOOKUP(A60,'Liste de prix Public EUROPE'!$B$1335:$S$1403,7,FALSE),IF(D60=$V$91,VLOOKUP(A60,'Liste de prix Public EUROPE'!$B$1510:$H$1565,7,FALSE),IF(D60=$V$92,VLOOKUP(A60,'Liste de prix Public EUROPE'!$B$1408:$H$1451,7,FALSE),IF(D60=$V$93,VLOOKUP(A60,'Liste de prix Public EUROPE'!$B$1456:$H$1502,7,FALSE),)))))))))*B60</f>
        <v>0</v>
      </c>
      <c r="G60" s="405">
        <f>IF(C60=$V$79,0,IF(C60=$V$80,VLOOKUP(A60,'Liste de prix Public EUROPE'!$B$9:$S$174,9,FALSE),IF(C60=$V$81,VLOOKUP(A60,'Liste de prix Public EUROPE'!$B$9:$S$174,12,FALSE),IF(C60=$V$82,VLOOKUP(A60,'Liste de prix Public EUROPE'!$B$9:$S$174,16,FALSE),FALSE))))*B60*(100%-$B$5)</f>
        <v>0</v>
      </c>
      <c r="H60" s="1215"/>
      <c r="I60" s="362"/>
      <c r="J60" s="944"/>
      <c r="K60" s="944"/>
      <c r="L60" s="944"/>
      <c r="T60" s="1163" t="s">
        <v>1862</v>
      </c>
      <c r="V60" s="946" t="s">
        <v>923</v>
      </c>
    </row>
    <row r="61" spans="1:22" hidden="1">
      <c r="A61" s="585"/>
      <c r="B61" s="415"/>
      <c r="C61" s="854"/>
      <c r="D61" s="591"/>
      <c r="E61" s="417"/>
      <c r="F61" s="371">
        <f>IF(C61=$V$79,VLOOKUP(A61,'Liste de prix Public EUROPE'!$B$9:$S$169,8,FALSE),IF(C61=$V$80,VLOOKUP(A61,'Liste de prix Public EUROPE'!$B$9:$S$169,10,FALSE),IF(C61=$V$81,VLOOKUP(A61,'Liste de prix Public EUROPE'!$B$9:$S$169,13,FALSE),IF(C61=$V$82,VLOOKUP(A61,'Liste de prix Public EUROPE'!$B$9:$S$169,17,FALSE),IF(C61=$V$83,VLOOKUP(A61,'Liste de prix Public EUROPE'!$B$9:$S$169,15,FALSE),IF(C61=$V$84,VLOOKUP(A61,'Liste de prix Public EUROPE'!$B$9:$U$169,19,FALSE),FALSE))))))*B61*(100%-$B$5)+IF(D61=$V$86,VLOOKUP(A61,'Liste de prix Public EUROPE'!$B$378:$S$542,7,FALSE),IF(D61=$V$87,VLOOKUP(A61,'Liste de prix Public EUROPE'!$B$559:$S$691,7,FALSE),IF(D61=$V$88,VLOOKUP(A61,'Liste de prix Public EUROPE'!$B$826:$S$966,7,FALSE),IF(D61=$V$89,VLOOKUP(A61,'Liste de prix Public EUROPE'!$B$1282:$S$1301,7,FALSE),IF(D61=$V$94,VLOOKUP(A61,'Liste de prix Public EUROPE'!$B$698:$S$822,7,FALSE),IF(D61=$V$90,VLOOKUP(A61,'Liste de prix Public EUROPE'!$B$1335:$S$1403,7,FALSE),IF(D61=$V$91,VLOOKUP(A61,'Liste de prix Public EUROPE'!$B$1510:$H$1565,7,FALSE),IF(D61=$V$92,VLOOKUP(A61,'Liste de prix Public EUROPE'!$B$1408:$H$1451,7,FALSE),IF(D61=$V$93,VLOOKUP(A61,'Liste de prix Public EUROPE'!$B$1456:$H$1502,7,FALSE),)))))))))*B61</f>
        <v>0</v>
      </c>
      <c r="G61" s="405">
        <f>IF(C61=$V$79,0,IF(C61=$V$80,VLOOKUP(A61,'Liste de prix Public EUROPE'!$B$9:$S$174,9,FALSE),IF(C61=$V$81,VLOOKUP(A61,'Liste de prix Public EUROPE'!$B$9:$S$174,12,FALSE),IF(C61=$V$82,VLOOKUP(A61,'Liste de prix Public EUROPE'!$B$9:$S$174,16,FALSE),FALSE))))*B61*(100%-$B$5)</f>
        <v>0</v>
      </c>
      <c r="H61" s="1215"/>
      <c r="I61" s="362"/>
      <c r="J61" s="944"/>
      <c r="K61" s="944"/>
      <c r="L61" s="944"/>
      <c r="T61" s="1163" t="s">
        <v>1863</v>
      </c>
      <c r="V61" s="966"/>
    </row>
    <row r="62" spans="1:22" hidden="1">
      <c r="A62" s="585"/>
      <c r="B62" s="415"/>
      <c r="C62" s="854"/>
      <c r="D62" s="591"/>
      <c r="E62" s="417"/>
      <c r="F62" s="371">
        <f>IF(C62=$V$79,VLOOKUP(A62,'Liste de prix Public EUROPE'!$B$9:$S$169,8,FALSE),IF(C62=$V$80,VLOOKUP(A62,'Liste de prix Public EUROPE'!$B$9:$S$169,10,FALSE),IF(C62=$V$81,VLOOKUP(A62,'Liste de prix Public EUROPE'!$B$9:$S$169,13,FALSE),IF(C62=$V$82,VLOOKUP(A62,'Liste de prix Public EUROPE'!$B$9:$S$169,17,FALSE),IF(C62=$V$83,VLOOKUP(A62,'Liste de prix Public EUROPE'!$B$9:$S$169,15,FALSE),IF(C62=$V$84,VLOOKUP(A62,'Liste de prix Public EUROPE'!$B$9:$U$169,19,FALSE),FALSE))))))*B62*(100%-$B$5)+IF(D62=$V$86,VLOOKUP(A62,'Liste de prix Public EUROPE'!$B$378:$S$542,7,FALSE),IF(D62=$V$87,VLOOKUP(A62,'Liste de prix Public EUROPE'!$B$559:$S$691,7,FALSE),IF(D62=$V$88,VLOOKUP(A62,'Liste de prix Public EUROPE'!$B$826:$S$966,7,FALSE),IF(D62=$V$89,VLOOKUP(A62,'Liste de prix Public EUROPE'!$B$1282:$S$1301,7,FALSE),IF(D62=$V$94,VLOOKUP(A62,'Liste de prix Public EUROPE'!$B$698:$S$822,7,FALSE),IF(D62=$V$90,VLOOKUP(A62,'Liste de prix Public EUROPE'!$B$1335:$S$1403,7,FALSE),IF(D62=$V$91,VLOOKUP(A62,'Liste de prix Public EUROPE'!$B$1510:$H$1565,7,FALSE),IF(D62=$V$92,VLOOKUP(A62,'Liste de prix Public EUROPE'!$B$1408:$H$1451,7,FALSE),IF(D62=$V$93,VLOOKUP(A62,'Liste de prix Public EUROPE'!$B$1456:$H$1502,7,FALSE),)))))))))*B62</f>
        <v>0</v>
      </c>
      <c r="G62" s="405">
        <f>IF(C62=$V$79,0,IF(C62=$V$80,VLOOKUP(A62,'Liste de prix Public EUROPE'!$B$9:$S$174,9,FALSE),IF(C62=$V$81,VLOOKUP(A62,'Liste de prix Public EUROPE'!$B$9:$S$174,12,FALSE),IF(C62=$V$82,VLOOKUP(A62,'Liste de prix Public EUROPE'!$B$9:$S$174,16,FALSE),FALSE))))*B62*(100%-$B$5)</f>
        <v>0</v>
      </c>
      <c r="H62" s="1215"/>
      <c r="I62" s="362"/>
      <c r="J62" s="944"/>
      <c r="K62" s="944"/>
      <c r="L62" s="944"/>
      <c r="T62" s="1163" t="s">
        <v>1864</v>
      </c>
      <c r="V62" s="966"/>
    </row>
    <row r="63" spans="1:22" hidden="1">
      <c r="A63" s="585"/>
      <c r="B63" s="415"/>
      <c r="C63" s="854"/>
      <c r="D63" s="591"/>
      <c r="E63" s="417"/>
      <c r="F63" s="371">
        <f>IF(C63=$V$79,VLOOKUP(A63,'Liste de prix Public EUROPE'!$B$9:$S$169,8,FALSE),IF(C63=$V$80,VLOOKUP(A63,'Liste de prix Public EUROPE'!$B$9:$S$169,10,FALSE),IF(C63=$V$81,VLOOKUP(A63,'Liste de prix Public EUROPE'!$B$9:$S$169,13,FALSE),IF(C63=$V$82,VLOOKUP(A63,'Liste de prix Public EUROPE'!$B$9:$S$169,17,FALSE),IF(C63=$V$83,VLOOKUP(A63,'Liste de prix Public EUROPE'!$B$9:$S$169,15,FALSE),IF(C63=$V$84,VLOOKUP(A63,'Liste de prix Public EUROPE'!$B$9:$U$169,19,FALSE),FALSE))))))*B63*(100%-$B$5)+IF(D63=$V$86,VLOOKUP(A63,'Liste de prix Public EUROPE'!$B$378:$S$542,7,FALSE),IF(D63=$V$87,VLOOKUP(A63,'Liste de prix Public EUROPE'!$B$559:$S$691,7,FALSE),IF(D63=$V$88,VLOOKUP(A63,'Liste de prix Public EUROPE'!$B$826:$S$966,7,FALSE),IF(D63=$V$89,VLOOKUP(A63,'Liste de prix Public EUROPE'!$B$1282:$S$1301,7,FALSE),IF(D63=$V$94,VLOOKUP(A63,'Liste de prix Public EUROPE'!$B$698:$S$822,7,FALSE),IF(D63=$V$90,VLOOKUP(A63,'Liste de prix Public EUROPE'!$B$1335:$S$1403,7,FALSE),IF(D63=$V$91,VLOOKUP(A63,'Liste de prix Public EUROPE'!$B$1510:$H$1565,7,FALSE),IF(D63=$V$92,VLOOKUP(A63,'Liste de prix Public EUROPE'!$B$1408:$H$1451,7,FALSE),IF(D63=$V$93,VLOOKUP(A63,'Liste de prix Public EUROPE'!$B$1456:$H$1502,7,FALSE),)))))))))*B63</f>
        <v>0</v>
      </c>
      <c r="G63" s="405">
        <f>IF(C63=$V$79,0,IF(C63=$V$80,VLOOKUP(A63,'Liste de prix Public EUROPE'!$B$9:$S$174,9,FALSE),IF(C63=$V$81,VLOOKUP(A63,'Liste de prix Public EUROPE'!$B$9:$S$174,12,FALSE),IF(C63=$V$82,VLOOKUP(A63,'Liste de prix Public EUROPE'!$B$9:$S$174,16,FALSE),FALSE))))*B63*(100%-$B$5)</f>
        <v>0</v>
      </c>
      <c r="H63" s="1215"/>
      <c r="I63" s="362"/>
      <c r="J63" s="944"/>
      <c r="K63" s="944"/>
      <c r="L63" s="944"/>
      <c r="T63" s="1163" t="s">
        <v>1865</v>
      </c>
      <c r="V63" s="966"/>
    </row>
    <row r="64" spans="1:22" hidden="1">
      <c r="A64" s="585"/>
      <c r="B64" s="415"/>
      <c r="C64" s="854"/>
      <c r="D64" s="591"/>
      <c r="E64" s="417"/>
      <c r="F64" s="371">
        <f>IF(C64=$V$79,VLOOKUP(A64,'Liste de prix Public EUROPE'!$B$9:$S$169,8,FALSE),IF(C64=$V$80,VLOOKUP(A64,'Liste de prix Public EUROPE'!$B$9:$S$169,10,FALSE),IF(C64=$V$81,VLOOKUP(A64,'Liste de prix Public EUROPE'!$B$9:$S$169,13,FALSE),IF(C64=$V$82,VLOOKUP(A64,'Liste de prix Public EUROPE'!$B$9:$S$169,17,FALSE),IF(C64=$V$83,VLOOKUP(A64,'Liste de prix Public EUROPE'!$B$9:$S$169,15,FALSE),IF(C64=$V$84,VLOOKUP(A64,'Liste de prix Public EUROPE'!$B$9:$U$169,19,FALSE),FALSE))))))*B64*(100%-$B$5)+IF(D64=$V$86,VLOOKUP(A64,'Liste de prix Public EUROPE'!$B$378:$S$542,7,FALSE),IF(D64=$V$87,VLOOKUP(A64,'Liste de prix Public EUROPE'!$B$559:$S$691,7,FALSE),IF(D64=$V$88,VLOOKUP(A64,'Liste de prix Public EUROPE'!$B$826:$S$966,7,FALSE),IF(D64=$V$89,VLOOKUP(A64,'Liste de prix Public EUROPE'!$B$1282:$S$1301,7,FALSE),IF(D64=$V$94,VLOOKUP(A64,'Liste de prix Public EUROPE'!$B$698:$S$822,7,FALSE),IF(D64=$V$90,VLOOKUP(A64,'Liste de prix Public EUROPE'!$B$1335:$S$1403,7,FALSE),IF(D64=$V$91,VLOOKUP(A64,'Liste de prix Public EUROPE'!$B$1510:$H$1565,7,FALSE),IF(D64=$V$92,VLOOKUP(A64,'Liste de prix Public EUROPE'!$B$1408:$H$1451,7,FALSE),IF(D64=$V$93,VLOOKUP(A64,'Liste de prix Public EUROPE'!$B$1456:$H$1502,7,FALSE),)))))))))*B64</f>
        <v>0</v>
      </c>
      <c r="G64" s="405">
        <f>IF(C64=$V$79,0,IF(C64=$V$80,VLOOKUP(A64,'Liste de prix Public EUROPE'!$B$9:$S$174,9,FALSE),IF(C64=$V$81,VLOOKUP(A64,'Liste de prix Public EUROPE'!$B$9:$S$174,12,FALSE),IF(C64=$V$82,VLOOKUP(A64,'Liste de prix Public EUROPE'!$B$9:$S$174,16,FALSE),FALSE))))*B64*(100%-$B$5)</f>
        <v>0</v>
      </c>
      <c r="H64" s="1215"/>
      <c r="I64" s="362"/>
      <c r="J64" s="944"/>
      <c r="K64" s="944"/>
      <c r="L64" s="944"/>
      <c r="T64" s="1163" t="s">
        <v>1866</v>
      </c>
      <c r="V64" s="966"/>
    </row>
    <row r="65" spans="1:22" hidden="1">
      <c r="A65" s="585"/>
      <c r="B65" s="415"/>
      <c r="C65" s="854"/>
      <c r="D65" s="591"/>
      <c r="E65" s="417"/>
      <c r="F65" s="371">
        <f>IF(C65=$V$79,VLOOKUP(A65,'Liste de prix Public EUROPE'!$B$9:$S$169,8,FALSE),IF(C65=$V$80,VLOOKUP(A65,'Liste de prix Public EUROPE'!$B$9:$S$169,10,FALSE),IF(C65=$V$81,VLOOKUP(A65,'Liste de prix Public EUROPE'!$B$9:$S$169,13,FALSE),IF(C65=$V$82,VLOOKUP(A65,'Liste de prix Public EUROPE'!$B$9:$S$169,17,FALSE),IF(C65=$V$83,VLOOKUP(A65,'Liste de prix Public EUROPE'!$B$9:$S$169,15,FALSE),IF(C65=$V$84,VLOOKUP(A65,'Liste de prix Public EUROPE'!$B$9:$U$169,19,FALSE),FALSE))))))*B65*(100%-$B$5)+IF(D65=$V$86,VLOOKUP(A65,'Liste de prix Public EUROPE'!$B$378:$S$542,7,FALSE),IF(D65=$V$87,VLOOKUP(A65,'Liste de prix Public EUROPE'!$B$559:$S$691,7,FALSE),IF(D65=$V$88,VLOOKUP(A65,'Liste de prix Public EUROPE'!$B$826:$S$966,7,FALSE),IF(D65=$V$89,VLOOKUP(A65,'Liste de prix Public EUROPE'!$B$1282:$S$1301,7,FALSE),IF(D65=$V$94,VLOOKUP(A65,'Liste de prix Public EUROPE'!$B$698:$S$822,7,FALSE),IF(D65=$V$90,VLOOKUP(A65,'Liste de prix Public EUROPE'!$B$1335:$S$1403,7,FALSE),IF(D65=$V$91,VLOOKUP(A65,'Liste de prix Public EUROPE'!$B$1510:$H$1565,7,FALSE),IF(D65=$V$92,VLOOKUP(A65,'Liste de prix Public EUROPE'!$B$1408:$H$1451,7,FALSE),IF(D65=$V$93,VLOOKUP(A65,'Liste de prix Public EUROPE'!$B$1456:$H$1502,7,FALSE),)))))))))*B65</f>
        <v>0</v>
      </c>
      <c r="G65" s="405">
        <f>IF(C65=$V$79,0,IF(C65=$V$80,VLOOKUP(A65,'Liste de prix Public EUROPE'!$B$9:$S$174,9,FALSE),IF(C65=$V$81,VLOOKUP(A65,'Liste de prix Public EUROPE'!$B$9:$S$174,12,FALSE),IF(C65=$V$82,VLOOKUP(A65,'Liste de prix Public EUROPE'!$B$9:$S$174,16,FALSE),FALSE))))*B65*(100%-$B$5)</f>
        <v>0</v>
      </c>
      <c r="H65" s="1215"/>
      <c r="I65" s="362"/>
      <c r="J65" s="944"/>
      <c r="K65" s="944"/>
      <c r="L65" s="944"/>
      <c r="T65" s="1163" t="s">
        <v>1867</v>
      </c>
      <c r="V65" s="966"/>
    </row>
    <row r="66" spans="1:22" hidden="1">
      <c r="A66" s="585"/>
      <c r="B66" s="415"/>
      <c r="C66" s="854"/>
      <c r="D66" s="591"/>
      <c r="E66" s="417"/>
      <c r="F66" s="371">
        <f>IF(C66=$V$79,VLOOKUP(A66,'Liste de prix Public EUROPE'!$B$9:$S$169,8,FALSE),IF(C66=$V$80,VLOOKUP(A66,'Liste de prix Public EUROPE'!$B$9:$S$169,10,FALSE),IF(C66=$V$81,VLOOKUP(A66,'Liste de prix Public EUROPE'!$B$9:$S$169,13,FALSE),IF(C66=$V$82,VLOOKUP(A66,'Liste de prix Public EUROPE'!$B$9:$S$169,17,FALSE),IF(C66=$V$83,VLOOKUP(A66,'Liste de prix Public EUROPE'!$B$9:$S$169,15,FALSE),IF(C66=$V$84,VLOOKUP(A66,'Liste de prix Public EUROPE'!$B$9:$U$169,19,FALSE),FALSE))))))*B66*(100%-$B$5)+IF(D66=$V$86,VLOOKUP(A66,'Liste de prix Public EUROPE'!$B$378:$S$542,7,FALSE),IF(D66=$V$87,VLOOKUP(A66,'Liste de prix Public EUROPE'!$B$559:$S$691,7,FALSE),IF(D66=$V$88,VLOOKUP(A66,'Liste de prix Public EUROPE'!$B$826:$S$966,7,FALSE),IF(D66=$V$89,VLOOKUP(A66,'Liste de prix Public EUROPE'!$B$1282:$S$1301,7,FALSE),IF(D66=$V$94,VLOOKUP(A66,'Liste de prix Public EUROPE'!$B$698:$S$822,7,FALSE),IF(D66=$V$90,VLOOKUP(A66,'Liste de prix Public EUROPE'!$B$1335:$S$1403,7,FALSE),IF(D66=$V$91,VLOOKUP(A66,'Liste de prix Public EUROPE'!$B$1510:$H$1565,7,FALSE),IF(D66=$V$92,VLOOKUP(A66,'Liste de prix Public EUROPE'!$B$1408:$H$1451,7,FALSE),IF(D66=$V$93,VLOOKUP(A66,'Liste de prix Public EUROPE'!$B$1456:$H$1502,7,FALSE),)))))))))*B66</f>
        <v>0</v>
      </c>
      <c r="G66" s="405">
        <f>IF(C66=$V$79,0,IF(C66=$V$80,VLOOKUP(A66,'Liste de prix Public EUROPE'!$B$9:$S$174,9,FALSE),IF(C66=$V$81,VLOOKUP(A66,'Liste de prix Public EUROPE'!$B$9:$S$174,12,FALSE),IF(C66=$V$82,VLOOKUP(A66,'Liste de prix Public EUROPE'!$B$9:$S$174,16,FALSE),FALSE))))*B66*(100%-$B$5)</f>
        <v>0</v>
      </c>
      <c r="H66" s="1215"/>
      <c r="I66" s="362"/>
      <c r="J66" s="944"/>
      <c r="K66" s="944"/>
      <c r="L66" s="944"/>
      <c r="T66" s="1235" t="s">
        <v>1868</v>
      </c>
      <c r="V66" s="966"/>
    </row>
    <row r="67" spans="1:22" hidden="1">
      <c r="A67" s="585"/>
      <c r="B67" s="415"/>
      <c r="C67" s="854"/>
      <c r="D67" s="591"/>
      <c r="E67" s="417"/>
      <c r="F67" s="371">
        <f>IF(C67=$V$79,VLOOKUP(A67,'Liste de prix Public EUROPE'!$B$9:$S$169,8,FALSE),IF(C67=$V$80,VLOOKUP(A67,'Liste de prix Public EUROPE'!$B$9:$S$169,10,FALSE),IF(C67=$V$81,VLOOKUP(A67,'Liste de prix Public EUROPE'!$B$9:$S$169,13,FALSE),IF(C67=$V$82,VLOOKUP(A67,'Liste de prix Public EUROPE'!$B$9:$S$169,17,FALSE),IF(C67=$V$83,VLOOKUP(A67,'Liste de prix Public EUROPE'!$B$9:$S$169,15,FALSE),IF(C67=$V$84,VLOOKUP(A67,'Liste de prix Public EUROPE'!$B$9:$U$169,19,FALSE),FALSE))))))*B67*(100%-$B$5)+IF(D67=$V$86,VLOOKUP(A67,'Liste de prix Public EUROPE'!$B$378:$S$542,7,FALSE),IF(D67=$V$87,VLOOKUP(A67,'Liste de prix Public EUROPE'!$B$559:$S$691,7,FALSE),IF(D67=$V$88,VLOOKUP(A67,'Liste de prix Public EUROPE'!$B$826:$S$966,7,FALSE),IF(D67=$V$89,VLOOKUP(A67,'Liste de prix Public EUROPE'!$B$1282:$S$1301,7,FALSE),IF(D67=$V$94,VLOOKUP(A67,'Liste de prix Public EUROPE'!$B$698:$S$822,7,FALSE),IF(D67=$V$90,VLOOKUP(A67,'Liste de prix Public EUROPE'!$B$1335:$S$1403,7,FALSE),IF(D67=$V$91,VLOOKUP(A67,'Liste de prix Public EUROPE'!$B$1510:$H$1565,7,FALSE),IF(D67=$V$92,VLOOKUP(A67,'Liste de prix Public EUROPE'!$B$1408:$H$1451,7,FALSE),IF(D67=$V$93,VLOOKUP(A67,'Liste de prix Public EUROPE'!$B$1456:$H$1502,7,FALSE),)))))))))*B67</f>
        <v>0</v>
      </c>
      <c r="G67" s="405">
        <f>IF(C67=$V$79,0,IF(C67=$V$80,VLOOKUP(A67,'Liste de prix Public EUROPE'!$B$9:$S$174,9,FALSE),IF(C67=$V$81,VLOOKUP(A67,'Liste de prix Public EUROPE'!$B$9:$S$174,12,FALSE),IF(C67=$V$82,VLOOKUP(A67,'Liste de prix Public EUROPE'!$B$9:$S$174,16,FALSE),FALSE))))*B67*(100%-$B$5)</f>
        <v>0</v>
      </c>
      <c r="H67" s="1215"/>
      <c r="I67" s="362"/>
      <c r="J67" s="944"/>
      <c r="K67" s="944"/>
      <c r="L67" s="944"/>
      <c r="T67" s="1163" t="s">
        <v>1869</v>
      </c>
      <c r="V67" s="966"/>
    </row>
    <row r="68" spans="1:22" hidden="1">
      <c r="A68" s="585"/>
      <c r="B68" s="628"/>
      <c r="C68" s="854"/>
      <c r="D68" s="591"/>
      <c r="E68" s="591"/>
      <c r="F68" s="371">
        <f>IF(C68=$V$79,VLOOKUP(A68,'Liste de prix Public EUROPE'!$B$9:$S$169,8,FALSE),IF(C68=$V$80,VLOOKUP(A68,'Liste de prix Public EUROPE'!$B$9:$S$169,10,FALSE),IF(C68=$V$81,VLOOKUP(A68,'Liste de prix Public EUROPE'!$B$9:$S$169,13,FALSE),IF(C68=$V$82,VLOOKUP(A68,'Liste de prix Public EUROPE'!$B$9:$S$169,17,FALSE),IF(C68=$V$83,VLOOKUP(A68,'Liste de prix Public EUROPE'!$B$9:$S$169,15,FALSE),IF(C68=$V$84,VLOOKUP(A68,'Liste de prix Public EUROPE'!$B$9:$U$169,19,FALSE),FALSE))))))*B68*(100%-$B$5)+IF(D68=$V$86,VLOOKUP(A68,'Liste de prix Public EUROPE'!$B$378:$S$542,7,FALSE),IF(D68=$V$87,VLOOKUP(A68,'Liste de prix Public EUROPE'!$B$559:$S$691,7,FALSE),IF(D68=$V$88,VLOOKUP(A68,'Liste de prix Public EUROPE'!$B$826:$S$966,7,FALSE),IF(D68=$V$89,VLOOKUP(A68,'Liste de prix Public EUROPE'!$B$1282:$S$1301,7,FALSE),IF(D68=$V$94,VLOOKUP(A68,'Liste de prix Public EUROPE'!$B$698:$S$822,7,FALSE),IF(D68=$V$90,VLOOKUP(A68,'Liste de prix Public EUROPE'!$B$1335:$S$1403,7,FALSE),IF(D68=$V$91,VLOOKUP(A68,'Liste de prix Public EUROPE'!$B$1510:$H$1565,7,FALSE),IF(D68=$V$92,VLOOKUP(A68,'Liste de prix Public EUROPE'!$B$1408:$H$1451,7,FALSE),IF(D68=$V$93,VLOOKUP(A68,'Liste de prix Public EUROPE'!$B$1456:$H$1502,7,FALSE),)))))))))*B68</f>
        <v>0</v>
      </c>
      <c r="G68" s="405">
        <f>IF(C68=$V$79,0,IF(C68=$V$80,VLOOKUP(A68,'Liste de prix Public EUROPE'!$B$9:$S$174,9,FALSE),IF(C68=$V$81,VLOOKUP(A68,'Liste de prix Public EUROPE'!$B$9:$S$174,12,FALSE),IF(C68=$V$82,VLOOKUP(A68,'Liste de prix Public EUROPE'!$B$9:$S$174,16,FALSE),FALSE))))*B68*(100%-$B$5)</f>
        <v>0</v>
      </c>
      <c r="H68" s="1215"/>
      <c r="I68" s="362"/>
      <c r="J68" s="944"/>
      <c r="K68" s="944"/>
      <c r="L68" s="944"/>
      <c r="T68" s="1163" t="s">
        <v>1870</v>
      </c>
      <c r="V68" s="966"/>
    </row>
    <row r="69" spans="1:22" hidden="1">
      <c r="A69" s="585"/>
      <c r="B69" s="415"/>
      <c r="C69" s="854"/>
      <c r="D69" s="591"/>
      <c r="E69" s="417"/>
      <c r="F69" s="371">
        <f>IF(C69=$V$79,VLOOKUP(A69,'Liste de prix Public EUROPE'!$B$9:$S$169,8,FALSE),IF(C69=$V$80,VLOOKUP(A69,'Liste de prix Public EUROPE'!$B$9:$S$169,10,FALSE),IF(C69=$V$81,VLOOKUP(A69,'Liste de prix Public EUROPE'!$B$9:$S$169,13,FALSE),IF(C69=$V$82,VLOOKUP(A69,'Liste de prix Public EUROPE'!$B$9:$S$169,17,FALSE),IF(C69=$V$83,VLOOKUP(A69,'Liste de prix Public EUROPE'!$B$9:$S$169,15,FALSE),IF(C69=$V$84,VLOOKUP(A69,'Liste de prix Public EUROPE'!$B$9:$U$169,19,FALSE),FALSE))))))*B69*(100%-$B$5)+IF(D69=$V$86,VLOOKUP(A69,'Liste de prix Public EUROPE'!$B$378:$S$542,7,FALSE),IF(D69=$V$87,VLOOKUP(A69,'Liste de prix Public EUROPE'!$B$559:$S$691,7,FALSE),IF(D69=$V$88,VLOOKUP(A69,'Liste de prix Public EUROPE'!$B$826:$S$966,7,FALSE),IF(D69=$V$89,VLOOKUP(A69,'Liste de prix Public EUROPE'!$B$1282:$S$1301,7,FALSE),IF(D69=$V$94,VLOOKUP(A69,'Liste de prix Public EUROPE'!$B$698:$S$822,7,FALSE),IF(D69=$V$90,VLOOKUP(A69,'Liste de prix Public EUROPE'!$B$1335:$S$1403,7,FALSE),IF(D69=$V$91,VLOOKUP(A69,'Liste de prix Public EUROPE'!$B$1510:$H$1565,7,FALSE),IF(D69=$V$92,VLOOKUP(A69,'Liste de prix Public EUROPE'!$B$1408:$H$1451,7,FALSE),IF(D69=$V$93,VLOOKUP(A69,'Liste de prix Public EUROPE'!$B$1456:$H$1502,7,FALSE),)))))))))*B69</f>
        <v>0</v>
      </c>
      <c r="G69" s="405">
        <f>IF(C69=$V$79,0,IF(C69=$V$80,VLOOKUP(A69,'Liste de prix Public EUROPE'!$B$9:$S$174,9,FALSE),IF(C69=$V$81,VLOOKUP(A69,'Liste de prix Public EUROPE'!$B$9:$S$174,12,FALSE),IF(C69=$V$82,VLOOKUP(A69,'Liste de prix Public EUROPE'!$B$9:$S$174,16,FALSE),FALSE))))*B69*(100%-$B$5)</f>
        <v>0</v>
      </c>
      <c r="H69" s="1215"/>
      <c r="I69" s="362"/>
      <c r="J69" s="944"/>
      <c r="K69" s="944"/>
      <c r="L69" s="944"/>
      <c r="T69" s="1163" t="s">
        <v>1871</v>
      </c>
      <c r="V69" s="966"/>
    </row>
    <row r="70" spans="1:22" hidden="1">
      <c r="A70" s="585"/>
      <c r="B70" s="628"/>
      <c r="C70" s="854"/>
      <c r="D70" s="591"/>
      <c r="E70" s="591"/>
      <c r="F70" s="371">
        <f>IF(C70=$V$79,VLOOKUP(A70,'Liste de prix Public EUROPE'!$B$9:$S$169,8,FALSE),IF(C70=$V$80,VLOOKUP(A70,'Liste de prix Public EUROPE'!$B$9:$S$169,10,FALSE),IF(C70=$V$81,VLOOKUP(A70,'Liste de prix Public EUROPE'!$B$9:$S$169,13,FALSE),IF(C70=$V$82,VLOOKUP(A70,'Liste de prix Public EUROPE'!$B$9:$S$169,17,FALSE),IF(C70=$V$83,VLOOKUP(A70,'Liste de prix Public EUROPE'!$B$9:$S$169,15,FALSE),IF(C70=$V$84,VLOOKUP(A70,'Liste de prix Public EUROPE'!$B$9:$U$169,19,FALSE),FALSE))))))*B70*(100%-$B$5)+IF(D70=$V$86,VLOOKUP(A70,'Liste de prix Public EUROPE'!$B$378:$S$542,7,FALSE),IF(D70=$V$87,VLOOKUP(A70,'Liste de prix Public EUROPE'!$B$559:$S$691,7,FALSE),IF(D70=$V$88,VLOOKUP(A70,'Liste de prix Public EUROPE'!$B$826:$S$966,7,FALSE),IF(D70=$V$89,VLOOKUP(A70,'Liste de prix Public EUROPE'!$B$1282:$S$1301,7,FALSE),IF(D70=$V$94,VLOOKUP(A70,'Liste de prix Public EUROPE'!$B$698:$S$822,7,FALSE),IF(D70=$V$90,VLOOKUP(A70,'Liste de prix Public EUROPE'!$B$1335:$S$1403,7,FALSE),IF(D70=$V$91,VLOOKUP(A70,'Liste de prix Public EUROPE'!$B$1510:$H$1565,7,FALSE),IF(D70=$V$92,VLOOKUP(A70,'Liste de prix Public EUROPE'!$B$1408:$H$1451,7,FALSE),IF(D70=$V$93,VLOOKUP(A70,'Liste de prix Public EUROPE'!$B$1456:$H$1502,7,FALSE),)))))))))*B70</f>
        <v>0</v>
      </c>
      <c r="G70" s="405">
        <f>IF(C70=$V$79,0,IF(C70=$V$80,VLOOKUP(A70,'Liste de prix Public EUROPE'!$B$9:$S$174,9,FALSE),IF(C70=$V$81,VLOOKUP(A70,'Liste de prix Public EUROPE'!$B$9:$S$174,12,FALSE),IF(C70=$V$82,VLOOKUP(A70,'Liste de prix Public EUROPE'!$B$9:$S$174,16,FALSE),FALSE))))*B70*(100%-$B$5)</f>
        <v>0</v>
      </c>
      <c r="H70" s="1215"/>
      <c r="I70" s="362"/>
      <c r="J70" s="944"/>
      <c r="K70" s="944"/>
      <c r="L70" s="944"/>
      <c r="T70" s="1163" t="s">
        <v>1872</v>
      </c>
      <c r="V70" s="966"/>
    </row>
    <row r="71" spans="1:22" hidden="1">
      <c r="A71" s="585"/>
      <c r="B71" s="415"/>
      <c r="C71" s="854"/>
      <c r="D71" s="591"/>
      <c r="E71" s="417"/>
      <c r="F71" s="371">
        <f>IF(C71=$V$79,VLOOKUP(A71,'Liste de prix Public EUROPE'!$B$9:$S$169,8,FALSE),IF(C71=$V$80,VLOOKUP(A71,'Liste de prix Public EUROPE'!$B$9:$S$169,10,FALSE),IF(C71=$V$81,VLOOKUP(A71,'Liste de prix Public EUROPE'!$B$9:$S$169,13,FALSE),IF(C71=$V$82,VLOOKUP(A71,'Liste de prix Public EUROPE'!$B$9:$S$169,17,FALSE),IF(C71=$V$83,VLOOKUP(A71,'Liste de prix Public EUROPE'!$B$9:$S$169,15,FALSE),IF(C71=$V$84,VLOOKUP(A71,'Liste de prix Public EUROPE'!$B$9:$U$169,19,FALSE),FALSE))))))*B71*(100%-$B$5)+IF(D71=$V$86,VLOOKUP(A71,'Liste de prix Public EUROPE'!$B$378:$S$542,7,FALSE),IF(D71=$V$87,VLOOKUP(A71,'Liste de prix Public EUROPE'!$B$559:$S$691,7,FALSE),IF(D71=$V$88,VLOOKUP(A71,'Liste de prix Public EUROPE'!$B$826:$S$966,7,FALSE),IF(D71=$V$89,VLOOKUP(A71,'Liste de prix Public EUROPE'!$B$1282:$S$1301,7,FALSE),IF(D71=$V$94,VLOOKUP(A71,'Liste de prix Public EUROPE'!$B$698:$S$822,7,FALSE),IF(D71=$V$90,VLOOKUP(A71,'Liste de prix Public EUROPE'!$B$1335:$S$1403,7,FALSE),IF(D71=$V$91,VLOOKUP(A71,'Liste de prix Public EUROPE'!$B$1510:$H$1565,7,FALSE),IF(D71=$V$92,VLOOKUP(A71,'Liste de prix Public EUROPE'!$B$1408:$H$1451,7,FALSE),IF(D71=$V$93,VLOOKUP(A71,'Liste de prix Public EUROPE'!$B$1456:$H$1502,7,FALSE),)))))))))*B71</f>
        <v>0</v>
      </c>
      <c r="G71" s="405">
        <f>IF(C71=$V$79,0,IF(C71=$V$80,VLOOKUP(A71,'Liste de prix Public EUROPE'!$B$9:$S$174,9,FALSE),IF(C71=$V$81,VLOOKUP(A71,'Liste de prix Public EUROPE'!$B$9:$S$174,12,FALSE),IF(C71=$V$82,VLOOKUP(A71,'Liste de prix Public EUROPE'!$B$9:$S$174,16,FALSE),FALSE))))*B71*(100%-$B$5)</f>
        <v>0</v>
      </c>
      <c r="H71" s="1215"/>
      <c r="I71" s="362"/>
      <c r="J71" s="944"/>
      <c r="K71" s="944"/>
      <c r="L71" s="944"/>
      <c r="T71" s="1163" t="s">
        <v>1873</v>
      </c>
      <c r="V71" s="966"/>
    </row>
    <row r="72" spans="1:22" hidden="1">
      <c r="A72" s="585"/>
      <c r="B72" s="415"/>
      <c r="C72" s="854"/>
      <c r="D72" s="591"/>
      <c r="E72" s="417"/>
      <c r="F72" s="371">
        <f>IF(C72=$V$79,VLOOKUP(A72,'Liste de prix Public EUROPE'!$B$9:$S$169,8,FALSE),IF(C72=$V$80,VLOOKUP(A72,'Liste de prix Public EUROPE'!$B$9:$S$169,10,FALSE),IF(C72=$V$81,VLOOKUP(A72,'Liste de prix Public EUROPE'!$B$9:$S$169,13,FALSE),IF(C72=$V$82,VLOOKUP(A72,'Liste de prix Public EUROPE'!$B$9:$S$169,17,FALSE),IF(C72=$V$83,VLOOKUP(A72,'Liste de prix Public EUROPE'!$B$9:$S$169,15,FALSE),IF(C72=$V$84,VLOOKUP(A72,'Liste de prix Public EUROPE'!$B$9:$U$169,19,FALSE),FALSE))))))*B72*(100%-$B$5)+IF(D72=$V$86,VLOOKUP(A72,'Liste de prix Public EUROPE'!$B$378:$S$542,7,FALSE),IF(D72=$V$87,VLOOKUP(A72,'Liste de prix Public EUROPE'!$B$559:$S$691,7,FALSE),IF(D72=$V$88,VLOOKUP(A72,'Liste de prix Public EUROPE'!$B$826:$S$966,7,FALSE),IF(D72=$V$89,VLOOKUP(A72,'Liste de prix Public EUROPE'!$B$1282:$S$1301,7,FALSE),IF(D72=$V$94,VLOOKUP(A72,'Liste de prix Public EUROPE'!$B$698:$S$822,7,FALSE),IF(D72=$V$90,VLOOKUP(A72,'Liste de prix Public EUROPE'!$B$1335:$S$1403,7,FALSE),IF(D72=$V$91,VLOOKUP(A72,'Liste de prix Public EUROPE'!$B$1510:$H$1565,7,FALSE),IF(D72=$V$92,VLOOKUP(A72,'Liste de prix Public EUROPE'!$B$1408:$H$1451,7,FALSE),IF(D72=$V$93,VLOOKUP(A72,'Liste de prix Public EUROPE'!$B$1456:$H$1502,7,FALSE),)))))))))*B72</f>
        <v>0</v>
      </c>
      <c r="G72" s="405">
        <f>IF(C72=$V$79,0,IF(C72=$V$80,VLOOKUP(A72,'Liste de prix Public EUROPE'!$B$9:$S$174,9,FALSE),IF(C72=$V$81,VLOOKUP(A72,'Liste de prix Public EUROPE'!$B$9:$S$174,12,FALSE),IF(C72=$V$82,VLOOKUP(A72,'Liste de prix Public EUROPE'!$B$9:$S$174,16,FALSE),FALSE))))*B72*(100%-$B$5)</f>
        <v>0</v>
      </c>
      <c r="H72" s="1215"/>
      <c r="I72" s="362"/>
      <c r="J72" s="944"/>
      <c r="K72" s="944"/>
      <c r="L72" s="944"/>
      <c r="T72" s="1163" t="s">
        <v>1874</v>
      </c>
      <c r="V72" s="966"/>
    </row>
    <row r="73" spans="1:22" hidden="1">
      <c r="A73" s="585"/>
      <c r="B73" s="415"/>
      <c r="C73" s="854"/>
      <c r="D73" s="591"/>
      <c r="E73" s="417"/>
      <c r="F73" s="371">
        <f>IF(C73=$V$79,VLOOKUP(A73,'Liste de prix Public EUROPE'!$B$9:$S$169,8,FALSE),IF(C73=$V$80,VLOOKUP(A73,'Liste de prix Public EUROPE'!$B$9:$S$169,10,FALSE),IF(C73=$V$81,VLOOKUP(A73,'Liste de prix Public EUROPE'!$B$9:$S$169,13,FALSE),IF(C73=$V$82,VLOOKUP(A73,'Liste de prix Public EUROPE'!$B$9:$S$169,17,FALSE),IF(C73=$V$83,VLOOKUP(A73,'Liste de prix Public EUROPE'!$B$9:$S$169,15,FALSE),IF(C73=$V$84,VLOOKUP(A73,'Liste de prix Public EUROPE'!$B$9:$U$169,19,FALSE),FALSE))))))*B73*(100%-$B$5)+IF(D73=$V$86,VLOOKUP(A73,'Liste de prix Public EUROPE'!$B$378:$S$542,7,FALSE),IF(D73=$V$87,VLOOKUP(A73,'Liste de prix Public EUROPE'!$B$559:$S$691,7,FALSE),IF(D73=$V$88,VLOOKUP(A73,'Liste de prix Public EUROPE'!$B$826:$S$966,7,FALSE),IF(D73=$V$89,VLOOKUP(A73,'Liste de prix Public EUROPE'!$B$1282:$S$1301,7,FALSE),IF(D73=$V$94,VLOOKUP(A73,'Liste de prix Public EUROPE'!$B$698:$S$822,7,FALSE),IF(D73=$V$90,VLOOKUP(A73,'Liste de prix Public EUROPE'!$B$1335:$S$1403,7,FALSE),IF(D73=$V$91,VLOOKUP(A73,'Liste de prix Public EUROPE'!$B$1510:$H$1565,7,FALSE),IF(D73=$V$92,VLOOKUP(A73,'Liste de prix Public EUROPE'!$B$1408:$H$1451,7,FALSE),IF(D73=$V$93,VLOOKUP(A73,'Liste de prix Public EUROPE'!$B$1456:$H$1502,7,FALSE),)))))))))*B73</f>
        <v>0</v>
      </c>
      <c r="G73" s="405">
        <f>IF(C73=$V$79,0,IF(C73=$V$80,VLOOKUP(A73,'Liste de prix Public EUROPE'!$B$9:$S$174,9,FALSE),IF(C73=$V$81,VLOOKUP(A73,'Liste de prix Public EUROPE'!$B$9:$S$174,12,FALSE),IF(C73=$V$82,VLOOKUP(A73,'Liste de prix Public EUROPE'!$B$9:$S$174,16,FALSE),FALSE))))*B73*(100%-$B$5)</f>
        <v>0</v>
      </c>
      <c r="H73" s="1215"/>
      <c r="I73" s="362"/>
      <c r="J73" s="944"/>
      <c r="K73" s="944"/>
      <c r="L73" s="944"/>
      <c r="T73" s="1163" t="s">
        <v>1875</v>
      </c>
      <c r="V73" s="966"/>
    </row>
    <row r="74" spans="1:22" hidden="1">
      <c r="A74" s="585"/>
      <c r="B74" s="415"/>
      <c r="C74" s="854"/>
      <c r="D74" s="591"/>
      <c r="E74" s="417"/>
      <c r="F74" s="371">
        <f>IF(C74=$V$79,VLOOKUP(A74,'Liste de prix Public EUROPE'!$B$9:$S$169,8,FALSE),IF(C74=$V$80,VLOOKUP(A74,'Liste de prix Public EUROPE'!$B$9:$S$169,10,FALSE),IF(C74=$V$81,VLOOKUP(A74,'Liste de prix Public EUROPE'!$B$9:$S$169,13,FALSE),IF(C74=$V$82,VLOOKUP(A74,'Liste de prix Public EUROPE'!$B$9:$S$169,17,FALSE),IF(C74=$V$83,VLOOKUP(A74,'Liste de prix Public EUROPE'!$B$9:$S$169,15,FALSE),IF(C74=$V$84,VLOOKUP(A74,'Liste de prix Public EUROPE'!$B$9:$U$169,19,FALSE),FALSE))))))*B74*(100%-$B$5)+IF(D74=$V$86,VLOOKUP(A74,'Liste de prix Public EUROPE'!$B$378:$S$542,7,FALSE),IF(D74=$V$87,VLOOKUP(A74,'Liste de prix Public EUROPE'!$B$559:$S$691,7,FALSE),IF(D74=$V$88,VLOOKUP(A74,'Liste de prix Public EUROPE'!$B$826:$S$966,7,FALSE),IF(D74=$V$89,VLOOKUP(A74,'Liste de prix Public EUROPE'!$B$1282:$S$1301,7,FALSE),IF(D74=$V$94,VLOOKUP(A74,'Liste de prix Public EUROPE'!$B$698:$S$822,7,FALSE),IF(D74=$V$90,VLOOKUP(A74,'Liste de prix Public EUROPE'!$B$1335:$S$1403,7,FALSE),IF(D74=$V$91,VLOOKUP(A74,'Liste de prix Public EUROPE'!$B$1510:$H$1565,7,FALSE),IF(D74=$V$92,VLOOKUP(A74,'Liste de prix Public EUROPE'!$B$1408:$H$1451,7,FALSE),IF(D74=$V$93,VLOOKUP(A74,'Liste de prix Public EUROPE'!$B$1456:$H$1502,7,FALSE),)))))))))*B74</f>
        <v>0</v>
      </c>
      <c r="G74" s="405">
        <f>IF(C74=$V$79,0,IF(C74=$V$80,VLOOKUP(A74,'Liste de prix Public EUROPE'!$B$9:$S$174,9,FALSE),IF(C74=$V$81,VLOOKUP(A74,'Liste de prix Public EUROPE'!$B$9:$S$174,12,FALSE),IF(C74=$V$82,VLOOKUP(A74,'Liste de prix Public EUROPE'!$B$9:$S$174,16,FALSE),FALSE))))*B74*(100%-$B$5)</f>
        <v>0</v>
      </c>
      <c r="H74" s="1215"/>
      <c r="I74" s="362"/>
      <c r="J74" s="944"/>
      <c r="K74" s="944"/>
      <c r="L74" s="944"/>
      <c r="T74" s="1163" t="s">
        <v>1876</v>
      </c>
      <c r="V74" s="966"/>
    </row>
    <row r="75" spans="1:22" hidden="1">
      <c r="A75" s="586"/>
      <c r="B75" s="373">
        <f>SUM(B57:B74)</f>
        <v>0</v>
      </c>
      <c r="C75" s="374"/>
      <c r="D75" s="375"/>
      <c r="E75" s="375"/>
      <c r="F75" s="371"/>
      <c r="G75" s="406"/>
      <c r="H75" s="1057"/>
      <c r="I75" s="362"/>
      <c r="J75" s="944"/>
      <c r="K75" s="944"/>
      <c r="L75" s="944"/>
      <c r="T75" s="1163" t="s">
        <v>1877</v>
      </c>
      <c r="V75" s="966"/>
    </row>
    <row r="76" spans="1:22" hidden="1">
      <c r="A76" s="376"/>
      <c r="B76" s="64"/>
      <c r="C76" s="64"/>
      <c r="D76" s="173"/>
      <c r="E76" s="377" t="s">
        <v>39</v>
      </c>
      <c r="F76" s="378">
        <f>SUM(F57:F75)</f>
        <v>0</v>
      </c>
      <c r="G76" s="407">
        <f>SUM(G57:G75)</f>
        <v>0</v>
      </c>
      <c r="H76" s="805"/>
      <c r="I76" s="362"/>
      <c r="J76" s="944"/>
      <c r="K76" s="944"/>
      <c r="L76" s="944"/>
      <c r="T76" s="1163" t="s">
        <v>1878</v>
      </c>
      <c r="V76" s="966"/>
    </row>
    <row r="77" spans="1:22" hidden="1">
      <c r="A77" s="376"/>
      <c r="B77" s="173"/>
      <c r="C77" s="64"/>
      <c r="D77" s="70"/>
      <c r="E77" s="64"/>
      <c r="F77" s="840"/>
      <c r="G77" s="840"/>
      <c r="H77" s="917"/>
      <c r="I77" s="362"/>
      <c r="J77" s="944"/>
      <c r="K77" s="944"/>
      <c r="L77" s="944"/>
      <c r="T77" s="1163" t="s">
        <v>1879</v>
      </c>
      <c r="V77" s="966" t="s">
        <v>1786</v>
      </c>
    </row>
    <row r="78" spans="1:22">
      <c r="A78" s="376"/>
      <c r="B78" s="173"/>
      <c r="C78" s="64"/>
      <c r="D78" s="70"/>
      <c r="E78" s="64"/>
      <c r="F78" s="840"/>
      <c r="G78" s="840"/>
      <c r="H78" s="917"/>
      <c r="I78" s="362"/>
      <c r="J78" s="944"/>
      <c r="K78" s="944"/>
      <c r="L78" s="944"/>
      <c r="T78" s="1163" t="s">
        <v>1880</v>
      </c>
      <c r="V78" s="946" t="s">
        <v>140</v>
      </c>
    </row>
    <row r="79" spans="1:22">
      <c r="A79" s="940" t="s">
        <v>235</v>
      </c>
      <c r="B79" s="941" t="s">
        <v>80</v>
      </c>
      <c r="C79" s="941" t="s">
        <v>138</v>
      </c>
      <c r="D79" s="941" t="s">
        <v>8</v>
      </c>
      <c r="E79" s="941" t="s">
        <v>74</v>
      </c>
      <c r="F79" s="941" t="s">
        <v>18</v>
      </c>
      <c r="G79" s="942" t="s">
        <v>143</v>
      </c>
      <c r="H79" s="917"/>
      <c r="I79" s="362"/>
      <c r="J79" s="944"/>
      <c r="K79" s="944"/>
      <c r="L79" s="944"/>
      <c r="T79" s="1385" t="s">
        <v>1881</v>
      </c>
      <c r="V79" s="946" t="s">
        <v>139</v>
      </c>
    </row>
    <row r="80" spans="1:22">
      <c r="A80" s="585"/>
      <c r="B80" s="628"/>
      <c r="C80" s="854"/>
      <c r="D80" s="417"/>
      <c r="E80" s="417"/>
      <c r="F80" s="1728">
        <f>(IF(C80=$R$25,VLOOKUP(A80,'Liste de prix Public EUROPE'!$B$9:$X$30,22,FALSE),
IF(C80=$R$26,VLOOKUP(A80,'Liste de prix Public EUROPE'!$B$9:$X$30,23,FALSE),
IF(C80=$R$27,VLOOKUP(A80,'Liste de prix Public EUROPE'!$B$9:$V$174,9,FALSE),
IF(C80=$R$28,VLOOKUP(A80,'Liste de prix Public EUROPE'!$B$9:$V$174,11,FALSE),
IF(C80=$R$29,VLOOKUP(A80,'Liste de prix Public EUROPE'!$B$9:$V$174,15,FALSE),
IF(C80=$R$30,VLOOKUP(A80,'Liste de prix Public EUROPE'!$B$9:$V$174,13,FALSE),
IF(C80=$R$31,VLOOKUP(A80,'Liste de prix Public EUROPE'!$B$9:$V$174,19,FALSE),
IF(C80=$R$32,VLOOKUP(A80,'Liste de prix Public EUROPE'!$B$9:$V$174,17,FALSE),
IF(C80=$R$33,VLOOKUP(A80,'Liste de prix Public EUROPE'!$B$9:$V$174,21,FALSE),
FALSE)))))))))+IF(D80=$V$86,VLOOKUP(A80,'Liste de prix Public EUROPE'!$B$378:$S$547,7,FALSE),IF(D80=$V$87,VLOOKUP(A80,'Liste de prix Public EUROPE'!$B$559:$S$692,7,FALSE),IF(D80=$V$88,VLOOKUP(A80,'Liste de prix Public EUROPE'!$B$826:$S$966,7,FALSE),IF(D80=$V$89,VLOOKUP(A80,'Liste de prix Public EUROPE'!$B$1287:$S$1324,7,FALSE),IF(D80=$V$94,VLOOKUP(A80,'Liste de prix Public EUROPE'!$B$698:$S$822,7,FALSE),IF(D80=$V$90,VLOOKUP(A80,'Liste de prix Public EUROPE'!$B$1335:$S$1403,7,FALSE),IF(D80=$V$91,VLOOKUP(A80,'Liste de prix Public EUROPE'!$B$1506:$H$1565,7,FALSE),IF(D80=$V$92,VLOOKUP(A80,'Liste de prix Public EUROPE'!$B$1407:$H$1451,7,FALSE),IF(D80=$V$93,VLOOKUP(A80,'Liste de prix Public EUROPE'!$B$1455:$H$1502,7,FALSE),))))))))))*B80</f>
        <v>0</v>
      </c>
      <c r="G80" s="405">
        <f>IF(C80=$R$26,0,IF(C80=$R$27,0,IF(C80=$R$30,0,IF(C80=$R$33,0,IF(C80=$R$28,VLOOKUP(A80,'Liste de prix Public EUROPE'!$B$9:$V$174,10,FALSE),IF(C80=$R$29,VLOOKUP(A80,'Liste de prix Public EUROPE'!$B$9:$V$174,14,FALSE),IF(C80=$R$31,VLOOKUP(A80,'Liste de prix Public EUROPE'!$B$9:$V$174,18,FALSE),FALSE)))))))*B80</f>
        <v>0</v>
      </c>
      <c r="H80" s="917"/>
      <c r="I80" s="362"/>
      <c r="J80" s="944"/>
      <c r="K80" s="967"/>
      <c r="L80" s="944"/>
      <c r="Q80" s="975"/>
      <c r="T80" s="712" t="s">
        <v>1126</v>
      </c>
      <c r="V80" s="946" t="s">
        <v>141</v>
      </c>
    </row>
    <row r="81" spans="1:22">
      <c r="A81" s="585"/>
      <c r="B81" s="628"/>
      <c r="C81" s="854"/>
      <c r="D81" s="417"/>
      <c r="E81" s="417"/>
      <c r="F81" s="1728">
        <f>(IF(C81=$R$25,VLOOKUP(A81,'Liste de prix Public EUROPE'!$B$9:$X$30,22,FALSE),
IF(C81=$R$26,VLOOKUP(A81,'Liste de prix Public EUROPE'!$B$9:$X$30,23,FALSE),
IF(C81=$R$27,VLOOKUP(A81,'Liste de prix Public EUROPE'!$B$9:$V$174,9,FALSE),
IF(C81=$R$28,VLOOKUP(A81,'Liste de prix Public EUROPE'!$B$9:$V$174,11,FALSE),
IF(C81=$R$29,VLOOKUP(A81,'Liste de prix Public EUROPE'!$B$9:$V$174,15,FALSE),
IF(C81=$R$30,VLOOKUP(A81,'Liste de prix Public EUROPE'!$B$9:$V$174,13,FALSE),
IF(C81=$R$31,VLOOKUP(A81,'Liste de prix Public EUROPE'!$B$9:$V$174,19,FALSE),
IF(C81=$R$32,VLOOKUP(A81,'Liste de prix Public EUROPE'!$B$9:$V$174,17,FALSE),
IF(C81=$R$33,VLOOKUP(A81,'Liste de prix Public EUROPE'!$B$9:$V$174,21,FALSE),
FALSE)))))))))+IF(D81=$V$86,VLOOKUP(A81,'Liste de prix Public EUROPE'!$B$378:$S$547,7,FALSE),IF(D81=$V$87,VLOOKUP(A81,'Liste de prix Public EUROPE'!$B$559:$S$692,7,FALSE),IF(D81=$V$88,VLOOKUP(A81,'Liste de prix Public EUROPE'!$B$826:$S$966,7,FALSE),IF(D81=$V$89,VLOOKUP(A81,'Liste de prix Public EUROPE'!$B$1287:$S$1324,7,FALSE),IF(D81=$V$94,VLOOKUP(A81,'Liste de prix Public EUROPE'!$B$698:$S$822,7,FALSE),IF(D81=$V$90,VLOOKUP(A81,'Liste de prix Public EUROPE'!$B$1335:$S$1403,7,FALSE),IF(D81=$V$91,VLOOKUP(A81,'Liste de prix Public EUROPE'!$B$1506:$H$1565,7,FALSE),IF(D81=$V$92,VLOOKUP(A81,'Liste de prix Public EUROPE'!$B$1407:$H$1451,7,FALSE),IF(D81=$V$93,VLOOKUP(A81,'Liste de prix Public EUROPE'!$B$1455:$H$1502,7,FALSE),))))))))))*B81</f>
        <v>0</v>
      </c>
      <c r="G81" s="405">
        <f>IF(C81=$R$26,0,IF(C81=$R$27,0,IF(C81=$R$30,0,IF(C81=$R$33,0,IF(C81=$R$28,VLOOKUP(A81,'Liste de prix Public EUROPE'!$B$9:$V$174,10,FALSE),IF(C81=$R$29,VLOOKUP(A81,'Liste de prix Public EUROPE'!$B$9:$V$174,14,FALSE),IF(C81=$R$31,VLOOKUP(A81,'Liste de prix Public EUROPE'!$B$9:$V$174,18,FALSE),FALSE)))))))*B81</f>
        <v>0</v>
      </c>
      <c r="H81" s="917"/>
      <c r="I81" s="362"/>
      <c r="J81" s="944"/>
      <c r="K81" s="967"/>
      <c r="L81" s="944"/>
      <c r="Q81" s="975"/>
      <c r="T81" s="712" t="s">
        <v>1127</v>
      </c>
      <c r="V81" s="946" t="s">
        <v>2121</v>
      </c>
    </row>
    <row r="82" spans="1:22">
      <c r="A82" s="585"/>
      <c r="B82" s="628"/>
      <c r="C82" s="854"/>
      <c r="D82" s="417"/>
      <c r="E82" s="417"/>
      <c r="F82" s="1728">
        <f>(IF(C82=$R$25,VLOOKUP(A82,'Liste de prix Public EUROPE'!$B$9:$X$30,22,FALSE),
IF(C82=$R$26,VLOOKUP(A82,'Liste de prix Public EUROPE'!$B$9:$X$30,23,FALSE),
IF(C82=$R$27,VLOOKUP(A82,'Liste de prix Public EUROPE'!$B$9:$V$174,9,FALSE),
IF(C82=$R$28,VLOOKUP(A82,'Liste de prix Public EUROPE'!$B$9:$V$174,11,FALSE),
IF(C82=$R$29,VLOOKUP(A82,'Liste de prix Public EUROPE'!$B$9:$V$174,15,FALSE),
IF(C82=$R$30,VLOOKUP(A82,'Liste de prix Public EUROPE'!$B$9:$V$174,13,FALSE),
IF(C82=$R$31,VLOOKUP(A82,'Liste de prix Public EUROPE'!$B$9:$V$174,19,FALSE),
IF(C82=$R$32,VLOOKUP(A82,'Liste de prix Public EUROPE'!$B$9:$V$174,17,FALSE),
IF(C82=$R$33,VLOOKUP(A82,'Liste de prix Public EUROPE'!$B$9:$V$174,21,FALSE),
FALSE)))))))))+IF(D82=$V$86,VLOOKUP(A82,'Liste de prix Public EUROPE'!$B$378:$S$547,7,FALSE),IF(D82=$V$87,VLOOKUP(A82,'Liste de prix Public EUROPE'!$B$559:$S$692,7,FALSE),IF(D82=$V$88,VLOOKUP(A82,'Liste de prix Public EUROPE'!$B$826:$S$966,7,FALSE),IF(D82=$V$89,VLOOKUP(A82,'Liste de prix Public EUROPE'!$B$1287:$S$1324,7,FALSE),IF(D82=$V$94,VLOOKUP(A82,'Liste de prix Public EUROPE'!$B$698:$S$822,7,FALSE),IF(D82=$V$90,VLOOKUP(A82,'Liste de prix Public EUROPE'!$B$1335:$S$1403,7,FALSE),IF(D82=$V$91,VLOOKUP(A82,'Liste de prix Public EUROPE'!$B$1506:$H$1565,7,FALSE),IF(D82=$V$92,VLOOKUP(A82,'Liste de prix Public EUROPE'!$B$1407:$H$1451,7,FALSE),IF(D82=$V$93,VLOOKUP(A82,'Liste de prix Public EUROPE'!$B$1455:$H$1502,7,FALSE),))))))))))*B82</f>
        <v>0</v>
      </c>
      <c r="G82" s="405">
        <f>IF(C82=$R$26,0,IF(C82=$R$27,0,IF(C82=$R$30,0,IF(C82=$R$33,0,IF(C82=$R$28,VLOOKUP(A82,'Liste de prix Public EUROPE'!$B$9:$V$174,10,FALSE),IF(C82=$R$29,VLOOKUP(A82,'Liste de prix Public EUROPE'!$B$9:$V$174,14,FALSE),IF(C82=$R$31,VLOOKUP(A82,'Liste de prix Public EUROPE'!$B$9:$V$174,18,FALSE),FALSE)))))))*B82</f>
        <v>0</v>
      </c>
      <c r="H82" s="917"/>
      <c r="I82" s="362"/>
      <c r="J82" s="944"/>
      <c r="K82" s="967"/>
      <c r="L82" s="944"/>
      <c r="Q82" s="975"/>
      <c r="T82" s="712" t="s">
        <v>1128</v>
      </c>
      <c r="V82" s="946" t="s">
        <v>142</v>
      </c>
    </row>
    <row r="83" spans="1:22">
      <c r="A83" s="585"/>
      <c r="B83" s="628"/>
      <c r="C83" s="854"/>
      <c r="D83" s="417"/>
      <c r="E83" s="417"/>
      <c r="F83" s="1728">
        <f>(IF(C83=$R$25,VLOOKUP(A83,'Liste de prix Public EUROPE'!$B$9:$X$30,22,FALSE),
IF(C83=$R$26,VLOOKUP(A83,'Liste de prix Public EUROPE'!$B$9:$X$30,23,FALSE),
IF(C83=$R$27,VLOOKUP(A83,'Liste de prix Public EUROPE'!$B$9:$V$174,9,FALSE),
IF(C83=$R$28,VLOOKUP(A83,'Liste de prix Public EUROPE'!$B$9:$V$174,11,FALSE),
IF(C83=$R$29,VLOOKUP(A83,'Liste de prix Public EUROPE'!$B$9:$V$174,15,FALSE),
IF(C83=$R$30,VLOOKUP(A83,'Liste de prix Public EUROPE'!$B$9:$V$174,13,FALSE),
IF(C83=$R$31,VLOOKUP(A83,'Liste de prix Public EUROPE'!$B$9:$V$174,19,FALSE),
IF(C83=$R$32,VLOOKUP(A83,'Liste de prix Public EUROPE'!$B$9:$V$174,17,FALSE),
IF(C83=$R$33,VLOOKUP(A83,'Liste de prix Public EUROPE'!$B$9:$V$174,21,FALSE),
FALSE)))))))))+IF(D83=$V$86,VLOOKUP(A83,'Liste de prix Public EUROPE'!$B$378:$S$547,7,FALSE),IF(D83=$V$87,VLOOKUP(A83,'Liste de prix Public EUROPE'!$B$559:$S$692,7,FALSE),IF(D83=$V$88,VLOOKUP(A83,'Liste de prix Public EUROPE'!$B$826:$S$966,7,FALSE),IF(D83=$V$89,VLOOKUP(A83,'Liste de prix Public EUROPE'!$B$1287:$S$1324,7,FALSE),IF(D83=$V$94,VLOOKUP(A83,'Liste de prix Public EUROPE'!$B$698:$S$822,7,FALSE),IF(D83=$V$90,VLOOKUP(A83,'Liste de prix Public EUROPE'!$B$1335:$S$1403,7,FALSE),IF(D83=$V$91,VLOOKUP(A83,'Liste de prix Public EUROPE'!$B$1506:$H$1565,7,FALSE),IF(D83=$V$92,VLOOKUP(A83,'Liste de prix Public EUROPE'!$B$1407:$H$1451,7,FALSE),IF(D83=$V$93,VLOOKUP(A83,'Liste de prix Public EUROPE'!$B$1455:$H$1502,7,FALSE),))))))))))*B83</f>
        <v>0</v>
      </c>
      <c r="G83" s="405">
        <f>IF(C83=$R$26,0,IF(C83=$R$27,0,IF(C83=$R$30,0,IF(C83=$R$33,0,IF(C83=$R$28,VLOOKUP(A83,'Liste de prix Public EUROPE'!$B$9:$V$174,10,FALSE),IF(C83=$R$29,VLOOKUP(A83,'Liste de prix Public EUROPE'!$B$9:$V$174,14,FALSE),IF(C83=$R$31,VLOOKUP(A83,'Liste de prix Public EUROPE'!$B$9:$V$174,18,FALSE),FALSE)))))))*B83</f>
        <v>0</v>
      </c>
      <c r="H83" s="917"/>
      <c r="I83" s="362"/>
      <c r="J83" s="944"/>
      <c r="K83" s="967"/>
      <c r="L83" s="944"/>
      <c r="Q83" s="975"/>
      <c r="T83" s="712" t="s">
        <v>1129</v>
      </c>
      <c r="V83" s="946" t="s">
        <v>886</v>
      </c>
    </row>
    <row r="84" spans="1:22">
      <c r="A84" s="585"/>
      <c r="B84" s="628"/>
      <c r="C84" s="854"/>
      <c r="D84" s="417"/>
      <c r="E84" s="417"/>
      <c r="F84" s="1728">
        <f>(IF(C84=$R$25,VLOOKUP(A84,'Liste de prix Public EUROPE'!$B$9:$X$30,22,FALSE),
IF(C84=$R$26,VLOOKUP(A84,'Liste de prix Public EUROPE'!$B$9:$X$30,23,FALSE),
IF(C84=$R$27,VLOOKUP(A84,'Liste de prix Public EUROPE'!$B$9:$V$174,9,FALSE),
IF(C84=$R$28,VLOOKUP(A84,'Liste de prix Public EUROPE'!$B$9:$V$174,11,FALSE),
IF(C84=$R$29,VLOOKUP(A84,'Liste de prix Public EUROPE'!$B$9:$V$174,15,FALSE),
IF(C84=$R$30,VLOOKUP(A84,'Liste de prix Public EUROPE'!$B$9:$V$174,13,FALSE),
IF(C84=$R$31,VLOOKUP(A84,'Liste de prix Public EUROPE'!$B$9:$V$174,19,FALSE),
IF(C84=$R$32,VLOOKUP(A84,'Liste de prix Public EUROPE'!$B$9:$V$174,17,FALSE),
IF(C84=$R$33,VLOOKUP(A84,'Liste de prix Public EUROPE'!$B$9:$V$174,21,FALSE),
FALSE)))))))))+IF(D84=$V$86,VLOOKUP(A84,'Liste de prix Public EUROPE'!$B$378:$S$547,7,FALSE),IF(D84=$V$87,VLOOKUP(A84,'Liste de prix Public EUROPE'!$B$559:$S$692,7,FALSE),IF(D84=$V$88,VLOOKUP(A84,'Liste de prix Public EUROPE'!$B$826:$S$966,7,FALSE),IF(D84=$V$89,VLOOKUP(A84,'Liste de prix Public EUROPE'!$B$1287:$S$1324,7,FALSE),IF(D84=$V$94,VLOOKUP(A84,'Liste de prix Public EUROPE'!$B$698:$S$822,7,FALSE),IF(D84=$V$90,VLOOKUP(A84,'Liste de prix Public EUROPE'!$B$1335:$S$1403,7,FALSE),IF(D84=$V$91,VLOOKUP(A84,'Liste de prix Public EUROPE'!$B$1506:$H$1565,7,FALSE),IF(D84=$V$92,VLOOKUP(A84,'Liste de prix Public EUROPE'!$B$1407:$H$1451,7,FALSE),IF(D84=$V$93,VLOOKUP(A84,'Liste de prix Public EUROPE'!$B$1455:$H$1502,7,FALSE),))))))))))*B84</f>
        <v>0</v>
      </c>
      <c r="G84" s="405">
        <f>IF(C84=$R$26,0,IF(C84=$R$27,0,IF(C84=$R$30,0,IF(C84=$R$33,0,IF(C84=$R$28,VLOOKUP(A84,'Liste de prix Public EUROPE'!$B$9:$V$174,10,FALSE),IF(C84=$R$29,VLOOKUP(A84,'Liste de prix Public EUROPE'!$B$9:$V$174,14,FALSE),IF(C84=$R$31,VLOOKUP(A84,'Liste de prix Public EUROPE'!$B$9:$V$174,18,FALSE),FALSE)))))))*B84</f>
        <v>0</v>
      </c>
      <c r="H84" s="917"/>
      <c r="I84" s="362"/>
      <c r="J84" s="944"/>
      <c r="K84" s="967"/>
      <c r="L84" s="944"/>
      <c r="Q84" s="975"/>
      <c r="T84" s="712" t="s">
        <v>1130</v>
      </c>
      <c r="V84" s="946" t="s">
        <v>923</v>
      </c>
    </row>
    <row r="85" spans="1:22">
      <c r="A85" s="585"/>
      <c r="B85" s="628"/>
      <c r="C85" s="854"/>
      <c r="D85" s="417"/>
      <c r="E85" s="417"/>
      <c r="F85" s="1728">
        <f>(IF(C85=$R$25,VLOOKUP(A85,'Liste de prix Public EUROPE'!$B$9:$X$30,22,FALSE),
IF(C85=$R$26,VLOOKUP(A85,'Liste de prix Public EUROPE'!$B$9:$X$30,23,FALSE),
IF(C85=$R$27,VLOOKUP(A85,'Liste de prix Public EUROPE'!$B$9:$V$174,9,FALSE),
IF(C85=$R$28,VLOOKUP(A85,'Liste de prix Public EUROPE'!$B$9:$V$174,11,FALSE),
IF(C85=$R$29,VLOOKUP(A85,'Liste de prix Public EUROPE'!$B$9:$V$174,15,FALSE),
IF(C85=$R$30,VLOOKUP(A85,'Liste de prix Public EUROPE'!$B$9:$V$174,13,FALSE),
IF(C85=$R$31,VLOOKUP(A85,'Liste de prix Public EUROPE'!$B$9:$V$174,19,FALSE),
IF(C85=$R$32,VLOOKUP(A85,'Liste de prix Public EUROPE'!$B$9:$V$174,17,FALSE),
IF(C85=$R$33,VLOOKUP(A85,'Liste de prix Public EUROPE'!$B$9:$V$174,21,FALSE),
FALSE)))))))))+IF(D85=$V$86,VLOOKUP(A85,'Liste de prix Public EUROPE'!$B$378:$S$547,7,FALSE),IF(D85=$V$87,VLOOKUP(A85,'Liste de prix Public EUROPE'!$B$559:$S$692,7,FALSE),IF(D85=$V$88,VLOOKUP(A85,'Liste de prix Public EUROPE'!$B$826:$S$966,7,FALSE),IF(D85=$V$89,VLOOKUP(A85,'Liste de prix Public EUROPE'!$B$1287:$S$1324,7,FALSE),IF(D85=$V$94,VLOOKUP(A85,'Liste de prix Public EUROPE'!$B$698:$S$822,7,FALSE),IF(D85=$V$90,VLOOKUP(A85,'Liste de prix Public EUROPE'!$B$1335:$S$1403,7,FALSE),IF(D85=$V$91,VLOOKUP(A85,'Liste de prix Public EUROPE'!$B$1506:$H$1565,7,FALSE),IF(D85=$V$92,VLOOKUP(A85,'Liste de prix Public EUROPE'!$B$1407:$H$1451,7,FALSE),IF(D85=$V$93,VLOOKUP(A85,'Liste de prix Public EUROPE'!$B$1455:$H$1502,7,FALSE),))))))))))*B85</f>
        <v>0</v>
      </c>
      <c r="G85" s="405">
        <f>IF(C85=$R$26,0,IF(C85=$R$27,0,IF(C85=$R$30,0,IF(C85=$R$33,0,IF(C85=$R$28,VLOOKUP(A85,'Liste de prix Public EUROPE'!$B$9:$V$174,10,FALSE),IF(C85=$R$29,VLOOKUP(A85,'Liste de prix Public EUROPE'!$B$9:$V$174,14,FALSE),IF(C85=$R$31,VLOOKUP(A85,'Liste de prix Public EUROPE'!$B$9:$V$174,18,FALSE),FALSE)))))))*B85</f>
        <v>0</v>
      </c>
      <c r="H85" s="917"/>
      <c r="I85" s="362"/>
      <c r="J85" s="974"/>
      <c r="K85" s="944"/>
      <c r="L85" s="944"/>
      <c r="Q85" s="975"/>
      <c r="T85" s="712" t="s">
        <v>1131</v>
      </c>
      <c r="V85" s="946" t="s">
        <v>7</v>
      </c>
    </row>
    <row r="86" spans="1:22">
      <c r="A86" s="585"/>
      <c r="B86" s="628"/>
      <c r="C86" s="854"/>
      <c r="D86" s="417"/>
      <c r="E86" s="417"/>
      <c r="F86" s="1728">
        <f>(IF(C86=$R$25,VLOOKUP(A86,'Liste de prix Public EUROPE'!$B$9:$X$30,22,FALSE),
IF(C86=$R$26,VLOOKUP(A86,'Liste de prix Public EUROPE'!$B$9:$X$30,23,FALSE),
IF(C86=$R$27,VLOOKUP(A86,'Liste de prix Public EUROPE'!$B$9:$V$174,9,FALSE),
IF(C86=$R$28,VLOOKUP(A86,'Liste de prix Public EUROPE'!$B$9:$V$174,11,FALSE),
IF(C86=$R$29,VLOOKUP(A86,'Liste de prix Public EUROPE'!$B$9:$V$174,15,FALSE),
IF(C86=$R$30,VLOOKUP(A86,'Liste de prix Public EUROPE'!$B$9:$V$174,13,FALSE),
IF(C86=$R$31,VLOOKUP(A86,'Liste de prix Public EUROPE'!$B$9:$V$174,19,FALSE),
IF(C86=$R$32,VLOOKUP(A86,'Liste de prix Public EUROPE'!$B$9:$V$174,17,FALSE),
IF(C86=$R$33,VLOOKUP(A86,'Liste de prix Public EUROPE'!$B$9:$V$174,21,FALSE),
FALSE)))))))))+IF(D86=$V$86,VLOOKUP(A86,'Liste de prix Public EUROPE'!$B$378:$S$547,7,FALSE),IF(D86=$V$87,VLOOKUP(A86,'Liste de prix Public EUROPE'!$B$559:$S$692,7,FALSE),IF(D86=$V$88,VLOOKUP(A86,'Liste de prix Public EUROPE'!$B$826:$S$966,7,FALSE),IF(D86=$V$89,VLOOKUP(A86,'Liste de prix Public EUROPE'!$B$1287:$S$1324,7,FALSE),IF(D86=$V$94,VLOOKUP(A86,'Liste de prix Public EUROPE'!$B$698:$S$822,7,FALSE),IF(D86=$V$90,VLOOKUP(A86,'Liste de prix Public EUROPE'!$B$1335:$S$1403,7,FALSE),IF(D86=$V$91,VLOOKUP(A86,'Liste de prix Public EUROPE'!$B$1506:$H$1565,7,FALSE),IF(D86=$V$92,VLOOKUP(A86,'Liste de prix Public EUROPE'!$B$1407:$H$1451,7,FALSE),IF(D86=$V$93,VLOOKUP(A86,'Liste de prix Public EUROPE'!$B$1455:$H$1502,7,FALSE),))))))))))*B86</f>
        <v>0</v>
      </c>
      <c r="G86" s="405">
        <f>IF(C86=$R$26,0,IF(C86=$R$27,0,IF(C86=$R$30,0,IF(C86=$R$33,0,IF(C86=$R$28,VLOOKUP(A86,'Liste de prix Public EUROPE'!$B$9:$V$174,10,FALSE),IF(C86=$R$29,VLOOKUP(A86,'Liste de prix Public EUROPE'!$B$9:$V$174,14,FALSE),IF(C86=$R$31,VLOOKUP(A86,'Liste de prix Public EUROPE'!$B$9:$V$174,18,FALSE),FALSE)))))))*B86</f>
        <v>0</v>
      </c>
      <c r="H86" s="917"/>
      <c r="I86" s="362"/>
      <c r="J86" s="944"/>
      <c r="K86" s="944"/>
      <c r="L86" s="944"/>
      <c r="Q86" s="975"/>
      <c r="T86" s="1163" t="s">
        <v>1882</v>
      </c>
      <c r="V86" s="946" t="s">
        <v>0</v>
      </c>
    </row>
    <row r="87" spans="1:22">
      <c r="A87" s="585"/>
      <c r="B87" s="415"/>
      <c r="C87" s="854"/>
      <c r="D87" s="417"/>
      <c r="E87" s="417"/>
      <c r="F87" s="1728">
        <f>(IF(C87=$R$25,VLOOKUP(A87,'Liste de prix Public EUROPE'!$B$9:$X$30,22,FALSE),
IF(C87=$R$26,VLOOKUP(A87,'Liste de prix Public EUROPE'!$B$9:$X$30,23,FALSE),
IF(C87=$R$27,VLOOKUP(A87,'Liste de prix Public EUROPE'!$B$9:$V$174,9,FALSE),
IF(C87=$R$28,VLOOKUP(A87,'Liste de prix Public EUROPE'!$B$9:$V$174,11,FALSE),
IF(C87=$R$29,VLOOKUP(A87,'Liste de prix Public EUROPE'!$B$9:$V$174,15,FALSE),
IF(C87=$R$30,VLOOKUP(A87,'Liste de prix Public EUROPE'!$B$9:$V$174,13,FALSE),
IF(C87=$R$31,VLOOKUP(A87,'Liste de prix Public EUROPE'!$B$9:$V$174,19,FALSE),
IF(C87=$R$32,VLOOKUP(A87,'Liste de prix Public EUROPE'!$B$9:$V$174,17,FALSE),
IF(C87=$R$33,VLOOKUP(A87,'Liste de prix Public EUROPE'!$B$9:$V$174,21,FALSE),
FALSE)))))))))+IF(D87=$V$86,VLOOKUP(A87,'Liste de prix Public EUROPE'!$B$378:$S$547,7,FALSE),IF(D87=$V$87,VLOOKUP(A87,'Liste de prix Public EUROPE'!$B$559:$S$692,7,FALSE),IF(D87=$V$88,VLOOKUP(A87,'Liste de prix Public EUROPE'!$B$826:$S$966,7,FALSE),IF(D87=$V$89,VLOOKUP(A87,'Liste de prix Public EUROPE'!$B$1287:$S$1324,7,FALSE),IF(D87=$V$94,VLOOKUP(A87,'Liste de prix Public EUROPE'!$B$698:$S$822,7,FALSE),IF(D87=$V$90,VLOOKUP(A87,'Liste de prix Public EUROPE'!$B$1335:$S$1403,7,FALSE),IF(D87=$V$91,VLOOKUP(A87,'Liste de prix Public EUROPE'!$B$1506:$H$1565,7,FALSE),IF(D87=$V$92,VLOOKUP(A87,'Liste de prix Public EUROPE'!$B$1407:$H$1451,7,FALSE),IF(D87=$V$93,VLOOKUP(A87,'Liste de prix Public EUROPE'!$B$1455:$H$1502,7,FALSE),))))))))))*B87</f>
        <v>0</v>
      </c>
      <c r="G87" s="405">
        <f>IF(C87=$R$26,0,IF(C87=$R$27,0,IF(C87=$R$30,0,IF(C87=$R$33,0,IF(C87=$R$28,VLOOKUP(A87,'Liste de prix Public EUROPE'!$B$9:$V$174,10,FALSE),IF(C87=$R$29,VLOOKUP(A87,'Liste de prix Public EUROPE'!$B$9:$V$174,14,FALSE),IF(C87=$R$31,VLOOKUP(A87,'Liste de prix Public EUROPE'!$B$9:$V$174,18,FALSE),FALSE)))))))*B87</f>
        <v>0</v>
      </c>
      <c r="H87" s="917"/>
      <c r="I87" s="362"/>
      <c r="J87" s="944"/>
      <c r="K87" s="944"/>
      <c r="L87" s="944"/>
      <c r="Q87" s="975"/>
      <c r="T87" s="1163" t="s">
        <v>1883</v>
      </c>
      <c r="V87" s="946" t="s">
        <v>17</v>
      </c>
    </row>
    <row r="88" spans="1:22">
      <c r="A88" s="585"/>
      <c r="B88" s="628"/>
      <c r="C88" s="854"/>
      <c r="D88" s="417"/>
      <c r="E88" s="417"/>
      <c r="F88" s="1728">
        <f>(IF(C88=$R$25,VLOOKUP(A88,'Liste de prix Public EUROPE'!$B$9:$X$30,22,FALSE),
IF(C88=$R$26,VLOOKUP(A88,'Liste de prix Public EUROPE'!$B$9:$X$30,23,FALSE),
IF(C88=$R$27,VLOOKUP(A88,'Liste de prix Public EUROPE'!$B$9:$V$174,9,FALSE),
IF(C88=$R$28,VLOOKUP(A88,'Liste de prix Public EUROPE'!$B$9:$V$174,11,FALSE),
IF(C88=$R$29,VLOOKUP(A88,'Liste de prix Public EUROPE'!$B$9:$V$174,15,FALSE),
IF(C88=$R$30,VLOOKUP(A88,'Liste de prix Public EUROPE'!$B$9:$V$174,13,FALSE),
IF(C88=$R$31,VLOOKUP(A88,'Liste de prix Public EUROPE'!$B$9:$V$174,19,FALSE),
IF(C88=$R$32,VLOOKUP(A88,'Liste de prix Public EUROPE'!$B$9:$V$174,17,FALSE),
IF(C88=$R$33,VLOOKUP(A88,'Liste de prix Public EUROPE'!$B$9:$V$174,21,FALSE),
FALSE)))))))))+IF(D88=$V$86,VLOOKUP(A88,'Liste de prix Public EUROPE'!$B$378:$S$547,7,FALSE),IF(D88=$V$87,VLOOKUP(A88,'Liste de prix Public EUROPE'!$B$559:$S$692,7,FALSE),IF(D88=$V$88,VLOOKUP(A88,'Liste de prix Public EUROPE'!$B$826:$S$966,7,FALSE),IF(D88=$V$89,VLOOKUP(A88,'Liste de prix Public EUROPE'!$B$1287:$S$1324,7,FALSE),IF(D88=$V$94,VLOOKUP(A88,'Liste de prix Public EUROPE'!$B$698:$S$822,7,FALSE),IF(D88=$V$90,VLOOKUP(A88,'Liste de prix Public EUROPE'!$B$1335:$S$1403,7,FALSE),IF(D88=$V$91,VLOOKUP(A88,'Liste de prix Public EUROPE'!$B$1506:$H$1565,7,FALSE),IF(D88=$V$92,VLOOKUP(A88,'Liste de prix Public EUROPE'!$B$1407:$H$1451,7,FALSE),IF(D88=$V$93,VLOOKUP(A88,'Liste de prix Public EUROPE'!$B$1455:$H$1502,7,FALSE),))))))))))*B88</f>
        <v>0</v>
      </c>
      <c r="G88" s="405">
        <f>IF(C88=$R$26,0,IF(C88=$R$27,0,IF(C88=$R$30,0,IF(C88=$R$33,0,IF(C88=$R$28,VLOOKUP(A88,'Liste de prix Public EUROPE'!$B$9:$V$174,10,FALSE),IF(C88=$R$29,VLOOKUP(A88,'Liste de prix Public EUROPE'!$B$9:$V$174,14,FALSE),IF(C88=$R$31,VLOOKUP(A88,'Liste de prix Public EUROPE'!$B$9:$V$174,18,FALSE),FALSE)))))))*B88</f>
        <v>0</v>
      </c>
      <c r="H88" s="917"/>
      <c r="I88" s="362"/>
      <c r="J88" s="944"/>
      <c r="K88" s="944"/>
      <c r="L88" s="944"/>
      <c r="Q88" s="975"/>
      <c r="T88" s="1163" t="s">
        <v>1884</v>
      </c>
      <c r="V88" s="946" t="s">
        <v>104</v>
      </c>
    </row>
    <row r="89" spans="1:22">
      <c r="A89" s="585"/>
      <c r="B89" s="415"/>
      <c r="C89" s="854"/>
      <c r="D89" s="417"/>
      <c r="E89" s="417"/>
      <c r="F89" s="1728">
        <f>(IF(C89=$R$25,VLOOKUP(A89,'Liste de prix Public EUROPE'!$B$9:$X$30,22,FALSE),
IF(C89=$R$26,VLOOKUP(A89,'Liste de prix Public EUROPE'!$B$9:$X$30,23,FALSE),
IF(C89=$R$27,VLOOKUP(A89,'Liste de prix Public EUROPE'!$B$9:$V$174,9,FALSE),
IF(C89=$R$28,VLOOKUP(A89,'Liste de prix Public EUROPE'!$B$9:$V$174,11,FALSE),
IF(C89=$R$29,VLOOKUP(A89,'Liste de prix Public EUROPE'!$B$9:$V$174,15,FALSE),
IF(C89=$R$30,VLOOKUP(A89,'Liste de prix Public EUROPE'!$B$9:$V$174,13,FALSE),
IF(C89=$R$31,VLOOKUP(A89,'Liste de prix Public EUROPE'!$B$9:$V$174,19,FALSE),
IF(C89=$R$32,VLOOKUP(A89,'Liste de prix Public EUROPE'!$B$9:$V$174,17,FALSE),
IF(C89=$R$33,VLOOKUP(A89,'Liste de prix Public EUROPE'!$B$9:$V$174,21,FALSE),
FALSE)))))))))+IF(D89=$V$86,VLOOKUP(A89,'Liste de prix Public EUROPE'!$B$378:$S$547,7,FALSE),IF(D89=$V$87,VLOOKUP(A89,'Liste de prix Public EUROPE'!$B$559:$S$692,7,FALSE),IF(D89=$V$88,VLOOKUP(A89,'Liste de prix Public EUROPE'!$B$826:$S$966,7,FALSE),IF(D89=$V$89,VLOOKUP(A89,'Liste de prix Public EUROPE'!$B$1287:$S$1324,7,FALSE),IF(D89=$V$94,VLOOKUP(A89,'Liste de prix Public EUROPE'!$B$698:$S$822,7,FALSE),IF(D89=$V$90,VLOOKUP(A89,'Liste de prix Public EUROPE'!$B$1335:$S$1403,7,FALSE),IF(D89=$V$91,VLOOKUP(A89,'Liste de prix Public EUROPE'!$B$1506:$H$1565,7,FALSE),IF(D89=$V$92,VLOOKUP(A89,'Liste de prix Public EUROPE'!$B$1407:$H$1451,7,FALSE),IF(D89=$V$93,VLOOKUP(A89,'Liste de prix Public EUROPE'!$B$1455:$H$1502,7,FALSE),))))))))))*B89</f>
        <v>0</v>
      </c>
      <c r="G89" s="405">
        <f>IF(C89=$R$26,0,IF(C89=$R$27,0,IF(C89=$R$30,0,IF(C89=$R$33,0,IF(C89=$R$28,VLOOKUP(A89,'Liste de prix Public EUROPE'!$B$9:$V$174,10,FALSE),IF(C89=$R$29,VLOOKUP(A89,'Liste de prix Public EUROPE'!$B$9:$V$174,14,FALSE),IF(C89=$R$31,VLOOKUP(A89,'Liste de prix Public EUROPE'!$B$9:$V$174,18,FALSE),FALSE)))))))*B89</f>
        <v>0</v>
      </c>
      <c r="H89" s="917"/>
      <c r="I89" s="362"/>
      <c r="J89" s="944"/>
      <c r="K89" s="944"/>
      <c r="L89" s="944"/>
      <c r="Q89" s="975"/>
      <c r="T89" s="1163" t="s">
        <v>1885</v>
      </c>
      <c r="V89" s="946" t="s">
        <v>229</v>
      </c>
    </row>
    <row r="90" spans="1:22">
      <c r="A90" s="585"/>
      <c r="B90" s="415"/>
      <c r="C90" s="854"/>
      <c r="D90" s="417"/>
      <c r="E90" s="417"/>
      <c r="F90" s="1728">
        <f>(IF(C90=$R$25,VLOOKUP(A90,'Liste de prix Public EUROPE'!$B$9:$X$30,22,FALSE),
IF(C90=$R$26,VLOOKUP(A90,'Liste de prix Public EUROPE'!$B$9:$X$30,23,FALSE),
IF(C90=$R$27,VLOOKUP(A90,'Liste de prix Public EUROPE'!$B$9:$V$174,9,FALSE),
IF(C90=$R$28,VLOOKUP(A90,'Liste de prix Public EUROPE'!$B$9:$V$174,11,FALSE),
IF(C90=$R$29,VLOOKUP(A90,'Liste de prix Public EUROPE'!$B$9:$V$174,15,FALSE),
IF(C90=$R$30,VLOOKUP(A90,'Liste de prix Public EUROPE'!$B$9:$V$174,13,FALSE),
IF(C90=$R$31,VLOOKUP(A90,'Liste de prix Public EUROPE'!$B$9:$V$174,19,FALSE),
IF(C90=$R$32,VLOOKUP(A90,'Liste de prix Public EUROPE'!$B$9:$V$174,17,FALSE),
IF(C90=$R$33,VLOOKUP(A90,'Liste de prix Public EUROPE'!$B$9:$V$174,21,FALSE),
FALSE)))))))))+IF(D90=$V$86,VLOOKUP(A90,'Liste de prix Public EUROPE'!$B$378:$S$547,7,FALSE),IF(D90=$V$87,VLOOKUP(A90,'Liste de prix Public EUROPE'!$B$559:$S$692,7,FALSE),IF(D90=$V$88,VLOOKUP(A90,'Liste de prix Public EUROPE'!$B$826:$S$966,7,FALSE),IF(D90=$V$89,VLOOKUP(A90,'Liste de prix Public EUROPE'!$B$1287:$S$1324,7,FALSE),IF(D90=$V$94,VLOOKUP(A90,'Liste de prix Public EUROPE'!$B$698:$S$822,7,FALSE),IF(D90=$V$90,VLOOKUP(A90,'Liste de prix Public EUROPE'!$B$1335:$S$1403,7,FALSE),IF(D90=$V$91,VLOOKUP(A90,'Liste de prix Public EUROPE'!$B$1506:$H$1565,7,FALSE),IF(D90=$V$92,VLOOKUP(A90,'Liste de prix Public EUROPE'!$B$1407:$H$1451,7,FALSE),IF(D90=$V$93,VLOOKUP(A90,'Liste de prix Public EUROPE'!$B$1455:$H$1502,7,FALSE),))))))))))*B90</f>
        <v>0</v>
      </c>
      <c r="G90" s="405">
        <f>IF(C90=$R$26,0,IF(C90=$R$27,0,IF(C90=$R$30,0,IF(C90=$R$33,0,IF(C90=$R$28,VLOOKUP(A90,'Liste de prix Public EUROPE'!$B$9:$V$174,10,FALSE),IF(C90=$R$29,VLOOKUP(A90,'Liste de prix Public EUROPE'!$B$9:$V$174,14,FALSE),IF(C90=$R$31,VLOOKUP(A90,'Liste de prix Public EUROPE'!$B$9:$V$174,18,FALSE),FALSE)))))))*B90</f>
        <v>0</v>
      </c>
      <c r="H90" s="917"/>
      <c r="I90" s="362"/>
      <c r="J90" s="944"/>
      <c r="K90" s="944"/>
      <c r="L90" s="944"/>
      <c r="Q90" s="975"/>
      <c r="T90" s="1163" t="s">
        <v>1886</v>
      </c>
      <c r="V90" s="946" t="s">
        <v>245</v>
      </c>
    </row>
    <row r="91" spans="1:22">
      <c r="A91" s="585"/>
      <c r="B91" s="628"/>
      <c r="C91" s="854"/>
      <c r="D91" s="417"/>
      <c r="E91" s="591"/>
      <c r="F91" s="1728">
        <f>(IF(C91=$R$25,VLOOKUP(A91,'Liste de prix Public EUROPE'!$B$9:$X$30,22,FALSE),
IF(C91=$R$26,VLOOKUP(A91,'Liste de prix Public EUROPE'!$B$9:$X$30,23,FALSE),
IF(C91=$R$27,VLOOKUP(A91,'Liste de prix Public EUROPE'!$B$9:$V$174,9,FALSE),
IF(C91=$R$28,VLOOKUP(A91,'Liste de prix Public EUROPE'!$B$9:$V$174,11,FALSE),
IF(C91=$R$29,VLOOKUP(A91,'Liste de prix Public EUROPE'!$B$9:$V$174,15,FALSE),
IF(C91=$R$30,VLOOKUP(A91,'Liste de prix Public EUROPE'!$B$9:$V$174,13,FALSE),
IF(C91=$R$31,VLOOKUP(A91,'Liste de prix Public EUROPE'!$B$9:$V$174,19,FALSE),
IF(C91=$R$32,VLOOKUP(A91,'Liste de prix Public EUROPE'!$B$9:$V$174,17,FALSE),
IF(C91=$R$33,VLOOKUP(A91,'Liste de prix Public EUROPE'!$B$9:$V$174,21,FALSE),
FALSE)))))))))+IF(D91=$V$86,VLOOKUP(A91,'Liste de prix Public EUROPE'!$B$378:$S$547,7,FALSE),IF(D91=$V$87,VLOOKUP(A91,'Liste de prix Public EUROPE'!$B$559:$S$692,7,FALSE),IF(D91=$V$88,VLOOKUP(A91,'Liste de prix Public EUROPE'!$B$826:$S$966,7,FALSE),IF(D91=$V$89,VLOOKUP(A91,'Liste de prix Public EUROPE'!$B$1287:$S$1324,7,FALSE),IF(D91=$V$94,VLOOKUP(A91,'Liste de prix Public EUROPE'!$B$698:$S$822,7,FALSE),IF(D91=$V$90,VLOOKUP(A91,'Liste de prix Public EUROPE'!$B$1335:$S$1403,7,FALSE),IF(D91=$V$91,VLOOKUP(A91,'Liste de prix Public EUROPE'!$B$1506:$H$1565,7,FALSE),IF(D91=$V$92,VLOOKUP(A91,'Liste de prix Public EUROPE'!$B$1407:$H$1451,7,FALSE),IF(D91=$V$93,VLOOKUP(A91,'Liste de prix Public EUROPE'!$B$1455:$H$1502,7,FALSE),))))))))))*B91</f>
        <v>0</v>
      </c>
      <c r="G91" s="405">
        <f>IF(C91=$R$26,0,IF(C91=$R$27,0,IF(C91=$R$30,0,IF(C91=$R$33,0,IF(C91=$R$28,VLOOKUP(A91,'Liste de prix Public EUROPE'!$B$9:$V$174,10,FALSE),IF(C91=$R$29,VLOOKUP(A91,'Liste de prix Public EUROPE'!$B$9:$V$174,14,FALSE),IF(C91=$R$31,VLOOKUP(A91,'Liste de prix Public EUROPE'!$B$9:$V$174,18,FALSE),FALSE)))))))*B91</f>
        <v>0</v>
      </c>
      <c r="H91" s="917"/>
      <c r="I91" s="362"/>
      <c r="J91" s="944"/>
      <c r="K91" s="944"/>
      <c r="L91" s="944"/>
      <c r="Q91" s="975"/>
      <c r="T91" s="1163" t="s">
        <v>1887</v>
      </c>
      <c r="V91" s="946" t="s">
        <v>685</v>
      </c>
    </row>
    <row r="92" spans="1:22">
      <c r="A92" s="585"/>
      <c r="B92" s="415"/>
      <c r="C92" s="854"/>
      <c r="D92" s="417"/>
      <c r="E92" s="417"/>
      <c r="F92" s="1728">
        <f>(IF(C92=$R$25,VLOOKUP(A92,'Liste de prix Public EUROPE'!$B$9:$X$30,22,FALSE),
IF(C92=$R$26,VLOOKUP(A92,'Liste de prix Public EUROPE'!$B$9:$X$30,23,FALSE),
IF(C92=$R$27,VLOOKUP(A92,'Liste de prix Public EUROPE'!$B$9:$V$174,9,FALSE),
IF(C92=$R$28,VLOOKUP(A92,'Liste de prix Public EUROPE'!$B$9:$V$174,11,FALSE),
IF(C92=$R$29,VLOOKUP(A92,'Liste de prix Public EUROPE'!$B$9:$V$174,15,FALSE),
IF(C92=$R$30,VLOOKUP(A92,'Liste de prix Public EUROPE'!$B$9:$V$174,13,FALSE),
IF(C92=$R$31,VLOOKUP(A92,'Liste de prix Public EUROPE'!$B$9:$V$174,19,FALSE),
IF(C92=$R$32,VLOOKUP(A92,'Liste de prix Public EUROPE'!$B$9:$V$174,17,FALSE),
IF(C92=$R$33,VLOOKUP(A92,'Liste de prix Public EUROPE'!$B$9:$V$174,21,FALSE),
FALSE)))))))))+IF(D92=$V$86,VLOOKUP(A92,'Liste de prix Public EUROPE'!$B$378:$S$547,7,FALSE),IF(D92=$V$87,VLOOKUP(A92,'Liste de prix Public EUROPE'!$B$559:$S$692,7,FALSE),IF(D92=$V$88,VLOOKUP(A92,'Liste de prix Public EUROPE'!$B$826:$S$966,7,FALSE),IF(D92=$V$89,VLOOKUP(A92,'Liste de prix Public EUROPE'!$B$1287:$S$1324,7,FALSE),IF(D92=$V$94,VLOOKUP(A92,'Liste de prix Public EUROPE'!$B$698:$S$822,7,FALSE),IF(D92=$V$90,VLOOKUP(A92,'Liste de prix Public EUROPE'!$B$1335:$S$1403,7,FALSE),IF(D92=$V$91,VLOOKUP(A92,'Liste de prix Public EUROPE'!$B$1506:$H$1565,7,FALSE),IF(D92=$V$92,VLOOKUP(A92,'Liste de prix Public EUROPE'!$B$1407:$H$1451,7,FALSE),IF(D92=$V$93,VLOOKUP(A92,'Liste de prix Public EUROPE'!$B$1455:$H$1502,7,FALSE),))))))))))*B92</f>
        <v>0</v>
      </c>
      <c r="G92" s="405">
        <f>IF(C92=$R$26,0,IF(C92=$R$27,0,IF(C92=$R$30,0,IF(C92=$R$33,0,IF(C92=$R$28,VLOOKUP(A92,'Liste de prix Public EUROPE'!$B$9:$V$174,10,FALSE),IF(C92=$R$29,VLOOKUP(A92,'Liste de prix Public EUROPE'!$B$9:$V$174,14,FALSE),IF(C92=$R$31,VLOOKUP(A92,'Liste de prix Public EUROPE'!$B$9:$V$174,18,FALSE),FALSE)))))))*B92</f>
        <v>0</v>
      </c>
      <c r="H92" s="917"/>
      <c r="I92" s="362"/>
      <c r="J92" s="944"/>
      <c r="K92" s="944"/>
      <c r="L92" s="944"/>
      <c r="Q92" s="975"/>
      <c r="T92" s="1163" t="s">
        <v>1888</v>
      </c>
      <c r="V92" s="946" t="s">
        <v>687</v>
      </c>
    </row>
    <row r="93" spans="1:22">
      <c r="A93" s="585"/>
      <c r="B93" s="628"/>
      <c r="C93" s="854"/>
      <c r="D93" s="417"/>
      <c r="E93" s="591"/>
      <c r="F93" s="1728">
        <f>(IF(C93=$R$25,VLOOKUP(A93,'Liste de prix Public EUROPE'!$B$9:$X$30,22,FALSE),
IF(C93=$R$26,VLOOKUP(A93,'Liste de prix Public EUROPE'!$B$9:$X$30,23,FALSE),
IF(C93=$R$27,VLOOKUP(A93,'Liste de prix Public EUROPE'!$B$9:$V$174,9,FALSE),
IF(C93=$R$28,VLOOKUP(A93,'Liste de prix Public EUROPE'!$B$9:$V$174,11,FALSE),
IF(C93=$R$29,VLOOKUP(A93,'Liste de prix Public EUROPE'!$B$9:$V$174,15,FALSE),
IF(C93=$R$30,VLOOKUP(A93,'Liste de prix Public EUROPE'!$B$9:$V$174,13,FALSE),
IF(C93=$R$31,VLOOKUP(A93,'Liste de prix Public EUROPE'!$B$9:$V$174,19,FALSE),
IF(C93=$R$32,VLOOKUP(A93,'Liste de prix Public EUROPE'!$B$9:$V$174,17,FALSE),
IF(C93=$R$33,VLOOKUP(A93,'Liste de prix Public EUROPE'!$B$9:$V$174,21,FALSE),
FALSE)))))))))+IF(D93=$V$86,VLOOKUP(A93,'Liste de prix Public EUROPE'!$B$378:$S$547,7,FALSE),IF(D93=$V$87,VLOOKUP(A93,'Liste de prix Public EUROPE'!$B$559:$S$692,7,FALSE),IF(D93=$V$88,VLOOKUP(A93,'Liste de prix Public EUROPE'!$B$826:$S$966,7,FALSE),IF(D93=$V$89,VLOOKUP(A93,'Liste de prix Public EUROPE'!$B$1287:$S$1324,7,FALSE),IF(D93=$V$94,VLOOKUP(A93,'Liste de prix Public EUROPE'!$B$698:$S$822,7,FALSE),IF(D93=$V$90,VLOOKUP(A93,'Liste de prix Public EUROPE'!$B$1335:$S$1403,7,FALSE),IF(D93=$V$91,VLOOKUP(A93,'Liste de prix Public EUROPE'!$B$1506:$H$1565,7,FALSE),IF(D93=$V$92,VLOOKUP(A93,'Liste de prix Public EUROPE'!$B$1407:$H$1451,7,FALSE),IF(D93=$V$93,VLOOKUP(A93,'Liste de prix Public EUROPE'!$B$1455:$H$1502,7,FALSE),))))))))))*B93</f>
        <v>0</v>
      </c>
      <c r="G93" s="405">
        <f>IF(C93=$R$26,0,IF(C93=$R$27,0,IF(C93=$R$30,0,IF(C93=$R$33,0,IF(C93=$R$28,VLOOKUP(A93,'Liste de prix Public EUROPE'!$B$9:$V$174,10,FALSE),IF(C93=$R$29,VLOOKUP(A93,'Liste de prix Public EUROPE'!$B$9:$V$174,14,FALSE),IF(C93=$R$31,VLOOKUP(A93,'Liste de prix Public EUROPE'!$B$9:$V$174,18,FALSE),FALSE)))))))*B93</f>
        <v>0</v>
      </c>
      <c r="H93" s="917"/>
      <c r="I93" s="362"/>
      <c r="J93" s="944"/>
      <c r="K93" s="944"/>
      <c r="L93" s="944"/>
      <c r="Q93" s="975"/>
      <c r="T93" s="1163" t="s">
        <v>1889</v>
      </c>
      <c r="V93" s="946" t="s">
        <v>686</v>
      </c>
    </row>
    <row r="94" spans="1:22">
      <c r="A94" s="585"/>
      <c r="B94" s="415"/>
      <c r="C94" s="854"/>
      <c r="D94" s="417"/>
      <c r="E94" s="417"/>
      <c r="F94" s="1728">
        <f>(IF(C94=$R$25,VLOOKUP(A94,'Liste de prix Public EUROPE'!$B$9:$X$30,22,FALSE),
IF(C94=$R$26,VLOOKUP(A94,'Liste de prix Public EUROPE'!$B$9:$X$30,23,FALSE),
IF(C94=$R$27,VLOOKUP(A94,'Liste de prix Public EUROPE'!$B$9:$V$174,9,FALSE),
IF(C94=$R$28,VLOOKUP(A94,'Liste de prix Public EUROPE'!$B$9:$V$174,11,FALSE),
IF(C94=$R$29,VLOOKUP(A94,'Liste de prix Public EUROPE'!$B$9:$V$174,15,FALSE),
IF(C94=$R$30,VLOOKUP(A94,'Liste de prix Public EUROPE'!$B$9:$V$174,13,FALSE),
IF(C94=$R$31,VLOOKUP(A94,'Liste de prix Public EUROPE'!$B$9:$V$174,19,FALSE),
IF(C94=$R$32,VLOOKUP(A94,'Liste de prix Public EUROPE'!$B$9:$V$174,17,FALSE),
IF(C94=$R$33,VLOOKUP(A94,'Liste de prix Public EUROPE'!$B$9:$V$174,21,FALSE),
FALSE)))))))))+IF(D94=$V$86,VLOOKUP(A94,'Liste de prix Public EUROPE'!$B$378:$S$547,7,FALSE),IF(D94=$V$87,VLOOKUP(A94,'Liste de prix Public EUROPE'!$B$559:$S$692,7,FALSE),IF(D94=$V$88,VLOOKUP(A94,'Liste de prix Public EUROPE'!$B$826:$S$966,7,FALSE),IF(D94=$V$89,VLOOKUP(A94,'Liste de prix Public EUROPE'!$B$1287:$S$1324,7,FALSE),IF(D94=$V$94,VLOOKUP(A94,'Liste de prix Public EUROPE'!$B$698:$S$822,7,FALSE),IF(D94=$V$90,VLOOKUP(A94,'Liste de prix Public EUROPE'!$B$1335:$S$1403,7,FALSE),IF(D94=$V$91,VLOOKUP(A94,'Liste de prix Public EUROPE'!$B$1506:$H$1565,7,FALSE),IF(D94=$V$92,VLOOKUP(A94,'Liste de prix Public EUROPE'!$B$1407:$H$1451,7,FALSE),IF(D94=$V$93,VLOOKUP(A94,'Liste de prix Public EUROPE'!$B$1455:$H$1502,7,FALSE),))))))))))*B94</f>
        <v>0</v>
      </c>
      <c r="G94" s="405">
        <f>IF(C94=$R$26,0,IF(C94=$R$27,0,IF(C94=$R$30,0,IF(C94=$R$33,0,IF(C94=$R$28,VLOOKUP(A94,'Liste de prix Public EUROPE'!$B$9:$V$174,10,FALSE),IF(C94=$R$29,VLOOKUP(A94,'Liste de prix Public EUROPE'!$B$9:$V$174,14,FALSE),IF(C94=$R$31,VLOOKUP(A94,'Liste de prix Public EUROPE'!$B$9:$V$174,18,FALSE),FALSE)))))))*B94</f>
        <v>0</v>
      </c>
      <c r="H94" s="917"/>
      <c r="I94" s="362"/>
      <c r="J94" s="944"/>
      <c r="K94" s="944"/>
      <c r="L94" s="944"/>
      <c r="Q94" s="975"/>
      <c r="T94" s="1163" t="s">
        <v>1890</v>
      </c>
      <c r="V94" s="946" t="s">
        <v>273</v>
      </c>
    </row>
    <row r="95" spans="1:22">
      <c r="A95" s="585"/>
      <c r="B95" s="415"/>
      <c r="C95" s="854"/>
      <c r="D95" s="417"/>
      <c r="E95" s="417"/>
      <c r="F95" s="1728">
        <f>(IF(C95=$R$25,VLOOKUP(A95,'Liste de prix Public EUROPE'!$B$9:$X$30,22,FALSE),
IF(C95=$R$26,VLOOKUP(A95,'Liste de prix Public EUROPE'!$B$9:$X$30,23,FALSE),
IF(C95=$R$27,VLOOKUP(A95,'Liste de prix Public EUROPE'!$B$9:$V$174,9,FALSE),
IF(C95=$R$28,VLOOKUP(A95,'Liste de prix Public EUROPE'!$B$9:$V$174,11,FALSE),
IF(C95=$R$29,VLOOKUP(A95,'Liste de prix Public EUROPE'!$B$9:$V$174,15,FALSE),
IF(C95=$R$30,VLOOKUP(A95,'Liste de prix Public EUROPE'!$B$9:$V$174,13,FALSE),
IF(C95=$R$31,VLOOKUP(A95,'Liste de prix Public EUROPE'!$B$9:$V$174,19,FALSE),
IF(C95=$R$32,VLOOKUP(A95,'Liste de prix Public EUROPE'!$B$9:$V$174,17,FALSE),
IF(C95=$R$33,VLOOKUP(A95,'Liste de prix Public EUROPE'!$B$9:$V$174,21,FALSE),
FALSE)))))))))+IF(D95=$V$86,VLOOKUP(A95,'Liste de prix Public EUROPE'!$B$378:$S$547,7,FALSE),IF(D95=$V$87,VLOOKUP(A95,'Liste de prix Public EUROPE'!$B$559:$S$692,7,FALSE),IF(D95=$V$88,VLOOKUP(A95,'Liste de prix Public EUROPE'!$B$826:$S$966,7,FALSE),IF(D95=$V$89,VLOOKUP(A95,'Liste de prix Public EUROPE'!$B$1287:$S$1324,7,FALSE),IF(D95=$V$94,VLOOKUP(A95,'Liste de prix Public EUROPE'!$B$698:$S$822,7,FALSE),IF(D95=$V$90,VLOOKUP(A95,'Liste de prix Public EUROPE'!$B$1335:$S$1403,7,FALSE),IF(D95=$V$91,VLOOKUP(A95,'Liste de prix Public EUROPE'!$B$1506:$H$1565,7,FALSE),IF(D95=$V$92,VLOOKUP(A95,'Liste de prix Public EUROPE'!$B$1407:$H$1451,7,FALSE),IF(D95=$V$93,VLOOKUP(A95,'Liste de prix Public EUROPE'!$B$1455:$H$1502,7,FALSE),))))))))))*B95</f>
        <v>0</v>
      </c>
      <c r="G95" s="405">
        <f>IF(C95=$R$26,0,IF(C95=$R$27,0,IF(C95=$R$30,0,IF(C95=$R$33,0,IF(C95=$R$28,VLOOKUP(A95,'Liste de prix Public EUROPE'!$B$9:$V$174,10,FALSE),IF(C95=$R$29,VLOOKUP(A95,'Liste de prix Public EUROPE'!$B$9:$V$174,14,FALSE),IF(C95=$R$31,VLOOKUP(A95,'Liste de prix Public EUROPE'!$B$9:$V$174,18,FALSE),FALSE)))))))*B95</f>
        <v>0</v>
      </c>
      <c r="H95" s="917"/>
      <c r="I95" s="362"/>
      <c r="J95" s="944"/>
      <c r="K95" s="944"/>
      <c r="L95" s="944"/>
      <c r="Q95" s="975"/>
      <c r="T95" s="1385" t="s">
        <v>1891</v>
      </c>
      <c r="V95" s="966"/>
    </row>
    <row r="96" spans="1:22">
      <c r="A96" s="585"/>
      <c r="B96" s="415"/>
      <c r="C96" s="854"/>
      <c r="D96" s="417"/>
      <c r="E96" s="417"/>
      <c r="F96" s="1728">
        <f>(IF(C96=$R$25,VLOOKUP(A96,'Liste de prix Public EUROPE'!$B$9:$X$30,22,FALSE),
IF(C96=$R$26,VLOOKUP(A96,'Liste de prix Public EUROPE'!$B$9:$X$30,23,FALSE),
IF(C96=$R$27,VLOOKUP(A96,'Liste de prix Public EUROPE'!$B$9:$V$174,9,FALSE),
IF(C96=$R$28,VLOOKUP(A96,'Liste de prix Public EUROPE'!$B$9:$V$174,11,FALSE),
IF(C96=$R$29,VLOOKUP(A96,'Liste de prix Public EUROPE'!$B$9:$V$174,15,FALSE),
IF(C96=$R$30,VLOOKUP(A96,'Liste de prix Public EUROPE'!$B$9:$V$174,13,FALSE),
IF(C96=$R$31,VLOOKUP(A96,'Liste de prix Public EUROPE'!$B$9:$V$174,19,FALSE),
IF(C96=$R$32,VLOOKUP(A96,'Liste de prix Public EUROPE'!$B$9:$V$174,17,FALSE),
IF(C96=$R$33,VLOOKUP(A96,'Liste de prix Public EUROPE'!$B$9:$V$174,21,FALSE),
FALSE)))))))))+IF(D96=$V$86,VLOOKUP(A96,'Liste de prix Public EUROPE'!$B$378:$S$547,7,FALSE),IF(D96=$V$87,VLOOKUP(A96,'Liste de prix Public EUROPE'!$B$559:$S$692,7,FALSE),IF(D96=$V$88,VLOOKUP(A96,'Liste de prix Public EUROPE'!$B$826:$S$966,7,FALSE),IF(D96=$V$89,VLOOKUP(A96,'Liste de prix Public EUROPE'!$B$1287:$S$1324,7,FALSE),IF(D96=$V$94,VLOOKUP(A96,'Liste de prix Public EUROPE'!$B$698:$S$822,7,FALSE),IF(D96=$V$90,VLOOKUP(A96,'Liste de prix Public EUROPE'!$B$1335:$S$1403,7,FALSE),IF(D96=$V$91,VLOOKUP(A96,'Liste de prix Public EUROPE'!$B$1506:$H$1565,7,FALSE),IF(D96=$V$92,VLOOKUP(A96,'Liste de prix Public EUROPE'!$B$1407:$H$1451,7,FALSE),IF(D96=$V$93,VLOOKUP(A96,'Liste de prix Public EUROPE'!$B$1455:$H$1502,7,FALSE),))))))))))*B96</f>
        <v>0</v>
      </c>
      <c r="G96" s="405">
        <f>IF(C96=$R$26,0,IF(C96=$R$27,0,IF(C96=$R$30,0,IF(C96=$R$33,0,IF(C96=$R$28,VLOOKUP(A96,'Liste de prix Public EUROPE'!$B$9:$V$174,10,FALSE),IF(C96=$R$29,VLOOKUP(A96,'Liste de prix Public EUROPE'!$B$9:$V$174,14,FALSE),IF(C96=$R$31,VLOOKUP(A96,'Liste de prix Public EUROPE'!$B$9:$V$174,18,FALSE),FALSE)))))))*B96</f>
        <v>0</v>
      </c>
      <c r="H96" s="917"/>
      <c r="I96" s="362"/>
      <c r="J96" s="944"/>
      <c r="K96" s="944"/>
      <c r="L96" s="944"/>
      <c r="Q96" s="975"/>
      <c r="T96" s="712" t="s">
        <v>1120</v>
      </c>
      <c r="V96" s="946" t="s">
        <v>104</v>
      </c>
    </row>
    <row r="97" spans="1:22">
      <c r="A97" s="585"/>
      <c r="B97" s="415"/>
      <c r="C97" s="854"/>
      <c r="D97" s="417"/>
      <c r="E97" s="417"/>
      <c r="F97" s="1728">
        <f>(IF(C97=$R$25,VLOOKUP(A97,'Liste de prix Public EUROPE'!$B$9:$X$30,22,FALSE),
IF(C97=$R$26,VLOOKUP(A97,'Liste de prix Public EUROPE'!$B$9:$X$30,23,FALSE),
IF(C97=$R$27,VLOOKUP(A97,'Liste de prix Public EUROPE'!$B$9:$V$174,9,FALSE),
IF(C97=$R$28,VLOOKUP(A97,'Liste de prix Public EUROPE'!$B$9:$V$174,11,FALSE),
IF(C97=$R$29,VLOOKUP(A97,'Liste de prix Public EUROPE'!$B$9:$V$174,15,FALSE),
IF(C97=$R$30,VLOOKUP(A97,'Liste de prix Public EUROPE'!$B$9:$V$174,13,FALSE),
IF(C97=$R$31,VLOOKUP(A97,'Liste de prix Public EUROPE'!$B$9:$V$174,19,FALSE),
IF(C97=$R$32,VLOOKUP(A97,'Liste de prix Public EUROPE'!$B$9:$V$174,17,FALSE),
IF(C97=$R$33,VLOOKUP(A97,'Liste de prix Public EUROPE'!$B$9:$V$174,21,FALSE),
FALSE)))))))))+IF(D97=$V$86,VLOOKUP(A97,'Liste de prix Public EUROPE'!$B$378:$S$547,7,FALSE),IF(D97=$V$87,VLOOKUP(A97,'Liste de prix Public EUROPE'!$B$559:$S$692,7,FALSE),IF(D97=$V$88,VLOOKUP(A97,'Liste de prix Public EUROPE'!$B$826:$S$966,7,FALSE),IF(D97=$V$89,VLOOKUP(A97,'Liste de prix Public EUROPE'!$B$1287:$S$1324,7,FALSE),IF(D97=$V$94,VLOOKUP(A97,'Liste de prix Public EUROPE'!$B$698:$S$822,7,FALSE),IF(D97=$V$90,VLOOKUP(A97,'Liste de prix Public EUROPE'!$B$1335:$S$1403,7,FALSE),IF(D97=$V$91,VLOOKUP(A97,'Liste de prix Public EUROPE'!$B$1506:$H$1565,7,FALSE),IF(D97=$V$92,VLOOKUP(A97,'Liste de prix Public EUROPE'!$B$1407:$H$1451,7,FALSE),IF(D97=$V$93,VLOOKUP(A97,'Liste de prix Public EUROPE'!$B$1455:$H$1502,7,FALSE),))))))))))*B97</f>
        <v>0</v>
      </c>
      <c r="G97" s="405">
        <f>IF(C97=$R$26,0,IF(C97=$R$27,0,IF(C97=$R$30,0,IF(C97=$R$33,0,IF(C97=$R$28,VLOOKUP(A97,'Liste de prix Public EUROPE'!$B$9:$V$174,10,FALSE),IF(C97=$R$29,VLOOKUP(A97,'Liste de prix Public EUROPE'!$B$9:$V$174,14,FALSE),IF(C97=$R$31,VLOOKUP(A97,'Liste de prix Public EUROPE'!$B$9:$V$174,18,FALSE),FALSE)))))))*B97</f>
        <v>0</v>
      </c>
      <c r="H97" s="917"/>
      <c r="I97" s="362"/>
      <c r="J97" s="944"/>
      <c r="K97" s="944"/>
      <c r="L97" s="944"/>
      <c r="Q97" s="975"/>
      <c r="T97" s="712" t="s">
        <v>1121</v>
      </c>
      <c r="V97" s="966"/>
    </row>
    <row r="98" spans="1:22">
      <c r="A98" s="558"/>
      <c r="B98" s="373">
        <f>SUM(B80:B97)</f>
        <v>0</v>
      </c>
      <c r="C98" s="374"/>
      <c r="D98" s="375"/>
      <c r="E98" s="375"/>
      <c r="F98" s="371"/>
      <c r="G98" s="406"/>
      <c r="H98" s="917"/>
      <c r="I98" s="362"/>
      <c r="J98" s="944"/>
      <c r="K98" s="944"/>
      <c r="L98" s="944"/>
      <c r="Q98" s="975"/>
      <c r="T98" s="712" t="s">
        <v>1122</v>
      </c>
      <c r="V98" s="966"/>
    </row>
    <row r="99" spans="1:22">
      <c r="A99" s="376"/>
      <c r="B99" s="64"/>
      <c r="C99" s="64"/>
      <c r="D99" s="173"/>
      <c r="E99" s="377" t="s">
        <v>39</v>
      </c>
      <c r="F99" s="378">
        <f>SUM(F80:F98)</f>
        <v>0</v>
      </c>
      <c r="G99" s="407">
        <f>SUM(G80:G98)</f>
        <v>0</v>
      </c>
      <c r="H99" s="917"/>
      <c r="I99" s="362"/>
      <c r="J99" s="944"/>
      <c r="K99" s="944"/>
      <c r="L99" s="944"/>
      <c r="T99" s="712" t="s">
        <v>1123</v>
      </c>
      <c r="V99" s="966" t="s">
        <v>421</v>
      </c>
    </row>
    <row r="100" spans="1:22" ht="15.75" customHeight="1">
      <c r="A100" s="363"/>
      <c r="B100" s="173"/>
      <c r="C100" s="173"/>
      <c r="D100" s="173"/>
      <c r="E100" s="173"/>
      <c r="F100" s="173"/>
      <c r="G100" s="173"/>
      <c r="H100" s="917"/>
      <c r="I100" s="362"/>
      <c r="J100" s="944"/>
      <c r="K100" s="944"/>
      <c r="L100" s="944"/>
      <c r="T100" s="712" t="s">
        <v>1124</v>
      </c>
      <c r="V100" s="946" t="s">
        <v>422</v>
      </c>
    </row>
    <row r="101" spans="1:22" ht="15.75" customHeight="1">
      <c r="A101" s="940" t="s">
        <v>1053</v>
      </c>
      <c r="B101" s="941" t="s">
        <v>80</v>
      </c>
      <c r="C101" s="941" t="s">
        <v>138</v>
      </c>
      <c r="D101" s="941" t="s">
        <v>8</v>
      </c>
      <c r="E101" s="941" t="s">
        <v>74</v>
      </c>
      <c r="F101" s="941" t="s">
        <v>18</v>
      </c>
      <c r="G101" s="942" t="s">
        <v>143</v>
      </c>
      <c r="H101" s="917"/>
      <c r="I101" s="362"/>
      <c r="J101" s="944"/>
      <c r="K101" s="944"/>
      <c r="L101" s="944"/>
      <c r="T101" s="712" t="s">
        <v>1125</v>
      </c>
    </row>
    <row r="102" spans="1:22" ht="15.75" customHeight="1">
      <c r="A102" s="585"/>
      <c r="B102" s="628"/>
      <c r="C102" s="854"/>
      <c r="D102" s="417"/>
      <c r="E102" s="417"/>
      <c r="F102" s="371">
        <f>IF(C102=$R$26,VLOOKUP(A102,'Liste de prix Public EUROPE'!$B$178:$V$343,8,FALSE),
IF(C102=$R$27,VLOOKUP(A102,'Liste de prix Public EUROPE'!$B$178:$V$343,9,FALSE),
IF(C102=$R$28,VLOOKUP(A102,'Liste de prix Public EUROPE'!$B$178:$V$343,11,FALSE),
IF(C102=$R$29,VLOOKUP(A102,'Liste de prix Public EUROPE'!$B$178:$V$343,15,FALSE),
IF(C102=$R$30,VLOOKUP(A102,'Liste de prix Public EUROPE'!$B$178:$V$343,13,FALSE),
IF(C102=$R$31,VLOOKUP(A102,'Liste de prix Public EUROPE'!$B$178:$V$343,19,FALSE),
IF(C102=$R$32,VLOOKUP(A102,'Liste de prix Public EUROPE'!$B$178:$SV343,17,FALSE),
IF(C102=$R$33,VLOOKUP(A102,'Liste de prix Public EUROPE'!$B$178:$V$343,21,FALSE),
FALSE)))))))*B102*(100%-$B$5)+IF(D102=$V$86,VLOOKUP(A102,'Liste de prix Public EUROPE'!$B$378:$S$547,7,FALSE),IF(D102=$V$87,VLOOKUP(A102,'Liste de prix Public EUROPE'!$B$559:$S$692,7,FALSE),IF(D102=$V$88,VLOOKUP(A102,'Liste de prix Public EUROPE'!$B$826:$S$966,7,FALSE),IF(D102=$V$89,VLOOKUP(A102,'Liste de prix Public EUROPE'!$B$1287:$S$1324,7,FALSE),IF(D102=$V$94,VLOOKUP(A102,'Liste de prix Public EUROPE'!$B$698:$S$822,7,FALSE),IF(D102=$V$90,VLOOKUP(A102,'Liste de prix Public EUROPE'!$B$1335:$S$1403,7,FALSE),IF(D102=$V$91,VLOOKUP(A102,'Liste de prix Public EUROPE'!$B$1506:$H$1565,7,FALSE),IF(D102=$V$92,VLOOKUP(A102,'Liste de prix Public EUROPE'!$B$1407:$H$1451,7,FALSE),IF(D102=$V$93,VLOOKUP(A102,'Liste de prix Public EUROPE'!$B$1455:$H$1502,7,FALSE),)))))))))*B102)</f>
        <v>0</v>
      </c>
      <c r="G102" s="405">
        <f>IF(C102=$R$27,0,IF(C102=$R$28,VLOOKUP(A102,'Liste de prix Public EUROPE'!$B$178:$S$343,10,FALSE),IF(C102=$R$29,VLOOKUP(A102,'Liste de prix Public EUROPE'!$B$178:$S$343,14,FALSE),IF(C102=$R$31,VLOOKUP(A102,'Liste de prix Public EUROPE'!$B$178:$S$343,18,FALSE),FALSE))))*B102</f>
        <v>0</v>
      </c>
      <c r="H102" s="173"/>
      <c r="I102" s="362"/>
      <c r="J102" s="944"/>
      <c r="K102" s="944"/>
      <c r="L102" s="944"/>
      <c r="T102" s="1163" t="s">
        <v>1892</v>
      </c>
    </row>
    <row r="103" spans="1:22" ht="15.75" customHeight="1">
      <c r="A103" s="585"/>
      <c r="B103" s="628"/>
      <c r="C103" s="854"/>
      <c r="D103" s="417"/>
      <c r="E103" s="417"/>
      <c r="F103" s="371">
        <f>IF(C103=$R$26,VLOOKUP(A103,'Liste de prix Public EUROPE'!$B$178:$S$343,8,FALSE),
IF(C103=$R$27,VLOOKUP(A103,'Liste de prix Public EUROPE'!$B$178:$S$343,9,FALSE),
IF(C103=$R$28,VLOOKUP(A103,'Liste de prix Public EUROPE'!$B$178:$S$343,11,FALSE),
IF(C103=$R$29,VLOOKUP(A103,'Liste de prix Public EUROPE'!$B$178:$S$343,15,FALSE),
IF(C103=$R$30,VLOOKUP(A103,'Liste de prix Public EUROPE'!$B$178:$S$343,13,FALSE),
IF(C103=$R$31,VLOOKUP(A103,'Liste de prix Public EUROPE'!$B$178:$S$343,19,FALSE),
IF(C103=$R$32,VLOOKUP(A103,'Liste de prix Public EUROPE'!$B$178:$S$343,17,FALSE),
IF(C103=$R$33,VLOOKUP(A103,'Liste de prix Public EUROPE'!$B$178:$S$343,21,FALSE),
FALSE)))))))*B103*(100%-$B$5)+IF(D103=$V$86,VLOOKUP(A103,'Liste de prix Public EUROPE'!$B$378:$S$547,7,FALSE),IF(D103=$V$87,VLOOKUP(A103,'Liste de prix Public EUROPE'!$B$559:$S$692,7,FALSE),IF(D103=$V$88,VLOOKUP(A103,'Liste de prix Public EUROPE'!$B$826:$S$966,7,FALSE),IF(D103=$V$89,VLOOKUP(A103,'Liste de prix Public EUROPE'!$B$1287:$S$1324,7,FALSE),IF(D103=$V$94,VLOOKUP(A103,'Liste de prix Public EUROPE'!$B$698:$S$822,7,FALSE),IF(D103=$V$90,VLOOKUP(A103,'Liste de prix Public EUROPE'!$B$1335:$S$1403,7,FALSE),IF(D103=$V$91,VLOOKUP(A103,'Liste de prix Public EUROPE'!$B$1506:$H$1565,7,FALSE),IF(D103=$V$92,VLOOKUP(A103,'Liste de prix Public EUROPE'!$B$1407:$H$1451,7,FALSE),IF(D103=$V$93,VLOOKUP(A103,'Liste de prix Public EUROPE'!$B$1455:$H$1502,7,FALSE),)))))))))*B103)</f>
        <v>0</v>
      </c>
      <c r="G103" s="405">
        <f>IF(C103=$R$27,0,IF(C103=$R$28,VLOOKUP(A103,'Liste de prix Public EUROPE'!$B$178:$S$343,10,FALSE),IF(C103=$R$29,VLOOKUP(A103,'Liste de prix Public EUROPE'!$B$178:$S$343,14,FALSE),IF(C103=$R$31,VLOOKUP(A103,'Liste de prix Public EUROPE'!$B$178:$S$343,18,FALSE),FALSE))))*B103</f>
        <v>0</v>
      </c>
      <c r="H103" s="173"/>
      <c r="I103" s="362"/>
      <c r="J103" s="944"/>
      <c r="K103" s="944"/>
      <c r="L103" s="944"/>
      <c r="T103" s="1163" t="s">
        <v>1893</v>
      </c>
      <c r="V103" s="946" t="s">
        <v>7</v>
      </c>
    </row>
    <row r="104" spans="1:22" ht="15.75" customHeight="1">
      <c r="A104" s="585"/>
      <c r="B104" s="628"/>
      <c r="C104" s="854"/>
      <c r="D104" s="417"/>
      <c r="E104" s="417"/>
      <c r="F104" s="371">
        <f>IF(C104=$R$26,VLOOKUP(A104,'Liste de prix Public EUROPE'!$B$178:$S$343,8,FALSE),
IF(C104=$R$27,VLOOKUP(A104,'Liste de prix Public EUROPE'!$B$178:$S$343,9,FALSE),
IF(C104=$R$28,VLOOKUP(A104,'Liste de prix Public EUROPE'!$B$178:$S$343,11,FALSE),
IF(C104=$R$29,VLOOKUP(A104,'Liste de prix Public EUROPE'!$B$178:$S$343,15,FALSE),
IF(C104=$R$30,VLOOKUP(A104,'Liste de prix Public EUROPE'!$B$178:$S$343,13,FALSE),
IF(C104=$R$31,VLOOKUP(A104,'Liste de prix Public EUROPE'!$B$178:$S$343,19,FALSE),
IF(C104=$R$32,VLOOKUP(A104,'Liste de prix Public EUROPE'!$B$178:$S$343,17,FALSE),
IF(C104=$R$33,VLOOKUP(A104,'Liste de prix Public EUROPE'!$B$178:$S$343,21,FALSE),
FALSE)))))))*B104*(100%-$B$5)+IF(D104=$V$86,VLOOKUP(A104,'Liste de prix Public EUROPE'!$B$378:$S$547,7,FALSE),IF(D104=$V$87,VLOOKUP(A104,'Liste de prix Public EUROPE'!$B$559:$S$692,7,FALSE),IF(D104=$V$88,VLOOKUP(A104,'Liste de prix Public EUROPE'!$B$826:$S$966,7,FALSE),IF(D104=$V$89,VLOOKUP(A104,'Liste de prix Public EUROPE'!$B$1287:$S$1324,7,FALSE),IF(D104=$V$94,VLOOKUP(A104,'Liste de prix Public EUROPE'!$B$698:$S$822,7,FALSE),IF(D104=$V$90,VLOOKUP(A104,'Liste de prix Public EUROPE'!$B$1335:$S$1403,7,FALSE),IF(D104=$V$91,VLOOKUP(A104,'Liste de prix Public EUROPE'!$B$1506:$H$1565,7,FALSE),IF(D104=$V$92,VLOOKUP(A104,'Liste de prix Public EUROPE'!$B$1407:$H$1451,7,FALSE),IF(D104=$V$93,VLOOKUP(A104,'Liste de prix Public EUROPE'!$B$1455:$H$1502,7,FALSE),)))))))))*B104)</f>
        <v>0</v>
      </c>
      <c r="G104" s="405">
        <f>IF(C104=$R$27,0,IF(C104=$R$28,VLOOKUP(A104,'Liste de prix Public EUROPE'!$B$178:$S$343,10,FALSE),IF(C104=$R$29,VLOOKUP(A104,'Liste de prix Public EUROPE'!$B$178:$S$343,14,FALSE),IF(C104=$R$31,VLOOKUP(A104,'Liste de prix Public EUROPE'!$B$178:$S$343,18,FALSE),FALSE))))*B104</f>
        <v>0</v>
      </c>
      <c r="H104" s="173"/>
      <c r="I104" s="362"/>
      <c r="J104" s="944"/>
      <c r="K104" s="944"/>
      <c r="L104" s="944"/>
      <c r="T104" s="1163" t="s">
        <v>1894</v>
      </c>
      <c r="V104" s="946" t="s">
        <v>0</v>
      </c>
    </row>
    <row r="105" spans="1:22" ht="15.75" customHeight="1">
      <c r="A105" s="585"/>
      <c r="B105" s="628"/>
      <c r="C105" s="854"/>
      <c r="D105" s="417"/>
      <c r="E105" s="417"/>
      <c r="F105" s="371">
        <f>IF(C105=$R$26,VLOOKUP(A105,'Liste de prix Public EUROPE'!$B$178:$S$343,8,FALSE),
IF(C105=$R$27,VLOOKUP(A105,'Liste de prix Public EUROPE'!$B$178:$S$343,9,FALSE),
IF(C105=$R$28,VLOOKUP(A105,'Liste de prix Public EUROPE'!$B$178:$S$343,11,FALSE),
IF(C105=$R$29,VLOOKUP(A105,'Liste de prix Public EUROPE'!$B$178:$S$343,15,FALSE),
IF(C105=$R$30,VLOOKUP(A105,'Liste de prix Public EUROPE'!$B$178:$S$343,13,FALSE),
IF(C105=$R$31,VLOOKUP(A105,'Liste de prix Public EUROPE'!$B$178:$S$343,19,FALSE),
IF(C105=$R$32,VLOOKUP(A105,'Liste de prix Public EUROPE'!$B$178:$S$343,17,FALSE),
IF(C105=$R$33,VLOOKUP(A105,'Liste de prix Public EUROPE'!$B$178:$S$343,21,FALSE),
FALSE)))))))*B105*(100%-$B$5)+IF(D105=$V$86,VLOOKUP(A105,'Liste de prix Public EUROPE'!$B$378:$S$547,7,FALSE),IF(D105=$V$87,VLOOKUP(A105,'Liste de prix Public EUROPE'!$B$559:$S$692,7,FALSE),IF(D105=$V$88,VLOOKUP(A105,'Liste de prix Public EUROPE'!$B$826:$S$966,7,FALSE),IF(D105=$V$89,VLOOKUP(A105,'Liste de prix Public EUROPE'!$B$1287:$S$1324,7,FALSE),IF(D105=$V$94,VLOOKUP(A105,'Liste de prix Public EUROPE'!$B$698:$S$822,7,FALSE),IF(D105=$V$90,VLOOKUP(A105,'Liste de prix Public EUROPE'!$B$1335:$S$1403,7,FALSE),IF(D105=$V$91,VLOOKUP(A105,'Liste de prix Public EUROPE'!$B$1506:$H$1565,7,FALSE),IF(D105=$V$92,VLOOKUP(A105,'Liste de prix Public EUROPE'!$B$1407:$H$1451,7,FALSE),IF(D105=$V$93,VLOOKUP(A105,'Liste de prix Public EUROPE'!$B$1455:$H$1502,7,FALSE),)))))))))*B105)</f>
        <v>0</v>
      </c>
      <c r="G105" s="405">
        <f>IF(C105=$R$27,0,IF(C105=$R$28,VLOOKUP(A105,'Liste de prix Public EUROPE'!$B$178:$S$343,10,FALSE),IF(C105=$R$29,VLOOKUP(A105,'Liste de prix Public EUROPE'!$B$178:$S$343,14,FALSE),IF(C105=$R$31,VLOOKUP(A105,'Liste de prix Public EUROPE'!$B$178:$S$343,18,FALSE),FALSE))))*B105</f>
        <v>0</v>
      </c>
      <c r="H105" s="173"/>
      <c r="I105" s="362"/>
      <c r="J105" s="944"/>
      <c r="K105" s="944"/>
      <c r="L105" s="944"/>
      <c r="T105" s="1163" t="s">
        <v>1895</v>
      </c>
      <c r="V105" s="946" t="s">
        <v>17</v>
      </c>
    </row>
    <row r="106" spans="1:22" ht="15.75" customHeight="1">
      <c r="A106" s="585"/>
      <c r="B106" s="628"/>
      <c r="C106" s="854"/>
      <c r="D106" s="417"/>
      <c r="E106" s="417"/>
      <c r="F106" s="371">
        <f>IF(C106=$R$26,VLOOKUP(A106,'Liste de prix Public EUROPE'!$B$178:$S$343,8,FALSE),
IF(C106=$R$27,VLOOKUP(A106,'Liste de prix Public EUROPE'!$B$178:$S$343,9,FALSE),
IF(C106=$R$28,VLOOKUP(A106,'Liste de prix Public EUROPE'!$B$178:$S$343,11,FALSE),
IF(C106=$R$29,VLOOKUP(A106,'Liste de prix Public EUROPE'!$B$178:$S$343,15,FALSE),
IF(C106=$R$30,VLOOKUP(A106,'Liste de prix Public EUROPE'!$B$178:$S$343,13,FALSE),
IF(C106=$R$31,VLOOKUP(A106,'Liste de prix Public EUROPE'!$B$178:$S$343,19,FALSE),
IF(C106=$R$32,VLOOKUP(A106,'Liste de prix Public EUROPE'!$B$178:$S$343,17,FALSE),
IF(C106=$R$33,VLOOKUP(A106,'Liste de prix Public EUROPE'!$B$178:$S$343,21,FALSE),
FALSE)))))))*B106*(100%-$B$5)+IF(D106=$V$86,VLOOKUP(A106,'Liste de prix Public EUROPE'!$B$378:$S$547,7,FALSE),IF(D106=$V$87,VLOOKUP(A106,'Liste de prix Public EUROPE'!$B$559:$S$692,7,FALSE),IF(D106=$V$88,VLOOKUP(A106,'Liste de prix Public EUROPE'!$B$826:$S$966,7,FALSE),IF(D106=$V$89,VLOOKUP(A106,'Liste de prix Public EUROPE'!$B$1287:$S$1324,7,FALSE),IF(D106=$V$94,VLOOKUP(A106,'Liste de prix Public EUROPE'!$B$698:$S$822,7,FALSE),IF(D106=$V$90,VLOOKUP(A106,'Liste de prix Public EUROPE'!$B$1335:$S$1403,7,FALSE),IF(D106=$V$91,VLOOKUP(A106,'Liste de prix Public EUROPE'!$B$1506:$H$1565,7,FALSE),IF(D106=$V$92,VLOOKUP(A106,'Liste de prix Public EUROPE'!$B$1407:$H$1451,7,FALSE),IF(D106=$V$93,VLOOKUP(A106,'Liste de prix Public EUROPE'!$B$1455:$H$1502,7,FALSE),)))))))))*B106)</f>
        <v>0</v>
      </c>
      <c r="G106" s="405">
        <f>IF(C106=$R$27,0,IF(C106=$R$28,VLOOKUP(A106,'Liste de prix Public EUROPE'!$B$178:$S$343,10,FALSE),IF(C106=$R$29,VLOOKUP(A106,'Liste de prix Public EUROPE'!$B$178:$S$343,14,FALSE),IF(C106=$R$31,VLOOKUP(A106,'Liste de prix Public EUROPE'!$B$178:$S$343,18,FALSE),FALSE))))*B106</f>
        <v>0</v>
      </c>
      <c r="H106" s="173"/>
      <c r="I106" s="362"/>
      <c r="J106" s="944"/>
      <c r="K106" s="944"/>
      <c r="L106" s="944"/>
      <c r="T106" s="1163" t="s">
        <v>1896</v>
      </c>
      <c r="V106" s="946" t="s">
        <v>104</v>
      </c>
    </row>
    <row r="107" spans="1:22" ht="15.75" customHeight="1">
      <c r="A107" s="585"/>
      <c r="B107" s="415"/>
      <c r="C107" s="854"/>
      <c r="D107" s="417"/>
      <c r="E107" s="417"/>
      <c r="F107" s="371">
        <f>IF(C107=$R$26,VLOOKUP(A107,'Liste de prix Public EUROPE'!$B$178:$S$343,8,FALSE),
IF(C107=$R$27,VLOOKUP(A107,'Liste de prix Public EUROPE'!$B$178:$S$343,9,FALSE),
IF(C107=$R$28,VLOOKUP(A107,'Liste de prix Public EUROPE'!$B$178:$S$343,11,FALSE),
IF(C107=$R$29,VLOOKUP(A107,'Liste de prix Public EUROPE'!$B$178:$S$343,15,FALSE),
IF(C107=$R$30,VLOOKUP(A107,'Liste de prix Public EUROPE'!$B$178:$S$343,13,FALSE),
IF(C107=$R$31,VLOOKUP(A107,'Liste de prix Public EUROPE'!$B$178:$S$343,19,FALSE),
IF(C107=$R$32,VLOOKUP(A107,'Liste de prix Public EUROPE'!$B$178:$S$343,17,FALSE),
IF(C107=$R$33,VLOOKUP(A107,'Liste de prix Public EUROPE'!$B$178:$S$343,21,FALSE),
FALSE)))))))*B107*(100%-$B$5)+IF(D107=$V$86,VLOOKUP(A107,'Liste de prix Public EUROPE'!$B$378:$S$547,7,FALSE),IF(D107=$V$87,VLOOKUP(A107,'Liste de prix Public EUROPE'!$B$559:$S$692,7,FALSE),IF(D107=$V$88,VLOOKUP(A107,'Liste de prix Public EUROPE'!$B$826:$S$966,7,FALSE),IF(D107=$V$89,VLOOKUP(A107,'Liste de prix Public EUROPE'!$B$1287:$S$1324,7,FALSE),IF(D107=$V$94,VLOOKUP(A107,'Liste de prix Public EUROPE'!$B$698:$S$822,7,FALSE),IF(D107=$V$90,VLOOKUP(A107,'Liste de prix Public EUROPE'!$B$1335:$S$1403,7,FALSE),IF(D107=$V$91,VLOOKUP(A107,'Liste de prix Public EUROPE'!$B$1506:$H$1565,7,FALSE),IF(D107=$V$92,VLOOKUP(A107,'Liste de prix Public EUROPE'!$B$1407:$H$1451,7,FALSE),IF(D107=$V$93,VLOOKUP(A107,'Liste de prix Public EUROPE'!$B$1455:$H$1502,7,FALSE),)))))))))*B107)</f>
        <v>0</v>
      </c>
      <c r="G107" s="405">
        <f>IF(C107=$R$27,0,IF(C107=$R$28,VLOOKUP(A107,'Liste de prix Public EUROPE'!$B$178:$S$343,10,FALSE),IF(C107=$R$29,VLOOKUP(A107,'Liste de prix Public EUROPE'!$B$178:$S$343,14,FALSE),IF(C107=$R$31,VLOOKUP(A107,'Liste de prix Public EUROPE'!$B$178:$S$343,18,FALSE),FALSE))))*B107</f>
        <v>0</v>
      </c>
      <c r="H107" s="173"/>
      <c r="I107" s="362"/>
      <c r="J107" s="944"/>
      <c r="K107" s="944"/>
      <c r="L107" s="944"/>
      <c r="T107" s="1163" t="s">
        <v>1897</v>
      </c>
      <c r="V107" s="946" t="s">
        <v>273</v>
      </c>
    </row>
    <row r="108" spans="1:22" ht="15.75" customHeight="1">
      <c r="A108" s="585"/>
      <c r="B108" s="415"/>
      <c r="C108" s="854"/>
      <c r="D108" s="417"/>
      <c r="E108" s="417"/>
      <c r="F108" s="371">
        <f>IF(C108=$R$26,VLOOKUP(A108,'Liste de prix Public EUROPE'!$B$178:$S$343,8,FALSE),
IF(C108=$R$27,VLOOKUP(A108,'Liste de prix Public EUROPE'!$B$178:$S$343,9,FALSE),
IF(C108=$R$28,VLOOKUP(A108,'Liste de prix Public EUROPE'!$B$178:$S$343,11,FALSE),
IF(C108=$R$29,VLOOKUP(A108,'Liste de prix Public EUROPE'!$B$178:$S$343,15,FALSE),
IF(C108=$R$30,VLOOKUP(A108,'Liste de prix Public EUROPE'!$B$178:$S$343,13,FALSE),
IF(C108=$R$31,VLOOKUP(A108,'Liste de prix Public EUROPE'!$B$178:$S$343,19,FALSE),
IF(C108=$R$32,VLOOKUP(A108,'Liste de prix Public EUROPE'!$B$178:$S$343,17,FALSE),
IF(C108=$R$33,VLOOKUP(A108,'Liste de prix Public EUROPE'!$B$178:$S$343,21,FALSE),
FALSE)))))))*B108*(100%-$B$5)+IF(D108=$V$86,VLOOKUP(A108,'Liste de prix Public EUROPE'!$B$378:$S$547,7,FALSE),IF(D108=$V$87,VLOOKUP(A108,'Liste de prix Public EUROPE'!$B$559:$S$692,7,FALSE),IF(D108=$V$88,VLOOKUP(A108,'Liste de prix Public EUROPE'!$B$826:$S$966,7,FALSE),IF(D108=$V$89,VLOOKUP(A108,'Liste de prix Public EUROPE'!$B$1287:$S$1324,7,FALSE),IF(D108=$V$94,VLOOKUP(A108,'Liste de prix Public EUROPE'!$B$698:$S$822,7,FALSE),IF(D108=$V$90,VLOOKUP(A108,'Liste de prix Public EUROPE'!$B$1335:$S$1403,7,FALSE),IF(D108=$V$91,VLOOKUP(A108,'Liste de prix Public EUROPE'!$B$1506:$H$1565,7,FALSE),IF(D108=$V$92,VLOOKUP(A108,'Liste de prix Public EUROPE'!$B$1407:$H$1451,7,FALSE),IF(D108=$V$93,VLOOKUP(A108,'Liste de prix Public EUROPE'!$B$1455:$H$1502,7,FALSE),)))))))))*B108)</f>
        <v>0</v>
      </c>
      <c r="G108" s="405">
        <f>IF(C108=$R$27,0,IF(C108=$R$28,VLOOKUP(A108,'Liste de prix Public EUROPE'!$B$178:$S$343,10,FALSE),IF(C108=$R$29,VLOOKUP(A108,'Liste de prix Public EUROPE'!$B$178:$S$343,14,FALSE),IF(C108=$R$31,VLOOKUP(A108,'Liste de prix Public EUROPE'!$B$178:$S$343,18,FALSE),FALSE))))*B108</f>
        <v>0</v>
      </c>
      <c r="H108" s="173"/>
      <c r="I108" s="362"/>
      <c r="J108" s="944"/>
      <c r="K108" s="944"/>
      <c r="L108" s="944"/>
      <c r="T108" s="1163" t="s">
        <v>1898</v>
      </c>
    </row>
    <row r="109" spans="1:22" ht="15.75" customHeight="1">
      <c r="A109" s="585"/>
      <c r="B109" s="415"/>
      <c r="C109" s="854"/>
      <c r="D109" s="417"/>
      <c r="E109" s="417"/>
      <c r="F109" s="371">
        <f>IF(C109=$R$26,VLOOKUP(A109,'Liste de prix Public EUROPE'!$B$178:$S$343,8,FALSE),
IF(C109=$R$27,VLOOKUP(A109,'Liste de prix Public EUROPE'!$B$178:$S$343,9,FALSE),
IF(C109=$R$28,VLOOKUP(A109,'Liste de prix Public EUROPE'!$B$178:$S$343,11,FALSE),
IF(C109=$R$29,VLOOKUP(A109,'Liste de prix Public EUROPE'!$B$178:$S$343,15,FALSE),
IF(C109=$R$30,VLOOKUP(A109,'Liste de prix Public EUROPE'!$B$178:$S$343,13,FALSE),
IF(C109=$R$31,VLOOKUP(A109,'Liste de prix Public EUROPE'!$B$178:$S$343,19,FALSE),
IF(C109=$R$32,VLOOKUP(A109,'Liste de prix Public EUROPE'!$B$178:$S$343,17,FALSE),
IF(C109=$R$33,VLOOKUP(A109,'Liste de prix Public EUROPE'!$B$178:$S$343,21,FALSE),
FALSE)))))))*B109*(100%-$B$5)+IF(D109=$V$86,VLOOKUP(A109,'Liste de prix Public EUROPE'!$B$378:$S$547,7,FALSE),IF(D109=$V$87,VLOOKUP(A109,'Liste de prix Public EUROPE'!$B$559:$S$692,7,FALSE),IF(D109=$V$88,VLOOKUP(A109,'Liste de prix Public EUROPE'!$B$826:$S$966,7,FALSE),IF(D109=$V$89,VLOOKUP(A109,'Liste de prix Public EUROPE'!$B$1287:$S$1324,7,FALSE),IF(D109=$V$94,VLOOKUP(A109,'Liste de prix Public EUROPE'!$B$698:$S$822,7,FALSE),IF(D109=$V$90,VLOOKUP(A109,'Liste de prix Public EUROPE'!$B$1335:$S$1403,7,FALSE),IF(D109=$V$91,VLOOKUP(A109,'Liste de prix Public EUROPE'!$B$1506:$H$1565,7,FALSE),IF(D109=$V$92,VLOOKUP(A109,'Liste de prix Public EUROPE'!$B$1407:$H$1451,7,FALSE),IF(D109=$V$93,VLOOKUP(A109,'Liste de prix Public EUROPE'!$B$1455:$H$1502,7,FALSE),)))))))))*B109)</f>
        <v>0</v>
      </c>
      <c r="G109" s="405">
        <f>IF(C109=$R$27,0,IF(C109=$R$28,VLOOKUP(A109,'Liste de prix Public EUROPE'!$B$178:$S$343,10,FALSE),IF(C109=$R$29,VLOOKUP(A109,'Liste de prix Public EUROPE'!$B$178:$S$343,14,FALSE),IF(C109=$R$31,VLOOKUP(A109,'Liste de prix Public EUROPE'!$B$178:$S$343,18,FALSE),FALSE))))*B109</f>
        <v>0</v>
      </c>
      <c r="H109" s="173"/>
      <c r="I109" s="362"/>
      <c r="J109" s="944"/>
      <c r="K109" s="944"/>
      <c r="L109" s="944"/>
      <c r="T109" s="1163" t="s">
        <v>1899</v>
      </c>
    </row>
    <row r="110" spans="1:22" ht="15.75" customHeight="1">
      <c r="A110" s="585"/>
      <c r="B110" s="415"/>
      <c r="C110" s="854"/>
      <c r="D110" s="417"/>
      <c r="E110" s="417"/>
      <c r="F110" s="371">
        <f>IF(C110=$R$26,VLOOKUP(A110,'Liste de prix Public EUROPE'!$B$178:$S$343,8,FALSE),
IF(C110=$R$27,VLOOKUP(A110,'Liste de prix Public EUROPE'!$B$178:$S$343,9,FALSE),
IF(C110=$R$28,VLOOKUP(A110,'Liste de prix Public EUROPE'!$B$178:$S$343,11,FALSE),
IF(C110=$R$29,VLOOKUP(A110,'Liste de prix Public EUROPE'!$B$178:$S$343,15,FALSE),
IF(C110=$R$30,VLOOKUP(A110,'Liste de prix Public EUROPE'!$B$178:$S$343,13,FALSE),
IF(C110=$R$31,VLOOKUP(A110,'Liste de prix Public EUROPE'!$B$178:$S$343,19,FALSE),
IF(C110=$R$32,VLOOKUP(A110,'Liste de prix Public EUROPE'!$B$178:$S$343,17,FALSE),
IF(C110=$R$33,VLOOKUP(A110,'Liste de prix Public EUROPE'!$B$178:$S$343,21,FALSE),
FALSE)))))))*B110*(100%-$B$5)+IF(D110=$V$86,VLOOKUP(A110,'Liste de prix Public EUROPE'!$B$378:$S$547,7,FALSE),IF(D110=$V$87,VLOOKUP(A110,'Liste de prix Public EUROPE'!$B$559:$S$692,7,FALSE),IF(D110=$V$88,VLOOKUP(A110,'Liste de prix Public EUROPE'!$B$826:$S$966,7,FALSE),IF(D110=$V$89,VLOOKUP(A110,'Liste de prix Public EUROPE'!$B$1287:$S$1324,7,FALSE),IF(D110=$V$94,VLOOKUP(A110,'Liste de prix Public EUROPE'!$B$698:$S$822,7,FALSE),IF(D110=$V$90,VLOOKUP(A110,'Liste de prix Public EUROPE'!$B$1335:$S$1403,7,FALSE),IF(D110=$V$91,VLOOKUP(A110,'Liste de prix Public EUROPE'!$B$1506:$H$1565,7,FALSE),IF(D110=$V$92,VLOOKUP(A110,'Liste de prix Public EUROPE'!$B$1407:$H$1451,7,FALSE),IF(D110=$V$93,VLOOKUP(A110,'Liste de prix Public EUROPE'!$B$1455:$H$1502,7,FALSE),)))))))))*B110)</f>
        <v>0</v>
      </c>
      <c r="G110" s="405">
        <f>IF(C110=$R$27,0,IF(C110=$R$28,VLOOKUP(A110,'Liste de prix Public EUROPE'!$B$178:$S$343,10,FALSE),IF(C110=$R$29,VLOOKUP(A110,'Liste de prix Public EUROPE'!$B$178:$S$343,14,FALSE),IF(C110=$R$31,VLOOKUP(A110,'Liste de prix Public EUROPE'!$B$178:$S$343,18,FALSE),FALSE))))*B110</f>
        <v>0</v>
      </c>
      <c r="H110" s="173"/>
      <c r="I110" s="362"/>
      <c r="J110" s="944"/>
      <c r="K110" s="944"/>
      <c r="L110" s="944"/>
      <c r="T110" s="1163" t="s">
        <v>1900</v>
      </c>
    </row>
    <row r="111" spans="1:22" ht="15.75" customHeight="1">
      <c r="A111" s="585"/>
      <c r="B111" s="415"/>
      <c r="C111" s="854"/>
      <c r="D111" s="417"/>
      <c r="E111" s="417"/>
      <c r="F111" s="371">
        <f>IF(C111=$R$26,VLOOKUP(A111,'Liste de prix Public EUROPE'!$B$178:$S$343,8,FALSE),
IF(C111=$R$27,VLOOKUP(A111,'Liste de prix Public EUROPE'!$B$178:$S$343,9,FALSE),
IF(C111=$R$28,VLOOKUP(A111,'Liste de prix Public EUROPE'!$B$178:$S$343,11,FALSE),
IF(C111=$R$29,VLOOKUP(A111,'Liste de prix Public EUROPE'!$B$178:$S$343,15,FALSE),
IF(C111=$R$30,VLOOKUP(A111,'Liste de prix Public EUROPE'!$B$178:$S$343,13,FALSE),
IF(C111=$R$31,VLOOKUP(A111,'Liste de prix Public EUROPE'!$B$178:$S$343,19,FALSE),
IF(C111=$R$32,VLOOKUP(A111,'Liste de prix Public EUROPE'!$B$178:$S$343,17,FALSE),
IF(C111=$R$33,VLOOKUP(A111,'Liste de prix Public EUROPE'!$B$178:$S$343,21,FALSE),
FALSE)))))))*B111*(100%-$B$5)+IF(D111=$V$86,VLOOKUP(A111,'Liste de prix Public EUROPE'!$B$378:$S$547,7,FALSE),IF(D111=$V$87,VLOOKUP(A111,'Liste de prix Public EUROPE'!$B$559:$S$692,7,FALSE),IF(D111=$V$88,VLOOKUP(A111,'Liste de prix Public EUROPE'!$B$826:$S$966,7,FALSE),IF(D111=$V$89,VLOOKUP(A111,'Liste de prix Public EUROPE'!$B$1287:$S$1324,7,FALSE),IF(D111=$V$94,VLOOKUP(A111,'Liste de prix Public EUROPE'!$B$698:$S$822,7,FALSE),IF(D111=$V$90,VLOOKUP(A111,'Liste de prix Public EUROPE'!$B$1335:$S$1403,7,FALSE),IF(D111=$V$91,VLOOKUP(A111,'Liste de prix Public EUROPE'!$B$1506:$H$1565,7,FALSE),IF(D111=$V$92,VLOOKUP(A111,'Liste de prix Public EUROPE'!$B$1407:$H$1451,7,FALSE),IF(D111=$V$93,VLOOKUP(A111,'Liste de prix Public EUROPE'!$B$1455:$H$1502,7,FALSE),)))))))))*B111)</f>
        <v>0</v>
      </c>
      <c r="G111" s="405">
        <f>IF(C111=$R$27,0,IF(C111=$R$28,VLOOKUP(A111,'Liste de prix Public EUROPE'!$B$178:$S$343,10,FALSE),IF(C111=$R$29,VLOOKUP(A111,'Liste de prix Public EUROPE'!$B$178:$S$343,14,FALSE),IF(C111=$R$31,VLOOKUP(A111,'Liste de prix Public EUROPE'!$B$178:$S$343,18,FALSE),FALSE))))*B111</f>
        <v>0</v>
      </c>
      <c r="H111" s="173"/>
      <c r="I111" s="362"/>
      <c r="J111" s="944"/>
      <c r="K111" s="944"/>
      <c r="L111" s="944"/>
      <c r="T111" s="1385" t="s">
        <v>1901</v>
      </c>
    </row>
    <row r="112" spans="1:22" ht="15.75" customHeight="1">
      <c r="A112" s="585"/>
      <c r="B112" s="415"/>
      <c r="C112" s="854"/>
      <c r="D112" s="417"/>
      <c r="E112" s="417"/>
      <c r="F112" s="371">
        <f>IF(C112=$R$26,VLOOKUP(A112,'Liste de prix Public EUROPE'!$B$178:$S$343,8,FALSE),
IF(C112=$R$27,VLOOKUP(A112,'Liste de prix Public EUROPE'!$B$178:$S$343,9,FALSE),
IF(C112=$R$28,VLOOKUP(A112,'Liste de prix Public EUROPE'!$B$178:$S$343,11,FALSE),
IF(C112=$R$29,VLOOKUP(A112,'Liste de prix Public EUROPE'!$B$178:$S$343,15,FALSE),
IF(C112=$R$30,VLOOKUP(A112,'Liste de prix Public EUROPE'!$B$178:$S$343,13,FALSE),
IF(C112=$R$31,VLOOKUP(A112,'Liste de prix Public EUROPE'!$B$178:$S$343,19,FALSE),
IF(C112=$R$32,VLOOKUP(A112,'Liste de prix Public EUROPE'!$B$178:$S$343,17,FALSE),
IF(C112=$R$33,VLOOKUP(A112,'Liste de prix Public EUROPE'!$B$178:$S$343,21,FALSE),
FALSE)))))))*B112*(100%-$B$5)+IF(D112=$V$86,VLOOKUP(A112,'Liste de prix Public EUROPE'!$B$378:$S$547,7,FALSE),IF(D112=$V$87,VLOOKUP(A112,'Liste de prix Public EUROPE'!$B$559:$S$692,7,FALSE),IF(D112=$V$88,VLOOKUP(A112,'Liste de prix Public EUROPE'!$B$826:$S$966,7,FALSE),IF(D112=$V$89,VLOOKUP(A112,'Liste de prix Public EUROPE'!$B$1287:$S$1324,7,FALSE),IF(D112=$V$94,VLOOKUP(A112,'Liste de prix Public EUROPE'!$B$698:$S$822,7,FALSE),IF(D112=$V$90,VLOOKUP(A112,'Liste de prix Public EUROPE'!$B$1335:$S$1403,7,FALSE),IF(D112=$V$91,VLOOKUP(A112,'Liste de prix Public EUROPE'!$B$1506:$H$1565,7,FALSE),IF(D112=$V$92,VLOOKUP(A112,'Liste de prix Public EUROPE'!$B$1407:$H$1451,7,FALSE),IF(D112=$V$93,VLOOKUP(A112,'Liste de prix Public EUROPE'!$B$1455:$H$1502,7,FALSE),)))))))))*B112)</f>
        <v>0</v>
      </c>
      <c r="G112" s="405">
        <f>IF(C112=$R$27,0,IF(C112=$R$28,VLOOKUP(A112,'Liste de prix Public EUROPE'!$B$178:$S$343,10,FALSE),IF(C112=$R$29,VLOOKUP(A112,'Liste de prix Public EUROPE'!$B$178:$S$343,14,FALSE),IF(C112=$R$31,VLOOKUP(A112,'Liste de prix Public EUROPE'!$B$178:$S$343,18,FALSE),FALSE))))*B112</f>
        <v>0</v>
      </c>
      <c r="H112" s="173"/>
      <c r="I112" s="362"/>
      <c r="J112" s="944"/>
      <c r="K112" s="944"/>
      <c r="L112" s="944"/>
      <c r="T112" s="1381" t="s">
        <v>1902</v>
      </c>
    </row>
    <row r="113" spans="1:28" ht="15.75" customHeight="1">
      <c r="A113" s="585"/>
      <c r="B113" s="628"/>
      <c r="C113" s="854"/>
      <c r="D113" s="417"/>
      <c r="E113" s="591"/>
      <c r="F113" s="371">
        <f>IF(C113=$R$26,VLOOKUP(A113,'Liste de prix Public EUROPE'!$B$178:$S$343,8,FALSE),
IF(C113=$R$27,VLOOKUP(A113,'Liste de prix Public EUROPE'!$B$178:$S$343,9,FALSE),
IF(C113=$R$28,VLOOKUP(A113,'Liste de prix Public EUROPE'!$B$178:$S$343,11,FALSE),
IF(C113=$R$29,VLOOKUP(A113,'Liste de prix Public EUROPE'!$B$178:$S$343,15,FALSE),
IF(C113=$R$30,VLOOKUP(A113,'Liste de prix Public EUROPE'!$B$178:$S$343,13,FALSE),
IF(C113=$R$31,VLOOKUP(A113,'Liste de prix Public EUROPE'!$B$178:$S$343,19,FALSE),
IF(C113=$R$32,VLOOKUP(A113,'Liste de prix Public EUROPE'!$B$178:$S$343,17,FALSE),
IF(C113=$R$33,VLOOKUP(A113,'Liste de prix Public EUROPE'!$B$178:$S$343,21,FALSE),
FALSE)))))))*B113*(100%-$B$5)+IF(D113=$V$86,VLOOKUP(A113,'Liste de prix Public EUROPE'!$B$378:$S$547,7,FALSE),IF(D113=$V$87,VLOOKUP(A113,'Liste de prix Public EUROPE'!$B$559:$S$692,7,FALSE),IF(D113=$V$88,VLOOKUP(A113,'Liste de prix Public EUROPE'!$B$826:$S$966,7,FALSE),IF(D113=$V$89,VLOOKUP(A113,'Liste de prix Public EUROPE'!$B$1287:$S$1324,7,FALSE),IF(D113=$V$94,VLOOKUP(A113,'Liste de prix Public EUROPE'!$B$698:$S$822,7,FALSE),IF(D113=$V$90,VLOOKUP(A113,'Liste de prix Public EUROPE'!$B$1335:$S$1403,7,FALSE),IF(D113=$V$91,VLOOKUP(A113,'Liste de prix Public EUROPE'!$B$1506:$H$1565,7,FALSE),IF(D113=$V$92,VLOOKUP(A113,'Liste de prix Public EUROPE'!$B$1407:$H$1451,7,FALSE),IF(D113=$V$93,VLOOKUP(A113,'Liste de prix Public EUROPE'!$B$1455:$H$1502,7,FALSE),)))))))))*B113)</f>
        <v>0</v>
      </c>
      <c r="G113" s="405">
        <f>IF(C113=$R$27,0,IF(C113=$R$28,VLOOKUP(A113,'Liste de prix Public EUROPE'!$B$178:$S$343,10,FALSE),IF(C113=$R$29,VLOOKUP(A113,'Liste de prix Public EUROPE'!$B$178:$S$343,14,FALSE),IF(C113=$R$31,VLOOKUP(A113,'Liste de prix Public EUROPE'!$B$178:$S$343,18,FALSE),FALSE))))*B113</f>
        <v>0</v>
      </c>
      <c r="H113" s="173"/>
      <c r="I113" s="362"/>
      <c r="J113" s="944"/>
      <c r="K113" s="944"/>
      <c r="L113" s="944"/>
      <c r="T113" s="1381" t="s">
        <v>1903</v>
      </c>
    </row>
    <row r="114" spans="1:28" ht="15.75" customHeight="1">
      <c r="A114" s="585"/>
      <c r="B114" s="415"/>
      <c r="C114" s="854"/>
      <c r="D114" s="417"/>
      <c r="E114" s="417"/>
      <c r="F114" s="371">
        <f>IF(C114=$R$26,VLOOKUP(A114,'Liste de prix Public EUROPE'!$B$178:$S$343,8,FALSE),
IF(C114=$R$27,VLOOKUP(A114,'Liste de prix Public EUROPE'!$B$178:$S$343,9,FALSE),
IF(C114=$R$28,VLOOKUP(A114,'Liste de prix Public EUROPE'!$B$178:$S$343,11,FALSE),
IF(C114=$R$29,VLOOKUP(A114,'Liste de prix Public EUROPE'!$B$178:$S$343,15,FALSE),
IF(C114=$R$30,VLOOKUP(A114,'Liste de prix Public EUROPE'!$B$178:$S$343,13,FALSE),
IF(C114=$R$31,VLOOKUP(A114,'Liste de prix Public EUROPE'!$B$178:$S$343,19,FALSE),
IF(C114=$R$32,VLOOKUP(A114,'Liste de prix Public EUROPE'!$B$178:$S$343,17,FALSE),
IF(C114=$R$33,VLOOKUP(A114,'Liste de prix Public EUROPE'!$B$178:$S$343,21,FALSE),
FALSE)))))))*B114*(100%-$B$5)+IF(D114=$V$86,VLOOKUP(A114,'Liste de prix Public EUROPE'!$B$378:$S$547,7,FALSE),IF(D114=$V$87,VLOOKUP(A114,'Liste de prix Public EUROPE'!$B$559:$S$692,7,FALSE),IF(D114=$V$88,VLOOKUP(A114,'Liste de prix Public EUROPE'!$B$826:$S$966,7,FALSE),IF(D114=$V$89,VLOOKUP(A114,'Liste de prix Public EUROPE'!$B$1287:$S$1324,7,FALSE),IF(D114=$V$94,VLOOKUP(A114,'Liste de prix Public EUROPE'!$B$698:$S$822,7,FALSE),IF(D114=$V$90,VLOOKUP(A114,'Liste de prix Public EUROPE'!$B$1335:$S$1403,7,FALSE),IF(D114=$V$91,VLOOKUP(A114,'Liste de prix Public EUROPE'!$B$1506:$H$1565,7,FALSE),IF(D114=$V$92,VLOOKUP(A114,'Liste de prix Public EUROPE'!$B$1407:$H$1451,7,FALSE),IF(D114=$V$93,VLOOKUP(A114,'Liste de prix Public EUROPE'!$B$1455:$H$1502,7,FALSE),)))))))))*B114)</f>
        <v>0</v>
      </c>
      <c r="G114" s="405">
        <f>IF(C114=$R$27,0,IF(C114=$R$28,VLOOKUP(A114,'Liste de prix Public EUROPE'!$B$178:$S$343,10,FALSE),IF(C114=$R$29,VLOOKUP(A114,'Liste de prix Public EUROPE'!$B$178:$S$343,14,FALSE),IF(C114=$R$31,VLOOKUP(A114,'Liste de prix Public EUROPE'!$B$178:$S$343,18,FALSE),FALSE))))*B114</f>
        <v>0</v>
      </c>
      <c r="H114" s="173"/>
      <c r="I114" s="362"/>
      <c r="J114" s="944"/>
      <c r="K114" s="944"/>
      <c r="L114" s="944"/>
      <c r="T114" s="1381" t="s">
        <v>1904</v>
      </c>
    </row>
    <row r="115" spans="1:28" ht="15.75" customHeight="1">
      <c r="A115" s="585"/>
      <c r="B115" s="628"/>
      <c r="C115" s="854"/>
      <c r="D115" s="417"/>
      <c r="E115" s="591"/>
      <c r="F115" s="371">
        <f>IF(C115=$R$26,VLOOKUP(A115,'Liste de prix Public EUROPE'!$B$178:$S$343,8,FALSE),
IF(C115=$R$27,VLOOKUP(A115,'Liste de prix Public EUROPE'!$B$178:$S$343,9,FALSE),
IF(C115=$R$28,VLOOKUP(A115,'Liste de prix Public EUROPE'!$B$178:$S$343,11,FALSE),
IF(C115=$R$29,VLOOKUP(A115,'Liste de prix Public EUROPE'!$B$178:$S$343,15,FALSE),
IF(C115=$R$30,VLOOKUP(A115,'Liste de prix Public EUROPE'!$B$178:$S$343,13,FALSE),
IF(C115=$R$31,VLOOKUP(A115,'Liste de prix Public EUROPE'!$B$178:$S$343,19,FALSE),
IF(C115=$R$32,VLOOKUP(A115,'Liste de prix Public EUROPE'!$B$178:$S$343,17,FALSE),
IF(C115=$R$33,VLOOKUP(A115,'Liste de prix Public EUROPE'!$B$178:$S$343,21,FALSE),
FALSE)))))))*B115*(100%-$B$5)+IF(D115=$V$86,VLOOKUP(A115,'Liste de prix Public EUROPE'!$B$378:$S$547,7,FALSE),IF(D115=$V$87,VLOOKUP(A115,'Liste de prix Public EUROPE'!$B$559:$S$692,7,FALSE),IF(D115=$V$88,VLOOKUP(A115,'Liste de prix Public EUROPE'!$B$826:$S$966,7,FALSE),IF(D115=$V$89,VLOOKUP(A115,'Liste de prix Public EUROPE'!$B$1287:$S$1324,7,FALSE),IF(D115=$V$94,VLOOKUP(A115,'Liste de prix Public EUROPE'!$B$698:$S$822,7,FALSE),IF(D115=$V$90,VLOOKUP(A115,'Liste de prix Public EUROPE'!$B$1335:$S$1403,7,FALSE),IF(D115=$V$91,VLOOKUP(A115,'Liste de prix Public EUROPE'!$B$1506:$H$1565,7,FALSE),IF(D115=$V$92,VLOOKUP(A115,'Liste de prix Public EUROPE'!$B$1407:$H$1451,7,FALSE),IF(D115=$V$93,VLOOKUP(A115,'Liste de prix Public EUROPE'!$B$1455:$H$1502,7,FALSE),)))))))))*B115)</f>
        <v>0</v>
      </c>
      <c r="G115" s="405">
        <f>IF(C115=$R$27,0,IF(C115=$R$28,VLOOKUP(A115,'Liste de prix Public EUROPE'!$B$178:$S$343,10,FALSE),IF(C115=$R$29,VLOOKUP(A115,'Liste de prix Public EUROPE'!$B$178:$S$343,14,FALSE),IF(C115=$R$31,VLOOKUP(A115,'Liste de prix Public EUROPE'!$B$178:$S$343,18,FALSE),FALSE))))*B115</f>
        <v>0</v>
      </c>
      <c r="H115" s="173"/>
      <c r="I115" s="362"/>
      <c r="J115" s="944"/>
      <c r="K115" s="944"/>
      <c r="L115" s="944"/>
      <c r="T115" s="1381" t="s">
        <v>1905</v>
      </c>
    </row>
    <row r="116" spans="1:28" ht="15.75" customHeight="1">
      <c r="A116" s="585"/>
      <c r="B116" s="415"/>
      <c r="C116" s="854"/>
      <c r="D116" s="417"/>
      <c r="E116" s="417"/>
      <c r="F116" s="371">
        <f>IF(C116=$R$26,VLOOKUP(A116,'Liste de prix Public EUROPE'!$B$178:$S$343,8,FALSE),
IF(C116=$R$27,VLOOKUP(A116,'Liste de prix Public EUROPE'!$B$178:$S$343,9,FALSE),
IF(C116=$R$28,VLOOKUP(A116,'Liste de prix Public EUROPE'!$B$178:$S$343,11,FALSE),
IF(C116=$R$29,VLOOKUP(A116,'Liste de prix Public EUROPE'!$B$178:$S$343,15,FALSE),
IF(C116=$R$30,VLOOKUP(A116,'Liste de prix Public EUROPE'!$B$178:$S$343,13,FALSE),
IF(C116=$R$31,VLOOKUP(A116,'Liste de prix Public EUROPE'!$B$178:$S$343,19,FALSE),
IF(C116=$R$32,VLOOKUP(A116,'Liste de prix Public EUROPE'!$B$178:$S$343,17,FALSE),
IF(C116=$R$33,VLOOKUP(A116,'Liste de prix Public EUROPE'!$B$178:$S$343,21,FALSE),
FALSE)))))))*B116*(100%-$B$5)+IF(D116=$V$86,VLOOKUP(A116,'Liste de prix Public EUROPE'!$B$378:$S$547,7,FALSE),IF(D116=$V$87,VLOOKUP(A116,'Liste de prix Public EUROPE'!$B$559:$S$692,7,FALSE),IF(D116=$V$88,VLOOKUP(A116,'Liste de prix Public EUROPE'!$B$826:$S$966,7,FALSE),IF(D116=$V$89,VLOOKUP(A116,'Liste de prix Public EUROPE'!$B$1287:$S$1324,7,FALSE),IF(D116=$V$94,VLOOKUP(A116,'Liste de prix Public EUROPE'!$B$698:$S$822,7,FALSE),IF(D116=$V$90,VLOOKUP(A116,'Liste de prix Public EUROPE'!$B$1335:$S$1403,7,FALSE),IF(D116=$V$91,VLOOKUP(A116,'Liste de prix Public EUROPE'!$B$1506:$H$1565,7,FALSE),IF(D116=$V$92,VLOOKUP(A116,'Liste de prix Public EUROPE'!$B$1407:$H$1451,7,FALSE),IF(D116=$V$93,VLOOKUP(A116,'Liste de prix Public EUROPE'!$B$1455:$H$1502,7,FALSE),)))))))))*B116)</f>
        <v>0</v>
      </c>
      <c r="G116" s="405">
        <f>IF(C116=$R$27,0,IF(C116=$R$28,VLOOKUP(A116,'Liste de prix Public EUROPE'!$B$178:$S$343,10,FALSE),IF(C116=$R$29,VLOOKUP(A116,'Liste de prix Public EUROPE'!$B$178:$S$343,14,FALSE),IF(C116=$R$31,VLOOKUP(A116,'Liste de prix Public EUROPE'!$B$178:$S$343,18,FALSE),FALSE))))*B116</f>
        <v>0</v>
      </c>
      <c r="H116" s="173"/>
      <c r="I116" s="362"/>
      <c r="J116" s="944"/>
      <c r="K116" s="944"/>
      <c r="L116" s="944"/>
      <c r="T116" s="1381" t="s">
        <v>1906</v>
      </c>
    </row>
    <row r="117" spans="1:28" ht="15.75" customHeight="1">
      <c r="A117" s="585"/>
      <c r="B117" s="415"/>
      <c r="C117" s="854"/>
      <c r="D117" s="417"/>
      <c r="E117" s="417"/>
      <c r="F117" s="371">
        <f>IF(C117=$R$26,VLOOKUP(A117,'Liste de prix Public EUROPE'!$B$178:$S$343,8,FALSE),
IF(C117=$R$27,VLOOKUP(A117,'Liste de prix Public EUROPE'!$B$178:$S$343,9,FALSE),
IF(C117=$R$28,VLOOKUP(A117,'Liste de prix Public EUROPE'!$B$178:$S$343,11,FALSE),
IF(C117=$R$29,VLOOKUP(A117,'Liste de prix Public EUROPE'!$B$178:$S$343,15,FALSE),
IF(C117=$R$30,VLOOKUP(A117,'Liste de prix Public EUROPE'!$B$178:$S$343,13,FALSE),
IF(C117=$R$31,VLOOKUP(A117,'Liste de prix Public EUROPE'!$B$178:$S$343,19,FALSE),
IF(C117=$R$32,VLOOKUP(A117,'Liste de prix Public EUROPE'!$B$178:$S$343,17,FALSE),
IF(C117=$R$33,VLOOKUP(A117,'Liste de prix Public EUROPE'!$B$178:$S$343,21,FALSE),
FALSE)))))))*B117*(100%-$B$5)+IF(D117=$V$86,VLOOKUP(A117,'Liste de prix Public EUROPE'!$B$378:$S$547,7,FALSE),IF(D117=$V$87,VLOOKUP(A117,'Liste de prix Public EUROPE'!$B$559:$S$692,7,FALSE),IF(D117=$V$88,VLOOKUP(A117,'Liste de prix Public EUROPE'!$B$826:$S$966,7,FALSE),IF(D117=$V$89,VLOOKUP(A117,'Liste de prix Public EUROPE'!$B$1287:$S$1324,7,FALSE),IF(D117=$V$94,VLOOKUP(A117,'Liste de prix Public EUROPE'!$B$698:$S$822,7,FALSE),IF(D117=$V$90,VLOOKUP(A117,'Liste de prix Public EUROPE'!$B$1335:$S$1403,7,FALSE),IF(D117=$V$91,VLOOKUP(A117,'Liste de prix Public EUROPE'!$B$1506:$H$1565,7,FALSE),IF(D117=$V$92,VLOOKUP(A117,'Liste de prix Public EUROPE'!$B$1407:$H$1451,7,FALSE),IF(D117=$V$93,VLOOKUP(A117,'Liste de prix Public EUROPE'!$B$1455:$H$1502,7,FALSE),)))))))))*B117)</f>
        <v>0</v>
      </c>
      <c r="G117" s="405">
        <f>IF(C117=$R$27,0,IF(C117=$R$28,VLOOKUP(A117,'Liste de prix Public EUROPE'!$B$178:$S$343,10,FALSE),IF(C117=$R$29,VLOOKUP(A117,'Liste de prix Public EUROPE'!$B$178:$S$343,14,FALSE),IF(C117=$R$31,VLOOKUP(A117,'Liste de prix Public EUROPE'!$B$178:$S$343,18,FALSE),FALSE))))*B117</f>
        <v>0</v>
      </c>
      <c r="H117" s="173"/>
      <c r="I117" s="362"/>
      <c r="J117" s="944"/>
      <c r="K117" s="944"/>
      <c r="L117" s="944"/>
      <c r="T117" s="1381" t="s">
        <v>1907</v>
      </c>
    </row>
    <row r="118" spans="1:28" ht="15.75" customHeight="1">
      <c r="A118" s="585"/>
      <c r="B118" s="415"/>
      <c r="C118" s="854"/>
      <c r="D118" s="417"/>
      <c r="E118" s="417"/>
      <c r="F118" s="371">
        <f>IF(C118=$R$26,VLOOKUP(A118,'Liste de prix Public EUROPE'!$B$178:$S$343,8,FALSE),
IF(C118=$R$27,VLOOKUP(A118,'Liste de prix Public EUROPE'!$B$178:$S$343,9,FALSE),
IF(C118=$R$28,VLOOKUP(A118,'Liste de prix Public EUROPE'!$B$178:$S$343,11,FALSE),
IF(C118=$R$29,VLOOKUP(A118,'Liste de prix Public EUROPE'!$B$178:$S$343,15,FALSE),
IF(C118=$R$30,VLOOKUP(A118,'Liste de prix Public EUROPE'!$B$178:$S$343,13,FALSE),
IF(C118=$R$31,VLOOKUP(A118,'Liste de prix Public EUROPE'!$B$178:$S$343,19,FALSE),
IF(C118=$R$32,VLOOKUP(A118,'Liste de prix Public EUROPE'!$B$178:$S$343,17,FALSE),
IF(C118=$R$33,VLOOKUP(A118,'Liste de prix Public EUROPE'!$B$178:$S$343,21,FALSE),
FALSE)))))))*B118*(100%-$B$5)+IF(D118=$V$86,VLOOKUP(A118,'Liste de prix Public EUROPE'!$B$378:$S$547,7,FALSE),IF(D118=$V$87,VLOOKUP(A118,'Liste de prix Public EUROPE'!$B$559:$S$692,7,FALSE),IF(D118=$V$88,VLOOKUP(A118,'Liste de prix Public EUROPE'!$B$826:$S$966,7,FALSE),IF(D118=$V$89,VLOOKUP(A118,'Liste de prix Public EUROPE'!$B$1287:$S$1324,7,FALSE),IF(D118=$V$94,VLOOKUP(A118,'Liste de prix Public EUROPE'!$B$698:$S$822,7,FALSE),IF(D118=$V$90,VLOOKUP(A118,'Liste de prix Public EUROPE'!$B$1335:$S$1403,7,FALSE),IF(D118=$V$91,VLOOKUP(A118,'Liste de prix Public EUROPE'!$B$1506:$H$1565,7,FALSE),IF(D118=$V$92,VLOOKUP(A118,'Liste de prix Public EUROPE'!$B$1407:$H$1451,7,FALSE),IF(D118=$V$93,VLOOKUP(A118,'Liste de prix Public EUROPE'!$B$1455:$H$1502,7,FALSE),)))))))))*B118)</f>
        <v>0</v>
      </c>
      <c r="G118" s="405">
        <f>IF(C118=$R$27,0,IF(C118=$R$28,VLOOKUP(A118,'Liste de prix Public EUROPE'!$B$178:$S$343,10,FALSE),IF(C118=$R$29,VLOOKUP(A118,'Liste de prix Public EUROPE'!$B$178:$S$343,14,FALSE),IF(C118=$R$31,VLOOKUP(A118,'Liste de prix Public EUROPE'!$B$178:$S$343,18,FALSE),FALSE))))*B118</f>
        <v>0</v>
      </c>
      <c r="H118" s="173"/>
      <c r="I118" s="362"/>
      <c r="J118" s="944"/>
      <c r="K118" s="944"/>
      <c r="L118" s="944"/>
      <c r="T118" s="1163" t="s">
        <v>1908</v>
      </c>
    </row>
    <row r="119" spans="1:28" ht="15.75" customHeight="1">
      <c r="A119" s="585"/>
      <c r="B119" s="415"/>
      <c r="C119" s="854"/>
      <c r="D119" s="417"/>
      <c r="E119" s="417"/>
      <c r="F119" s="371">
        <f>IF(C119=$R$26,VLOOKUP(A119,'Liste de prix Public EUROPE'!$B$178:$S$343,8,FALSE),
IF(C119=$R$27,VLOOKUP(A119,'Liste de prix Public EUROPE'!$B$178:$S$343,9,FALSE),
IF(C119=$R$28,VLOOKUP(A119,'Liste de prix Public EUROPE'!$B$178:$S$343,11,FALSE),
IF(C119=$R$29,VLOOKUP(A119,'Liste de prix Public EUROPE'!$B$178:$S$343,15,FALSE),
IF(C119=$R$30,VLOOKUP(A119,'Liste de prix Public EUROPE'!$B$178:$S$343,13,FALSE),
IF(C119=$R$31,VLOOKUP(A119,'Liste de prix Public EUROPE'!$B$178:$S$343,19,FALSE),
IF(C119=$R$32,VLOOKUP(A119,'Liste de prix Public EUROPE'!$B$178:$S$343,17,FALSE),
IF(C119=$R$33,VLOOKUP(A119,'Liste de prix Public EUROPE'!$B$178:$S$343,21,FALSE),
FALSE)))))))*B119*(100%-$B$5)+IF(D119=$V$86,VLOOKUP(A119,'Liste de prix Public EUROPE'!$B$378:$S$547,7,FALSE),IF(D119=$V$87,VLOOKUP(A119,'Liste de prix Public EUROPE'!$B$559:$S$692,7,FALSE),IF(D119=$V$88,VLOOKUP(A119,'Liste de prix Public EUROPE'!$B$826:$S$966,7,FALSE),IF(D119=$V$89,VLOOKUP(A119,'Liste de prix Public EUROPE'!$B$1287:$S$1324,7,FALSE),IF(D119=$V$94,VLOOKUP(A119,'Liste de prix Public EUROPE'!$B$698:$S$822,7,FALSE),IF(D119=$V$90,VLOOKUP(A119,'Liste de prix Public EUROPE'!$B$1335:$S$1403,7,FALSE),IF(D119=$V$91,VLOOKUP(A119,'Liste de prix Public EUROPE'!$B$1506:$H$1565,7,FALSE),IF(D119=$V$92,VLOOKUP(A119,'Liste de prix Public EUROPE'!$B$1407:$H$1451,7,FALSE),IF(D119=$V$93,VLOOKUP(A119,'Liste de prix Public EUROPE'!$B$1455:$H$1502,7,FALSE),)))))))))*B119)</f>
        <v>0</v>
      </c>
      <c r="G119" s="405">
        <f>IF(C119=$R$27,0,IF(C119=$R$28,VLOOKUP(A119,'Liste de prix Public EUROPE'!$B$178:$S$343,10,FALSE),IF(C119=$R$29,VLOOKUP(A119,'Liste de prix Public EUROPE'!$B$178:$S$343,14,FALSE),IF(C119=$R$31,VLOOKUP(A119,'Liste de prix Public EUROPE'!$B$178:$S$343,18,FALSE),FALSE))))*B119</f>
        <v>0</v>
      </c>
      <c r="H119" s="173"/>
      <c r="I119" s="362"/>
      <c r="J119" s="944"/>
      <c r="K119" s="944"/>
      <c r="L119" s="944"/>
      <c r="T119" s="1163" t="s">
        <v>1909</v>
      </c>
    </row>
    <row r="120" spans="1:28" ht="15.75" customHeight="1">
      <c r="A120" s="586"/>
      <c r="B120" s="373">
        <f>SUM(B102:B119)</f>
        <v>0</v>
      </c>
      <c r="C120" s="374"/>
      <c r="D120" s="375"/>
      <c r="E120" s="375"/>
      <c r="F120" s="371"/>
      <c r="G120" s="406"/>
      <c r="H120" s="173"/>
      <c r="I120" s="362"/>
      <c r="J120" s="944"/>
      <c r="K120" s="944"/>
      <c r="L120" s="944"/>
      <c r="T120" s="1163" t="s">
        <v>1910</v>
      </c>
    </row>
    <row r="121" spans="1:28" ht="15.75" customHeight="1">
      <c r="A121" s="376"/>
      <c r="B121" s="64"/>
      <c r="C121" s="64"/>
      <c r="D121" s="173"/>
      <c r="E121" s="377" t="s">
        <v>39</v>
      </c>
      <c r="F121" s="378">
        <f>SUM(F102:F120)</f>
        <v>0</v>
      </c>
      <c r="G121" s="407">
        <f>SUM(G102:G120)</f>
        <v>0</v>
      </c>
      <c r="H121" s="173"/>
      <c r="I121" s="362"/>
      <c r="J121" s="944"/>
      <c r="K121" s="944"/>
      <c r="L121" s="944"/>
      <c r="T121" s="1163" t="s">
        <v>1911</v>
      </c>
    </row>
    <row r="122" spans="1:28" ht="15.75" customHeight="1">
      <c r="A122" s="363"/>
      <c r="B122" s="173"/>
      <c r="C122" s="173"/>
      <c r="D122" s="173"/>
      <c r="E122" s="173"/>
      <c r="F122" s="173"/>
      <c r="G122" s="173"/>
      <c r="H122" s="173"/>
      <c r="I122" s="362"/>
      <c r="J122" s="944"/>
      <c r="K122" s="944"/>
      <c r="L122" s="944"/>
      <c r="T122" s="1163" t="s">
        <v>1912</v>
      </c>
    </row>
    <row r="123" spans="1:28" ht="15.75" customHeight="1">
      <c r="A123" s="940" t="s">
        <v>1009</v>
      </c>
      <c r="B123" s="941" t="s">
        <v>281</v>
      </c>
      <c r="C123" s="941" t="s">
        <v>138</v>
      </c>
      <c r="D123" s="2115" t="s">
        <v>8</v>
      </c>
      <c r="E123" s="2116"/>
      <c r="F123" s="941" t="s">
        <v>18</v>
      </c>
      <c r="G123" s="942" t="s">
        <v>143</v>
      </c>
      <c r="H123" s="173"/>
      <c r="I123" s="362"/>
      <c r="J123" s="944"/>
      <c r="K123" s="944"/>
      <c r="L123" s="944"/>
      <c r="T123" s="1163" t="s">
        <v>1913</v>
      </c>
      <c r="AB123" s="946" t="s">
        <v>351</v>
      </c>
    </row>
    <row r="124" spans="1:28" ht="15.75" customHeight="1">
      <c r="A124" s="585"/>
      <c r="B124" s="628"/>
      <c r="C124" s="854"/>
      <c r="D124" s="2082"/>
      <c r="E124" s="2083"/>
      <c r="F124" s="877">
        <f>(((IF(C124=$X$126,VLOOKUP(A124,'Liste de prix Public EUROPE'!$B$347:$S$349,11,FALSE),IF(C124=$X$127,VLOOKUP(A124,'Liste de prix Public EUROPE'!$B$347:$S$349,13,FALSE),IF(C124=$X$128,VLOOKUP(A124,'Liste de prix Public EUROPE'!$B$347:$S$349,15,FALSE),IF(C124=$X$129,VLOOKUP(A124,'Liste de prix Public EUROPE'!$B$347:$S$349,17,FALSE)))))+IF(D124='Liste de prix Public EUROPE'!$B$978,'Liste de prix Public EUROPE'!$H$978,FALSE))*B124)+IF(D124="",0,(VLOOKUP(D124,'Liste de prix Public EUROPE'!$B$978:$H$981,7,FALSE))*B124))</f>
        <v>0</v>
      </c>
      <c r="G124" s="878">
        <f>(IF(C124=$X$126,0,IF(C124=$X$129,0,IF(C124=$X$127,VLOOKUP(A124,'Liste de prix Public EUROPE'!$B$347:$S$349,12,FALSE),IF(C124='Deviseur EUROPE'!$X$128,VLOOKUP(A124,'Liste de prix Public EUROPE'!$B$347:$S$349,16,FALSE)))))*B124)</f>
        <v>0</v>
      </c>
      <c r="H124" s="173"/>
      <c r="I124" s="362"/>
      <c r="J124" s="944"/>
      <c r="K124" s="944"/>
      <c r="L124" s="944"/>
      <c r="T124" s="1163" t="s">
        <v>1914</v>
      </c>
    </row>
    <row r="125" spans="1:28" ht="15.75" customHeight="1">
      <c r="A125" s="585"/>
      <c r="B125" s="628"/>
      <c r="C125" s="854"/>
      <c r="D125" s="2082"/>
      <c r="E125" s="2083"/>
      <c r="F125" s="877">
        <f>(((IF(C125=$X$126,VLOOKUP(A125,'Liste de prix Public EUROPE'!$B$347:$S$349,11,FALSE),IF(C125=$X$127,VLOOKUP(A125,'Liste de prix Public EUROPE'!$B$347:$S$349,13,FALSE),IF(C125=$X$128,VLOOKUP(A125,'Liste de prix Public EUROPE'!$B$347:$S$349,15,FALSE),IF(C125=$X$129,VLOOKUP(A125,'Liste de prix Public EUROPE'!$B$347:$S$349,17,FALSE)))))+IF(D125='Liste de prix Public EUROPE'!$B$978,'Liste de prix Public EUROPE'!$H$978,FALSE))*B125)+IF(D125="",0,(VLOOKUP(D125,'Liste de prix Public EUROPE'!$B$978:$H$981,7,FALSE))*B125))</f>
        <v>0</v>
      </c>
      <c r="G125" s="878">
        <f>(IF(C125=$X$126,0,IF(C125=$X$129,0,IF(C125=$X$127,VLOOKUP(A125,'Liste de prix Public EUROPE'!$B$347:$S$349,12,FALSE),IF(C125='Deviseur EUROPE'!$X$128,VLOOKUP(A125,'Liste de prix Public EUROPE'!$B$347:$S$349,16,FALSE)))))*B125)</f>
        <v>0</v>
      </c>
      <c r="H125" s="173"/>
      <c r="I125" s="362"/>
      <c r="J125" s="944"/>
      <c r="K125" s="944"/>
      <c r="L125" s="944"/>
      <c r="T125" s="1163" t="s">
        <v>1915</v>
      </c>
    </row>
    <row r="126" spans="1:28" ht="15.75" customHeight="1">
      <c r="A126" s="585"/>
      <c r="B126" s="628"/>
      <c r="C126" s="854"/>
      <c r="D126" s="2082"/>
      <c r="E126" s="2083"/>
      <c r="F126" s="877">
        <f>(((IF(C126=$X$126,VLOOKUP(A126,'Liste de prix Public EUROPE'!$B$347:$S$349,11,FALSE),IF(C126=$X$127,VLOOKUP(A126,'Liste de prix Public EUROPE'!$B$347:$S$349,13,FALSE),IF(C126=$X$128,VLOOKUP(A126,'Liste de prix Public EUROPE'!$B$347:$S$349,15,FALSE),IF(C126=$X$129,VLOOKUP(A126,'Liste de prix Public EUROPE'!$B$347:$S$349,17,FALSE)))))+IF(D126='Liste de prix Public EUROPE'!$B$978,'Liste de prix Public EUROPE'!$H$978,FALSE))*B126)+IF(D126="",0,(VLOOKUP(D126,'Liste de prix Public EUROPE'!$B$978:$H$981,7,FALSE))*B126))</f>
        <v>0</v>
      </c>
      <c r="G126" s="878">
        <f>(IF(C126=$X$126,0,IF(C126=$X$129,0,IF(C126=$X$127,VLOOKUP(A126,'Liste de prix Public EUROPE'!$B$347:$S$349,12,FALSE),IF(C126='Deviseur EUROPE'!$X$128,VLOOKUP(A126,'Liste de prix Public EUROPE'!$B$347:$S$349,16,FALSE)))))*B126)</f>
        <v>0</v>
      </c>
      <c r="H126" s="173"/>
      <c r="I126" s="362"/>
      <c r="J126" s="944"/>
      <c r="K126" s="944"/>
      <c r="L126" s="944"/>
      <c r="T126" s="1163" t="s">
        <v>1916</v>
      </c>
      <c r="X126" s="946" t="s">
        <v>140</v>
      </c>
    </row>
    <row r="127" spans="1:28" ht="15.75" customHeight="1">
      <c r="A127" s="585"/>
      <c r="B127" s="628"/>
      <c r="C127" s="854"/>
      <c r="D127" s="2082"/>
      <c r="E127" s="2083"/>
      <c r="F127" s="877">
        <f>(((IF(C127=$X$126,VLOOKUP(A127,'Liste de prix Public EUROPE'!$B$347:$S$349,11,FALSE),IF(C127=$X$127,VLOOKUP(A127,'Liste de prix Public EUROPE'!$B$347:$S$349,13,FALSE),IF(C127=$X$128,VLOOKUP(A127,'Liste de prix Public EUROPE'!$B$347:$S$349,15,FALSE),IF(C127=$X$129,VLOOKUP(A127,'Liste de prix Public EUROPE'!$B$347:$S$349,17,FALSE)))))+IF(D127='Liste de prix Public EUROPE'!$B$978,'Liste de prix Public EUROPE'!$H$978,FALSE))*B127)+IF(D127="",0,(VLOOKUP(D127,'Liste de prix Public EUROPE'!$B$978:$H$981,7,FALSE))*B127))</f>
        <v>0</v>
      </c>
      <c r="G127" s="878">
        <f>(IF(C127=$X$126,0,IF(C127=$X$129,0,IF(C127=$X$127,VLOOKUP(A127,'Liste de prix Public EUROPE'!$B$347:$S$349,12,FALSE),IF(C127='Deviseur EUROPE'!$X$128,VLOOKUP(A127,'Liste de prix Public EUROPE'!$B$347:$S$349,16,FALSE)))))*B127)</f>
        <v>0</v>
      </c>
      <c r="H127" s="173"/>
      <c r="I127" s="362"/>
      <c r="J127" s="944"/>
      <c r="K127" s="944"/>
      <c r="L127" s="944"/>
      <c r="T127" s="1385" t="s">
        <v>1917</v>
      </c>
      <c r="X127" s="946" t="s">
        <v>139</v>
      </c>
    </row>
    <row r="128" spans="1:28" ht="15.75" customHeight="1">
      <c r="A128" s="585"/>
      <c r="B128" s="628"/>
      <c r="C128" s="854"/>
      <c r="D128" s="2082"/>
      <c r="E128" s="2083"/>
      <c r="F128" s="877">
        <f>(((IF(C128=$X$126,VLOOKUP(A128,'Liste de prix Public EUROPE'!$B$347:$S$349,11,FALSE),IF(C128=$X$127,VLOOKUP(A128,'Liste de prix Public EUROPE'!$B$347:$S$349,13,FALSE),IF(C128=$X$128,VLOOKUP(A128,'Liste de prix Public EUROPE'!$B$347:$S$349,15,FALSE),IF(C128=$X$129,VLOOKUP(A128,'Liste de prix Public EUROPE'!$B$347:$S$349,17,FALSE)))))+IF(D128='Liste de prix Public EUROPE'!$B$978,'Liste de prix Public EUROPE'!$H$978,FALSE))*B128)+IF(D128="",0,(VLOOKUP(D128,'Liste de prix Public EUROPE'!$B$978:$H$981,7,FALSE))*B128))</f>
        <v>0</v>
      </c>
      <c r="G128" s="878">
        <f>(IF(C128=$X$126,0,IF(C128=$X$129,0,IF(C128=$X$127,VLOOKUP(A128,'Liste de prix Public EUROPE'!$B$347:$S$349,12,FALSE),IF(C128='Deviseur EUROPE'!$X$128,VLOOKUP(A128,'Liste de prix Public EUROPE'!$B$347:$S$349,16,FALSE)))))*B128)</f>
        <v>0</v>
      </c>
      <c r="H128" s="173"/>
      <c r="I128" s="362"/>
      <c r="J128" s="944"/>
      <c r="K128" s="2084" t="s">
        <v>1603</v>
      </c>
      <c r="L128" s="2084"/>
      <c r="M128" s="2084"/>
      <c r="N128" s="2084"/>
      <c r="O128" s="2084"/>
      <c r="P128" s="2084"/>
      <c r="T128" s="1163" t="s">
        <v>1918</v>
      </c>
      <c r="X128" s="946" t="s">
        <v>142</v>
      </c>
    </row>
    <row r="129" spans="1:26" ht="15.75" customHeight="1">
      <c r="A129" s="363"/>
      <c r="B129" s="173"/>
      <c r="C129" s="173"/>
      <c r="D129" s="173"/>
      <c r="E129" s="377" t="s">
        <v>39</v>
      </c>
      <c r="F129" s="378">
        <f>SUM(F124:F128)</f>
        <v>0</v>
      </c>
      <c r="G129" s="378">
        <f>SUM(G124:G128)</f>
        <v>0</v>
      </c>
      <c r="H129" s="173"/>
      <c r="I129" s="362"/>
      <c r="J129" s="944"/>
      <c r="K129" s="1221" t="s">
        <v>1604</v>
      </c>
      <c r="L129" s="1222">
        <v>1</v>
      </c>
      <c r="M129" s="1223">
        <v>5</v>
      </c>
      <c r="N129" s="1223">
        <v>10</v>
      </c>
      <c r="O129" s="1223">
        <v>15</v>
      </c>
      <c r="P129" s="1224" t="s">
        <v>1605</v>
      </c>
      <c r="T129" s="1163" t="s">
        <v>1919</v>
      </c>
      <c r="X129" s="946" t="s">
        <v>886</v>
      </c>
    </row>
    <row r="130" spans="1:26" ht="15.75" customHeight="1">
      <c r="A130" s="363"/>
      <c r="B130" s="173"/>
      <c r="C130" s="173"/>
      <c r="D130" s="173"/>
      <c r="E130" s="173"/>
      <c r="F130" s="173"/>
      <c r="G130" s="173"/>
      <c r="H130" s="173"/>
      <c r="I130" s="362"/>
      <c r="J130" s="944"/>
      <c r="K130" s="1221" t="s">
        <v>1606</v>
      </c>
      <c r="L130" s="1222">
        <v>1000</v>
      </c>
      <c r="M130" s="1223">
        <v>5000</v>
      </c>
      <c r="N130" s="1223">
        <v>10000</v>
      </c>
      <c r="O130" s="1223">
        <v>15000</v>
      </c>
      <c r="P130" s="1224" t="s">
        <v>1607</v>
      </c>
      <c r="T130" s="1163" t="s">
        <v>1920</v>
      </c>
    </row>
    <row r="131" spans="1:26" ht="15.75" customHeight="1">
      <c r="A131" s="940" t="s">
        <v>1013</v>
      </c>
      <c r="B131" s="941" t="s">
        <v>281</v>
      </c>
      <c r="C131" s="941" t="s">
        <v>138</v>
      </c>
      <c r="D131" s="941"/>
      <c r="E131" s="941" t="s">
        <v>74</v>
      </c>
      <c r="F131" s="941" t="s">
        <v>18</v>
      </c>
      <c r="G131" s="942" t="s">
        <v>143</v>
      </c>
      <c r="H131" s="173"/>
      <c r="I131" s="99"/>
      <c r="J131" s="944"/>
      <c r="K131" s="1225" t="s">
        <v>1608</v>
      </c>
      <c r="L131" s="1226">
        <v>0.09</v>
      </c>
      <c r="M131" s="1226">
        <v>7.6999999999999999E-2</v>
      </c>
      <c r="N131" s="1226">
        <v>6.5000000000000002E-2</v>
      </c>
      <c r="O131" s="1226">
        <v>5.5E-2</v>
      </c>
      <c r="P131" s="1226">
        <v>4.7E-2</v>
      </c>
      <c r="T131" s="1163" t="s">
        <v>1921</v>
      </c>
    </row>
    <row r="132" spans="1:26" ht="15.75" customHeight="1">
      <c r="A132" s="585"/>
      <c r="B132" s="418"/>
      <c r="C132" s="416"/>
      <c r="D132" s="377"/>
      <c r="E132" s="417"/>
      <c r="F132" s="378">
        <f>(IF(C132=$S$132,VLOOKUP(A132,'Liste de prix Public EUROPE'!$B$1824:$R$1824,6,FALSE),IF('Deviseur EUROPE'!C132='Deviseur EUROPE'!$S$133,VLOOKUP('Deviseur EUROPE'!A132,'Liste de prix Public EUROPE'!$B$1821:$R$1824,8,FALSE),IF('Deviseur EUROPE'!C132='Deviseur EUROPE'!$S$135,VLOOKUP('Deviseur EUROPE'!A132,'Liste de prix Public EUROPE'!$B$1821:$R$1824,12,FALSE),IF('Deviseur EUROPE'!C132='Deviseur EUROPE'!$S$136,VLOOKUP('Deviseur EUROPE'!A132,'Liste de prix Public EUROPE'!$B$1821:$R$1824,16,FALSE),IF(C132=$S$137,VLOOKUP('Deviseur EUROPE'!A132,'Liste de prix Public EUROPE'!$B$1821:$R$1824,14,FALSE)))))*B132))</f>
        <v>0</v>
      </c>
      <c r="G132" s="405">
        <f>IF(C132=$S$132,0,IF(C132=$S$133,VLOOKUP(A132,'Liste de prix Public EUROPE'!$B$1821:$R$1824,7,FALSE),IF('Deviseur EUROPE'!C132='Deviseur EUROPE'!$S$135,VLOOKUP(A132,'Liste de prix Public EUROPE'!$B$1821:$R$1824,11,FALSE),IF('Deviseur EUROPE'!C132='Deviseur EUROPE'!$S$136,VLOOKUP(A132,'Liste de prix Public EUROPE'!$B$1821:$R$1824,15,FALSE)))))*B132</f>
        <v>0</v>
      </c>
      <c r="H132" s="173"/>
      <c r="I132" s="1115"/>
      <c r="J132" s="944"/>
      <c r="K132" s="944"/>
      <c r="L132" s="944"/>
      <c r="S132" s="945" t="s">
        <v>140</v>
      </c>
      <c r="T132" s="1163" t="s">
        <v>1922</v>
      </c>
      <c r="X132" s="946" t="s">
        <v>824</v>
      </c>
    </row>
    <row r="133" spans="1:26" ht="15.75" customHeight="1">
      <c r="A133" s="585"/>
      <c r="B133" s="418"/>
      <c r="C133" s="416"/>
      <c r="D133" s="377"/>
      <c r="E133" s="417"/>
      <c r="F133" s="378">
        <f>(IF(C133=$S$132,VLOOKUP(A133,'Liste de prix Public EUROPE'!$B$1824:$R$1824,6,FALSE),IF('Deviseur EUROPE'!C133='Deviseur EUROPE'!$S$133,VLOOKUP('Deviseur EUROPE'!A133,'Liste de prix Public EUROPE'!$B$1821:$R$1824,8,FALSE),IF('Deviseur EUROPE'!C133='Deviseur EUROPE'!$S$135,VLOOKUP('Deviseur EUROPE'!A133,'Liste de prix Public EUROPE'!$B$1821:$R$1824,12,FALSE),IF('Deviseur EUROPE'!C133='Deviseur EUROPE'!$S$136,VLOOKUP('Deviseur EUROPE'!A133,'Liste de prix Public EUROPE'!$B$1821:$R$1824,16,FALSE),IF(C133=$S$137,VLOOKUP('Deviseur EUROPE'!A133,'Liste de prix Public EUROPE'!$B$1821:$R$1824,14,FALSE)))))*B133))</f>
        <v>0</v>
      </c>
      <c r="G133" s="405">
        <f>IF(C133=$S$132,0,IF(C133=$S$133,VLOOKUP(A133,'Liste de prix Public EUROPE'!$B$1821:$R$1824,7,FALSE),IF('Deviseur EUROPE'!C133='Deviseur EUROPE'!$S$135,VLOOKUP(A133,'Liste de prix Public EUROPE'!$B$1821:$R$1824,11,FALSE),IF('Deviseur EUROPE'!C133='Deviseur EUROPE'!$S$136,VLOOKUP(A133,'Liste de prix Public EUROPE'!$B$1821:$R$1824,15,FALSE)))))*B133</f>
        <v>0</v>
      </c>
      <c r="H133" s="173"/>
      <c r="I133" s="99"/>
      <c r="J133" s="944"/>
      <c r="K133" s="944"/>
      <c r="L133" s="944"/>
      <c r="S133" s="945" t="s">
        <v>139</v>
      </c>
      <c r="T133" s="1163" t="s">
        <v>1923</v>
      </c>
      <c r="X133" s="946" t="s">
        <v>823</v>
      </c>
    </row>
    <row r="134" spans="1:26" ht="15.75" customHeight="1">
      <c r="A134" s="363"/>
      <c r="B134" s="173"/>
      <c r="C134" s="173"/>
      <c r="D134" s="173"/>
      <c r="E134" s="377" t="s">
        <v>39</v>
      </c>
      <c r="F134" s="378">
        <f>SUM(F132:F133)</f>
        <v>0</v>
      </c>
      <c r="G134" s="407">
        <f>SUM(G132:G133)</f>
        <v>0</v>
      </c>
      <c r="H134" s="173"/>
      <c r="I134" s="99"/>
      <c r="J134" s="944"/>
      <c r="K134" s="944"/>
      <c r="L134" s="944"/>
      <c r="S134" s="945" t="s">
        <v>2490</v>
      </c>
      <c r="T134" s="1163" t="s">
        <v>1924</v>
      </c>
      <c r="X134" s="946" t="s">
        <v>1996</v>
      </c>
    </row>
    <row r="135" spans="1:26" ht="15.75" customHeight="1">
      <c r="A135" s="363"/>
      <c r="B135" s="173"/>
      <c r="C135" s="173"/>
      <c r="D135" s="173"/>
      <c r="E135" s="173"/>
      <c r="F135" s="173"/>
      <c r="G135" s="362"/>
      <c r="H135" s="173"/>
      <c r="I135" s="99"/>
      <c r="J135" s="944"/>
      <c r="K135" s="944"/>
      <c r="L135" s="944"/>
      <c r="S135" s="945" t="s">
        <v>141</v>
      </c>
      <c r="T135" s="1163" t="s">
        <v>1925</v>
      </c>
    </row>
    <row r="136" spans="1:26" ht="15.75" customHeight="1">
      <c r="A136" s="940" t="s">
        <v>1014</v>
      </c>
      <c r="B136" s="941" t="s">
        <v>281</v>
      </c>
      <c r="C136" s="941" t="s">
        <v>138</v>
      </c>
      <c r="D136" s="941" t="s">
        <v>8</v>
      </c>
      <c r="E136" s="941" t="s">
        <v>74</v>
      </c>
      <c r="F136" s="941" t="s">
        <v>18</v>
      </c>
      <c r="G136" s="942" t="s">
        <v>143</v>
      </c>
      <c r="H136" s="173"/>
      <c r="I136" s="99"/>
      <c r="J136" s="944"/>
      <c r="K136" s="944"/>
      <c r="L136" s="944"/>
      <c r="S136" s="945" t="s">
        <v>2341</v>
      </c>
      <c r="T136" s="1163" t="s">
        <v>1926</v>
      </c>
    </row>
    <row r="137" spans="1:26" ht="15.75" customHeight="1">
      <c r="A137" s="585"/>
      <c r="B137" s="418"/>
      <c r="C137" s="416"/>
      <c r="D137" s="417"/>
      <c r="E137" s="417"/>
      <c r="F137" s="1659">
        <f>((IF(C137=$S$132,
VLOOKUP(A137,'Liste de prix Public EUROPE'!$B$1834:$R$1840,6,FALSE),
IF(C137=$S$133,
VLOOKUP(A137,'Liste de prix Public EUROPE'!$B$1834:$R$1840,8,FALSE),
IF(C137=$S$134,
VLOOKUP('Deviseur EUROPE'!A137,'Liste de prix Public EUROPE'!$B$1834:$R$1840,10,FALSE),
IF(C137=$S$135,
VLOOKUP('Deviseur EUROPE'!A137,'Liste de prix Public EUROPE'!$B$1834:$R$1840,12,FALSE),
IF(C137=$S$136,
VLOOKUP('Deviseur EUROPE'!A137,'Liste de prix Public EUROPE'!$B$1834:$R$1840,14,FALSE),
IF(C137=$S$137,
VLOOKUP('Deviseur EUROPE'!A137,'Liste de prix Public EUROPE'!$B$1834:$R$1840,16,FALSE))))))
*B137)
+(B137*IF(D137=$Z$137,VLOOKUP(D137,'Liste de prix Public EUROPE'!$B$1866:$D$1866,3,FALSE)))))</f>
        <v>0</v>
      </c>
      <c r="G137" s="878">
        <f>IFERROR(IF(C137=$S$133,VLOOKUP(A137,'Liste de prix Public EUROPE'!$B$1834:$R$1840,7,FALSE),IF(C137='Deviseur EUROPE'!$S$135,VLOOKUP('Deviseur EUROPE'!A137,'Liste de prix Public EUROPE'!$B$1834:$R$1840,11,FALSE),IF('Deviseur EUROPE'!C137='Deviseur EUROPE'!$S$137,VLOOKUP(A137,'Liste de prix Public EUROPE'!$B$1834:$R$1840,15,FALSE))))*B137,0)</f>
        <v>0</v>
      </c>
      <c r="H137" s="173"/>
      <c r="I137" s="99"/>
      <c r="J137" s="944"/>
      <c r="K137" s="944"/>
      <c r="L137" s="944"/>
      <c r="S137" s="945" t="s">
        <v>142</v>
      </c>
      <c r="T137" s="1163" t="s">
        <v>1927</v>
      </c>
      <c r="X137" s="946" t="s">
        <v>823</v>
      </c>
      <c r="Z137" s="946" t="s">
        <v>2013</v>
      </c>
    </row>
    <row r="138" spans="1:26" ht="15.75" customHeight="1">
      <c r="A138" s="585"/>
      <c r="B138" s="418"/>
      <c r="C138" s="416"/>
      <c r="D138" s="417"/>
      <c r="E138" s="417"/>
      <c r="F138" s="1659">
        <f>((IF(C138=$S$132,
VLOOKUP(A138,'Liste de prix Public EUROPE'!$B$1834:$R$1840,6,FALSE),
IF(C138=$S$133,
VLOOKUP(A138,'Liste de prix Public EUROPE'!$B$1834:$R$1840,8,FALSE),
IF(C138=$S$134,
VLOOKUP('Deviseur EUROPE'!A138,'Liste de prix Public EUROPE'!$B$1834:$R$1840,10,FALSE),
IF(C138=$S$135,
VLOOKUP('Deviseur EUROPE'!A138,'Liste de prix Public EUROPE'!$B$1834:$R$1840,12,FALSE),
IF(C138=$S$136,
VLOOKUP('Deviseur EUROPE'!A138,'Liste de prix Public EUROPE'!$B$1834:$R$1840,14,FALSE),
IF(C138=$S$137,
VLOOKUP('Deviseur EUROPE'!A138,'Liste de prix Public EUROPE'!$B$1834:$R$1840,16,FALSE))))))
*B138)
+(B138*IF(D138=$Z$137,VLOOKUP(D138,'Liste de prix Public EUROPE'!$B$1866:$D$1866,3,FALSE)))))</f>
        <v>0</v>
      </c>
      <c r="G138" s="878">
        <f>IFERROR(IF(C138=$S$133,VLOOKUP(A138,'Liste de prix Public EUROPE'!$B$1834:$R$1840,7,FALSE),IF(C138='Deviseur EUROPE'!$S$135,VLOOKUP('Deviseur EUROPE'!A138,'Liste de prix Public EUROPE'!$B$1834:$R$1840,11,FALSE),IF('Deviseur EUROPE'!C138='Deviseur EUROPE'!$S$137,VLOOKUP(A138,'Liste de prix Public EUROPE'!$B$1834:$R$1840,15,FALSE))))*B138,0)</f>
        <v>0</v>
      </c>
      <c r="H138" s="173"/>
      <c r="I138" s="99"/>
      <c r="J138" s="944"/>
      <c r="K138" s="944"/>
      <c r="L138" s="944"/>
      <c r="T138" s="1163" t="s">
        <v>1928</v>
      </c>
    </row>
    <row r="139" spans="1:26" ht="15.75" customHeight="1">
      <c r="A139" s="363"/>
      <c r="B139" s="173"/>
      <c r="C139" s="173"/>
      <c r="D139" s="173"/>
      <c r="E139" s="377" t="s">
        <v>39</v>
      </c>
      <c r="F139" s="378">
        <f>SUM(F137:F138)</f>
        <v>0</v>
      </c>
      <c r="G139" s="378">
        <f>SUM(G137:G138)</f>
        <v>0</v>
      </c>
      <c r="H139" s="173"/>
      <c r="I139" s="99"/>
      <c r="J139" s="944"/>
      <c r="K139" s="944"/>
      <c r="L139" s="944"/>
      <c r="T139" s="1163" t="s">
        <v>1929</v>
      </c>
    </row>
    <row r="140" spans="1:26" ht="15.75" customHeight="1">
      <c r="A140" s="363"/>
      <c r="B140" s="173"/>
      <c r="C140" s="173"/>
      <c r="D140" s="173"/>
      <c r="E140" s="64"/>
      <c r="F140" s="298"/>
      <c r="G140" s="298"/>
      <c r="H140" s="173"/>
      <c r="I140" s="805"/>
      <c r="J140" s="944"/>
      <c r="K140" s="944"/>
      <c r="L140" s="944"/>
      <c r="T140" s="1163" t="s">
        <v>1930</v>
      </c>
    </row>
    <row r="141" spans="1:26" ht="15.75" customHeight="1">
      <c r="A141" s="755" t="s">
        <v>894</v>
      </c>
      <c r="B141" s="756" t="s">
        <v>1264</v>
      </c>
      <c r="C141" s="368" t="s">
        <v>18</v>
      </c>
      <c r="D141" s="173"/>
      <c r="E141" s="173"/>
      <c r="F141" s="173"/>
      <c r="G141" s="173"/>
      <c r="H141" s="173"/>
      <c r="I141" s="362"/>
      <c r="J141" s="944"/>
      <c r="K141" s="944"/>
      <c r="L141" s="944"/>
      <c r="P141" s="1235" t="s">
        <v>1627</v>
      </c>
      <c r="T141" s="1163" t="s">
        <v>1931</v>
      </c>
    </row>
    <row r="142" spans="1:26" ht="15.75" customHeight="1">
      <c r="A142" s="585"/>
      <c r="B142" s="417"/>
      <c r="C142" s="382">
        <f>(IF(A142="",0,(IF(B142="",0,(VLOOKUP(A142,'Liste de prix Public EUROPE'!$B$362:$E$373,4,FALSE)*B142*730)))))</f>
        <v>0</v>
      </c>
      <c r="D142" s="173"/>
      <c r="E142" s="173"/>
      <c r="F142" s="173"/>
      <c r="G142" s="173"/>
      <c r="H142" s="173"/>
      <c r="I142" s="362"/>
      <c r="J142" s="944"/>
      <c r="K142" s="944"/>
      <c r="L142" s="944"/>
      <c r="P142" s="1168" t="s">
        <v>1602</v>
      </c>
      <c r="Q142" s="1234" t="str">
        <f>C179</f>
        <v xml:space="preserve">3 mois </v>
      </c>
      <c r="T142" s="1163" t="s">
        <v>1932</v>
      </c>
    </row>
    <row r="143" spans="1:26" ht="15.75" customHeight="1">
      <c r="A143" s="585"/>
      <c r="B143" s="591"/>
      <c r="C143" s="382">
        <f>(IF(A143="",0,(IF(B143="",0,(VLOOKUP(A143,'Liste de prix Public EUROPE'!$B$362:$E$373,4,FALSE)*B143*730)))))</f>
        <v>0</v>
      </c>
      <c r="D143" s="173"/>
      <c r="E143" s="173"/>
      <c r="F143" s="173"/>
      <c r="G143" s="173"/>
      <c r="H143" s="173"/>
      <c r="I143" s="362"/>
      <c r="J143" s="944"/>
      <c r="K143" s="1185" t="s">
        <v>1595</v>
      </c>
      <c r="L143" s="1185" t="s">
        <v>1596</v>
      </c>
      <c r="M143" s="1185" t="s">
        <v>1617</v>
      </c>
      <c r="N143" s="1209" t="s">
        <v>1597</v>
      </c>
      <c r="O143" s="1231" t="s">
        <v>1598</v>
      </c>
      <c r="P143" s="1168" t="s">
        <v>1617</v>
      </c>
      <c r="Q143" s="1168">
        <f>VLOOKUP(Q142,L144:M149,2,FALSE)</f>
        <v>13</v>
      </c>
      <c r="T143" s="1385" t="s">
        <v>1933</v>
      </c>
    </row>
    <row r="144" spans="1:26" ht="15.75" customHeight="1">
      <c r="A144" s="585"/>
      <c r="B144" s="591"/>
      <c r="C144" s="382">
        <f>(IF(A144="",0,(IF(B144="",0,(VLOOKUP(A144,'Liste de prix Public EUROPE'!$B$362:$E$373,4,FALSE)*B144*730)))))</f>
        <v>0</v>
      </c>
      <c r="D144" s="173"/>
      <c r="E144" s="173"/>
      <c r="F144" s="173"/>
      <c r="G144" s="173"/>
      <c r="H144" s="173"/>
      <c r="I144" s="362"/>
      <c r="J144" s="944"/>
      <c r="K144" s="1210">
        <v>0.02</v>
      </c>
      <c r="L144" s="1185" t="s">
        <v>1630</v>
      </c>
      <c r="M144" s="1185">
        <v>1</v>
      </c>
      <c r="N144" s="1209" t="s">
        <v>930</v>
      </c>
      <c r="O144" s="1232">
        <v>1.5</v>
      </c>
      <c r="P144" s="1168" t="s">
        <v>1594</v>
      </c>
      <c r="Q144" s="1236">
        <f>B179</f>
        <v>0</v>
      </c>
      <c r="T144" s="1163" t="s">
        <v>1934</v>
      </c>
    </row>
    <row r="145" spans="1:22" ht="15.75" customHeight="1">
      <c r="A145" s="585"/>
      <c r="B145" s="417"/>
      <c r="C145" s="382">
        <f>(IF(A145="",0,(IF(B145="",0,(VLOOKUP(A145,'Liste de prix Public EUROPE'!$B$362:$E$373,4,FALSE)*B145*730)))))</f>
        <v>0</v>
      </c>
      <c r="D145" s="173"/>
      <c r="E145" s="173"/>
      <c r="F145" s="173"/>
      <c r="G145" s="173"/>
      <c r="H145" s="173"/>
      <c r="I145" s="362"/>
      <c r="J145" s="944"/>
      <c r="K145" s="1210">
        <v>0.05</v>
      </c>
      <c r="L145" s="1185" t="s">
        <v>1631</v>
      </c>
      <c r="M145" s="1185">
        <v>2</v>
      </c>
      <c r="N145" s="1209" t="s">
        <v>931</v>
      </c>
      <c r="O145" s="1211">
        <v>2.5</v>
      </c>
      <c r="T145" s="1163" t="s">
        <v>1935</v>
      </c>
    </row>
    <row r="146" spans="1:22" ht="15.75" customHeight="1">
      <c r="A146" s="64"/>
      <c r="B146" s="377" t="s">
        <v>39</v>
      </c>
      <c r="C146" s="822">
        <f>SUM(C142:C145)</f>
        <v>0</v>
      </c>
      <c r="D146" s="173"/>
      <c r="E146" s="173"/>
      <c r="F146" s="173"/>
      <c r="G146" s="173"/>
      <c r="H146" s="173"/>
      <c r="I146" s="362"/>
      <c r="J146" s="944"/>
      <c r="K146" s="1210">
        <v>0.1</v>
      </c>
      <c r="L146" s="1185" t="s">
        <v>1632</v>
      </c>
      <c r="M146" s="1185">
        <v>5</v>
      </c>
      <c r="N146" s="1209" t="s">
        <v>932</v>
      </c>
      <c r="O146" s="1212">
        <v>3.4</v>
      </c>
      <c r="T146" s="1163" t="s">
        <v>1936</v>
      </c>
    </row>
    <row r="147" spans="1:22" ht="15.75" customHeight="1">
      <c r="A147" s="64"/>
      <c r="B147" s="64"/>
      <c r="C147" s="787"/>
      <c r="D147" s="173"/>
      <c r="E147" s="173"/>
      <c r="F147" s="173"/>
      <c r="G147" s="173"/>
      <c r="H147" s="173"/>
      <c r="I147" s="362"/>
      <c r="J147" s="944"/>
      <c r="K147" s="1185"/>
      <c r="L147" s="1185" t="s">
        <v>1633</v>
      </c>
      <c r="M147" s="1185">
        <v>13</v>
      </c>
      <c r="N147" s="1209" t="s">
        <v>949</v>
      </c>
      <c r="O147" s="1212">
        <v>14.5</v>
      </c>
      <c r="T147" s="1163" t="s">
        <v>1937</v>
      </c>
    </row>
    <row r="148" spans="1:22" ht="15.75" customHeight="1">
      <c r="A148" s="1103" t="s">
        <v>1456</v>
      </c>
      <c r="B148" s="1103" t="s">
        <v>1264</v>
      </c>
      <c r="C148" s="621" t="s">
        <v>18</v>
      </c>
      <c r="D148" s="173"/>
      <c r="E148" s="173"/>
      <c r="F148" s="173"/>
      <c r="G148" s="173"/>
      <c r="H148" s="173"/>
      <c r="I148" s="362"/>
      <c r="J148" s="944"/>
      <c r="K148" s="1185"/>
      <c r="L148" s="1185" t="s">
        <v>1634</v>
      </c>
      <c r="M148" s="1185">
        <v>26</v>
      </c>
      <c r="N148" s="1185"/>
      <c r="O148" s="1185"/>
      <c r="T148" s="1163" t="s">
        <v>1938</v>
      </c>
    </row>
    <row r="149" spans="1:22" ht="15.75" customHeight="1">
      <c r="A149" s="619" t="s">
        <v>1457</v>
      </c>
      <c r="B149" s="1116"/>
      <c r="C149" s="822">
        <f>IF(B149&gt;1000000,(ROUND((B149/1000000),0)*'Liste de prix Public EUROPE'!$C$2097),0)</f>
        <v>0</v>
      </c>
      <c r="D149" s="173"/>
      <c r="E149" s="173"/>
      <c r="F149" s="173"/>
      <c r="G149" s="173"/>
      <c r="H149" s="173"/>
      <c r="I149" s="362"/>
      <c r="J149" s="944"/>
      <c r="K149" s="1185"/>
      <c r="L149" s="1185" t="s">
        <v>932</v>
      </c>
      <c r="M149" s="1185">
        <v>52</v>
      </c>
      <c r="N149" s="1185"/>
      <c r="O149" s="1185"/>
      <c r="T149" s="1163" t="s">
        <v>1939</v>
      </c>
    </row>
    <row r="150" spans="1:22" ht="15.75" customHeight="1">
      <c r="A150" s="619" t="s">
        <v>1478</v>
      </c>
      <c r="B150" s="630"/>
      <c r="C150" s="822">
        <f>IF(B150&gt;100,(B150-100)*'Liste de prix Public EUROPE'!$C$2100,0)</f>
        <v>0</v>
      </c>
      <c r="D150" s="173"/>
      <c r="E150" s="173"/>
      <c r="F150" s="173"/>
      <c r="G150" s="173"/>
      <c r="H150" s="173"/>
      <c r="I150" s="362"/>
      <c r="J150" s="944"/>
      <c r="K150" s="944"/>
      <c r="L150" s="944"/>
      <c r="T150" s="1163" t="s">
        <v>1940</v>
      </c>
    </row>
    <row r="151" spans="1:22" ht="15.75" customHeight="1">
      <c r="A151" s="363"/>
      <c r="B151" s="377" t="s">
        <v>39</v>
      </c>
      <c r="C151" s="822">
        <f>SUM(C149:C150)</f>
        <v>0</v>
      </c>
      <c r="D151" s="173"/>
      <c r="E151" s="173"/>
      <c r="F151" s="173"/>
      <c r="G151" s="173"/>
      <c r="H151" s="173"/>
      <c r="I151" s="362"/>
      <c r="J151" s="944"/>
      <c r="K151" s="944"/>
      <c r="L151" s="944"/>
      <c r="T151" s="1163" t="s">
        <v>1941</v>
      </c>
    </row>
    <row r="152" spans="1:22" ht="15.75" customHeight="1">
      <c r="A152" s="363"/>
      <c r="B152" s="173"/>
      <c r="C152" s="173"/>
      <c r="D152" s="173"/>
      <c r="E152" s="173"/>
      <c r="F152" s="173"/>
      <c r="G152" s="173"/>
      <c r="H152" s="173"/>
      <c r="I152" s="362"/>
      <c r="J152" s="944"/>
      <c r="K152" s="944"/>
      <c r="L152" s="944"/>
      <c r="T152" s="1163" t="s">
        <v>1942</v>
      </c>
    </row>
    <row r="153" spans="1:22" ht="23.4">
      <c r="A153" s="343" t="s">
        <v>49</v>
      </c>
      <c r="B153" s="350" t="s">
        <v>338</v>
      </c>
      <c r="C153" s="349"/>
      <c r="D153" s="349"/>
      <c r="E153" s="349"/>
      <c r="F153" s="349"/>
      <c r="G153" s="349"/>
      <c r="H153" s="349"/>
      <c r="I153" s="351"/>
      <c r="K153" s="1233" t="s">
        <v>1618</v>
      </c>
      <c r="L153" s="1228"/>
      <c r="M153" s="1228"/>
      <c r="T153" s="1163" t="s">
        <v>1943</v>
      </c>
    </row>
    <row r="154" spans="1:22">
      <c r="A154" s="2101" t="s">
        <v>1060</v>
      </c>
      <c r="B154" s="2102"/>
      <c r="C154" s="368" t="s">
        <v>18</v>
      </c>
      <c r="D154" s="64"/>
      <c r="E154" s="172"/>
      <c r="F154" s="172"/>
      <c r="G154" s="172"/>
      <c r="H154" s="172"/>
      <c r="I154" s="404"/>
      <c r="J154" s="944"/>
      <c r="K154" s="1168" t="s">
        <v>1619</v>
      </c>
      <c r="L154" s="1168" t="s">
        <v>1620</v>
      </c>
      <c r="M154" s="1168" t="s">
        <v>1621</v>
      </c>
      <c r="N154" s="1168" t="s">
        <v>1622</v>
      </c>
      <c r="O154" s="1168" t="s">
        <v>1623</v>
      </c>
      <c r="P154" s="1168" t="s">
        <v>1624</v>
      </c>
      <c r="Q154" s="1168" t="s">
        <v>1625</v>
      </c>
      <c r="R154" s="1168" t="s">
        <v>1626</v>
      </c>
      <c r="T154" s="1163" t="s">
        <v>1944</v>
      </c>
      <c r="V154" s="946" t="s">
        <v>0</v>
      </c>
    </row>
    <row r="155" spans="1:22" ht="13.5" customHeight="1">
      <c r="A155" s="369" t="s">
        <v>999</v>
      </c>
      <c r="B155" s="419"/>
      <c r="C155" s="381">
        <f>B155*'Liste de prix Public EUROPE'!$C$986</f>
        <v>0</v>
      </c>
      <c r="D155" s="64"/>
      <c r="E155" s="64"/>
      <c r="F155" s="64"/>
      <c r="G155" s="64"/>
      <c r="H155" s="64"/>
      <c r="I155" s="404"/>
      <c r="J155" s="944"/>
      <c r="K155" s="1234">
        <v>0.55000000000000004</v>
      </c>
      <c r="L155" s="1234">
        <v>0.95</v>
      </c>
      <c r="M155" s="1234">
        <v>0.6</v>
      </c>
      <c r="N155" s="1234">
        <f>Q144</f>
        <v>0</v>
      </c>
      <c r="O155" s="1168">
        <f>A179</f>
        <v>0</v>
      </c>
      <c r="P155" s="1168">
        <f>Q143</f>
        <v>13</v>
      </c>
      <c r="Q155" s="1168">
        <f>P155</f>
        <v>13</v>
      </c>
      <c r="R155" s="1168">
        <f>P155*5</f>
        <v>65</v>
      </c>
      <c r="T155" s="1163" t="s">
        <v>1945</v>
      </c>
    </row>
    <row r="156" spans="1:22" ht="15" customHeight="1">
      <c r="A156" s="518" t="s">
        <v>1000</v>
      </c>
      <c r="B156" s="419"/>
      <c r="C156" s="381">
        <f>B156*'Liste de prix Public EUROPE'!$C$992</f>
        <v>0</v>
      </c>
      <c r="D156" s="64"/>
      <c r="E156" s="64"/>
      <c r="F156" s="64"/>
      <c r="G156" s="64"/>
      <c r="H156" s="64"/>
      <c r="I156" s="404"/>
      <c r="J156" s="944"/>
      <c r="K156" s="944"/>
      <c r="L156" s="944"/>
      <c r="M156" s="944"/>
      <c r="N156" s="944"/>
      <c r="O156" s="944"/>
      <c r="T156" s="1163" t="s">
        <v>1946</v>
      </c>
    </row>
    <row r="157" spans="1:22">
      <c r="A157" s="369" t="s">
        <v>1001</v>
      </c>
      <c r="B157" s="419"/>
      <c r="C157" s="382">
        <f>(B157*'Liste de prix Public EUROPE'!$C$1002)</f>
        <v>0</v>
      </c>
      <c r="D157" s="68"/>
      <c r="E157" s="64"/>
      <c r="F157" s="64"/>
      <c r="G157" s="64"/>
      <c r="H157" s="64"/>
      <c r="I157" s="404"/>
      <c r="J157" s="944"/>
      <c r="K157" s="944"/>
      <c r="L157" s="944"/>
      <c r="M157" s="944"/>
      <c r="N157" s="1237" t="s">
        <v>1635</v>
      </c>
      <c r="O157" s="1237" t="s">
        <v>1636</v>
      </c>
      <c r="P157" s="1237" t="s">
        <v>1637</v>
      </c>
      <c r="Q157" s="1237" t="s">
        <v>1638</v>
      </c>
      <c r="R157" s="1237" t="s">
        <v>1639</v>
      </c>
      <c r="T157" s="1163" t="s">
        <v>1947</v>
      </c>
    </row>
    <row r="158" spans="1:22">
      <c r="A158" s="369" t="s">
        <v>998</v>
      </c>
      <c r="B158" s="419"/>
      <c r="C158" s="382">
        <f>'Deviseur EUROPE'!B158*'Liste de prix Public EUROPE'!$C$1004</f>
        <v>0</v>
      </c>
      <c r="D158" s="68"/>
      <c r="E158" s="64"/>
      <c r="F158" s="64"/>
      <c r="G158" s="64"/>
      <c r="H158" s="64"/>
      <c r="I158" s="404"/>
      <c r="J158" s="944"/>
      <c r="K158" s="944"/>
      <c r="L158" s="944"/>
      <c r="M158" s="944"/>
      <c r="N158" s="1237"/>
      <c r="O158" s="1237"/>
      <c r="P158" s="1237"/>
      <c r="Q158" s="1237"/>
      <c r="R158" s="1237"/>
      <c r="T158" s="1163" t="s">
        <v>1948</v>
      </c>
    </row>
    <row r="159" spans="1:22">
      <c r="A159" s="369" t="s">
        <v>2430</v>
      </c>
      <c r="B159" s="419"/>
      <c r="C159" s="382">
        <f>'Deviseur EUROPE'!B159*'Liste de prix Public EUROPE'!$C$997</f>
        <v>0</v>
      </c>
      <c r="D159" s="68"/>
      <c r="E159" s="64"/>
      <c r="F159" s="64"/>
      <c r="G159" s="64"/>
      <c r="H159" s="64"/>
      <c r="I159" s="404"/>
      <c r="J159" s="944"/>
      <c r="K159" s="944"/>
      <c r="L159" s="944"/>
      <c r="M159" s="944"/>
      <c r="N159" s="1237"/>
      <c r="O159" s="1237"/>
      <c r="P159" s="1237"/>
      <c r="Q159" s="1237"/>
      <c r="R159" s="1237"/>
      <c r="T159" s="1497"/>
    </row>
    <row r="160" spans="1:22">
      <c r="A160" s="369" t="s">
        <v>2431</v>
      </c>
      <c r="B160" s="419"/>
      <c r="C160" s="382">
        <f>'Deviseur EUROPE'!B160*'Liste de prix Public EUROPE'!$C$998</f>
        <v>0</v>
      </c>
      <c r="D160" s="68"/>
      <c r="E160" s="64"/>
      <c r="F160" s="64"/>
      <c r="G160" s="64"/>
      <c r="H160" s="64"/>
      <c r="I160" s="404"/>
      <c r="J160" s="944"/>
      <c r="K160" s="944"/>
      <c r="L160" s="944"/>
      <c r="M160" s="944"/>
      <c r="N160" s="1237"/>
      <c r="O160" s="1237"/>
      <c r="P160" s="1237"/>
      <c r="Q160" s="1237"/>
      <c r="R160" s="1237"/>
      <c r="T160" s="1497"/>
    </row>
    <row r="161" spans="1:18" ht="13.5" customHeight="1">
      <c r="A161" s="376"/>
      <c r="B161" s="64"/>
      <c r="C161" s="64"/>
      <c r="D161" s="64"/>
      <c r="E161" s="64"/>
      <c r="F161" s="64"/>
      <c r="G161" s="64"/>
      <c r="H161" s="64"/>
      <c r="I161" s="404"/>
      <c r="J161" s="944"/>
      <c r="K161" s="1220"/>
      <c r="L161" s="944"/>
      <c r="M161" s="944"/>
      <c r="N161" s="1237">
        <f>O155*(1-K155)</f>
        <v>0</v>
      </c>
      <c r="O161" s="1237">
        <f>O155*(1-L155)</f>
        <v>0</v>
      </c>
      <c r="P161" s="1237">
        <f>O155*(1-M155)*N155</f>
        <v>0</v>
      </c>
      <c r="Q161" s="1237">
        <f>(O155*P155)+(R155*O155*N155)</f>
        <v>0</v>
      </c>
      <c r="R161" s="1237">
        <f>N161+((Q155-1)*O161)+(R155*P161)</f>
        <v>0</v>
      </c>
    </row>
    <row r="162" spans="1:18">
      <c r="A162" s="2099" t="s">
        <v>232</v>
      </c>
      <c r="B162" s="2100"/>
      <c r="C162" s="368" t="s">
        <v>18</v>
      </c>
      <c r="D162" s="64"/>
      <c r="E162" s="172"/>
      <c r="F162" s="172"/>
      <c r="G162" s="172"/>
      <c r="H162" s="172"/>
      <c r="I162" s="404"/>
      <c r="J162" s="944"/>
      <c r="K162" s="944"/>
      <c r="L162" s="944"/>
      <c r="M162" s="944"/>
      <c r="N162" s="944"/>
      <c r="O162" s="944"/>
      <c r="R162" s="1238">
        <f>R161</f>
        <v>0</v>
      </c>
    </row>
    <row r="163" spans="1:18">
      <c r="A163" s="369" t="s">
        <v>1002</v>
      </c>
      <c r="B163" s="419"/>
      <c r="C163" s="382">
        <f>B163*'Liste de prix Public EUROPE'!$C$988</f>
        <v>0</v>
      </c>
      <c r="D163" s="64"/>
      <c r="E163" s="172"/>
      <c r="F163" s="172"/>
      <c r="G163" s="172"/>
      <c r="H163" s="172"/>
      <c r="I163" s="404"/>
      <c r="J163" s="944"/>
      <c r="K163" s="944"/>
      <c r="L163" s="944"/>
      <c r="M163" s="944"/>
      <c r="N163" s="944"/>
      <c r="O163" s="944"/>
    </row>
    <row r="164" spans="1:18">
      <c r="A164" s="369" t="s">
        <v>1004</v>
      </c>
      <c r="B164" s="630"/>
      <c r="C164" s="382">
        <f>B164*'Liste de prix Public EUROPE'!$C$993</f>
        <v>0</v>
      </c>
      <c r="D164" s="64"/>
      <c r="E164" s="172"/>
      <c r="F164" s="172"/>
      <c r="G164" s="172"/>
      <c r="H164" s="172"/>
      <c r="I164" s="404"/>
      <c r="J164" s="944"/>
      <c r="K164" s="944"/>
      <c r="L164" s="944"/>
      <c r="M164" s="944"/>
      <c r="N164" s="944"/>
      <c r="O164" s="944"/>
    </row>
    <row r="165" spans="1:18">
      <c r="A165" s="369" t="s">
        <v>1003</v>
      </c>
      <c r="B165" s="419"/>
      <c r="C165" s="382">
        <f>B165*'Liste de prix Public EUROPE'!$C$1003</f>
        <v>0</v>
      </c>
      <c r="D165" s="64"/>
      <c r="E165" s="172"/>
      <c r="F165" s="172"/>
      <c r="G165" s="172"/>
      <c r="H165" s="172"/>
      <c r="I165" s="404"/>
      <c r="J165" s="944"/>
      <c r="K165" s="2085" t="s">
        <v>1603</v>
      </c>
      <c r="L165" s="2085"/>
      <c r="M165" s="2085"/>
      <c r="N165" s="2085"/>
      <c r="O165" s="2085"/>
      <c r="P165" s="2085"/>
    </row>
    <row r="166" spans="1:18">
      <c r="A166" s="376"/>
      <c r="B166" s="64"/>
      <c r="C166" s="64"/>
      <c r="D166" s="64"/>
      <c r="E166" s="172"/>
      <c r="F166" s="172"/>
      <c r="G166" s="172"/>
      <c r="H166" s="172"/>
      <c r="I166" s="404"/>
      <c r="J166" s="944"/>
      <c r="K166" s="1241" t="s">
        <v>1641</v>
      </c>
      <c r="L166" s="1222">
        <v>50</v>
      </c>
      <c r="M166" s="1223">
        <v>100</v>
      </c>
      <c r="N166" s="1223">
        <v>200</v>
      </c>
      <c r="O166" s="1223">
        <v>500</v>
      </c>
      <c r="P166" s="1224" t="s">
        <v>1642</v>
      </c>
    </row>
    <row r="167" spans="1:18">
      <c r="A167" s="654" t="s">
        <v>623</v>
      </c>
      <c r="B167" s="368" t="s">
        <v>281</v>
      </c>
      <c r="C167" s="655"/>
      <c r="D167" s="659"/>
      <c r="E167" s="656"/>
      <c r="F167" s="368" t="s">
        <v>18</v>
      </c>
      <c r="G167" s="846"/>
      <c r="H167" s="846"/>
      <c r="I167" s="404"/>
      <c r="J167" s="944"/>
      <c r="K167" s="1225" t="s">
        <v>1643</v>
      </c>
      <c r="L167" s="1242">
        <v>2.89</v>
      </c>
      <c r="M167" s="1243">
        <v>2.46</v>
      </c>
      <c r="N167" s="1243">
        <v>2.09</v>
      </c>
      <c r="O167" s="1242">
        <v>1.78</v>
      </c>
      <c r="P167" s="1242">
        <v>1.49</v>
      </c>
    </row>
    <row r="168" spans="1:18">
      <c r="A168" s="585"/>
      <c r="B168" s="418"/>
      <c r="C168" s="657"/>
      <c r="D168" s="660"/>
      <c r="E168" s="658"/>
      <c r="F168" s="371">
        <f>IFERROR(VLOOKUP(A168,'Liste de prix Public EUROPE'!$B$1277:$I$1280,8,FALSE)*B168,0)</f>
        <v>0</v>
      </c>
      <c r="G168" s="842"/>
      <c r="H168" s="842"/>
      <c r="I168" s="404"/>
      <c r="J168" s="944"/>
      <c r="K168" s="944"/>
      <c r="L168" s="944"/>
      <c r="M168" s="944"/>
      <c r="N168" s="944"/>
      <c r="O168" s="944"/>
    </row>
    <row r="169" spans="1:18">
      <c r="A169" s="585"/>
      <c r="B169" s="418"/>
      <c r="C169" s="657"/>
      <c r="D169" s="660"/>
      <c r="E169" s="658"/>
      <c r="F169" s="371">
        <f>IFERROR(VLOOKUP(A169,'Liste de prix Public EUROPE'!$B$1277:$I$1280,8,FALSE)*B169,0)</f>
        <v>0</v>
      </c>
      <c r="G169" s="842"/>
      <c r="H169" s="842"/>
      <c r="I169" s="404"/>
      <c r="J169" s="944"/>
      <c r="K169" s="944"/>
      <c r="L169" s="944"/>
      <c r="M169" s="944"/>
      <c r="N169" s="944"/>
      <c r="O169" s="944"/>
    </row>
    <row r="170" spans="1:18">
      <c r="A170" s="376"/>
      <c r="B170" s="64"/>
      <c r="C170" s="64"/>
      <c r="D170" s="70"/>
      <c r="E170" s="377" t="s">
        <v>39</v>
      </c>
      <c r="F170" s="378">
        <f>SUM(F168:F169)</f>
        <v>0</v>
      </c>
      <c r="G170" s="298"/>
      <c r="H170" s="917"/>
      <c r="I170" s="404"/>
      <c r="J170" s="944"/>
      <c r="K170" s="944"/>
      <c r="L170" s="944"/>
      <c r="M170" s="944"/>
      <c r="N170" s="944"/>
      <c r="O170" s="944"/>
    </row>
    <row r="171" spans="1:18" ht="15" thickBot="1">
      <c r="A171" s="856"/>
      <c r="B171" s="857"/>
      <c r="C171" s="857"/>
      <c r="D171" s="857"/>
      <c r="E171" s="858"/>
      <c r="F171" s="172"/>
      <c r="G171" s="172"/>
      <c r="H171" s="172"/>
      <c r="I171" s="404"/>
      <c r="J171" s="944"/>
      <c r="K171" s="944"/>
      <c r="L171" s="944"/>
      <c r="M171" s="944"/>
      <c r="N171" s="944"/>
      <c r="O171" s="944"/>
    </row>
    <row r="172" spans="1:18" ht="15.75" hidden="1" customHeight="1">
      <c r="A172" s="2104" t="s">
        <v>944</v>
      </c>
      <c r="B172" s="2105"/>
      <c r="C172" s="837" t="s">
        <v>18</v>
      </c>
      <c r="D172" s="857"/>
      <c r="E172" s="858"/>
      <c r="F172" s="172"/>
      <c r="G172" s="172"/>
      <c r="H172" s="172"/>
      <c r="I172" s="404"/>
      <c r="J172" s="944"/>
      <c r="K172" s="944"/>
      <c r="L172" s="944"/>
      <c r="M172" s="944"/>
      <c r="N172" s="944"/>
      <c r="O172" s="944"/>
    </row>
    <row r="173" spans="1:18" ht="15" hidden="1" thickBot="1">
      <c r="A173" s="859" t="s">
        <v>457</v>
      </c>
      <c r="B173" s="860"/>
      <c r="C173" s="861">
        <f>B173*'Liste de prix Public EUROPE'!C1008*(100%-$B$5)</f>
        <v>0</v>
      </c>
      <c r="D173" s="857"/>
      <c r="E173" s="858"/>
      <c r="F173" s="172"/>
      <c r="G173" s="172"/>
      <c r="H173" s="172"/>
      <c r="I173" s="404"/>
      <c r="J173" s="944"/>
      <c r="K173" s="944"/>
      <c r="L173" s="944"/>
      <c r="M173" s="944"/>
      <c r="N173" s="944"/>
      <c r="O173" s="944"/>
    </row>
    <row r="174" spans="1:18" ht="28.2" hidden="1" thickBot="1">
      <c r="A174" s="859" t="s">
        <v>742</v>
      </c>
      <c r="B174" s="860"/>
      <c r="C174" s="862" t="e">
        <f>B174*'Liste de prix Public EUROPE'!#REF!*(100%-$B$5)</f>
        <v>#REF!</v>
      </c>
      <c r="D174" s="857"/>
      <c r="E174" s="858"/>
      <c r="F174" s="172"/>
      <c r="G174" s="845" t="s">
        <v>936</v>
      </c>
      <c r="H174" s="845"/>
      <c r="I174" s="404"/>
      <c r="J174" s="944"/>
      <c r="K174" s="944"/>
      <c r="L174" s="944"/>
      <c r="M174" s="944"/>
      <c r="N174" s="944"/>
      <c r="O174" s="944"/>
    </row>
    <row r="175" spans="1:18" ht="15" hidden="1" thickBot="1">
      <c r="A175" s="856"/>
      <c r="B175" s="863" t="s">
        <v>39</v>
      </c>
      <c r="C175" s="864" t="e">
        <f>SUM(C173:C174)</f>
        <v>#REF!</v>
      </c>
      <c r="D175" s="857"/>
      <c r="E175" s="858"/>
      <c r="F175" s="172"/>
      <c r="G175" s="852" t="e">
        <f>IF(#REF!=#REF!,IF(#REF!=#REF!,HLOOKUP(#REF!,$X$187:$AC$197,2,FALSE),IF(#REF!=#REF!,HLOOKUP(#REF!,$X$187:$AC$197,3,FALSE),IF(#REF!=#REF!,HLOOKUP(#REF!,$X$187:$AC$197,4,FALSE)))),IF(#REF!=#REF!,IF(#REF!=#REF!,HLOOKUP(#REF!,$X$187:$AC$197,5,FALSE),IF(#REF!=#REF!,HLOOKUP(#REF!,$X$187:$AC$197,6,FALSE),IF(#REF!=#REF!,HLOOKUP(#REF!,$X$187:$AC$197,7,FALSE)))),IF(#REF!=#REF!,IF(#REF!=#REF!,HLOOKUP(#REF!,$X$187:$AC$197,8,FALSE),IF(#REF!=#REF!,HLOOKUP(#REF!,$X$187:$AC$197,9,FALSE),IF(#REF!=#REF!,HLOOKUP(#REF!,$X$187:$AC$197,10,FALSE),FALSE))))))*B173</f>
        <v>#REF!</v>
      </c>
      <c r="H175" s="852"/>
      <c r="I175" s="404"/>
      <c r="J175" s="944"/>
      <c r="K175" s="944"/>
      <c r="L175" s="944"/>
      <c r="M175" s="944"/>
      <c r="N175" s="944"/>
      <c r="O175" s="944"/>
    </row>
    <row r="176" spans="1:18" ht="15" hidden="1" thickBot="1">
      <c r="A176" s="856"/>
      <c r="B176" s="865"/>
      <c r="C176" s="865"/>
      <c r="D176" s="857"/>
      <c r="E176" s="858"/>
      <c r="F176" s="172"/>
      <c r="G176" s="172"/>
      <c r="H176" s="172"/>
      <c r="I176" s="404"/>
      <c r="J176" s="944"/>
      <c r="K176" s="944"/>
      <c r="L176" s="944"/>
      <c r="M176" s="944"/>
      <c r="N176" s="944"/>
      <c r="O176" s="944"/>
    </row>
    <row r="177" spans="1:32" ht="26.25" customHeight="1">
      <c r="A177" s="1218" t="s">
        <v>1599</v>
      </c>
      <c r="B177" s="1216"/>
      <c r="C177" s="1217"/>
      <c r="D177" s="1217"/>
      <c r="E177" s="1216"/>
      <c r="F177" s="1216"/>
      <c r="G177" s="1217"/>
      <c r="H177" s="1217"/>
      <c r="I177" s="404"/>
      <c r="J177" s="944"/>
      <c r="K177" s="944"/>
      <c r="L177" s="944"/>
      <c r="M177" s="944"/>
      <c r="N177" s="944"/>
      <c r="O177" s="944"/>
      <c r="Q177" s="976" t="s">
        <v>968</v>
      </c>
      <c r="R177" s="976" t="s">
        <v>969</v>
      </c>
    </row>
    <row r="178" spans="1:32" ht="24.75" customHeight="1">
      <c r="A178" s="1213" t="s">
        <v>1600</v>
      </c>
      <c r="B178" s="1219" t="s">
        <v>1616</v>
      </c>
      <c r="C178" s="1219" t="s">
        <v>1602</v>
      </c>
      <c r="D178" s="1219" t="s">
        <v>1615</v>
      </c>
      <c r="E178" s="1219" t="s">
        <v>1640</v>
      </c>
      <c r="F178" s="1213" t="s">
        <v>1601</v>
      </c>
      <c r="G178" s="1213" t="s">
        <v>1523</v>
      </c>
      <c r="H178" s="1217"/>
      <c r="I178" s="404"/>
      <c r="J178" s="944"/>
      <c r="K178" s="1209" t="s">
        <v>1597</v>
      </c>
      <c r="L178" s="1244" t="s">
        <v>1644</v>
      </c>
      <c r="M178" s="944"/>
      <c r="N178" s="1249" t="s">
        <v>1648</v>
      </c>
      <c r="O178" s="944"/>
      <c r="Q178" s="977"/>
      <c r="R178" s="978"/>
    </row>
    <row r="179" spans="1:32">
      <c r="A179" s="418"/>
      <c r="B179" s="416"/>
      <c r="C179" s="1554" t="s">
        <v>1633</v>
      </c>
      <c r="D179" s="1239">
        <f>$R$162</f>
        <v>0</v>
      </c>
      <c r="E179" s="1227">
        <f>IF(A179&lt;=$L$130, A179*$L$131, IF(A179&lt;=$M$130,((A179-$L$30)*$M$131+$L$130*$L$131),IF(A179&lt;=$N$130,((A179-$M$130)*$N$131+($M$130-$L$130)*$M$131+$L$130*$L$131),IF(A179&lt;=$O$130,((A179-$N$130)*$O$131+($N$130-$M$130)*$N$131+($M$130-$L$130)*$M$131+$L$130*$L$131),((A179-$O$130)*$P$131+($O$130-$N$130)*$O$131+($N$130-$M$130)*$N$131+($M$130-$L$130)*$M$131+$L$130*$L$131)))))</f>
        <v>0</v>
      </c>
      <c r="F179" s="1240">
        <f>D179*'Liste de prix Public EUROPE'!$C$1008</f>
        <v>0</v>
      </c>
      <c r="G179" s="1229">
        <f>E179+F179</f>
        <v>0</v>
      </c>
      <c r="H179" s="1217"/>
      <c r="I179" s="404"/>
      <c r="J179" s="944"/>
      <c r="K179" s="1209" t="s">
        <v>930</v>
      </c>
      <c r="L179" s="1245">
        <v>13</v>
      </c>
      <c r="M179" s="944"/>
      <c r="N179" s="1275" t="s">
        <v>1688</v>
      </c>
      <c r="O179" s="1234" t="str">
        <f>C183</f>
        <v>6 mois</v>
      </c>
      <c r="Q179" s="977"/>
      <c r="R179" s="978"/>
    </row>
    <row r="180" spans="1:32" ht="15" customHeight="1">
      <c r="A180" s="1197"/>
      <c r="B180" s="767"/>
      <c r="C180" s="767"/>
      <c r="D180" s="1197"/>
      <c r="E180" s="1198"/>
      <c r="F180" s="1199"/>
      <c r="G180" s="1199"/>
      <c r="H180" s="1217"/>
      <c r="I180" s="404"/>
      <c r="J180" s="944"/>
      <c r="K180" s="1209" t="s">
        <v>931</v>
      </c>
      <c r="L180" s="1245">
        <v>26</v>
      </c>
      <c r="M180" s="944"/>
      <c r="N180" s="1275" t="s">
        <v>1685</v>
      </c>
      <c r="O180" s="1168">
        <f>VLOOKUP(O179,K179:L182,2,FALSE)</f>
        <v>26</v>
      </c>
      <c r="W180" s="966"/>
      <c r="AE180" s="965"/>
      <c r="AF180" s="979"/>
    </row>
    <row r="181" spans="1:32" ht="15" customHeight="1">
      <c r="A181" s="1218" t="s">
        <v>1614</v>
      </c>
      <c r="B181" s="767"/>
      <c r="C181" s="767"/>
      <c r="D181" s="767"/>
      <c r="E181" s="767"/>
      <c r="F181" s="767"/>
      <c r="G181" s="172"/>
      <c r="H181" s="172"/>
      <c r="I181" s="404"/>
      <c r="J181" s="944"/>
      <c r="K181" s="1209" t="s">
        <v>932</v>
      </c>
      <c r="L181" s="1245">
        <v>52</v>
      </c>
      <c r="M181" s="944"/>
      <c r="N181" s="1275" t="s">
        <v>1689</v>
      </c>
      <c r="O181" s="1234">
        <v>0.02</v>
      </c>
      <c r="W181" s="966"/>
      <c r="AE181" s="965"/>
      <c r="AF181" s="979"/>
    </row>
    <row r="182" spans="1:32" ht="27.6">
      <c r="A182" s="1213" t="s">
        <v>1609</v>
      </c>
      <c r="B182" s="1219" t="s">
        <v>1610</v>
      </c>
      <c r="C182" s="1213" t="s">
        <v>1602</v>
      </c>
      <c r="D182" s="1219" t="s">
        <v>1629</v>
      </c>
      <c r="E182" s="1219" t="s">
        <v>1628</v>
      </c>
      <c r="F182" s="1213" t="s">
        <v>1611</v>
      </c>
      <c r="G182" s="1219" t="s">
        <v>1612</v>
      </c>
      <c r="H182" s="1213" t="s">
        <v>1613</v>
      </c>
      <c r="I182" s="404"/>
      <c r="J182" s="944"/>
      <c r="K182" s="1209" t="s">
        <v>949</v>
      </c>
      <c r="L182" s="1245">
        <f>3*L181</f>
        <v>156</v>
      </c>
      <c r="M182" s="944"/>
      <c r="N182" s="944"/>
      <c r="O182" s="944"/>
      <c r="W182" s="966"/>
      <c r="AE182" s="965"/>
      <c r="AF182" s="979"/>
    </row>
    <row r="183" spans="1:32" ht="15" customHeight="1" thickBot="1">
      <c r="A183" s="1247"/>
      <c r="B183" s="419"/>
      <c r="C183" s="839" t="s">
        <v>931</v>
      </c>
      <c r="D183" s="1248">
        <f>A183*B183</f>
        <v>0</v>
      </c>
      <c r="E183" s="1271">
        <f>Q193</f>
        <v>0</v>
      </c>
      <c r="F183" s="1251">
        <f>IF(A183&lt;=$L$166, A183*$L$167, IF(A183&lt;=$M$166,((A183-$L$166)*$M$167+$L$166*$L$167),IF(A183&lt;=$N$166,((A183-$M$166)*$N$167+($M$166-$L$166)*$M$167+$L$166*$L$167),IF(A183&lt;=$O$166,((A183-$N$166)*$O$167+($N$166-$M$166)*$N$167+($M$166-$L$166)*$M$167+$L$166*$L$167),((A183-$O$166)*$P$167+($O$166-$N$166)*$O$167+($N$166-$M$166)*$N$167+($M$166-$L$166)*$M$167+$L$166*$L$167)))))</f>
        <v>0</v>
      </c>
      <c r="G183" s="1252">
        <f>E183*'Liste de prix Public EUROPE'!C1008</f>
        <v>0</v>
      </c>
      <c r="H183" s="1250">
        <f>F183+G183</f>
        <v>0</v>
      </c>
      <c r="I183" s="404"/>
      <c r="J183" s="944"/>
      <c r="K183" s="944"/>
      <c r="L183" s="944"/>
      <c r="M183" s="944"/>
      <c r="N183" s="944"/>
      <c r="O183" s="944"/>
      <c r="W183" s="966"/>
      <c r="AE183" s="965"/>
      <c r="AF183" s="979"/>
    </row>
    <row r="184" spans="1:32" ht="15" hidden="1" customHeight="1">
      <c r="A184" s="376"/>
      <c r="B184" s="767"/>
      <c r="C184" s="767"/>
      <c r="D184" s="64"/>
      <c r="E184" s="172"/>
      <c r="F184" s="855"/>
      <c r="G184" s="172"/>
      <c r="H184" s="172"/>
      <c r="I184" s="99"/>
      <c r="J184" s="944"/>
      <c r="K184" s="944"/>
      <c r="L184" s="944"/>
      <c r="M184" s="944"/>
      <c r="N184" s="944"/>
      <c r="O184" s="944"/>
      <c r="X184" s="946" t="s">
        <v>930</v>
      </c>
      <c r="AE184" s="965" t="e">
        <f>#REF!*'Liste de prix Public EUROPE'!$C$1008*(100%-$B$5)</f>
        <v>#REF!</v>
      </c>
      <c r="AF184" s="979" t="e">
        <f>((IF(#REF!=#REF!,IF(#REF!=#REF!,HLOOKUP(#REF!,$X$187:$AC$197,2,FALSE),IF(#REF!=#REF!,HLOOKUP(#REF!,$X$187:$AC$197,3,FALSE),IF(#REF!=#REF!,HLOOKUP(#REF!,$X$187:$AC$197,3,FALSE)))),IF(#REF!=#REF!,IF(#REF!=#REF!,HLOOKUP(#REF!,$X$187:$AC$197,5,FALSE),IF(#REF!=#REF!,HLOOKUP(#REF!,$X$187:$AC$197,6,FALSE),IF(#REF!=#REF!,HLOOKUP(#REF!,$X$187:$AC$197,7,FALSE)))),IF(#REF!=#REF!,IF(#REF!=#REF!,HLOOKUP(#REF!,$X$187:$AC$197,8,FALSE),IF(#REF!=#REF!,HLOOKUP(#REF!,$X$187:$AC$197,9,FALSE),IF(#REF!=#REF!,HLOOKUP(#REF!,$X$187:$AC$197,10,FALSE),FALSE))))))*#REF!)/1024)</f>
        <v>#REF!</v>
      </c>
    </row>
    <row r="185" spans="1:32" ht="15" hidden="1" customHeight="1">
      <c r="A185" s="2099" t="s">
        <v>745</v>
      </c>
      <c r="B185" s="2100"/>
      <c r="C185" s="368" t="s">
        <v>164</v>
      </c>
      <c r="D185" s="64"/>
      <c r="E185" s="172"/>
      <c r="F185" s="172"/>
      <c r="G185" s="172"/>
      <c r="H185" s="172"/>
      <c r="I185" s="99"/>
      <c r="J185" s="944"/>
      <c r="K185" s="944"/>
      <c r="L185" s="944"/>
      <c r="M185" s="944"/>
      <c r="N185" s="944"/>
      <c r="O185" s="944"/>
      <c r="X185" s="946" t="s">
        <v>931</v>
      </c>
      <c r="AE185" s="965" t="e">
        <f>#REF!*'Liste de prix Public EUROPE'!$C$1008*(100%-$B$5)</f>
        <v>#REF!</v>
      </c>
      <c r="AF185" s="979" t="e">
        <f>((IF(#REF!=#REF!,IF(#REF!=#REF!,HLOOKUP(#REF!,$X$187:$AC$197,2,FALSE),IF(#REF!=#REF!,HLOOKUP(#REF!,$X$187:$AC$197,3,FALSE),IF(#REF!=#REF!,HLOOKUP(#REF!,$X$187:$AC$197,3,FALSE)))),IF(#REF!=#REF!,IF(#REF!=#REF!,HLOOKUP(#REF!,$X$187:$AC$197,5,FALSE),IF(#REF!=#REF!,HLOOKUP(#REF!,$X$187:$AC$197,6,FALSE),IF(#REF!=#REF!,HLOOKUP(#REF!,$X$187:$AC$197,7,FALSE)))),IF(#REF!=#REF!,IF(#REF!=#REF!,HLOOKUP(#REF!,$X$187:$AC$197,8,FALSE),IF(#REF!=#REF!,HLOOKUP(#REF!,$X$187:$AC$197,9,FALSE),IF(#REF!=#REF!,HLOOKUP(#REF!,$X$187:$AC$197,10,FALSE),FALSE))))))*#REF!)/1024)</f>
        <v>#REF!</v>
      </c>
    </row>
    <row r="186" spans="1:32" ht="15.75" hidden="1" customHeight="1" thickBot="1">
      <c r="A186" s="369" t="s">
        <v>743</v>
      </c>
      <c r="B186" s="419"/>
      <c r="C186" s="382">
        <f>IF(B186&lt;='Liste de prix Public EUROPE'!D1012,B186*'Liste de prix Public EUROPE'!E1012,IF(AND(B186&gt;'Liste de prix Public EUROPE'!C1013,B186&lt;='Liste de prix Public EUROPE'!D1013),(B186-'Liste de prix Public EUROPE'!D1012)*'Liste de prix Public EUROPE'!E1013,IF(AND(B186&gt;'Liste de prix Public EUROPE'!C1014,B186&lt;='Liste de prix Public EUROPE'!D1014), ('Liste de prix Public EUROPE'!D1013-'Liste de prix Public EUROPE'!D1012)*'Liste de prix Public EUROPE'!E1013+(B186-'Liste de prix Public EUROPE'!D1013)*'Liste de prix Public EUROPE'!E1014,IF(AND(B186&gt;'Liste de prix Public EUROPE'!C1015,B186&lt;='Liste de prix Public EUROPE'!D1015), ('Liste de prix Public EUROPE'!D1013-'Liste de prix Public EUROPE'!D1012)*'Liste de prix Public EUROPE'!E1013+('Liste de prix Public EUROPE'!D1014-'Liste de prix Public EUROPE'!D1013)*'Liste de prix Public EUROPE'!E1014+(B186-'Liste de prix Public EUROPE'!D1014)*'Liste de prix Public EUROPE'!E1015,IF(AND(B186&gt;'Liste de prix Public EUROPE'!C1016,B186&lt;='Liste de prix Public EUROPE'!D1016), ('Liste de prix Public EUROPE'!D1013-'Liste de prix Public EUROPE'!D1012)*'Liste de prix Public EUROPE'!E1013+('Liste de prix Public EUROPE'!D1014-'Liste de prix Public EUROPE'!D1013)*'Liste de prix Public EUROPE'!E1014+('Liste de prix Public EUROPE'!D1015-'Liste de prix Public EUROPE'!D1014)*'Liste de prix Public EUROPE'!E1015+(B186-'Liste de prix Public EUROPE'!D1015)*'Liste de prix Public EUROPE'!E1016,IF(B186&gt;'Liste de prix Public EUROPE'!D1016,"Contact OCB"))))))*(100%-$B$5)</f>
        <v>0</v>
      </c>
      <c r="D186" s="840"/>
      <c r="E186" s="172"/>
      <c r="F186" s="172"/>
      <c r="G186" s="172"/>
      <c r="H186" s="172"/>
      <c r="I186" s="404"/>
      <c r="J186" s="944"/>
      <c r="K186" s="944"/>
      <c r="L186" s="944"/>
      <c r="M186" s="944"/>
      <c r="N186" s="944"/>
      <c r="O186" s="944"/>
      <c r="X186" s="946" t="s">
        <v>932</v>
      </c>
      <c r="AE186" s="965"/>
      <c r="AF186" s="980"/>
    </row>
    <row r="187" spans="1:32" ht="15.75" hidden="1" customHeight="1" thickBot="1">
      <c r="A187" s="590" t="s">
        <v>744</v>
      </c>
      <c r="B187" s="419"/>
      <c r="C187" s="382">
        <f>IF(B187&lt;='Liste de prix Public EUROPE'!C1021,B187*'Liste de prix Public EUROPE'!E1114,IF(AND(B187&gt;'Liste de prix Public EUROPE'!C1022,B187&lt;='Liste de prix Public EUROPE'!D1022),(B187-'Liste de prix Public EUROPE'!D1021)*'Liste de prix Public EUROPE'!E1022,IF(AND(B187&gt;'Liste de prix Public EUROPE'!C1023,B187&lt;='Liste de prix Public EUROPE'!D1023), ('Liste de prix Public EUROPE'!D1022-'Liste de prix Public EUROPE'!D1021)*'Liste de prix Public EUROPE'!E1022+(B187-'Liste de prix Public EUROPE'!D1022)*'Liste de prix Public EUROPE'!E1023,IF(AND(B187&gt;'Liste de prix Public EUROPE'!C1025,B187&lt;='Liste de prix Public EUROPE'!D1025), ('Liste de prix Public EUROPE'!D1022-'Liste de prix Public EUROPE'!D1021)*'Liste de prix Public EUROPE'!E1022+('Liste de prix Public EUROPE'!D1023-'Liste de prix Public EUROPE'!D1022)*'Liste de prix Public EUROPE'!E1023+(B187-'Liste de prix Public EUROPE'!D1023)*'Liste de prix Public EUROPE'!E1025,IF(AND(B187&gt;'Liste de prix Public EUROPE'!C1026,B187&lt;='Liste de prix Public EUROPE'!D1026), ('Liste de prix Public EUROPE'!D1022-'Liste de prix Public EUROPE'!D1021)*'Liste de prix Public EUROPE'!E1022+('Liste de prix Public EUROPE'!D1023-'Liste de prix Public EUROPE'!D1022)*'Liste de prix Public EUROPE'!E1023+('Liste de prix Public EUROPE'!D1025-'Liste de prix Public EUROPE'!D1023)*'Liste de prix Public EUROPE'!E1025+(B187-'Liste de prix Public EUROPE'!D1025)*'Liste de prix Public EUROPE'!E1026,IF(B187&gt;'Liste de prix Public EUROPE'!D1026,"Contact OCB"))))))*(100%-$B$5)</f>
        <v>0</v>
      </c>
      <c r="D187" s="64"/>
      <c r="E187" s="172"/>
      <c r="F187" s="172"/>
      <c r="G187" s="172"/>
      <c r="H187" s="172"/>
      <c r="I187" s="404"/>
      <c r="J187" s="944"/>
      <c r="K187" s="944"/>
      <c r="L187" s="944"/>
      <c r="M187" s="944"/>
      <c r="N187" s="944"/>
      <c r="O187" s="944"/>
      <c r="V187" s="981" t="s">
        <v>933</v>
      </c>
      <c r="W187" s="982" t="s">
        <v>934</v>
      </c>
      <c r="X187" s="981" t="s">
        <v>928</v>
      </c>
      <c r="Y187" s="981" t="s">
        <v>929</v>
      </c>
      <c r="Z187" s="981" t="s">
        <v>945</v>
      </c>
      <c r="AA187" s="981" t="s">
        <v>930</v>
      </c>
      <c r="AB187" s="981" t="s">
        <v>931</v>
      </c>
      <c r="AC187" s="981" t="s">
        <v>932</v>
      </c>
    </row>
    <row r="188" spans="1:32" ht="15.75" customHeight="1" thickBot="1">
      <c r="A188" s="1196"/>
      <c r="B188" s="1200"/>
      <c r="C188" s="67"/>
      <c r="D188" s="67"/>
      <c r="E188" s="67"/>
      <c r="F188" s="67"/>
      <c r="G188" s="172"/>
      <c r="H188" s="172"/>
      <c r="I188" s="404"/>
      <c r="J188" s="944"/>
      <c r="K188" s="1168" t="s">
        <v>1618</v>
      </c>
      <c r="L188" s="944"/>
      <c r="M188" s="944"/>
      <c r="N188" s="944"/>
      <c r="O188" s="944"/>
      <c r="V188" s="981"/>
      <c r="W188" s="982"/>
      <c r="X188" s="981"/>
      <c r="Y188" s="981"/>
      <c r="Z188" s="981"/>
      <c r="AA188" s="981"/>
      <c r="AB188" s="981"/>
      <c r="AC188" s="981"/>
    </row>
    <row r="189" spans="1:32" ht="15" customHeight="1">
      <c r="A189" s="376"/>
      <c r="B189" s="767"/>
      <c r="C189" s="767"/>
      <c r="D189" s="64"/>
      <c r="E189" s="172"/>
      <c r="F189" s="172"/>
      <c r="G189" s="172"/>
      <c r="H189" s="172"/>
      <c r="I189" s="404"/>
      <c r="J189" s="944"/>
      <c r="K189" s="1168" t="s">
        <v>1645</v>
      </c>
      <c r="L189" s="1168" t="s">
        <v>1620</v>
      </c>
      <c r="M189" s="1168" t="s">
        <v>1646</v>
      </c>
      <c r="N189" s="1168" t="s">
        <v>934</v>
      </c>
      <c r="O189" s="1168" t="s">
        <v>1623</v>
      </c>
      <c r="P189" s="1168" t="s">
        <v>1624</v>
      </c>
      <c r="Q189" s="1168" t="s">
        <v>1625</v>
      </c>
      <c r="R189" s="1168" t="s">
        <v>1647</v>
      </c>
      <c r="V189" s="2076" t="s">
        <v>926</v>
      </c>
      <c r="W189" s="983">
        <v>0.02</v>
      </c>
      <c r="X189" s="984">
        <v>526</v>
      </c>
      <c r="Y189" s="984">
        <v>652</v>
      </c>
      <c r="Z189" s="984">
        <v>940</v>
      </c>
      <c r="AA189" s="984">
        <f>2.02*1024</f>
        <v>2068.48</v>
      </c>
      <c r="AB189" s="984">
        <v>3727.36</v>
      </c>
      <c r="AC189" s="984">
        <v>7137.28</v>
      </c>
    </row>
    <row r="190" spans="1:32">
      <c r="A190" s="2099" t="s">
        <v>630</v>
      </c>
      <c r="B190" s="2100"/>
      <c r="C190" s="368" t="s">
        <v>18</v>
      </c>
      <c r="D190" s="64"/>
      <c r="E190" s="172"/>
      <c r="F190" s="172"/>
      <c r="G190" s="172"/>
      <c r="H190" s="172"/>
      <c r="I190" s="404"/>
      <c r="J190" s="944"/>
      <c r="K190" s="1234">
        <v>0.55000000000000004</v>
      </c>
      <c r="L190" s="1234">
        <v>0.95</v>
      </c>
      <c r="M190" s="1234">
        <v>0.6</v>
      </c>
      <c r="N190" s="1234">
        <f>O181</f>
        <v>0.02</v>
      </c>
      <c r="O190" s="1246">
        <f>D183</f>
        <v>0</v>
      </c>
      <c r="P190" s="1168">
        <f>O180</f>
        <v>26</v>
      </c>
      <c r="Q190" s="1168">
        <f>P190</f>
        <v>26</v>
      </c>
      <c r="R190" s="1168">
        <f>P190*5</f>
        <v>130</v>
      </c>
      <c r="V190" s="2077"/>
      <c r="W190" s="985">
        <v>0.05</v>
      </c>
      <c r="X190" s="986">
        <v>610</v>
      </c>
      <c r="Y190" s="986">
        <v>820</v>
      </c>
      <c r="Z190" s="986">
        <v>1331.2</v>
      </c>
      <c r="AA190" s="986">
        <v>3174.4</v>
      </c>
      <c r="AB190" s="986">
        <v>5939.2</v>
      </c>
      <c r="AC190" s="986">
        <v>11622.4</v>
      </c>
    </row>
    <row r="191" spans="1:32" ht="15" thickBot="1">
      <c r="A191" s="369" t="s">
        <v>468</v>
      </c>
      <c r="B191" s="597"/>
      <c r="C191" s="382">
        <f>B191*'Liste de prix Public EUROPE'!$D$1029</f>
        <v>0</v>
      </c>
      <c r="D191" s="64"/>
      <c r="E191" s="172"/>
      <c r="F191" s="172"/>
      <c r="G191" s="172"/>
      <c r="H191" s="172"/>
      <c r="I191" s="404"/>
      <c r="J191" s="944"/>
      <c r="K191" s="944"/>
      <c r="L191" s="944"/>
      <c r="M191" s="944"/>
      <c r="N191" s="944"/>
      <c r="O191" s="944"/>
      <c r="V191" s="2078"/>
      <c r="W191" s="987">
        <v>0.1</v>
      </c>
      <c r="X191" s="988">
        <v>750</v>
      </c>
      <c r="Y191" s="988">
        <v>1126.4000000000001</v>
      </c>
      <c r="Z191" s="988">
        <v>1945.6</v>
      </c>
      <c r="AA191" s="988">
        <v>5017.6000000000004</v>
      </c>
      <c r="AB191" s="988">
        <v>9625.6</v>
      </c>
      <c r="AC191" s="988">
        <v>19097.599999999999</v>
      </c>
    </row>
    <row r="192" spans="1:32">
      <c r="A192" s="369" t="s">
        <v>467</v>
      </c>
      <c r="B192" s="2097" t="s">
        <v>2464</v>
      </c>
      <c r="C192" s="2098"/>
      <c r="D192" s="64"/>
      <c r="E192" s="172"/>
      <c r="F192" s="172"/>
      <c r="G192" s="172"/>
      <c r="H192" s="172"/>
      <c r="I192" s="404"/>
      <c r="J192" s="944"/>
      <c r="K192" s="944"/>
      <c r="L192" s="944"/>
      <c r="M192" s="1168" t="s">
        <v>1649</v>
      </c>
      <c r="N192" s="1168" t="s">
        <v>1650</v>
      </c>
      <c r="O192" s="1168" t="s">
        <v>1637</v>
      </c>
      <c r="P192" s="1168" t="s">
        <v>1651</v>
      </c>
      <c r="Q192" s="1168" t="s">
        <v>1652</v>
      </c>
      <c r="V192" s="2076" t="s">
        <v>935</v>
      </c>
      <c r="W192" s="983">
        <v>0.02</v>
      </c>
      <c r="X192" s="984">
        <v>476</v>
      </c>
      <c r="Y192" s="984">
        <v>602</v>
      </c>
      <c r="Z192" s="984">
        <v>890</v>
      </c>
      <c r="AA192" s="984">
        <v>2017.28</v>
      </c>
      <c r="AB192" s="984">
        <v>3676.16</v>
      </c>
      <c r="AC192" s="984">
        <v>7086.08</v>
      </c>
    </row>
    <row r="193" spans="1:36">
      <c r="A193" s="376"/>
      <c r="B193" s="64"/>
      <c r="C193" s="64"/>
      <c r="D193" s="64"/>
      <c r="E193" s="172"/>
      <c r="F193" s="172"/>
      <c r="G193" s="172"/>
      <c r="H193" s="172"/>
      <c r="I193" s="404"/>
      <c r="J193" s="944"/>
      <c r="K193" s="944"/>
      <c r="L193" s="944"/>
      <c r="M193" s="1168">
        <f>O190*(1-K190)</f>
        <v>0</v>
      </c>
      <c r="N193" s="1168">
        <f>O190*(1-L190)</f>
        <v>0</v>
      </c>
      <c r="O193" s="1168">
        <f>O190*(1-M190)*N190</f>
        <v>0</v>
      </c>
      <c r="P193" s="1272">
        <f>(O190*P190)+(R190*O190*N190)</f>
        <v>0</v>
      </c>
      <c r="Q193" s="1246">
        <f>M193+((Q190-1)*N193)+(R190*O193)</f>
        <v>0</v>
      </c>
      <c r="V193" s="2077"/>
      <c r="W193" s="985">
        <v>0.05</v>
      </c>
      <c r="X193" s="986">
        <v>560</v>
      </c>
      <c r="Y193" s="986">
        <v>770</v>
      </c>
      <c r="Z193" s="986">
        <v>1280</v>
      </c>
      <c r="AA193" s="986">
        <v>3123.2</v>
      </c>
      <c r="AB193" s="986">
        <v>5888</v>
      </c>
      <c r="AC193" s="986">
        <v>11571.2</v>
      </c>
    </row>
    <row r="194" spans="1:36" ht="15" thickBot="1">
      <c r="A194" s="2099" t="s">
        <v>721</v>
      </c>
      <c r="B194" s="2100"/>
      <c r="C194" s="368" t="s">
        <v>18</v>
      </c>
      <c r="D194" s="64"/>
      <c r="E194" s="172"/>
      <c r="F194" s="172"/>
      <c r="G194" s="172"/>
      <c r="H194" s="172"/>
      <c r="I194" s="404"/>
      <c r="J194" s="944"/>
      <c r="K194" s="944"/>
      <c r="L194" s="944"/>
      <c r="M194" s="944"/>
      <c r="N194" s="944"/>
      <c r="O194" s="944"/>
      <c r="V194" s="2078"/>
      <c r="W194" s="987">
        <v>0.1</v>
      </c>
      <c r="X194" s="988">
        <v>700</v>
      </c>
      <c r="Y194" s="988">
        <v>1075.2</v>
      </c>
      <c r="Z194" s="988">
        <v>1894.4</v>
      </c>
      <c r="AA194" s="988">
        <v>4966.3999999999996</v>
      </c>
      <c r="AB194" s="988">
        <v>9574.4</v>
      </c>
      <c r="AC194" s="988">
        <v>19097.599999999999</v>
      </c>
    </row>
    <row r="195" spans="1:36">
      <c r="A195" s="369" t="s">
        <v>672</v>
      </c>
      <c r="B195" s="700"/>
      <c r="C195" s="382">
        <f>B195*'Liste de prix Public EUROPE'!$D$1175</f>
        <v>0</v>
      </c>
      <c r="D195" s="64"/>
      <c r="E195" s="172"/>
      <c r="F195" s="172"/>
      <c r="G195" s="172"/>
      <c r="H195" s="172"/>
      <c r="I195" s="404"/>
      <c r="J195" s="944"/>
      <c r="K195" s="944"/>
      <c r="L195" s="944"/>
      <c r="M195" s="944"/>
      <c r="N195" s="944"/>
      <c r="O195" s="944"/>
      <c r="V195" s="2076" t="s">
        <v>927</v>
      </c>
      <c r="W195" s="989">
        <v>0.02</v>
      </c>
      <c r="X195" s="990">
        <v>476</v>
      </c>
      <c r="Y195" s="990">
        <v>602</v>
      </c>
      <c r="Z195" s="990">
        <v>890</v>
      </c>
      <c r="AA195" s="990">
        <v>2017.28</v>
      </c>
      <c r="AB195" s="990">
        <v>3676.16</v>
      </c>
      <c r="AC195" s="990">
        <v>7086.08</v>
      </c>
    </row>
    <row r="196" spans="1:36">
      <c r="A196" s="369" t="s">
        <v>673</v>
      </c>
      <c r="B196" s="597"/>
      <c r="C196" s="382">
        <f>B196*'Liste de prix Public EUROPE'!$D$1176</f>
        <v>0</v>
      </c>
      <c r="D196" s="64"/>
      <c r="E196" s="172"/>
      <c r="F196" s="172"/>
      <c r="G196" s="172"/>
      <c r="H196" s="172"/>
      <c r="I196" s="404"/>
      <c r="J196" s="944"/>
      <c r="K196" s="944"/>
      <c r="L196" s="944"/>
      <c r="M196" s="944"/>
      <c r="N196" s="944"/>
      <c r="O196" s="944"/>
      <c r="V196" s="2077"/>
      <c r="W196" s="985">
        <v>0.05</v>
      </c>
      <c r="X196" s="986">
        <v>560</v>
      </c>
      <c r="Y196" s="986">
        <v>770</v>
      </c>
      <c r="Z196" s="986">
        <v>1280</v>
      </c>
      <c r="AA196" s="986">
        <v>3123.2</v>
      </c>
      <c r="AB196" s="986">
        <v>5888</v>
      </c>
      <c r="AC196" s="986">
        <v>11571.2</v>
      </c>
    </row>
    <row r="197" spans="1:36" ht="15" thickBot="1">
      <c r="A197" s="369" t="s">
        <v>671</v>
      </c>
      <c r="B197" s="2097" t="s">
        <v>2465</v>
      </c>
      <c r="C197" s="2098"/>
      <c r="D197" s="64"/>
      <c r="E197" s="172"/>
      <c r="F197" s="172"/>
      <c r="G197" s="172"/>
      <c r="H197" s="172"/>
      <c r="I197" s="404"/>
      <c r="J197" s="944"/>
      <c r="K197" s="944"/>
      <c r="L197" s="944"/>
      <c r="M197" s="944"/>
      <c r="N197" s="944"/>
      <c r="O197" s="944"/>
      <c r="V197" s="2078"/>
      <c r="W197" s="987">
        <v>0.1</v>
      </c>
      <c r="X197" s="988">
        <v>700</v>
      </c>
      <c r="Y197" s="988">
        <v>1075.2</v>
      </c>
      <c r="Z197" s="988">
        <v>1894.4</v>
      </c>
      <c r="AA197" s="988">
        <v>4966.3999999999996</v>
      </c>
      <c r="AB197" s="988">
        <v>9574.4</v>
      </c>
      <c r="AC197" s="988">
        <v>19097.599999999999</v>
      </c>
    </row>
    <row r="198" spans="1:36" ht="15" thickBot="1">
      <c r="A198" s="376"/>
      <c r="B198" s="377" t="s">
        <v>39</v>
      </c>
      <c r="C198" s="378">
        <f>SUM(C195:C196)</f>
        <v>0</v>
      </c>
      <c r="D198" s="64"/>
      <c r="E198" s="172"/>
      <c r="F198" s="172"/>
      <c r="G198" s="172"/>
      <c r="H198" s="172"/>
      <c r="I198" s="404"/>
      <c r="J198" s="944"/>
      <c r="K198" s="944"/>
      <c r="L198" s="944"/>
      <c r="M198" s="944"/>
      <c r="N198" s="944"/>
      <c r="O198" s="944"/>
    </row>
    <row r="199" spans="1:36" ht="15" thickBot="1">
      <c r="A199" s="376"/>
      <c r="B199" s="64"/>
      <c r="C199" s="64"/>
      <c r="D199" s="64"/>
      <c r="E199" s="172"/>
      <c r="F199" s="172"/>
      <c r="G199" s="172"/>
      <c r="H199" s="172"/>
      <c r="I199" s="404"/>
      <c r="J199" s="944"/>
      <c r="K199" s="944"/>
      <c r="L199" s="944"/>
      <c r="M199" s="944"/>
      <c r="N199" s="944"/>
      <c r="O199" s="944"/>
      <c r="AF199" s="981" t="s">
        <v>930</v>
      </c>
      <c r="AG199" s="981" t="s">
        <v>931</v>
      </c>
      <c r="AH199" s="981" t="s">
        <v>932</v>
      </c>
      <c r="AJ199" s="946" t="s">
        <v>930</v>
      </c>
    </row>
    <row r="200" spans="1:36" ht="15" thickBot="1">
      <c r="A200" s="2099" t="s">
        <v>358</v>
      </c>
      <c r="B200" s="2100"/>
      <c r="C200" s="368" t="s">
        <v>18</v>
      </c>
      <c r="D200" s="64"/>
      <c r="E200" s="172"/>
      <c r="F200" s="172"/>
      <c r="G200" s="172"/>
      <c r="H200" s="172"/>
      <c r="I200" s="404"/>
      <c r="J200" s="944"/>
      <c r="K200" s="944"/>
      <c r="L200" s="944"/>
      <c r="M200" s="944"/>
      <c r="N200" s="944"/>
      <c r="O200" s="944"/>
      <c r="AF200" s="991">
        <f t="shared" ref="AF200:AF205" si="1">AA189/(AB189)</f>
        <v>0.55494505494505497</v>
      </c>
      <c r="AG200" s="991">
        <f t="shared" ref="AG200:AG209" si="2">100%-AF200</f>
        <v>0.44505494505494503</v>
      </c>
      <c r="AH200" s="991">
        <f>100%-AJ200</f>
        <v>0.7101865136298422</v>
      </c>
      <c r="AJ200" s="992">
        <f t="shared" ref="AJ200:AJ205" si="3">AA189/(AC189)</f>
        <v>0.28981348637015786</v>
      </c>
    </row>
    <row r="201" spans="1:36" ht="15" thickBot="1">
      <c r="A201" s="518" t="s">
        <v>360</v>
      </c>
      <c r="B201" s="419"/>
      <c r="C201" s="382">
        <f>B201*'Liste de prix Public EUROPE'!$C$1034</f>
        <v>0</v>
      </c>
      <c r="D201" s="1036"/>
      <c r="E201" s="172"/>
      <c r="F201" s="172"/>
      <c r="G201" s="172"/>
      <c r="H201" s="172"/>
      <c r="I201" s="404"/>
      <c r="J201" s="944"/>
      <c r="K201" s="944"/>
      <c r="L201" s="944"/>
      <c r="M201" s="944"/>
      <c r="N201" s="944"/>
      <c r="O201" s="944"/>
      <c r="AF201" s="991">
        <f t="shared" si="1"/>
        <v>0.53448275862068972</v>
      </c>
      <c r="AG201" s="991">
        <f t="shared" si="2"/>
        <v>0.46551724137931028</v>
      </c>
      <c r="AH201" s="991">
        <f>100%-AJ201</f>
        <v>0.72687224669603523</v>
      </c>
      <c r="AJ201" s="992">
        <f t="shared" si="3"/>
        <v>0.27312775330396477</v>
      </c>
    </row>
    <row r="202" spans="1:36" ht="15" thickBot="1">
      <c r="A202" s="518" t="s">
        <v>1209</v>
      </c>
      <c r="B202" s="419"/>
      <c r="C202" s="382">
        <f>B202*'Liste de prix Public EUROPE'!$C$1035</f>
        <v>0</v>
      </c>
      <c r="D202" s="1036"/>
      <c r="E202" s="172"/>
      <c r="F202" s="172"/>
      <c r="G202" s="172"/>
      <c r="H202" s="172"/>
      <c r="I202" s="404"/>
      <c r="J202" s="944"/>
      <c r="K202" s="944"/>
      <c r="L202" s="944"/>
      <c r="M202" s="944"/>
      <c r="N202" s="944"/>
      <c r="O202" s="944"/>
      <c r="AF202" s="991">
        <f t="shared" si="1"/>
        <v>0.52127659574468088</v>
      </c>
      <c r="AG202" s="991">
        <f t="shared" si="2"/>
        <v>0.47872340425531912</v>
      </c>
      <c r="AH202" s="991">
        <f t="shared" ref="AH202:AH209" si="4">100%-AJ202</f>
        <v>0.73726541554959779</v>
      </c>
      <c r="AJ202" s="992">
        <f t="shared" si="3"/>
        <v>0.26273458445040221</v>
      </c>
    </row>
    <row r="203" spans="1:36" ht="15.75" customHeight="1" thickBot="1">
      <c r="A203" s="518" t="s">
        <v>1210</v>
      </c>
      <c r="B203" s="419"/>
      <c r="C203" s="382">
        <f>B203*'Liste de prix Public EUROPE'!$C$1036</f>
        <v>0</v>
      </c>
      <c r="D203" s="1036"/>
      <c r="E203" s="172"/>
      <c r="F203" s="172"/>
      <c r="G203" s="172"/>
      <c r="H203" s="172"/>
      <c r="I203" s="404"/>
      <c r="J203" s="944"/>
      <c r="K203" s="944"/>
      <c r="L203" s="944"/>
      <c r="M203" s="944"/>
      <c r="N203" s="944"/>
      <c r="O203" s="944"/>
      <c r="AF203" s="991">
        <f t="shared" si="1"/>
        <v>0.54874651810584962</v>
      </c>
      <c r="AG203" s="991">
        <f t="shared" si="2"/>
        <v>0.45125348189415038</v>
      </c>
      <c r="AH203" s="991">
        <f t="shared" si="4"/>
        <v>0.71531791907514453</v>
      </c>
      <c r="AJ203" s="992">
        <f t="shared" si="3"/>
        <v>0.28468208092485547</v>
      </c>
    </row>
    <row r="204" spans="1:36" ht="15" thickBot="1">
      <c r="A204" s="376"/>
      <c r="B204" s="64"/>
      <c r="C204" s="64"/>
      <c r="D204" s="64"/>
      <c r="E204" s="172"/>
      <c r="F204" s="172"/>
      <c r="G204" s="172"/>
      <c r="H204" s="172"/>
      <c r="I204" s="404"/>
      <c r="J204" s="944"/>
      <c r="K204" s="944"/>
      <c r="L204" s="944"/>
      <c r="M204" s="944"/>
      <c r="N204" s="944"/>
      <c r="O204" s="944"/>
      <c r="AF204" s="991">
        <f t="shared" si="1"/>
        <v>0.53043478260869559</v>
      </c>
      <c r="AG204" s="991">
        <f t="shared" si="2"/>
        <v>0.46956521739130441</v>
      </c>
      <c r="AH204" s="991">
        <f t="shared" si="4"/>
        <v>0.73008849557522126</v>
      </c>
      <c r="AJ204" s="992">
        <f t="shared" si="3"/>
        <v>0.26991150442477874</v>
      </c>
    </row>
    <row r="205" spans="1:36" ht="15" thickBot="1">
      <c r="A205" s="2099" t="s">
        <v>1062</v>
      </c>
      <c r="B205" s="2100"/>
      <c r="C205" s="368" t="s">
        <v>18</v>
      </c>
      <c r="D205" s="29"/>
      <c r="E205" s="29"/>
      <c r="F205" s="29"/>
      <c r="G205" s="29"/>
      <c r="H205" s="29"/>
      <c r="I205" s="404"/>
      <c r="J205" s="944"/>
      <c r="K205" s="944"/>
      <c r="L205" s="944"/>
      <c r="M205" s="944"/>
      <c r="N205" s="944"/>
      <c r="O205" s="944"/>
      <c r="AF205" s="991">
        <f t="shared" si="1"/>
        <v>0.51871657754010692</v>
      </c>
      <c r="AG205" s="991">
        <f t="shared" si="2"/>
        <v>0.48128342245989308</v>
      </c>
      <c r="AH205" s="991">
        <f t="shared" si="4"/>
        <v>0.73994638069705099</v>
      </c>
      <c r="AJ205" s="992">
        <f t="shared" si="3"/>
        <v>0.26005361930294907</v>
      </c>
    </row>
    <row r="206" spans="1:36" ht="15" thickBot="1">
      <c r="A206" s="369" t="s">
        <v>1957</v>
      </c>
      <c r="B206" s="419"/>
      <c r="C206" s="382">
        <f>IF(B206&lt;='Liste de prix Public EUROPE'!$D$1094,B206*'Liste de prix Public EUROPE'!$E$1114,IF(AND(B206&gt;'Liste de prix Public EUROPE'!$C$1095,B206&lt;='Liste de prix Public EUROPE'!$D$1095),(B206-'Liste de prix Public EUROPE'!$D$1094)*'Liste de prix Public EUROPE'!$E$1095,IF(AND(B206&gt;'Liste de prix Public EUROPE'!$C$1096,$B$206&lt;='Liste de prix Public EUROPE'!$D$1096), ('Liste de prix Public EUROPE'!$D$1095-'Liste de prix Public EUROPE'!$D$1094)*'Liste de prix Public EUROPE'!$E$1095+(B206-'Liste de prix Public EUROPE'!$D$1095)*'Liste de prix Public EUROPE'!$E$1096,IF(B206&gt;='Liste de prix Public EUROPE'!$C$1097,('Liste de prix Public EUROPE'!$D$1095-'Liste de prix Public EUROPE'!$D$1094)*'Liste de prix Public EUROPE'!$E$1095+('Liste de prix Public EUROPE'!$D$1096-'Liste de prix Public EUROPE'!$D$1095)*'Liste de prix Public EUROPE'!$E$1096+(B206-'Liste de prix Public EUROPE'!$D$1096)*'Liste de prix Public EUROPE'!$E$1097))))</f>
        <v>0</v>
      </c>
      <c r="D206" s="2103"/>
      <c r="E206" s="2103"/>
      <c r="F206" s="361"/>
      <c r="G206" s="361"/>
      <c r="H206" s="361"/>
      <c r="I206" s="404"/>
      <c r="J206" s="944"/>
      <c r="K206" s="944"/>
      <c r="L206" s="944"/>
      <c r="AF206" s="991">
        <f>AA195/(AB195)</f>
        <v>0.54874651810584962</v>
      </c>
      <c r="AG206" s="991">
        <f t="shared" si="2"/>
        <v>0.45125348189415038</v>
      </c>
      <c r="AH206" s="991">
        <f t="shared" si="4"/>
        <v>0.71531791907514453</v>
      </c>
      <c r="AJ206" s="992">
        <f>AA195/(AC195)</f>
        <v>0.28468208092485547</v>
      </c>
    </row>
    <row r="207" spans="1:36" ht="15" thickBot="1">
      <c r="A207" s="518" t="s">
        <v>1542</v>
      </c>
      <c r="B207" s="630"/>
      <c r="C207" s="1055">
        <f>IF(B207&lt;='Liste de prix Public EUROPE'!$D$1104,B207*'Liste de prix Public EUROPE'!$E$1104,IF(AND(B207&gt;'Liste de prix Public EUROPE'!$C$1105,B207&lt;='Liste de prix Public EUROPE'!$D$1105),(B207-'Liste de prix Public EUROPE'!$D$1104)*'Liste de prix Public EUROPE'!$E$1105,IF(AND(B207&gt;'Liste de prix Public EUROPE'!$C$1106,B207&lt;='Liste de prix Public EUROPE'!$D$1106), ('Liste de prix Public EUROPE'!$D$1105-'Liste de prix Public EUROPE'!$D$1104)*'Liste de prix Public EUROPE'!$E$1105+(B207-'Liste de prix Public EUROPE'!$D$1105)*'Liste de prix Public EUROPE'!$E$1106,IF(B207&gt;='Liste de prix Public EUROPE'!$C$1107,('Liste de prix Public EUROPE'!$D$1105-'Liste de prix Public EUROPE'!$D$1104)*'Liste de prix Public EUROPE'!$E$1105+('Liste de prix Public EUROPE'!$D$1106-'Liste de prix Public EUROPE'!$D$1105)*'Liste de prix Public EUROPE'!$E$1106+(B207-'Liste de prix Public EUROPE'!$D$1106)*'Liste de prix Public EUROPE'!$E$1107))))</f>
        <v>0</v>
      </c>
      <c r="D207" s="1150"/>
      <c r="E207" s="1150"/>
      <c r="F207" s="361"/>
      <c r="G207" s="361"/>
      <c r="H207" s="361"/>
      <c r="I207" s="404"/>
      <c r="J207" s="944"/>
      <c r="K207" s="944"/>
      <c r="L207" s="944"/>
      <c r="AF207" s="991"/>
      <c r="AG207" s="991"/>
      <c r="AH207" s="991"/>
      <c r="AJ207" s="992"/>
    </row>
    <row r="208" spans="1:36" ht="15" thickBot="1">
      <c r="A208" s="590" t="s">
        <v>548</v>
      </c>
      <c r="B208" s="419"/>
      <c r="C208" s="382">
        <f>IFERROR(IF($B$208&lt;='Liste de prix Public EUROPE'!$D$1114,'Liste de prix Public EUROPE'!$E$1114,IF($B208&gt;5,($B$208-'Liste de prix Public EUROPE'!$D$1114)*'Liste de prix Public EUROPE'!$E$1115,"")),"")</f>
        <v>0</v>
      </c>
      <c r="D208" s="568"/>
      <c r="E208" s="568"/>
      <c r="F208" s="361"/>
      <c r="G208" s="361"/>
      <c r="H208" s="361"/>
      <c r="I208" s="404"/>
      <c r="J208" s="944"/>
      <c r="K208" s="944"/>
      <c r="L208" s="944"/>
      <c r="AF208" s="991">
        <f>AA196/(AB196)</f>
        <v>0.53043478260869559</v>
      </c>
      <c r="AG208" s="991">
        <f t="shared" si="2"/>
        <v>0.46956521739130441</v>
      </c>
      <c r="AH208" s="991">
        <f t="shared" si="4"/>
        <v>0.73008849557522126</v>
      </c>
      <c r="AJ208" s="992">
        <f>AA196/(AC196)</f>
        <v>0.26991150442477874</v>
      </c>
    </row>
    <row r="209" spans="1:36" ht="13.95" customHeight="1">
      <c r="A209" s="590" t="s">
        <v>549</v>
      </c>
      <c r="B209" s="419"/>
      <c r="C209" s="382">
        <f>IFERROR(IF($B$209&lt;='Liste de prix Public EUROPE'!$D$1124,'Liste de prix Public EUROPE'!$E$1124,IF($B$209&gt;5,($B$209-'Liste de prix Public EUROPE'!$D$1124)*'Liste de prix Public EUROPE'!$E$1125,"")),"")</f>
        <v>0</v>
      </c>
      <c r="D209" s="568"/>
      <c r="E209" s="568"/>
      <c r="F209" s="361"/>
      <c r="G209" s="361"/>
      <c r="H209" s="361"/>
      <c r="I209" s="404"/>
      <c r="J209" s="944"/>
      <c r="K209" s="944"/>
      <c r="L209" s="944"/>
      <c r="AF209" s="991">
        <f>AA197/(AB197)</f>
        <v>0.51871657754010692</v>
      </c>
      <c r="AG209" s="991">
        <f t="shared" si="2"/>
        <v>0.48128342245989308</v>
      </c>
      <c r="AH209" s="991">
        <f t="shared" si="4"/>
        <v>0.73994638069705099</v>
      </c>
      <c r="AJ209" s="992">
        <f>AA197/(AC197)</f>
        <v>0.26005361930294907</v>
      </c>
    </row>
    <row r="210" spans="1:36">
      <c r="A210" s="376"/>
      <c r="B210" s="67"/>
      <c r="C210" s="65"/>
      <c r="D210" s="64"/>
      <c r="E210" s="172"/>
      <c r="F210" s="172"/>
      <c r="G210" s="172"/>
      <c r="H210" s="172"/>
      <c r="I210" s="404"/>
      <c r="J210" s="944"/>
      <c r="K210" s="944"/>
      <c r="L210" s="944"/>
      <c r="AE210" s="937"/>
      <c r="AF210" s="937"/>
      <c r="AG210" s="937"/>
    </row>
    <row r="211" spans="1:36">
      <c r="A211" s="2127" t="s">
        <v>1061</v>
      </c>
      <c r="B211" s="2127"/>
      <c r="C211" s="368" t="s">
        <v>18</v>
      </c>
      <c r="D211" s="29"/>
      <c r="E211" s="29"/>
      <c r="F211" s="29"/>
      <c r="G211" s="29"/>
      <c r="H211" s="29"/>
      <c r="I211" s="404"/>
      <c r="J211" s="944"/>
      <c r="K211" s="944"/>
      <c r="L211" s="944"/>
      <c r="O211" s="993"/>
    </row>
    <row r="212" spans="1:36">
      <c r="A212" s="369" t="s">
        <v>1344</v>
      </c>
      <c r="B212" s="420"/>
      <c r="C212" s="1751">
        <f>IFERROR(IF(B212&lt;'Liste de prix Public EUROPE'!$D$1148,B212*'Liste de prix Public EUROPE'!$E$1148,'Liste de prix Public EUROPE'!$D$1148*'Liste de prix Public EUROPE'!$E$1148+(B212-'Liste de prix Public EUROPE'!$D$1148)*'Liste de prix Public EUROPE'!$E$1149),"")</f>
        <v>0</v>
      </c>
      <c r="D212" s="2103"/>
      <c r="E212" s="2103"/>
      <c r="F212" s="361"/>
      <c r="G212" s="361"/>
      <c r="H212" s="361"/>
      <c r="I212" s="404"/>
      <c r="J212" s="944"/>
      <c r="K212" s="944"/>
      <c r="L212" s="944"/>
      <c r="O212" s="993"/>
    </row>
    <row r="213" spans="1:36">
      <c r="A213" s="369" t="s">
        <v>1296</v>
      </c>
      <c r="B213" s="420"/>
      <c r="C213" s="382">
        <f>IFERROR(IF(B213&lt;'Liste de prix Public EUROPE'!$D$1150,B213*'Liste de prix Public EUROPE'!$E$1150,'Liste de prix Public EUROPE'!$D$1150*'Liste de prix Public EUROPE'!$E$1150+(B213-'Liste de prix Public EUROPE'!$D$1150)*'Liste de prix Public EUROPE'!$E$1151),"")</f>
        <v>0</v>
      </c>
      <c r="D213" s="29"/>
      <c r="E213" s="172"/>
      <c r="F213" s="172"/>
      <c r="G213" s="172"/>
      <c r="H213" s="172"/>
      <c r="I213" s="404"/>
      <c r="J213" s="944"/>
      <c r="K213" s="944"/>
      <c r="L213" s="944"/>
      <c r="O213" s="993"/>
    </row>
    <row r="214" spans="1:36">
      <c r="A214" s="590" t="s">
        <v>1345</v>
      </c>
      <c r="B214" s="420"/>
      <c r="C214" s="382">
        <f>B214*'Liste de prix Public EUROPE'!$E$1153</f>
        <v>0</v>
      </c>
      <c r="D214" s="29"/>
      <c r="E214" s="172"/>
      <c r="F214" s="172"/>
      <c r="G214" s="172"/>
      <c r="H214" s="172"/>
      <c r="I214" s="404"/>
      <c r="J214" s="944"/>
      <c r="K214" s="944"/>
      <c r="L214" s="944"/>
      <c r="O214" s="993"/>
    </row>
    <row r="215" spans="1:36">
      <c r="A215" s="590" t="s">
        <v>1297</v>
      </c>
      <c r="B215" s="420"/>
      <c r="C215" s="382">
        <f>B215*'Liste de prix Public EUROPE'!$E$1154</f>
        <v>0</v>
      </c>
      <c r="D215" s="29"/>
      <c r="E215" s="172"/>
      <c r="F215" s="172"/>
      <c r="G215" s="172"/>
      <c r="H215" s="172"/>
      <c r="I215" s="404"/>
      <c r="J215" s="944"/>
      <c r="K215" s="944"/>
      <c r="L215" s="944"/>
      <c r="O215" s="993"/>
    </row>
    <row r="216" spans="1:36">
      <c r="A216" s="590" t="s">
        <v>425</v>
      </c>
      <c r="B216" s="420"/>
      <c r="C216" s="382">
        <f>B216*'Liste de prix Public EUROPE'!$E$1155</f>
        <v>0</v>
      </c>
      <c r="D216" s="29"/>
      <c r="E216" s="172"/>
      <c r="F216" s="172"/>
      <c r="G216" s="172"/>
      <c r="H216" s="172"/>
      <c r="I216" s="404"/>
      <c r="J216" s="944"/>
      <c r="K216" s="944"/>
      <c r="L216" s="944"/>
      <c r="O216" s="993"/>
    </row>
    <row r="217" spans="1:36">
      <c r="A217" s="590" t="s">
        <v>1348</v>
      </c>
      <c r="B217" s="420"/>
      <c r="C217" s="382">
        <f>B217*'Liste de prix Public EUROPE'!$E$1156</f>
        <v>0</v>
      </c>
      <c r="D217" s="29"/>
      <c r="E217" s="172"/>
      <c r="F217" s="172"/>
      <c r="G217" s="172"/>
      <c r="H217" s="172"/>
      <c r="I217" s="404"/>
      <c r="J217" s="944"/>
      <c r="K217" s="944"/>
      <c r="L217" s="944"/>
      <c r="O217" s="993"/>
    </row>
    <row r="218" spans="1:36">
      <c r="A218" s="590" t="s">
        <v>426</v>
      </c>
      <c r="B218" s="420"/>
      <c r="C218" s="382">
        <f>B218*'Liste de prix Public EUROPE'!$E$1157</f>
        <v>0</v>
      </c>
      <c r="D218" s="29"/>
      <c r="E218" s="172"/>
      <c r="F218" s="172"/>
      <c r="G218" s="172"/>
      <c r="H218" s="172"/>
      <c r="I218" s="404"/>
      <c r="J218" s="944"/>
      <c r="K218" s="944"/>
      <c r="L218" s="944"/>
    </row>
    <row r="219" spans="1:36">
      <c r="A219" s="590" t="s">
        <v>2468</v>
      </c>
      <c r="B219" s="1703"/>
      <c r="C219" s="1055" t="s">
        <v>2469</v>
      </c>
      <c r="D219" s="29"/>
      <c r="E219" s="172"/>
      <c r="F219" s="172"/>
      <c r="G219" s="172"/>
      <c r="H219" s="172"/>
      <c r="I219" s="404"/>
      <c r="J219" s="944"/>
      <c r="K219" s="944"/>
      <c r="L219" s="944"/>
    </row>
    <row r="220" spans="1:36">
      <c r="A220" s="376"/>
      <c r="B220" s="377" t="s">
        <v>39</v>
      </c>
      <c r="C220" s="378">
        <f>SUM(C212:C218)</f>
        <v>0</v>
      </c>
      <c r="D220" s="29"/>
      <c r="E220" s="172"/>
      <c r="F220" s="172"/>
      <c r="G220" s="172"/>
      <c r="H220" s="172"/>
      <c r="I220" s="404"/>
      <c r="J220" s="944"/>
      <c r="K220" s="944"/>
      <c r="L220" s="944"/>
    </row>
    <row r="221" spans="1:36">
      <c r="A221" s="376"/>
      <c r="B221" s="67"/>
      <c r="C221" s="65"/>
      <c r="D221" s="64"/>
      <c r="E221" s="172"/>
      <c r="F221" s="172"/>
      <c r="G221" s="172"/>
      <c r="H221" s="172"/>
      <c r="I221" s="404"/>
      <c r="J221" s="944"/>
      <c r="K221" s="944"/>
      <c r="L221" s="944"/>
    </row>
    <row r="222" spans="1:36">
      <c r="A222" s="2099" t="s">
        <v>477</v>
      </c>
      <c r="B222" s="2100"/>
      <c r="C222" s="368" t="s">
        <v>18</v>
      </c>
      <c r="D222" s="64"/>
      <c r="E222" s="172"/>
      <c r="F222" s="172"/>
      <c r="G222" s="172"/>
      <c r="H222" s="172"/>
      <c r="I222" s="404"/>
      <c r="J222" s="944"/>
      <c r="K222" s="944"/>
      <c r="L222" s="944"/>
    </row>
    <row r="223" spans="1:36">
      <c r="A223" s="590" t="s">
        <v>476</v>
      </c>
      <c r="B223" s="419"/>
      <c r="C223" s="382">
        <f>B223*'Liste de prix Public EUROPE'!$D$1161</f>
        <v>0</v>
      </c>
      <c r="D223" s="64"/>
      <c r="E223" s="172"/>
      <c r="F223" s="172"/>
      <c r="G223" s="172"/>
      <c r="H223" s="172"/>
      <c r="I223" s="404"/>
      <c r="J223" s="944"/>
      <c r="K223" s="944"/>
      <c r="L223" s="944"/>
    </row>
    <row r="224" spans="1:36">
      <c r="A224" s="590" t="s">
        <v>436</v>
      </c>
      <c r="B224" s="419"/>
      <c r="C224" s="382">
        <f>B224*'Liste de prix Public EUROPE'!$D$1163</f>
        <v>0</v>
      </c>
      <c r="D224" s="64"/>
      <c r="E224" s="172"/>
      <c r="F224" s="172"/>
      <c r="G224" s="172"/>
      <c r="H224" s="172"/>
      <c r="I224" s="404"/>
      <c r="J224" s="944"/>
      <c r="K224" s="944"/>
      <c r="L224" s="944"/>
    </row>
    <row r="225" spans="1:13">
      <c r="A225" s="590" t="s">
        <v>529</v>
      </c>
      <c r="B225" s="420"/>
      <c r="C225" s="382">
        <f>B225*'Liste de prix Public EUROPE'!$D$1164</f>
        <v>0</v>
      </c>
      <c r="D225" s="64"/>
      <c r="E225" s="172"/>
      <c r="F225" s="172"/>
      <c r="G225" s="172"/>
      <c r="H225" s="172"/>
      <c r="I225" s="404"/>
      <c r="J225" s="944"/>
      <c r="K225" s="944"/>
      <c r="L225" s="944"/>
    </row>
    <row r="226" spans="1:13">
      <c r="A226" s="590" t="s">
        <v>437</v>
      </c>
      <c r="B226" s="419"/>
      <c r="C226" s="382">
        <f>B226*'Liste de prix Public EUROPE'!$D$1166</f>
        <v>0</v>
      </c>
      <c r="D226" s="64"/>
      <c r="E226" s="172"/>
      <c r="F226" s="172"/>
      <c r="G226" s="172"/>
      <c r="H226" s="172"/>
      <c r="I226" s="404"/>
      <c r="J226" s="944"/>
      <c r="K226" s="944"/>
      <c r="L226" s="944"/>
    </row>
    <row r="227" spans="1:13">
      <c r="A227" s="590" t="s">
        <v>530</v>
      </c>
      <c r="B227" s="420"/>
      <c r="C227" s="382">
        <f>B227*'Liste de prix Public EUROPE'!$D$1167</f>
        <v>0</v>
      </c>
      <c r="D227" s="64"/>
      <c r="E227" s="172"/>
      <c r="F227" s="172"/>
      <c r="G227" s="172"/>
      <c r="H227" s="172"/>
      <c r="I227" s="404"/>
      <c r="J227" s="944"/>
      <c r="K227" s="944"/>
      <c r="L227" s="944"/>
    </row>
    <row r="228" spans="1:13">
      <c r="A228" s="590" t="s">
        <v>438</v>
      </c>
      <c r="B228" s="419"/>
      <c r="C228" s="382">
        <f>B228*'Liste de prix Public EUROPE'!$D$1169</f>
        <v>0</v>
      </c>
      <c r="D228" s="64"/>
      <c r="E228" s="172"/>
      <c r="F228" s="172"/>
      <c r="G228" s="172"/>
      <c r="H228" s="172"/>
      <c r="I228" s="404"/>
      <c r="J228" s="944"/>
      <c r="K228" s="944"/>
      <c r="L228" s="944"/>
    </row>
    <row r="229" spans="1:13">
      <c r="A229" s="590" t="s">
        <v>531</v>
      </c>
      <c r="B229" s="420"/>
      <c r="C229" s="382">
        <f>B229*'Liste de prix Public EUROPE'!$D$1170</f>
        <v>0</v>
      </c>
      <c r="D229" s="64"/>
      <c r="E229" s="172"/>
      <c r="F229" s="172"/>
      <c r="G229" s="172"/>
      <c r="H229" s="172"/>
      <c r="I229" s="404"/>
      <c r="J229" s="944"/>
      <c r="K229" s="944"/>
      <c r="L229" s="944"/>
    </row>
    <row r="230" spans="1:13">
      <c r="A230" s="376"/>
      <c r="B230" s="377" t="s">
        <v>39</v>
      </c>
      <c r="C230" s="378">
        <f>SUM(C223:C229)</f>
        <v>0</v>
      </c>
      <c r="D230" s="64"/>
      <c r="E230" s="172"/>
      <c r="F230" s="172"/>
      <c r="G230" s="172"/>
      <c r="H230" s="172"/>
      <c r="I230" s="404"/>
      <c r="J230" s="944"/>
      <c r="K230" s="944"/>
      <c r="L230" s="944"/>
    </row>
    <row r="231" spans="1:13">
      <c r="A231" s="376"/>
      <c r="B231" s="64"/>
      <c r="C231" s="917"/>
      <c r="D231" s="64"/>
      <c r="E231" s="172"/>
      <c r="F231" s="172"/>
      <c r="G231" s="172"/>
      <c r="H231" s="172"/>
      <c r="I231" s="404"/>
      <c r="J231" s="944"/>
      <c r="K231" s="944"/>
      <c r="L231" s="944"/>
    </row>
    <row r="232" spans="1:13">
      <c r="A232" s="1422" t="s">
        <v>2024</v>
      </c>
      <c r="B232" s="1423" t="s">
        <v>1487</v>
      </c>
      <c r="C232" s="368" t="s">
        <v>361</v>
      </c>
      <c r="D232" s="64"/>
      <c r="E232" s="172"/>
      <c r="F232" s="172"/>
      <c r="G232" s="172"/>
      <c r="H232" s="172"/>
      <c r="I232" s="404"/>
      <c r="J232" s="944"/>
      <c r="K232" s="944"/>
      <c r="L232" s="944"/>
    </row>
    <row r="233" spans="1:13">
      <c r="A233" s="590" t="s">
        <v>2023</v>
      </c>
      <c r="B233" s="419"/>
      <c r="C233" s="757">
        <f>B233*'Liste de prix Public EUROPE'!$C$2112</f>
        <v>0</v>
      </c>
      <c r="D233" s="64"/>
      <c r="E233" s="172"/>
      <c r="F233" s="172"/>
      <c r="G233" s="172"/>
      <c r="H233" s="172"/>
      <c r="I233" s="404"/>
      <c r="J233" s="944"/>
      <c r="K233" s="944"/>
      <c r="L233" s="944"/>
    </row>
    <row r="234" spans="1:13">
      <c r="A234" s="376"/>
      <c r="B234" s="64"/>
      <c r="C234" s="917"/>
      <c r="D234" s="64"/>
      <c r="E234" s="172"/>
      <c r="F234" s="172"/>
      <c r="G234" s="172"/>
      <c r="H234" s="172"/>
      <c r="I234" s="404"/>
      <c r="J234" s="944"/>
      <c r="K234" s="944"/>
      <c r="L234" s="944"/>
    </row>
    <row r="235" spans="1:13">
      <c r="A235" s="376"/>
      <c r="B235" s="64"/>
      <c r="C235" s="917"/>
      <c r="D235" s="64"/>
      <c r="E235" s="172"/>
      <c r="F235" s="172"/>
      <c r="G235" s="172"/>
      <c r="H235" s="172"/>
      <c r="I235" s="404"/>
      <c r="J235" s="944"/>
      <c r="K235" s="944"/>
      <c r="L235" s="944"/>
    </row>
    <row r="236" spans="1:13">
      <c r="A236" s="1123" t="s">
        <v>1485</v>
      </c>
      <c r="B236" s="1124" t="s">
        <v>1487</v>
      </c>
      <c r="C236" s="368" t="s">
        <v>18</v>
      </c>
      <c r="D236" s="64"/>
      <c r="E236" s="172"/>
      <c r="F236" s="172"/>
      <c r="G236" s="172"/>
      <c r="H236" s="172"/>
      <c r="I236" s="404"/>
      <c r="J236" s="944"/>
      <c r="K236" s="944"/>
      <c r="L236" s="944"/>
      <c r="M236" s="1435" t="s">
        <v>83</v>
      </c>
    </row>
    <row r="237" spans="1:13">
      <c r="A237" s="590" t="s">
        <v>1480</v>
      </c>
      <c r="B237" s="1133"/>
      <c r="C237" s="757">
        <f>'Liste de prix Public EUROPE'!$C$2116*'Deviseur EUROPE'!B237</f>
        <v>0</v>
      </c>
      <c r="D237" s="64"/>
      <c r="E237" s="172"/>
      <c r="F237" s="172"/>
      <c r="G237" s="172"/>
      <c r="H237" s="172"/>
      <c r="I237" s="404"/>
      <c r="J237" s="944"/>
      <c r="K237" s="944"/>
      <c r="L237" s="944"/>
      <c r="M237" s="1435" t="s">
        <v>2068</v>
      </c>
    </row>
    <row r="238" spans="1:13">
      <c r="A238" s="590" t="s">
        <v>1481</v>
      </c>
      <c r="B238" s="419"/>
      <c r="C238" s="757">
        <f>'Liste de prix Public EUROPE'!$C$2117*'Deviseur EUROPE'!B238</f>
        <v>0</v>
      </c>
      <c r="D238" s="64"/>
      <c r="E238" s="172"/>
      <c r="F238" s="172"/>
      <c r="G238" s="172"/>
      <c r="H238" s="172"/>
      <c r="I238" s="404"/>
      <c r="J238" s="944"/>
      <c r="K238" s="944"/>
      <c r="L238" s="944"/>
      <c r="M238" s="1435" t="s">
        <v>21</v>
      </c>
    </row>
    <row r="239" spans="1:13">
      <c r="A239" s="590" t="s">
        <v>1482</v>
      </c>
      <c r="B239" s="419"/>
      <c r="C239" s="757">
        <f>'Liste de prix Public EUROPE'!$C$2118*'Deviseur EUROPE'!B239</f>
        <v>0</v>
      </c>
      <c r="D239" s="64"/>
      <c r="E239" s="172"/>
      <c r="F239" s="172"/>
      <c r="G239" s="172"/>
      <c r="H239" s="172"/>
      <c r="I239" s="404"/>
      <c r="J239" s="944"/>
      <c r="K239" s="944"/>
      <c r="L239" s="944"/>
      <c r="M239" s="1435" t="s">
        <v>2071</v>
      </c>
    </row>
    <row r="240" spans="1:13">
      <c r="A240" s="1054" t="s">
        <v>1483</v>
      </c>
      <c r="B240" s="419"/>
      <c r="C240" s="757">
        <f>'Liste de prix Public EUROPE'!$C$2119*'Deviseur EUROPE'!B240</f>
        <v>0</v>
      </c>
      <c r="D240" s="64"/>
      <c r="E240" s="172"/>
      <c r="F240" s="172"/>
      <c r="G240" s="172"/>
      <c r="H240" s="172"/>
      <c r="I240" s="404"/>
      <c r="J240" s="944"/>
      <c r="K240" s="944"/>
      <c r="L240" s="944"/>
    </row>
    <row r="241" spans="1:12" ht="15.6">
      <c r="A241" s="1132"/>
      <c r="B241" s="619" t="s">
        <v>1486</v>
      </c>
      <c r="C241" s="1136">
        <f>C237+C238+C239+C240</f>
        <v>0</v>
      </c>
      <c r="D241" s="64"/>
      <c r="E241" s="172"/>
      <c r="F241" s="172"/>
      <c r="G241" s="172"/>
      <c r="H241" s="172"/>
      <c r="I241" s="404"/>
      <c r="J241" s="944"/>
      <c r="K241" s="944"/>
      <c r="L241" s="944"/>
    </row>
    <row r="242" spans="1:12" ht="15.6">
      <c r="A242" s="1132"/>
      <c r="B242" s="64"/>
      <c r="C242" s="917"/>
      <c r="D242" s="64"/>
      <c r="E242" s="172"/>
      <c r="F242" s="172"/>
      <c r="G242" s="172"/>
      <c r="H242" s="172"/>
      <c r="I242" s="404"/>
      <c r="J242" s="944"/>
      <c r="K242" s="944"/>
      <c r="L242" s="944"/>
    </row>
    <row r="243" spans="1:12">
      <c r="A243" s="1429" t="s">
        <v>2074</v>
      </c>
      <c r="B243" s="4"/>
      <c r="C243" s="4"/>
      <c r="D243" s="64"/>
      <c r="E243" s="172"/>
      <c r="F243" s="172"/>
      <c r="G243" s="172"/>
      <c r="H243" s="172"/>
      <c r="I243" s="404"/>
      <c r="J243" s="944"/>
      <c r="K243" s="944"/>
      <c r="L243" s="944"/>
    </row>
    <row r="244" spans="1:12">
      <c r="A244" s="1428" t="s">
        <v>2077</v>
      </c>
      <c r="B244" s="1428" t="s">
        <v>2075</v>
      </c>
      <c r="C244" s="368" t="s">
        <v>18</v>
      </c>
      <c r="D244" s="64"/>
      <c r="E244" s="172"/>
      <c r="F244" s="172"/>
      <c r="G244" s="172"/>
      <c r="H244" s="172"/>
      <c r="I244" s="404"/>
      <c r="J244" s="944"/>
      <c r="K244" s="944"/>
      <c r="L244" s="944"/>
    </row>
    <row r="245" spans="1:12">
      <c r="A245" s="1437"/>
      <c r="B245" s="1437"/>
      <c r="C245" s="757">
        <f>IFERROR(VLOOKUP(A245,'Liste de prix Public EUROPE'!$B$2173:$E$2176,4,FALSE)*B245,0)</f>
        <v>0</v>
      </c>
      <c r="D245" s="64"/>
      <c r="E245" s="172"/>
      <c r="F245" s="172"/>
      <c r="G245" s="172"/>
      <c r="H245" s="172"/>
      <c r="I245" s="404"/>
      <c r="J245" s="944"/>
      <c r="K245" s="944"/>
      <c r="L245" s="944"/>
    </row>
    <row r="246" spans="1:12">
      <c r="A246" s="1437"/>
      <c r="B246" s="1437"/>
      <c r="C246" s="757">
        <f>IFERROR(VLOOKUP(A246,'Liste de prix Public EUROPE'!$B$2173:$E$2176,4,FALSE)*B246,0)</f>
        <v>0</v>
      </c>
      <c r="D246" s="64"/>
      <c r="E246" s="172"/>
      <c r="F246" s="172"/>
      <c r="G246" s="172"/>
      <c r="H246" s="172"/>
      <c r="I246" s="404"/>
      <c r="J246" s="944"/>
      <c r="K246" s="944"/>
      <c r="L246" s="944"/>
    </row>
    <row r="247" spans="1:12">
      <c r="A247" s="1437"/>
      <c r="B247" s="1437"/>
      <c r="C247" s="757">
        <f>IFERROR(VLOOKUP(A247,'Liste de prix Public EUROPE'!$B$2173:$E$2176,4,FALSE)*B247,0)</f>
        <v>0</v>
      </c>
      <c r="D247" s="64"/>
      <c r="E247" s="172"/>
      <c r="F247" s="172"/>
      <c r="G247" s="172"/>
      <c r="H247" s="172"/>
      <c r="I247" s="404"/>
      <c r="J247" s="944"/>
      <c r="K247" s="944"/>
      <c r="L247" s="944"/>
    </row>
    <row r="248" spans="1:12">
      <c r="A248" s="1437"/>
      <c r="B248" s="1437"/>
      <c r="C248" s="757">
        <f>IFERROR(VLOOKUP(A248,'Liste de prix Public EUROPE'!$B$2173:$E$2176,4,FALSE)*B248,0)</f>
        <v>0</v>
      </c>
      <c r="D248" s="64"/>
      <c r="E248" s="172"/>
      <c r="F248" s="172"/>
      <c r="G248" s="172"/>
      <c r="H248" s="172"/>
      <c r="I248" s="404"/>
      <c r="J248" s="944"/>
      <c r="K248" s="944"/>
      <c r="L248" s="944"/>
    </row>
    <row r="249" spans="1:12" ht="15.6">
      <c r="A249" s="1132"/>
      <c r="B249" s="619" t="s">
        <v>1486</v>
      </c>
      <c r="C249" s="757">
        <f>SUM(C245:C248)</f>
        <v>0</v>
      </c>
      <c r="D249" s="64"/>
      <c r="E249" s="172"/>
      <c r="F249" s="172"/>
      <c r="G249" s="172"/>
      <c r="H249" s="172"/>
      <c r="I249" s="404"/>
      <c r="J249" s="944"/>
      <c r="K249" s="944"/>
      <c r="L249" s="944"/>
    </row>
    <row r="250" spans="1:12" ht="15.6">
      <c r="A250" s="1132"/>
      <c r="B250" s="64"/>
      <c r="C250" s="917"/>
      <c r="D250" s="64"/>
      <c r="E250" s="172"/>
      <c r="F250" s="172"/>
      <c r="G250" s="172"/>
      <c r="H250" s="172"/>
      <c r="I250" s="404"/>
      <c r="J250" s="944"/>
      <c r="K250" s="944"/>
      <c r="L250" s="944"/>
    </row>
    <row r="251" spans="1:12">
      <c r="A251" s="1532" t="s">
        <v>2434</v>
      </c>
      <c r="B251" s="1490"/>
      <c r="C251" s="1490"/>
      <c r="D251" s="64"/>
      <c r="E251" s="172"/>
      <c r="F251" s="172"/>
      <c r="G251" s="172"/>
      <c r="H251" s="172"/>
      <c r="I251" s="404"/>
      <c r="J251" s="944"/>
      <c r="K251" s="944"/>
      <c r="L251" s="944"/>
    </row>
    <row r="252" spans="1:12">
      <c r="A252" s="1695" t="s">
        <v>146</v>
      </c>
      <c r="B252" s="1695" t="s">
        <v>2501</v>
      </c>
      <c r="C252" s="368" t="s">
        <v>18</v>
      </c>
      <c r="D252" s="64"/>
      <c r="E252" s="172"/>
      <c r="F252" s="172"/>
      <c r="G252" s="172"/>
      <c r="H252" s="172"/>
      <c r="I252" s="404"/>
      <c r="J252" s="944"/>
      <c r="K252" s="944"/>
      <c r="L252" s="944"/>
    </row>
    <row r="253" spans="1:12">
      <c r="A253" s="1054" t="s">
        <v>2586</v>
      </c>
      <c r="B253" s="1437"/>
      <c r="C253" s="757">
        <f>IFERROR('Liste de prix Public EUROPE'!$E$2180*B253,0)</f>
        <v>0</v>
      </c>
      <c r="D253" s="64"/>
      <c r="E253" s="172"/>
      <c r="F253" s="172"/>
      <c r="G253" s="172"/>
      <c r="H253" s="172"/>
      <c r="I253" s="404"/>
      <c r="J253" s="944"/>
      <c r="K253" s="944"/>
      <c r="L253" s="944"/>
    </row>
    <row r="254" spans="1:12">
      <c r="A254" s="64"/>
      <c r="B254" s="64"/>
      <c r="C254" s="64"/>
      <c r="D254" s="64"/>
      <c r="E254" s="172"/>
      <c r="F254" s="172"/>
      <c r="G254" s="172"/>
      <c r="H254" s="172"/>
      <c r="I254" s="404"/>
      <c r="J254" s="944"/>
      <c r="K254" s="944"/>
      <c r="L254" s="944"/>
    </row>
    <row r="255" spans="1:12">
      <c r="A255" s="1532" t="s">
        <v>2560</v>
      </c>
      <c r="B255" s="1490"/>
      <c r="C255" s="1490"/>
      <c r="D255" s="64"/>
      <c r="E255" s="172"/>
      <c r="F255" s="172"/>
      <c r="G255" s="172"/>
      <c r="H255" s="172"/>
      <c r="I255" s="404"/>
      <c r="J255" s="944"/>
      <c r="K255" s="944"/>
      <c r="L255" s="944"/>
    </row>
    <row r="256" spans="1:12">
      <c r="A256" s="1752" t="s">
        <v>146</v>
      </c>
      <c r="B256" s="1752" t="s">
        <v>2561</v>
      </c>
      <c r="C256" s="368" t="s">
        <v>18</v>
      </c>
      <c r="D256" s="64"/>
      <c r="E256" s="172"/>
      <c r="F256" s="172"/>
      <c r="G256" s="172"/>
      <c r="H256" s="172"/>
      <c r="I256" s="404"/>
      <c r="J256" s="944"/>
      <c r="K256" s="944"/>
      <c r="L256" s="944"/>
    </row>
    <row r="257" spans="1:12">
      <c r="A257" s="1437"/>
      <c r="B257" s="1755"/>
      <c r="C257" s="757">
        <f>IFERROR(VLOOKUP(A257,'Liste de prix Public EUROPE'!$C$2541:$D$2542,2,FALSE)*B257,0)</f>
        <v>0</v>
      </c>
      <c r="D257" s="64"/>
      <c r="E257" s="172"/>
      <c r="F257" s="172"/>
      <c r="G257" s="172"/>
      <c r="H257" s="172"/>
      <c r="I257" s="404"/>
      <c r="J257" s="944"/>
      <c r="K257" s="944"/>
      <c r="L257" s="944"/>
    </row>
    <row r="258" spans="1:12">
      <c r="A258" s="917"/>
      <c r="B258" s="917"/>
      <c r="C258" s="917"/>
      <c r="D258" s="64"/>
      <c r="E258" s="172"/>
      <c r="F258" s="172"/>
      <c r="G258" s="172"/>
      <c r="H258" s="172"/>
      <c r="I258" s="404"/>
      <c r="J258" s="944"/>
      <c r="K258" s="944"/>
      <c r="L258" s="944"/>
    </row>
    <row r="259" spans="1:12">
      <c r="A259" s="1532" t="s">
        <v>2585</v>
      </c>
      <c r="B259" s="1490"/>
      <c r="C259" s="1490"/>
      <c r="D259" s="64"/>
      <c r="E259" s="172"/>
      <c r="F259" s="172"/>
      <c r="G259" s="172"/>
      <c r="H259" s="172"/>
      <c r="I259" s="404"/>
      <c r="J259" s="944"/>
      <c r="K259" s="944"/>
      <c r="L259" s="944"/>
    </row>
    <row r="260" spans="1:12">
      <c r="A260" s="1759" t="s">
        <v>146</v>
      </c>
      <c r="B260" s="1759" t="s">
        <v>2501</v>
      </c>
      <c r="C260" s="368" t="s">
        <v>18</v>
      </c>
      <c r="D260" s="64"/>
      <c r="E260" s="172"/>
      <c r="F260" s="172"/>
      <c r="G260" s="172"/>
      <c r="H260" s="172"/>
      <c r="I260" s="404"/>
      <c r="J260" s="944"/>
      <c r="K260" s="944"/>
      <c r="L260" s="944"/>
    </row>
    <row r="261" spans="1:12">
      <c r="A261" s="1437"/>
      <c r="B261" s="1755"/>
      <c r="C261" s="757">
        <f>IFERROR(VLOOKUP(A261,'Liste de prix Public EUROPE'!$B$2184:$C$2196,2,FALSE)*B261,0)</f>
        <v>0</v>
      </c>
      <c r="D261" s="64"/>
      <c r="E261" s="172"/>
      <c r="F261" s="172"/>
      <c r="G261" s="172"/>
      <c r="H261" s="172"/>
      <c r="I261" s="404"/>
      <c r="J261" s="944"/>
      <c r="K261" s="944"/>
      <c r="L261" s="944"/>
    </row>
    <row r="262" spans="1:12">
      <c r="A262" s="917"/>
      <c r="B262" s="917"/>
      <c r="C262" s="917"/>
      <c r="D262" s="64"/>
      <c r="E262" s="172"/>
      <c r="F262" s="172"/>
      <c r="G262" s="172"/>
      <c r="H262" s="172"/>
      <c r="I262" s="404"/>
      <c r="J262" s="944"/>
      <c r="K262" s="944"/>
      <c r="L262" s="944"/>
    </row>
    <row r="263" spans="1:12" ht="13.5" customHeight="1">
      <c r="A263" s="64"/>
      <c r="B263" s="64"/>
      <c r="C263" s="64"/>
      <c r="D263" s="64"/>
      <c r="E263" s="172"/>
      <c r="F263" s="172"/>
      <c r="G263" s="172"/>
      <c r="H263" s="172"/>
      <c r="I263" s="404"/>
      <c r="J263" s="944"/>
      <c r="K263" s="944"/>
      <c r="L263" s="944"/>
    </row>
    <row r="264" spans="1:12" ht="13.5" customHeight="1">
      <c r="A264" s="343" t="s">
        <v>63</v>
      </c>
      <c r="B264" s="350" t="s">
        <v>339</v>
      </c>
      <c r="C264" s="349"/>
      <c r="D264" s="349"/>
      <c r="E264" s="349"/>
      <c r="F264" s="349"/>
      <c r="G264" s="349"/>
      <c r="H264" s="349"/>
      <c r="I264" s="351"/>
      <c r="J264" s="944"/>
      <c r="K264" s="944"/>
      <c r="L264" s="944"/>
    </row>
    <row r="265" spans="1:12">
      <c r="A265" s="372"/>
      <c r="B265" s="69"/>
      <c r="C265" s="64"/>
      <c r="D265" s="64"/>
      <c r="E265" s="64"/>
      <c r="F265" s="64"/>
      <c r="G265" s="64"/>
      <c r="H265" s="64"/>
      <c r="I265" s="404"/>
      <c r="J265" s="944"/>
      <c r="K265" s="944"/>
      <c r="L265" s="944"/>
    </row>
    <row r="266" spans="1:12" ht="13.5" customHeight="1">
      <c r="A266" s="2099" t="s">
        <v>278</v>
      </c>
      <c r="B266" s="2100"/>
      <c r="C266" s="368" t="s">
        <v>18</v>
      </c>
      <c r="D266" s="64"/>
      <c r="E266" s="64"/>
      <c r="F266" s="64"/>
      <c r="G266" s="64"/>
      <c r="H266" s="64"/>
      <c r="I266" s="404"/>
      <c r="J266" s="944"/>
      <c r="K266" s="944"/>
      <c r="L266" s="944"/>
    </row>
    <row r="267" spans="1:12" ht="13.5" customHeight="1">
      <c r="A267" s="395" t="s">
        <v>352</v>
      </c>
      <c r="B267" s="419"/>
      <c r="C267" s="383">
        <f>IF(B267&lt;='Liste de prix Public EUROPE'!$D$1040,B267*'Liste de prix Public EUROPE'!$E$1040,IF(AND(B267&gt;'Liste de prix Public EUROPE'!$C$1041,B267&lt;='Liste de prix Public EUROPE'!$D$1041),(B267-'Liste de prix Public EUROPE'!$D$1040)*'Liste de prix Public EUROPE'!$E$1041,IF(AND(B267&gt;'Liste de prix Public EUROPE'!$C$1042,B267&lt;='Liste de prix Public EUROPE'!$D$1042), ('Liste de prix Public EUROPE'!$D$1041-'Liste de prix Public EUROPE'!$D$1040)*'Liste de prix Public EUROPE'!$E$1041+(B267-'Liste de prix Public EUROPE'!$D$1041)*'Liste de prix Public EUROPE'!$E$1042,IF(AND(B267&gt;'Liste de prix Public EUROPE'!$C$1043,B267&lt;='Liste de prix Public EUROPE'!$D$1043), ('Liste de prix Public EUROPE'!$D$1041-'Liste de prix Public EUROPE'!$D$1040)*'Liste de prix Public EUROPE'!$E$1041+('Liste de prix Public EUROPE'!$D$1042-'Liste de prix Public EUROPE'!$D$1041)*'Liste de prix Public EUROPE'!$E$1042+(B267-'Liste de prix Public EUROPE'!$D$1042)*'Liste de prix Public EUROPE'!$E$1043,IF(AND(B267&gt;'Liste de prix Public EUROPE'!$C$1044,B267&lt;='Liste de prix Public EUROPE'!$D$1044), ('Liste de prix Public EUROPE'!$D$1041-'Liste de prix Public EUROPE'!$D$1040)*'Liste de prix Public EUROPE'!$E$1041+('Liste de prix Public EUROPE'!$D$1042-'Liste de prix Public EUROPE'!$D$1041)*'Liste de prix Public EUROPE'!$E$1042+('Liste de prix Public EUROPE'!$D$1043-'Liste de prix Public EUROPE'!$D$1042)*'Liste de prix Public EUROPE'!$E$1043+(B267-'Liste de prix Public EUROPE'!$D$1043)*'Liste de prix Public EUROPE'!$E$1044,IF(B267&gt;'Liste de prix Public EUROPE'!$D$1044,"Contact OCB"))))))</f>
        <v>0</v>
      </c>
      <c r="D267" s="68"/>
      <c r="E267" s="64"/>
      <c r="F267" s="298"/>
      <c r="G267" s="298"/>
      <c r="H267" s="917"/>
      <c r="I267" s="404"/>
      <c r="J267" s="944"/>
      <c r="K267" s="944"/>
      <c r="L267" s="944"/>
    </row>
    <row r="268" spans="1:12" ht="13.5" customHeight="1">
      <c r="A268" s="364"/>
      <c r="B268" s="69"/>
      <c r="C268" s="1620"/>
      <c r="D268" s="68"/>
      <c r="E268" s="64"/>
      <c r="F268" s="917"/>
      <c r="G268" s="917"/>
      <c r="H268" s="917"/>
      <c r="I268" s="404"/>
      <c r="J268" s="944"/>
      <c r="K268" s="944"/>
      <c r="L268" s="944"/>
    </row>
    <row r="269" spans="1:12" ht="13.5" customHeight="1">
      <c r="A269" s="2099" t="s">
        <v>2294</v>
      </c>
      <c r="B269" s="2100"/>
      <c r="C269" s="368" t="s">
        <v>18</v>
      </c>
      <c r="D269" s="68"/>
      <c r="E269" s="64"/>
      <c r="F269" s="917"/>
      <c r="G269" s="917"/>
      <c r="H269" s="917"/>
      <c r="I269" s="404"/>
      <c r="J269" s="944"/>
      <c r="K269" s="944"/>
      <c r="L269" s="944"/>
    </row>
    <row r="270" spans="1:12" ht="13.5" customHeight="1">
      <c r="A270" s="1624" t="s">
        <v>2318</v>
      </c>
      <c r="B270" s="1629"/>
      <c r="C270" s="1750">
        <f>IF(B270&lt;='Liste de prix Public EUROPE'!$D$1049,B270*'Liste de prix Public EUROPE'!$E$1049,
IF(AND(B270&gt;'Liste de prix Public EUROPE'!$D$1049,B270&lt;='Liste de prix Public EUROPE'!$D$1050),(('Liste de prix Public EUROPE'!$D$1049*'Liste de prix Public EUROPE'!$E$1049)+(B270-'Liste de prix Public EUROPE'!$D$1049)*'Liste de prix Public EUROPE'!$E$1050),
IF(AND(B270&gt;'Liste de prix Public EUROPE'!$D$1050,B270&lt;='Liste de prix Public EUROPE'!$D$1051),(('Liste de prix Public EUROPE'!$D$1049*'Liste de prix Public EUROPE'!$E$1049)+(('Liste de prix Public EUROPE'!$D$1050-'Liste de prix Public EUROPE'!$D$1049)*'Liste de prix Public EUROPE'!$E$1050)+((B270-'Liste de prix Public EUROPE'!$D$1050)*'Liste de prix Public EUROPE'!$E$1051)),
IF(AND(B270&gt;'Liste de prix Public EUROPE'!$D$1051,B270&lt;='Liste de prix Public EUROPE'!$D$1052),(('Liste de prix Public EUROPE'!$D$1049*'Liste de prix Public EUROPE'!$E$1049)+(('Liste de prix Public EUROPE'!$D$1050-'Liste de prix Public EUROPE'!$D$1049)*'Liste de prix Public EUROPE'!$E$1050)+(('Liste de prix Public EUROPE'!$D$1051-'Liste de prix Public EUROPE'!$D$1050)*'Liste de prix Public EUROPE'!$E$1051)+((B270-'Liste de prix Public EUROPE'!$D$1051)*'Liste de prix Public EUROPE'!$E$1052)),
IF(AND(B270&gt;'Liste de prix Public EUROPE'!$D$1052,B270&lt;='Liste de prix Public EUROPE'!$D$1053),(('Liste de prix Public EUROPE'!$D$1049*'Liste de prix Public EUROPE'!$E$1049)+(('Liste de prix Public EUROPE'!$D$1050-'Liste de prix Public EUROPE'!$D$1049)*'Liste de prix Public EUROPE'!$E$1050)+(('Liste de prix Public EUROPE'!$D$1051-'Liste de prix Public EUROPE'!$D$1050)*'Liste de prix Public EUROPE'!$E$1051)+(('Liste de prix Public EUROPE'!$D$1052-'Liste de prix Public EUROPE'!$D$1051)*'Liste de prix Public EUROPE'!$E$1052)+((B270-'Liste de prix Public EUROPE'!$D$1052)*'Liste de prix Public EUROPE'!$E$1053)),
IF(AND(B270&gt;'Liste de prix Public EUROPE'!$D$1053,B270&lt;='Liste de prix Public EUROPE'!$D$1054),(('Liste de prix Public EUROPE'!$D$1049*'Liste de prix Public EUROPE'!$E$1049)+(('Liste de prix Public EUROPE'!$D$1050-'Liste de prix Public EUROPE'!$D$1049)*'Liste de prix Public EUROPE'!$E$1050)+(('Liste de prix Public EUROPE'!$D$1051-'Liste de prix Public EUROPE'!$D$1050)*'Liste de prix Public EUROPE'!$E$1051)+(('Liste de prix Public EUROPE'!$D$1052-'Liste de prix Public EUROPE'!$D$1051)*'Liste de prix Public EUROPE'!$E$1052)+(('Liste de prix Public EUROPE'!$D$1053-'Liste de prix Public EUROPE'!$D$1052)*'Liste de prix Public EUROPE'!$E$1053)+((B270-'Liste de prix Public EUROPE'!$D$1053)*'Liste de prix Public EUROPE'!$E$1054)),
IF(AND(B270&gt;'Liste de prix Public EUROPE'!$D$1054,B270&lt;='Liste de prix Public EUROPE'!$D$1055),(('Liste de prix Public EUROPE'!$D$1049*'Liste de prix Public EUROPE'!$E$1049)+(('Liste de prix Public EUROPE'!$D$1050-'Liste de prix Public EUROPE'!$D$1049)*'Liste de prix Public EUROPE'!$E$1050)+(('Liste de prix Public EUROPE'!$D$1051-'Liste de prix Public EUROPE'!$D$1050)*'Liste de prix Public EUROPE'!$E$1051)+(('Liste de prix Public EUROPE'!$D$1052-'Liste de prix Public EUROPE'!$D$1051)*'Liste de prix Public EUROPE'!$E$1052)+(('Liste de prix Public EUROPE'!$D$1053-'Liste de prix Public EUROPE'!$D$1052)*'Liste de prix Public EUROPE'!$E$1053))+(('Liste de prix Public EUROPE'!$D$1054-'Liste de prix Public EUROPE'!$D$1053)*'Liste de prix Public EUROPE'!$E$1054)+((B270-'Liste de prix Public EUROPE'!$D$1054)*'Liste de prix Public EUROPE'!$E$1055),
IF(B270&gt;'Liste de prix Public EUROPE'!$D$1055,"Contacter OBS"))))))))</f>
        <v>0</v>
      </c>
      <c r="D270" s="68"/>
      <c r="E270" s="64"/>
      <c r="F270" s="917"/>
      <c r="G270" s="917"/>
      <c r="H270" s="917"/>
      <c r="I270" s="404"/>
      <c r="J270" s="944"/>
      <c r="K270" s="944"/>
      <c r="L270" s="944"/>
    </row>
    <row r="271" spans="1:12" ht="13.5" customHeight="1">
      <c r="A271" s="372"/>
      <c r="B271" s="69"/>
      <c r="C271" s="64"/>
      <c r="D271" s="64"/>
      <c r="E271" s="64"/>
      <c r="F271" s="64"/>
      <c r="G271" s="64"/>
      <c r="H271" s="64"/>
      <c r="I271" s="404"/>
      <c r="J271" s="944"/>
      <c r="K271" s="944"/>
      <c r="L271" s="944"/>
    </row>
    <row r="272" spans="1:12" ht="13.5" customHeight="1">
      <c r="A272" s="2128" t="s">
        <v>233</v>
      </c>
      <c r="B272" s="2129"/>
      <c r="C272" s="384" t="s">
        <v>18</v>
      </c>
      <c r="D272" s="64"/>
      <c r="E272" s="64"/>
      <c r="F272" s="64"/>
      <c r="G272" s="64"/>
      <c r="H272" s="64"/>
      <c r="I272" s="404"/>
      <c r="J272" s="944"/>
      <c r="K272" s="944"/>
      <c r="L272" s="944"/>
    </row>
    <row r="273" spans="1:22">
      <c r="A273" s="369" t="s">
        <v>98</v>
      </c>
      <c r="B273" s="419"/>
      <c r="C273" s="1551">
        <f>IF(B273&lt;='Liste de prix Public EUROPE'!$D$1133,B273*'Liste de prix Public EUROPE'!$E$1133,IF(AND(B273&gt;'Liste de prix Public EUROPE'!$C$1134,B273&lt;='Liste de prix Public EUROPE'!$D$1134),(B273-'Liste de prix Public EUROPE'!$D$1133)*'Liste de prix Public EUROPE'!$E$1134,IF(AND(B273&gt;'Liste de prix Public EUROPE'!$C$1135,B273&lt;='Liste de prix Public EUROPE'!$D$1135), ('Liste de prix Public EUROPE'!$D$1134-'Liste de prix Public EUROPE'!$D$1133)*'Liste de prix Public EUROPE'!$E$1134+(B273-'Liste de prix Public EUROPE'!$D$1134)*'Liste de prix Public EUROPE'!$E$1135,IF(AND(B273&gt;'Liste de prix Public EUROPE'!$C$1136,B273&lt;='Liste de prix Public EUROPE'!$D$1136), ('Liste de prix Public EUROPE'!$D$1134-'Liste de prix Public EUROPE'!$D$1133)*'Liste de prix Public EUROPE'!$E$1134+('Liste de prix Public EUROPE'!$D$1135-'Liste de prix Public EUROPE'!$D$1134)*'Liste de prix Public EUROPE'!$E$1135+(B273-'Liste de prix Public EUROPE'!$D$1135)*'Liste de prix Public EUROPE'!$E$1136,IF(AND(B273&gt;'Liste de prix Public EUROPE'!$C$1137,B273&lt;='Liste de prix Public EUROPE'!$D$1137), ('Liste de prix Public EUROPE'!$D$1134-'Liste de prix Public EUROPE'!$D$1133)*'Liste de prix Public EUROPE'!$E$1134+('Liste de prix Public EUROPE'!$D$1135-'Liste de prix Public EUROPE'!$D$1134)*'Liste de prix Public EUROPE'!$E$1135+('Liste de prix Public EUROPE'!$D$1136-'Liste de prix Public EUROPE'!$D$1135)*'Liste de prix Public EUROPE'!$E$1136+(B273-'Liste de prix Public EUROPE'!$D$1136)*'Liste de prix Public EUROPE'!$E$1137,IF(B273&gt;'Liste de prix Public EUROPE'!$D$1137,"Contacter OBS"))))))</f>
        <v>0</v>
      </c>
      <c r="D273" s="64"/>
      <c r="E273" s="64"/>
      <c r="F273" s="64"/>
      <c r="G273" s="64"/>
      <c r="H273" s="64"/>
      <c r="I273" s="404"/>
      <c r="J273" s="944"/>
      <c r="K273" s="944"/>
      <c r="L273" s="944"/>
      <c r="V273" s="966"/>
    </row>
    <row r="274" spans="1:22">
      <c r="A274" s="363"/>
      <c r="B274" s="173"/>
      <c r="C274" s="64"/>
      <c r="D274" s="64"/>
      <c r="E274" s="64"/>
      <c r="F274" s="64"/>
      <c r="G274" s="64"/>
      <c r="H274" s="64"/>
      <c r="I274" s="404"/>
      <c r="J274" s="944"/>
      <c r="K274" s="944"/>
      <c r="L274" s="944"/>
      <c r="V274" s="966"/>
    </row>
    <row r="275" spans="1:22">
      <c r="A275" s="2119" t="s">
        <v>237</v>
      </c>
      <c r="B275" s="2118"/>
      <c r="C275" s="368" t="s">
        <v>18</v>
      </c>
      <c r="D275" s="173"/>
      <c r="E275" s="64"/>
      <c r="F275" s="64"/>
      <c r="G275" s="64"/>
      <c r="H275" s="64"/>
      <c r="I275" s="404"/>
      <c r="J275" s="944"/>
      <c r="K275" s="944"/>
      <c r="L275" s="944"/>
      <c r="V275" s="966"/>
    </row>
    <row r="276" spans="1:22">
      <c r="A276" s="369" t="s">
        <v>79</v>
      </c>
      <c r="B276" s="417"/>
      <c r="C276" s="385">
        <f>IF(B276=0,0,B276*'Liste de prix Public EUROPE'!$C$1183*730)</f>
        <v>0</v>
      </c>
      <c r="D276" s="173"/>
      <c r="E276" s="64"/>
      <c r="F276" s="64"/>
      <c r="G276" s="64"/>
      <c r="H276" s="64"/>
      <c r="I276" s="404"/>
      <c r="J276" s="944"/>
      <c r="K276" s="944"/>
      <c r="L276" s="944"/>
      <c r="V276" s="966"/>
    </row>
    <row r="277" spans="1:22">
      <c r="A277" s="363"/>
      <c r="B277" s="173"/>
      <c r="C277" s="173"/>
      <c r="D277" s="173"/>
      <c r="E277" s="64"/>
      <c r="F277" s="64"/>
      <c r="G277" s="64"/>
      <c r="H277" s="64"/>
      <c r="I277" s="404"/>
      <c r="J277" s="944"/>
      <c r="K277" s="944"/>
      <c r="L277" s="944"/>
      <c r="V277" s="966"/>
    </row>
    <row r="278" spans="1:22">
      <c r="A278" s="386" t="s">
        <v>2499</v>
      </c>
      <c r="B278" s="387" t="s">
        <v>90</v>
      </c>
      <c r="C278" s="388" t="s">
        <v>91</v>
      </c>
      <c r="D278" s="368" t="s">
        <v>18</v>
      </c>
      <c r="E278" s="368" t="s">
        <v>23</v>
      </c>
      <c r="F278" s="172"/>
      <c r="G278" s="172"/>
      <c r="H278" s="172"/>
      <c r="I278" s="99"/>
      <c r="J278" s="944"/>
      <c r="K278" s="944"/>
      <c r="L278" s="944" t="s">
        <v>545</v>
      </c>
      <c r="P278" s="945" t="s">
        <v>2818</v>
      </c>
    </row>
    <row r="279" spans="1:22">
      <c r="A279" s="1074" t="s">
        <v>1323</v>
      </c>
      <c r="B279" s="417"/>
      <c r="C279" s="502"/>
      <c r="D279" s="389">
        <f>IFERROR(IF(C279='Liste de prix Public EUROPE'!$B$1192,0,IF(C279='Liste de prix Public EUROPE'!$B$1193,'Liste de prix Public EUROPE'!$E$1193,IF(C279='Liste de prix Public EUROPE'!$B$1194,'Liste de prix Public EUROPE'!$E$1194,IF(C279='Liste de prix Public EUROPE'!$B$1195,'Liste de prix Public EUROPE'!$E$1195,IF(C279='Liste de prix Public EUROPE'!$B$1198,'Liste de prix Public EUROPE'!$E$1198,IF(C279='Liste de prix Public EUROPE'!$B$1199,'Liste de prix Public EUROPE'!$E$1199,IF(C279='Liste de prix Public EUROPE'!$B$1200,'Liste de prix Public EUROPE'!$E$1200,IF(C279='Liste de prix Public EUROPE'!$B$1202,'Liste de prix Public EUROPE'!$E$1202,IF(C279='Liste de prix Public EUROPE'!$B$1203,'Liste de prix Public EUROPE'!$E$1203,IF(C279='Liste de prix Public EUROPE'!$B$1204,'Liste de prix Public EUROPE'!$E$1204,IF(C279='Liste de prix Public EUROPE'!$B$1205,'Liste de prix Public EUROPE'!$E$1205,IF(C279='Liste de prix Public EUROPE'!$B$1206,'Liste de prix Public EUROPE'!$E$1206,IF(C279='Liste de prix Public EUROPE'!$B$1196,'Liste de prix Public EUROPE'!$E$1196,IF(C279='Liste de prix Public EUROPE'!$B$1197,'Liste de prix Public EUROPE'!$E$1197,IF(C279='Liste de prix Public EUROPE'!$B$1207,'Liste de prix Public EUROPE'!$E$1207,IF(C279='Liste de prix Public EUROPE'!$B$1201,'Liste de prix Public EUROPE'!$E$1201,""))))))))))))))))*B279,0)</f>
        <v>0</v>
      </c>
      <c r="E279" s="389">
        <f>IF(D279&lt;&gt;"",700,0)*B279</f>
        <v>0</v>
      </c>
      <c r="F279" s="172"/>
      <c r="G279" s="172"/>
      <c r="H279" s="172"/>
      <c r="I279" s="99"/>
      <c r="J279" s="944"/>
      <c r="K279" s="944"/>
      <c r="L279" s="944" t="s">
        <v>546</v>
      </c>
      <c r="M279" s="945" t="s">
        <v>1385</v>
      </c>
      <c r="N279" s="945" t="s">
        <v>2609</v>
      </c>
      <c r="V279" s="966"/>
    </row>
    <row r="280" spans="1:22">
      <c r="A280" s="1074" t="s">
        <v>1324</v>
      </c>
      <c r="B280" s="417"/>
      <c r="C280" s="502"/>
      <c r="D280" s="389">
        <f>IFERROR(IF(C280='Liste de prix Public EUROPE'!$B$1208,'Liste de prix Public EUROPE'!$E$1208,IF(C280='Liste de prix Public EUROPE'!$B$1204,'Liste de prix Public EUROPE'!$G$1204,IF(C280='Liste de prix Public EUROPE'!$B$1205,'Liste de prix Public EUROPE'!$E$1205,IF(C280='Liste de prix Public EUROPE'!$B$1206,'Liste de prix Public EUROPE'!$E$1206,IF(C280='Liste de prix Public EUROPE'!$B$1207,'Liste de prix Public EUROPE'!$E$1207,IF(C280='Liste de prix Public EUROPE'!$B$1197,'Liste de prix Public EUROPE'!$E$1197,IF(C280='Liste de prix Public EUROPE'!$B$1198,'Liste de prix Public EUROPE'!$E$1198,IF(C280='Liste de prix Public EUROPE'!$B$1202,'Liste de prix Public EUROPE'!$E$1202,""))))))))*B280,0)</f>
        <v>0</v>
      </c>
      <c r="E280" s="389">
        <f>IF(D280&lt;&gt;"",3600,0)*B280</f>
        <v>0</v>
      </c>
      <c r="F280" s="172"/>
      <c r="G280" s="172"/>
      <c r="H280" s="172"/>
      <c r="I280" s="99"/>
      <c r="J280" s="944"/>
      <c r="K280" s="944"/>
      <c r="L280" s="944" t="s">
        <v>1258</v>
      </c>
      <c r="M280" s="945" t="s">
        <v>1385</v>
      </c>
      <c r="N280" s="945" t="s">
        <v>2609</v>
      </c>
      <c r="P280" s="945" t="s">
        <v>2609</v>
      </c>
      <c r="V280" s="966"/>
    </row>
    <row r="281" spans="1:22">
      <c r="A281" s="390"/>
      <c r="B281" s="172"/>
      <c r="C281" s="377" t="s">
        <v>39</v>
      </c>
      <c r="D281" s="389">
        <f>SUM(D279:D280)</f>
        <v>0</v>
      </c>
      <c r="E281" s="389">
        <f>SUM(E279:E280)</f>
        <v>0</v>
      </c>
      <c r="F281" s="172"/>
      <c r="G281" s="172"/>
      <c r="H281" s="172"/>
      <c r="I281" s="99"/>
      <c r="J281" s="944"/>
      <c r="K281" s="944"/>
      <c r="L281" s="944"/>
      <c r="M281" s="945" t="s">
        <v>1386</v>
      </c>
      <c r="N281" s="945" t="s">
        <v>2606</v>
      </c>
      <c r="P281" s="945" t="s">
        <v>2606</v>
      </c>
      <c r="V281" s="966"/>
    </row>
    <row r="282" spans="1:22">
      <c r="A282" s="390"/>
      <c r="B282" s="172"/>
      <c r="C282" s="64"/>
      <c r="D282" s="762"/>
      <c r="E282" s="762"/>
      <c r="F282" s="172"/>
      <c r="G282" s="172"/>
      <c r="H282" s="172"/>
      <c r="I282" s="99"/>
      <c r="J282" s="944"/>
      <c r="K282" s="944"/>
      <c r="L282" s="944"/>
      <c r="M282" s="945" t="s">
        <v>1387</v>
      </c>
      <c r="N282" s="945" t="s">
        <v>2394</v>
      </c>
      <c r="P282" s="945" t="s">
        <v>2394</v>
      </c>
      <c r="V282" s="966"/>
    </row>
    <row r="283" spans="1:22">
      <c r="A283" s="386" t="s">
        <v>1325</v>
      </c>
      <c r="B283" s="387" t="s">
        <v>90</v>
      </c>
      <c r="C283" s="1046" t="s">
        <v>91</v>
      </c>
      <c r="D283" s="368" t="s">
        <v>18</v>
      </c>
      <c r="E283" s="368" t="s">
        <v>23</v>
      </c>
      <c r="F283" s="172"/>
      <c r="G283" s="172"/>
      <c r="H283" s="172"/>
      <c r="I283" s="99"/>
      <c r="J283" s="944"/>
      <c r="K283" s="944"/>
      <c r="L283" s="944"/>
      <c r="M283" s="945" t="s">
        <v>1388</v>
      </c>
      <c r="N283" s="945" t="s">
        <v>2607</v>
      </c>
      <c r="P283" s="945" t="s">
        <v>2607</v>
      </c>
      <c r="V283" s="966"/>
    </row>
    <row r="284" spans="1:22" ht="15" customHeight="1">
      <c r="A284" s="1074" t="s">
        <v>1326</v>
      </c>
      <c r="B284" s="417"/>
      <c r="C284" s="502"/>
      <c r="D284" s="1050">
        <f>IFERROR(IF(C284='Liste de prix Public EUROPE'!$B$1212,'Liste de prix Public EUROPE'!$E$1212,IF(C284='Liste de prix Public EUROPE'!$B$1213,'Liste de prix Public EUROPE'!$E$1213,IF(C284='Liste de prix Public EUROPE'!$B$1214,'Liste de prix Public EUROPE'!$E$1214,IF(C284='Liste de prix Public EUROPE'!$B$1215,'Liste de prix Public EUROPE'!$E$1215,IF(C284='Liste de prix Public EUROPE'!$B$1218,'Liste de prix Public EUROPE'!$E$1218,IF(C284='Liste de prix Public EUROPE'!$B$1219,'Liste de prix Public EUROPE'!$E$1219,IF(C284='Liste de prix Public EUROPE'!$B$1220,'Liste de prix Public EUROPE'!$E$1220,IF(C284='Liste de prix Public EUROPE'!$B$1222,'Liste de prix Public EUROPE'!$E$1222,IF(C284='Liste de prix Public EUROPE'!$B$1223,'Liste de prix Public EUROPE'!$E$1223,IF(C284='Liste de prix Public EUROPE'!$B$1224,'Liste de prix Public EUROPE'!$E$1224,IF(C284='Liste de prix Public EUROPE'!$B$1225,'Liste de prix Public EUROPE'!$E$1225,IF(C284='Liste de prix Public EUROPE'!$B$1226,'Liste de prix Public EUROPE'!$E$1226,IF(C284='Liste de prix Public EUROPE'!$B$1216,'Liste de prix Public EUROPE'!$E$1216,IF(C284='Liste de prix Public EUROPE'!$B$1217,'Liste de prix Public EUROPE'!$E$1217,IF(C284='Liste de prix Public EUROPE'!$B$1227,'Liste de prix Public EUROPE'!$E$1227,IF(C284='Liste de prix Public EUROPE'!$B$1221,'Liste de prix Public EUROPE'!$E$1221,""))))))))))))))))*B284,0)</f>
        <v>0</v>
      </c>
      <c r="E284" s="389">
        <v>0</v>
      </c>
      <c r="F284" s="172"/>
      <c r="G284" s="172"/>
      <c r="H284" s="172"/>
      <c r="I284" s="99"/>
      <c r="J284" s="944"/>
      <c r="K284" s="944"/>
      <c r="L284" s="944"/>
      <c r="M284" s="945" t="s">
        <v>1389</v>
      </c>
      <c r="N284" s="945" t="s">
        <v>2395</v>
      </c>
      <c r="P284" s="945" t="s">
        <v>2395</v>
      </c>
      <c r="V284" s="966"/>
    </row>
    <row r="285" spans="1:22">
      <c r="A285" s="1074" t="s">
        <v>1327</v>
      </c>
      <c r="B285" s="417"/>
      <c r="C285" s="502"/>
      <c r="D285" s="1050">
        <f>IFERROR(IF(C285='Liste de prix Public EUROPE'!$B$1223,'Liste de prix Public EUROPE'!$E$1223,IF(C285='Liste de prix Public EUROPE'!$B$1226,'Liste de prix Public EUROPE'!$E$1226,IF(C285='Liste de prix Public EUROPE'!$B$1227,'Liste de prix Public EUROPE'!$E$1227,"")))*B285,0)</f>
        <v>0</v>
      </c>
      <c r="E285" s="389">
        <v>0</v>
      </c>
      <c r="F285" s="172"/>
      <c r="G285" s="172"/>
      <c r="H285" s="172"/>
      <c r="I285" s="99"/>
      <c r="J285" s="944"/>
      <c r="K285" s="944"/>
      <c r="L285" s="944"/>
      <c r="M285" s="945" t="s">
        <v>1390</v>
      </c>
      <c r="N285" s="945" t="s">
        <v>2366</v>
      </c>
      <c r="P285" s="945" t="s">
        <v>2366</v>
      </c>
      <c r="V285" s="966"/>
    </row>
    <row r="286" spans="1:22">
      <c r="A286" s="390"/>
      <c r="B286" s="172"/>
      <c r="C286" s="377" t="s">
        <v>39</v>
      </c>
      <c r="D286" s="389">
        <f>SUM(D284:D285)</f>
        <v>0</v>
      </c>
      <c r="E286" s="389">
        <f>SUM(E284:E285)</f>
        <v>0</v>
      </c>
      <c r="F286" s="172"/>
      <c r="G286" s="172"/>
      <c r="H286" s="172"/>
      <c r="I286" s="99"/>
      <c r="J286" s="944"/>
      <c r="K286" s="944"/>
      <c r="L286" s="944"/>
      <c r="M286" s="945" t="s">
        <v>1391</v>
      </c>
      <c r="N286" s="945" t="s">
        <v>2396</v>
      </c>
      <c r="P286" s="945" t="s">
        <v>2396</v>
      </c>
      <c r="V286" s="966"/>
    </row>
    <row r="287" spans="1:22">
      <c r="A287" s="390"/>
      <c r="B287" s="172"/>
      <c r="C287" s="172"/>
      <c r="D287" s="172"/>
      <c r="E287" s="172"/>
      <c r="F287" s="172"/>
      <c r="G287" s="172"/>
      <c r="H287" s="172"/>
      <c r="I287" s="99"/>
      <c r="J287" s="944"/>
      <c r="K287" s="944"/>
      <c r="M287" s="945" t="s">
        <v>1392</v>
      </c>
      <c r="N287" s="945" t="s">
        <v>2367</v>
      </c>
      <c r="P287" s="945" t="s">
        <v>2367</v>
      </c>
      <c r="V287" s="966"/>
    </row>
    <row r="288" spans="1:22">
      <c r="A288" s="391" t="s">
        <v>72</v>
      </c>
      <c r="B288" s="392"/>
      <c r="C288" s="368" t="s">
        <v>361</v>
      </c>
      <c r="D288" s="368" t="s">
        <v>75</v>
      </c>
      <c r="E288" s="172"/>
      <c r="F288" s="172"/>
      <c r="G288" s="172"/>
      <c r="H288" s="172"/>
      <c r="I288" s="99"/>
      <c r="J288" s="944"/>
      <c r="K288" s="944"/>
      <c r="M288" s="945" t="s">
        <v>1393</v>
      </c>
      <c r="N288" s="945" t="s">
        <v>2393</v>
      </c>
      <c r="P288" s="945" t="s">
        <v>2393</v>
      </c>
      <c r="V288" s="966"/>
    </row>
    <row r="289" spans="1:22">
      <c r="A289" s="369" t="s">
        <v>64</v>
      </c>
      <c r="B289" s="503"/>
      <c r="C289" s="393">
        <f>B289*'Liste de prix Public EUROPE'!$F$1231</f>
        <v>0</v>
      </c>
      <c r="D289" s="393">
        <f>C289*'Liste de prix Public EUROPE'!G1231</f>
        <v>0</v>
      </c>
      <c r="E289" s="173"/>
      <c r="F289" s="172"/>
      <c r="G289" s="172"/>
      <c r="H289" s="172"/>
      <c r="I289" s="404"/>
      <c r="J289" s="944"/>
      <c r="K289" s="944"/>
      <c r="M289" s="945" t="s">
        <v>1394</v>
      </c>
      <c r="N289" s="945" t="s">
        <v>2368</v>
      </c>
      <c r="P289" s="945" t="s">
        <v>2368</v>
      </c>
      <c r="V289" s="966"/>
    </row>
    <row r="290" spans="1:22">
      <c r="A290" s="369" t="s">
        <v>65</v>
      </c>
      <c r="B290" s="503"/>
      <c r="C290" s="393">
        <f>B290*'Liste de prix Public EUROPE'!$F$1232</f>
        <v>0</v>
      </c>
      <c r="D290" s="393">
        <f>C290*'Liste de prix Public EUROPE'!G1232</f>
        <v>0</v>
      </c>
      <c r="E290" s="173"/>
      <c r="F290" s="172"/>
      <c r="G290" s="172"/>
      <c r="H290" s="172"/>
      <c r="I290" s="404"/>
      <c r="J290" s="944"/>
      <c r="K290" s="944"/>
      <c r="L290" s="944"/>
      <c r="M290" s="945" t="s">
        <v>1395</v>
      </c>
      <c r="N290" s="945" t="s">
        <v>2637</v>
      </c>
      <c r="P290" s="945" t="s">
        <v>2637</v>
      </c>
      <c r="V290" s="966"/>
    </row>
    <row r="291" spans="1:22">
      <c r="A291" s="376"/>
      <c r="B291" s="64"/>
      <c r="C291" s="64"/>
      <c r="D291" s="64"/>
      <c r="E291" s="64"/>
      <c r="F291" s="64"/>
      <c r="G291" s="64"/>
      <c r="H291" s="64"/>
      <c r="I291" s="404"/>
      <c r="J291" s="944"/>
      <c r="K291" s="944"/>
      <c r="L291" s="944"/>
      <c r="M291" s="945" t="s">
        <v>1396</v>
      </c>
      <c r="N291" s="945" t="s">
        <v>2378</v>
      </c>
      <c r="P291" s="945" t="s">
        <v>2378</v>
      </c>
      <c r="V291" s="966"/>
    </row>
    <row r="292" spans="1:22">
      <c r="A292" s="2119" t="s">
        <v>121</v>
      </c>
      <c r="B292" s="2118"/>
      <c r="C292" s="368" t="s">
        <v>18</v>
      </c>
      <c r="D292" s="64"/>
      <c r="E292" s="64"/>
      <c r="F292" s="64"/>
      <c r="G292" s="64"/>
      <c r="H292" s="64"/>
      <c r="I292" s="404"/>
      <c r="J292" s="944"/>
      <c r="K292" s="944"/>
      <c r="L292" s="944"/>
      <c r="M292" s="945" t="s">
        <v>1397</v>
      </c>
      <c r="N292" s="945" t="s">
        <v>2638</v>
      </c>
      <c r="P292" s="945" t="s">
        <v>2638</v>
      </c>
      <c r="V292" s="966"/>
    </row>
    <row r="293" spans="1:22">
      <c r="A293" s="369" t="s">
        <v>122</v>
      </c>
      <c r="B293" s="417"/>
      <c r="C293" s="382">
        <f>B293*'Liste de prix Public EUROPE'!$C$1064*730</f>
        <v>0</v>
      </c>
      <c r="D293" s="64"/>
      <c r="E293" s="64"/>
      <c r="F293" s="64"/>
      <c r="G293" s="64"/>
      <c r="H293" s="64"/>
      <c r="I293" s="404"/>
      <c r="J293" s="944"/>
      <c r="K293" s="944"/>
      <c r="L293" s="944"/>
      <c r="M293" s="945" t="s">
        <v>1398</v>
      </c>
      <c r="N293" s="945" t="s">
        <v>2641</v>
      </c>
      <c r="P293" s="945" t="s">
        <v>2641</v>
      </c>
      <c r="V293" s="966"/>
    </row>
    <row r="294" spans="1:22">
      <c r="A294" s="376"/>
      <c r="B294" s="64"/>
      <c r="C294" s="67"/>
      <c r="D294" s="64"/>
      <c r="E294" s="64"/>
      <c r="F294" s="64"/>
      <c r="G294" s="64"/>
      <c r="H294" s="64"/>
      <c r="I294" s="404"/>
      <c r="J294" s="944"/>
      <c r="K294" s="944"/>
      <c r="L294" s="944"/>
      <c r="M294" s="945" t="s">
        <v>1828</v>
      </c>
      <c r="N294" s="945" t="s">
        <v>2626</v>
      </c>
      <c r="P294" s="945" t="s">
        <v>2626</v>
      </c>
      <c r="V294" s="966"/>
    </row>
    <row r="295" spans="1:22">
      <c r="A295" s="1768" t="s">
        <v>722</v>
      </c>
      <c r="B295" s="1769" t="s">
        <v>2571</v>
      </c>
      <c r="C295" s="368" t="s">
        <v>18</v>
      </c>
      <c r="D295" s="64"/>
      <c r="E295" s="64"/>
      <c r="F295" s="64"/>
      <c r="G295" s="64"/>
      <c r="H295" s="64"/>
      <c r="I295" s="404"/>
      <c r="J295" s="944"/>
      <c r="K295" s="944"/>
      <c r="L295" s="944"/>
      <c r="M295" s="945" t="s">
        <v>1401</v>
      </c>
      <c r="N295" s="945" t="s">
        <v>2631</v>
      </c>
      <c r="P295" s="945" t="s">
        <v>2631</v>
      </c>
      <c r="V295" s="966"/>
    </row>
    <row r="296" spans="1:22">
      <c r="A296" s="585"/>
      <c r="B296" s="417"/>
      <c r="C296" s="382">
        <f>(IF(A296="",0,(IF(B296="",0,(VLOOKUP(A296,'Liste de prix Public EUROPE'!$B$1068:$F$1071,5,FALSE)*B296*730)))))</f>
        <v>0</v>
      </c>
      <c r="D296" s="64"/>
      <c r="E296" s="64"/>
      <c r="F296" s="64"/>
      <c r="G296" s="64"/>
      <c r="H296" s="64"/>
      <c r="I296" s="404"/>
      <c r="J296" s="944"/>
      <c r="K296" s="944"/>
      <c r="L296" s="944"/>
      <c r="M296" s="945" t="s">
        <v>2514</v>
      </c>
      <c r="N296" s="945" t="s">
        <v>2642</v>
      </c>
      <c r="P296" s="945" t="s">
        <v>2808</v>
      </c>
      <c r="V296" s="966"/>
    </row>
    <row r="297" spans="1:22">
      <c r="A297" s="585"/>
      <c r="B297" s="417"/>
      <c r="C297" s="382">
        <f>(IF(A297="",0,(IF(B297="",0,(VLOOKUP(A297,'Liste de prix Public EUROPE'!$B$1068:$F$1071,5,FALSE)*B297*730)))))</f>
        <v>0</v>
      </c>
      <c r="D297" s="64"/>
      <c r="E297" s="64"/>
      <c r="F297" s="64"/>
      <c r="G297" s="64"/>
      <c r="H297" s="64"/>
      <c r="I297" s="404"/>
      <c r="J297" s="944"/>
      <c r="K297" s="944"/>
      <c r="L297" s="944"/>
      <c r="M297" s="945" t="s">
        <v>1402</v>
      </c>
      <c r="N297" s="945" t="s">
        <v>2627</v>
      </c>
      <c r="P297" s="945" t="s">
        <v>2627</v>
      </c>
      <c r="R297" s="945" t="s">
        <v>635</v>
      </c>
      <c r="T297" s="945" t="s">
        <v>1381</v>
      </c>
      <c r="V297" s="946" t="s">
        <v>140</v>
      </c>
    </row>
    <row r="298" spans="1:22">
      <c r="A298" s="64"/>
      <c r="B298" s="377" t="s">
        <v>39</v>
      </c>
      <c r="C298" s="1770">
        <f>SUM(C296:C297)</f>
        <v>0</v>
      </c>
      <c r="D298" s="64"/>
      <c r="E298" s="64"/>
      <c r="F298" s="64"/>
      <c r="G298" s="64"/>
      <c r="H298" s="64"/>
      <c r="I298" s="404"/>
      <c r="J298" s="944"/>
      <c r="K298" s="944"/>
      <c r="L298" s="944"/>
      <c r="M298" s="945" t="s">
        <v>1403</v>
      </c>
      <c r="N298" s="945" t="s">
        <v>2632</v>
      </c>
      <c r="P298" s="945" t="s">
        <v>2632</v>
      </c>
      <c r="R298" s="945" t="s">
        <v>636</v>
      </c>
      <c r="T298" s="945" t="s">
        <v>1382</v>
      </c>
      <c r="V298" s="946" t="s">
        <v>139</v>
      </c>
    </row>
    <row r="299" spans="1:22">
      <c r="A299" s="64"/>
      <c r="B299" s="64"/>
      <c r="C299" s="762"/>
      <c r="D299" s="64"/>
      <c r="E299" s="64"/>
      <c r="F299" s="64"/>
      <c r="G299" s="64"/>
      <c r="H299" s="64"/>
      <c r="I299" s="404"/>
      <c r="J299" s="944"/>
      <c r="K299" s="944"/>
      <c r="L299" s="944"/>
      <c r="M299" s="945" t="s">
        <v>2515</v>
      </c>
      <c r="N299" s="945" t="s">
        <v>2643</v>
      </c>
      <c r="P299" s="945" t="s">
        <v>2643</v>
      </c>
      <c r="R299" s="945" t="s">
        <v>1470</v>
      </c>
      <c r="T299" s="945" t="s">
        <v>1383</v>
      </c>
      <c r="V299" s="946" t="s">
        <v>141</v>
      </c>
    </row>
    <row r="300" spans="1:22">
      <c r="A300" s="1768" t="s">
        <v>2568</v>
      </c>
      <c r="B300" s="1769" t="s">
        <v>2571</v>
      </c>
      <c r="C300" s="368" t="s">
        <v>18</v>
      </c>
      <c r="D300" s="64"/>
      <c r="E300" s="64"/>
      <c r="F300" s="64"/>
      <c r="G300" s="64"/>
      <c r="H300" s="64"/>
      <c r="I300" s="404"/>
      <c r="J300" s="944"/>
      <c r="K300" s="944"/>
      <c r="L300" s="944"/>
      <c r="M300" s="945" t="s">
        <v>1404</v>
      </c>
      <c r="N300" s="945" t="s">
        <v>2628</v>
      </c>
      <c r="P300" s="945" t="s">
        <v>2628</v>
      </c>
      <c r="T300" s="945" t="s">
        <v>1384</v>
      </c>
      <c r="V300" s="946" t="s">
        <v>142</v>
      </c>
    </row>
    <row r="301" spans="1:22">
      <c r="A301" s="585"/>
      <c r="B301" s="417"/>
      <c r="C301" s="382">
        <f>IFERROR(VLOOKUP(A301,'Liste de prix Public EUROPE'!$B$1075:$E$1078,4,FALSE)*730*B301,0)</f>
        <v>0</v>
      </c>
      <c r="D301" s="64"/>
      <c r="E301" s="64"/>
      <c r="F301" s="64"/>
      <c r="G301" s="64"/>
      <c r="H301" s="64"/>
      <c r="I301" s="404"/>
      <c r="J301" s="944"/>
      <c r="K301" s="944"/>
      <c r="L301" s="944"/>
      <c r="M301" s="945" t="s">
        <v>1405</v>
      </c>
      <c r="N301" s="945" t="s">
        <v>2633</v>
      </c>
      <c r="P301" s="945" t="s">
        <v>2633</v>
      </c>
      <c r="T301" s="946" t="s">
        <v>2061</v>
      </c>
      <c r="V301" s="946" t="s">
        <v>886</v>
      </c>
    </row>
    <row r="302" spans="1:22">
      <c r="A302" s="585"/>
      <c r="B302" s="417"/>
      <c r="C302" s="382">
        <f>(IF(A302="",0,(IF(B302="",0,(VLOOKUP(A302,'Liste de prix Public EUROPE'!$B$1068:$F$1071,5,FALSE)*B302*730)))))</f>
        <v>0</v>
      </c>
      <c r="D302" s="64"/>
      <c r="E302" s="64"/>
      <c r="F302" s="64"/>
      <c r="G302" s="64"/>
      <c r="H302" s="64"/>
      <c r="I302" s="404"/>
      <c r="J302" s="944"/>
      <c r="K302" s="944"/>
      <c r="L302" s="944"/>
      <c r="M302" s="945" t="s">
        <v>2516</v>
      </c>
      <c r="N302" s="945" t="s">
        <v>2383</v>
      </c>
      <c r="P302" s="945" t="s">
        <v>2383</v>
      </c>
      <c r="V302" s="946" t="s">
        <v>923</v>
      </c>
    </row>
    <row r="303" spans="1:22">
      <c r="A303" s="64"/>
      <c r="B303" s="377" t="s">
        <v>39</v>
      </c>
      <c r="C303" s="1770">
        <f>SUM(C301:C302)</f>
        <v>0</v>
      </c>
      <c r="D303" s="64"/>
      <c r="E303" s="64"/>
      <c r="F303" s="64"/>
      <c r="G303" s="64"/>
      <c r="H303" s="64"/>
      <c r="I303" s="404"/>
      <c r="J303" s="944"/>
      <c r="K303" s="944"/>
      <c r="L303" s="944"/>
      <c r="M303" s="945" t="s">
        <v>1406</v>
      </c>
      <c r="N303" s="945" t="s">
        <v>2388</v>
      </c>
      <c r="P303" s="945" t="s">
        <v>2388</v>
      </c>
    </row>
    <row r="304" spans="1:22">
      <c r="A304" s="64"/>
      <c r="B304" s="64"/>
      <c r="C304" s="762"/>
      <c r="D304" s="64"/>
      <c r="E304" s="64"/>
      <c r="F304" s="64"/>
      <c r="G304" s="64"/>
      <c r="H304" s="64"/>
      <c r="I304" s="404"/>
      <c r="J304" s="944"/>
      <c r="K304" s="944"/>
      <c r="L304" s="944"/>
      <c r="M304" s="945" t="s">
        <v>1399</v>
      </c>
      <c r="N304" s="945" t="s">
        <v>2389</v>
      </c>
      <c r="P304" s="945" t="s">
        <v>2389</v>
      </c>
    </row>
    <row r="305" spans="1:22">
      <c r="A305" s="652" t="s">
        <v>723</v>
      </c>
      <c r="B305" s="653"/>
      <c r="C305" s="368" t="s">
        <v>18</v>
      </c>
      <c r="D305" s="64"/>
      <c r="E305" s="64"/>
      <c r="F305" s="64"/>
      <c r="G305" s="64"/>
      <c r="H305" s="64"/>
      <c r="I305" s="404"/>
      <c r="J305" s="944"/>
      <c r="K305" s="944"/>
      <c r="L305" s="944"/>
      <c r="M305" s="945" t="s">
        <v>1407</v>
      </c>
      <c r="N305" s="945" t="s">
        <v>2442</v>
      </c>
      <c r="P305" s="945" t="s">
        <v>2442</v>
      </c>
      <c r="R305" s="946"/>
      <c r="S305" s="946"/>
    </row>
    <row r="306" spans="1:22">
      <c r="A306" s="619" t="s">
        <v>524</v>
      </c>
      <c r="B306" s="417"/>
      <c r="C306" s="382">
        <f>(IF(B306&lt;=25,B306*'Liste de prix Public EUROPE'!$D$1087,((B306-25)*'Liste de prix Public EUROPE'!D1088)+'Liste de prix Public EUROPE'!$D$1087*25))</f>
        <v>0</v>
      </c>
      <c r="D306" s="64"/>
      <c r="E306" s="64"/>
      <c r="F306" s="64"/>
      <c r="G306" s="64"/>
      <c r="H306" s="64"/>
      <c r="I306" s="404"/>
      <c r="J306" s="944"/>
      <c r="K306" s="944"/>
      <c r="L306" s="944"/>
      <c r="M306" s="945" t="s">
        <v>1400</v>
      </c>
      <c r="N306" s="945" t="s">
        <v>2391</v>
      </c>
      <c r="P306" s="945" t="s">
        <v>2391</v>
      </c>
      <c r="R306" s="946"/>
      <c r="S306" s="946"/>
    </row>
    <row r="307" spans="1:22">
      <c r="A307" s="619" t="s">
        <v>525</v>
      </c>
      <c r="B307" s="417"/>
      <c r="C307" s="382">
        <f>(IF(B307&lt;=1,B307*'Liste de prix Public EUROPE'!$D$1089,((B307-1)*'Liste de prix Public EUROPE'!$D$1090)+'Liste de prix Public EUROPE'!$D$1089))</f>
        <v>0</v>
      </c>
      <c r="D307" s="64"/>
      <c r="E307" s="64"/>
      <c r="F307" s="64"/>
      <c r="G307" s="64"/>
      <c r="H307" s="64"/>
      <c r="I307" s="404"/>
      <c r="J307" s="944"/>
      <c r="K307" s="944"/>
      <c r="L307" s="944"/>
      <c r="M307" s="945" t="s">
        <v>2518</v>
      </c>
      <c r="N307" s="945" t="s">
        <v>2385</v>
      </c>
      <c r="P307" s="945" t="s">
        <v>2385</v>
      </c>
      <c r="R307" s="946"/>
      <c r="S307" s="946"/>
    </row>
    <row r="308" spans="1:22">
      <c r="A308" s="376"/>
      <c r="B308" s="377" t="s">
        <v>39</v>
      </c>
      <c r="C308" s="389">
        <f>SUM(C306:C307)</f>
        <v>0</v>
      </c>
      <c r="D308" s="64"/>
      <c r="E308" s="64"/>
      <c r="F308" s="64"/>
      <c r="G308" s="64"/>
      <c r="H308" s="64"/>
      <c r="I308" s="404"/>
      <c r="J308" s="944"/>
      <c r="K308" s="944"/>
      <c r="L308" s="944"/>
      <c r="M308" s="945" t="s">
        <v>1408</v>
      </c>
      <c r="N308" s="945" t="s">
        <v>2443</v>
      </c>
      <c r="P308" s="945" t="s">
        <v>2443</v>
      </c>
      <c r="V308" s="966"/>
    </row>
    <row r="309" spans="1:22">
      <c r="A309" s="376"/>
      <c r="B309" s="64"/>
      <c r="C309" s="762"/>
      <c r="D309" s="64"/>
      <c r="E309" s="64"/>
      <c r="F309" s="64"/>
      <c r="G309" s="64"/>
      <c r="H309" s="64"/>
      <c r="I309" s="404"/>
      <c r="J309" s="944"/>
      <c r="K309" s="944"/>
      <c r="L309" s="944"/>
      <c r="M309" s="945" t="s">
        <v>1409</v>
      </c>
      <c r="N309" s="945" t="s">
        <v>2392</v>
      </c>
      <c r="P309" s="945" t="s">
        <v>2392</v>
      </c>
      <c r="V309" s="966"/>
    </row>
    <row r="310" spans="1:22">
      <c r="A310" s="2119" t="s">
        <v>2087</v>
      </c>
      <c r="B310" s="2118"/>
      <c r="C310" s="762"/>
      <c r="D310" s="64"/>
      <c r="E310" s="64"/>
      <c r="F310" s="64"/>
      <c r="G310" s="64"/>
      <c r="H310" s="64"/>
      <c r="I310" s="404"/>
      <c r="J310" s="944"/>
      <c r="K310" s="944"/>
      <c r="L310" s="944"/>
      <c r="M310" s="945" t="s">
        <v>2519</v>
      </c>
      <c r="N310" s="945" t="s">
        <v>2386</v>
      </c>
      <c r="P310" s="945" t="s">
        <v>2386</v>
      </c>
      <c r="V310" s="966"/>
    </row>
    <row r="311" spans="1:22">
      <c r="A311" s="1438" t="s">
        <v>2089</v>
      </c>
      <c r="B311" s="368" t="s">
        <v>2076</v>
      </c>
      <c r="C311" s="762"/>
      <c r="D311" s="64"/>
      <c r="E311" s="64"/>
      <c r="F311" s="64"/>
      <c r="G311" s="64"/>
      <c r="H311" s="64"/>
      <c r="I311" s="404"/>
      <c r="J311" s="944"/>
      <c r="K311" s="944"/>
      <c r="L311" s="944"/>
      <c r="V311" s="966"/>
    </row>
    <row r="312" spans="1:22">
      <c r="A312" s="591"/>
      <c r="B312" s="382">
        <f>A312*'Liste de prix Public EUROPE'!$C$2200</f>
        <v>0</v>
      </c>
      <c r="C312" s="762"/>
      <c r="D312" s="64"/>
      <c r="E312" s="64"/>
      <c r="F312" s="64"/>
      <c r="G312" s="64"/>
      <c r="H312" s="64"/>
      <c r="I312" s="404"/>
      <c r="J312" s="944"/>
      <c r="K312" s="944"/>
      <c r="L312" s="944"/>
      <c r="V312" s="966"/>
    </row>
    <row r="313" spans="1:22">
      <c r="A313" s="591"/>
      <c r="B313" s="382">
        <f>A313*'Liste de prix Public EUROPE'!$C$2200</f>
        <v>0</v>
      </c>
      <c r="C313" s="762"/>
      <c r="D313" s="64"/>
      <c r="E313" s="64"/>
      <c r="F313" s="64"/>
      <c r="G313" s="64"/>
      <c r="H313" s="64"/>
      <c r="I313" s="404"/>
      <c r="J313" s="944"/>
      <c r="K313" s="944"/>
      <c r="L313" s="944"/>
      <c r="V313" s="966"/>
    </row>
    <row r="314" spans="1:22">
      <c r="A314" s="377" t="s">
        <v>1523</v>
      </c>
      <c r="B314" s="1441">
        <f>B312+B313</f>
        <v>0</v>
      </c>
      <c r="C314" s="762"/>
      <c r="D314" s="64"/>
      <c r="E314" s="64"/>
      <c r="F314" s="64"/>
      <c r="G314" s="64"/>
      <c r="H314" s="64"/>
      <c r="I314" s="404"/>
      <c r="J314" s="944"/>
      <c r="K314" s="944"/>
      <c r="L314" s="944"/>
      <c r="V314" s="966"/>
    </row>
    <row r="315" spans="1:22">
      <c r="A315" s="376"/>
      <c r="B315" s="64"/>
      <c r="C315" s="762"/>
      <c r="D315" s="64"/>
      <c r="E315" s="64"/>
      <c r="F315" s="64"/>
      <c r="G315" s="64"/>
      <c r="H315" s="64"/>
      <c r="I315" s="404"/>
      <c r="J315" s="944"/>
      <c r="K315" s="944"/>
      <c r="L315" s="944"/>
      <c r="V315" s="966"/>
    </row>
    <row r="316" spans="1:22" ht="23.4">
      <c r="A316" s="343" t="s">
        <v>1376</v>
      </c>
      <c r="B316" s="1120" t="s">
        <v>1467</v>
      </c>
      <c r="C316" s="349"/>
      <c r="D316" s="349"/>
      <c r="E316" s="349"/>
      <c r="F316" s="349"/>
      <c r="G316" s="349"/>
      <c r="H316" s="349"/>
      <c r="I316" s="351"/>
      <c r="J316" s="944"/>
      <c r="K316" s="944"/>
      <c r="L316" s="944"/>
      <c r="V316" s="966"/>
    </row>
    <row r="317" spans="1:22">
      <c r="A317" s="376"/>
      <c r="B317" s="64"/>
      <c r="C317" s="762"/>
      <c r="D317" s="64"/>
      <c r="E317" s="64"/>
      <c r="F317" s="64"/>
      <c r="G317" s="64"/>
      <c r="H317" s="64"/>
      <c r="I317" s="404"/>
      <c r="J317" s="944"/>
      <c r="K317" s="944"/>
      <c r="L317" s="944"/>
    </row>
    <row r="318" spans="1:22">
      <c r="A318" s="1087" t="s">
        <v>1377</v>
      </c>
      <c r="B318" s="1087" t="s">
        <v>1378</v>
      </c>
      <c r="C318" s="368" t="s">
        <v>80</v>
      </c>
      <c r="D318" s="368" t="s">
        <v>73</v>
      </c>
      <c r="E318" s="368" t="s">
        <v>1380</v>
      </c>
      <c r="F318" s="368" t="s">
        <v>1379</v>
      </c>
      <c r="G318" s="368" t="s">
        <v>18</v>
      </c>
      <c r="H318" s="67"/>
      <c r="I318" s="404"/>
      <c r="J318" s="944"/>
      <c r="K318" s="944"/>
      <c r="L318" s="944"/>
    </row>
    <row r="319" spans="1:22" ht="25.05" customHeight="1">
      <c r="A319" s="419"/>
      <c r="B319" s="1149" t="str">
        <f t="shared" ref="B319:B320" si="5">IFERROR(VLOOKUP(A319,$M$279:$N$323,2,FALSE),"")</f>
        <v/>
      </c>
      <c r="C319" s="1665"/>
      <c r="D319" s="1554"/>
      <c r="E319" s="1552"/>
      <c r="F319" s="1552"/>
      <c r="G319" s="861">
        <f>IF(F319=$R$298,IF(D319&lt;90%,
(IF(E319=$T$297,VLOOKUP(B319,'Liste de prix Public EUROPE'!$B$8:$U$174,6,FALSE)+VLOOKUP('Deviseur EUROPE'!B319,'Liste de prix Public EUROPE'!$B$1355:$H$1404,6,FALSE),
IF(E319=$T$298,VLOOKUP(B319,'Liste de prix Public EUROPE'!$B$8:$U$174,6,FALSE)+VLOOKUP('Deviseur EUROPE'!B319,'Liste de prix Public EUROPE'!$B$1407:$H$1451,6,FALSE),
IF(E319=$T$299,VLOOKUP(B319,'Liste de prix Public EUROPE'!$B$8:$U$174,6,FALSE)+VLOOKUP('Deviseur EUROPE'!B319,'Liste de prix Public EUROPE'!$B$1455:$H$1502,6,FALSE),
IF(E319=$T$300,VLOOKUP(B319,'Liste de prix Public EUROPE'!$B$8:$U$174,6,FALSE)+VLOOKUP('Deviseur EUROPE'!B319,'Liste de prix Public EUROPE'!$B$1506:$H$1565,6,FALSE),
IF(E319=$T$301,VLOOKUP(B319,'Liste de prix Public EUROPE'!$B$8:$U$174,6,FALSE)+VLOOKUP('Deviseur EUROPE'!B319,'Liste de prix Public EUROPE'!$B$1568:$H$1617,6,FALSE),FALSE)))))*730*D319),(IF(E319=$T$297,VLOOKUP(B319,'Liste de prix Public EUROPE'!$B$8:$U$174,7,FALSE)+VLOOKUP('Deviseur EUROPE'!B319,'Liste de prix Public EUROPE'!$B$1355:$H$1404,7,FALSE),
IF(E319=$T$298,VLOOKUP($B$319,'Liste de prix Public EUROPE'!$B$8:$U$174,7,FALSE)+VLOOKUP('Deviseur EUROPE'!$B$319,'Liste de prix Public EUROPE'!$B$1407:$H$1451,7,FALSE),
IF(E319=$T$299,VLOOKUP(B319,'Liste de prix Public EUROPE'!$B$8:$U$174,7,FALSE)+VLOOKUP('Deviseur EUROPE'!B319,'Liste de prix Public EUROPE'!$B$1455:$H$1502,7,FALSE),
IF(E319=$T$300,VLOOKUP(B319,'Liste de prix Public EUROPE'!$B$8:$U$174,7,FALSE)+VLOOKUP('Deviseur EUROPE'!B319,'Liste de prix Public EUROPE'!$B$1506:$H$1565,7,FALSE),
IF(E319=$T$301,VLOOKUP(B319,'Liste de prix Public EUROPE'!$B$8:$U$174,7,FALSE)+VLOOKUP('Deviseur EUROPE'!B319,'Liste de prix Public EUROPE'!$B$1568:$H$1617,7,FALSE),FALSE)))))))*2,
IF(D319&lt;90%,
(IF(E319=$T$297,VLOOKUP(B319,'Liste de prix Public EUROPE'!$B$8:$U$174,6,FALSE)+VLOOKUP('Deviseur EUROPE'!B319,'Liste de prix Public EUROPE'!$B$1355:$H$1404,6,FALSE),
IF(E319=$T$298,VLOOKUP(B319,'Liste de prix Public EUROPE'!$B$8:$U$174,6,FALSE)+VLOOKUP('Deviseur EUROPE'!B319,'Liste de prix Public EUROPE'!$B$1407:$H$1451,6,FALSE),
IF(E319=$T$299,VLOOKUP(B319,'Liste de prix Public EUROPE'!$B$8:$U$174,6,FALSE)+VLOOKUP('Deviseur EUROPE'!B319,'Liste de prix Public EUROPE'!$B$1455:$H$1502,6,FALSE),
IF(E319=$T$300,VLOOKUP(B319,'Liste de prix Public EUROPE'!$B$8:$U$174,6,FALSE)+VLOOKUP('Deviseur EUROPE'!B319,'Liste de prix Public EUROPE'!$B$1506:$H$1565,6,FALSE),
IF(E319=$T$301,VLOOKUP(B319,'Liste de prix Public EUROPE'!$B$8:$U$174,6,FALSE)+VLOOKUP('Deviseur EUROPE'!B319,'Liste de prix Public EUROPE'!$B$1568:$H$1617,6,FALSE),FALSE)))))*730*D319),
(IF(E319=$T$297,VLOOKUP(B319,'Liste de prix Public EUROPE'!$B$8:$U$174,7,FALSE)+VLOOKUP('Deviseur EUROPE'!B319,'Liste de prix Public EUROPE'!$B$1355:$H$1404,7,FALSE),
IF(E319=$T$298,VLOOKUP(B319,'Liste de prix Public EUROPE'!$B$8:$U$174,7,FALSE)+VLOOKUP('Deviseur EUROPE'!B319,'Liste de prix Public EUROPE'!$B$1407:$H$1451,7,FALSE),
IF(E319=$T$299,VLOOKUP(B319,'Liste de prix Public EUROPE'!$B$8:$U$174,7,FALSE)+VLOOKUP('Deviseur EUROPE'!B319,'Liste de prix Public EUROPE'!$B$1455:$H$1502,7,FALSE),
IF(E319=$T$300,VLOOKUP(B319,'Liste de prix Public EUROPE'!$B$8:$U$174,7,FALSE)+VLOOKUP('Deviseur EUROPE'!B319,'Liste de prix Public EUROPE'!$B$1506:$H$1565,7,FALSE),
IF(E319=$T$301,VLOOKUP(B319,'Liste de prix Public EUROPE'!$B$8:$U$174,7,FALSE)+VLOOKUP('Deviseur EUROPE'!B319,'Liste de prix Public EUROPE'!$B$1568:$H$1617,7,FALSE),FALSE))))))))*C319</f>
        <v>0</v>
      </c>
      <c r="H319" s="67"/>
      <c r="I319" s="404"/>
      <c r="J319" s="944"/>
      <c r="K319" s="944"/>
      <c r="L319" s="944"/>
    </row>
    <row r="320" spans="1:22" ht="27.45" customHeight="1">
      <c r="A320" s="419"/>
      <c r="B320" s="1149" t="str">
        <f t="shared" si="5"/>
        <v/>
      </c>
      <c r="C320" s="1665"/>
      <c r="D320" s="1554"/>
      <c r="E320" s="1552"/>
      <c r="F320" s="1552"/>
      <c r="G320" s="861">
        <f>IF(F320=$R$298,IF(D320&lt;90%,
(IF(E320=$T$297,VLOOKUP(B320,'Liste de prix Public EUROPE'!$B$8:$U$174,6,FALSE)+VLOOKUP('Deviseur EUROPE'!B320,'Liste de prix Public EUROPE'!$B$1355:$H$1404,6,FALSE),
IF(E320=$T$298,VLOOKUP(B320,'Liste de prix Public EUROPE'!$B$8:$U$174,6,FALSE)+VLOOKUP('Deviseur EUROPE'!B320,'Liste de prix Public EUROPE'!$B$1407:$H$1451,6,FALSE),
IF(E320=$T$299,VLOOKUP(B320,'Liste de prix Public EUROPE'!$B$8:$U$174,6,FALSE)+VLOOKUP('Deviseur EUROPE'!B320,'Liste de prix Public EUROPE'!$B$1455:$H$1502,6,FALSE),
IF(E320=$T$300,VLOOKUP(B320,'Liste de prix Public EUROPE'!$B$8:$U$174,6,FALSE)+VLOOKUP('Deviseur EUROPE'!B320,'Liste de prix Public EUROPE'!$B$1506:$H$1565,6,FALSE),
IF(E320=$T$301,VLOOKUP(B320,'Liste de prix Public EUROPE'!$B$8:$U$174,6,FALSE)+VLOOKUP('Deviseur EUROPE'!B320,'Liste de prix Public EUROPE'!$B$1568:$H$1617,6,FALSE),FALSE)))))*730*D320*C320),(IF(E320=$T$297,VLOOKUP(B320,'Liste de prix Public EUROPE'!$B$8:$U$174,7,FALSE)+VLOOKUP('Deviseur EUROPE'!B320,'Liste de prix Public EUROPE'!$B$1355:$H$1404,7,FALSE),
IF(E320=$T$298,VLOOKUP($B$319,'Liste de prix Public EUROPE'!$B$8:$U$174,7,FALSE)+VLOOKUP('Deviseur EUROPE'!$B$319,'Liste de prix Public EUROPE'!$B$1407:$H$1451,7,FALSE),
IF(E320=$T$299,VLOOKUP(B320,'Liste de prix Public EUROPE'!$B$8:$U$174,7,FALSE)+VLOOKUP('Deviseur EUROPE'!B320,'Liste de prix Public EUROPE'!$B$1455:$H$1502,7,FALSE),
IF(E320=$T$300,VLOOKUP(B320,'Liste de prix Public EUROPE'!$B$8:$U$174,7,FALSE)+VLOOKUP('Deviseur EUROPE'!B320,'Liste de prix Public EUROPE'!$B$1506:$H$1565,7,FALSE),
IF(E320=$T$301,VLOOKUP(B320,'Liste de prix Public EUROPE'!$B$8:$U$174,7,FALSE)+VLOOKUP('Deviseur EUROPE'!B320,'Liste de prix Public EUROPE'!$B$1568:$H$1617,7,FALSE),FALSE))*C320)))))*2,
IF(D320&lt;90%,
(IF(E320=$T$297,VLOOKUP(B320,'Liste de prix Public EUROPE'!$B$8:$U$174,6,FALSE)+VLOOKUP('Deviseur EUROPE'!B320,'Liste de prix Public EUROPE'!$B$1355:$H$1404,6,FALSE),
IF(E320=$T$298,VLOOKUP(B320,'Liste de prix Public EUROPE'!$B$8:$U$174,6,FALSE)+VLOOKUP('Deviseur EUROPE'!B320,'Liste de prix Public EUROPE'!$B$1407:$H$1451,6,FALSE),
IF(E320=$T$299,VLOOKUP(B320,'Liste de prix Public EUROPE'!$B$8:$U$174,6,FALSE)+VLOOKUP('Deviseur EUROPE'!B320,'Liste de prix Public EUROPE'!$B$1455:$H$1502,6,FALSE),
IF(E320=$T$300,VLOOKUP(B320,'Liste de prix Public EUROPE'!$B$8:$U$174,6,FALSE)+VLOOKUP('Deviseur EUROPE'!B320,'Liste de prix Public EUROPE'!$B$1506:$H$1565,6,FALSE),
IF(E320=$T$301,VLOOKUP(B320,'Liste de prix Public EUROPE'!$B$8:$U$174,6,FALSE)+VLOOKUP('Deviseur EUROPE'!B320,'Liste de prix Public EUROPE'!$B$1568:$H$1617,6,FALSE),FALSE)))))*730*D320*C320),
(IF(E320=$T$297,VLOOKUP(B320,'Liste de prix Public EUROPE'!$B$8:$U$174,7,FALSE)+VLOOKUP('Deviseur EUROPE'!B320,'Liste de prix Public EUROPE'!$B$1355:$H$1404,7,FALSE),
IF(E320=$T$298,VLOOKUP(B320,'Liste de prix Public EUROPE'!$B$8:$U$174,7,FALSE)+VLOOKUP('Deviseur EUROPE'!B320,'Liste de prix Public EUROPE'!$B$1407:$H$1451,7,FALSE),
IF(E320=$T$299,VLOOKUP(B320,'Liste de prix Public EUROPE'!$B$8:$U$174,7,FALSE)+VLOOKUP('Deviseur EUROPE'!B320,'Liste de prix Public EUROPE'!$B$1455:$H$1502,7,FALSE),
IF(E320=$T$300,VLOOKUP(B320,'Liste de prix Public EUROPE'!$B$8:$U$174,7,FALSE)+VLOOKUP('Deviseur EUROPE'!B320,'Liste de prix Public EUROPE'!$B$1506:$H$1565,7,FALSE),
IF(E320=$T$301,VLOOKUP(B320,'Liste de prix Public EUROPE'!$B$8:$U$174,7,FALSE)+VLOOKUP('Deviseur EUROPE'!B320,'Liste de prix Public EUROPE'!$B$1568:$H$1617,7,FALSE),FALSE))))))*C320))</f>
        <v>0</v>
      </c>
      <c r="H320" s="67"/>
      <c r="I320" s="404"/>
      <c r="J320" s="944"/>
      <c r="K320" s="944"/>
      <c r="L320" s="944"/>
    </row>
    <row r="321" spans="1:14" ht="25.05" customHeight="1">
      <c r="A321" s="419"/>
      <c r="B321" s="1149" t="str">
        <f>IFERROR(VLOOKUP(A321,$M$279:$N$323,2,FALSE),"")</f>
        <v/>
      </c>
      <c r="C321" s="1665"/>
      <c r="D321" s="1554"/>
      <c r="E321" s="1552"/>
      <c r="F321" s="1552"/>
      <c r="G321" s="861">
        <f>IF(F321=$R$298,IF(D321&lt;90%,
(IF(E321=$T$297,VLOOKUP(B321,'Liste de prix Public EUROPE'!$B$8:$U$174,6,FALSE)+VLOOKUP('Deviseur EUROPE'!B321,'Liste de prix Public EUROPE'!$B$1355:$H$1404,6,FALSE),
IF(E321=$T$298,VLOOKUP(B321,'Liste de prix Public EUROPE'!$B$8:$U$174,6,FALSE)+VLOOKUP('Deviseur EUROPE'!B321,'Liste de prix Public EUROPE'!$B$1407:$H$1451,6,FALSE),
IF(E321=$T$299,VLOOKUP(B321,'Liste de prix Public EUROPE'!$B$8:$U$174,6,FALSE)+VLOOKUP('Deviseur EUROPE'!B321,'Liste de prix Public EUROPE'!$B$1455:$H$1502,6,FALSE),
IF(E321=$T$300,VLOOKUP(B321,'Liste de prix Public EUROPE'!$B$8:$U$174,6,FALSE)+VLOOKUP('Deviseur EUROPE'!B321,'Liste de prix Public EUROPE'!$B$1506:$H$1565,6,FALSE),
IF(E321=$T$301,VLOOKUP(B321,'Liste de prix Public EUROPE'!$B$8:$U$174,6,FALSE)+VLOOKUP('Deviseur EUROPE'!B321,'Liste de prix Public EUROPE'!$B$1568:$H$1617,6,FALSE),FALSE)))))*730*D321*C321),(IF(E321=$T$297,VLOOKUP(B321,'Liste de prix Public EUROPE'!$B$8:$U$174,7,FALSE)+VLOOKUP('Deviseur EUROPE'!B321,'Liste de prix Public EUROPE'!$B$1355:$H$1404,7,FALSE),
IF(E321=$T$298,VLOOKUP($B$319,'Liste de prix Public EUROPE'!$B$8:$U$174,7,FALSE)+VLOOKUP('Deviseur EUROPE'!$B$319,'Liste de prix Public EUROPE'!$B$1407:$H$1451,7,FALSE),
IF(E321=$T$299,VLOOKUP(B321,'Liste de prix Public EUROPE'!$B$8:$U$174,7,FALSE)+VLOOKUP('Deviseur EUROPE'!B321,'Liste de prix Public EUROPE'!$B$1455:$H$1502,7,FALSE),
IF(E321=$T$300,VLOOKUP(B321,'Liste de prix Public EUROPE'!$B$8:$U$174,7,FALSE)+VLOOKUP('Deviseur EUROPE'!B321,'Liste de prix Public EUROPE'!$B$1506:$H$1565,7,FALSE),
IF(E321=$T$301,VLOOKUP(B321,'Liste de prix Public EUROPE'!$B$8:$U$174,7,FALSE)+VLOOKUP('Deviseur EUROPE'!B321,'Liste de prix Public EUROPE'!$B$1568:$H$1617,7,FALSE),FALSE))*C321)))))*2,
IF(D321&lt;90%,
(IF(E321=$T$297,VLOOKUP(B321,'Liste de prix Public EUROPE'!$B$8:$U$174,6,FALSE)+VLOOKUP('Deviseur EUROPE'!B321,'Liste de prix Public EUROPE'!$B$1355:$H$1404,6,FALSE),
IF(E321=$T$298,VLOOKUP(B321,'Liste de prix Public EUROPE'!$B$8:$U$174,6,FALSE)+VLOOKUP('Deviseur EUROPE'!B321,'Liste de prix Public EUROPE'!$B$1407:$H$1451,6,FALSE),
IF(E321=$T$299,VLOOKUP(B321,'Liste de prix Public EUROPE'!$B$8:$U$174,6,FALSE)+VLOOKUP('Deviseur EUROPE'!B321,'Liste de prix Public EUROPE'!$B$1455:$H$1502,6,FALSE),
IF(E321=$T$300,VLOOKUP(B321,'Liste de prix Public EUROPE'!$B$8:$U$174,6,FALSE)+VLOOKUP('Deviseur EUROPE'!B321,'Liste de prix Public EUROPE'!$B$1506:$H$1565,6,FALSE),
IF(E321=$T$301,VLOOKUP(B321,'Liste de prix Public EUROPE'!$B$8:$U$174,6,FALSE)+VLOOKUP('Deviseur EUROPE'!B321,'Liste de prix Public EUROPE'!$B$1568:$H$1617,6,FALSE),FALSE)))))*730*D321*C321),
(IF(E321=$T$297,VLOOKUP(B321,'Liste de prix Public EUROPE'!$B$8:$U$174,7,FALSE)+VLOOKUP('Deviseur EUROPE'!B321,'Liste de prix Public EUROPE'!$B$1355:$H$1404,7,FALSE),
IF(E321=$T$298,VLOOKUP(B321,'Liste de prix Public EUROPE'!$B$8:$U$174,7,FALSE)+VLOOKUP('Deviseur EUROPE'!B321,'Liste de prix Public EUROPE'!$B$1407:$H$1451,7,FALSE),
IF(E321=$T$299,VLOOKUP(B321,'Liste de prix Public EUROPE'!$B$8:$U$174,7,FALSE)+VLOOKUP('Deviseur EUROPE'!B321,'Liste de prix Public EUROPE'!$B$1455:$H$1502,7,FALSE),
IF(E321=$T$300,VLOOKUP(B321,'Liste de prix Public EUROPE'!$B$8:$U$174,7,FALSE)+VLOOKUP('Deviseur EUROPE'!B321,'Liste de prix Public EUROPE'!$B$1506:$H$1565,7,FALSE),
IF(E321=$T$301,VLOOKUP(B321,'Liste de prix Public EUROPE'!$B$8:$U$174,7,FALSE)+VLOOKUP('Deviseur EUROPE'!B321,'Liste de prix Public EUROPE'!$B$1568:$H$1617,7,FALSE),FALSE))))))*C321))</f>
        <v>0</v>
      </c>
      <c r="H321" s="67"/>
      <c r="I321" s="404"/>
      <c r="J321" s="944"/>
      <c r="K321" s="944"/>
      <c r="L321" s="944"/>
    </row>
    <row r="322" spans="1:14" ht="25.05" customHeight="1">
      <c r="A322" s="419"/>
      <c r="B322" s="1149" t="str">
        <f>IFERROR(VLOOKUP(A322,$M$279:$N$323,2,FALSE),"")</f>
        <v/>
      </c>
      <c r="C322" s="1665"/>
      <c r="D322" s="1554"/>
      <c r="E322" s="1552"/>
      <c r="F322" s="1552"/>
      <c r="G322" s="861">
        <f>IF(F322=$R$298,IF(D322&lt;90%,
(IF(E322=$T$297,VLOOKUP(B322,'Liste de prix Public EUROPE'!$B$8:$U$174,6,FALSE)+VLOOKUP('Deviseur EUROPE'!B322,'Liste de prix Public EUROPE'!$B$1355:$H$1404,6,FALSE),
IF(E322=$T$298,VLOOKUP(B322,'Liste de prix Public EUROPE'!$B$8:$U$174,6,FALSE)+VLOOKUP('Deviseur EUROPE'!B322,'Liste de prix Public EUROPE'!$B$1407:$H$1451,6,FALSE),
IF(E322=$T$299,VLOOKUP(B322,'Liste de prix Public EUROPE'!$B$8:$U$174,6,FALSE)+VLOOKUP('Deviseur EUROPE'!B322,'Liste de prix Public EUROPE'!$B$1455:$H$1502,6,FALSE),
IF(E322=$T$300,VLOOKUP(B322,'Liste de prix Public EUROPE'!$B$8:$U$174,6,FALSE)+VLOOKUP('Deviseur EUROPE'!B322,'Liste de prix Public EUROPE'!$B$1506:$H$1565,6,FALSE),
IF(E322=$T$301,VLOOKUP(B322,'Liste de prix Public EUROPE'!$B$8:$U$174,6,FALSE)+VLOOKUP('Deviseur EUROPE'!B322,'Liste de prix Public EUROPE'!$B$1568:$H$1617,6,FALSE),FALSE)))))*730*D322*C322),(IF(E322=$T$297,VLOOKUP(B322,'Liste de prix Public EUROPE'!$B$8:$U$174,7,FALSE)+VLOOKUP('Deviseur EUROPE'!B322,'Liste de prix Public EUROPE'!$B$1355:$H$1404,7,FALSE),
IF(E322=$T$298,VLOOKUP($B$319,'Liste de prix Public EUROPE'!$B$8:$U$174,7,FALSE)+VLOOKUP('Deviseur EUROPE'!$B$319,'Liste de prix Public EUROPE'!$B$1407:$H$1451,7,FALSE),
IF(E322=$T$299,VLOOKUP(B322,'Liste de prix Public EUROPE'!$B$8:$U$174,7,FALSE)+VLOOKUP('Deviseur EUROPE'!B322,'Liste de prix Public EUROPE'!$B$1455:$H$1502,7,FALSE),
IF(E322=$T$300,VLOOKUP(B322,'Liste de prix Public EUROPE'!$B$8:$U$174,7,FALSE)+VLOOKUP('Deviseur EUROPE'!B322,'Liste de prix Public EUROPE'!$B$1506:$H$1565,7,FALSE),
IF(E322=$T$301,VLOOKUP(B322,'Liste de prix Public EUROPE'!$B$8:$U$174,7,FALSE)+VLOOKUP('Deviseur EUROPE'!B322,'Liste de prix Public EUROPE'!$B$1568:$H$1617,7,FALSE),FALSE))*C322)))))*2,
IF(D322&lt;90%,
(IF(E322=$T$297,VLOOKUP(B322,'Liste de prix Public EUROPE'!$B$8:$U$174,6,FALSE)+VLOOKUP('Deviseur EUROPE'!B322,'Liste de prix Public EUROPE'!$B$1355:$H$1404,6,FALSE),
IF(E322=$T$298,VLOOKUP(B322,'Liste de prix Public EUROPE'!$B$8:$U$174,6,FALSE)+VLOOKUP('Deviseur EUROPE'!B322,'Liste de prix Public EUROPE'!$B$1407:$H$1451,6,FALSE),
IF(E322=$T$299,VLOOKUP(B322,'Liste de prix Public EUROPE'!$B$8:$U$174,6,FALSE)+VLOOKUP('Deviseur EUROPE'!B322,'Liste de prix Public EUROPE'!$B$1455:$H$1502,6,FALSE),
IF(E322=$T$300,VLOOKUP(B322,'Liste de prix Public EUROPE'!$B$8:$U$174,6,FALSE)+VLOOKUP('Deviseur EUROPE'!B322,'Liste de prix Public EUROPE'!$B$1506:$H$1565,6,FALSE),
IF(E322=$T$301,VLOOKUP(B322,'Liste de prix Public EUROPE'!$B$8:$U$174,6,FALSE)+VLOOKUP('Deviseur EUROPE'!B322,'Liste de prix Public EUROPE'!$B$1568:$H$1617,6,FALSE),FALSE)))))*730*D322*C322),
(IF(E322=$T$297,VLOOKUP(B322,'Liste de prix Public EUROPE'!$B$8:$U$174,7,FALSE)+VLOOKUP('Deviseur EUROPE'!B322,'Liste de prix Public EUROPE'!$B$1355:$H$1404,7,FALSE),
IF(E322=$T$298,VLOOKUP(B322,'Liste de prix Public EUROPE'!$B$8:$U$174,7,FALSE)+VLOOKUP('Deviseur EUROPE'!B322,'Liste de prix Public EUROPE'!$B$1407:$H$1451,7,FALSE),
IF(E322=$T$299,VLOOKUP(B322,'Liste de prix Public EUROPE'!$B$8:$U$174,7,FALSE)+VLOOKUP('Deviseur EUROPE'!B322,'Liste de prix Public EUROPE'!$B$1455:$H$1502,7,FALSE),
IF(E322=$T$300,VLOOKUP(B322,'Liste de prix Public EUROPE'!$B$8:$U$174,7,FALSE)+VLOOKUP('Deviseur EUROPE'!B322,'Liste de prix Public EUROPE'!$B$1506:$H$1565,7,FALSE),
IF(E322=$T$301,VLOOKUP(B322,'Liste de prix Public EUROPE'!$B$8:$U$174,7,FALSE)+VLOOKUP('Deviseur EUROPE'!B322,'Liste de prix Public EUROPE'!$B$1568:$H$1617,7,FALSE),FALSE))))))*C322))</f>
        <v>0</v>
      </c>
      <c r="H322" s="67"/>
      <c r="I322" s="404"/>
      <c r="J322" s="944"/>
      <c r="K322" s="944"/>
      <c r="L322" s="944"/>
      <c r="M322" s="946"/>
      <c r="N322" s="946"/>
    </row>
    <row r="323" spans="1:14" ht="25.8" customHeight="1">
      <c r="A323" s="1121" t="s">
        <v>1469</v>
      </c>
      <c r="B323" s="64"/>
      <c r="C323" s="762"/>
      <c r="D323" s="64"/>
      <c r="E323" s="64"/>
      <c r="F323" s="377" t="s">
        <v>39</v>
      </c>
      <c r="G323" s="378">
        <f>SUM(G319:G322)</f>
        <v>0</v>
      </c>
      <c r="H323" s="917"/>
      <c r="I323" s="404"/>
      <c r="J323" s="944"/>
      <c r="K323" s="944"/>
      <c r="L323" s="944"/>
      <c r="M323" s="946"/>
      <c r="N323" s="946"/>
    </row>
    <row r="324" spans="1:14">
      <c r="A324" s="1197"/>
      <c r="B324" s="64"/>
      <c r="C324" s="762"/>
      <c r="D324" s="64"/>
      <c r="E324" s="64"/>
      <c r="F324" s="64"/>
      <c r="G324" s="917"/>
      <c r="H324" s="917"/>
      <c r="I324" s="404"/>
      <c r="J324" s="944"/>
      <c r="K324" s="944"/>
      <c r="L324" s="944"/>
      <c r="M324" s="946"/>
      <c r="N324" s="946"/>
    </row>
    <row r="325" spans="1:14" ht="42.45" customHeight="1">
      <c r="A325" s="1808" t="s">
        <v>2862</v>
      </c>
      <c r="B325" s="1808" t="s">
        <v>2819</v>
      </c>
      <c r="C325" s="1808" t="s">
        <v>1378</v>
      </c>
      <c r="D325" s="1824" t="s">
        <v>2854</v>
      </c>
      <c r="E325" s="837" t="s">
        <v>80</v>
      </c>
      <c r="F325" s="837" t="s">
        <v>1379</v>
      </c>
      <c r="G325" s="837" t="s">
        <v>18</v>
      </c>
      <c r="H325" s="64"/>
      <c r="I325" s="1076"/>
      <c r="J325" s="944"/>
      <c r="K325" s="944" t="s">
        <v>1381</v>
      </c>
      <c r="L325" s="944" t="s">
        <v>2851</v>
      </c>
      <c r="M325" s="945" t="s">
        <v>635</v>
      </c>
    </row>
    <row r="326" spans="1:14" ht="34.5" customHeight="1">
      <c r="A326" s="1552"/>
      <c r="B326" s="1823"/>
      <c r="C326" s="1149" t="str">
        <f>IFERROR(VLOOKUP(B326,$M$280:$Q$310,4,FALSE),"")</f>
        <v/>
      </c>
      <c r="D326" s="1665"/>
      <c r="E326" s="1665"/>
      <c r="F326" s="1552"/>
      <c r="G326" s="1809">
        <f>IFERROR(IF(F326=$M$326,IF(AND(A326=$K$325,D326=$L$325),VLOOKUP(B326,'RDS Réservés'!$F$5:$K$34,2,FALSE)+VLOOKUP(C326,'RDS Réservés'!$H$5:$K$34,2,FALSE),
(IF(AND(A326=$K$325,D326=$L$326),VLOOKUP(B326,'RDS Réservés'!$F$5:$K$34,2,FALSE)+VLOOKUP(C326,'RDS Réservés'!$H$5:$K$34,3,FALSE),
(IF(AND(A326=$K$325,D326=$L$327),VLOOKUP(B326,'RDS Réservés'!$F$5:$K$34,2,FALSE)+VLOOKUP(C326,'RDS Réservés'!$H$5:$K$34,4,FALSE),
(IF(AND(A326=$K$326,D326=$L$325),VLOOKUP(B326,'RDS Réservés'!$F$39:$K$68,2,FALSE)+VLOOKUP(C326,'RDS Réservés'!$H$39:$K$68,2,FALSE),
(IF(AND(A326=$K$326,D326=$L$326),VLOOKUP(B326,'RDS Réservés'!$F$39:$K$68,2,FALSE)+VLOOKUP(C326,'RDS Réservés'!$H$39:$K$68,3,FALSE),
(IF(AND(A326=$K$326,D326=$L$327),VLOOKUP(B326,'RDS Réservés'!$F$39:$K$68,2,FALSE)+VLOOKUP(C326,'RDS Réservés'!$H$39:$K$68,4,FALSE),)))))))))))*2,
IF(AND(A326=$K$325,D326=$L$325),VLOOKUP(B326,'RDS Réservés'!$F$5:$K$34,2,FALSE)+VLOOKUP(C326,'RDS Réservés'!$H$5:$K$34,2,FALSE),
(IF(AND(A326=$K$325,D326=$L$326),VLOOKUP(B326,'RDS Réservés'!$F$5:$K$34,2,FALSE)+VLOOKUP(C326,'RDS Réservés'!$H$5:$K$34,3,FALSE),
(IF(AND(A326=$K$325,D326=$L$327),VLOOKUP(B326,'RDS Réservés'!$F$5:$K$34,2,FALSE)+VLOOKUP(C326,'RDS Réservés'!$H$5:$K$34,4,FALSE),
(IF(AND(A326=$K$326,D326=$L$325),VLOOKUP(B326,'RDS Réservés'!$F$39:$K$68,2,FALSE)+VLOOKUP(C326,'RDS Réservés'!$H$39:$K$68,2,FALSE),
(IF(AND(A326=$K$326,D326=$L$326),VLOOKUP(B326,'RDS Réservés'!$F$39:$K$68,2,FALSE)+VLOOKUP(C326,'RDS Réservés'!$H$39:$K$68,3,FALSE),
(IF(AND(A326=$K$326,D326=$L$327),VLOOKUP(B326,'RDS Réservés'!$F$39:$K$68,2,FALSE)+VLOOKUP(C326,'RDS Réservés'!$H$39:$K$68,4,FALSE),)))))))))))),0)*E326</f>
        <v>0</v>
      </c>
      <c r="H326" s="64"/>
      <c r="I326" s="64"/>
      <c r="J326" s="944"/>
      <c r="K326" s="944" t="s">
        <v>1384</v>
      </c>
      <c r="L326" s="944" t="s">
        <v>2852</v>
      </c>
      <c r="M326" s="945" t="s">
        <v>636</v>
      </c>
    </row>
    <row r="327" spans="1:14" ht="30.45" customHeight="1">
      <c r="A327" s="1552"/>
      <c r="B327" s="1823"/>
      <c r="C327" s="1149" t="str">
        <f t="shared" ref="C327:C329" si="6">IFERROR(VLOOKUP(B327,$M$280:$Q$310,4,FALSE),"")</f>
        <v/>
      </c>
      <c r="D327" s="1665"/>
      <c r="E327" s="1665"/>
      <c r="F327" s="1552"/>
      <c r="G327" s="1809">
        <f>IFERROR(IF(F327=$M$326,IF(AND(A327=$K$325,D327=$L$325),VLOOKUP(B327,'RDS Réservés'!$F$5:$K$34,2,FALSE)+VLOOKUP(C327,'RDS Réservés'!$H$5:$K$34,2,FALSE),
(IF(AND(A327=$K$325,D327=$L$326),VLOOKUP(B327,'RDS Réservés'!$F$5:$K$34,2,FALSE)+VLOOKUP(C327,'RDS Réservés'!$H$5:$K$34,3,FALSE),
(IF(AND(A327=$K$325,D327=$L$327),VLOOKUP(B327,'RDS Réservés'!$F$5:$K$34,2,FALSE)+VLOOKUP(C327,'RDS Réservés'!$H$5:$K$34,4,FALSE),
(IF(AND(A327=$K$326,D327=$L$325),VLOOKUP(B327,'RDS Réservés'!$F$39:$K$68,2,FALSE)+VLOOKUP(C327,'RDS Réservés'!$H$39:$K$68,2,FALSE),
(IF(AND(A327=$K$326,D327=$L$326),VLOOKUP(B327,'RDS Réservés'!$F$39:$K$68,2,FALSE)+VLOOKUP(C327,'RDS Réservés'!$H$39:$K$68,3,FALSE),
(IF(AND(A327=$K$326,D327=$L$327),VLOOKUP(B327,'RDS Réservés'!$F$39:$K$68,2,FALSE)+VLOOKUP(C327,'RDS Réservés'!$H$39:$K$68,4,FALSE),)))))))))))*2,
IF(AND(A327=$K$325,D327=$L$325),VLOOKUP(B327,'RDS Réservés'!$F$5:$K$34,2,FALSE)+VLOOKUP(C327,'RDS Réservés'!$H$5:$K$34,2,FALSE),
(IF(AND(A327=$K$325,D327=$L$326),VLOOKUP(B327,'RDS Réservés'!$F$5:$K$34,2,FALSE)+VLOOKUP(C327,'RDS Réservés'!$H$5:$K$34,3,FALSE),
(IF(AND(A327=$K$325,D327=$L$327),VLOOKUP(B327,'RDS Réservés'!$F$5:$K$34,2,FALSE)+VLOOKUP(C327,'RDS Réservés'!$H$5:$K$34,4,FALSE),
(IF(AND(A327=$K$326,D327=$L$325),VLOOKUP(B327,'RDS Réservés'!$F$39:$K$68,2,FALSE)+VLOOKUP(C327,'RDS Réservés'!$H$39:$K$68,2,FALSE),
(IF(AND(A327=$K$326,D327=$L$326),VLOOKUP(B327,'RDS Réservés'!$F$39:$K$68,2,FALSE)+VLOOKUP(C327,'RDS Réservés'!$H$39:$K$68,3,FALSE),
(IF(AND(A327=$K$326,D327=$L$327),VLOOKUP(B327,'RDS Réservés'!$F$39:$K$68,2,FALSE)+VLOOKUP(C327,'RDS Réservés'!$H$39:$K$68,4,FALSE),)))))))))))),0)*E327</f>
        <v>0</v>
      </c>
      <c r="H327" s="64"/>
      <c r="I327" s="64"/>
      <c r="J327" s="944"/>
      <c r="K327" s="944" t="s">
        <v>2848</v>
      </c>
      <c r="L327" s="944" t="s">
        <v>2853</v>
      </c>
      <c r="M327" s="945" t="s">
        <v>2859</v>
      </c>
    </row>
    <row r="328" spans="1:14" ht="31.5" customHeight="1">
      <c r="A328" s="1552"/>
      <c r="B328" s="1823"/>
      <c r="C328" s="1149" t="str">
        <f t="shared" si="6"/>
        <v/>
      </c>
      <c r="D328" s="1665"/>
      <c r="E328" s="1665"/>
      <c r="F328" s="1552"/>
      <c r="G328" s="1809">
        <f>IFERROR(IF(F328=$M$326,IF(AND(A328=$K$325,D328=$L$325),VLOOKUP(B328,'RDS Réservés'!$F$5:$K$34,2,FALSE)+VLOOKUP(C328,'RDS Réservés'!$H$5:$K$34,2,FALSE),
(IF(AND(A328=$K$325,D328=$L$326),VLOOKUP(B328,'RDS Réservés'!$F$5:$K$34,2,FALSE)+VLOOKUP(C328,'RDS Réservés'!$H$5:$K$34,3,FALSE),
(IF(AND(A328=$K$325,D328=$L$327),VLOOKUP(B328,'RDS Réservés'!$F$5:$K$34,2,FALSE)+VLOOKUP(C328,'RDS Réservés'!$H$5:$K$34,4,FALSE),
(IF(AND(A328=$K$326,D328=$L$325),VLOOKUP(B328,'RDS Réservés'!$F$39:$K$68,2,FALSE)+VLOOKUP(C328,'RDS Réservés'!$H$39:$K$68,2,FALSE),
(IF(AND(A328=$K$326,D328=$L$326),VLOOKUP(B328,'RDS Réservés'!$F$39:$K$68,2,FALSE)+VLOOKUP(C328,'RDS Réservés'!$H$39:$K$68,3,FALSE),
(IF(AND(A328=$K$326,D328=$L$327),VLOOKUP(B328,'RDS Réservés'!$F$39:$K$68,2,FALSE)+VLOOKUP(C328,'RDS Réservés'!$H$39:$K$68,4,FALSE),)))))))))))*2,
IF(AND(A328=$K$325,D328=$L$325),VLOOKUP(B328,'RDS Réservés'!$F$5:$K$34,2,FALSE)+VLOOKUP(C328,'RDS Réservés'!$H$5:$K$34,2,FALSE),
(IF(AND(A328=$K$325,D328=$L$326),VLOOKUP(B328,'RDS Réservés'!$F$5:$K$34,2,FALSE)+VLOOKUP(C328,'RDS Réservés'!$H$5:$K$34,3,FALSE),
(IF(AND(A328=$K$325,D328=$L$327),VLOOKUP(B328,'RDS Réservés'!$F$5:$K$34,2,FALSE)+VLOOKUP(C328,'RDS Réservés'!$H$5:$K$34,4,FALSE),
(IF(AND(A328=$K$326,D328=$L$325),VLOOKUP(B328,'RDS Réservés'!$F$39:$K$68,2,FALSE)+VLOOKUP(C328,'RDS Réservés'!$H$39:$K$68,2,FALSE),
(IF(AND(A328=$K$326,D328=$L$326),VLOOKUP(B328,'RDS Réservés'!$F$39:$K$68,2,FALSE)+VLOOKUP(C328,'RDS Réservés'!$H$39:$K$68,3,FALSE),
(IF(AND(A328=$K$326,D328=$L$327),VLOOKUP(B328,'RDS Réservés'!$F$39:$K$68,2,FALSE)+VLOOKUP(C328,'RDS Réservés'!$H$39:$K$68,4,FALSE),)))))))))))),0)*E328</f>
        <v>0</v>
      </c>
      <c r="H328" s="64"/>
      <c r="I328" s="64"/>
      <c r="J328" s="944"/>
      <c r="K328" s="944" t="s">
        <v>2849</v>
      </c>
      <c r="L328" s="944"/>
    </row>
    <row r="329" spans="1:14" ht="32.549999999999997" customHeight="1">
      <c r="A329" s="1552"/>
      <c r="B329" s="1823"/>
      <c r="C329" s="1149" t="str">
        <f t="shared" si="6"/>
        <v/>
      </c>
      <c r="D329" s="1665"/>
      <c r="E329" s="1665"/>
      <c r="F329" s="1552"/>
      <c r="G329" s="1809">
        <f>IFERROR(IF(F329=$M$326,IF(AND(A329=$K$325,D329=$L$325),VLOOKUP(B329,'RDS Réservés'!$F$5:$K$34,2,FALSE)+VLOOKUP(C329,'RDS Réservés'!$H$5:$K$34,2,FALSE),
(IF(AND(A329=$K$325,D329=$L$326),VLOOKUP(B329,'RDS Réservés'!$F$5:$K$34,2,FALSE)+VLOOKUP(C329,'RDS Réservés'!$H$5:$K$34,3,FALSE),
(IF(AND(A329=$K$325,D329=$L$327),VLOOKUP(B329,'RDS Réservés'!$F$5:$K$34,2,FALSE)+VLOOKUP(C329,'RDS Réservés'!$H$5:$K$34,4,FALSE),
(IF(AND(A329=$K$326,D329=$L$325),VLOOKUP(B329,'RDS Réservés'!$F$39:$K$68,2,FALSE)+VLOOKUP(C329,'RDS Réservés'!$H$39:$K$68,2,FALSE),
(IF(AND(A329=$K$326,D329=$L$326),VLOOKUP(B329,'RDS Réservés'!$F$39:$K$68,2,FALSE)+VLOOKUP(C329,'RDS Réservés'!$H$39:$K$68,3,FALSE),
(IF(AND(A329=$K$326,D329=$L$327),VLOOKUP(B329,'RDS Réservés'!$F$39:$K$68,2,FALSE)+VLOOKUP(C329,'RDS Réservés'!$H$39:$K$68,4,FALSE),)))))))))))*2,
IF(AND(A329=$K$325,D329=$L$325),VLOOKUP(B329,'RDS Réservés'!$F$5:$K$34,2,FALSE)+VLOOKUP(C329,'RDS Réservés'!$H$5:$K$34,2,FALSE),
(IF(AND(A329=$K$325,D329=$L$326),VLOOKUP(B329,'RDS Réservés'!$F$5:$K$34,2,FALSE)+VLOOKUP(C329,'RDS Réservés'!$H$5:$K$34,3,FALSE),
(IF(AND(A329=$K$325,D329=$L$327),VLOOKUP(B329,'RDS Réservés'!$F$5:$K$34,2,FALSE)+VLOOKUP(C329,'RDS Réservés'!$H$5:$K$34,4,FALSE),
(IF(AND(A329=$K$326,D329=$L$325),VLOOKUP(B329,'RDS Réservés'!$F$39:$K$68,2,FALSE)+VLOOKUP(C329,'RDS Réservés'!$H$39:$K$68,2,FALSE),
(IF(AND(A329=$K$326,D329=$L$326),VLOOKUP(B329,'RDS Réservés'!$F$39:$K$68,2,FALSE)+VLOOKUP(C329,'RDS Réservés'!$H$39:$K$68,3,FALSE),
(IF(AND(A329=$K$326,D329=$L$327),VLOOKUP(B329,'RDS Réservés'!$F$39:$K$68,2,FALSE)+VLOOKUP(C329,'RDS Réservés'!$H$39:$K$68,4,FALSE),)))))))))))),0)*E329</f>
        <v>0</v>
      </c>
      <c r="H329" s="64"/>
      <c r="I329" s="64"/>
      <c r="J329" s="944"/>
      <c r="K329" s="944" t="s">
        <v>2850</v>
      </c>
      <c r="L329" s="944"/>
    </row>
    <row r="330" spans="1:14" ht="24" customHeight="1">
      <c r="A330" s="1121" t="s">
        <v>1469</v>
      </c>
      <c r="B330" s="64"/>
      <c r="C330" s="762"/>
      <c r="D330" s="64"/>
      <c r="E330" s="64"/>
      <c r="F330" s="1810" t="s">
        <v>39</v>
      </c>
      <c r="G330" s="1553">
        <f>SUM(G326:G329)</f>
        <v>0</v>
      </c>
      <c r="H330" s="64"/>
      <c r="I330" s="64"/>
      <c r="J330" s="944"/>
      <c r="K330" s="944"/>
      <c r="L330" s="944"/>
    </row>
    <row r="331" spans="1:14" ht="16.2" customHeight="1">
      <c r="A331" s="64"/>
      <c r="B331" s="64"/>
      <c r="C331" s="762"/>
      <c r="D331" s="64"/>
      <c r="E331" s="64"/>
      <c r="F331" s="1822"/>
      <c r="G331" s="1807"/>
      <c r="H331" s="64"/>
      <c r="I331" s="917"/>
      <c r="J331" s="944"/>
      <c r="K331" s="944" t="s">
        <v>2860</v>
      </c>
      <c r="L331" s="944"/>
    </row>
    <row r="332" spans="1:14" ht="44.55" customHeight="1">
      <c r="A332" s="1808" t="s">
        <v>2863</v>
      </c>
      <c r="B332" s="1808" t="s">
        <v>2819</v>
      </c>
      <c r="C332" s="1808" t="s">
        <v>2857</v>
      </c>
      <c r="D332" s="1824" t="s">
        <v>2854</v>
      </c>
      <c r="E332" s="837" t="s">
        <v>2858</v>
      </c>
      <c r="F332" s="837" t="s">
        <v>80</v>
      </c>
      <c r="G332" s="837" t="s">
        <v>1379</v>
      </c>
      <c r="H332" s="1828" t="s">
        <v>2871</v>
      </c>
      <c r="I332" s="837" t="s">
        <v>18</v>
      </c>
      <c r="J332" s="944"/>
      <c r="K332" s="944" t="s">
        <v>2861</v>
      </c>
      <c r="L332" s="944"/>
    </row>
    <row r="333" spans="1:14" ht="24.45" customHeight="1">
      <c r="A333" s="1552"/>
      <c r="B333" s="1823"/>
      <c r="C333" s="1149" t="str">
        <f>IFERROR(VLOOKUP(B333,$M$280:$Q$310,4,FALSE),"")</f>
        <v/>
      </c>
      <c r="D333" s="1665"/>
      <c r="E333" s="1552"/>
      <c r="F333" s="1665"/>
      <c r="G333" s="1552"/>
      <c r="H333" s="1552"/>
      <c r="I333" s="1809">
        <f>IFERROR(IF(G333=$M$326,IF(D333=$L$325,VLOOKUP(B333,'RDS Réservés'!$F$72:$O$95,2,FALSE)+VLOOKUP(B333,'RDS Réservés'!$F$72:$O$95,4,FALSE),
(IF(AND(A333=$K$327,D333=$L$326),VLOOKUP(B333,'RDS Réservés'!$F$72:$O$95,2,FALSE)+VLOOKUP(B333,'RDS Réservés'!$F$72:$O$95,5,FALSE),
(IF(AND(A333=$K$327,D333=$L$327),VLOOKUP(B333,'RDS Réservés'!$F$72:$O$95,2,FALSE)+VLOOKUP(B333,'RDS Réservés'!$F$72:$O$95,6,FALSE),)))))*2
+IF(E333=$K$331,VLOOKUP(B333,'RDS Réservés'!$F$72:$O$95,7,FALSE),0)*2
+IF(AND(H333=$K$331,A333=$K$327),VLOOKUP(B333,'RDS Réservés'!$F$72:$O$95,8,FALSE),
IF(AND(H333=$K$331,A333=$K$328),VLOOKUP(B333,'RDS Réservés'!$F$72:$O$95,9,FALSE),
IF(AND(H333=$K$331,A333=$K$329),VLOOKUP(B333,'RDS Réservés'!$F$72:$O$95,10,FALSE),0)))*2,
IF(D333=$L$325,VLOOKUP(B333,'RDS Réservés'!$F$72:$O$95,2,FALSE)+VLOOKUP(B333,'RDS Réservés'!$F$72:$O$95,4,FALSE),
(IF(D333=$L$326,VLOOKUP(B333,'RDS Réservés'!$F$72:$O$95,2,FALSE)+VLOOKUP(B333,'RDS Réservés'!$F$72:$O$95,5,FALSE),
(IF(D333=$L$327,VLOOKUP(B333,'RDS Réservés'!$F$72:$O$95,2,FALSE)+VLOOKUP(B333,'RDS Réservés'!$F$72:$O$95,6,FALSE),)))))
+IF(E333=$K$331,VLOOKUP(B333,'RDS Réservés'!$F$72:$O$95,7,FALSE),0)
+IF(AND(H333=$K$331,A333=$K$327),VLOOKUP(B333,'RDS Réservés'!$F$72:$O$95,8,FALSE),
IF(AND(H333=$K$331,A333=$K$328),VLOOKUP(B333,'RDS Réservés'!$F$72:$O$95,9,FALSE),
IF(AND(H333=$K$331,A333=$K$329),VLOOKUP(B333,'RDS Réservés'!$F$72:$O$95,10,FALSE),0)))),"")
*F333</f>
        <v>0</v>
      </c>
      <c r="J333" s="944"/>
      <c r="K333" s="944"/>
      <c r="L333" s="944"/>
    </row>
    <row r="334" spans="1:14" ht="24.45" customHeight="1">
      <c r="A334" s="1552"/>
      <c r="B334" s="1823"/>
      <c r="C334" s="1149" t="str">
        <f>IFERROR(VLOOKUP(B334,$M$280:$Q$310,4,FALSE),"")</f>
        <v/>
      </c>
      <c r="D334" s="1665"/>
      <c r="E334" s="1552"/>
      <c r="F334" s="1665"/>
      <c r="G334" s="1552"/>
      <c r="H334" s="1552"/>
      <c r="I334" s="1809">
        <f>IFERROR(IF(G334=$M$326,IF(D334=$L$325,VLOOKUP(B334,'RDS Réservés'!$F$72:$O$95,2,FALSE)+VLOOKUP(B334,'RDS Réservés'!$F$72:$O$95,4,FALSE),
(IF(AND(A334=$K$327,D334=$L$326),VLOOKUP(B334,'RDS Réservés'!$F$72:$O$95,2,FALSE)+VLOOKUP(B334,'RDS Réservés'!$F$72:$O$95,5,FALSE),
(IF(AND(A334=$K$327,D334=$L$327),VLOOKUP(B334,'RDS Réservés'!$F$72:$O$95,2,FALSE)+VLOOKUP(B334,'RDS Réservés'!$F$72:$O$95,6,FALSE),)))))*2
+IF(E334=$K$331,VLOOKUP(B334,'RDS Réservés'!$F$72:$O$95,7,FALSE),0)*2
+IF(AND(H334=$K$331,A334=$K$327),VLOOKUP(B334,'RDS Réservés'!$F$72:$O$95,8,FALSE),
IF(AND(H334=$K$331,A334=$K$328),VLOOKUP(B334,'RDS Réservés'!$F$72:$O$95,9,FALSE),
IF(AND(H334=$K$331,A334=$K$329),VLOOKUP(B334,'RDS Réservés'!$F$72:$O$95,10,FALSE),0)))*2,
IF(D334=$L$325,VLOOKUP(B334,'RDS Réservés'!$F$72:$O$95,2,FALSE)+VLOOKUP(B334,'RDS Réservés'!$F$72:$O$95,4,FALSE),
(IF(D334=$L$326,VLOOKUP(B334,'RDS Réservés'!$F$72:$O$95,2,FALSE)+VLOOKUP(B334,'RDS Réservés'!$F$72:$O$95,5,FALSE),
(IF(D334=$L$327,VLOOKUP(B334,'RDS Réservés'!$F$72:$O$95,2,FALSE)+VLOOKUP(B334,'RDS Réservés'!$F$72:$O$95,6,FALSE),)))))
+IF(E334=$K$331,VLOOKUP(B334,'RDS Réservés'!$F$72:$O$95,7,FALSE),0)
+IF(AND(H334=$K$331,A334=$K$327),VLOOKUP(B334,'RDS Réservés'!$F$72:$O$95,8,FALSE),
IF(AND(H334=$K$331,A334=$K$328),VLOOKUP(B334,'RDS Réservés'!$F$72:$O$95,9,FALSE),
IF(AND(H334=$K$331,A334=$K$329),VLOOKUP(B334,'RDS Réservés'!$F$72:$O$95,10,FALSE),0)))),"")
*F334</f>
        <v>0</v>
      </c>
      <c r="J334" s="944"/>
      <c r="K334" s="944"/>
      <c r="L334" s="944"/>
    </row>
    <row r="335" spans="1:14" ht="24.45" customHeight="1">
      <c r="A335" s="1552"/>
      <c r="B335" s="1823"/>
      <c r="C335" s="1149" t="str">
        <f>IFERROR(VLOOKUP(B335,$M$280:$Q$310,4,FALSE),"")</f>
        <v/>
      </c>
      <c r="D335" s="1665"/>
      <c r="E335" s="1552"/>
      <c r="F335" s="1665"/>
      <c r="G335" s="1552"/>
      <c r="H335" s="1552"/>
      <c r="I335" s="1809">
        <f>IFERROR(IF(G335=$M$326,IF(D335=$L$325,VLOOKUP(B335,'RDS Réservés'!$F$72:$O$95,2,FALSE)+VLOOKUP(B335,'RDS Réservés'!$F$72:$O$95,4,FALSE),
(IF(AND(A335=$K$327,D335=$L$326),VLOOKUP(B335,'RDS Réservés'!$F$72:$O$95,2,FALSE)+VLOOKUP(B335,'RDS Réservés'!$F$72:$O$95,5,FALSE),
(IF(AND(A335=$K$327,D335=$L$327),VLOOKUP(B335,'RDS Réservés'!$F$72:$O$95,2,FALSE)+VLOOKUP(B335,'RDS Réservés'!$F$72:$O$95,6,FALSE),)))))*2
+IF(E335=$K$331,VLOOKUP(B335,'RDS Réservés'!$F$72:$O$95,7,FALSE),0)*2
+IF(AND(H335=$K$331,A335=$K$327),VLOOKUP(B335,'RDS Réservés'!$F$72:$O$95,8,FALSE),
IF(AND(H335=$K$331,A335=$K$328),VLOOKUP(B335,'RDS Réservés'!$F$72:$O$95,9,FALSE),
IF(AND(H335=$K$331,A335=$K$329),VLOOKUP(B335,'RDS Réservés'!$F$72:$O$95,10,FALSE),0)))*2,
IF(D335=$L$325,VLOOKUP(B335,'RDS Réservés'!$F$72:$O$95,2,FALSE)+VLOOKUP(B335,'RDS Réservés'!$F$72:$O$95,4,FALSE),
(IF(D335=$L$326,VLOOKUP(B335,'RDS Réservés'!$F$72:$O$95,2,FALSE)+VLOOKUP(B335,'RDS Réservés'!$F$72:$O$95,5,FALSE),
(IF(D335=$L$327,VLOOKUP(B335,'RDS Réservés'!$F$72:$O$95,2,FALSE)+VLOOKUP(B335,'RDS Réservés'!$F$72:$O$95,6,FALSE),)))))
+IF(E335=$K$331,VLOOKUP(B335,'RDS Réservés'!$F$72:$O$95,7,FALSE),0)
+IF(AND(H335=$K$331,A335=$K$327),VLOOKUP(B335,'RDS Réservés'!$F$72:$O$95,8,FALSE),
IF(AND(H335=$K$331,A335=$K$328),VLOOKUP(B335,'RDS Réservés'!$F$72:$O$95,9,FALSE),
IF(AND(H335=$K$331,A335=$K$329),VLOOKUP(B335,'RDS Réservés'!$F$72:$O$95,10,FALSE),0)))),"")
*F335</f>
        <v>0</v>
      </c>
      <c r="J335" s="944"/>
      <c r="K335" s="944"/>
      <c r="L335" s="944"/>
    </row>
    <row r="336" spans="1:14" ht="24.45" customHeight="1">
      <c r="A336" s="1552"/>
      <c r="B336" s="1823"/>
      <c r="C336" s="1149" t="str">
        <f>IFERROR(VLOOKUP(B336,$M$280:$Q$310,4,FALSE),"")</f>
        <v/>
      </c>
      <c r="D336" s="1665"/>
      <c r="E336" s="1552"/>
      <c r="F336" s="1665"/>
      <c r="G336" s="1552"/>
      <c r="H336" s="1552"/>
      <c r="I336" s="1809">
        <f>IFERROR(IF(G336=$M$326,IF(D336=$L$325,VLOOKUP(B336,'RDS Réservés'!$F$72:$O$95,2,FALSE)+VLOOKUP(B336,'RDS Réservés'!$F$72:$O$95,4,FALSE),
(IF(AND(A336=$K$327,D336=$L$326),VLOOKUP(B336,'RDS Réservés'!$F$72:$O$95,2,FALSE)+VLOOKUP(B336,'RDS Réservés'!$F$72:$O$95,5,FALSE),
(IF(AND(A336=$K$327,D336=$L$327),VLOOKUP(B336,'RDS Réservés'!$F$72:$O$95,2,FALSE)+VLOOKUP(B336,'RDS Réservés'!$F$72:$O$95,6,FALSE),)))))*2
+IF(E336=$K$331,VLOOKUP(B336,'RDS Réservés'!$F$72:$O$95,7,FALSE),0)*2
+IF(AND(H336=$K$331,A336=$K$327),VLOOKUP(B336,'RDS Réservés'!$F$72:$O$95,8,FALSE),
IF(AND(H336=$K$331,A336=$K$328),VLOOKUP(B336,'RDS Réservés'!$F$72:$O$95,9,FALSE),
IF(AND(H336=$K$331,A336=$K$329),VLOOKUP(B336,'RDS Réservés'!$F$72:$O$95,10,FALSE),0)))*2,
IF(D336=$L$325,VLOOKUP(B336,'RDS Réservés'!$F$72:$O$95,2,FALSE)+VLOOKUP(B336,'RDS Réservés'!$F$72:$O$95,4,FALSE),
(IF(D336=$L$326,VLOOKUP(B336,'RDS Réservés'!$F$72:$O$95,2,FALSE)+VLOOKUP(B336,'RDS Réservés'!$F$72:$O$95,5,FALSE),
(IF(D336=$L$327,VLOOKUP(B336,'RDS Réservés'!$F$72:$O$95,2,FALSE)+VLOOKUP(B336,'RDS Réservés'!$F$72:$O$95,6,FALSE),)))))
+IF(E336=$K$331,VLOOKUP(B336,'RDS Réservés'!$F$72:$O$95,7,FALSE),0)
+IF(AND(H336=$K$331,A336=$K$327),VLOOKUP(B336,'RDS Réservés'!$F$72:$O$95,8,FALSE),
IF(AND(H336=$K$331,A336=$K$328),VLOOKUP(B336,'RDS Réservés'!$F$72:$O$95,9,FALSE),
IF(AND(H336=$K$331,A336=$K$329),VLOOKUP(B336,'RDS Réservés'!$F$72:$O$95,10,FALSE),0)))),"")
*F336</f>
        <v>0</v>
      </c>
      <c r="J336" s="944"/>
      <c r="K336" s="944"/>
      <c r="L336" s="944"/>
    </row>
    <row r="337" spans="1:35" ht="24.45" customHeight="1">
      <c r="A337" s="1121" t="s">
        <v>1469</v>
      </c>
      <c r="B337" s="64"/>
      <c r="C337" s="1827"/>
      <c r="D337" s="1827"/>
      <c r="E337" s="1827"/>
      <c r="F337" s="1827"/>
      <c r="G337" s="1827"/>
      <c r="H337" s="1810" t="s">
        <v>39</v>
      </c>
      <c r="I337" s="1553">
        <f>SUM(I333:I336)</f>
        <v>0</v>
      </c>
      <c r="J337" s="944"/>
      <c r="K337" s="944"/>
      <c r="L337" s="944"/>
    </row>
    <row r="338" spans="1:35">
      <c r="A338" s="1197"/>
      <c r="B338" s="64"/>
      <c r="C338" s="762"/>
      <c r="D338" s="64"/>
      <c r="E338" s="64"/>
      <c r="F338" s="64"/>
      <c r="G338" s="64"/>
      <c r="H338" s="64"/>
      <c r="I338" s="404"/>
      <c r="J338" s="944"/>
      <c r="K338" s="944"/>
      <c r="L338" s="1100"/>
    </row>
    <row r="339" spans="1:35">
      <c r="A339" s="1902" t="s">
        <v>2875</v>
      </c>
      <c r="B339" s="368" t="s">
        <v>2561</v>
      </c>
      <c r="C339" s="837" t="s">
        <v>18</v>
      </c>
      <c r="D339" s="64"/>
      <c r="E339" s="64"/>
      <c r="F339" s="64"/>
      <c r="G339" s="64"/>
      <c r="H339" s="64"/>
      <c r="I339" s="404"/>
      <c r="J339" s="944"/>
      <c r="K339" s="944"/>
      <c r="L339" s="1100"/>
    </row>
    <row r="340" spans="1:35">
      <c r="A340" s="585"/>
      <c r="B340" s="417"/>
      <c r="C340" s="382">
        <f>IFERROR(B340*VLOOKUP(A340,'Liste de prix Public EUROPE'!$B$2806:$D$2808,3,FALSE),0)</f>
        <v>0</v>
      </c>
      <c r="D340" s="64"/>
      <c r="E340" s="64"/>
      <c r="F340" s="64"/>
      <c r="G340" s="64"/>
      <c r="H340" s="64"/>
      <c r="I340" s="404"/>
      <c r="J340" s="944"/>
      <c r="K340" s="944"/>
      <c r="L340" s="1100"/>
    </row>
    <row r="341" spans="1:35">
      <c r="A341" s="585"/>
      <c r="B341" s="417"/>
      <c r="C341" s="382">
        <f>IFERROR(B341*VLOOKUP(A341,'Liste de prix Public EUROPE'!$B$2806:$D$2808,3,FALSE),0)</f>
        <v>0</v>
      </c>
      <c r="D341" s="64"/>
      <c r="E341" s="64"/>
      <c r="F341" s="64"/>
      <c r="G341" s="64"/>
      <c r="H341" s="64"/>
      <c r="I341" s="404"/>
      <c r="J341" s="944"/>
      <c r="K341" s="944"/>
      <c r="L341" s="1100"/>
    </row>
    <row r="342" spans="1:35">
      <c r="A342" s="64"/>
      <c r="B342" s="377" t="s">
        <v>75</v>
      </c>
      <c r="C342" s="1770">
        <f>SUM(C340:C341)</f>
        <v>0</v>
      </c>
      <c r="D342" s="64"/>
      <c r="E342" s="64"/>
      <c r="F342" s="64"/>
      <c r="G342" s="64"/>
      <c r="H342" s="64"/>
      <c r="I342" s="404"/>
      <c r="J342" s="944"/>
      <c r="K342" s="944"/>
      <c r="L342" s="1100"/>
    </row>
    <row r="343" spans="1:35">
      <c r="A343" s="64"/>
      <c r="B343" s="64"/>
      <c r="C343" s="762"/>
      <c r="D343" s="64"/>
      <c r="E343" s="64"/>
      <c r="F343" s="64"/>
      <c r="G343" s="64"/>
      <c r="H343" s="64"/>
      <c r="I343" s="404"/>
      <c r="J343" s="944"/>
      <c r="K343" s="944"/>
      <c r="L343" s="1100"/>
    </row>
    <row r="344" spans="1:35" ht="13.5" customHeight="1">
      <c r="A344" s="620" t="s">
        <v>1142</v>
      </c>
      <c r="B344" s="64"/>
      <c r="C344" s="64"/>
      <c r="D344" s="787"/>
      <c r="E344" s="64"/>
      <c r="F344" s="917"/>
      <c r="G344" s="1101"/>
      <c r="H344" s="1101"/>
      <c r="I344" s="404"/>
      <c r="J344" s="944"/>
      <c r="K344" s="944"/>
      <c r="L344" s="944"/>
    </row>
    <row r="345" spans="1:35" ht="41.4">
      <c r="A345" s="621" t="s">
        <v>424</v>
      </c>
      <c r="B345" s="368" t="s">
        <v>1419</v>
      </c>
      <c r="C345" s="621" t="s">
        <v>1442</v>
      </c>
      <c r="D345" s="788" t="s">
        <v>1440</v>
      </c>
      <c r="E345" s="1058" t="s">
        <v>1443</v>
      </c>
      <c r="F345" s="1058" t="s">
        <v>1436</v>
      </c>
      <c r="G345" s="1058" t="s">
        <v>631</v>
      </c>
      <c r="H345" s="1058"/>
      <c r="I345" s="621" t="s">
        <v>810</v>
      </c>
      <c r="J345" s="947"/>
      <c r="K345" s="947"/>
      <c r="L345" s="1058" t="s">
        <v>1272</v>
      </c>
      <c r="M345" s="1058" t="s">
        <v>1273</v>
      </c>
      <c r="N345" s="946"/>
      <c r="O345" s="946"/>
      <c r="P345" s="946"/>
      <c r="Q345" s="946"/>
      <c r="R345" s="946"/>
      <c r="S345" s="946"/>
    </row>
    <row r="346" spans="1:35" ht="27.6">
      <c r="A346" s="1098"/>
      <c r="B346" s="1099"/>
      <c r="C346" s="1096"/>
      <c r="D346" s="1099"/>
      <c r="E346" s="1096"/>
      <c r="F346" s="1097" t="s">
        <v>1437</v>
      </c>
      <c r="G346" s="822"/>
      <c r="H346" s="1148"/>
      <c r="I346" s="822">
        <f>G346+H346</f>
        <v>0</v>
      </c>
      <c r="J346" s="947"/>
      <c r="K346" s="947"/>
      <c r="L346" s="822">
        <f>IFERROR((VLOOKUP(C346,$Y$347:$AD$351,6,FALSE)*$A$346*$B$346)+(VLOOKUP(C346,$Y$347:$AE$351,7,FALSE)*(MIN(650,$A$346))*$B$346),0)</f>
        <v>0</v>
      </c>
      <c r="M346" s="822">
        <f>IFERROR((VLOOKUP(E346,$Y$347:$AD$351,6,FALSE)*3*$A$346*$D$346)+(VLOOKUP(E346,$Y$347:$AE$351,7,FALSE)*3*(MIN(650,$A$346))*$D$346),0)</f>
        <v>0</v>
      </c>
      <c r="N346" s="946"/>
      <c r="O346" s="946"/>
      <c r="P346" s="946"/>
      <c r="Q346" s="946"/>
      <c r="R346" s="946"/>
      <c r="S346" s="946"/>
    </row>
    <row r="347" spans="1:35">
      <c r="A347"/>
      <c r="B347"/>
      <c r="C347"/>
      <c r="D347"/>
      <c r="E347"/>
      <c r="F347"/>
      <c r="G347" s="100"/>
      <c r="H347" s="100"/>
      <c r="I347" s="7"/>
      <c r="J347" s="947"/>
      <c r="K347" s="947"/>
      <c r="L347" s="947"/>
      <c r="M347" s="946"/>
      <c r="N347" s="946"/>
      <c r="O347" s="946"/>
      <c r="P347" s="946"/>
      <c r="Q347" s="946"/>
      <c r="R347" s="946"/>
      <c r="S347" s="946"/>
      <c r="Y347" s="1090" t="s">
        <v>2</v>
      </c>
      <c r="Z347" s="1091" t="s">
        <v>3</v>
      </c>
      <c r="AA347" s="1091" t="s">
        <v>37</v>
      </c>
      <c r="AB347" s="1092" t="s">
        <v>261</v>
      </c>
      <c r="AC347" s="1092" t="s">
        <v>904</v>
      </c>
      <c r="AD347" s="1091" t="s">
        <v>43</v>
      </c>
      <c r="AE347" s="1091" t="s">
        <v>1464</v>
      </c>
    </row>
    <row r="348" spans="1:35">
      <c r="A348" s="620" t="s">
        <v>1354</v>
      </c>
      <c r="B348" s="171"/>
      <c r="C348" s="64"/>
      <c r="D348" s="330"/>
      <c r="E348"/>
      <c r="F348" s="1102"/>
      <c r="G348" s="1489"/>
      <c r="H348" s="1185"/>
      <c r="I348" s="7"/>
      <c r="J348" s="947"/>
      <c r="K348" s="947"/>
      <c r="L348" s="947"/>
      <c r="M348" s="946"/>
      <c r="N348" s="946"/>
      <c r="O348" s="946"/>
      <c r="P348" s="946"/>
      <c r="Q348" s="946"/>
      <c r="R348" s="946"/>
      <c r="S348" s="946"/>
      <c r="Y348" s="1093" t="s">
        <v>1420</v>
      </c>
      <c r="Z348" s="1094">
        <v>1</v>
      </c>
      <c r="AA348" s="1094">
        <v>4</v>
      </c>
      <c r="AB348" s="1094" t="s">
        <v>102</v>
      </c>
      <c r="AC348" s="1094" t="s">
        <v>102</v>
      </c>
      <c r="AD348" s="1089">
        <v>1.55E-2</v>
      </c>
      <c r="AE348" s="1089">
        <f>'Liste de prix Public EUROPE'!G13</f>
        <v>0.32979999999999998</v>
      </c>
    </row>
    <row r="349" spans="1:35">
      <c r="A349" s="621" t="s">
        <v>424</v>
      </c>
      <c r="B349" s="621" t="s">
        <v>1441</v>
      </c>
      <c r="C349" s="1058" t="s">
        <v>1438</v>
      </c>
      <c r="D349" s="621" t="s">
        <v>810</v>
      </c>
      <c r="E349"/>
      <c r="F349"/>
      <c r="G349"/>
      <c r="H349" s="1185"/>
      <c r="I349" s="99"/>
      <c r="J349" s="947"/>
      <c r="K349" s="947"/>
      <c r="L349" s="947"/>
      <c r="M349" s="946"/>
      <c r="N349" s="946"/>
      <c r="O349" s="946"/>
      <c r="P349" s="946"/>
      <c r="Q349" s="946"/>
      <c r="R349" s="946"/>
      <c r="S349" s="946"/>
      <c r="Y349" s="1093" t="s">
        <v>1421</v>
      </c>
      <c r="Z349" s="1094">
        <v>2</v>
      </c>
      <c r="AA349" s="1094">
        <v>4</v>
      </c>
      <c r="AB349" s="1094" t="s">
        <v>102</v>
      </c>
      <c r="AC349" s="1094" t="s">
        <v>102</v>
      </c>
      <c r="AD349" s="1089">
        <v>3.1099999999999999E-2</v>
      </c>
      <c r="AE349" s="1089">
        <f>'Liste de prix Public EUROPE'!G14</f>
        <v>0.65959999999999996</v>
      </c>
      <c r="AF349" s="966" t="s">
        <v>1465</v>
      </c>
      <c r="AG349" s="1119">
        <v>0.28820000000000001</v>
      </c>
      <c r="AH349" s="946" t="s">
        <v>838</v>
      </c>
      <c r="AI349" s="1119">
        <f>'Liste de prix Public EUROPE'!G14</f>
        <v>0.65959999999999996</v>
      </c>
    </row>
    <row r="350" spans="1:35" ht="27.6">
      <c r="A350" s="1098"/>
      <c r="B350" s="1096"/>
      <c r="C350" s="1097" t="s">
        <v>1439</v>
      </c>
      <c r="D350" s="822">
        <f>IFERROR((VLOOKUP(B350,'Liste de prix Public EUROPE'!$A$2032:$I$2047,5,FALSE)+VLOOKUP(B350,'Liste de prix Public EUROPE'!$A$2032:$I$2047,8,FALSE))*3*MIN(650,A350),0)</f>
        <v>0</v>
      </c>
      <c r="E350"/>
      <c r="F350"/>
      <c r="G350"/>
      <c r="H350" s="1185"/>
      <c r="I350" s="99"/>
      <c r="J350" s="947"/>
      <c r="K350" s="947"/>
      <c r="L350" s="947"/>
      <c r="M350" s="946"/>
      <c r="N350" s="946"/>
      <c r="O350" s="946"/>
      <c r="P350" s="946"/>
      <c r="Q350" s="946"/>
      <c r="R350" s="946"/>
      <c r="S350" s="946"/>
      <c r="Y350" s="1093" t="s">
        <v>1422</v>
      </c>
      <c r="Z350" s="1095">
        <v>4</v>
      </c>
      <c r="AA350" s="1095">
        <v>8</v>
      </c>
      <c r="AB350" s="1095" t="s">
        <v>102</v>
      </c>
      <c r="AC350" s="1095" t="s">
        <v>102</v>
      </c>
      <c r="AD350" s="1089">
        <v>6.2300000000000001E-2</v>
      </c>
      <c r="AE350" s="1089">
        <f>'Liste de prix Public EUROPE'!G15</f>
        <v>3.8899999999999997E-2</v>
      </c>
      <c r="AF350" s="966" t="s">
        <v>1466</v>
      </c>
      <c r="AG350" s="1119">
        <v>0.439</v>
      </c>
      <c r="AH350" s="946" t="s">
        <v>1361</v>
      </c>
      <c r="AI350" s="1119">
        <f>'Liste de prix Public EUROPE'!G76</f>
        <v>4.0941000000000001</v>
      </c>
    </row>
    <row r="351" spans="1:35">
      <c r="A351" s="376"/>
      <c r="B351" s="64"/>
      <c r="C351" s="762"/>
      <c r="D351" s="64"/>
      <c r="E351" s="64"/>
      <c r="F351" s="64"/>
      <c r="G351" s="64"/>
      <c r="H351" s="64"/>
      <c r="I351" s="404"/>
      <c r="J351" s="944"/>
      <c r="K351" s="944"/>
      <c r="L351" s="944"/>
      <c r="Y351" s="1093" t="s">
        <v>1423</v>
      </c>
      <c r="Z351" s="1095">
        <v>8</v>
      </c>
      <c r="AA351" s="1095">
        <v>16</v>
      </c>
      <c r="AB351" s="1095" t="s">
        <v>102</v>
      </c>
      <c r="AC351" s="1095" t="s">
        <v>102</v>
      </c>
      <c r="AD351" s="1089">
        <v>0.12470000000000001</v>
      </c>
      <c r="AE351" s="1089">
        <f>'Liste de prix Public EUROPE'!G16</f>
        <v>9.1499999999999998E-2</v>
      </c>
    </row>
    <row r="352" spans="1:35">
      <c r="A352" s="376"/>
      <c r="B352" s="64"/>
      <c r="C352" s="67"/>
      <c r="D352" s="64"/>
      <c r="E352" s="64"/>
      <c r="F352" s="64"/>
      <c r="G352" s="64"/>
      <c r="H352" s="64"/>
      <c r="I352" s="404"/>
      <c r="J352" s="944"/>
      <c r="K352" s="944"/>
      <c r="L352" s="944"/>
    </row>
    <row r="353" spans="1:22" ht="23.4">
      <c r="A353" s="343" t="s">
        <v>374</v>
      </c>
      <c r="B353" s="350" t="s">
        <v>1375</v>
      </c>
      <c r="C353" s="349"/>
      <c r="D353" s="349"/>
      <c r="E353" s="349"/>
      <c r="F353" s="349"/>
      <c r="G353" s="349"/>
      <c r="H353" s="349"/>
      <c r="I353" s="351"/>
      <c r="J353" s="944"/>
      <c r="K353" s="944"/>
      <c r="L353" s="944"/>
    </row>
    <row r="354" spans="1:22">
      <c r="A354" s="376"/>
      <c r="B354" s="64"/>
      <c r="C354" s="67"/>
      <c r="D354" s="64"/>
      <c r="E354" s="64"/>
      <c r="F354" s="64"/>
      <c r="G354" s="64"/>
      <c r="H354" s="64"/>
      <c r="I354" s="404"/>
      <c r="J354" s="944"/>
      <c r="K354" s="944"/>
      <c r="L354" s="944"/>
    </row>
    <row r="355" spans="1:22">
      <c r="A355" s="2099" t="s">
        <v>535</v>
      </c>
      <c r="B355" s="2100"/>
      <c r="C355" s="368" t="s">
        <v>18</v>
      </c>
      <c r="D355" s="64"/>
      <c r="E355" s="64"/>
      <c r="F355" s="64"/>
      <c r="G355" s="64"/>
      <c r="H355" s="64"/>
      <c r="I355" s="404"/>
      <c r="J355" s="944"/>
      <c r="K355" s="944"/>
      <c r="L355" s="944"/>
    </row>
    <row r="356" spans="1:22">
      <c r="A356" s="1038" t="s">
        <v>375</v>
      </c>
      <c r="B356" s="420"/>
      <c r="C356" s="382">
        <f>(IF(B356&lt;=1,0,(B356-1)*'Liste de prix Public EUROPE'!$H$1237))</f>
        <v>0</v>
      </c>
      <c r="D356" s="64"/>
      <c r="E356" s="64"/>
      <c r="F356" s="64"/>
      <c r="G356" s="64"/>
      <c r="H356" s="64"/>
      <c r="I356" s="404"/>
      <c r="J356" s="944"/>
      <c r="K356" s="944"/>
      <c r="L356" s="944"/>
    </row>
    <row r="357" spans="1:22">
      <c r="A357" s="1038" t="s">
        <v>376</v>
      </c>
      <c r="B357" s="420"/>
      <c r="C357" s="382">
        <f>(IF(B357&lt;=1,0,(B357-1)*'Liste de prix Public EUROPE'!$H$1239))</f>
        <v>0</v>
      </c>
      <c r="D357" s="64"/>
      <c r="E357" s="64"/>
      <c r="F357" s="64"/>
      <c r="G357" s="64"/>
      <c r="H357" s="64"/>
      <c r="I357" s="404"/>
      <c r="J357" s="944"/>
      <c r="K357" s="944"/>
      <c r="L357" s="944"/>
      <c r="V357" s="966"/>
    </row>
    <row r="358" spans="1:22">
      <c r="A358" s="369" t="s">
        <v>377</v>
      </c>
      <c r="B358" s="420"/>
      <c r="C358" s="382">
        <f>(IF(B358&lt;=1,0,(B358-1)*'Liste de prix Public EUROPE'!$H$1241))</f>
        <v>0</v>
      </c>
      <c r="D358" s="64"/>
      <c r="E358" s="64"/>
      <c r="F358" s="64"/>
      <c r="G358" s="64"/>
      <c r="H358" s="64"/>
      <c r="I358" s="404"/>
      <c r="J358" s="944"/>
      <c r="K358" s="944"/>
      <c r="L358" s="944"/>
      <c r="V358" s="966"/>
    </row>
    <row r="359" spans="1:22">
      <c r="A359" s="619" t="s">
        <v>1814</v>
      </c>
      <c r="B359" s="420"/>
      <c r="C359" s="382">
        <f>(IF(B359&lt;=100,0,(B359-100)*'Liste de prix Public EUROPE'!$H$1243))</f>
        <v>0</v>
      </c>
      <c r="D359" s="64"/>
      <c r="E359" s="64"/>
      <c r="F359" s="64"/>
      <c r="G359" s="64"/>
      <c r="H359" s="64"/>
      <c r="I359" s="404"/>
      <c r="J359" s="944"/>
      <c r="K359" s="944"/>
      <c r="L359" s="944"/>
      <c r="V359" s="966"/>
    </row>
    <row r="360" spans="1:22">
      <c r="A360" s="376"/>
      <c r="B360" s="64"/>
      <c r="C360" s="64"/>
      <c r="D360" s="64"/>
      <c r="E360" s="64"/>
      <c r="F360" s="64"/>
      <c r="G360" s="64"/>
      <c r="H360" s="64"/>
      <c r="I360" s="404"/>
      <c r="J360" s="944"/>
      <c r="K360" s="944"/>
      <c r="L360" s="944" t="s">
        <v>1215</v>
      </c>
      <c r="M360" s="945">
        <v>0</v>
      </c>
      <c r="O360" s="945" t="s">
        <v>1222</v>
      </c>
      <c r="P360" s="945">
        <v>0</v>
      </c>
      <c r="V360" s="966"/>
    </row>
    <row r="361" spans="1:22">
      <c r="A361" s="2099" t="s">
        <v>1249</v>
      </c>
      <c r="B361" s="2100"/>
      <c r="C361" s="368" t="s">
        <v>18</v>
      </c>
      <c r="D361" s="64"/>
      <c r="E361" s="64"/>
      <c r="F361" s="64"/>
      <c r="G361" s="64"/>
      <c r="H361" s="64"/>
      <c r="I361" s="404"/>
      <c r="J361" s="944"/>
      <c r="K361" s="944"/>
      <c r="L361" s="944" t="s">
        <v>1216</v>
      </c>
      <c r="M361" s="945">
        <v>0.4</v>
      </c>
      <c r="O361" s="945" t="s">
        <v>1223</v>
      </c>
      <c r="P361" s="945">
        <v>7.0000000000000007E-2</v>
      </c>
      <c r="V361" s="966"/>
    </row>
    <row r="362" spans="1:22">
      <c r="A362" s="1038" t="s">
        <v>1250</v>
      </c>
      <c r="B362" s="577"/>
      <c r="C362" s="382">
        <f>B362/1000000</f>
        <v>0</v>
      </c>
      <c r="D362" s="738"/>
      <c r="E362" s="64"/>
      <c r="F362" s="64"/>
      <c r="G362" s="64"/>
      <c r="H362" s="64"/>
      <c r="I362" s="1041">
        <f>IF(B362&lt;=1000000,B362*0,IF(AND(B362&gt;1000000,B362&lt;=1000000000),(B362-1000000)*M361,IF(AND(B362&gt;1000000000,B362&lt;=5000000000),(B362-1000000000)*M362+(1000000000-1000000)*M361,IF(AND(B362&gt;5000000000,B362&lt;=10000000000),(10000000000-5000000000)*M363+(5000000000-1000000000)*M362+(1000000000-1000000)*M361,IF(B362&gt;10000000000,(B362-10000000000)*M364+(10000000000-5000000000)*M363+(5000000000-1000000000)*M362+(1000000000-1000000)*M361)))))*(100%-$B$5)</f>
        <v>0</v>
      </c>
      <c r="J362" s="944"/>
      <c r="K362" s="944"/>
      <c r="L362" s="944" t="s">
        <v>1217</v>
      </c>
      <c r="M362" s="945">
        <v>0.37</v>
      </c>
      <c r="O362" s="945" t="s">
        <v>1224</v>
      </c>
      <c r="P362" s="945">
        <v>6.6000000000000003E-2</v>
      </c>
      <c r="V362" s="966"/>
    </row>
    <row r="363" spans="1:22">
      <c r="A363" s="1038" t="s">
        <v>1251</v>
      </c>
      <c r="B363" s="1042"/>
      <c r="C363" s="382">
        <f>IF(B363&lt;=15,B363*0,IF(AND(B363&gt;15,B363&lt;=10000),(B363-15)*$P$361,IF(AND(B363&gt;10000,B363&lt;=50000),(B363-10000)*$P$362+(10000-15)*$P$361,IF(AND(B363&gt;50000,B363&lt;=150000),(B363-50000)*$P$363+(50000-10000)*$P$362+(10000-15)*$P$361,IF(AND(B363&gt;150000,B363&lt;=500000),(B363-150000)*$P$364+(150000-50000)*$P$363+(50000-10000)*$P$362+(10000-15)*$P$361)))))</f>
        <v>0</v>
      </c>
      <c r="D363" s="64"/>
      <c r="E363" s="64"/>
      <c r="F363" s="64"/>
      <c r="G363" s="64"/>
      <c r="H363" s="64"/>
      <c r="I363" s="404"/>
      <c r="J363" s="944"/>
      <c r="K363" s="944"/>
      <c r="L363" s="944" t="s">
        <v>1218</v>
      </c>
      <c r="M363" s="945">
        <v>0.31</v>
      </c>
      <c r="O363" s="945" t="s">
        <v>1225</v>
      </c>
      <c r="P363" s="945">
        <v>5.3999999999999999E-2</v>
      </c>
      <c r="V363" s="966"/>
    </row>
    <row r="364" spans="1:22">
      <c r="A364" s="376"/>
      <c r="B364" s="377" t="s">
        <v>39</v>
      </c>
      <c r="C364" s="378">
        <f>SUM(C362:C363)</f>
        <v>0</v>
      </c>
      <c r="D364" s="64"/>
      <c r="E364" s="64"/>
      <c r="F364" s="64"/>
      <c r="G364" s="64"/>
      <c r="H364" s="64"/>
      <c r="I364" s="404"/>
      <c r="J364" s="944"/>
      <c r="K364" s="944"/>
      <c r="L364" s="944" t="s">
        <v>1219</v>
      </c>
      <c r="M364" s="945">
        <v>0.27</v>
      </c>
      <c r="O364" s="945" t="s">
        <v>1226</v>
      </c>
      <c r="P364" s="945">
        <v>3.7999999999999999E-2</v>
      </c>
      <c r="V364" s="966"/>
    </row>
    <row r="365" spans="1:22">
      <c r="A365" s="376"/>
      <c r="B365" s="64"/>
      <c r="C365" s="917"/>
      <c r="D365" s="64"/>
      <c r="E365" s="64"/>
      <c r="F365" s="64"/>
      <c r="G365" s="64"/>
      <c r="H365" s="64"/>
      <c r="I365" s="404"/>
      <c r="J365" s="944"/>
      <c r="K365" s="944"/>
      <c r="L365" s="944"/>
      <c r="V365" s="966"/>
    </row>
    <row r="366" spans="1:22">
      <c r="A366" s="386" t="s">
        <v>2360</v>
      </c>
      <c r="B366" s="621" t="s">
        <v>90</v>
      </c>
      <c r="C366" s="368" t="s">
        <v>18</v>
      </c>
      <c r="D366" s="64"/>
      <c r="E366" s="64"/>
      <c r="F366" s="64"/>
      <c r="G366" s="64"/>
      <c r="H366" s="64"/>
      <c r="I366" s="404"/>
      <c r="J366" s="944"/>
      <c r="K366" s="944"/>
      <c r="L366" s="944"/>
      <c r="V366" s="966"/>
    </row>
    <row r="367" spans="1:22">
      <c r="A367" s="1625" t="s">
        <v>2319</v>
      </c>
      <c r="B367" s="577"/>
      <c r="C367" s="382">
        <f>VLOOKUP($A$367,'Liste de prix Public EUROPE'!$B$1263:$C$1266,2,FALSE)*$B$367</f>
        <v>0</v>
      </c>
      <c r="D367" s="64"/>
      <c r="E367" s="64"/>
      <c r="F367" s="64"/>
      <c r="G367" s="64"/>
      <c r="H367" s="64"/>
      <c r="I367" s="404"/>
      <c r="J367" s="944"/>
      <c r="K367" s="944"/>
      <c r="L367" s="944"/>
      <c r="V367" s="966"/>
    </row>
    <row r="368" spans="1:22">
      <c r="A368" s="1625" t="s">
        <v>2320</v>
      </c>
      <c r="B368" s="1042"/>
      <c r="C368" s="382">
        <f>VLOOKUP($A$368,'Liste de prix Public EUROPE'!$B$1263:$C$1266,2,FALSE)*$B$368</f>
        <v>0</v>
      </c>
      <c r="D368" s="64"/>
      <c r="E368" s="64"/>
      <c r="F368" s="64"/>
      <c r="G368" s="64"/>
      <c r="H368" s="64"/>
      <c r="I368" s="404"/>
      <c r="J368" s="944"/>
      <c r="K368" s="944"/>
      <c r="L368" s="944"/>
      <c r="V368" s="966"/>
    </row>
    <row r="369" spans="1:22">
      <c r="A369" s="1625" t="s">
        <v>2321</v>
      </c>
      <c r="B369" s="577"/>
      <c r="C369" s="382">
        <f>VLOOKUP($A$369,'Liste de prix Public EUROPE'!$B$1263:$C$1266,2,FALSE)*$B$369</f>
        <v>0</v>
      </c>
      <c r="D369" s="64"/>
      <c r="E369" s="64"/>
      <c r="F369" s="64"/>
      <c r="G369" s="64"/>
      <c r="H369" s="64"/>
      <c r="I369" s="404"/>
      <c r="J369" s="944"/>
      <c r="K369" s="944"/>
      <c r="L369" s="944"/>
      <c r="V369" s="966"/>
    </row>
    <row r="370" spans="1:22">
      <c r="A370" s="1625" t="s">
        <v>2322</v>
      </c>
      <c r="B370" s="1042"/>
      <c r="C370" s="382">
        <f>VLOOKUP($A$370,'Liste de prix Public EUROPE'!$B$1263:$C$1266,2,FALSE)*$B$370</f>
        <v>0</v>
      </c>
      <c r="D370" s="64"/>
      <c r="E370" s="64"/>
      <c r="F370" s="64"/>
      <c r="G370" s="64"/>
      <c r="H370" s="64"/>
      <c r="I370" s="404"/>
      <c r="J370" s="944"/>
      <c r="K370" s="944"/>
      <c r="L370" s="944"/>
      <c r="V370" s="966"/>
    </row>
    <row r="371" spans="1:22">
      <c r="A371" s="376"/>
      <c r="B371" s="377" t="s">
        <v>39</v>
      </c>
      <c r="C371" s="378">
        <f>SUM(C367:C370)</f>
        <v>0</v>
      </c>
      <c r="D371" s="64"/>
      <c r="E371" s="64"/>
      <c r="F371" s="64"/>
      <c r="G371" s="64"/>
      <c r="H371" s="64"/>
      <c r="I371" s="404"/>
      <c r="J371" s="944"/>
      <c r="K371" s="944"/>
      <c r="L371" s="944"/>
      <c r="V371" s="966"/>
    </row>
    <row r="372" spans="1:22">
      <c r="A372" s="376"/>
      <c r="B372" s="64"/>
      <c r="C372" s="917"/>
      <c r="D372" s="64"/>
      <c r="E372" s="64"/>
      <c r="F372" s="64"/>
      <c r="G372" s="64"/>
      <c r="H372" s="64"/>
      <c r="I372" s="404"/>
      <c r="J372" s="944"/>
      <c r="K372" s="944"/>
      <c r="L372" s="944"/>
      <c r="V372" s="966"/>
    </row>
    <row r="373" spans="1:22">
      <c r="A373" s="566" t="s">
        <v>732</v>
      </c>
      <c r="B373" s="368" t="s">
        <v>80</v>
      </c>
      <c r="C373" s="368" t="s">
        <v>424</v>
      </c>
      <c r="D373" s="368" t="s">
        <v>420</v>
      </c>
      <c r="E373" s="368" t="s">
        <v>8</v>
      </c>
      <c r="F373" s="368" t="s">
        <v>18</v>
      </c>
      <c r="G373" s="846"/>
      <c r="H373" s="846"/>
      <c r="I373" s="404"/>
      <c r="J373" s="944"/>
      <c r="K373" s="944"/>
      <c r="L373" s="944"/>
      <c r="V373" s="966"/>
    </row>
    <row r="374" spans="1:22">
      <c r="A374" s="585" t="s">
        <v>431</v>
      </c>
      <c r="B374" s="415"/>
      <c r="C374" s="577"/>
      <c r="D374" s="417"/>
      <c r="E374" s="417"/>
      <c r="F374" s="371">
        <f>(IF(D374=$V$100,VLOOKUP(A374,'Liste de prix Public EUROPE'!$B$1871:$M$1886,12,FALSE),IF(D374=$V$99,VLOOKUP(A374,'Liste de prix Public EUROPE'!$B$1871:$M$1886,9,FALSE),FALSE))*B374+C374*IF(D374=$V$99,VLOOKUP(A374,'Liste de prix Public EUROPE'!$B$1871:$M$1886,10,FALSE),0)*B374)</f>
        <v>0</v>
      </c>
      <c r="G374" s="842"/>
      <c r="H374" s="842"/>
      <c r="I374" s="404"/>
      <c r="J374" s="944"/>
      <c r="K374" s="944"/>
      <c r="L374" s="1442" t="s">
        <v>2001</v>
      </c>
      <c r="N374" s="1447" t="s">
        <v>2007</v>
      </c>
      <c r="P374" s="1426" t="s">
        <v>2042</v>
      </c>
      <c r="V374" s="966"/>
    </row>
    <row r="375" spans="1:22">
      <c r="A375" s="585" t="s">
        <v>429</v>
      </c>
      <c r="B375" s="415"/>
      <c r="C375" s="577"/>
      <c r="D375" s="417"/>
      <c r="E375" s="417"/>
      <c r="F375" s="371">
        <f>(IF(D375=$V$100,VLOOKUP(A375,'Liste de prix Public EUROPE'!$B$1871:$M$1886,12,FALSE),IF(D375=$V$99,VLOOKUP(A375,'Liste de prix Public EUROPE'!$B$1871:$M$1886,9,FALSE),FALSE))*B375+C375*IF(D375=$V$99,VLOOKUP(A375,'Liste de prix Public EUROPE'!$B$1871:$M$1886,10,FALSE),0)*B375)</f>
        <v>0</v>
      </c>
      <c r="G375" s="842"/>
      <c r="H375" s="842"/>
      <c r="I375" s="404"/>
      <c r="J375" s="944"/>
      <c r="K375" s="944"/>
      <c r="L375" s="1442" t="s">
        <v>2002</v>
      </c>
      <c r="N375" s="1447" t="s">
        <v>2009</v>
      </c>
      <c r="P375" s="1426" t="s">
        <v>2043</v>
      </c>
      <c r="V375" s="966"/>
    </row>
    <row r="376" spans="1:22">
      <c r="A376" s="585" t="s">
        <v>429</v>
      </c>
      <c r="B376" s="415"/>
      <c r="C376" s="577"/>
      <c r="D376" s="417"/>
      <c r="E376" s="417"/>
      <c r="F376" s="371">
        <f>(IF(D376=$V$100,VLOOKUP(A376,'Liste de prix Public EUROPE'!$B$1871:$M$1886,12,FALSE),IF(D376=$V$99,VLOOKUP(A376,'Liste de prix Public EUROPE'!$B$1871:$M$1886,9,FALSE),FALSE))*B376+C376*IF(D376=$V$99,VLOOKUP(A376,'Liste de prix Public EUROPE'!$B$1871:$M$1886,10,FALSE),0)*B376)</f>
        <v>0</v>
      </c>
      <c r="G376" s="842"/>
      <c r="H376" s="842"/>
      <c r="I376" s="404"/>
      <c r="J376" s="944"/>
      <c r="K376" s="944"/>
      <c r="L376" s="1442" t="s">
        <v>2003</v>
      </c>
      <c r="N376" s="1447" t="s">
        <v>2010</v>
      </c>
      <c r="P376" s="1427" t="s">
        <v>2044</v>
      </c>
      <c r="V376" s="966"/>
    </row>
    <row r="377" spans="1:22">
      <c r="A377" s="585" t="s">
        <v>430</v>
      </c>
      <c r="B377" s="415"/>
      <c r="C377" s="577"/>
      <c r="D377" s="417"/>
      <c r="E377" s="417"/>
      <c r="F377" s="371">
        <f>(IF(D377=$V$100,VLOOKUP(A377,'Liste de prix Public EUROPE'!$B$1871:$M$1886,12,FALSE),IF(D377=$V$99,VLOOKUP(A377,'Liste de prix Public EUROPE'!$B$1871:$M$1886,9,FALSE),FALSE))*B377+C377*IF(D377=$V$99,VLOOKUP(A377,'Liste de prix Public EUROPE'!$B$1871:$M$1886,10,FALSE),0)*B377)</f>
        <v>0</v>
      </c>
      <c r="G377" s="842"/>
      <c r="H377" s="842"/>
      <c r="I377" s="404"/>
      <c r="J377" s="944"/>
      <c r="K377" s="944"/>
      <c r="L377" s="1442" t="s">
        <v>2004</v>
      </c>
      <c r="N377" s="1447" t="s">
        <v>2008</v>
      </c>
      <c r="P377" s="1426" t="s">
        <v>2045</v>
      </c>
      <c r="V377" s="966"/>
    </row>
    <row r="378" spans="1:22">
      <c r="A378" s="376"/>
      <c r="B378" s="64"/>
      <c r="C378" s="64"/>
      <c r="D378" s="64"/>
      <c r="E378" s="377" t="s">
        <v>39</v>
      </c>
      <c r="F378" s="378">
        <f>SUM(F374:F377)</f>
        <v>0</v>
      </c>
      <c r="G378" s="298"/>
      <c r="H378" s="917"/>
      <c r="I378" s="404"/>
      <c r="J378" s="944"/>
      <c r="K378" s="944"/>
      <c r="L378" s="1442" t="s">
        <v>2005</v>
      </c>
      <c r="N378" s="1447" t="s">
        <v>2011</v>
      </c>
      <c r="P378" s="1426" t="s">
        <v>2046</v>
      </c>
      <c r="V378" s="966"/>
    </row>
    <row r="379" spans="1:22">
      <c r="A379" s="64"/>
      <c r="B379" s="64"/>
      <c r="C379" s="64"/>
      <c r="D379" s="64"/>
      <c r="E379" s="64"/>
      <c r="F379" s="917"/>
      <c r="G379" s="917"/>
      <c r="H379" s="917"/>
      <c r="I379" s="404"/>
      <c r="J379" s="944"/>
      <c r="K379" s="944"/>
      <c r="L379" s="1442" t="s">
        <v>2006</v>
      </c>
      <c r="N379" s="1447" t="s">
        <v>2012</v>
      </c>
      <c r="P379" s="1426" t="s">
        <v>2047</v>
      </c>
      <c r="V379" s="966"/>
    </row>
    <row r="380" spans="1:22">
      <c r="A380" s="2130" t="s">
        <v>2101</v>
      </c>
      <c r="B380" s="2131"/>
      <c r="C380" s="2131"/>
      <c r="D380" s="2131"/>
      <c r="E380" s="2131"/>
      <c r="F380" s="2131"/>
      <c r="G380" s="2131"/>
      <c r="H380" s="2131"/>
      <c r="I380" s="2132"/>
      <c r="J380" s="944"/>
      <c r="K380" s="944"/>
      <c r="L380" s="1451" t="s">
        <v>2027</v>
      </c>
      <c r="N380" s="1344" t="s">
        <v>2032</v>
      </c>
      <c r="P380" s="1426" t="s">
        <v>2045</v>
      </c>
      <c r="V380" s="966"/>
    </row>
    <row r="381" spans="1:22">
      <c r="A381" s="621" t="s">
        <v>2017</v>
      </c>
      <c r="B381" s="621" t="s">
        <v>1997</v>
      </c>
      <c r="C381" s="621" t="s">
        <v>1998</v>
      </c>
      <c r="D381" s="621" t="s">
        <v>1999</v>
      </c>
      <c r="E381" s="621" t="s">
        <v>2104</v>
      </c>
      <c r="F381" s="917"/>
      <c r="G381" s="917"/>
      <c r="H381" s="917"/>
      <c r="I381" s="404"/>
      <c r="J381" s="944"/>
      <c r="K381" s="944"/>
      <c r="L381" s="1451" t="s">
        <v>2027</v>
      </c>
      <c r="M381" s="945" t="s">
        <v>2000</v>
      </c>
      <c r="N381" s="1344" t="s">
        <v>2032</v>
      </c>
      <c r="P381" s="1426" t="s">
        <v>2046</v>
      </c>
      <c r="V381" s="966"/>
    </row>
    <row r="382" spans="1:22">
      <c r="A382" s="415"/>
      <c r="B382" s="415"/>
      <c r="C382" s="415"/>
      <c r="D382" s="415"/>
      <c r="E382" s="371">
        <f>IFERROR((IF(D382=$M$381,
(VLOOKUP(A382,'Liste de prix Public EUROPE'!$B$1901:'Liste de prix Public EUROPE'!$K$1912,10,FALSE)*C382),
(VLOOKUP(A382,'Liste de prix Public EUROPE'!$B$1901:'Liste de prix Public EUROPE'!$K$1912,8,FALSE)*C382))*B382),0)</f>
        <v>0</v>
      </c>
      <c r="F382" s="917"/>
      <c r="G382" s="917"/>
      <c r="H382" s="917"/>
      <c r="I382" s="404"/>
      <c r="J382" s="944"/>
      <c r="K382" s="944"/>
      <c r="L382" s="1451" t="s">
        <v>2028</v>
      </c>
      <c r="N382" s="1344" t="s">
        <v>2033</v>
      </c>
      <c r="P382" s="1426" t="s">
        <v>2047</v>
      </c>
      <c r="V382" s="966"/>
    </row>
    <row r="383" spans="1:22">
      <c r="A383" s="415"/>
      <c r="B383" s="415"/>
      <c r="C383" s="415"/>
      <c r="D383" s="415"/>
      <c r="E383" s="371">
        <f>IFERROR((IF(D383=$M$381,
(VLOOKUP(A383,'Liste de prix Public EUROPE'!$B$1901:'Liste de prix Public EUROPE'!$K$1912,10,FALSE)*C383),
(VLOOKUP(A383,'Liste de prix Public EUROPE'!$B$1901:'Liste de prix Public EUROPE'!$K$1912,8,FALSE)*C383))*B383),0)</f>
        <v>0</v>
      </c>
      <c r="F383" s="917"/>
      <c r="G383" s="917"/>
      <c r="H383" s="917"/>
      <c r="I383" s="404"/>
      <c r="J383" s="944"/>
      <c r="K383" s="944"/>
      <c r="L383" s="1451" t="s">
        <v>2028</v>
      </c>
      <c r="N383" s="1344" t="s">
        <v>2033</v>
      </c>
      <c r="P383" s="1426" t="s">
        <v>2030</v>
      </c>
      <c r="V383" s="966"/>
    </row>
    <row r="384" spans="1:22">
      <c r="A384" s="628"/>
      <c r="B384" s="628"/>
      <c r="C384" s="628"/>
      <c r="D384" s="415"/>
      <c r="E384" s="371">
        <f>IFERROR((IF(D384=$M$381,
(VLOOKUP(A384,'Liste de prix Public EUROPE'!$B$1901:'Liste de prix Public EUROPE'!$K$1912,10,FALSE)*C384),
(VLOOKUP(A384,'Liste de prix Public EUROPE'!$B$1901:'Liste de prix Public EUROPE'!$K$1912,8,FALSE)*C384))*B384),0)</f>
        <v>0</v>
      </c>
      <c r="F384" s="917"/>
      <c r="G384" s="917"/>
      <c r="H384" s="917"/>
      <c r="I384" s="404"/>
      <c r="J384" s="944"/>
      <c r="K384" s="944"/>
      <c r="L384" s="1451" t="s">
        <v>2029</v>
      </c>
      <c r="N384" s="1344" t="s">
        <v>2034</v>
      </c>
      <c r="V384" s="966"/>
    </row>
    <row r="385" spans="1:22">
      <c r="A385" s="64"/>
      <c r="B385" s="64"/>
      <c r="C385" s="64"/>
      <c r="D385" s="619" t="s">
        <v>1523</v>
      </c>
      <c r="E385" s="371">
        <f>E382+E383+E384</f>
        <v>0</v>
      </c>
      <c r="F385" s="917"/>
      <c r="G385" s="917"/>
      <c r="H385" s="917"/>
      <c r="I385" s="404"/>
      <c r="J385" s="944"/>
      <c r="K385" s="944"/>
      <c r="L385" s="1451" t="s">
        <v>2029</v>
      </c>
      <c r="N385" s="1344" t="s">
        <v>2034</v>
      </c>
      <c r="V385" s="966"/>
    </row>
    <row r="386" spans="1:22">
      <c r="A386" s="376"/>
      <c r="B386" s="64"/>
      <c r="C386" s="64"/>
      <c r="D386" s="64"/>
      <c r="E386" s="64"/>
      <c r="F386" s="917"/>
      <c r="G386" s="917"/>
      <c r="H386" s="917"/>
      <c r="I386" s="404"/>
      <c r="J386" s="944"/>
      <c r="K386" s="944"/>
      <c r="L386" s="944"/>
      <c r="N386" s="1456" t="s">
        <v>2036</v>
      </c>
      <c r="V386" s="966"/>
    </row>
    <row r="387" spans="1:22">
      <c r="A387" s="621" t="s">
        <v>2098</v>
      </c>
      <c r="B387" s="621" t="s">
        <v>2099</v>
      </c>
      <c r="C387" s="621" t="s">
        <v>2100</v>
      </c>
      <c r="D387" s="621" t="s">
        <v>2104</v>
      </c>
      <c r="E387" s="64"/>
      <c r="F387" s="917"/>
      <c r="G387" s="917"/>
      <c r="H387" s="917"/>
      <c r="I387" s="404"/>
      <c r="J387" s="944"/>
      <c r="K387" s="944"/>
      <c r="L387" s="944"/>
      <c r="N387" s="1456" t="s">
        <v>2036</v>
      </c>
      <c r="V387" s="966"/>
    </row>
    <row r="388" spans="1:22">
      <c r="A388" s="415"/>
      <c r="B388" s="415"/>
      <c r="C388" s="415"/>
      <c r="D388" s="371">
        <f>IFERROR((VLOOKUP(B388,'Liste de prix Public EUROPE'!B1916:E1961,4,FALSE)*VLOOKUP(C388,'Liste de prix Public EUROPE'!B1916:E1961,4,FALSE)*A388),0)</f>
        <v>0</v>
      </c>
      <c r="E388" s="64"/>
      <c r="F388" s="917"/>
      <c r="G388" s="917"/>
      <c r="H388" s="917"/>
      <c r="I388" s="404"/>
      <c r="J388" s="944"/>
      <c r="K388" s="944"/>
      <c r="L388" s="944"/>
      <c r="N388" s="1456" t="s">
        <v>2037</v>
      </c>
      <c r="V388" s="966"/>
    </row>
    <row r="389" spans="1:22">
      <c r="A389" s="415"/>
      <c r="B389" s="415"/>
      <c r="C389" s="415"/>
      <c r="D389" s="371">
        <f>IFERROR((VLOOKUP(B389,'Liste de prix Public EUROPE'!B1917:E1962,4,FALSE)*VLOOKUP(C389,'Liste de prix Public EUROPE'!B1917:E1962,4,FALSE)*A389),0)</f>
        <v>0</v>
      </c>
      <c r="E389" s="64"/>
      <c r="F389" s="917"/>
      <c r="G389" s="917"/>
      <c r="H389" s="917"/>
      <c r="I389" s="404"/>
      <c r="J389" s="944"/>
      <c r="K389" s="944"/>
      <c r="L389" s="944"/>
      <c r="N389" s="1456" t="s">
        <v>2037</v>
      </c>
      <c r="V389" s="966"/>
    </row>
    <row r="390" spans="1:22">
      <c r="A390" s="1458"/>
      <c r="B390" s="1458"/>
      <c r="C390" s="1458"/>
      <c r="D390" s="371">
        <f>IFERROR((VLOOKUP(B390,'Liste de prix Public EUROPE'!B1918:E1963,4,FALSE)*VLOOKUP(C390,'Liste de prix Public EUROPE'!B1918:E1963,4,FALSE)*A390),0)</f>
        <v>0</v>
      </c>
      <c r="E390" s="64"/>
      <c r="F390" s="917"/>
      <c r="G390" s="917"/>
      <c r="H390" s="917"/>
      <c r="I390" s="404"/>
      <c r="J390" s="944"/>
      <c r="K390" s="944"/>
      <c r="L390" s="944"/>
      <c r="N390" s="1456" t="s">
        <v>2038</v>
      </c>
      <c r="V390" s="966"/>
    </row>
    <row r="391" spans="1:22">
      <c r="A391" s="64"/>
      <c r="B391" s="64"/>
      <c r="C391" s="619" t="s">
        <v>1523</v>
      </c>
      <c r="D391" s="1459">
        <f>D388+D389+D390</f>
        <v>0</v>
      </c>
      <c r="E391" s="64"/>
      <c r="F391" s="917"/>
      <c r="G391" s="917"/>
      <c r="H391" s="917"/>
      <c r="I391" s="404"/>
      <c r="J391" s="944"/>
      <c r="K391" s="944"/>
      <c r="L391" s="944"/>
      <c r="N391" s="1456" t="s">
        <v>2038</v>
      </c>
      <c r="V391" s="966"/>
    </row>
    <row r="392" spans="1:22">
      <c r="A392" s="376"/>
      <c r="B392" s="64"/>
      <c r="C392" s="64"/>
      <c r="D392" s="64"/>
      <c r="E392" s="64"/>
      <c r="F392" s="917"/>
      <c r="G392" s="917"/>
      <c r="H392" s="917"/>
      <c r="I392" s="404"/>
      <c r="J392" s="944"/>
      <c r="K392" s="944"/>
      <c r="L392" s="944"/>
      <c r="N392" s="1457" t="s">
        <v>2039</v>
      </c>
      <c r="V392" s="966"/>
    </row>
    <row r="393" spans="1:22">
      <c r="A393" s="621" t="s">
        <v>2102</v>
      </c>
      <c r="B393" s="621" t="s">
        <v>2103</v>
      </c>
      <c r="C393" s="621" t="s">
        <v>2104</v>
      </c>
      <c r="D393" s="64"/>
      <c r="E393" s="64"/>
      <c r="F393" s="917"/>
      <c r="G393" s="917"/>
      <c r="H393" s="917"/>
      <c r="I393" s="404"/>
      <c r="J393" s="944"/>
      <c r="K393" s="944"/>
      <c r="L393" s="944"/>
      <c r="N393" s="1457" t="s">
        <v>2039</v>
      </c>
      <c r="V393" s="966"/>
    </row>
    <row r="394" spans="1:22">
      <c r="A394" s="415"/>
      <c r="B394" s="415"/>
      <c r="C394" s="371">
        <f>IFERROR((VLOOKUP(B394,'Liste de prix Public EUROPE'!B1916:E1961,4,FALSE)*'Deviseur EUROPE'!A394),0)</f>
        <v>0</v>
      </c>
      <c r="D394" s="64"/>
      <c r="E394" s="64"/>
      <c r="F394" s="917"/>
      <c r="G394" s="917"/>
      <c r="H394" s="917"/>
      <c r="I394" s="404"/>
      <c r="J394" s="944"/>
      <c r="K394" s="944"/>
      <c r="L394" s="944"/>
      <c r="N394" s="1457" t="s">
        <v>2040</v>
      </c>
      <c r="V394" s="966"/>
    </row>
    <row r="395" spans="1:22">
      <c r="A395" s="415"/>
      <c r="B395" s="415"/>
      <c r="C395" s="371">
        <f>IFERROR((VLOOKUP(B395,'Liste de prix Public EUROPE'!B1917:E1962,4,FALSE)*'Deviseur EUROPE'!A395),0)</f>
        <v>0</v>
      </c>
      <c r="D395" s="64"/>
      <c r="E395" s="64"/>
      <c r="F395" s="917"/>
      <c r="G395" s="917"/>
      <c r="H395" s="917"/>
      <c r="I395" s="404"/>
      <c r="J395" s="944"/>
      <c r="K395" s="944"/>
      <c r="L395" s="944"/>
      <c r="N395" s="1457" t="s">
        <v>2040</v>
      </c>
      <c r="V395" s="966"/>
    </row>
    <row r="396" spans="1:22">
      <c r="A396" s="415"/>
      <c r="B396" s="415"/>
      <c r="C396" s="371">
        <f>IFERROR((VLOOKUP(B396,'Liste de prix Public EUROPE'!B1918:E1963,4,FALSE)*'Deviseur EUROPE'!A396),0)</f>
        <v>0</v>
      </c>
      <c r="D396" s="64"/>
      <c r="E396" s="64"/>
      <c r="F396" s="917"/>
      <c r="G396" s="917"/>
      <c r="H396" s="917"/>
      <c r="I396" s="404"/>
      <c r="J396" s="944"/>
      <c r="K396" s="944"/>
      <c r="L396" s="944"/>
      <c r="N396" s="1457" t="s">
        <v>2041</v>
      </c>
      <c r="V396" s="966"/>
    </row>
    <row r="397" spans="1:22">
      <c r="A397" s="376"/>
      <c r="B397" s="1460" t="s">
        <v>75</v>
      </c>
      <c r="C397" s="1459">
        <f>C394+C395+C396</f>
        <v>0</v>
      </c>
      <c r="D397" s="64"/>
      <c r="E397" s="64"/>
      <c r="F397" s="917"/>
      <c r="G397" s="917"/>
      <c r="H397" s="917"/>
      <c r="I397" s="404"/>
      <c r="J397" s="944"/>
      <c r="K397" s="944"/>
      <c r="L397" s="944"/>
      <c r="N397" s="1457" t="s">
        <v>2041</v>
      </c>
      <c r="V397" s="966"/>
    </row>
    <row r="398" spans="1:22">
      <c r="A398" s="376"/>
      <c r="B398" s="64"/>
      <c r="C398" s="64"/>
      <c r="D398" s="64"/>
      <c r="E398" s="64"/>
      <c r="F398" s="917"/>
      <c r="G398" s="917"/>
      <c r="H398" s="917"/>
      <c r="I398" s="404"/>
      <c r="J398" s="944"/>
      <c r="K398" s="944"/>
      <c r="L398" s="944"/>
      <c r="M398" s="945" t="s">
        <v>7</v>
      </c>
      <c r="V398" s="966"/>
    </row>
    <row r="399" spans="1:22">
      <c r="A399" s="621" t="s">
        <v>2106</v>
      </c>
      <c r="B399" s="64"/>
      <c r="C399" s="64"/>
      <c r="D399" s="64"/>
      <c r="E399" s="64"/>
      <c r="F399" s="917"/>
      <c r="G399" s="917"/>
      <c r="H399" s="917"/>
      <c r="I399" s="404"/>
      <c r="J399" s="944"/>
      <c r="K399" s="944"/>
      <c r="L399" s="944"/>
      <c r="M399" s="945" t="s">
        <v>2000</v>
      </c>
      <c r="V399" s="966"/>
    </row>
    <row r="400" spans="1:22">
      <c r="A400" s="641">
        <f>E385+D391+C397</f>
        <v>0</v>
      </c>
      <c r="B400" s="64"/>
      <c r="C400" s="64"/>
      <c r="D400" s="64"/>
      <c r="E400" s="64"/>
      <c r="F400" s="917"/>
      <c r="G400" s="917"/>
      <c r="H400" s="917"/>
      <c r="I400" s="404"/>
      <c r="J400" s="944"/>
      <c r="K400" s="944"/>
      <c r="L400" s="944"/>
      <c r="V400" s="966"/>
    </row>
    <row r="401" spans="1:27">
      <c r="A401" s="376"/>
      <c r="B401" s="64"/>
      <c r="C401" s="64"/>
      <c r="D401" s="64"/>
      <c r="E401" s="64"/>
      <c r="F401" s="917"/>
      <c r="G401" s="917"/>
      <c r="H401" s="917"/>
      <c r="I401" s="404"/>
      <c r="J401" s="944"/>
      <c r="K401" s="944"/>
      <c r="L401" s="944"/>
      <c r="M401" s="1388" t="s">
        <v>1968</v>
      </c>
      <c r="O401" s="1397" t="s">
        <v>2001</v>
      </c>
      <c r="V401" s="966"/>
    </row>
    <row r="402" spans="1:27">
      <c r="A402" s="2130"/>
      <c r="B402" s="2131"/>
      <c r="C402" s="2131"/>
      <c r="D402" s="2131"/>
      <c r="E402" s="2131"/>
      <c r="F402" s="2131"/>
      <c r="G402" s="2131"/>
      <c r="H402" s="2131"/>
      <c r="I402" s="2132"/>
      <c r="J402" s="944"/>
      <c r="K402" s="944"/>
      <c r="L402" s="944"/>
      <c r="M402" s="1392" t="s">
        <v>1969</v>
      </c>
      <c r="O402" s="1397" t="s">
        <v>2002</v>
      </c>
      <c r="V402" s="966"/>
    </row>
    <row r="403" spans="1:27">
      <c r="A403" s="376"/>
      <c r="B403" s="64"/>
      <c r="C403" s="64"/>
      <c r="D403" s="64"/>
      <c r="E403" s="64"/>
      <c r="F403" s="917"/>
      <c r="G403" s="917"/>
      <c r="H403" s="917"/>
      <c r="I403" s="404"/>
      <c r="J403" s="944"/>
      <c r="K403" s="944"/>
      <c r="L403" s="944"/>
      <c r="M403" s="1392" t="s">
        <v>1970</v>
      </c>
      <c r="O403" s="1397" t="s">
        <v>2003</v>
      </c>
      <c r="V403" s="966"/>
    </row>
    <row r="404" spans="1:27">
      <c r="A404" s="376"/>
      <c r="B404" s="64"/>
      <c r="C404" s="64"/>
      <c r="D404" s="64"/>
      <c r="E404" s="64"/>
      <c r="F404" s="298"/>
      <c r="G404" s="298"/>
      <c r="H404" s="917"/>
      <c r="I404" s="404"/>
      <c r="J404" s="944"/>
      <c r="K404" s="944"/>
      <c r="L404" s="944"/>
      <c r="M404" s="1392" t="s">
        <v>1971</v>
      </c>
      <c r="O404" s="1397" t="s">
        <v>2004</v>
      </c>
      <c r="V404" s="966"/>
    </row>
    <row r="405" spans="1:27">
      <c r="A405" s="638" t="s">
        <v>553</v>
      </c>
      <c r="B405" s="620" t="s">
        <v>90</v>
      </c>
      <c r="C405" s="621" t="s">
        <v>18</v>
      </c>
      <c r="D405" s="64"/>
      <c r="E405" s="64"/>
      <c r="F405" s="298"/>
      <c r="G405" s="298"/>
      <c r="H405" s="917"/>
      <c r="I405" s="404"/>
      <c r="J405" s="944"/>
      <c r="K405" s="944"/>
      <c r="L405" s="944"/>
      <c r="M405" s="1392" t="s">
        <v>1972</v>
      </c>
      <c r="O405" s="1397" t="s">
        <v>2005</v>
      </c>
      <c r="V405" s="966"/>
    </row>
    <row r="406" spans="1:27">
      <c r="A406" s="610" t="s">
        <v>691</v>
      </c>
      <c r="B406" s="640"/>
      <c r="C406" s="641">
        <f>(B406*'Liste de prix Public EUROPE'!$D$1965)</f>
        <v>0</v>
      </c>
      <c r="D406" s="64"/>
      <c r="E406" s="64"/>
      <c r="F406" s="298"/>
      <c r="G406" s="298"/>
      <c r="H406" s="917"/>
      <c r="I406" s="404"/>
      <c r="J406" s="944"/>
      <c r="K406" s="944"/>
      <c r="L406" s="944"/>
      <c r="M406" s="1393" t="s">
        <v>1973</v>
      </c>
      <c r="O406" s="1397" t="s">
        <v>2006</v>
      </c>
      <c r="V406" s="966"/>
    </row>
    <row r="407" spans="1:27">
      <c r="A407" s="610" t="s">
        <v>692</v>
      </c>
      <c r="B407" s="640"/>
      <c r="C407" s="641">
        <f>(B407*'Liste de prix Public EUROPE'!$D$1966)</f>
        <v>0</v>
      </c>
      <c r="D407" s="64"/>
      <c r="E407" s="64"/>
      <c r="F407" s="298"/>
      <c r="G407" s="298"/>
      <c r="H407" s="917"/>
      <c r="I407" s="404"/>
      <c r="J407" s="944"/>
      <c r="K407" s="944"/>
      <c r="L407" s="944"/>
      <c r="M407" s="1393" t="s">
        <v>1974</v>
      </c>
      <c r="O407" s="1397" t="s">
        <v>2007</v>
      </c>
      <c r="V407" s="966"/>
    </row>
    <row r="408" spans="1:27">
      <c r="A408" s="610" t="s">
        <v>554</v>
      </c>
      <c r="B408" s="640"/>
      <c r="C408" s="641">
        <f>(B408*'Liste de prix Public EUROPE'!$D$1967)</f>
        <v>0</v>
      </c>
      <c r="D408" s="64"/>
      <c r="E408" s="64"/>
      <c r="F408" s="298"/>
      <c r="G408" s="298"/>
      <c r="H408" s="917"/>
      <c r="I408" s="404"/>
      <c r="J408" s="944"/>
      <c r="K408" s="944"/>
      <c r="L408" s="944"/>
      <c r="M408" s="1393" t="s">
        <v>1975</v>
      </c>
      <c r="O408" s="1397" t="s">
        <v>2009</v>
      </c>
      <c r="T408" s="945" t="s">
        <v>1100</v>
      </c>
      <c r="V408" s="966"/>
      <c r="Y408" s="946" t="s">
        <v>640</v>
      </c>
    </row>
    <row r="409" spans="1:27">
      <c r="A409" s="64"/>
      <c r="B409" s="377" t="s">
        <v>39</v>
      </c>
      <c r="C409" s="378">
        <f>SUM(C406:C408)</f>
        <v>0</v>
      </c>
      <c r="D409" s="64"/>
      <c r="E409" s="64"/>
      <c r="F409" s="298"/>
      <c r="G409" s="298"/>
      <c r="H409" s="917"/>
      <c r="I409" s="404"/>
      <c r="J409" s="944"/>
      <c r="K409" s="944"/>
      <c r="L409" s="944"/>
      <c r="M409" s="1392" t="s">
        <v>1976</v>
      </c>
      <c r="O409" s="1397" t="s">
        <v>2010</v>
      </c>
      <c r="T409" s="945" t="s">
        <v>1101</v>
      </c>
      <c r="V409" s="966"/>
      <c r="Y409" s="946" t="s">
        <v>641</v>
      </c>
      <c r="AA409" s="966"/>
    </row>
    <row r="410" spans="1:27">
      <c r="A410" s="64"/>
      <c r="B410" s="64"/>
      <c r="C410" s="64"/>
      <c r="D410" s="64"/>
      <c r="E410" s="64"/>
      <c r="F410" s="298"/>
      <c r="G410" s="298"/>
      <c r="H410" s="917"/>
      <c r="I410" s="404"/>
      <c r="J410" s="944"/>
      <c r="K410" s="944"/>
      <c r="L410" s="944"/>
      <c r="M410" s="1392" t="s">
        <v>1977</v>
      </c>
      <c r="O410" s="1397" t="s">
        <v>2008</v>
      </c>
      <c r="T410" s="945" t="s">
        <v>1102</v>
      </c>
      <c r="V410" s="966"/>
      <c r="Y410" s="946" t="s">
        <v>642</v>
      </c>
    </row>
    <row r="411" spans="1:27">
      <c r="A411" s="687" t="s">
        <v>1254</v>
      </c>
      <c r="B411" s="368" t="s">
        <v>80</v>
      </c>
      <c r="C411" s="368" t="s">
        <v>424</v>
      </c>
      <c r="D411" s="368" t="s">
        <v>646</v>
      </c>
      <c r="E411" s="368" t="s">
        <v>18</v>
      </c>
      <c r="F411" s="79"/>
      <c r="G411" s="79"/>
      <c r="H411" s="79"/>
      <c r="I411" s="404"/>
      <c r="J411" s="944"/>
      <c r="K411" s="944"/>
      <c r="L411" s="944"/>
      <c r="M411" s="1392" t="s">
        <v>1978</v>
      </c>
      <c r="O411" s="1397" t="s">
        <v>2011</v>
      </c>
      <c r="T411" s="945" t="s">
        <v>1100</v>
      </c>
      <c r="V411" s="966"/>
      <c r="Y411" s="946" t="s">
        <v>643</v>
      </c>
    </row>
    <row r="412" spans="1:27">
      <c r="A412" s="585"/>
      <c r="B412" s="415"/>
      <c r="C412" s="577"/>
      <c r="D412" s="417"/>
      <c r="E412" s="692">
        <f>(IF(D412=$T$408,VLOOKUP(A412,'Liste de prix Public EUROPE'!$B$1623:$E$1628,4,FALSE),IF(D412=$T$409,VLOOKUP(A412,'Liste de prix Public EUROPE'!$B$1630:$E$1635,4,FALSE),IF(D412=$T$410,VLOOKUP(A412,'Liste de prix Public EUROPE'!$B$1637:$E$1641,4,FALSE),0))))*B412*C412</f>
        <v>0</v>
      </c>
      <c r="F412" s="298"/>
      <c r="G412" s="298"/>
      <c r="H412" s="917"/>
      <c r="I412" s="404"/>
      <c r="J412" s="944"/>
      <c r="K412" s="944"/>
      <c r="L412" s="944"/>
      <c r="M412" s="1392" t="s">
        <v>1980</v>
      </c>
      <c r="O412" s="1397" t="s">
        <v>2012</v>
      </c>
      <c r="R412" s="994" t="s">
        <v>1068</v>
      </c>
      <c r="T412" s="945" t="s">
        <v>1835</v>
      </c>
      <c r="V412" s="966"/>
      <c r="Y412" s="946" t="s">
        <v>644</v>
      </c>
    </row>
    <row r="413" spans="1:27">
      <c r="A413" s="585"/>
      <c r="B413" s="415"/>
      <c r="C413" s="577"/>
      <c r="D413" s="417"/>
      <c r="E413" s="692">
        <f>(IF(D413=$T$408,VLOOKUP(A413,'Liste de prix Public EUROPE'!$B$1623:$E$1628,4,FALSE),IF(D413=$T$409,VLOOKUP(A413,'Liste de prix Public EUROPE'!$B$1630:$E$1635,4,FALSE),IF(D413=$T$410,VLOOKUP(A413,'Liste de prix Public EUROPE'!$B$1637:$E$1641,4,FALSE),0))))*B413*C413</f>
        <v>0</v>
      </c>
      <c r="F413" s="298"/>
      <c r="G413" s="298"/>
      <c r="H413" s="917"/>
      <c r="I413" s="404"/>
      <c r="J413" s="944"/>
      <c r="K413" s="944"/>
      <c r="L413" s="944"/>
      <c r="M413" s="1392" t="s">
        <v>1981</v>
      </c>
      <c r="R413" s="994" t="s">
        <v>640</v>
      </c>
      <c r="T413" s="945" t="s">
        <v>1842</v>
      </c>
      <c r="V413" s="966"/>
      <c r="Y413" s="946" t="s">
        <v>645</v>
      </c>
    </row>
    <row r="414" spans="1:27">
      <c r="A414" s="585"/>
      <c r="B414" s="415"/>
      <c r="C414" s="577"/>
      <c r="D414" s="417"/>
      <c r="E414" s="692">
        <f>(IF(D414=$T$408,VLOOKUP(A414,'Liste de prix Public EUROPE'!$B$1623:$E$1628,4,FALSE),IF(D414=$T$409,VLOOKUP(A414,'Liste de prix Public EUROPE'!$B$1630:$E$1635,4,FALSE),IF(D414=$T$410,VLOOKUP(A414,'Liste de prix Public EUROPE'!$B$1637:$E$1641,4,FALSE),0))))*B414*C414</f>
        <v>0</v>
      </c>
      <c r="F414" s="298"/>
      <c r="G414" s="298"/>
      <c r="H414" s="917"/>
      <c r="I414" s="404"/>
      <c r="J414" s="944"/>
      <c r="K414" s="944"/>
      <c r="L414" s="944"/>
      <c r="M414" s="1392" t="s">
        <v>1982</v>
      </c>
      <c r="R414" s="995" t="s">
        <v>641</v>
      </c>
      <c r="T414" s="945" t="s">
        <v>1855</v>
      </c>
      <c r="V414" s="966"/>
    </row>
    <row r="415" spans="1:27">
      <c r="A415" s="585"/>
      <c r="B415" s="415"/>
      <c r="C415" s="577"/>
      <c r="D415" s="417"/>
      <c r="E415" s="692">
        <f>(IF(D415=$T$408,VLOOKUP(A415,'Liste de prix Public EUROPE'!$B$1623:$E$1628,4,FALSE),IF(D415=$T$409,VLOOKUP(A415,'Liste de prix Public EUROPE'!$B$1630:$E$1635,4,FALSE),IF(D415=$T$410,VLOOKUP(A415,'Liste de prix Public EUROPE'!$B$1637:$E$1641,4,FALSE),0))))*B415*C415</f>
        <v>0</v>
      </c>
      <c r="F415" s="298"/>
      <c r="G415" s="298"/>
      <c r="H415" s="917"/>
      <c r="I415" s="404"/>
      <c r="J415" s="944"/>
      <c r="K415" s="944"/>
      <c r="L415" s="944"/>
      <c r="R415" s="995" t="s">
        <v>642</v>
      </c>
      <c r="T415" s="945" t="s">
        <v>1868</v>
      </c>
      <c r="V415" s="966"/>
    </row>
    <row r="416" spans="1:27">
      <c r="A416" s="64"/>
      <c r="B416" s="64"/>
      <c r="C416" s="64"/>
      <c r="D416" s="377" t="s">
        <v>39</v>
      </c>
      <c r="E416" s="692">
        <f>SUM(E412:E415)</f>
        <v>0</v>
      </c>
      <c r="F416" s="298"/>
      <c r="G416" s="298"/>
      <c r="H416" s="917"/>
      <c r="I416" s="404"/>
      <c r="J416" s="944"/>
      <c r="K416" s="944"/>
      <c r="L416" s="944"/>
      <c r="R416" s="994" t="s">
        <v>1069</v>
      </c>
      <c r="T416" s="945" t="s">
        <v>1950</v>
      </c>
      <c r="V416" s="966"/>
    </row>
    <row r="417" spans="1:22">
      <c r="A417" s="64"/>
      <c r="B417" s="64"/>
      <c r="C417" s="64"/>
      <c r="D417" s="64"/>
      <c r="E417" s="1044"/>
      <c r="F417" s="917"/>
      <c r="G417" s="917"/>
      <c r="H417" s="917"/>
      <c r="I417" s="404"/>
      <c r="J417" s="944"/>
      <c r="K417" s="944"/>
      <c r="L417" s="944"/>
      <c r="R417" s="995" t="s">
        <v>643</v>
      </c>
      <c r="T417" s="945" t="s">
        <v>1951</v>
      </c>
      <c r="V417" s="966"/>
    </row>
    <row r="418" spans="1:22">
      <c r="A418" s="1039" t="s">
        <v>1255</v>
      </c>
      <c r="B418" s="368" t="s">
        <v>80</v>
      </c>
      <c r="C418" s="368" t="s">
        <v>424</v>
      </c>
      <c r="D418" s="368" t="s">
        <v>646</v>
      </c>
      <c r="E418" s="368" t="s">
        <v>18</v>
      </c>
      <c r="F418" s="917"/>
      <c r="G418" s="917"/>
      <c r="H418" s="917"/>
      <c r="I418" s="404"/>
      <c r="J418" s="944"/>
      <c r="K418" s="944"/>
      <c r="L418" s="944"/>
      <c r="R418" s="995" t="s">
        <v>644</v>
      </c>
      <c r="T418" s="945" t="s">
        <v>1952</v>
      </c>
      <c r="V418" s="966"/>
    </row>
    <row r="419" spans="1:22">
      <c r="A419" s="585"/>
      <c r="B419" s="415"/>
      <c r="C419" s="577"/>
      <c r="D419" s="417"/>
      <c r="E419" s="692">
        <f>(IF(D419=$T$411,VLOOKUP(A419,'Liste de prix Public EUROPE'!$B$1646:$E$1657,4,FALSE),IF(D419=$T$412,VLOOKUP(A419,'Liste de prix Public EUROPE'!$B$1658:$E$1670,4,FALSE),IF(D419=$T$413,VLOOKUP(A419,'Liste de prix Public EUROPE'!$B$1672:$E$1683,4,FALSE),IF(D419=$T$414,VLOOKUP(A419,'Liste de prix Public EUROPE'!$B$1684:$E$1696,4,FALSE),IF(D419=$T$415,VLOOKUP(A419,'Liste de prix Public EUROPE'!$B$1698:$E$1709,4,FALSE),IF(D419=$T$416,VLOOKUP(A419,'Liste de prix Public EUROPE'!$B$1711:$E$1725,4,FALSE),IF(D419=$T$417,VLOOKUP($A$420,'Liste de prix Public EUROPE'!$B$1727:$E$1741,4,FALSE),IF(D419=$T$418,VLOOKUP(A419,'Liste de prix Public EUROPE'!$B$1743:$E$1757,4,FALSE),IF(D419=$T$419,VLOOKUP(A419,'Liste de prix Public EUROPE'!$B$1759:$E$1773,4,FALSE),IF(D419=$T$420,VLOOKUP(A419,'Liste de prix Public EUROPE'!$B$1775:$E$1789,4,FALSE),0)))))))))))*B419*C419</f>
        <v>0</v>
      </c>
      <c r="F419" s="917"/>
      <c r="G419" s="917"/>
      <c r="H419" s="917"/>
      <c r="I419" s="404"/>
      <c r="J419" s="944"/>
      <c r="K419" s="944"/>
      <c r="L419" s="944"/>
      <c r="R419" s="996" t="s">
        <v>645</v>
      </c>
      <c r="T419" s="945" t="s">
        <v>1953</v>
      </c>
      <c r="V419" s="966"/>
    </row>
    <row r="420" spans="1:22">
      <c r="A420" s="585"/>
      <c r="B420" s="415"/>
      <c r="C420" s="577"/>
      <c r="D420" s="417"/>
      <c r="E420" s="692">
        <f>(IF(D420=$T$411,VLOOKUP(A420,'Liste de prix Public EUROPE'!$B$1646:$E$1657,4,FALSE),IF(D420=$T$412,VLOOKUP(A420,'Liste de prix Public EUROPE'!$B$1658:$E$1670,4,FALSE),IF(D420=$T$413,VLOOKUP(A420,'Liste de prix Public EUROPE'!$B$1672:$E$1683,4,FALSE),IF(D420=$T$414,VLOOKUP(A420,'Liste de prix Public EUROPE'!$B$1684:$E$1696,4,FALSE),IF(D420=$T$415,VLOOKUP(A420,'Liste de prix Public EUROPE'!$B$1698:$E$1709,4,FALSE),IF(D420=$T$416,VLOOKUP(A420,'Liste de prix Public EUROPE'!$B$1711:$E$1725,4,FALSE),IF(D420=$T$417,VLOOKUP($A$420,'Liste de prix Public EUROPE'!$B$1727:$E$1741,4,FALSE),IF(D420=$T$418,VLOOKUP(A420,'Liste de prix Public EUROPE'!$B$1743:$E$1757,4,FALSE),IF(D420=$T$419,VLOOKUP(A420,'Liste de prix Public EUROPE'!$B$1759:$E$1773,4,FALSE),IF(D420=$T$420,VLOOKUP(A420,'Liste de prix Public EUROPE'!$B$1775:$E$1789,4,FALSE),0)))))))))))*B420*C420</f>
        <v>0</v>
      </c>
      <c r="F420" s="917"/>
      <c r="G420" s="917"/>
      <c r="H420" s="917"/>
      <c r="I420" s="404"/>
      <c r="J420" s="944"/>
      <c r="K420" s="944"/>
      <c r="L420" s="944"/>
      <c r="T420" s="945" t="s">
        <v>1954</v>
      </c>
      <c r="V420" s="966"/>
    </row>
    <row r="421" spans="1:22">
      <c r="A421" s="585"/>
      <c r="B421" s="415"/>
      <c r="C421" s="577"/>
      <c r="D421" s="417"/>
      <c r="E421" s="692">
        <f>(IF(D421=$T$411,VLOOKUP(A421,'Liste de prix Public EUROPE'!$B$1646:$E$1657,4,FALSE),IF(D421=$T$412,VLOOKUP(A421,'Liste de prix Public EUROPE'!$B$1658:$E$1670,4,FALSE),IF(D421=$T$413,VLOOKUP(A421,'Liste de prix Public EUROPE'!$B$1672:$E$1683,4,FALSE),IF(D421=$T$414,VLOOKUP(A421,'Liste de prix Public EUROPE'!$B$1684:$E$1696,4,FALSE),IF(D421=$T$415,VLOOKUP(A421,'Liste de prix Public EUROPE'!$B$1698:$E$1709,4,FALSE),IF(D421=$T$416,VLOOKUP(A421,'Liste de prix Public EUROPE'!$B$1711:$E$1725,4,FALSE),IF(D421=$T$417,VLOOKUP($A$420,'Liste de prix Public EUROPE'!$B$1727:$E$1741,4,FALSE),IF(D421=$T$418,VLOOKUP(A421,'Liste de prix Public EUROPE'!$B$1743:$E$1757,4,FALSE),IF(D421=$T$419,VLOOKUP(A421,'Liste de prix Public EUROPE'!$B$1759:$E$1773,4,FALSE),IF(D421=$T$420,VLOOKUP(A421,'Liste de prix Public EUROPE'!$B$1775:$E$1789,4,FALSE),0)))))))))))*B421*C421</f>
        <v>0</v>
      </c>
      <c r="F421" s="917"/>
      <c r="G421" s="917"/>
      <c r="H421" s="917"/>
      <c r="I421" s="404"/>
      <c r="J421" s="944"/>
      <c r="K421" s="944"/>
      <c r="L421" s="944"/>
      <c r="T421" s="945"/>
      <c r="V421" s="966"/>
    </row>
    <row r="422" spans="1:22">
      <c r="A422" s="585"/>
      <c r="B422" s="415"/>
      <c r="C422" s="577"/>
      <c r="D422" s="417"/>
      <c r="E422" s="692">
        <f>(IF(D422=$T$411,VLOOKUP(A422,'Liste de prix Public EUROPE'!$B$1646:$E$1657,4,FALSE),IF(D422=$T$412,VLOOKUP(A422,'Liste de prix Public EUROPE'!$B$1658:$E$1670,4,FALSE),IF(D422=$T$413,VLOOKUP(A422,'Liste de prix Public EUROPE'!$B$1672:$E$1683,4,FALSE),IF(D422=$T$414,VLOOKUP(A422,'Liste de prix Public EUROPE'!$B$1684:$E$1696,4,FALSE),IF(D422=$T$415,VLOOKUP(A422,'Liste de prix Public EUROPE'!$B$1698:$E$1709,4,FALSE),IF(D422=$T$416,VLOOKUP(A422,'Liste de prix Public EUROPE'!$B$1711:$E$1725,4,FALSE),IF(D422=$T$417,VLOOKUP($A$420,'Liste de prix Public EUROPE'!$B$1727:$E$1741,4,FALSE),IF(D422=$T$418,VLOOKUP(A422,'Liste de prix Public EUROPE'!$B$1743:$E$1757,4,FALSE),IF(D422=$T$419,VLOOKUP(A422,'Liste de prix Public EUROPE'!$B$1759:$E$1773,4,FALSE),IF(D422=$T$420,VLOOKUP(A422,'Liste de prix Public EUROPE'!$B$1775:$E$1789,4,FALSE),0)))))))))))*B422*C422</f>
        <v>0</v>
      </c>
      <c r="F422" s="917"/>
      <c r="G422" s="917"/>
      <c r="H422" s="917"/>
      <c r="I422" s="404"/>
      <c r="J422" s="944"/>
      <c r="K422" s="944"/>
      <c r="L422" s="944"/>
      <c r="R422" s="945" t="s">
        <v>843</v>
      </c>
      <c r="T422" s="945" t="s">
        <v>1100</v>
      </c>
      <c r="V422" s="946" t="s">
        <v>140</v>
      </c>
    </row>
    <row r="423" spans="1:22">
      <c r="A423" s="64"/>
      <c r="B423" s="64"/>
      <c r="C423" s="64"/>
      <c r="D423" s="377" t="s">
        <v>39</v>
      </c>
      <c r="E423" s="692">
        <f>SUM($E$419:$E$422)</f>
        <v>0</v>
      </c>
      <c r="F423" s="917"/>
      <c r="G423" s="917"/>
      <c r="H423" s="917"/>
      <c r="I423" s="404"/>
      <c r="J423" s="944"/>
      <c r="K423" s="944"/>
      <c r="L423" s="944"/>
      <c r="R423" s="945" t="s">
        <v>844</v>
      </c>
      <c r="T423" s="945" t="s">
        <v>1101</v>
      </c>
      <c r="V423" s="946" t="s">
        <v>139</v>
      </c>
    </row>
    <row r="424" spans="1:22">
      <c r="A424" s="64"/>
      <c r="B424" s="64"/>
      <c r="C424" s="64"/>
      <c r="D424" s="64"/>
      <c r="E424" s="1044"/>
      <c r="F424" s="917"/>
      <c r="G424" s="917"/>
      <c r="H424" s="917"/>
      <c r="I424" s="404"/>
      <c r="J424" s="944"/>
      <c r="K424" s="944"/>
      <c r="L424" s="944"/>
      <c r="R424" s="945" t="s">
        <v>845</v>
      </c>
      <c r="V424" s="946" t="s">
        <v>141</v>
      </c>
    </row>
    <row r="425" spans="1:22">
      <c r="A425" s="1039" t="s">
        <v>1256</v>
      </c>
      <c r="B425" s="368" t="s">
        <v>80</v>
      </c>
      <c r="C425" s="368" t="s">
        <v>424</v>
      </c>
      <c r="D425" s="368" t="s">
        <v>646</v>
      </c>
      <c r="E425" s="368" t="s">
        <v>18</v>
      </c>
      <c r="F425" s="917"/>
      <c r="G425" s="917"/>
      <c r="H425" s="917"/>
      <c r="I425" s="404"/>
      <c r="J425" s="944"/>
      <c r="K425" s="944"/>
      <c r="L425" s="944"/>
      <c r="R425" s="945" t="s">
        <v>846</v>
      </c>
      <c r="V425" s="946" t="s">
        <v>1171</v>
      </c>
    </row>
    <row r="426" spans="1:22">
      <c r="A426" s="585"/>
      <c r="B426" s="415"/>
      <c r="C426" s="577"/>
      <c r="D426" s="417"/>
      <c r="E426" s="692">
        <f>(IF(D426=$T$422,VLOOKUP(A426,'Liste de prix Public EUROPE'!$B$1810:$E$1816,4,FALSE),IF(D426=$T$423,VLOOKUP(A426,'Liste de prix Public EUROPE'!$B$1818:$E$1823,4,FALSE),0)))*B426*C426</f>
        <v>0</v>
      </c>
      <c r="F426" s="917"/>
      <c r="G426" s="917"/>
      <c r="H426" s="917"/>
      <c r="I426" s="404"/>
      <c r="J426" s="944"/>
      <c r="K426" s="944"/>
      <c r="L426" s="944"/>
      <c r="R426" s="945" t="s">
        <v>1154</v>
      </c>
      <c r="V426" s="946" t="s">
        <v>142</v>
      </c>
    </row>
    <row r="427" spans="1:22">
      <c r="A427" s="585"/>
      <c r="B427" s="415"/>
      <c r="C427" s="577"/>
      <c r="D427" s="417"/>
      <c r="E427" s="692">
        <f>(IF(D427=$T$422,VLOOKUP(A427,'Liste de prix Public EUROPE'!$B$1810:$E$1816,4,FALSE),IF(D427=$T$423,VLOOKUP(A427,'Liste de prix Public EUROPE'!$B$1818:$E$1823,4,FALSE),0)))*B427*C427</f>
        <v>0</v>
      </c>
      <c r="F427" s="917"/>
      <c r="G427" s="917"/>
      <c r="H427" s="917"/>
      <c r="I427" s="404"/>
      <c r="J427" s="944"/>
      <c r="K427" s="944"/>
      <c r="L427" s="944"/>
      <c r="R427" s="945" t="s">
        <v>1155</v>
      </c>
      <c r="V427" s="946" t="s">
        <v>886</v>
      </c>
    </row>
    <row r="428" spans="1:22">
      <c r="A428" s="585"/>
      <c r="B428" s="415"/>
      <c r="C428" s="577"/>
      <c r="D428" s="417"/>
      <c r="E428" s="692">
        <f>(IF(D428=$T$422,VLOOKUP(A428,'Liste de prix Public EUROPE'!$B$1810:$E$1816,4,FALSE),IF(D428=$T$423,VLOOKUP(A428,'Liste de prix Public EUROPE'!$B$1818:$E$1823,4,FALSE),0)))*B428*C428</f>
        <v>0</v>
      </c>
      <c r="F428" s="917"/>
      <c r="G428" s="917"/>
      <c r="H428" s="917"/>
      <c r="I428" s="404"/>
      <c r="J428" s="944"/>
      <c r="K428" s="944"/>
      <c r="L428" s="944"/>
      <c r="R428" s="945" t="s">
        <v>1156</v>
      </c>
      <c r="V428" s="966"/>
    </row>
    <row r="429" spans="1:22">
      <c r="A429" s="585"/>
      <c r="B429" s="415"/>
      <c r="C429" s="577"/>
      <c r="D429" s="417"/>
      <c r="E429" s="692">
        <f>(IF(D429=$T$422,VLOOKUP(A429,'Liste de prix Public EUROPE'!$B$1810:$E$1816,4,FALSE),IF(D429=$T$423,VLOOKUP(A429,'Liste de prix Public EUROPE'!$B$1818:$E$1823,4,FALSE),0)))*B429*C429</f>
        <v>0</v>
      </c>
      <c r="F429" s="917"/>
      <c r="G429" s="917"/>
      <c r="H429" s="917"/>
      <c r="I429" s="404"/>
      <c r="J429" s="944"/>
      <c r="K429" s="944"/>
      <c r="L429" s="944"/>
      <c r="R429" s="945" t="s">
        <v>1157</v>
      </c>
      <c r="V429" s="966"/>
    </row>
    <row r="430" spans="1:22">
      <c r="A430" s="64"/>
      <c r="B430" s="64"/>
      <c r="C430" s="64"/>
      <c r="D430" s="377" t="s">
        <v>39</v>
      </c>
      <c r="E430" s="692">
        <f>SUM($E$426:$E$429)</f>
        <v>0</v>
      </c>
      <c r="F430" s="917"/>
      <c r="G430" s="917"/>
      <c r="H430" s="917"/>
      <c r="I430" s="404"/>
      <c r="J430" s="944"/>
      <c r="K430" s="944"/>
      <c r="L430" s="944"/>
      <c r="R430" s="945" t="s">
        <v>1158</v>
      </c>
      <c r="V430" s="966"/>
    </row>
    <row r="431" spans="1:22">
      <c r="A431" s="64"/>
      <c r="B431" s="64"/>
      <c r="C431" s="64"/>
      <c r="D431" s="64"/>
      <c r="E431" s="64"/>
      <c r="F431" s="298"/>
      <c r="G431" s="298"/>
      <c r="H431" s="917"/>
      <c r="I431" s="404"/>
      <c r="J431" s="944"/>
      <c r="K431" s="944"/>
      <c r="L431" s="944"/>
      <c r="R431" s="945" t="s">
        <v>1159</v>
      </c>
      <c r="V431" s="966"/>
    </row>
    <row r="432" spans="1:22">
      <c r="A432" s="642" t="s">
        <v>608</v>
      </c>
      <c r="B432" s="620" t="s">
        <v>90</v>
      </c>
      <c r="C432" s="621" t="s">
        <v>18</v>
      </c>
      <c r="D432" s="64"/>
      <c r="E432" s="64"/>
      <c r="F432" s="298"/>
      <c r="G432" s="298"/>
      <c r="H432" s="917"/>
      <c r="I432" s="404"/>
      <c r="J432" s="944"/>
      <c r="K432" s="944"/>
      <c r="L432" s="944"/>
      <c r="R432" s="945" t="s">
        <v>1160</v>
      </c>
      <c r="V432" s="966"/>
    </row>
    <row r="433" spans="1:22">
      <c r="A433" s="511" t="s">
        <v>564</v>
      </c>
      <c r="B433" s="640"/>
      <c r="C433" s="625">
        <f>(B433*'Liste de prix Public EUROPE'!$D$1972)</f>
        <v>0</v>
      </c>
      <c r="D433" s="64"/>
      <c r="E433" s="64"/>
      <c r="F433" s="298"/>
      <c r="G433" s="298"/>
      <c r="H433" s="917"/>
      <c r="I433" s="404"/>
      <c r="J433" s="944"/>
      <c r="K433" s="944"/>
      <c r="L433" s="944"/>
      <c r="R433" s="945" t="s">
        <v>1161</v>
      </c>
      <c r="V433" s="966"/>
    </row>
    <row r="434" spans="1:22">
      <c r="A434" s="511" t="s">
        <v>565</v>
      </c>
      <c r="B434" s="420"/>
      <c r="C434" s="625">
        <f>(IF(B434&lt;=2,0,($B$434-2)*'Liste de prix Public EUROPE'!$D$1974))</f>
        <v>0</v>
      </c>
      <c r="D434" s="64"/>
      <c r="E434" s="64"/>
      <c r="F434" s="298"/>
      <c r="G434" s="298"/>
      <c r="H434" s="917"/>
      <c r="I434" s="404"/>
      <c r="J434" s="944"/>
      <c r="K434" s="944"/>
      <c r="L434" s="944"/>
      <c r="R434" s="945" t="s">
        <v>1162</v>
      </c>
      <c r="V434" s="966"/>
    </row>
    <row r="435" spans="1:22">
      <c r="A435" s="64"/>
      <c r="B435" s="377" t="s">
        <v>39</v>
      </c>
      <c r="C435" s="378">
        <f>SUM(C433:C434)</f>
        <v>0</v>
      </c>
      <c r="D435" s="64"/>
      <c r="E435" s="64"/>
      <c r="F435" s="298"/>
      <c r="G435" s="298"/>
      <c r="H435" s="917"/>
      <c r="I435" s="404"/>
      <c r="J435" s="944"/>
      <c r="K435" s="944"/>
      <c r="L435" s="944"/>
      <c r="R435" s="945" t="s">
        <v>1163</v>
      </c>
      <c r="V435" s="966"/>
    </row>
    <row r="436" spans="1:22">
      <c r="A436" s="64"/>
      <c r="B436" s="64"/>
      <c r="C436" s="64"/>
      <c r="D436" s="64"/>
      <c r="E436" s="64"/>
      <c r="F436" s="298"/>
      <c r="G436" s="298"/>
      <c r="H436" s="917"/>
      <c r="I436" s="404"/>
      <c r="J436" s="944"/>
      <c r="K436" s="944"/>
      <c r="L436" s="944"/>
      <c r="R436" s="945" t="s">
        <v>1164</v>
      </c>
      <c r="V436" s="966"/>
    </row>
    <row r="437" spans="1:22">
      <c r="A437" s="921" t="s">
        <v>1169</v>
      </c>
      <c r="B437" s="368" t="s">
        <v>80</v>
      </c>
      <c r="C437" s="368" t="s">
        <v>18</v>
      </c>
      <c r="D437"/>
      <c r="E437"/>
      <c r="F437" s="79"/>
      <c r="G437" s="917"/>
      <c r="H437" s="917"/>
      <c r="I437" s="404"/>
      <c r="J437" s="944"/>
      <c r="K437" s="944"/>
      <c r="L437" s="944"/>
      <c r="R437" s="945" t="s">
        <v>1165</v>
      </c>
      <c r="V437" s="966"/>
    </row>
    <row r="438" spans="1:22">
      <c r="A438" s="585"/>
      <c r="B438" s="415"/>
      <c r="C438" s="822">
        <f>IFERROR((VLOOKUP(A438,'Liste de prix Public EUROPE'!$B$1978:$H$1994,7,FALSE)*B438),0)</f>
        <v>0</v>
      </c>
      <c r="D438" s="64"/>
      <c r="E438" s="64"/>
      <c r="F438" s="917"/>
      <c r="G438" s="917"/>
      <c r="H438" s="917"/>
      <c r="I438" s="404"/>
      <c r="J438" s="944"/>
      <c r="K438" s="944"/>
      <c r="L438" s="944"/>
      <c r="R438" s="945" t="s">
        <v>1166</v>
      </c>
      <c r="V438" s="966"/>
    </row>
    <row r="439" spans="1:22">
      <c r="A439" s="585"/>
      <c r="B439" s="415"/>
      <c r="C439" s="822">
        <f>IFERROR((VLOOKUP(A439,'Liste de prix Public EUROPE'!$B$1978:$H$1994,7,FALSE)*B439),0)</f>
        <v>0</v>
      </c>
      <c r="D439" s="64"/>
      <c r="E439" s="64"/>
      <c r="F439" s="917"/>
      <c r="G439" s="917"/>
      <c r="H439" s="917"/>
      <c r="I439" s="404"/>
      <c r="J439" s="944"/>
      <c r="K439" s="944"/>
      <c r="L439" s="944"/>
      <c r="V439" s="966"/>
    </row>
    <row r="440" spans="1:22">
      <c r="A440" s="585"/>
      <c r="B440" s="415"/>
      <c r="C440" s="822">
        <f>IFERROR((VLOOKUP(A440,'Liste de prix Public EUROPE'!$B$1978:$H$1994,7,FALSE)*B440),0)</f>
        <v>0</v>
      </c>
      <c r="D440" s="64"/>
      <c r="E440" s="64"/>
      <c r="F440" s="917"/>
      <c r="G440" s="917"/>
      <c r="H440" s="917"/>
      <c r="I440" s="404"/>
      <c r="J440" s="944"/>
      <c r="K440" s="944"/>
      <c r="L440" s="944"/>
      <c r="V440" s="966"/>
    </row>
    <row r="441" spans="1:22">
      <c r="A441" s="585"/>
      <c r="B441" s="415"/>
      <c r="C441" s="822">
        <f>IFERROR((VLOOKUP(A441,'Liste de prix Public EUROPE'!$B$1978:$H$1994,7,FALSE)*B441),0)</f>
        <v>0</v>
      </c>
      <c r="D441" s="64"/>
      <c r="E441" s="64"/>
      <c r="F441" s="917"/>
      <c r="G441" s="917"/>
      <c r="H441" s="917"/>
      <c r="I441" s="404"/>
      <c r="J441" s="944"/>
      <c r="K441" s="944"/>
      <c r="L441" s="944"/>
      <c r="V441" s="966"/>
    </row>
    <row r="442" spans="1:22">
      <c r="A442" s="64"/>
      <c r="B442" s="377" t="s">
        <v>39</v>
      </c>
      <c r="C442" s="822">
        <f>SUM(C438:C441)</f>
        <v>0</v>
      </c>
      <c r="D442" s="64"/>
      <c r="E442" s="64"/>
      <c r="F442" s="917"/>
      <c r="G442" s="917"/>
      <c r="H442" s="917"/>
      <c r="I442" s="404"/>
      <c r="J442" s="944"/>
      <c r="K442" s="944"/>
      <c r="L442" s="944"/>
      <c r="V442" s="966"/>
    </row>
    <row r="443" spans="1:22">
      <c r="A443" s="64"/>
      <c r="B443" s="64"/>
      <c r="C443" s="64"/>
      <c r="D443" s="64"/>
      <c r="E443" s="64"/>
      <c r="F443" s="917"/>
      <c r="G443" s="917"/>
      <c r="H443" s="917"/>
      <c r="I443" s="404"/>
      <c r="J443" s="944"/>
      <c r="K443" s="944"/>
      <c r="L443" s="944"/>
      <c r="V443" s="966"/>
    </row>
    <row r="444" spans="1:22">
      <c r="A444" s="940" t="s">
        <v>1170</v>
      </c>
      <c r="B444" s="941" t="s">
        <v>80</v>
      </c>
      <c r="C444" s="941" t="s">
        <v>138</v>
      </c>
      <c r="D444" s="941" t="s">
        <v>18</v>
      </c>
      <c r="E444" s="942" t="s">
        <v>143</v>
      </c>
      <c r="F444" s="79"/>
      <c r="G444" s="79"/>
      <c r="H444" s="79"/>
      <c r="I444" s="404"/>
      <c r="J444" s="944"/>
      <c r="K444" s="944"/>
      <c r="L444" s="944"/>
      <c r="V444" s="966"/>
    </row>
    <row r="445" spans="1:22">
      <c r="A445" s="585"/>
      <c r="B445" s="415"/>
      <c r="C445" s="415"/>
      <c r="D445" s="822">
        <f>IFERROR((IF(C445=$V$422,VLOOKUP(A445,'Liste de prix Public EUROPE'!$B$1962:$U$1978,8,FALSE),IF('Deviseur EUROPE'!C445='Deviseur EUROPE'!$V$423,VLOOKUP('Deviseur EUROPE'!A445,'Liste de prix Public EUROPE'!$B$1962:$U$1978,10,FALSE),IF(C445=$V$425,VLOOKUP('Deviseur EUROPE'!A445,'Liste de prix Public EUROPE'!$B$1962:$U$1978,12,FALSE),IF('Deviseur EUROPE'!C445='Deviseur EUROPE'!$V$424,VLOOKUP('Deviseur EUROPE'!A445,'Liste de prix Public EUROPE'!$B$1962:$U$1978,14,FALSE),IF('Deviseur EUROPE'!C445='Deviseur EUROPE'!$V$427,VLOOKUP('Deviseur EUROPE'!A445,'Liste de prix Public EUROPE'!$B$1962:$U$1978,16,FALSE),IF('Deviseur EUROPE'!C445='Deviseur EUROPE'!$V$426,VLOOKUP('Deviseur EUROPE'!A445,'Liste de prix Public EUROPE'!$B$1962:$U$1978,18,FALSE)))))))*$B$445),0)</f>
        <v>0</v>
      </c>
      <c r="E445" s="822">
        <f>IF(C445=$V$423,VLOOKUP(A445,'Liste de prix Public EUROPE'!$B$1962:$U$1978,9,FALSE),IF(C445=$V$424,VLOOKUP(A445,'Liste de prix Public EUROPE'!$B$1962:$U$1978,13,FALSE),IF(C445=$V$426,VLOOKUP(A445,'Liste de prix Public EUROPE'!$B$1962:$U$1978,17,FALSE))))*B445</f>
        <v>0</v>
      </c>
      <c r="F445" s="917"/>
      <c r="G445" s="917"/>
      <c r="H445" s="917"/>
      <c r="I445" s="404"/>
      <c r="J445" s="944"/>
      <c r="K445" s="944"/>
      <c r="L445" s="944"/>
      <c r="V445" s="966"/>
    </row>
    <row r="446" spans="1:22">
      <c r="A446" s="585"/>
      <c r="B446" s="415"/>
      <c r="C446" s="415"/>
      <c r="D446" s="822">
        <f>IFERROR((IF(C446=$V$422,VLOOKUP(A446,'Liste de prix Public EUROPE'!$B$1962:$U$1978,8,FALSE),IF('Deviseur EUROPE'!C446='Deviseur EUROPE'!$V$423,VLOOKUP('Deviseur EUROPE'!A446,'Liste de prix Public EUROPE'!$B$1962:$U$1978,10,FALSE),IF(C446=$V$425,VLOOKUP('Deviseur EUROPE'!A446,'Liste de prix Public EUROPE'!$B$1962:$U$1978,12,FALSE),IF('Deviseur EUROPE'!C446='Deviseur EUROPE'!$V$424,VLOOKUP('Deviseur EUROPE'!A446,'Liste de prix Public EUROPE'!$B$1962:$U$1978,14,FALSE),IF('Deviseur EUROPE'!C446='Deviseur EUROPE'!$V$427,VLOOKUP('Deviseur EUROPE'!A446,'Liste de prix Public EUROPE'!$B$1962:$U$1978,16,FALSE),IF('Deviseur EUROPE'!C446='Deviseur EUROPE'!$V$426,VLOOKUP('Deviseur EUROPE'!A446,'Liste de prix Public EUROPE'!$B$1962:$U$1978,18,FALSE)))))))*$B$445),0)</f>
        <v>0</v>
      </c>
      <c r="E446" s="822">
        <f>IF(C446=$V$423,VLOOKUP(A446,'Liste de prix Public EUROPE'!$B$1962:$U$1978,9,FALSE),IF(C446=$V$424,VLOOKUP(A446,'Liste de prix Public EUROPE'!$B$1962:$U$1978,13,FALSE),IF(C446=$V$426,VLOOKUP(A446,'Liste de prix Public EUROPE'!$B$1962:$U$1978,17,FALSE))))*B446</f>
        <v>0</v>
      </c>
      <c r="F446" s="917"/>
      <c r="G446" s="917"/>
      <c r="H446" s="917"/>
      <c r="I446" s="404"/>
      <c r="J446" s="944"/>
      <c r="K446" s="944"/>
      <c r="L446" s="944"/>
      <c r="V446" s="966"/>
    </row>
    <row r="447" spans="1:22" ht="18" customHeight="1">
      <c r="A447" s="585"/>
      <c r="B447" s="415"/>
      <c r="C447" s="415"/>
      <c r="D447" s="822">
        <f>IFERROR((IF(C447=$V$422,VLOOKUP(A447,'Liste de prix Public EUROPE'!$B$1962:$U$1978,8,FALSE),IF('Deviseur EUROPE'!C447='Deviseur EUROPE'!$V$423,VLOOKUP('Deviseur EUROPE'!A447,'Liste de prix Public EUROPE'!$B$1962:$U$1978,10,FALSE),IF(C447=$V$425,VLOOKUP('Deviseur EUROPE'!A447,'Liste de prix Public EUROPE'!$B$1962:$U$1978,12,FALSE),IF('Deviseur EUROPE'!C447='Deviseur EUROPE'!$V$424,VLOOKUP('Deviseur EUROPE'!A447,'Liste de prix Public EUROPE'!$B$1962:$U$1978,14,FALSE),IF('Deviseur EUROPE'!C447='Deviseur EUROPE'!$V$427,VLOOKUP('Deviseur EUROPE'!A447,'Liste de prix Public EUROPE'!$B$1962:$U$1978,16,FALSE),IF('Deviseur EUROPE'!C447='Deviseur EUROPE'!$V$426,VLOOKUP('Deviseur EUROPE'!A447,'Liste de prix Public EUROPE'!$B$1962:$U$1978,18,FALSE)))))))*$B$445),0)</f>
        <v>0</v>
      </c>
      <c r="E447" s="822">
        <f>IF(C447=$V$423,VLOOKUP(A447,'Liste de prix Public EUROPE'!$B$1962:$U$1978,9,FALSE),IF(C447=$V$424,VLOOKUP(A447,'Liste de prix Public EUROPE'!$B$1962:$U$1978,13,FALSE),IF(C447=$V$426,VLOOKUP(A447,'Liste de prix Public EUROPE'!$B$1962:$U$1978,17,FALSE))))*B447</f>
        <v>0</v>
      </c>
      <c r="F447" s="917"/>
      <c r="G447" s="917"/>
      <c r="H447" s="917"/>
      <c r="I447" s="404"/>
      <c r="J447" s="944"/>
      <c r="K447" s="944"/>
      <c r="L447" s="944"/>
    </row>
    <row r="448" spans="1:22">
      <c r="A448" s="585"/>
      <c r="B448" s="415"/>
      <c r="C448" s="415"/>
      <c r="D448" s="822">
        <f>IFERROR((IF(C448=$V$422,VLOOKUP(A448,'Liste de prix Public EUROPE'!$B$1962:$U$1978,8,FALSE),IF('Deviseur EUROPE'!C448='Deviseur EUROPE'!$V$423,VLOOKUP('Deviseur EUROPE'!A448,'Liste de prix Public EUROPE'!$B$1962:$U$1978,10,FALSE),IF(C448=$V$425,VLOOKUP('Deviseur EUROPE'!A448,'Liste de prix Public EUROPE'!$B$1962:$U$1978,12,FALSE),IF('Deviseur EUROPE'!C448='Deviseur EUROPE'!$V$424,VLOOKUP('Deviseur EUROPE'!A448,'Liste de prix Public EUROPE'!$B$1962:$U$1978,14,FALSE),IF('Deviseur EUROPE'!C448='Deviseur EUROPE'!$V$427,VLOOKUP('Deviseur EUROPE'!A448,'Liste de prix Public EUROPE'!$B$1962:$U$1978,16,FALSE),IF('Deviseur EUROPE'!C448='Deviseur EUROPE'!$V$426,VLOOKUP('Deviseur EUROPE'!A448,'Liste de prix Public EUROPE'!$B$1962:$U$1978,18,FALSE)))))))*$B$445),0)</f>
        <v>0</v>
      </c>
      <c r="E448" s="822">
        <f>IF(C448=$V$423,VLOOKUP(A448,'Liste de prix Public EUROPE'!$B$1962:$U$1978,9,FALSE),IF(C448=$V$424,VLOOKUP(A448,'Liste de prix Public EUROPE'!$B$1962:$U$1978,13,FALSE),IF(C448=$V$426,VLOOKUP(A448,'Liste de prix Public EUROPE'!$B$1962:$U$1978,17,FALSE))))*B448</f>
        <v>0</v>
      </c>
      <c r="F448" s="917"/>
      <c r="G448" s="917"/>
      <c r="H448" s="917"/>
      <c r="I448" s="404"/>
      <c r="J448" s="944"/>
      <c r="K448" s="944"/>
      <c r="L448" s="944"/>
    </row>
    <row r="449" spans="1:12">
      <c r="A449" s="64"/>
      <c r="B449" s="64"/>
      <c r="C449" s="377" t="s">
        <v>39</v>
      </c>
      <c r="D449" s="822">
        <f>SUM($D$445:$D$448)</f>
        <v>0</v>
      </c>
      <c r="E449" s="822">
        <f>SUM($E$445:$E$448)</f>
        <v>0</v>
      </c>
      <c r="F449" s="917"/>
      <c r="G449" s="917"/>
      <c r="H449" s="917"/>
      <c r="I449" s="404"/>
      <c r="J449" s="944"/>
      <c r="K449" s="944"/>
      <c r="L449" s="944"/>
    </row>
    <row r="450" spans="1:12">
      <c r="A450" s="64"/>
      <c r="B450" s="64"/>
      <c r="C450" s="64"/>
      <c r="D450" s="787"/>
      <c r="E450" s="787"/>
      <c r="F450" s="917"/>
      <c r="G450" s="917"/>
      <c r="H450" s="917"/>
      <c r="I450" s="404"/>
      <c r="J450" s="944"/>
      <c r="K450" s="944"/>
      <c r="L450" s="944"/>
    </row>
    <row r="451" spans="1:12">
      <c r="A451" s="1532" t="s">
        <v>2259</v>
      </c>
      <c r="B451" s="621" t="s">
        <v>2474</v>
      </c>
      <c r="C451" s="621" t="s">
        <v>1722</v>
      </c>
      <c r="D451" s="621" t="s">
        <v>2357</v>
      </c>
      <c r="E451" s="621" t="s">
        <v>2358</v>
      </c>
      <c r="F451" s="621" t="s">
        <v>424</v>
      </c>
      <c r="G451" s="621" t="s">
        <v>2260</v>
      </c>
      <c r="H451" s="917"/>
      <c r="I451" s="404"/>
      <c r="J451" s="944"/>
      <c r="K451" s="944"/>
      <c r="L451" s="944"/>
    </row>
    <row r="452" spans="1:12">
      <c r="A452" s="619" t="s">
        <v>2208</v>
      </c>
      <c r="B452" s="1538"/>
      <c r="C452" s="1054" t="str">
        <f>IF(B452="","",VLOOKUP(B452,'Liste de prix Public EUROPE'!C2288:H2289,3,FALSE))</f>
        <v/>
      </c>
      <c r="D452" s="1054" t="str">
        <f>IF(B452="","",VLOOKUP(B452,'Liste de prix Public EUROPE'!C2288:H2289,5,FALSE))</f>
        <v/>
      </c>
      <c r="E452" s="1538"/>
      <c r="F452" s="1538"/>
      <c r="G452" s="1539">
        <f>IFERROR(VLOOKUP(C452,'Liste de prix Public EUROPE'!E2288:H2289,4,FALSE)*E452*F452,0)</f>
        <v>0</v>
      </c>
      <c r="H452" s="917"/>
      <c r="I452" s="404"/>
      <c r="J452" s="944"/>
      <c r="K452" s="944"/>
      <c r="L452" s="944"/>
    </row>
    <row r="453" spans="1:12">
      <c r="A453" s="619" t="s">
        <v>2212</v>
      </c>
      <c r="B453" s="1538"/>
      <c r="C453" s="1054" t="str">
        <f>IF(B453="","",VLOOKUP(B453,'Liste de prix Public EUROPE'!C2290:H2299,3,FALSE))</f>
        <v/>
      </c>
      <c r="D453" s="1054" t="str">
        <f>IF(B453="","",VLOOKUP(B453,'Liste de prix Public EUROPE'!C2290:H2299,5,FALSE))</f>
        <v/>
      </c>
      <c r="E453" s="1538"/>
      <c r="F453" s="1538"/>
      <c r="G453" s="1539">
        <f>IFERROR((VLOOKUP(C453,'Liste de prix Public EUROPE'!E2290:H2299,4,FALSE)*E453*F453),0)</f>
        <v>0</v>
      </c>
      <c r="H453" s="917"/>
      <c r="I453" s="404"/>
      <c r="J453" s="944"/>
      <c r="K453" s="944"/>
      <c r="L453" s="944"/>
    </row>
    <row r="454" spans="1:12">
      <c r="A454" s="619" t="s">
        <v>2223</v>
      </c>
      <c r="B454" s="1538"/>
      <c r="C454" s="1054" t="str">
        <f>IF(B454="","",VLOOKUP(B454,'Liste de prix Public EUROPE'!C2300:H2309,3,FALSE))</f>
        <v/>
      </c>
      <c r="D454" s="1054" t="str">
        <f>IF(B454="","",VLOOKUP(B454,'Liste de prix Public EUROPE'!C2300:H2309,5,FALSE))</f>
        <v/>
      </c>
      <c r="E454" s="1538"/>
      <c r="F454" s="1538"/>
      <c r="G454" s="1539">
        <f>IFERROR((VLOOKUP(C454,'Liste de prix Public EUROPE'!E2300:H2309,4,FALSE)*E454*F454),0)</f>
        <v>0</v>
      </c>
      <c r="H454" s="917"/>
      <c r="I454" s="404"/>
      <c r="J454" s="944"/>
      <c r="K454" s="944"/>
      <c r="L454" s="944"/>
    </row>
    <row r="455" spans="1:12">
      <c r="A455" s="619" t="s">
        <v>2235</v>
      </c>
      <c r="B455" s="1538"/>
      <c r="C455" s="1054" t="str">
        <f>IF(B455="","",VLOOKUP(B455,'Liste de prix Public EUROPE'!C2310:H2319,3,FALSE))</f>
        <v/>
      </c>
      <c r="D455" s="1054" t="str">
        <f>IF(B455="","",VLOOKUP(B455,'Liste de prix Public EUROPE'!C2310:H2319,5,FALSE))</f>
        <v/>
      </c>
      <c r="E455" s="1538"/>
      <c r="F455" s="1538"/>
      <c r="G455" s="1539">
        <f>IFERROR((VLOOKUP(C455,'Liste de prix Public EUROPE'!E2310:H2319,4,FALSE)*E455*F455),0)</f>
        <v>0</v>
      </c>
      <c r="H455" s="917"/>
      <c r="I455" s="404"/>
      <c r="J455" s="944"/>
      <c r="K455" s="944"/>
      <c r="L455" s="944"/>
    </row>
    <row r="456" spans="1:12">
      <c r="A456" s="619" t="s">
        <v>2247</v>
      </c>
      <c r="B456" s="1538"/>
      <c r="C456" s="1054" t="str">
        <f>IF(B456="","",VLOOKUP(B456,'Liste de prix Public EUROPE'!C2320:H2329,3,FALSE))</f>
        <v/>
      </c>
      <c r="D456" s="1054" t="str">
        <f>IF(B456="","",VLOOKUP(B456,'Liste de prix Public EUROPE'!C2320:H2329,5,FALSE))</f>
        <v/>
      </c>
      <c r="E456" s="1538"/>
      <c r="F456" s="1538"/>
      <c r="G456" s="1539">
        <f>IFERROR((VLOOKUP(C456,'Liste de prix Public EUROPE'!E2320:H2329,4,FALSE)*E456*F456),0)</f>
        <v>0</v>
      </c>
      <c r="H456" s="917"/>
      <c r="I456" s="404"/>
      <c r="J456" s="944"/>
      <c r="K456" s="944"/>
      <c r="L456" s="944"/>
    </row>
    <row r="457" spans="1:12">
      <c r="A457" s="28"/>
      <c r="B457" s="787"/>
      <c r="C457" s="787"/>
      <c r="D457" s="787"/>
      <c r="E457" s="787"/>
      <c r="F457" s="1540" t="s">
        <v>1523</v>
      </c>
      <c r="G457" s="1539">
        <f>SUM(G452:G456)</f>
        <v>0</v>
      </c>
      <c r="H457" s="917"/>
      <c r="I457" s="404"/>
      <c r="J457" s="944"/>
      <c r="K457" s="944"/>
      <c r="L457" s="944"/>
    </row>
    <row r="458" spans="1:12">
      <c r="A458" s="64"/>
      <c r="B458" s="64"/>
      <c r="C458" s="64"/>
      <c r="D458" s="64"/>
      <c r="E458" s="64"/>
      <c r="F458" s="917"/>
      <c r="G458" s="917"/>
      <c r="H458" s="917"/>
      <c r="I458" s="404"/>
      <c r="J458" s="944"/>
      <c r="K458" s="944"/>
      <c r="L458" s="944"/>
    </row>
    <row r="459" spans="1:12">
      <c r="A459" s="1532" t="s">
        <v>1351</v>
      </c>
      <c r="B459" s="621" t="s">
        <v>2474</v>
      </c>
      <c r="C459" s="621" t="s">
        <v>2358</v>
      </c>
      <c r="D459" s="621" t="s">
        <v>424</v>
      </c>
      <c r="E459" s="621" t="s">
        <v>2260</v>
      </c>
      <c r="F459" s="917"/>
      <c r="G459" s="917"/>
      <c r="H459" s="917"/>
      <c r="I459" s="404"/>
      <c r="J459" s="944"/>
      <c r="K459" s="944"/>
      <c r="L459" s="944"/>
    </row>
    <row r="460" spans="1:12">
      <c r="A460" s="619" t="s">
        <v>2458</v>
      </c>
      <c r="B460" s="1538"/>
      <c r="C460" s="1538"/>
      <c r="D460" s="1538"/>
      <c r="E460" s="1706">
        <f>IFERROR((VLOOKUP(B460,'Liste de prix Public EUROPE'!$C$2332:$E$2359,3,FALSE)*C460*D460),0)</f>
        <v>0</v>
      </c>
      <c r="F460" s="917"/>
      <c r="G460" s="917"/>
      <c r="H460" s="917"/>
      <c r="I460" s="404"/>
      <c r="J460" s="944"/>
      <c r="K460" s="944"/>
      <c r="L460" s="944"/>
    </row>
    <row r="461" spans="1:12">
      <c r="A461" s="619" t="s">
        <v>2450</v>
      </c>
      <c r="B461" s="1538"/>
      <c r="C461" s="1538"/>
      <c r="D461" s="1538"/>
      <c r="E461" s="1706">
        <f>IFERROR((VLOOKUP(B461,'Liste de prix Public EUROPE'!$C$2360:$E$2387,3,FALSE)*C461*D461),0)</f>
        <v>0</v>
      </c>
      <c r="F461" s="917"/>
      <c r="G461" s="917"/>
      <c r="H461" s="917"/>
      <c r="I461" s="404"/>
      <c r="J461" s="944"/>
      <c r="K461" s="944"/>
      <c r="L461" s="944"/>
    </row>
    <row r="462" spans="1:12">
      <c r="A462" s="619" t="s">
        <v>2451</v>
      </c>
      <c r="B462" s="1538"/>
      <c r="C462" s="1538"/>
      <c r="D462" s="1538"/>
      <c r="E462" s="1706">
        <f>IFERROR((VLOOKUP(B462,'Liste de prix Public EUROPE'!$C$2388:$E$2435,3,FALSE)*C462*D462),0)</f>
        <v>0</v>
      </c>
      <c r="F462" s="917"/>
      <c r="G462" s="917"/>
      <c r="H462" s="917"/>
      <c r="I462" s="404"/>
      <c r="J462" s="944"/>
      <c r="K462" s="944"/>
      <c r="L462" s="944"/>
    </row>
    <row r="463" spans="1:12">
      <c r="A463" s="619" t="s">
        <v>2452</v>
      </c>
      <c r="B463" s="1538"/>
      <c r="C463" s="1538"/>
      <c r="D463" s="1538"/>
      <c r="E463" s="1706">
        <f>IFERROR((VLOOKUP(B463,'Liste de prix Public EUROPE'!$C$2436:$E$2483,3,FALSE)*C463*D463),0)</f>
        <v>0</v>
      </c>
      <c r="F463" s="917"/>
      <c r="G463" s="917"/>
      <c r="H463" s="917"/>
      <c r="I463" s="404"/>
      <c r="J463" s="944"/>
      <c r="K463" s="944"/>
      <c r="L463" s="944"/>
    </row>
    <row r="464" spans="1:12">
      <c r="A464" s="619" t="s">
        <v>2473</v>
      </c>
      <c r="B464" s="1538"/>
      <c r="C464" s="1538"/>
      <c r="D464" s="1538"/>
      <c r="E464" s="1706">
        <f>IFERROR((VLOOKUP(B464,'Liste de prix Public EUROPE'!$C$2484:$E$2531,3,FALSE)*C464*D464),0)</f>
        <v>0</v>
      </c>
      <c r="F464" s="917"/>
      <c r="G464" s="917"/>
      <c r="H464" s="917"/>
      <c r="I464" s="404"/>
      <c r="J464" s="944"/>
      <c r="K464" s="944"/>
      <c r="L464" s="944"/>
    </row>
    <row r="465" spans="1:22">
      <c r="A465" s="1532" t="s">
        <v>2475</v>
      </c>
      <c r="B465" s="621" t="s">
        <v>2476</v>
      </c>
      <c r="C465" s="621" t="s">
        <v>2477</v>
      </c>
      <c r="D465" s="1708"/>
      <c r="E465" s="917"/>
      <c r="F465" s="917"/>
      <c r="G465" s="917"/>
      <c r="H465" s="917"/>
      <c r="I465" s="404"/>
      <c r="J465" s="944"/>
      <c r="K465" s="944"/>
      <c r="L465" s="944"/>
    </row>
    <row r="466" spans="1:22">
      <c r="A466" s="619" t="s">
        <v>2454</v>
      </c>
      <c r="B466" s="419"/>
      <c r="C466" s="1538"/>
      <c r="D466" s="1709"/>
      <c r="E466" s="1707">
        <f>IFERROR(VLOOKUP(A466,'Liste de prix Public EUROPE'!$B$2535:$D$2536,3,FALSE)*B466*C466,0)</f>
        <v>0</v>
      </c>
      <c r="F466" s="917"/>
      <c r="G466" s="917"/>
      <c r="H466" s="917"/>
      <c r="I466" s="404"/>
      <c r="J466" s="944"/>
      <c r="K466" s="944"/>
      <c r="L466" s="944"/>
    </row>
    <row r="467" spans="1:22">
      <c r="A467" s="619" t="s">
        <v>2455</v>
      </c>
      <c r="B467" s="419"/>
      <c r="C467" s="1538"/>
      <c r="D467" s="1710"/>
      <c r="E467" s="1707">
        <f>IFERROR(VLOOKUP(A467,'Liste de prix Public EUROPE'!$B$2535:$D$2536,3,FALSE)*B467*C467,0)</f>
        <v>0</v>
      </c>
      <c r="F467" s="917"/>
      <c r="G467" s="917"/>
      <c r="H467" s="917"/>
      <c r="I467" s="404"/>
      <c r="J467" s="944"/>
      <c r="K467" s="944"/>
      <c r="L467" s="944"/>
    </row>
    <row r="468" spans="1:22">
      <c r="A468" s="64"/>
      <c r="B468" s="1489"/>
      <c r="C468"/>
      <c r="D468" s="1540" t="s">
        <v>1523</v>
      </c>
      <c r="E468" s="1706">
        <f>SUM(E460:E467)</f>
        <v>0</v>
      </c>
      <c r="F468" s="917"/>
      <c r="G468" s="917"/>
      <c r="H468" s="917"/>
      <c r="I468" s="404"/>
      <c r="J468" s="944"/>
      <c r="K468" s="944"/>
      <c r="L468" s="944"/>
    </row>
    <row r="469" spans="1:22">
      <c r="A469" s="64"/>
      <c r="B469" s="64"/>
      <c r="C469" s="64"/>
      <c r="D469" s="64"/>
      <c r="E469" s="64"/>
      <c r="F469" s="917"/>
      <c r="G469" s="917"/>
      <c r="H469" s="917"/>
      <c r="I469" s="404"/>
      <c r="J469" s="944"/>
      <c r="K469" s="944"/>
      <c r="L469" s="944"/>
    </row>
    <row r="470" spans="1:22">
      <c r="A470" s="620" t="s">
        <v>537</v>
      </c>
      <c r="B470" s="620" t="s">
        <v>90</v>
      </c>
      <c r="C470" s="621" t="s">
        <v>424</v>
      </c>
      <c r="D470" s="621" t="s">
        <v>18</v>
      </c>
      <c r="E470" s="64"/>
      <c r="F470" s="298"/>
      <c r="G470" s="298"/>
      <c r="H470" s="917"/>
      <c r="I470" s="404"/>
      <c r="J470" s="944"/>
      <c r="K470" s="944"/>
      <c r="L470" s="944"/>
    </row>
    <row r="471" spans="1:22">
      <c r="A471" s="619" t="s">
        <v>513</v>
      </c>
      <c r="B471" s="622">
        <v>0</v>
      </c>
      <c r="C471" s="577"/>
      <c r="D471" s="625">
        <f>B471*C471*'Liste de prix Public EUROPE'!$D$1998</f>
        <v>0</v>
      </c>
      <c r="E471" s="64"/>
      <c r="F471" s="298"/>
      <c r="G471" s="298"/>
      <c r="H471" s="917"/>
      <c r="I471" s="404"/>
      <c r="J471" s="944"/>
      <c r="K471" s="944"/>
      <c r="L471" s="944"/>
    </row>
    <row r="472" spans="1:22">
      <c r="A472" s="619" t="s">
        <v>523</v>
      </c>
      <c r="B472" s="420">
        <v>0</v>
      </c>
      <c r="C472" s="623"/>
      <c r="D472" s="625">
        <f>(B472*'Liste de prix Public EUROPE'!$D$1999)</f>
        <v>0</v>
      </c>
      <c r="E472" s="64"/>
      <c r="F472" s="298"/>
      <c r="G472" s="298"/>
      <c r="H472" s="917"/>
      <c r="I472" s="404"/>
      <c r="J472" s="944"/>
      <c r="K472" s="944"/>
      <c r="L472" s="944"/>
    </row>
    <row r="473" spans="1:22">
      <c r="A473" s="619" t="s">
        <v>491</v>
      </c>
      <c r="B473" s="419">
        <v>0</v>
      </c>
      <c r="C473" s="624"/>
      <c r="D473" s="625">
        <f>(B473*'Liste de prix Public EUROPE'!$D$2000)</f>
        <v>0</v>
      </c>
      <c r="E473" s="64"/>
      <c r="F473" s="298"/>
      <c r="G473" s="298"/>
      <c r="H473" s="917"/>
      <c r="I473" s="404"/>
      <c r="J473" s="944"/>
      <c r="K473" s="944"/>
      <c r="L473" s="944"/>
    </row>
    <row r="474" spans="1:22">
      <c r="A474" s="376"/>
      <c r="B474" s="64"/>
      <c r="C474" s="377" t="s">
        <v>39</v>
      </c>
      <c r="D474" s="625">
        <f>SUM(D471:D473)</f>
        <v>0</v>
      </c>
      <c r="E474" s="64"/>
      <c r="F474" s="298"/>
      <c r="G474" s="298"/>
      <c r="H474" s="917"/>
      <c r="I474" s="404"/>
      <c r="J474" s="944"/>
      <c r="K474" s="944"/>
      <c r="L474" s="944"/>
    </row>
    <row r="475" spans="1:22">
      <c r="A475" s="376"/>
      <c r="B475" s="64"/>
      <c r="C475" s="64"/>
      <c r="D475" s="64"/>
      <c r="E475" s="64"/>
      <c r="F475" s="64"/>
      <c r="G475" s="64"/>
      <c r="H475" s="64"/>
      <c r="I475" s="404"/>
      <c r="J475" s="944"/>
      <c r="K475" s="944"/>
      <c r="L475" s="944"/>
    </row>
    <row r="476" spans="1:22">
      <c r="A476" s="620" t="s">
        <v>538</v>
      </c>
      <c r="B476" s="620" t="s">
        <v>515</v>
      </c>
      <c r="C476" s="621" t="s">
        <v>516</v>
      </c>
      <c r="D476" s="621" t="s">
        <v>18</v>
      </c>
      <c r="E476" s="64"/>
      <c r="F476" s="64"/>
      <c r="G476" s="64"/>
      <c r="H476" s="64"/>
      <c r="I476" s="404"/>
      <c r="J476" s="944"/>
      <c r="K476" s="944"/>
      <c r="L476" s="944"/>
    </row>
    <row r="477" spans="1:22">
      <c r="A477" s="619" t="s">
        <v>514</v>
      </c>
      <c r="B477" s="632"/>
      <c r="C477" s="577"/>
      <c r="D477" s="625">
        <f>(IF(C477&lt;=0,B477*'Liste de prix Public EUROPE'!$D$2004,IF(C477&lt;30,B477*'Liste de prix Public EUROPE'!$D$2005,'Liste de prix Public EUROPE'!$D$2006*B477)))</f>
        <v>0</v>
      </c>
      <c r="E477" s="64"/>
      <c r="F477" s="64"/>
      <c r="G477" s="64"/>
      <c r="H477" s="64"/>
      <c r="I477" s="404"/>
      <c r="J477" s="944"/>
      <c r="K477" s="944"/>
      <c r="L477" s="944"/>
    </row>
    <row r="478" spans="1:22">
      <c r="A478" s="376"/>
      <c r="B478" s="64"/>
      <c r="C478" s="64"/>
      <c r="D478" s="64"/>
      <c r="E478" s="64"/>
      <c r="F478" s="64"/>
      <c r="G478" s="64"/>
      <c r="H478" s="64"/>
      <c r="I478" s="404"/>
      <c r="J478" s="944"/>
      <c r="K478" s="944"/>
      <c r="L478" s="944"/>
      <c r="V478" s="966"/>
    </row>
    <row r="479" spans="1:22">
      <c r="A479" s="620" t="s">
        <v>667</v>
      </c>
      <c r="B479" s="620" t="s">
        <v>518</v>
      </c>
      <c r="C479" s="621" t="s">
        <v>424</v>
      </c>
      <c r="D479" s="621" t="s">
        <v>18</v>
      </c>
      <c r="E479" s="64"/>
      <c r="F479" s="64"/>
      <c r="G479" s="64"/>
      <c r="H479" s="64"/>
      <c r="I479" s="404"/>
      <c r="J479" s="944"/>
      <c r="K479" s="944"/>
      <c r="L479" s="944"/>
      <c r="V479" s="966"/>
    </row>
    <row r="480" spans="1:22">
      <c r="A480" s="627"/>
      <c r="B480" s="640"/>
      <c r="C480" s="629"/>
      <c r="D480" s="625">
        <f>IFERROR(IF(C480&lt;730,(VLOOKUP(A480,'Liste de prix Public EUROPE'!$B$2010:$D$2018,3,FALSE)*B480*C480),(VLOOKUP(A480,'Liste de prix Public EUROPE'!$B$2010:$D$2018,3,FALSE)*730*B480)),0)</f>
        <v>0</v>
      </c>
      <c r="E480" s="64"/>
      <c r="F480" s="64"/>
      <c r="G480" s="64"/>
      <c r="H480" s="64"/>
      <c r="I480" s="404"/>
      <c r="J480" s="944"/>
      <c r="K480" s="944"/>
      <c r="L480" s="944"/>
      <c r="V480" s="966"/>
    </row>
    <row r="481" spans="1:22">
      <c r="A481" s="1532" t="s">
        <v>2479</v>
      </c>
      <c r="B481" s="1532" t="s">
        <v>2480</v>
      </c>
      <c r="C481" s="64"/>
      <c r="D481" s="64"/>
      <c r="E481" s="64"/>
      <c r="F481" s="64"/>
      <c r="G481" s="64"/>
      <c r="H481" s="64"/>
      <c r="I481" s="404"/>
      <c r="J481" s="944"/>
      <c r="K481" s="944"/>
      <c r="L481" s="944"/>
      <c r="V481" s="966"/>
    </row>
    <row r="482" spans="1:22">
      <c r="A482" s="627"/>
      <c r="B482" s="630"/>
      <c r="C482" s="1713"/>
      <c r="D482" s="625">
        <f>IFERROR(VLOOKUP(A482,'Liste de prix Public EUROPE'!B2019:D2020,3,FALSE)*B482,0)</f>
        <v>0</v>
      </c>
      <c r="E482" s="64"/>
      <c r="F482" s="64"/>
      <c r="G482" s="64"/>
      <c r="H482" s="64"/>
      <c r="I482" s="404"/>
      <c r="J482" s="944"/>
      <c r="K482" s="944"/>
      <c r="L482" s="944"/>
      <c r="R482" s="945">
        <v>1</v>
      </c>
      <c r="V482" s="966"/>
    </row>
    <row r="483" spans="1:22">
      <c r="A483" s="376"/>
      <c r="B483" s="64"/>
      <c r="C483" s="377" t="s">
        <v>39</v>
      </c>
      <c r="D483" s="625">
        <f>SUM(D480:D482)</f>
        <v>0</v>
      </c>
      <c r="E483" s="64"/>
      <c r="F483" s="64"/>
      <c r="G483" s="64"/>
      <c r="H483" s="64"/>
      <c r="I483" s="404"/>
      <c r="J483" s="944"/>
      <c r="K483" s="944"/>
      <c r="L483" s="944"/>
      <c r="V483" s="966"/>
    </row>
    <row r="484" spans="1:22">
      <c r="A484" s="376"/>
      <c r="B484" s="64"/>
      <c r="C484" s="64"/>
      <c r="D484" s="64"/>
      <c r="E484" s="64"/>
      <c r="F484" s="64"/>
      <c r="G484" s="64"/>
      <c r="H484" s="64"/>
      <c r="I484" s="404"/>
      <c r="J484" s="944"/>
      <c r="K484" s="944"/>
      <c r="L484" s="944"/>
      <c r="V484" s="966"/>
    </row>
    <row r="485" spans="1:22">
      <c r="A485" s="620" t="s">
        <v>539</v>
      </c>
      <c r="B485" s="620" t="s">
        <v>517</v>
      </c>
      <c r="C485" s="620" t="s">
        <v>424</v>
      </c>
      <c r="D485" s="621" t="s">
        <v>18</v>
      </c>
      <c r="E485" s="64"/>
      <c r="F485" s="64"/>
      <c r="G485" s="64"/>
      <c r="H485" s="64"/>
      <c r="I485" s="404"/>
      <c r="J485" s="944"/>
      <c r="K485" s="944"/>
      <c r="L485" s="944"/>
      <c r="V485" s="966"/>
    </row>
    <row r="486" spans="1:22">
      <c r="A486" s="619" t="s">
        <v>526</v>
      </c>
      <c r="B486" s="628"/>
      <c r="C486" s="629"/>
      <c r="D486" s="625">
        <f>B486*C486*'Liste de prix Public EUROPE'!$D$2024</f>
        <v>0</v>
      </c>
      <c r="E486" s="64"/>
      <c r="F486" s="64"/>
      <c r="G486" s="64"/>
      <c r="H486" s="64"/>
      <c r="I486" s="404"/>
      <c r="J486" s="944"/>
      <c r="K486" s="944"/>
      <c r="L486" s="944"/>
      <c r="V486" s="966"/>
    </row>
    <row r="487" spans="1:22">
      <c r="A487" s="376"/>
      <c r="B487" s="64"/>
      <c r="C487" s="64"/>
      <c r="D487" s="64"/>
      <c r="E487" s="64"/>
      <c r="F487" s="64"/>
      <c r="G487" s="64"/>
      <c r="H487" s="64"/>
      <c r="I487" s="404"/>
      <c r="J487" s="944"/>
      <c r="K487" s="944"/>
      <c r="L487" s="944"/>
      <c r="V487" s="966"/>
    </row>
    <row r="488" spans="1:22">
      <c r="A488" s="620" t="s">
        <v>724</v>
      </c>
      <c r="B488" s="620" t="s">
        <v>668</v>
      </c>
      <c r="C488" s="620" t="s">
        <v>424</v>
      </c>
      <c r="D488" s="621" t="s">
        <v>18</v>
      </c>
      <c r="E488" s="738"/>
      <c r="F488" s="64"/>
      <c r="G488" s="64"/>
      <c r="H488" s="64"/>
      <c r="I488" s="404"/>
      <c r="J488" s="944"/>
      <c r="K488" s="944"/>
      <c r="L488" s="944"/>
      <c r="V488" s="966"/>
    </row>
    <row r="489" spans="1:22">
      <c r="A489" s="619" t="s">
        <v>651</v>
      </c>
      <c r="B489" s="628"/>
      <c r="C489" s="629"/>
      <c r="D489" s="625">
        <f>B489*C489*'Liste de prix Public EUROPE'!$D$2028</f>
        <v>0</v>
      </c>
      <c r="E489" s="738"/>
      <c r="F489" s="64"/>
      <c r="G489" s="64"/>
      <c r="H489" s="64"/>
      <c r="I489" s="404"/>
      <c r="J489" s="944"/>
      <c r="K489" s="944"/>
      <c r="L489" s="944"/>
      <c r="V489" s="966"/>
    </row>
    <row r="490" spans="1:22">
      <c r="A490" s="64"/>
      <c r="B490" s="64"/>
      <c r="C490" s="64"/>
      <c r="D490" s="787"/>
      <c r="E490" s="64"/>
      <c r="F490" s="64"/>
      <c r="G490" s="64"/>
      <c r="H490" s="64"/>
      <c r="I490" s="404"/>
      <c r="J490" s="944"/>
      <c r="K490" s="944"/>
      <c r="L490" s="944"/>
      <c r="V490" s="966"/>
    </row>
    <row r="491" spans="1:22">
      <c r="A491" s="1122" t="s">
        <v>1473</v>
      </c>
      <c r="B491" s="1122" t="s">
        <v>2328</v>
      </c>
      <c r="C491" s="1122" t="s">
        <v>2332</v>
      </c>
      <c r="D491" s="621" t="s">
        <v>18</v>
      </c>
      <c r="E491" s="64"/>
      <c r="F491" s="64"/>
      <c r="G491" s="64"/>
      <c r="H491" s="64"/>
      <c r="I491" s="404"/>
      <c r="J491" s="944"/>
      <c r="K491" s="944"/>
      <c r="L491" s="944"/>
      <c r="V491" s="966"/>
    </row>
    <row r="492" spans="1:22">
      <c r="A492" s="619" t="s">
        <v>1474</v>
      </c>
      <c r="B492" s="1627"/>
      <c r="C492" s="629"/>
      <c r="D492" s="822">
        <f>(IF(B492&lt;=2000,'Deviseur EUROPE'!$B$492*'Liste de prix Public EUROPE'!$C$2104,IF(AND(B492&gt;2000,B492&lt;=5000),2000*'Liste de prix Public EUROPE'!$C$2104+(B492-2000)*'Liste de prix Public EUROPE'!C$2105,IF(B492&gt;5000,2000*'Liste de prix Public EUROPE'!$C$2104+3000*'Liste de prix Public EUROPE'!C$2105+(B492-5000)*'Liste de prix Public EUROPE'!C$2106,FALSE)))+C492*('Liste de prix Public EUROPE'!$C$2108/1000000))</f>
        <v>0</v>
      </c>
      <c r="E492" s="64"/>
      <c r="F492" s="64"/>
      <c r="G492" s="64"/>
      <c r="H492" s="64"/>
      <c r="I492" s="404"/>
      <c r="J492" s="944"/>
      <c r="K492" s="944"/>
      <c r="L492" s="944"/>
      <c r="V492" s="966"/>
    </row>
    <row r="493" spans="1:22">
      <c r="A493" s="64"/>
      <c r="B493" s="787"/>
      <c r="C493" s="787"/>
      <c r="D493" s="787"/>
      <c r="E493" s="64"/>
      <c r="F493" s="64"/>
      <c r="G493" s="64"/>
      <c r="H493" s="64"/>
      <c r="I493" s="404"/>
      <c r="J493" s="944"/>
      <c r="K493" s="944"/>
      <c r="L493" s="944"/>
      <c r="V493" s="966"/>
    </row>
    <row r="494" spans="1:22">
      <c r="A494" s="1532" t="s">
        <v>2334</v>
      </c>
      <c r="B494" s="621" t="s">
        <v>18</v>
      </c>
      <c r="C494" s="1140"/>
      <c r="D494" s="787"/>
      <c r="E494" s="64"/>
      <c r="F494" s="64"/>
      <c r="G494" s="64"/>
      <c r="H494" s="64"/>
      <c r="I494" s="404"/>
      <c r="J494" s="944"/>
      <c r="K494" s="944"/>
      <c r="L494" s="944"/>
      <c r="V494" s="966"/>
    </row>
    <row r="495" spans="1:22">
      <c r="A495" s="1538"/>
      <c r="B495" s="822">
        <f>IFERROR(VLOOKUP(A495,'Liste de prix Public EUROPE'!B2255:D2256,3,FALSE),0)</f>
        <v>0</v>
      </c>
      <c r="C495" s="1140"/>
      <c r="D495" s="787"/>
      <c r="E495" s="64"/>
      <c r="F495" s="64"/>
      <c r="G495" s="64"/>
      <c r="H495" s="64"/>
      <c r="I495" s="404"/>
      <c r="J495" s="944"/>
      <c r="K495" s="944"/>
      <c r="L495" s="944"/>
      <c r="V495" s="966"/>
    </row>
    <row r="496" spans="1:22">
      <c r="A496" s="64"/>
      <c r="B496" s="1139"/>
      <c r="C496" s="1140"/>
      <c r="D496" s="787"/>
      <c r="E496" s="64"/>
      <c r="F496" s="64"/>
      <c r="G496" s="64"/>
      <c r="H496" s="64"/>
      <c r="I496" s="404"/>
      <c r="J496" s="944"/>
      <c r="K496" s="944"/>
      <c r="L496" s="944"/>
      <c r="V496" s="966"/>
    </row>
    <row r="497" spans="1:22">
      <c r="A497" s="1138" t="s">
        <v>1504</v>
      </c>
      <c r="B497" s="1138" t="s">
        <v>1521</v>
      </c>
      <c r="C497" s="621" t="s">
        <v>1522</v>
      </c>
      <c r="D497" s="787"/>
      <c r="E497" s="64"/>
      <c r="F497" s="64"/>
      <c r="G497" s="64"/>
      <c r="H497" s="64"/>
      <c r="I497" s="404"/>
      <c r="J497" s="944"/>
      <c r="K497" s="944"/>
      <c r="L497" s="944"/>
      <c r="V497" s="966"/>
    </row>
    <row r="498" spans="1:22" ht="31.5" hidden="1" customHeight="1">
      <c r="A498" s="64"/>
      <c r="B498" s="64"/>
      <c r="C498" s="64"/>
      <c r="D498" s="787"/>
      <c r="E498" s="64"/>
      <c r="F498" s="64"/>
      <c r="G498" s="64"/>
      <c r="H498" s="64"/>
      <c r="I498" s="404"/>
      <c r="J498" s="944"/>
      <c r="K498" s="944"/>
      <c r="L498" s="944"/>
      <c r="V498" s="966"/>
    </row>
    <row r="499" spans="1:22" ht="14.55" hidden="1" customHeight="1">
      <c r="A499" s="64"/>
      <c r="B499" s="64"/>
      <c r="C499" s="64"/>
      <c r="D499" s="787"/>
      <c r="E499" s="64"/>
      <c r="F499" s="64"/>
      <c r="G499" s="64"/>
      <c r="H499" s="64"/>
      <c r="I499" s="404"/>
      <c r="J499" s="944"/>
      <c r="K499" s="944"/>
      <c r="L499" s="944"/>
      <c r="V499" s="966"/>
    </row>
    <row r="500" spans="1:22" hidden="1">
      <c r="A500" s="64"/>
      <c r="B500" s="64"/>
      <c r="C500" s="64"/>
      <c r="D500" s="787"/>
      <c r="E500" s="64"/>
      <c r="F500" s="64"/>
      <c r="G500" s="64"/>
      <c r="H500" s="64"/>
      <c r="I500" s="404"/>
      <c r="J500" s="944"/>
      <c r="K500" s="944"/>
      <c r="L500" s="944"/>
      <c r="V500" s="966"/>
    </row>
    <row r="501" spans="1:22" hidden="1">
      <c r="A501" s="64"/>
      <c r="B501" s="64"/>
      <c r="C501" s="64"/>
      <c r="D501" s="787"/>
      <c r="E501" s="64"/>
      <c r="F501" s="64"/>
      <c r="G501" s="64"/>
      <c r="H501" s="64"/>
      <c r="I501" s="404"/>
      <c r="J501" s="944"/>
      <c r="K501" s="944"/>
      <c r="L501" s="944"/>
      <c r="V501" s="966"/>
    </row>
    <row r="502" spans="1:22" hidden="1">
      <c r="A502" s="64"/>
      <c r="B502" s="64"/>
      <c r="C502" s="64"/>
      <c r="D502" s="787"/>
      <c r="E502" s="64"/>
      <c r="F502" s="64"/>
      <c r="G502" s="64"/>
      <c r="H502" s="64"/>
      <c r="I502" s="404"/>
      <c r="J502" s="944"/>
      <c r="K502" s="944"/>
      <c r="L502" s="944"/>
      <c r="V502" s="966"/>
    </row>
    <row r="503" spans="1:22" hidden="1">
      <c r="A503" s="64"/>
      <c r="B503" s="64"/>
      <c r="C503" s="64"/>
      <c r="D503" s="787"/>
      <c r="E503" s="64"/>
      <c r="F503" s="64"/>
      <c r="G503" s="64"/>
      <c r="H503" s="64"/>
      <c r="I503" s="404"/>
      <c r="J503" s="944"/>
      <c r="K503" s="944"/>
      <c r="L503" s="944"/>
      <c r="V503" s="966"/>
    </row>
    <row r="504" spans="1:22" hidden="1">
      <c r="A504" s="64"/>
      <c r="B504" s="64"/>
      <c r="C504" s="64"/>
      <c r="D504" s="787"/>
      <c r="E504" s="64"/>
      <c r="F504" s="64"/>
      <c r="G504" s="64"/>
      <c r="H504" s="64"/>
      <c r="I504" s="404"/>
      <c r="J504" s="944"/>
      <c r="K504" s="944"/>
      <c r="L504" s="944"/>
      <c r="V504" s="966"/>
    </row>
    <row r="505" spans="1:22">
      <c r="A505" s="619" t="s">
        <v>1493</v>
      </c>
      <c r="B505" s="1143"/>
      <c r="C505" s="822">
        <f>VLOOKUP(A505,'Liste de prix Public EUROPE'!$B$2123:$C$2133,2,FALSE)*B505</f>
        <v>0</v>
      </c>
      <c r="D505" s="787"/>
      <c r="E505" s="64"/>
      <c r="F505" s="64"/>
      <c r="G505" s="64"/>
      <c r="H505" s="64"/>
      <c r="I505" s="404"/>
      <c r="J505" s="944"/>
      <c r="K505" s="944"/>
      <c r="L505" s="944"/>
      <c r="V505" s="966"/>
    </row>
    <row r="506" spans="1:22">
      <c r="A506" s="619" t="s">
        <v>1494</v>
      </c>
      <c r="B506" s="1143"/>
      <c r="C506" s="822">
        <f>VLOOKUP(A506,'Liste de prix Public EUROPE'!$B$2123:$C$2133,2,FALSE)*B506</f>
        <v>0</v>
      </c>
      <c r="D506" s="787"/>
      <c r="E506" s="64"/>
      <c r="F506" s="64"/>
      <c r="G506" s="64"/>
      <c r="H506" s="64"/>
      <c r="I506" s="404"/>
      <c r="J506" s="944"/>
      <c r="K506" s="944"/>
      <c r="L506" s="944"/>
      <c r="V506" s="966"/>
    </row>
    <row r="507" spans="1:22">
      <c r="A507" s="619" t="s">
        <v>1495</v>
      </c>
      <c r="B507" s="1143"/>
      <c r="C507" s="822">
        <f>VLOOKUP(A507,'Liste de prix Public EUROPE'!$B$2123:$C$2133,2,FALSE)*B507</f>
        <v>0</v>
      </c>
      <c r="D507" s="787"/>
      <c r="E507" s="64"/>
      <c r="F507" s="64"/>
      <c r="G507" s="64"/>
      <c r="H507" s="64"/>
      <c r="I507" s="404"/>
      <c r="J507" s="944"/>
      <c r="K507" s="944"/>
      <c r="L507" s="944"/>
      <c r="V507" s="966"/>
    </row>
    <row r="508" spans="1:22">
      <c r="A508" s="619" t="s">
        <v>1496</v>
      </c>
      <c r="B508" s="1143"/>
      <c r="C508" s="822">
        <f>VLOOKUP(A508,'Liste de prix Public EUROPE'!$B$2123:$C$2133,2,FALSE)*B508</f>
        <v>0</v>
      </c>
      <c r="D508" s="787"/>
      <c r="E508" s="64"/>
      <c r="F508" s="64"/>
      <c r="G508" s="64"/>
      <c r="H508" s="64"/>
      <c r="I508" s="404"/>
      <c r="J508" s="944"/>
      <c r="K508" s="944"/>
      <c r="L508" s="944"/>
      <c r="V508" s="966"/>
    </row>
    <row r="509" spans="1:22">
      <c r="A509" s="619" t="s">
        <v>1497</v>
      </c>
      <c r="B509" s="1143"/>
      <c r="C509" s="822">
        <f>VLOOKUP(A509,'Liste de prix Public EUROPE'!$B$2123:$C$2133,2,FALSE)*B509</f>
        <v>0</v>
      </c>
      <c r="D509" s="787"/>
      <c r="E509" s="64"/>
      <c r="F509" s="64"/>
      <c r="G509" s="64"/>
      <c r="H509" s="64"/>
      <c r="I509" s="404"/>
      <c r="J509" s="944"/>
      <c r="K509" s="944"/>
      <c r="L509" s="944"/>
      <c r="V509" s="966"/>
    </row>
    <row r="510" spans="1:22">
      <c r="A510" s="619" t="s">
        <v>1498</v>
      </c>
      <c r="B510" s="1143"/>
      <c r="C510" s="822">
        <f>VLOOKUP(A510,'Liste de prix Public EUROPE'!$B$2123:$C$2133,2,FALSE)*B510</f>
        <v>0</v>
      </c>
      <c r="D510" s="787"/>
      <c r="E510" s="64"/>
      <c r="F510" s="64"/>
      <c r="G510" s="64"/>
      <c r="H510" s="64"/>
      <c r="I510" s="404"/>
      <c r="J510" s="944"/>
      <c r="K510" s="944"/>
      <c r="L510" s="944"/>
      <c r="V510" s="966"/>
    </row>
    <row r="511" spans="1:22">
      <c r="A511" s="619" t="s">
        <v>1499</v>
      </c>
      <c r="B511" s="1143"/>
      <c r="C511" s="822">
        <f>VLOOKUP(A511,'Liste de prix Public EUROPE'!$B$2123:$C$2133,2,FALSE)*B511</f>
        <v>0</v>
      </c>
      <c r="D511" s="787"/>
      <c r="E511" s="64"/>
      <c r="F511" s="64"/>
      <c r="G511" s="64"/>
      <c r="H511" s="64"/>
      <c r="I511" s="404"/>
      <c r="J511" s="944"/>
      <c r="K511" s="944"/>
      <c r="L511" s="944"/>
      <c r="V511" s="966"/>
    </row>
    <row r="512" spans="1:22">
      <c r="A512" s="619" t="s">
        <v>1500</v>
      </c>
      <c r="B512" s="1143"/>
      <c r="C512" s="822">
        <f>VLOOKUP(A512,'Liste de prix Public EUROPE'!$B$2123:$C$2133,2,FALSE)*B512</f>
        <v>0</v>
      </c>
      <c r="D512" s="787"/>
      <c r="E512" s="64"/>
      <c r="F512" s="64"/>
      <c r="G512" s="64"/>
      <c r="H512" s="64"/>
      <c r="I512" s="404"/>
      <c r="J512" s="944"/>
      <c r="K512" s="944"/>
      <c r="L512" s="944"/>
      <c r="V512" s="966"/>
    </row>
    <row r="513" spans="1:22">
      <c r="A513" s="619" t="s">
        <v>1501</v>
      </c>
      <c r="B513" s="1143"/>
      <c r="C513" s="822">
        <f>VLOOKUP(A513,'Liste de prix Public EUROPE'!$B$2123:$C$2133,2,FALSE)*B513</f>
        <v>0</v>
      </c>
      <c r="D513" s="787"/>
      <c r="E513" s="64"/>
      <c r="F513" s="64"/>
      <c r="G513" s="64"/>
      <c r="H513" s="64"/>
      <c r="I513" s="404"/>
      <c r="J513" s="944"/>
      <c r="K513" s="944"/>
      <c r="L513" s="944"/>
      <c r="V513" s="966"/>
    </row>
    <row r="514" spans="1:22">
      <c r="A514" s="619" t="s">
        <v>1502</v>
      </c>
      <c r="B514" s="1143"/>
      <c r="C514" s="822">
        <f>VLOOKUP(A514,'Liste de prix Public EUROPE'!$B$2123:$C$2133,2,FALSE)*B514</f>
        <v>0</v>
      </c>
      <c r="D514" s="787"/>
      <c r="E514" s="64"/>
      <c r="F514" s="64"/>
      <c r="G514" s="64"/>
      <c r="H514" s="64"/>
      <c r="I514" s="404"/>
      <c r="J514" s="944"/>
      <c r="K514" s="944"/>
      <c r="L514" s="944"/>
      <c r="V514" s="966"/>
    </row>
    <row r="515" spans="1:22">
      <c r="A515" s="619" t="s">
        <v>1503</v>
      </c>
      <c r="B515" s="1143"/>
      <c r="C515" s="822">
        <f>VLOOKUP(A515,'Liste de prix Public EUROPE'!$B$2123:$C$2133,2,FALSE)*B515</f>
        <v>0</v>
      </c>
      <c r="D515" s="787"/>
      <c r="E515" s="64"/>
      <c r="F515" s="64"/>
      <c r="G515" s="64"/>
      <c r="H515" s="64"/>
      <c r="I515" s="404"/>
      <c r="J515" s="944"/>
      <c r="K515" s="944"/>
      <c r="L515" s="944"/>
      <c r="V515" s="966"/>
    </row>
    <row r="516" spans="1:22">
      <c r="A516" s="1145"/>
      <c r="B516" s="1146" t="s">
        <v>1523</v>
      </c>
      <c r="C516" s="1148">
        <f>C505+C506+C507+C508+C509+C510+C511+C512+C513+C514+C515</f>
        <v>0</v>
      </c>
      <c r="D516" s="787"/>
      <c r="E516" s="64"/>
      <c r="F516" s="64"/>
      <c r="G516" s="64"/>
      <c r="H516" s="64"/>
      <c r="I516" s="404"/>
      <c r="J516" s="944"/>
      <c r="K516" s="944"/>
      <c r="L516" s="944"/>
      <c r="V516" s="966"/>
    </row>
    <row r="517" spans="1:22">
      <c r="A517" s="2126"/>
      <c r="B517" s="2126"/>
      <c r="C517" s="787"/>
      <c r="D517" s="787"/>
      <c r="E517" s="64"/>
      <c r="F517" s="64"/>
      <c r="G517" s="64"/>
      <c r="H517" s="64"/>
      <c r="I517" s="404"/>
      <c r="J517" s="944"/>
      <c r="K517" s="944"/>
      <c r="L517" s="944"/>
      <c r="V517" s="966"/>
    </row>
    <row r="518" spans="1:22" ht="26.25" customHeight="1">
      <c r="A518" s="1532" t="s">
        <v>1554</v>
      </c>
      <c r="B518" s="621" t="s">
        <v>2353</v>
      </c>
      <c r="C518" s="621" t="s">
        <v>1521</v>
      </c>
      <c r="D518" s="621" t="s">
        <v>18</v>
      </c>
      <c r="E518" s="64"/>
      <c r="F518" s="64"/>
      <c r="G518" s="64"/>
      <c r="H518" s="64"/>
      <c r="I518" s="404"/>
      <c r="J518" s="944"/>
      <c r="K518" s="944"/>
      <c r="L518" s="944"/>
      <c r="V518" s="966"/>
    </row>
    <row r="519" spans="1:22">
      <c r="A519" s="619" t="s">
        <v>1552</v>
      </c>
      <c r="B519" s="1143"/>
      <c r="C519" s="1143"/>
      <c r="D519" s="1148">
        <f>VLOOKUP(A519,'Liste de prix Public EUROPE'!$B$2138:$C$2141,2,FALSE)*B519*C519</f>
        <v>0</v>
      </c>
      <c r="E519" s="64"/>
      <c r="F519" s="64"/>
      <c r="G519" s="64"/>
      <c r="H519" s="64"/>
      <c r="I519" s="404"/>
      <c r="J519" s="944"/>
      <c r="K519" s="944"/>
      <c r="L519" s="944"/>
      <c r="V519" s="966"/>
    </row>
    <row r="520" spans="1:22">
      <c r="A520" s="619" t="s">
        <v>1551</v>
      </c>
      <c r="B520" s="1143"/>
      <c r="C520" s="1143"/>
      <c r="D520" s="1148">
        <f>VLOOKUP(A520,'Liste de prix Public EUROPE'!$B$2138:$C$2141,2,FALSE)*B520*C520</f>
        <v>0</v>
      </c>
      <c r="E520" s="64"/>
      <c r="F520" s="64"/>
      <c r="G520" s="64"/>
      <c r="H520" s="64"/>
      <c r="I520" s="404"/>
      <c r="J520" s="944"/>
      <c r="K520" s="944"/>
      <c r="L520" s="944"/>
      <c r="V520" s="966"/>
    </row>
    <row r="521" spans="1:22">
      <c r="A521" s="619" t="s">
        <v>1550</v>
      </c>
      <c r="B521" s="1143"/>
      <c r="C521" s="1143"/>
      <c r="D521" s="1148">
        <f>VLOOKUP(A521,'Liste de prix Public EUROPE'!$B$2138:$C$2141,2,FALSE)*B521*C521</f>
        <v>0</v>
      </c>
      <c r="E521" s="64"/>
      <c r="F521" s="64"/>
      <c r="G521" s="64"/>
      <c r="H521" s="64"/>
      <c r="I521" s="404"/>
      <c r="J521" s="944"/>
      <c r="K521" s="944"/>
      <c r="L521" s="944"/>
      <c r="V521" s="966"/>
    </row>
    <row r="522" spans="1:22">
      <c r="A522" s="619" t="s">
        <v>1549</v>
      </c>
      <c r="B522" s="1143"/>
      <c r="C522" s="1143"/>
      <c r="D522" s="1148">
        <f>VLOOKUP(A522,'Liste de prix Public EUROPE'!$B$2138:$C$2141,2,FALSE)*B522*C522</f>
        <v>0</v>
      </c>
      <c r="E522" s="64"/>
      <c r="F522" s="64"/>
      <c r="G522" s="64"/>
      <c r="H522" s="64"/>
      <c r="I522" s="404"/>
      <c r="J522" s="944"/>
      <c r="K522" s="944"/>
      <c r="L522" s="944"/>
      <c r="V522" s="966"/>
    </row>
    <row r="523" spans="1:22">
      <c r="A523" s="1145"/>
      <c r="B523" s="1145"/>
      <c r="C523" s="1146" t="s">
        <v>1523</v>
      </c>
      <c r="D523" s="1148">
        <f>SUM(D519:D522)</f>
        <v>0</v>
      </c>
      <c r="E523" s="64"/>
      <c r="F523" s="64"/>
      <c r="G523" s="64"/>
      <c r="H523" s="64"/>
      <c r="I523" s="404"/>
      <c r="J523" s="944"/>
      <c r="K523" s="944"/>
      <c r="L523" s="944"/>
      <c r="V523" s="966"/>
    </row>
    <row r="524" spans="1:22">
      <c r="A524" s="1145"/>
      <c r="B524" s="1161"/>
      <c r="C524" s="787"/>
      <c r="D524" s="787"/>
      <c r="E524" s="64"/>
      <c r="F524" s="64"/>
      <c r="G524" s="64"/>
      <c r="H524" s="64"/>
      <c r="I524" s="404"/>
      <c r="J524" s="944"/>
      <c r="K524" s="944"/>
      <c r="L524" s="944"/>
      <c r="V524" s="966"/>
    </row>
    <row r="525" spans="1:22" ht="18.75" customHeight="1">
      <c r="A525" s="1351" t="s">
        <v>1805</v>
      </c>
      <c r="B525" s="621" t="s">
        <v>2353</v>
      </c>
      <c r="C525" s="621" t="s">
        <v>1812</v>
      </c>
      <c r="D525" s="621" t="s">
        <v>18</v>
      </c>
      <c r="E525" s="64"/>
      <c r="F525" s="64"/>
      <c r="G525" s="64"/>
      <c r="H525" s="64"/>
      <c r="I525" s="404"/>
      <c r="J525" s="944"/>
      <c r="K525" s="944"/>
      <c r="L525" s="944"/>
      <c r="V525" s="966"/>
    </row>
    <row r="526" spans="1:22">
      <c r="A526" s="619" t="s">
        <v>1806</v>
      </c>
      <c r="B526" s="1143"/>
      <c r="C526" s="1143"/>
      <c r="D526" s="1354">
        <f>VLOOKUP(A526,'Liste de prix Public EUROPE'!$B$2145:$C$2148,2,FALSE)*B526*C526</f>
        <v>0</v>
      </c>
      <c r="E526" s="64"/>
      <c r="F526" s="64"/>
      <c r="G526" s="64"/>
      <c r="H526" s="64"/>
      <c r="I526" s="404"/>
      <c r="J526" s="944"/>
      <c r="K526" s="944"/>
      <c r="L526" s="944"/>
      <c r="V526" s="966"/>
    </row>
    <row r="527" spans="1:22">
      <c r="A527" s="619" t="s">
        <v>1807</v>
      </c>
      <c r="B527" s="1143"/>
      <c r="C527" s="1143"/>
      <c r="D527" s="1354">
        <f>VLOOKUP(A527,'Liste de prix Public EUROPE'!$B$2145:$C$2148,2,FALSE)*B527*C527</f>
        <v>0</v>
      </c>
      <c r="E527" s="64"/>
      <c r="F527" s="64"/>
      <c r="G527" s="64"/>
      <c r="H527" s="64"/>
      <c r="I527" s="404"/>
      <c r="J527" s="944"/>
      <c r="K527" s="944"/>
      <c r="L527" s="944"/>
      <c r="V527" s="966"/>
    </row>
    <row r="528" spans="1:22">
      <c r="A528" s="619" t="s">
        <v>1808</v>
      </c>
      <c r="B528" s="1143"/>
      <c r="C528" s="1143"/>
      <c r="D528" s="1354">
        <f>VLOOKUP(A528,'Liste de prix Public EUROPE'!$B$2145:$C$2148,2,FALSE)*B528*C528</f>
        <v>0</v>
      </c>
      <c r="E528" s="64"/>
      <c r="F528" s="64"/>
      <c r="G528" s="64"/>
      <c r="H528" s="64"/>
      <c r="I528" s="404"/>
      <c r="J528" s="944"/>
      <c r="K528" s="944"/>
      <c r="L528" s="944"/>
      <c r="V528" s="966"/>
    </row>
    <row r="529" spans="1:23">
      <c r="A529" s="619" t="s">
        <v>1809</v>
      </c>
      <c r="B529" s="1143"/>
      <c r="C529" s="1143"/>
      <c r="D529" s="1354">
        <f>VLOOKUP(A529,'Liste de prix Public EUROPE'!$B$2145:$C$2148,2,FALSE)*B529*C529</f>
        <v>0</v>
      </c>
      <c r="E529" s="64"/>
      <c r="F529" s="64"/>
      <c r="G529" s="64"/>
      <c r="H529" s="64"/>
      <c r="I529" s="404"/>
      <c r="J529" s="944"/>
      <c r="K529" s="944"/>
      <c r="L529" s="944"/>
      <c r="V529" s="966"/>
    </row>
    <row r="530" spans="1:23" s="1141" customFormat="1">
      <c r="A530" s="64"/>
      <c r="B530" s="64"/>
      <c r="C530" s="1146" t="s">
        <v>1523</v>
      </c>
      <c r="D530" s="1355">
        <f>SUM(D526:D529)</f>
        <v>0</v>
      </c>
      <c r="E530" s="64"/>
      <c r="F530" s="64"/>
      <c r="G530" s="64"/>
      <c r="H530" s="64"/>
      <c r="I530" s="404"/>
      <c r="W530" s="946"/>
    </row>
    <row r="531" spans="1:23">
      <c r="A531" s="64"/>
      <c r="B531" s="64"/>
      <c r="C531" s="64"/>
      <c r="D531" s="787"/>
      <c r="E531" s="64"/>
      <c r="F531" s="64"/>
      <c r="G531" s="64"/>
      <c r="H531" s="64"/>
      <c r="I531" s="404"/>
      <c r="J531" s="944"/>
      <c r="K531" s="944"/>
      <c r="L531" s="944"/>
      <c r="V531" s="966"/>
    </row>
    <row r="532" spans="1:23" ht="15" hidden="1" customHeight="1">
      <c r="A532" s="368" t="s">
        <v>80</v>
      </c>
      <c r="B532" s="621" t="s">
        <v>424</v>
      </c>
      <c r="C532" s="621" t="s">
        <v>631</v>
      </c>
      <c r="D532" s="787"/>
      <c r="E532" s="64"/>
      <c r="F532" s="64"/>
      <c r="G532" s="64"/>
      <c r="H532" s="64"/>
      <c r="I532" s="404"/>
      <c r="J532" s="944"/>
      <c r="K532" s="944"/>
      <c r="L532" s="944"/>
    </row>
    <row r="533" spans="1:23" ht="15" hidden="1" customHeight="1">
      <c r="A533" s="627"/>
      <c r="B533" s="629"/>
      <c r="C533" s="627"/>
      <c r="D533" s="787"/>
      <c r="E533" s="64"/>
      <c r="F533" s="64"/>
      <c r="G533" s="64"/>
      <c r="H533" s="64"/>
      <c r="I533" s="404"/>
      <c r="J533" s="944"/>
      <c r="K533" s="944"/>
      <c r="L533" s="944"/>
    </row>
    <row r="534" spans="1:23" ht="15" hidden="1" customHeight="1">
      <c r="A534" s="804" t="s">
        <v>866</v>
      </c>
      <c r="B534" s="64"/>
      <c r="C534" s="64"/>
      <c r="D534" s="787"/>
      <c r="E534" s="64"/>
      <c r="F534" s="64"/>
      <c r="G534" s="64"/>
      <c r="H534" s="64"/>
      <c r="I534" s="404"/>
      <c r="J534" s="944"/>
      <c r="K534" s="944"/>
      <c r="L534" s="944"/>
    </row>
    <row r="535" spans="1:23" ht="18" hidden="1">
      <c r="A535" s="64"/>
      <c r="B535" s="64"/>
      <c r="C535" s="64"/>
      <c r="D535" s="787"/>
      <c r="E535" s="64"/>
      <c r="F535" s="64"/>
      <c r="G535" s="64"/>
      <c r="H535" s="64"/>
      <c r="I535" s="404"/>
      <c r="J535" s="413"/>
      <c r="K535" s="944"/>
      <c r="L535" s="944"/>
    </row>
    <row r="536" spans="1:23" ht="15" hidden="1" customHeight="1">
      <c r="A536" s="804" t="s">
        <v>1140</v>
      </c>
      <c r="B536" s="804"/>
      <c r="C536" s="804" t="s">
        <v>1141</v>
      </c>
      <c r="D536" s="787"/>
      <c r="E536" s="64"/>
      <c r="F536" s="64"/>
      <c r="G536" s="64"/>
      <c r="H536" s="64"/>
      <c r="I536" s="404"/>
      <c r="J536" s="944"/>
      <c r="K536" s="944"/>
      <c r="L536" s="944"/>
    </row>
    <row r="537" spans="1:23" ht="15" hidden="1" customHeight="1">
      <c r="A537" s="804"/>
      <c r="B537" s="804"/>
      <c r="C537" s="804"/>
      <c r="D537" s="787"/>
      <c r="E537" s="64"/>
      <c r="F537" s="64"/>
      <c r="G537" s="64"/>
      <c r="H537" s="64"/>
      <c r="I537" s="404"/>
      <c r="J537" s="944"/>
      <c r="K537" s="944"/>
      <c r="L537" s="944"/>
    </row>
    <row r="538" spans="1:23" ht="15" customHeight="1">
      <c r="A538" s="1532" t="s">
        <v>2362</v>
      </c>
      <c r="B538" s="621" t="s">
        <v>2353</v>
      </c>
      <c r="C538" s="621" t="s">
        <v>1812</v>
      </c>
      <c r="D538" s="621" t="s">
        <v>18</v>
      </c>
      <c r="E538" s="64"/>
      <c r="F538" s="64"/>
      <c r="G538" s="64"/>
      <c r="H538" s="64"/>
      <c r="I538" s="404"/>
      <c r="J538" s="944"/>
      <c r="K538" s="944"/>
      <c r="L538" s="944"/>
    </row>
    <row r="539" spans="1:23" ht="15" customHeight="1">
      <c r="A539" s="1538"/>
      <c r="B539" s="1143"/>
      <c r="C539" s="1143"/>
      <c r="D539" s="1148">
        <f>IFERROR(VLOOKUP($A539,'Liste de prix Public EUROPE'!$B$2267:$E$2274,4,FALSE)*B539*C539,0)</f>
        <v>0</v>
      </c>
      <c r="E539" s="64"/>
      <c r="F539" s="64"/>
      <c r="G539" s="64"/>
      <c r="H539" s="64"/>
      <c r="I539" s="404"/>
      <c r="J539" s="944"/>
      <c r="K539" s="944"/>
      <c r="L539" s="944"/>
    </row>
    <row r="540" spans="1:23" ht="15" customHeight="1">
      <c r="A540" s="1538"/>
      <c r="B540" s="1143"/>
      <c r="C540" s="1143"/>
      <c r="D540" s="1148">
        <f>IFERROR(VLOOKUP($A540,'Liste de prix Public EUROPE'!$B$2267:$E$2274,4,FALSE)*B540*C540,0)</f>
        <v>0</v>
      </c>
      <c r="E540" s="64"/>
      <c r="F540" s="64"/>
      <c r="G540" s="64"/>
      <c r="H540" s="64"/>
      <c r="I540" s="404"/>
      <c r="J540" s="944"/>
      <c r="K540" s="944"/>
      <c r="L540" s="944"/>
    </row>
    <row r="541" spans="1:23" ht="15" customHeight="1">
      <c r="A541" s="1538"/>
      <c r="B541" s="1143"/>
      <c r="C541" s="1143"/>
      <c r="D541" s="1148">
        <f>IFERROR(VLOOKUP($A541,'Liste de prix Public EUROPE'!$B$2267:$E$2274,4,FALSE)*B541*C541,0)</f>
        <v>0</v>
      </c>
      <c r="E541" s="64"/>
      <c r="F541" s="64"/>
      <c r="G541" s="64"/>
      <c r="H541" s="64"/>
      <c r="I541" s="404"/>
      <c r="J541" s="944"/>
      <c r="K541" s="944"/>
      <c r="L541" s="944"/>
    </row>
    <row r="542" spans="1:23" ht="15" customHeight="1">
      <c r="A542" s="1538"/>
      <c r="B542" s="1143"/>
      <c r="C542" s="1143"/>
      <c r="D542" s="1148">
        <f>IFERROR(VLOOKUP($A542,'Liste de prix Public EUROPE'!$B$2267:$E$2274,4,FALSE)*B542*C542,0)</f>
        <v>0</v>
      </c>
      <c r="E542" s="426"/>
      <c r="F542" s="426"/>
      <c r="G542" s="426"/>
      <c r="H542" s="426"/>
      <c r="I542" s="404"/>
      <c r="J542" s="944"/>
      <c r="K542" s="944"/>
      <c r="L542" s="944"/>
    </row>
    <row r="543" spans="1:23" ht="15" customHeight="1">
      <c r="A543" s="1538"/>
      <c r="B543" s="1143"/>
      <c r="C543" s="1143"/>
      <c r="D543" s="1148">
        <f>IFERROR(VLOOKUP($A543,'Liste de prix Public EUROPE'!$B$2267:$E$2274,4,FALSE)*B543*C543,0)</f>
        <v>0</v>
      </c>
      <c r="E543" s="426"/>
      <c r="F543" s="426"/>
      <c r="G543" s="426"/>
      <c r="H543" s="426"/>
      <c r="I543" s="404"/>
      <c r="J543" s="944"/>
      <c r="K543" s="944"/>
      <c r="L543" s="944"/>
    </row>
    <row r="544" spans="1:23" ht="15" customHeight="1">
      <c r="A544" s="1538"/>
      <c r="B544" s="1143"/>
      <c r="C544" s="1143"/>
      <c r="D544" s="1148">
        <f>IFERROR(VLOOKUP($A544,'Liste de prix Public EUROPE'!$B$2267:$E$2274,4,FALSE)*B544*C544,0)</f>
        <v>0</v>
      </c>
      <c r="E544" s="426"/>
      <c r="F544" s="426"/>
      <c r="G544" s="426"/>
      <c r="H544" s="426"/>
      <c r="I544" s="404"/>
      <c r="J544" s="944"/>
      <c r="K544" s="944"/>
      <c r="L544" s="944"/>
    </row>
    <row r="545" spans="1:12" ht="15" customHeight="1">
      <c r="A545" s="1538"/>
      <c r="B545" s="1143"/>
      <c r="C545" s="1143"/>
      <c r="D545" s="1148">
        <f>IFERROR(VLOOKUP($A545,'Liste de prix Public EUROPE'!$B$2267:$E$2274,4,FALSE)*B545*C545,0)</f>
        <v>0</v>
      </c>
      <c r="E545" s="426"/>
      <c r="F545" s="426"/>
      <c r="G545" s="426"/>
      <c r="H545" s="426"/>
      <c r="I545" s="404"/>
      <c r="J545" s="944"/>
      <c r="K545" s="944"/>
      <c r="L545" s="944"/>
    </row>
    <row r="546" spans="1:12" ht="15" customHeight="1">
      <c r="A546" s="1538"/>
      <c r="B546" s="1143"/>
      <c r="C546" s="1143"/>
      <c r="D546" s="1148">
        <f>IFERROR(VLOOKUP($A546,'Liste de prix Public EUROPE'!$B$2267:$E$2274,4,FALSE)*B546*C546,0)</f>
        <v>0</v>
      </c>
      <c r="E546" s="426"/>
      <c r="F546" s="426"/>
      <c r="G546" s="426"/>
      <c r="H546" s="426"/>
      <c r="I546" s="404"/>
      <c r="J546" s="944"/>
      <c r="K546" s="944"/>
      <c r="L546" s="944"/>
    </row>
    <row r="547" spans="1:12" ht="15" customHeight="1">
      <c r="A547" s="1356"/>
      <c r="B547" s="1356"/>
      <c r="C547" s="1146" t="s">
        <v>1523</v>
      </c>
      <c r="D547" s="1619">
        <f>SUM(D539:D546)</f>
        <v>0</v>
      </c>
      <c r="E547" s="426"/>
      <c r="F547" s="426"/>
      <c r="G547" s="426"/>
      <c r="H547" s="426"/>
      <c r="I547" s="404"/>
      <c r="J547" s="944"/>
      <c r="K547" s="944"/>
      <c r="L547" s="944"/>
    </row>
    <row r="548" spans="1:12" ht="15" customHeight="1">
      <c r="A548" s="1356"/>
      <c r="B548" s="1615"/>
      <c r="C548" s="1615"/>
      <c r="D548" s="1161"/>
      <c r="E548" s="426"/>
      <c r="F548" s="426"/>
      <c r="G548" s="426"/>
      <c r="H548" s="426"/>
      <c r="I548" s="404"/>
      <c r="J548" s="944"/>
      <c r="K548" s="944"/>
      <c r="L548" s="944"/>
    </row>
    <row r="549" spans="1:12" ht="15" customHeight="1">
      <c r="A549" s="1532" t="s">
        <v>2363</v>
      </c>
      <c r="B549" s="621" t="s">
        <v>1722</v>
      </c>
      <c r="C549" s="621" t="s">
        <v>2289</v>
      </c>
      <c r="D549" s="621" t="s">
        <v>18</v>
      </c>
      <c r="E549" s="426"/>
      <c r="F549" s="426"/>
      <c r="G549" s="426"/>
      <c r="H549" s="426"/>
      <c r="I549" s="404"/>
      <c r="J549" s="944"/>
      <c r="K549" s="944"/>
      <c r="L549" s="944"/>
    </row>
    <row r="550" spans="1:12" ht="15" customHeight="1">
      <c r="A550" s="1054" t="s">
        <v>49</v>
      </c>
      <c r="B550" s="1143"/>
      <c r="C550" s="1143"/>
      <c r="D550" s="1148">
        <f>IFERROR(VLOOKUP($B$550,'Liste de prix Public EUROPE'!B2278:C2279,2,FALSE)*$C$550,0)</f>
        <v>0</v>
      </c>
      <c r="E550" s="426"/>
      <c r="F550" s="426"/>
      <c r="G550" s="426"/>
      <c r="H550" s="426"/>
      <c r="I550" s="404"/>
      <c r="J550" s="944"/>
      <c r="K550" s="944"/>
      <c r="L550" s="944"/>
    </row>
    <row r="551" spans="1:12" ht="15" customHeight="1">
      <c r="A551" s="1054" t="s">
        <v>2280</v>
      </c>
      <c r="B551" s="1143"/>
      <c r="C551" s="1143"/>
      <c r="D551" s="1148">
        <f>IFERROR(VLOOKUP($B$551,'Liste de prix Public EUROPE'!B2283:C2284,2,FALSE)*$C$551,0)</f>
        <v>0</v>
      </c>
      <c r="E551" s="426"/>
      <c r="F551" s="426"/>
      <c r="G551" s="426"/>
      <c r="H551" s="426"/>
      <c r="I551" s="404"/>
      <c r="J551" s="944"/>
      <c r="K551" s="944"/>
      <c r="L551" s="944"/>
    </row>
    <row r="552" spans="1:12" ht="15" customHeight="1">
      <c r="A552" s="1161"/>
      <c r="B552" s="1161"/>
      <c r="C552" s="1146" t="s">
        <v>1523</v>
      </c>
      <c r="D552" s="1619">
        <f>SUM(D550:D551)</f>
        <v>0</v>
      </c>
      <c r="E552" s="426"/>
      <c r="F552" s="426"/>
      <c r="G552" s="426"/>
      <c r="H552" s="426"/>
      <c r="I552" s="404"/>
      <c r="J552" s="944"/>
      <c r="K552" s="944"/>
      <c r="L552" s="944"/>
    </row>
    <row r="553" spans="1:12" ht="15" customHeight="1">
      <c r="A553" s="1161"/>
      <c r="B553" s="1161"/>
      <c r="C553" s="1161"/>
      <c r="D553" s="1352"/>
      <c r="E553" s="426"/>
      <c r="F553" s="426"/>
      <c r="G553" s="426"/>
      <c r="H553" s="426"/>
      <c r="I553" s="404"/>
      <c r="J553" s="944"/>
      <c r="K553" s="944"/>
      <c r="L553" s="944"/>
    </row>
    <row r="554" spans="1:12" ht="15" customHeight="1">
      <c r="A554" s="1532" t="s">
        <v>2365</v>
      </c>
      <c r="B554" s="1663" t="s">
        <v>2413</v>
      </c>
      <c r="C554" s="368" t="s">
        <v>2353</v>
      </c>
      <c r="D554" s="368" t="s">
        <v>2412</v>
      </c>
      <c r="E554" s="368" t="s">
        <v>2411</v>
      </c>
      <c r="F554" s="368" t="s">
        <v>2410</v>
      </c>
      <c r="G554" s="621" t="s">
        <v>18</v>
      </c>
      <c r="H554" s="426"/>
      <c r="I554" s="404"/>
      <c r="J554" s="944"/>
      <c r="K554" s="944"/>
      <c r="L554" s="944"/>
    </row>
    <row r="555" spans="1:12" ht="15" customHeight="1">
      <c r="A555" s="419"/>
      <c r="B555" s="1664" t="str">
        <f>IFERROR(VLOOKUP(A555,'Liste de prix Public EUROPE'!$B$1303:$C$1351,2,FALSE),"")</f>
        <v/>
      </c>
      <c r="C555" s="415"/>
      <c r="D555" s="1665"/>
      <c r="E555" s="382">
        <f>IFERROR(IF(D555&lt;730,(VLOOKUP(A555,'Liste de prix Public EUROPE'!$B$1303:$H$1351,6,FALSE)*C555*D555),VLOOKUP(A555,'Liste de prix Public EUROPE'!$B$1303:$H$1351,7,FALSE)*C555),0)</f>
        <v>0</v>
      </c>
      <c r="F555" s="382">
        <f>IFERROR(IF(D555&lt;650,VLOOKUP(A555,'Liste de prix Public EUROPE'!$B$9:$H$174,6,FALSE)*C555*D555,VLOOKUP(A555,'Liste de prix Public EUROPE'!$B$9:$H$174,7,FALSE)*C555),0)</f>
        <v>0</v>
      </c>
      <c r="G555" s="382">
        <f>E555+F555</f>
        <v>0</v>
      </c>
      <c r="H555" s="426"/>
      <c r="I555" s="404"/>
      <c r="J555" s="944"/>
      <c r="K555" s="944"/>
      <c r="L555" s="944"/>
    </row>
    <row r="556" spans="1:12" ht="15" customHeight="1">
      <c r="A556" s="419"/>
      <c r="B556" s="1664" t="str">
        <f>IFERROR(VLOOKUP(A556,'Liste de prix Public EUROPE'!$B$1303:$C$1351,2,FALSE),"")</f>
        <v/>
      </c>
      <c r="C556" s="415"/>
      <c r="D556" s="1665"/>
      <c r="E556" s="382">
        <f>IFERROR(IF(D556&lt;730,(VLOOKUP(A556,'Liste de prix Public EUROPE'!$B$1303:$H$1351,6,FALSE)*C556*D556),VLOOKUP(A556,'Liste de prix Public EUROPE'!$B$1303:$H$1351,7,FALSE)*C556),0)</f>
        <v>0</v>
      </c>
      <c r="F556" s="382">
        <f>IFERROR(IF(D556&lt;650,VLOOKUP(A556,'Liste de prix Public EUROPE'!$B$9:$H$174,6,FALSE)*C556*D556,VLOOKUP(A556,'Liste de prix Public EUROPE'!$B$9:$H$174,7,FALSE)*C556),0)</f>
        <v>0</v>
      </c>
      <c r="G556" s="382">
        <f>E556+F556</f>
        <v>0</v>
      </c>
      <c r="H556" s="426"/>
      <c r="I556" s="404"/>
      <c r="J556" s="944"/>
      <c r="K556" s="944"/>
      <c r="L556" s="944"/>
    </row>
    <row r="557" spans="1:12" ht="15" customHeight="1">
      <c r="A557" s="419"/>
      <c r="B557" s="1664" t="str">
        <f>IFERROR(VLOOKUP(A557,'Liste de prix Public EUROPE'!$B$1303:$C$1351,2,FALSE),"")</f>
        <v/>
      </c>
      <c r="C557" s="415"/>
      <c r="D557" s="1665"/>
      <c r="E557" s="382">
        <f>IFERROR(IF(D557&lt;730,(VLOOKUP(A557,'Liste de prix Public EUROPE'!$B$1303:$H$1351,6,FALSE)*C557*D557),VLOOKUP(A557,'Liste de prix Public EUROPE'!$B$1303:$H$1351,7,FALSE)*C557),0)</f>
        <v>0</v>
      </c>
      <c r="F557" s="382">
        <f>IFERROR(IF(D557&lt;650,VLOOKUP(A557,'Liste de prix Public EUROPE'!$B$9:$H$174,6,FALSE)*C557*D557,VLOOKUP(A557,'Liste de prix Public EUROPE'!$B$9:$H$174,7,FALSE)*C557),0)</f>
        <v>0</v>
      </c>
      <c r="G557" s="382">
        <f>E557+F557</f>
        <v>0</v>
      </c>
      <c r="H557" s="426"/>
      <c r="I557" s="404"/>
      <c r="J557" s="944"/>
      <c r="K557" s="944"/>
      <c r="L557" s="944"/>
    </row>
    <row r="558" spans="1:12" ht="15" customHeight="1">
      <c r="A558" s="419"/>
      <c r="B558" s="1664" t="str">
        <f>IFERROR(VLOOKUP(A558,'Liste de prix Public EUROPE'!$B$1303:$C$1351,2,FALSE),"")</f>
        <v/>
      </c>
      <c r="C558" s="415"/>
      <c r="D558" s="1665"/>
      <c r="E558" s="382">
        <f>IFERROR(IF(D558&lt;730,(VLOOKUP(A558,'Liste de prix Public EUROPE'!$B$1303:$H$1351,6,FALSE)*C558*D558),VLOOKUP(A558,'Liste de prix Public EUROPE'!$B$1303:$H$1351,7,FALSE)*C558),0)</f>
        <v>0</v>
      </c>
      <c r="F558" s="382">
        <f>IFERROR(IF(D558&lt;650,VLOOKUP(A558,'Liste de prix Public EUROPE'!$B$9:$H$174,6,FALSE)*C558*D558,VLOOKUP(A558,'Liste de prix Public EUROPE'!$B$9:$H$174,7,FALSE)*C558),0)</f>
        <v>0</v>
      </c>
      <c r="G558" s="382">
        <f>E558+F558</f>
        <v>0</v>
      </c>
      <c r="H558" s="426"/>
      <c r="I558" s="404"/>
      <c r="J558" s="944"/>
      <c r="K558" s="944"/>
      <c r="L558" s="944"/>
    </row>
    <row r="559" spans="1:12" ht="15" customHeight="1">
      <c r="A559" s="1161"/>
      <c r="B559" s="1161"/>
      <c r="C559" s="1161"/>
      <c r="D559" s="1352"/>
      <c r="E559" s="426"/>
      <c r="F559" s="1146" t="s">
        <v>75</v>
      </c>
      <c r="G559" s="1619">
        <f>SUM(G555:G558)</f>
        <v>0</v>
      </c>
      <c r="H559" s="426"/>
      <c r="I559" s="404"/>
      <c r="J559" s="944"/>
      <c r="K559" s="944"/>
      <c r="L559" s="944"/>
    </row>
    <row r="560" spans="1:12" ht="15" customHeight="1">
      <c r="A560" s="1532" t="s">
        <v>2472</v>
      </c>
      <c r="B560" s="368" t="s">
        <v>2412</v>
      </c>
      <c r="C560" s="621" t="s">
        <v>18</v>
      </c>
      <c r="D560" s="1352"/>
      <c r="E560" s="426"/>
      <c r="F560" s="1161"/>
      <c r="G560" s="1352"/>
      <c r="H560" s="426"/>
      <c r="I560" s="404"/>
      <c r="J560" s="944"/>
      <c r="K560" s="944"/>
      <c r="L560" s="944"/>
    </row>
    <row r="561" spans="1:19" ht="15" customHeight="1">
      <c r="A561" s="1665"/>
      <c r="B561" s="1665"/>
      <c r="C561" s="382">
        <f>IFERROR(VLOOKUP(A561,'Liste de prix Public EUROPE'!B2244:C2250,2,FALSE)*B561,0)</f>
        <v>0</v>
      </c>
      <c r="D561" s="1352"/>
      <c r="E561" s="426"/>
      <c r="F561" s="1161"/>
      <c r="G561" s="1352"/>
      <c r="H561" s="426"/>
      <c r="I561" s="404"/>
      <c r="J561" s="944"/>
      <c r="K561" s="944"/>
      <c r="L561" s="944"/>
    </row>
    <row r="562" spans="1:19" ht="15" customHeight="1">
      <c r="A562" s="67"/>
      <c r="B562" s="67"/>
      <c r="C562" s="67"/>
      <c r="D562" s="1352"/>
      <c r="E562" s="426"/>
      <c r="F562" s="1161"/>
      <c r="G562" s="1352"/>
      <c r="H562" s="426"/>
      <c r="I562" s="404"/>
      <c r="J562" s="944"/>
      <c r="K562" s="944"/>
      <c r="L562" s="944"/>
    </row>
    <row r="563" spans="1:19" ht="15" customHeight="1">
      <c r="A563" s="1532" t="s">
        <v>2510</v>
      </c>
      <c r="B563" s="621" t="s">
        <v>90</v>
      </c>
      <c r="C563" s="621" t="s">
        <v>1812</v>
      </c>
      <c r="D563" s="621" t="s">
        <v>18</v>
      </c>
      <c r="E563" s="426"/>
      <c r="F563" s="1161"/>
      <c r="G563" s="1352"/>
      <c r="H563" s="426"/>
      <c r="I563" s="404"/>
      <c r="J563" s="944"/>
      <c r="K563" s="944"/>
      <c r="L563" s="944"/>
    </row>
    <row r="564" spans="1:19" ht="15" customHeight="1">
      <c r="A564" s="1736"/>
      <c r="B564" s="1143"/>
      <c r="C564" s="1143"/>
      <c r="D564" s="1354">
        <f>IFERROR((VLOOKUP(A564,'Liste de prix Public EUROPE'!$B$2261:$C$2263,2,FALSE)*B564*C564),0)</f>
        <v>0</v>
      </c>
      <c r="E564" s="426"/>
      <c r="F564" s="1161"/>
      <c r="G564" s="1352"/>
      <c r="H564" s="426"/>
      <c r="I564" s="404"/>
      <c r="J564" s="944"/>
      <c r="K564" s="944"/>
      <c r="L564" s="944"/>
    </row>
    <row r="565" spans="1:19" ht="15" customHeight="1">
      <c r="A565" s="1736"/>
      <c r="B565" s="1143"/>
      <c r="C565" s="1143"/>
      <c r="D565" s="1354">
        <f>IFERROR((VLOOKUP(A565,'Liste de prix Public EUROPE'!$B$2261:$C$2263,2,FALSE)*B565*C565),0)</f>
        <v>0</v>
      </c>
      <c r="E565" s="426"/>
      <c r="F565" s="1161"/>
      <c r="G565" s="1352"/>
      <c r="H565" s="426"/>
      <c r="I565" s="404"/>
      <c r="J565" s="944"/>
      <c r="K565" s="944"/>
      <c r="L565" s="944"/>
    </row>
    <row r="566" spans="1:19" ht="15" customHeight="1">
      <c r="A566" s="1736"/>
      <c r="B566" s="1143"/>
      <c r="C566" s="1143"/>
      <c r="D566" s="1354">
        <f>IFERROR((VLOOKUP(A566,'Liste de prix Public EUROPE'!$B$2261:$C$2263,2,FALSE)*B566*C566),0)</f>
        <v>0</v>
      </c>
      <c r="E566" s="426"/>
      <c r="F566" s="1161"/>
      <c r="G566" s="1352"/>
      <c r="H566" s="426"/>
      <c r="I566" s="404"/>
      <c r="J566" s="944"/>
      <c r="K566" s="944"/>
      <c r="L566" s="944"/>
    </row>
    <row r="567" spans="1:19" ht="15" customHeight="1">
      <c r="A567" s="64"/>
      <c r="B567" s="64"/>
      <c r="C567" s="1146" t="s">
        <v>1523</v>
      </c>
      <c r="D567" s="1355">
        <f>SUM(D564:D566)</f>
        <v>0</v>
      </c>
      <c r="E567" s="426"/>
      <c r="F567" s="1161"/>
      <c r="G567" s="1352"/>
      <c r="H567" s="426"/>
      <c r="I567" s="404"/>
      <c r="J567" s="944"/>
      <c r="K567" s="944"/>
      <c r="L567" s="944"/>
    </row>
    <row r="568" spans="1:19" ht="15" customHeight="1">
      <c r="A568" s="64"/>
      <c r="B568" s="64"/>
      <c r="C568" s="1161"/>
      <c r="D568" s="1737"/>
      <c r="E568" s="426"/>
      <c r="F568" s="1161"/>
      <c r="G568" s="1352"/>
      <c r="H568" s="426"/>
      <c r="I568" s="404"/>
      <c r="J568" s="944"/>
      <c r="K568" s="944"/>
      <c r="L568" s="944"/>
    </row>
    <row r="569" spans="1:19" ht="23.4">
      <c r="A569" s="352" t="s">
        <v>12</v>
      </c>
      <c r="B569" s="345" t="s">
        <v>1455</v>
      </c>
      <c r="C569" s="344"/>
      <c r="D569" s="344"/>
      <c r="E569" s="344"/>
      <c r="F569" s="344"/>
      <c r="G569" s="344"/>
      <c r="H569" s="344"/>
      <c r="I569" s="348"/>
      <c r="J569" s="944"/>
      <c r="K569" s="944"/>
      <c r="L569" s="944"/>
    </row>
    <row r="570" spans="1:19" ht="23.4">
      <c r="A570" s="394"/>
      <c r="B570" s="353" t="s">
        <v>340</v>
      </c>
      <c r="C570" s="2092" t="s">
        <v>341</v>
      </c>
      <c r="D570" s="2093"/>
      <c r="E570" s="2094"/>
      <c r="F570" s="354" t="s">
        <v>342</v>
      </c>
      <c r="G570" s="847"/>
      <c r="H570" s="847"/>
      <c r="I570" s="408"/>
      <c r="J570" s="944"/>
      <c r="K570" s="944"/>
      <c r="L570" s="944"/>
    </row>
    <row r="571" spans="1:19">
      <c r="A571" s="395" t="s">
        <v>107</v>
      </c>
      <c r="B571" s="504" t="s">
        <v>83</v>
      </c>
      <c r="C571" s="2120">
        <f>IF(B571=V10,'Liste de prix Public EUROPE'!I1285,IF(B571=V12,'Liste de prix Public EUROPE'!I1288,IF(B571=V13,'Liste de prix Public EUROPE'!I1289,IF(B571=V11,'Liste de prix Public EUROPE'!I1287,IF(B571=V14,'Liste de prix Public EUROPE'!I1286,IF(B571=V15,'Liste de prix Public EUROPE'!I1290,"ko"))))))</f>
        <v>0</v>
      </c>
      <c r="D571" s="2121"/>
      <c r="E571" s="2122"/>
      <c r="F571" s="427">
        <f>IF($B$571=$V$11,IF($Y$11&gt;$X$11,"7,5%",$X$11),IF($B$571=$V$12,IF($Y$12&gt;$X$12,"10%",$X$12),IF($B$571=$V$13,IF($Y$13&gt;$X$13,"12%",$X$13),IF($B$571=$V$14,IF($Y$14&gt;$X$14,"5%",$X$14),IF($B$571=$V$15,IF($Y$15&gt;$X$15,"17%",$X$15),0)))))</f>
        <v>0</v>
      </c>
      <c r="G571" s="843"/>
      <c r="H571" s="843"/>
      <c r="I571" s="404"/>
      <c r="J571" s="944"/>
      <c r="K571" s="944"/>
      <c r="L571" s="944"/>
    </row>
    <row r="572" spans="1:19">
      <c r="A572" s="396"/>
      <c r="B572" s="29"/>
      <c r="C572" s="29"/>
      <c r="D572" s="29"/>
      <c r="E572" s="29"/>
      <c r="F572" s="29"/>
      <c r="G572" s="29"/>
      <c r="H572" s="29"/>
      <c r="I572" s="365"/>
      <c r="J572" s="944"/>
      <c r="K572" s="944"/>
      <c r="L572" s="944"/>
    </row>
    <row r="573" spans="1:19" ht="18">
      <c r="A573" s="2112" t="s">
        <v>334</v>
      </c>
      <c r="B573" s="2113"/>
      <c r="C573" s="2113"/>
      <c r="D573" s="2113"/>
      <c r="E573" s="2113"/>
      <c r="F573" s="2113"/>
      <c r="G573" s="834"/>
      <c r="H573" s="1206"/>
      <c r="I573" s="342"/>
      <c r="J573" s="944"/>
      <c r="K573" s="944"/>
      <c r="L573" s="944"/>
    </row>
    <row r="574" spans="1:19">
      <c r="A574" s="1731" t="s">
        <v>2549</v>
      </c>
      <c r="B574" s="319">
        <f>B6</f>
        <v>0</v>
      </c>
      <c r="C574" s="356" t="s">
        <v>336</v>
      </c>
      <c r="D574" s="173"/>
      <c r="E574" s="2114" t="s">
        <v>2552</v>
      </c>
      <c r="F574" s="2114"/>
      <c r="G574" s="835"/>
      <c r="H574" s="1207"/>
      <c r="I574" s="403">
        <f>I6</f>
        <v>0</v>
      </c>
      <c r="J574" s="944"/>
      <c r="K574" s="944"/>
      <c r="L574" s="944"/>
    </row>
    <row r="575" spans="1:19">
      <c r="A575" s="557" t="s">
        <v>2550</v>
      </c>
      <c r="B575" s="358">
        <f t="shared" ref="B575:B580" si="7">B7</f>
        <v>0</v>
      </c>
      <c r="C575" s="173"/>
      <c r="D575" s="173"/>
      <c r="E575" s="359" t="s">
        <v>76</v>
      </c>
      <c r="F575" s="357"/>
      <c r="G575" s="357"/>
      <c r="H575" s="357"/>
      <c r="I575" s="403">
        <f>I7</f>
        <v>0</v>
      </c>
      <c r="J575" s="947"/>
      <c r="K575" s="947"/>
      <c r="L575" s="947"/>
      <c r="M575" s="946"/>
      <c r="N575" s="946"/>
      <c r="O575" s="946"/>
      <c r="P575" s="946"/>
      <c r="Q575" s="946"/>
      <c r="R575" s="946"/>
      <c r="S575" s="946"/>
    </row>
    <row r="576" spans="1:19">
      <c r="A576" s="1731" t="s">
        <v>2551</v>
      </c>
      <c r="B576" s="358">
        <f t="shared" si="7"/>
        <v>0</v>
      </c>
      <c r="C576" s="173"/>
      <c r="D576" s="173"/>
      <c r="E576" s="173"/>
      <c r="F576" s="173"/>
      <c r="G576" s="173"/>
      <c r="H576" s="173"/>
      <c r="I576" s="404"/>
      <c r="J576" s="947"/>
      <c r="K576" s="947"/>
      <c r="L576" s="947"/>
      <c r="M576" s="946"/>
      <c r="N576" s="946"/>
      <c r="O576" s="946"/>
      <c r="P576" s="946"/>
      <c r="Q576" s="946"/>
      <c r="R576" s="946"/>
      <c r="S576" s="946"/>
    </row>
    <row r="577" spans="1:19">
      <c r="A577" s="1731" t="s">
        <v>303</v>
      </c>
      <c r="B577" s="358">
        <f t="shared" si="7"/>
        <v>0</v>
      </c>
      <c r="C577" s="173"/>
      <c r="D577" s="173"/>
      <c r="E577" s="173"/>
      <c r="F577" s="173"/>
      <c r="G577" s="173"/>
      <c r="H577" s="173"/>
      <c r="I577" s="404"/>
      <c r="J577" s="947"/>
      <c r="K577" s="947"/>
      <c r="L577" s="947"/>
      <c r="M577" s="946"/>
      <c r="N577" s="946"/>
      <c r="O577" s="946"/>
      <c r="P577" s="946"/>
      <c r="Q577" s="946"/>
      <c r="R577" s="946"/>
      <c r="S577" s="946"/>
    </row>
    <row r="578" spans="1:19">
      <c r="A578" s="2245"/>
      <c r="B578" s="2246"/>
      <c r="C578" s="173"/>
      <c r="D578" s="173"/>
      <c r="E578" s="173"/>
      <c r="F578" s="173"/>
      <c r="G578" s="173"/>
      <c r="H578" s="173"/>
      <c r="I578" s="404"/>
      <c r="J578" s="947"/>
      <c r="K578" s="947"/>
      <c r="L578" s="947"/>
      <c r="M578" s="946"/>
      <c r="N578" s="946"/>
      <c r="O578" s="946"/>
      <c r="P578" s="946"/>
      <c r="Q578" s="946"/>
      <c r="R578" s="946"/>
      <c r="S578" s="946"/>
    </row>
    <row r="579" spans="1:19" ht="12.75" hidden="1" customHeight="1">
      <c r="A579" s="2242" t="s">
        <v>299</v>
      </c>
      <c r="B579" s="2247">
        <f>B11</f>
        <v>0</v>
      </c>
      <c r="C579" s="47"/>
      <c r="D579" s="162"/>
      <c r="E579" s="162"/>
      <c r="F579" s="162"/>
      <c r="G579" s="162"/>
      <c r="H579" s="162"/>
      <c r="I579" s="404"/>
      <c r="J579" s="944"/>
      <c r="K579" s="944"/>
      <c r="L579" s="944"/>
    </row>
    <row r="580" spans="1:19" ht="12.45" hidden="1" customHeight="1">
      <c r="A580" s="2242" t="s">
        <v>298</v>
      </c>
      <c r="B580" s="2247">
        <f t="shared" si="7"/>
        <v>0</v>
      </c>
      <c r="C580" s="47"/>
      <c r="D580" s="162"/>
      <c r="E580" s="328"/>
      <c r="F580" s="162"/>
      <c r="G580" s="162"/>
      <c r="H580" s="162"/>
      <c r="I580" s="404"/>
      <c r="J580" s="944"/>
      <c r="K580" s="944"/>
      <c r="L580" s="944"/>
    </row>
    <row r="581" spans="1:19" ht="15" thickBot="1">
      <c r="A581" s="1732"/>
      <c r="B581" s="1733"/>
      <c r="C581" s="409"/>
      <c r="D581" s="410"/>
      <c r="E581" s="411"/>
      <c r="F581" s="410"/>
      <c r="G581" s="844"/>
      <c r="H581" s="844"/>
      <c r="I581" s="412"/>
      <c r="J581" s="944"/>
      <c r="K581" s="944"/>
      <c r="L581" s="944"/>
    </row>
    <row r="582" spans="1:19">
      <c r="A582" s="366"/>
      <c r="B582" s="322"/>
      <c r="C582" s="47"/>
      <c r="D582" s="162"/>
      <c r="E582" s="328"/>
      <c r="F582" s="162"/>
      <c r="G582" s="162"/>
      <c r="H582" s="162"/>
      <c r="I582" s="998"/>
      <c r="J582" s="944"/>
      <c r="K582" s="944"/>
      <c r="L582" s="944"/>
    </row>
    <row r="583" spans="1:19" ht="18">
      <c r="A583" s="2123" t="s">
        <v>331</v>
      </c>
      <c r="B583" s="2124"/>
      <c r="C583" s="2124"/>
      <c r="D583" s="2124"/>
      <c r="E583" s="2124"/>
      <c r="F583" s="2124"/>
      <c r="G583" s="836"/>
      <c r="H583" s="1208"/>
      <c r="I583" s="999"/>
      <c r="J583" s="944"/>
      <c r="K583" s="944"/>
      <c r="L583" s="944"/>
    </row>
    <row r="584" spans="1:19">
      <c r="A584" s="366"/>
      <c r="B584" s="322"/>
      <c r="C584" s="47"/>
      <c r="D584" s="162"/>
      <c r="E584" s="328"/>
      <c r="F584" s="162"/>
      <c r="G584" s="162"/>
      <c r="H584" s="162"/>
      <c r="I584" s="404"/>
      <c r="J584" s="944"/>
      <c r="K584" s="944"/>
      <c r="L584" s="944"/>
    </row>
    <row r="585" spans="1:19">
      <c r="A585" s="2099" t="s">
        <v>94</v>
      </c>
      <c r="B585" s="2100"/>
      <c r="C585" s="368" t="s">
        <v>18</v>
      </c>
      <c r="D585" s="173"/>
      <c r="E585" s="173"/>
      <c r="F585" s="173"/>
      <c r="G585" s="173"/>
      <c r="H585" s="173"/>
      <c r="I585" s="99"/>
      <c r="J585" s="944"/>
      <c r="K585" s="944"/>
      <c r="L585" s="944"/>
    </row>
    <row r="586" spans="1:19">
      <c r="A586" s="369" t="s">
        <v>93</v>
      </c>
      <c r="B586" s="419"/>
      <c r="C586" s="381">
        <f>$B$586*'Liste de prix Public EUROPE'!$E$1134*(100%-B5)</f>
        <v>0</v>
      </c>
      <c r="D586" s="173"/>
      <c r="E586" s="173"/>
      <c r="F586" s="173"/>
      <c r="G586" s="173"/>
      <c r="H586" s="173"/>
      <c r="I586" s="99"/>
    </row>
    <row r="587" spans="1:19">
      <c r="A587" s="369" t="s">
        <v>99</v>
      </c>
      <c r="B587" s="421"/>
      <c r="C587" s="2125">
        <f>$B$589*'Liste de prix Public EUROPE'!$E$1134*(100%-B5)</f>
        <v>0</v>
      </c>
      <c r="D587" s="173"/>
      <c r="E587" s="173"/>
      <c r="F587" s="173"/>
      <c r="G587" s="173"/>
      <c r="H587" s="173"/>
      <c r="I587" s="99"/>
    </row>
    <row r="588" spans="1:19">
      <c r="A588" s="369" t="s">
        <v>96</v>
      </c>
      <c r="B588" s="416">
        <v>0.15</v>
      </c>
      <c r="C588" s="2125"/>
      <c r="D588" s="173"/>
      <c r="E588" s="173"/>
      <c r="F588" s="173"/>
      <c r="G588" s="173"/>
      <c r="H588" s="173"/>
      <c r="I588" s="99"/>
    </row>
    <row r="589" spans="1:19">
      <c r="A589" s="369" t="s">
        <v>97</v>
      </c>
      <c r="B589" s="398">
        <f>B587*30*24*3600*B588/8/1000</f>
        <v>0</v>
      </c>
      <c r="C589" s="2125"/>
      <c r="D589" s="173"/>
      <c r="E589" s="173"/>
      <c r="F589" s="173"/>
      <c r="G589" s="173"/>
      <c r="H589" s="173"/>
      <c r="I589" s="99"/>
    </row>
    <row r="590" spans="1:19">
      <c r="A590" s="363"/>
      <c r="B590" s="173"/>
      <c r="C590" s="173"/>
      <c r="D590" s="173"/>
      <c r="E590" s="173"/>
      <c r="F590" s="173"/>
      <c r="G590" s="173"/>
      <c r="H590" s="173"/>
      <c r="I590" s="99"/>
    </row>
    <row r="591" spans="1:19">
      <c r="A591" s="2118" t="s">
        <v>70</v>
      </c>
      <c r="B591" s="2118"/>
      <c r="C591" s="2118"/>
      <c r="D591" s="2118"/>
      <c r="E591" s="173"/>
      <c r="F591" s="173"/>
      <c r="G591" s="173"/>
      <c r="H591" s="173"/>
      <c r="I591" s="365"/>
    </row>
    <row r="592" spans="1:19">
      <c r="A592" s="414" t="s">
        <v>68</v>
      </c>
      <c r="B592" s="397">
        <v>5</v>
      </c>
      <c r="C592" s="399"/>
      <c r="D592" s="400"/>
      <c r="E592" s="173"/>
      <c r="F592" s="173"/>
      <c r="G592" s="173"/>
      <c r="H592" s="173"/>
      <c r="I592" s="365"/>
    </row>
    <row r="593" spans="1:9">
      <c r="A593" s="414" t="s">
        <v>69</v>
      </c>
      <c r="B593" s="380">
        <v>100</v>
      </c>
      <c r="C593" s="168"/>
      <c r="D593" s="169"/>
      <c r="E593" s="173"/>
      <c r="F593" s="173"/>
      <c r="G593" s="173"/>
      <c r="H593" s="173"/>
      <c r="I593" s="365"/>
    </row>
    <row r="594" spans="1:9">
      <c r="A594" s="414" t="s">
        <v>95</v>
      </c>
      <c r="B594" s="401">
        <f>B593*1024/(B592/8)</f>
        <v>163840</v>
      </c>
      <c r="C594" s="2117" t="str">
        <f>INT(B594/86400)&amp;"j "&amp;INT(MOD(B594,86400)/3600)&amp;"h "&amp;INT(MOD(B594,3600)/60)&amp;"m "&amp;MOD(B594,60)&amp;"s"</f>
        <v>1j 21h 30m 40s</v>
      </c>
      <c r="D594" s="2117"/>
      <c r="E594" s="173"/>
      <c r="F594" s="173"/>
      <c r="G594" s="173"/>
      <c r="H594" s="173"/>
      <c r="I594" s="365"/>
    </row>
    <row r="595" spans="1:9">
      <c r="A595" s="173"/>
      <c r="B595" s="173"/>
      <c r="C595" s="173"/>
      <c r="D595" s="173"/>
      <c r="E595" s="173"/>
      <c r="F595" s="173"/>
      <c r="G595" s="173"/>
      <c r="H595" s="173"/>
      <c r="I595" s="99"/>
    </row>
    <row r="596" spans="1:9">
      <c r="A596" s="626" t="s">
        <v>740</v>
      </c>
      <c r="B596" s="173"/>
      <c r="C596" s="173"/>
      <c r="D596" s="173"/>
      <c r="E596" s="173"/>
      <c r="F596" s="173"/>
      <c r="G596" s="173"/>
      <c r="H596" s="173"/>
      <c r="I596" s="99"/>
    </row>
    <row r="597" spans="1:9">
      <c r="A597" s="173"/>
      <c r="B597" s="173"/>
      <c r="C597" s="173"/>
      <c r="D597" s="173"/>
      <c r="E597" s="173"/>
      <c r="F597" s="173"/>
      <c r="G597" s="173"/>
      <c r="H597" s="173"/>
      <c r="I597" s="99"/>
    </row>
    <row r="598" spans="1:9">
      <c r="A598" s="173"/>
      <c r="B598" s="173"/>
      <c r="C598" s="173"/>
      <c r="D598" s="173"/>
      <c r="E598" s="173"/>
      <c r="F598" s="173"/>
      <c r="G598" s="173"/>
      <c r="H598" s="173"/>
      <c r="I598" s="99"/>
    </row>
    <row r="599" spans="1:9">
      <c r="A599" s="173"/>
      <c r="B599" s="173"/>
      <c r="C599" s="173"/>
      <c r="D599" s="173"/>
      <c r="E599" s="173"/>
      <c r="F599" s="173"/>
      <c r="G599" s="173"/>
      <c r="H599" s="173"/>
      <c r="I599" s="99"/>
    </row>
    <row r="600" spans="1:9">
      <c r="A600" s="173"/>
      <c r="B600" s="173"/>
      <c r="C600" s="173"/>
      <c r="D600" s="173"/>
      <c r="E600" s="173"/>
      <c r="F600" s="173"/>
      <c r="G600" s="173"/>
      <c r="H600" s="173"/>
      <c r="I600" s="99"/>
    </row>
    <row r="601" spans="1:9">
      <c r="A601" s="173"/>
      <c r="B601" s="173"/>
      <c r="C601" s="173"/>
      <c r="D601" s="173"/>
      <c r="E601" s="173"/>
      <c r="F601" s="173"/>
      <c r="G601" s="173"/>
      <c r="H601" s="173"/>
      <c r="I601" s="99"/>
    </row>
    <row r="602" spans="1:9">
      <c r="A602" s="171"/>
      <c r="B602" s="171"/>
      <c r="C602" s="171"/>
      <c r="D602" s="171"/>
      <c r="E602" s="171"/>
      <c r="F602" s="171"/>
      <c r="G602" s="334"/>
      <c r="H602" s="334"/>
      <c r="I602" s="99"/>
    </row>
    <row r="603" spans="1:9">
      <c r="A603" s="171"/>
      <c r="B603" s="171"/>
      <c r="C603" s="171"/>
      <c r="D603" s="171"/>
      <c r="E603" s="171"/>
      <c r="F603" s="171"/>
      <c r="G603" s="334"/>
      <c r="H603" s="334"/>
      <c r="I603" s="99"/>
    </row>
    <row r="604" spans="1:9">
      <c r="A604" s="171"/>
      <c r="B604" s="171"/>
      <c r="C604" s="171"/>
      <c r="D604" s="171"/>
      <c r="E604" s="171"/>
      <c r="F604" s="171"/>
      <c r="G604" s="334"/>
      <c r="H604" s="334"/>
      <c r="I604" s="99"/>
    </row>
    <row r="605" spans="1:9">
      <c r="A605" s="171"/>
      <c r="B605" s="171"/>
      <c r="C605" s="171"/>
      <c r="D605" s="171"/>
      <c r="E605" s="171"/>
      <c r="F605" s="171"/>
      <c r="G605" s="334"/>
      <c r="H605" s="334"/>
      <c r="I605" s="99"/>
    </row>
    <row r="606" spans="1:9">
      <c r="A606" s="171"/>
      <c r="B606" s="171"/>
      <c r="C606" s="171"/>
      <c r="D606" s="171"/>
      <c r="E606" s="171"/>
      <c r="F606" s="171"/>
      <c r="G606" s="334"/>
      <c r="H606" s="334"/>
      <c r="I606" s="99"/>
    </row>
    <row r="607" spans="1:9" ht="15" thickBot="1">
      <c r="A607" s="848"/>
      <c r="B607" s="848"/>
      <c r="C607" s="848"/>
      <c r="D607" s="848"/>
      <c r="E607" s="848"/>
      <c r="F607" s="848"/>
      <c r="G607" s="848"/>
      <c r="H607" s="848"/>
      <c r="I607" s="807"/>
    </row>
  </sheetData>
  <sheetProtection algorithmName="SHA-512" hashValue="EIoUWLAfEOfmFGidNoNHpyxi/EfxRU8Phqp8UiibXmAdf/7e17LPHqmXceYCDliDU3PzuUsvgCZatuKZHlUfKQ==" saltValue="vV6lnVWSjrpuPUoLxxF+/A==" spinCount="100000" sheet="1" selectLockedCells="1"/>
  <mergeCells count="57">
    <mergeCell ref="D206:E206"/>
    <mergeCell ref="A205:B205"/>
    <mergeCell ref="A380:I380"/>
    <mergeCell ref="A402:I402"/>
    <mergeCell ref="A275:B275"/>
    <mergeCell ref="A269:B269"/>
    <mergeCell ref="A200:B200"/>
    <mergeCell ref="A211:B211"/>
    <mergeCell ref="A222:B222"/>
    <mergeCell ref="A272:B272"/>
    <mergeCell ref="A266:B266"/>
    <mergeCell ref="C594:D594"/>
    <mergeCell ref="A591:D591"/>
    <mergeCell ref="A292:B292"/>
    <mergeCell ref="A585:B585"/>
    <mergeCell ref="C571:E571"/>
    <mergeCell ref="A573:F573"/>
    <mergeCell ref="E574:F574"/>
    <mergeCell ref="A583:F583"/>
    <mergeCell ref="A355:B355"/>
    <mergeCell ref="C587:C589"/>
    <mergeCell ref="A361:B361"/>
    <mergeCell ref="A517:B517"/>
    <mergeCell ref="A310:B310"/>
    <mergeCell ref="A172:B172"/>
    <mergeCell ref="A1:I1"/>
    <mergeCell ref="A2:I2"/>
    <mergeCell ref="A4:F4"/>
    <mergeCell ref="E6:F6"/>
    <mergeCell ref="A15:B15"/>
    <mergeCell ref="D123:E123"/>
    <mergeCell ref="D124:E124"/>
    <mergeCell ref="D128:E128"/>
    <mergeCell ref="AG23:AI23"/>
    <mergeCell ref="AG24:AI24"/>
    <mergeCell ref="V189:V191"/>
    <mergeCell ref="V192:V194"/>
    <mergeCell ref="C570:E570"/>
    <mergeCell ref="D53:E53"/>
    <mergeCell ref="D52:E52"/>
    <mergeCell ref="D51:E51"/>
    <mergeCell ref="B192:C192"/>
    <mergeCell ref="A194:B194"/>
    <mergeCell ref="B197:C197"/>
    <mergeCell ref="A185:B185"/>
    <mergeCell ref="A190:B190"/>
    <mergeCell ref="A154:B154"/>
    <mergeCell ref="A162:B162"/>
    <mergeCell ref="D212:E212"/>
    <mergeCell ref="V195:V197"/>
    <mergeCell ref="AE12:AE15"/>
    <mergeCell ref="AE16:AE19"/>
    <mergeCell ref="D125:E125"/>
    <mergeCell ref="D126:E126"/>
    <mergeCell ref="D127:E127"/>
    <mergeCell ref="K128:P128"/>
    <mergeCell ref="K165:P165"/>
  </mergeCells>
  <phoneticPr fontId="18" type="noConversion"/>
  <dataValidations count="46">
    <dataValidation type="list" allowBlank="1" showInputMessage="1" showErrorMessage="1" sqref="D35 G75:H75 D75 G98 D120 D98 G120" xr:uid="{00000000-0002-0000-0300-000000000000}">
      <formula1>$V$19:$V$22</formula1>
    </dataValidation>
    <dataValidation type="list" allowBlank="1" showInputMessage="1" showErrorMessage="1" sqref="D374:D377" xr:uid="{00000000-0002-0000-0300-000001000000}">
      <formula1>$V$99:$V$100</formula1>
    </dataValidation>
    <dataValidation type="list" allowBlank="1" showInputMessage="1" showErrorMessage="1" sqref="E374:E377" xr:uid="{00000000-0002-0000-0300-000002000000}">
      <formula1>$V$154</formula1>
    </dataValidation>
    <dataValidation type="list" allowBlank="1" showInputMessage="1" showErrorMessage="1" sqref="A533" xr:uid="{00000000-0002-0000-0300-000003000000}">
      <formula1>$R$480:$R$482</formula1>
    </dataValidation>
    <dataValidation type="whole" operator="greaterThanOrEqual" allowBlank="1" showInputMessage="1" showErrorMessage="1" sqref="B41:B43 B132:B133" xr:uid="{00000000-0002-0000-0300-000004000000}">
      <formula1>4</formula1>
    </dataValidation>
    <dataValidation type="list" allowBlank="1" showInputMessage="1" showErrorMessage="1" sqref="D137:D138" xr:uid="{00000000-0002-0000-0300-000009000000}">
      <formula1>$Z$137</formula1>
    </dataValidation>
    <dataValidation type="list" allowBlank="1" showInputMessage="1" showErrorMessage="1" sqref="AF24" xr:uid="{00000000-0002-0000-0300-00000A000000}">
      <formula1>$AE$10:$AE$20</formula1>
    </dataValidation>
    <dataValidation type="list" allowBlank="1" showInputMessage="1" showErrorMessage="1" sqref="D57:D74" xr:uid="{00000000-0002-0000-0300-00000D000000}">
      <formula1>$V$103:$V$107</formula1>
    </dataValidation>
    <dataValidation type="list" allowBlank="1" showInputMessage="1" showErrorMessage="1" sqref="C57:C74" xr:uid="{00000000-0002-0000-0300-00000F000000}">
      <formula1>$V$83</formula1>
    </dataValidation>
    <dataValidation type="list" allowBlank="1" showInputMessage="1" showErrorMessage="1" sqref="A445:A448 A438:A441" xr:uid="{00000000-0002-0000-0300-000010000000}">
      <formula1>$R$422:$R$438</formula1>
    </dataValidation>
    <dataValidation type="list" allowBlank="1" showInputMessage="1" showErrorMessage="1" sqref="C445:C448" xr:uid="{00000000-0002-0000-0300-000011000000}">
      <formula1>$V$422:$V$427</formula1>
    </dataValidation>
    <dataValidation type="list" allowBlank="1" showInputMessage="1" showErrorMessage="1" sqref="D412:D415" xr:uid="{00000000-0002-0000-0300-000012000000}">
      <formula1>$T$408:$T$410</formula1>
    </dataValidation>
    <dataValidation type="list" allowBlank="1" showInputMessage="1" showErrorMessage="1" sqref="D419:D422" xr:uid="{00000000-0002-0000-0300-000013000000}">
      <formula1>$T$411:$T$420</formula1>
    </dataValidation>
    <dataValidation type="list" allowBlank="1" showInputMessage="1" showErrorMessage="1" sqref="D426:D429" xr:uid="{00000000-0002-0000-0300-000014000000}">
      <formula1>$T$422:$T$423</formula1>
    </dataValidation>
    <dataValidation type="list" allowBlank="1" showInputMessage="1" showErrorMessage="1" sqref="C280" xr:uid="{00000000-0002-0000-0300-000017000000}">
      <formula1>$L$278:$L$280</formula1>
    </dataValidation>
    <dataValidation type="list" allowBlank="1" showInputMessage="1" showErrorMessage="1" sqref="C124:C128" xr:uid="{00000000-0002-0000-0300-00001A000000}">
      <formula1>$X$126:$X$129</formula1>
    </dataValidation>
    <dataValidation type="list" allowBlank="1" showInputMessage="1" showErrorMessage="1" sqref="D19:D34 D102:D119 D80:D97" xr:uid="{00000000-0002-0000-0300-00001E000000}">
      <formula1>$V$19:$V$24</formula1>
    </dataValidation>
    <dataValidation type="whole" allowBlank="1" showInputMessage="1" showErrorMessage="1" sqref="B346 D346" xr:uid="{00000000-0002-0000-0300-00001F000000}">
      <formula1>2</formula1>
      <formula2>32</formula2>
    </dataValidation>
    <dataValidation type="list" allowBlank="1" showInputMessage="1" showErrorMessage="1" sqref="B179" xr:uid="{00000000-0002-0000-0300-000022000000}">
      <formula1>$K$144:$K$146</formula1>
    </dataValidation>
    <dataValidation type="list" allowBlank="1" showInputMessage="1" showErrorMessage="1" sqref="C179" xr:uid="{00000000-0002-0000-0300-000023000000}">
      <formula1>$L$144:$L$149</formula1>
    </dataValidation>
    <dataValidation type="list" allowBlank="1" showInputMessage="1" showErrorMessage="1" sqref="C183" xr:uid="{00000000-0002-0000-0300-000024000000}">
      <formula1>$K$179:$K$182</formula1>
    </dataValidation>
    <dataValidation type="list" allowBlank="1" showInputMessage="1" showErrorMessage="1" sqref="C102" xr:uid="{00000000-0002-0000-0300-000025000000}">
      <formula1>$R$26:$R$33</formula1>
    </dataValidation>
    <dataValidation type="list" allowBlank="1" showInputMessage="1" showErrorMessage="1" sqref="A132:A133" xr:uid="{00000000-0002-0000-0300-000027000000}">
      <formula1>$X$132</formula1>
    </dataValidation>
    <dataValidation type="list" allowBlank="1" showInputMessage="1" showErrorMessage="1" sqref="D47:D48" xr:uid="{00000000-0002-0000-0300-00002A000000}">
      <formula1>$W$48:$W$48</formula1>
    </dataValidation>
    <dataValidation type="list" allowBlank="1" showInputMessage="1" showErrorMessage="1" sqref="D383:D384" xr:uid="{00000000-0002-0000-0300-00002B000000}">
      <formula1>$M$399</formula1>
    </dataValidation>
    <dataValidation type="whole" operator="lessThanOrEqual" allowBlank="1" showInputMessage="1" showErrorMessage="1" sqref="C382:C384" xr:uid="{00000000-0002-0000-0300-00002C000000}">
      <formula1>100</formula1>
    </dataValidation>
    <dataValidation type="list" allowBlank="1" showInputMessage="1" showErrorMessage="1" sqref="D382" xr:uid="{00000000-0002-0000-0300-00002F000000}">
      <formula1>$M$398:$M$399</formula1>
    </dataValidation>
    <dataValidation type="list" allowBlank="1" showInputMessage="1" showErrorMessage="1" sqref="B388:B390" xr:uid="{46F033FD-BF2D-47CD-8A82-30D279878ED7}">
      <formula1>$L$374:$L$385</formula1>
    </dataValidation>
    <dataValidation type="list" allowBlank="1" showInputMessage="1" showErrorMessage="1" sqref="C388:C390" xr:uid="{19040A89-87E4-4D5F-A30D-63425ADCEF6D}">
      <formula1>$N$374:$N$397</formula1>
    </dataValidation>
    <dataValidation type="list" allowBlank="1" showInputMessage="1" showErrorMessage="1" sqref="B394:B396" xr:uid="{1DF45466-915E-49BC-9CCE-79E2D1CBE8E1}">
      <formula1>$P$374:$P$383</formula1>
    </dataValidation>
    <dataValidation type="list" allowBlank="1" showInputMessage="1" showErrorMessage="1" sqref="C103:C119" xr:uid="{D3170340-C5C6-4AE8-A45D-EB54E14171DD}">
      <formula1>$R$27:$R$32</formula1>
    </dataValidation>
    <dataValidation type="list" allowBlank="1" showInputMessage="1" showErrorMessage="1" sqref="B10" xr:uid="{00000000-0002-0000-0300-000018000000}">
      <formula1>$V$11:$V$17</formula1>
    </dataValidation>
    <dataValidation type="list" allowBlank="1" showInputMessage="1" showErrorMessage="1" sqref="B5" xr:uid="{00000000-0002-0000-0300-000019000000}">
      <formula1>$U$10:$U$19</formula1>
    </dataValidation>
    <dataValidation type="whole" operator="greaterThanOrEqual" allowBlank="1" showInputMessage="1" showErrorMessage="1" sqref="B202:B203" xr:uid="{6CED1F94-5FB3-4965-8AE6-BB2A0C561FD4}">
      <formula1>500</formula1>
    </dataValidation>
    <dataValidation type="list" allowBlank="1" showInputMessage="1" showErrorMessage="1" sqref="C132:C133 C137:C138" xr:uid="{00000000-0002-0000-0300-000008000000}">
      <formula1>$S$132:$S$137</formula1>
    </dataValidation>
    <dataValidation type="list" allowBlank="1" showInputMessage="1" showErrorMessage="1" sqref="C80:C97" xr:uid="{A4C72B0F-B719-4CA7-A04F-3012A3F5C067}">
      <formula1>$R$25:$R$33</formula1>
    </dataValidation>
    <dataValidation type="list" allowBlank="1" showInputMessage="1" showErrorMessage="1" sqref="F319:F322 F327:F329 G333:G336" xr:uid="{00000000-0002-0000-0300-000021000000}">
      <formula1>$R$297:$R$299</formula1>
    </dataValidation>
    <dataValidation type="list" allowBlank="1" showInputMessage="1" showErrorMessage="1" sqref="E319:E322" xr:uid="{00000000-0002-0000-0300-00001C000000}">
      <formula1>$T$297:$T$301</formula1>
    </dataValidation>
    <dataValidation type="list" allowBlank="1" showInputMessage="1" showErrorMessage="1" sqref="A320:A322" xr:uid="{00000000-0002-0000-0300-000030000000}">
      <formula1>$M$281:$M$323</formula1>
    </dataValidation>
    <dataValidation type="list" allowBlank="1" showInputMessage="1" showErrorMessage="1" sqref="A319 B327:B329 B334:B336" xr:uid="{C99F8B2D-0FB4-460A-A41F-A12CFC639824}">
      <formula1>$M$281:$M$310</formula1>
    </dataValidation>
    <dataValidation type="list" allowBlank="1" showInputMessage="1" showErrorMessage="1" sqref="A326:A329" xr:uid="{98E6E724-3D65-4F88-8209-A65CC9411E71}">
      <formula1>$K$325:$K$326</formula1>
    </dataValidation>
    <dataValidation type="list" allowBlank="1" showInputMessage="1" showErrorMessage="1" sqref="B326 B333" xr:uid="{9DFD4ADB-8C2D-4F6B-B1B3-825C9BE914D7}">
      <formula1>$M$280:$M$310</formula1>
    </dataValidation>
    <dataValidation type="list" allowBlank="1" showInputMessage="1" showErrorMessage="1" sqref="D326:D329 D333:D336" xr:uid="{77F93333-DC7F-413F-AA29-5D938A76ED15}">
      <formula1>$L$325:$L$327</formula1>
    </dataValidation>
    <dataValidation type="list" allowBlank="1" showInputMessage="1" showErrorMessage="1" sqref="A333:A336" xr:uid="{117304E1-B73E-493B-B11E-156A935CB315}">
      <formula1>$K$327:$K$329</formula1>
    </dataValidation>
    <dataValidation type="list" allowBlank="1" showInputMessage="1" showErrorMessage="1" sqref="F326" xr:uid="{C34A5DE4-0E2B-4B9E-832A-79056EEEDEAD}">
      <formula1>$M$325:$M$327</formula1>
    </dataValidation>
    <dataValidation type="list" allowBlank="1" showInputMessage="1" showErrorMessage="1" sqref="E333:E336 H333:H336" xr:uid="{F12AC858-948F-4EF6-B99A-2B90DA67EF9B}">
      <formula1>$K$331:$K$332</formula1>
    </dataValidation>
  </dataValidations>
  <pageMargins left="0.70866141732283472" right="0.70866141732283472" top="0.74803149606299213" bottom="0.74803149606299213" header="0.31496062992125984" footer="0.31496062992125984"/>
  <pageSetup paperSize="9" scale="21" orientation="portrait" r:id="rId1"/>
  <headerFooter>
    <oddHeader>&amp;CFlexible Engine Quoting</oddHeader>
    <oddFooter>&amp;C_x000D_&amp;1#&amp;"Helvetica 75 Bold"&amp;8&amp;KED7D31 Orange Restricted</oddFooter>
  </headerFooter>
  <customProperties>
    <customPr name="Guid" r:id="rId2"/>
  </customProperties>
  <ignoredErrors>
    <ignoredError sqref="I574" evalError="1"/>
  </ignoredErrors>
  <drawing r:id="rId3"/>
  <legacyDrawing r:id="rId4"/>
  <extLst>
    <ext xmlns:x14="http://schemas.microsoft.com/office/spreadsheetml/2009/9/main" uri="{CCE6A557-97BC-4b89-ADB6-D9C93CAAB3DF}">
      <x14:dataValidations xmlns:xm="http://schemas.microsoft.com/office/excel/2006/main" count="48">
        <x14:dataValidation type="list" allowBlank="1" showInputMessage="1" showErrorMessage="1" xr:uid="{00000000-0002-0000-0300-000020000000}">
          <x14:formula1>
            <xm:f>'Liste de prix Public EUROPE'!$A$2032:$A$2047</xm:f>
          </x14:formula1>
          <xm:sqref>B350 E346 C346</xm:sqref>
        </x14:dataValidation>
        <x14:dataValidation type="list" allowBlank="1" showInputMessage="1" showErrorMessage="1" xr:uid="{00000000-0002-0000-0300-00000E000000}">
          <x14:formula1>
            <xm:f>'Liste de prix Public EUROPE'!$B$1622:$B$1641</xm:f>
          </x14:formula1>
          <xm:sqref>A412:A415</xm:sqref>
        </x14:dataValidation>
        <x14:dataValidation type="list" allowBlank="1" showInputMessage="1" showErrorMessage="1" xr:uid="{00000000-0002-0000-0300-000016000000}">
          <x14:formula1>
            <xm:f>'Liste de prix Public EUROPE'!$B$1810:$B$1823</xm:f>
          </x14:formula1>
          <xm:sqref>A426:A429</xm:sqref>
        </x14:dataValidation>
        <x14:dataValidation type="list" allowBlank="1" showInputMessage="1" showErrorMessage="1" xr:uid="{00000000-0002-0000-0300-000032000000}">
          <x14:formula1>
            <xm:f>'Liste de prix Public EUROPE'!$B$1285:$B$1290</xm:f>
          </x14:formula1>
          <xm:sqref>B571</xm:sqref>
        </x14:dataValidation>
        <x14:dataValidation type="list" allowBlank="1" showInputMessage="1" showErrorMessage="1" xr:uid="{00000000-0002-0000-0300-000034000000}">
          <x14:formula1>
            <xm:f>'Liste de prix Public EUROPE'!$B$1068:$B$1071</xm:f>
          </x14:formula1>
          <xm:sqref>A296:A297 A302</xm:sqref>
        </x14:dataValidation>
        <x14:dataValidation type="list" allowBlank="1" showInputMessage="1" showErrorMessage="1" xr:uid="{00000000-0002-0000-0300-000035000000}">
          <x14:formula1>
            <xm:f>'Liste de prix Public EUROPE'!$B$1828:$B$1828</xm:f>
          </x14:formula1>
          <xm:sqref>A41:A43</xm:sqref>
        </x14:dataValidation>
        <x14:dataValidation type="list" allowBlank="1" showInputMessage="1" showErrorMessage="1" xr:uid="{00000000-0002-0000-0300-000037000000}">
          <x14:formula1>
            <xm:f>'Liste de prix Public EUROPE'!$B$978:$B$981</xm:f>
          </x14:formula1>
          <xm:sqref>D124:E128 D52:E53</xm:sqref>
        </x14:dataValidation>
        <x14:dataValidation type="list" allowBlank="1" showInputMessage="1" showErrorMessage="1" xr:uid="{00000000-0002-0000-0300-000038000000}">
          <x14:formula1>
            <xm:f>'Liste de prix Public EUROPE'!$B$362:$B$373</xm:f>
          </x14:formula1>
          <xm:sqref>A142:A145</xm:sqref>
        </x14:dataValidation>
        <x14:dataValidation type="list" allowBlank="1" showInputMessage="1" showErrorMessage="1" xr:uid="{00000000-0002-0000-0300-00003A000000}">
          <x14:formula1>
            <xm:f>'Liste de prix Public EUROPE'!$B$2069</xm:f>
          </x14:formula1>
          <xm:sqref>C533</xm:sqref>
        </x14:dataValidation>
        <x14:dataValidation type="list" allowBlank="1" showInputMessage="1" showErrorMessage="1" xr:uid="{00000000-0002-0000-0300-00003B000000}">
          <x14:formula1>
            <xm:f>'Liste de prix Public EUROPE'!$B$1194:$B$1204</xm:f>
          </x14:formula1>
          <xm:sqref>C279</xm:sqref>
        </x14:dataValidation>
        <x14:dataValidation type="list" allowBlank="1" showInputMessage="1" showErrorMessage="1" xr:uid="{00000000-0002-0000-0300-00003C000000}">
          <x14:formula1>
            <xm:f>'Liste de prix Public EUROPE'!$B$1223:$B$1227</xm:f>
          </x14:formula1>
          <xm:sqref>C285</xm:sqref>
        </x14:dataValidation>
        <x14:dataValidation type="list" allowBlank="1" showInputMessage="1" showErrorMessage="1" xr:uid="{00000000-0002-0000-0300-00003E000000}">
          <x14:formula1>
            <xm:f>'Liste de prix Public EUROPE'!#REF!</xm:f>
          </x14:formula1>
          <xm:sqref>A57:A74</xm:sqref>
        </x14:dataValidation>
        <x14:dataValidation type="list" showInputMessage="1" showErrorMessage="1" xr:uid="{79784176-ADB1-4FA7-B999-60A21FEE29E5}">
          <x14:formula1>
            <xm:f>'Liste de prix Public EUROPE'!$B$2173:$B$2176</xm:f>
          </x14:formula1>
          <xm:sqref>A245</xm:sqref>
        </x14:dataValidation>
        <x14:dataValidation type="list" allowBlank="1" showInputMessage="1" showErrorMessage="1" xr:uid="{013AE4C6-844F-4C93-BB2F-22B828A8C7B1}">
          <x14:formula1>
            <xm:f>'Liste de prix Public EUROPE'!$B$2173:$B$2176</xm:f>
          </x14:formula1>
          <xm:sqref>A246:A248</xm:sqref>
        </x14:dataValidation>
        <x14:dataValidation type="list" allowBlank="1" showInputMessage="1" showErrorMessage="1" xr:uid="{00000000-0002-0000-0300-000005000000}">
          <x14:formula1>
            <xm:f>'Liste de prix Public EUROPE'!$B$1834:$B$1840</xm:f>
          </x14:formula1>
          <xm:sqref>A138</xm:sqref>
        </x14:dataValidation>
        <x14:dataValidation type="list" allowBlank="1" showInputMessage="1" showErrorMessage="1" xr:uid="{1EB2B654-1FFB-4995-A5F4-94BF219DFE1E}">
          <x14:formula1>
            <xm:f>'Liste de prix Public EUROPE'!$B$1834:$B$1837</xm:f>
          </x14:formula1>
          <xm:sqref>A137</xm:sqref>
        </x14:dataValidation>
        <x14:dataValidation type="list" allowBlank="1" showInputMessage="1" showErrorMessage="1" xr:uid="{CE7EBA71-EE49-4F00-B3F6-57FBACCB2893}">
          <x14:formula1>
            <xm:f>'Liste de prix Public EUROPE'!$B$2267:$B$2274</xm:f>
          </x14:formula1>
          <xm:sqref>A539:A546</xm:sqref>
        </x14:dataValidation>
        <x14:dataValidation type="list" allowBlank="1" showInputMessage="1" showErrorMessage="1" xr:uid="{FDEA2DC1-D9A2-47B7-B694-79A6095EF220}">
          <x14:formula1>
            <xm:f>'Liste de prix Public EUROPE'!$B$2278:$B$2279</xm:f>
          </x14:formula1>
          <xm:sqref>B550</xm:sqref>
        </x14:dataValidation>
        <x14:dataValidation type="list" allowBlank="1" showInputMessage="1" showErrorMessage="1" xr:uid="{C428CCEB-67E1-42BD-9C5B-5CFBB669D508}">
          <x14:formula1>
            <xm:f>'Liste de prix Public EUROPE'!$B$2283:$B$2284</xm:f>
          </x14:formula1>
          <xm:sqref>B551</xm:sqref>
        </x14:dataValidation>
        <x14:dataValidation type="list" allowBlank="1" showInputMessage="1" showErrorMessage="1" xr:uid="{57E22F83-EFBB-4566-B34B-EB802129400F}">
          <x14:formula1>
            <xm:f>'Liste de prix Public EUROPE'!$B$2255:$B$2256</xm:f>
          </x14:formula1>
          <xm:sqref>A495</xm:sqref>
        </x14:dataValidation>
        <x14:dataValidation type="list" allowBlank="1" showInputMessage="1" showErrorMessage="1" xr:uid="{EB1092EC-61D6-422B-9465-4B91D86F174C}">
          <x14:formula1>
            <xm:f>'Liste de prix Public EUROPE'!$B$347:$B$349</xm:f>
          </x14:formula1>
          <xm:sqref>A124:A128 A52:A53</xm:sqref>
        </x14:dataValidation>
        <x14:dataValidation type="list" allowBlank="1" showInputMessage="1" showErrorMessage="1" xr:uid="{D5B33614-DA19-4635-944A-FC3169F7E7C5}">
          <x14:formula1>
            <xm:f>'Liste de prix Public EUROPE'!$B$1834:$B$1839</xm:f>
          </x14:formula1>
          <xm:sqref>A47:A48</xm:sqref>
        </x14:dataValidation>
        <x14:dataValidation type="list" allowBlank="1" showInputMessage="1" showErrorMessage="1" xr:uid="{7375C5F1-E1C5-43B0-9D14-CB9F68C8E8FE}">
          <x14:formula1>
            <xm:f>'Liste de prix Public EUROPE'!$C$2288:$C$2289</xm:f>
          </x14:formula1>
          <xm:sqref>B452</xm:sqref>
        </x14:dataValidation>
        <x14:dataValidation type="list" allowBlank="1" showInputMessage="1" showErrorMessage="1" xr:uid="{3D078497-0E29-4402-99F3-2A3460B16FB9}">
          <x14:formula1>
            <xm:f>'Liste de prix Public EUROPE'!$C$2290:$C$2299</xm:f>
          </x14:formula1>
          <xm:sqref>B453</xm:sqref>
        </x14:dataValidation>
        <x14:dataValidation type="list" allowBlank="1" showInputMessage="1" showErrorMessage="1" xr:uid="{957263F8-B2E1-475D-A4AE-86E030BB0AB3}">
          <x14:formula1>
            <xm:f>'Liste de prix Public EUROPE'!$C$2300:$C$2309</xm:f>
          </x14:formula1>
          <xm:sqref>B454</xm:sqref>
        </x14:dataValidation>
        <x14:dataValidation type="list" allowBlank="1" showInputMessage="1" showErrorMessage="1" xr:uid="{75731927-973D-4012-889E-34E4BAEAFD30}">
          <x14:formula1>
            <xm:f>'Liste de prix Public EUROPE'!$C$2310:$C$2319</xm:f>
          </x14:formula1>
          <xm:sqref>B455</xm:sqref>
        </x14:dataValidation>
        <x14:dataValidation type="list" allowBlank="1" showInputMessage="1" showErrorMessage="1" xr:uid="{EA9B5786-8476-4FE7-89A5-6B400A55717D}">
          <x14:formula1>
            <xm:f>'Liste de prix Public EUROPE'!$C$2320:$C$2329</xm:f>
          </x14:formula1>
          <xm:sqref>B456</xm:sqref>
        </x14:dataValidation>
        <x14:dataValidation type="list" allowBlank="1" showInputMessage="1" showErrorMessage="1" xr:uid="{DFA07324-A839-4B67-813C-6247E4816040}">
          <x14:formula1>
            <xm:f>'Liste de prix Public EUROPE'!$B$2244:$B$2250</xm:f>
          </x14:formula1>
          <xm:sqref>A561</xm:sqref>
        </x14:dataValidation>
        <x14:dataValidation type="list" allowBlank="1" showInputMessage="1" showErrorMessage="1" xr:uid="{600F2FA2-771E-4A7A-A129-27573CD7FEA6}">
          <x14:formula1>
            <xm:f>'Liste de prix Public EUROPE'!$C$2332:$C$2359</xm:f>
          </x14:formula1>
          <xm:sqref>B460</xm:sqref>
        </x14:dataValidation>
        <x14:dataValidation type="list" allowBlank="1" showInputMessage="1" showErrorMessage="1" xr:uid="{05C6D14B-714F-4849-99E4-72BFD24E2633}">
          <x14:formula1>
            <xm:f>'Liste de prix Public EUROPE'!$C$2360:$C$2387</xm:f>
          </x14:formula1>
          <xm:sqref>B461</xm:sqref>
        </x14:dataValidation>
        <x14:dataValidation type="list" allowBlank="1" showInputMessage="1" showErrorMessage="1" xr:uid="{0DC65C0D-C176-4329-A716-AD56B318F6E6}">
          <x14:formula1>
            <xm:f>'Liste de prix Public EUROPE'!$C$2388:$C$2435</xm:f>
          </x14:formula1>
          <xm:sqref>B462</xm:sqref>
        </x14:dataValidation>
        <x14:dataValidation type="list" allowBlank="1" showInputMessage="1" showErrorMessage="1" xr:uid="{C8537F3F-58BA-4D52-9277-BF61A3DB1AD6}">
          <x14:formula1>
            <xm:f>'Liste de prix Public EUROPE'!$C$2436:$C$2483</xm:f>
          </x14:formula1>
          <xm:sqref>B463</xm:sqref>
        </x14:dataValidation>
        <x14:dataValidation type="list" allowBlank="1" showInputMessage="1" showErrorMessage="1" xr:uid="{8B85BAE6-1385-4753-9D61-5ADB8DC67A53}">
          <x14:formula1>
            <xm:f>'Liste de prix Public EUROPE'!$C$2484:$C$2531</xm:f>
          </x14:formula1>
          <xm:sqref>B464</xm:sqref>
        </x14:dataValidation>
        <x14:dataValidation type="list" allowBlank="1" showInputMessage="1" showErrorMessage="1" xr:uid="{17B48FDE-FBDB-463D-BC8F-42FFF13B5D78}">
          <x14:formula1>
            <xm:f>'Liste de prix Public EUROPE'!$B$1212:$B$1227</xm:f>
          </x14:formula1>
          <xm:sqref>C284</xm:sqref>
        </x14:dataValidation>
        <x14:dataValidation type="list" allowBlank="1" showInputMessage="1" showErrorMessage="1" xr:uid="{E8CE778D-1460-447E-BAB8-2A294C7DA0CA}">
          <x14:formula1>
            <xm:f>'Liste de prix Public EUROPE'!$B$2261:$B$2263</xm:f>
          </x14:formula1>
          <xm:sqref>A564:A566</xm:sqref>
        </x14:dataValidation>
        <x14:dataValidation type="list" showInputMessage="1" showErrorMessage="1" xr:uid="{D87FA6CF-C1D6-4C6F-B275-F80462804C26}">
          <x14:formula1>
            <xm:f>'Liste de prix Public EUROPE'!$C$2541:$C$2543</xm:f>
          </x14:formula1>
          <xm:sqref>A257</xm:sqref>
        </x14:dataValidation>
        <x14:dataValidation type="list" allowBlank="1" showInputMessage="1" showErrorMessage="1" xr:uid="{4F70F733-95C9-4E9E-A4DB-58C0ED1804D8}">
          <x14:formula1>
            <xm:f>'Liste de prix Public EUROPE'!$B$1646:$B$1806</xm:f>
          </x14:formula1>
          <xm:sqref>A419:A422</xm:sqref>
        </x14:dataValidation>
        <x14:dataValidation type="list" allowBlank="1" showInputMessage="1" showErrorMessage="1" xr:uid="{0AB6DD99-441A-4B17-9AFB-E2E435967F99}">
          <x14:formula1>
            <xm:f>'Liste de prix Public EUROPE'!$B$1075:$B$1078</xm:f>
          </x14:formula1>
          <xm:sqref>A301</xm:sqref>
        </x14:dataValidation>
        <x14:dataValidation type="list" showInputMessage="1" showErrorMessage="1" xr:uid="{43D72D96-224E-464D-A532-0D3A7D20BFE0}">
          <x14:formula1>
            <xm:f>'Liste de prix Public EUROPE'!$B$2184:$B$2197</xm:f>
          </x14:formula1>
          <xm:sqref>A261</xm:sqref>
        </x14:dataValidation>
        <x14:dataValidation type="list" allowBlank="1" showInputMessage="1" showErrorMessage="1" xr:uid="{00000000-0002-0000-0300-00003F000000}">
          <x14:formula1>
            <xm:f>'Liste de prix Public EUROPE'!$B$9:$B$174</xm:f>
          </x14:formula1>
          <xm:sqref>A19:A34 A80:A97</xm:sqref>
        </x14:dataValidation>
        <x14:dataValidation type="list" allowBlank="1" showInputMessage="1" showErrorMessage="1" xr:uid="{1DD894B1-FA5B-47CA-B786-A06B8CCE6DC9}">
          <x14:formula1>
            <xm:f>'Liste de prix Public EUROPE'!$B$178:$B$343</xm:f>
          </x14:formula1>
          <xm:sqref>A102:A119</xm:sqref>
        </x14:dataValidation>
        <x14:dataValidation type="list" allowBlank="1" showInputMessage="1" showErrorMessage="1" xr:uid="{00000000-0002-0000-0300-000039000000}">
          <x14:formula1>
            <xm:f>'Liste de prix Public EUROPE'!$B$1277:$B$1280</xm:f>
          </x14:formula1>
          <xm:sqref>A168:A169</xm:sqref>
        </x14:dataValidation>
        <x14:dataValidation type="list" allowBlank="1" showInputMessage="1" showErrorMessage="1" xr:uid="{05A6AF16-E13B-49C8-9FF8-639C12B3CCB8}">
          <x14:formula1>
            <xm:f>'Liste de prix Public EUROPE'!$B$1303:$B$1351</xm:f>
          </x14:formula1>
          <xm:sqref>A555:A558</xm:sqref>
        </x14:dataValidation>
        <x14:dataValidation type="list" allowBlank="1" showInputMessage="1" showErrorMessage="1" xr:uid="{00000000-0002-0000-0300-000036000000}">
          <x14:formula1>
            <xm:f>'Liste de prix Public EUROPE'!$B$1887:$B$1894</xm:f>
          </x14:formula1>
          <xm:sqref>A374:A377</xm:sqref>
        </x14:dataValidation>
        <x14:dataValidation type="list" allowBlank="1" showInputMessage="1" showErrorMessage="1" xr:uid="{00000000-0002-0000-0300-00002E000000}">
          <x14:formula1>
            <xm:f>'Liste de prix Public EUROPE'!$B$1901:$B$1912</xm:f>
          </x14:formula1>
          <xm:sqref>A382:A384</xm:sqref>
        </x14:dataValidation>
        <x14:dataValidation type="list" allowBlank="1" showInputMessage="1" showErrorMessage="1" xr:uid="{00000000-0002-0000-0300-000033000000}">
          <x14:formula1>
            <xm:f>'Liste de prix Public EUROPE'!$B$2010:$B$2018</xm:f>
          </x14:formula1>
          <xm:sqref>A480</xm:sqref>
        </x14:dataValidation>
        <x14:dataValidation type="list" allowBlank="1" showInputMessage="1" showErrorMessage="1" xr:uid="{B1D97CD5-3966-451D-B244-63551DFCA42B}">
          <x14:formula1>
            <xm:f>'Liste de prix Public EUROPE'!$B$2019:$B$2020</xm:f>
          </x14:formula1>
          <xm:sqref>A482</xm:sqref>
        </x14:dataValidation>
        <x14:dataValidation type="list" allowBlank="1" showInputMessage="1" showErrorMessage="1" xr:uid="{C5F3EEAD-E4FA-4750-8138-A1A28B99DF20}">
          <x14:formula1>
            <xm:f>'Liste de prix Public EUROPE'!$B$2806:$B$2808</xm:f>
          </x14:formula1>
          <xm:sqref>A340:A341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8">
    <tabColor rgb="FF00B0F0"/>
    <pageSetUpPr fitToPage="1"/>
  </sheetPr>
  <dimension ref="A1:BB561"/>
  <sheetViews>
    <sheetView showGridLines="0" showWhiteSpace="0" zoomScale="70" zoomScaleNormal="70" zoomScaleSheetLayoutView="40" zoomScalePageLayoutView="85" workbookViewId="0">
      <selection activeCell="A19" sqref="A19"/>
    </sheetView>
  </sheetViews>
  <sheetFormatPr baseColWidth="10" defaultColWidth="11.44140625" defaultRowHeight="14.4"/>
  <cols>
    <col min="1" max="1" width="73.5546875" style="945" customWidth="1"/>
    <col min="2" max="2" width="26.5546875" style="945" customWidth="1"/>
    <col min="3" max="3" width="25.21875" style="945" customWidth="1"/>
    <col min="4" max="4" width="18.21875" style="945" bestFit="1" customWidth="1"/>
    <col min="5" max="5" width="26.5546875" style="945" bestFit="1" customWidth="1"/>
    <col min="6" max="6" width="22.77734375" style="945" bestFit="1" customWidth="1"/>
    <col min="7" max="7" width="22.44140625" style="945" bestFit="1" customWidth="1"/>
    <col min="8" max="8" width="27.77734375" style="997" customWidth="1"/>
    <col min="9" max="9" width="22.44140625" style="945" bestFit="1" customWidth="1"/>
    <col min="10" max="10" width="15.5546875" style="945" hidden="1" customWidth="1"/>
    <col min="11" max="11" width="41.5546875" style="945" hidden="1" customWidth="1"/>
    <col min="12" max="12" width="15.77734375" style="945" hidden="1" customWidth="1"/>
    <col min="13" max="13" width="20.21875" style="945" hidden="1" customWidth="1"/>
    <col min="14" max="14" width="29" style="945" hidden="1" customWidth="1"/>
    <col min="15" max="15" width="18.77734375" style="945" hidden="1" customWidth="1"/>
    <col min="16" max="16" width="61.109375" style="945" hidden="1" customWidth="1"/>
    <col min="17" max="17" width="19.77734375" style="945" hidden="1" customWidth="1"/>
    <col min="18" max="18" width="21" style="945" hidden="1" customWidth="1"/>
    <col min="19" max="19" width="23.21875" style="946" hidden="1" customWidth="1"/>
    <col min="20" max="20" width="15" style="946" hidden="1" customWidth="1"/>
    <col min="21" max="21" width="17.44140625" style="946" hidden="1" customWidth="1"/>
    <col min="22" max="22" width="12.5546875" style="946" hidden="1" customWidth="1"/>
    <col min="23" max="23" width="48.21875" style="946" hidden="1" customWidth="1"/>
    <col min="24" max="24" width="20.77734375" style="946" hidden="1" customWidth="1"/>
    <col min="25" max="25" width="12" style="946" hidden="1" customWidth="1"/>
    <col min="26" max="29" width="11.44140625" style="946" hidden="1" customWidth="1"/>
    <col min="30" max="30" width="17" style="946" hidden="1" customWidth="1"/>
    <col min="31" max="53" width="11.44140625" style="946" hidden="1" customWidth="1"/>
    <col min="54" max="76" width="11.44140625" style="946" customWidth="1"/>
    <col min="77" max="16384" width="11.44140625" style="946"/>
  </cols>
  <sheetData>
    <row r="1" spans="1:26" ht="22.8">
      <c r="A1" s="2106" t="s">
        <v>680</v>
      </c>
      <c r="B1" s="2107"/>
      <c r="C1" s="2107"/>
      <c r="D1" s="2107"/>
      <c r="E1" s="2107"/>
      <c r="F1" s="2107"/>
      <c r="G1" s="2107"/>
      <c r="H1" s="2107"/>
      <c r="I1" s="64"/>
    </row>
    <row r="2" spans="1:26">
      <c r="A2" s="2109" t="s">
        <v>321</v>
      </c>
      <c r="B2" s="2110"/>
      <c r="C2" s="2110"/>
      <c r="D2" s="2110"/>
      <c r="E2" s="2110"/>
      <c r="F2" s="2110"/>
      <c r="G2" s="2110"/>
      <c r="H2" s="2110"/>
      <c r="I2" s="64"/>
    </row>
    <row r="3" spans="1:26" ht="18">
      <c r="A3" s="423"/>
      <c r="B3" s="173" t="s">
        <v>666</v>
      </c>
      <c r="C3" s="202"/>
      <c r="D3" s="202"/>
      <c r="E3" s="202"/>
      <c r="F3" s="202"/>
      <c r="G3" s="202"/>
      <c r="H3" s="360"/>
      <c r="I3" s="64"/>
      <c r="U3" s="966">
        <v>0</v>
      </c>
      <c r="V3" s="948" t="s">
        <v>83</v>
      </c>
      <c r="W3" s="949"/>
      <c r="X3" s="950"/>
      <c r="Y3" s="951" t="s">
        <v>292</v>
      </c>
      <c r="Z3" s="946" t="s">
        <v>293</v>
      </c>
    </row>
    <row r="4" spans="1:26" ht="18">
      <c r="A4" s="2112" t="s">
        <v>322</v>
      </c>
      <c r="B4" s="2113"/>
      <c r="C4" s="2113"/>
      <c r="D4" s="2113"/>
      <c r="E4" s="2113"/>
      <c r="F4" s="2113"/>
      <c r="G4" s="834"/>
      <c r="H4" s="1831"/>
      <c r="I4" s="1831"/>
      <c r="U4" s="957">
        <v>0.01</v>
      </c>
      <c r="V4" s="948" t="s">
        <v>252</v>
      </c>
      <c r="W4" s="949">
        <v>7.4999999999999997E-2</v>
      </c>
      <c r="X4" s="958">
        <v>69</v>
      </c>
      <c r="Y4" s="958">
        <f>W4*$B$11</f>
        <v>0</v>
      </c>
      <c r="Z4" s="959">
        <f>W4*$B$12</f>
        <v>0</v>
      </c>
    </row>
    <row r="5" spans="1:26" ht="12.75" hidden="1" customHeight="1">
      <c r="A5" s="355" t="s">
        <v>173</v>
      </c>
      <c r="B5" s="501">
        <v>0</v>
      </c>
      <c r="C5" s="173"/>
      <c r="D5" s="173"/>
      <c r="E5" s="173"/>
      <c r="F5" s="173"/>
      <c r="G5" s="173"/>
      <c r="H5" s="173"/>
      <c r="I5" s="64"/>
      <c r="U5" s="957">
        <v>0.02</v>
      </c>
      <c r="V5" s="948" t="s">
        <v>89</v>
      </c>
      <c r="W5" s="949">
        <v>0.1</v>
      </c>
      <c r="X5" s="958">
        <v>199</v>
      </c>
      <c r="Y5" s="958">
        <f>W5*$B$11</f>
        <v>0</v>
      </c>
      <c r="Z5" s="959">
        <f>W5*$B$12</f>
        <v>0</v>
      </c>
    </row>
    <row r="6" spans="1:26" ht="15" customHeight="1">
      <c r="A6" s="582" t="s">
        <v>2483</v>
      </c>
      <c r="B6" s="319">
        <f>F7+F6</f>
        <v>0</v>
      </c>
      <c r="C6" s="356" t="s">
        <v>332</v>
      </c>
      <c r="D6" s="162"/>
      <c r="E6" s="422" t="s">
        <v>2482</v>
      </c>
      <c r="F6" s="917">
        <f>$B$11*(100%-$B$5)</f>
        <v>0</v>
      </c>
      <c r="G6" s="298"/>
      <c r="H6" s="162"/>
      <c r="I6" s="64"/>
      <c r="U6" s="957">
        <v>0.03</v>
      </c>
      <c r="V6" s="948" t="s">
        <v>21</v>
      </c>
      <c r="W6" s="949">
        <v>0.12</v>
      </c>
      <c r="X6" s="958">
        <v>899</v>
      </c>
      <c r="Y6" s="958">
        <f>W6*$B$11</f>
        <v>0</v>
      </c>
      <c r="Z6" s="959">
        <f>W6*$B$12</f>
        <v>0</v>
      </c>
    </row>
    <row r="7" spans="1:26" ht="15" customHeight="1">
      <c r="A7" s="582" t="s">
        <v>2484</v>
      </c>
      <c r="B7" s="850">
        <f>$B$12*(100%-$B$5)</f>
        <v>0</v>
      </c>
      <c r="C7" s="202"/>
      <c r="D7" s="162"/>
      <c r="E7" s="422" t="s">
        <v>174</v>
      </c>
      <c r="F7" s="298">
        <f>IF(B537=V4,IF(Y4&gt;X4,Y4,X4),IF(B537=V5,IF(Y5&gt;X5,Y5,X5),IF(B537=V6,IF(Y6&gt;X6,Y6,X6),IF(B537=V7,IF(Y7&gt;X7,Y7,X7),IF(B537=V8,IF(Y8&gt;X8,Y8,X8),0)))))</f>
        <v>0</v>
      </c>
      <c r="G7" s="298"/>
      <c r="H7" s="162"/>
      <c r="I7" s="64"/>
      <c r="Q7" s="945" t="s">
        <v>1093</v>
      </c>
      <c r="U7" s="957">
        <v>0.04</v>
      </c>
      <c r="V7" s="948" t="s">
        <v>317</v>
      </c>
      <c r="W7" s="949">
        <v>0.05</v>
      </c>
      <c r="X7" s="958">
        <v>0</v>
      </c>
      <c r="Y7" s="958">
        <f>W7*$B$11</f>
        <v>0</v>
      </c>
      <c r="Z7" s="959">
        <f>W7*$B$12</f>
        <v>0</v>
      </c>
    </row>
    <row r="8" spans="1:26" ht="15" customHeight="1">
      <c r="A8" s="582" t="s">
        <v>2485</v>
      </c>
      <c r="B8" s="322">
        <f>(D260+E252+E257)*$B$5</f>
        <v>0</v>
      </c>
      <c r="C8" s="202"/>
      <c r="D8" s="202"/>
      <c r="E8" s="202"/>
      <c r="F8" s="202"/>
      <c r="G8" s="202"/>
      <c r="H8" s="360"/>
      <c r="I8" s="64"/>
      <c r="Q8" s="945" t="s">
        <v>1094</v>
      </c>
      <c r="U8" s="957">
        <v>0.05</v>
      </c>
      <c r="V8" s="948" t="s">
        <v>2335</v>
      </c>
      <c r="W8" s="949">
        <v>0.17</v>
      </c>
      <c r="X8" s="958">
        <v>2000</v>
      </c>
      <c r="Y8" s="958">
        <f>W8*$B$11</f>
        <v>0</v>
      </c>
      <c r="Z8" s="959">
        <f>W8*$B$12</f>
        <v>0</v>
      </c>
    </row>
    <row r="9" spans="1:26" ht="15" customHeight="1">
      <c r="A9" s="582" t="s">
        <v>304</v>
      </c>
      <c r="B9" s="322">
        <f>IF(B537=V4,IF(Z4&gt;X4,Z4,0),IF(B537=V5,IF(Z5&gt;X5,Z5,0),IF(B537=V6,IF(Z6&gt;X6,Z6,0),IF(B537=V7,IF(Z7&gt;X7,Z7,0),IF(B537=V8,IF(Z8&gt;X8,Z8,0),0)))))</f>
        <v>0</v>
      </c>
      <c r="C9" s="202"/>
      <c r="D9" s="202"/>
      <c r="E9" s="202"/>
      <c r="F9" s="202"/>
      <c r="G9" s="202"/>
      <c r="H9" s="360"/>
      <c r="I9" s="64"/>
      <c r="Q9" s="945" t="s">
        <v>1095</v>
      </c>
      <c r="U9" s="966">
        <v>0.06</v>
      </c>
    </row>
    <row r="10" spans="1:26" ht="15" customHeight="1">
      <c r="A10" s="423"/>
      <c r="B10" s="202"/>
      <c r="C10" s="202"/>
      <c r="D10" s="202"/>
      <c r="E10" s="202"/>
      <c r="F10" s="202"/>
      <c r="G10" s="202"/>
      <c r="H10" s="360"/>
      <c r="I10" s="64"/>
      <c r="Q10" s="945" t="s">
        <v>1096</v>
      </c>
      <c r="U10" s="957">
        <v>7.0000000000000007E-2</v>
      </c>
    </row>
    <row r="11" spans="1:26" ht="15" hidden="1" customHeight="1">
      <c r="A11" s="2242" t="s">
        <v>296</v>
      </c>
      <c r="B11" s="2243">
        <f>F38+F50+F55+F78+F100+F109+F114+F119+C126+C131+C135+C136+C137+C138+C143+C144+C145+F150+G154+H158+C165+C172+C175+C176+C177+C180+C181+C182+C183+C194+C204+C207+C214+C239+C247+D252+D257+D260+C264+C269+C279+B285+G294+H317+D321+C327+C328+C329+C330+C335+F349+A371+C378+E385+E392+E399+C404+D410+C417+D424+B429+D451+D457+D460+D463+D466+C488+D495+D502+B469+C244+C342+C241+G437+D513+D518+G525+C139+C140+C222+C226+E448+C527+D533+C230+C274+C234+G301+I308+C313</f>
        <v>0</v>
      </c>
      <c r="C11" s="202"/>
      <c r="D11" s="202"/>
      <c r="E11" s="202"/>
      <c r="F11" s="202"/>
      <c r="G11" s="202"/>
      <c r="H11" s="360"/>
      <c r="I11" s="64"/>
      <c r="U11" s="957">
        <v>0.1</v>
      </c>
    </row>
    <row r="12" spans="1:26" ht="15" hidden="1" customHeight="1">
      <c r="A12" s="2242" t="s">
        <v>297</v>
      </c>
      <c r="B12" s="2243">
        <f>G78+G109+G114+G119+G100+E424+H302</f>
        <v>0</v>
      </c>
      <c r="C12" s="202"/>
      <c r="D12" s="202"/>
      <c r="E12" s="202"/>
      <c r="F12" s="202"/>
      <c r="G12" s="202"/>
      <c r="H12" s="360"/>
      <c r="I12" s="64"/>
      <c r="U12" s="966">
        <v>0.12</v>
      </c>
    </row>
    <row r="13" spans="1:26" ht="18">
      <c r="A13" s="423"/>
      <c r="B13" s="202"/>
      <c r="C13" s="202"/>
      <c r="D13" s="202"/>
      <c r="E13" s="202"/>
      <c r="F13" s="202"/>
      <c r="G13" s="202"/>
      <c r="H13" s="360"/>
      <c r="I13" s="64"/>
    </row>
    <row r="14" spans="1:26" ht="23.4">
      <c r="A14" s="343" t="s">
        <v>323</v>
      </c>
      <c r="B14" s="345" t="s">
        <v>324</v>
      </c>
      <c r="C14" s="344"/>
      <c r="D14" s="346"/>
      <c r="E14" s="346"/>
      <c r="F14" s="347"/>
      <c r="G14" s="347"/>
      <c r="H14" s="1832"/>
      <c r="I14" s="1832"/>
      <c r="J14" s="944"/>
      <c r="K14" s="944"/>
      <c r="U14" s="957"/>
      <c r="V14" s="963"/>
      <c r="W14" s="964"/>
      <c r="X14" s="965"/>
      <c r="Y14" s="958"/>
      <c r="Z14" s="959"/>
    </row>
    <row r="15" spans="1:26" ht="13.5" customHeight="1">
      <c r="A15" s="2099" t="s">
        <v>242</v>
      </c>
      <c r="B15" s="2100"/>
      <c r="C15" s="368" t="s">
        <v>164</v>
      </c>
      <c r="D15" s="64"/>
      <c r="E15" s="64"/>
      <c r="F15" s="64"/>
      <c r="G15" s="64"/>
      <c r="H15" s="360"/>
      <c r="I15" s="64"/>
    </row>
    <row r="16" spans="1:26" ht="13.5" customHeight="1">
      <c r="A16" s="369" t="s">
        <v>242</v>
      </c>
      <c r="B16" s="370">
        <f>SUM(E19:E36)+SUM(E48:E49)+SUM(E59:E76)+SUM(E112:E113)+SUM(E117:E118)+SUM(E81:E98)</f>
        <v>0</v>
      </c>
      <c r="C16" s="371">
        <f>(SUM(E19:E36)+SUM(E112:E113)+SUM(E117:E118)+SUM(E43:E43)+SUM(E59:E76)+SUM(E48:E49)+SUM(E81:E98))*'Liste de prix Public EUROPE'!$C$1082*730</f>
        <v>0</v>
      </c>
      <c r="D16" s="64"/>
      <c r="E16" s="64"/>
      <c r="F16" s="64"/>
      <c r="G16" s="64"/>
      <c r="H16" s="360"/>
      <c r="I16" s="64"/>
    </row>
    <row r="17" spans="1:21" ht="13.5" customHeight="1">
      <c r="A17" s="372"/>
      <c r="B17" s="69"/>
      <c r="C17" s="64"/>
      <c r="D17" s="64"/>
      <c r="E17" s="64"/>
      <c r="F17" s="64"/>
      <c r="G17" s="64"/>
      <c r="H17" s="360"/>
      <c r="I17" s="64"/>
    </row>
    <row r="18" spans="1:21">
      <c r="A18" s="580" t="s">
        <v>243</v>
      </c>
      <c r="B18" s="368" t="s">
        <v>165</v>
      </c>
      <c r="C18" s="368" t="s">
        <v>213</v>
      </c>
      <c r="D18" s="368" t="s">
        <v>330</v>
      </c>
      <c r="E18" s="368" t="s">
        <v>192</v>
      </c>
      <c r="F18" s="368" t="s">
        <v>164</v>
      </c>
      <c r="G18" s="846"/>
      <c r="H18" s="360"/>
      <c r="I18" s="64"/>
    </row>
    <row r="19" spans="1:21">
      <c r="A19" s="585"/>
      <c r="B19" s="415"/>
      <c r="C19" s="416"/>
      <c r="D19" s="417"/>
      <c r="E19" s="417"/>
      <c r="F19" s="371">
        <f>IF(C19&lt;90%,(IF(D19=$U$19,VLOOKUP(A19,'Liste de prix Public EUROPE'!$B$9:$H$174,6,FALSE),IF(D19=$U$20,VLOOKUP(A19, 'Liste de prix Public EUROPE'!$B$9:$H$174,6,FALSE)+(VLOOKUP(A19,'Liste de prix Public EUROPE'!$B$378:$H$547,6,FALSE)),IF(D19=$U$21,VLOOKUP(A19,'Liste de prix Public EUROPE'!$B$9:$H$174,6,FALSE)+ (VLOOKUP(A19,'Liste de prix Public EUROPE'!$B$559:$H$700,6,FALSE)),IF(D19=$U$22,VLOOKUP(A19,'Liste de prix Public EUROPE'!$B$9:$H$174,6,FALSE)+ (VLOOKUP(A19,'Liste de prix Public EUROPE'!$B$1303:$H$1344,6,FALSE)),IF(D19=$U$25,VLOOKUP(A19,'Liste de prix Public EUROPE'!$B$9:$H$174,6,FALSE)+(VLOOKUP(A19,'Liste de prix Public EUROPE'!$B$1354:$H$1403,6,FALSE)),IF(D19=$U$26,VLOOKUP(A19,'Liste de prix Public EUROPE'!$B$9:$H$174,6,FALSE)+(VLOOKUP(A19,'Liste de prix Public EUROPE'!$B$1407:$H$1451,6,FALSE)),IF(D19=$U$28,VLOOKUP(A19,'Liste de prix Public EUROPE'!$B$9:$H$174,6,FALSE)+ (VLOOKUP(A19,'Liste de prix Public EUROPE'!$B$1506:$H$1565,6,FALSE)),IF(D19=$U$23,VLOOKUP(A19,'Liste de prix Public EUROPE'!$B$9:$H$174,6,FALSE)+( VLOOKUP(A19,'Liste de prix Public EUROPE'!$B$834:H$974,6,FALSE)),IF(D19=$U$24,VLOOKUP(A19,'Liste de prix Public EUROPE'!$B$9:$H$174,6,FALSE)+( VLOOKUP(A19,'Liste de prix Public EUROPE'!$B704:$H$829,6,FALSE)),IF(D19=$U$27,VLOOKUP(A19,'Liste de prix Public EUROPE'!$B$9:$H$174,6,FALSE)+( VLOOKUP(A19,'Liste de prix Public EUROPE'!$B$1455:$H$1502,6,FALSE)),FALSE))))))))))*730*C19*B19),
(IF(D19=$U$19,VLOOKUP(A19,'Liste de prix Public EUROPE'!$B$9:$H$174,7,FALSE),IF(D19=$U$20, VLOOKUP(A19,'Liste de prix Public EUROPE'!$B$9:$H$174,7,FALSE)+(VLOOKUP(A19,'Liste de prix Public EUROPE'!$B$378:$H$547,7,FALSE)),IF(D19=$U$21, VLOOKUP(A19,'Liste de prix Public EUROPE'!$B$9:$H$174,7,FALSE)+(VLOOKUP(A19,'Liste de prix Public EUROPE'!$B$559:$H$700,7,FALSE)),IF(D19=$U$22, VLOOKUP(A19,'Liste de prix Public EUROPE'!$B$9:$H$174,7,FALSE)+(VLOOKUP(A19,'Liste de prix Public EUROPE'!$B$1303:$H$1344,7,FALSE)),IF(D19=$U$25, VLOOKUP(A19,'Liste de prix Public EUROPE'!$B$9:$H$174,7,FALSE)+(VLOOKUP(A19,'Liste de prix Public EUROPE'!$B$1354:$H$1403,7,FALSE)),IF(D19=$U$26, VLOOKUP(A19,'Liste de prix Public EUROPE'!$B$9:$H$174,7,FALSE)+(VLOOKUP(A19,'Liste de prix Public EUROPE'!$B$1407:$H$1451,7,FALSE)),IF(D19=$U$28, VLOOKUP(A19,'Liste de prix Public EUROPE'!$B$9:$H$174,7,FALSE)+(VLOOKUP(A19,'Liste de prix Public EUROPE'!$B$1506:$H$1565,7,FALSE)),IF(D19=$U$23, VLOOKUP(A19,'Liste de prix Public EUROPE'!$B$9:$H$174,7,FALSE)+(VLOOKUP(A19,'Liste de prix Public EUROPE'!$B$834:$H$974,7,FALSE)),IF(D19=$U$24, VLOOKUP(A19,'Liste de prix Public EUROPE'!$B$9:$H$174,7,FALSE)+(VLOOKUP(A19,'Liste de prix Public EUROPE'!$B$704:$H$829,7,FALSE)),IF(D19=$U$27, VLOOKUP(A19,'Liste de prix Public EUROPE'!$B$9:$H$174,7,FALSE)+(VLOOKUP(A19,'Liste de prix Public EUROPE'!$B$1503:$H$1506,7,FALSE)),FALSE))))))))))*B19))</f>
        <v>0</v>
      </c>
      <c r="G19" s="842"/>
      <c r="H19" s="360"/>
      <c r="I19" s="64"/>
      <c r="J19" s="1000"/>
      <c r="U19" s="946" t="s">
        <v>7</v>
      </c>
    </row>
    <row r="20" spans="1:21">
      <c r="A20" s="585"/>
      <c r="B20" s="415"/>
      <c r="C20" s="416"/>
      <c r="D20" s="417"/>
      <c r="E20" s="417"/>
      <c r="F20" s="371">
        <f>IF(C20&lt;90%,(IF(D20=$U$19,VLOOKUP(A20,'Liste de prix Public EUROPE'!$B$9:$H$174,6,FALSE),IF(D20=$U$20,VLOOKUP(A20, 'Liste de prix Public EUROPE'!$B$9:$H$174,6,FALSE)+(VLOOKUP(A20,'Liste de prix Public EUROPE'!$B$378:$H$547,6,FALSE)),IF(D20=$U$21,VLOOKUP(A20,'Liste de prix Public EUROPE'!$B$9:$H$174,6,FALSE)+ (VLOOKUP(A20,'Liste de prix Public EUROPE'!$B$559:$H$700,6,FALSE)),IF(D20=$U$22,VLOOKUP(A20,'Liste de prix Public EUROPE'!$B$9:$H$174,6,FALSE)+ (VLOOKUP(A20,'Liste de prix Public EUROPE'!$B$1303:$H$1344,6,FALSE)),IF(D20=$U$25,VLOOKUP(A20,'Liste de prix Public EUROPE'!$B$9:$H$174,6,FALSE)+(VLOOKUP(A20,'Liste de prix Public EUROPE'!$B$1354:$H$1403,6,FALSE)),IF(D20=$U$26,VLOOKUP(A20,'Liste de prix Public EUROPE'!$B$9:$H$174,6,FALSE)+(VLOOKUP(A20,'Liste de prix Public EUROPE'!$B$1407:$H$1451,6,FALSE)),IF(D20=$U$28,VLOOKUP(A20,'Liste de prix Public EUROPE'!$B$9:$H$174,6,FALSE)+ (VLOOKUP(A20,'Liste de prix Public EUROPE'!$B$1506:$H$1565,6,FALSE)),IF(D20=$U$23,VLOOKUP(A20,'Liste de prix Public EUROPE'!$B$9:$H$174,6,FALSE)+( VLOOKUP(A20,'Liste de prix Public EUROPE'!$B$834:H$974,6,FALSE)),IF(D20=$U$24,VLOOKUP(A20,'Liste de prix Public EUROPE'!$B$9:$H$174,6,FALSE)+( VLOOKUP(A20,'Liste de prix Public EUROPE'!$B705:$H$829,6,FALSE)),IF(D20=$U$27,VLOOKUP(A20,'Liste de prix Public EUROPE'!$B$9:$H$174,6,FALSE)+( VLOOKUP(A20,'Liste de prix Public EUROPE'!$B$1455:$H$1502,6,FALSE)),FALSE))))))))))*730*C20*B20),
(IF(D20=$U$19,VLOOKUP(A20,'Liste de prix Public EUROPE'!$B$9:$H$174,7,FALSE),IF(D20=$U$20, VLOOKUP(A20,'Liste de prix Public EUROPE'!$B$9:$H$174,7,FALSE)+(VLOOKUP(A20,'Liste de prix Public EUROPE'!$B$378:$H$547,7,FALSE)),IF(D20=$U$21, VLOOKUP(A20,'Liste de prix Public EUROPE'!$B$9:$H$174,7,FALSE)+(VLOOKUP(A20,'Liste de prix Public EUROPE'!$B$559:$H$700,7,FALSE)),IF(D20=$U$22, VLOOKUP(A20,'Liste de prix Public EUROPE'!$B$9:$H$174,7,FALSE)+(VLOOKUP(A20,'Liste de prix Public EUROPE'!$B$1303:$H$1344,7,FALSE)),IF(D20=$U$25, VLOOKUP(A20,'Liste de prix Public EUROPE'!$B$9:$H$174,7,FALSE)+(VLOOKUP(A20,'Liste de prix Public EUROPE'!$B$1354:$H$1403,7,FALSE)),IF(D20=$U$26, VLOOKUP(A20,'Liste de prix Public EUROPE'!$B$9:$H$174,7,FALSE)+(VLOOKUP(A20,'Liste de prix Public EUROPE'!$B$1407:$H$1451,7,FALSE)),IF(D20=$U$28, VLOOKUP(A20,'Liste de prix Public EUROPE'!$B$9:$H$174,7,FALSE)+(VLOOKUP(A20,'Liste de prix Public EUROPE'!$B$1506:$H$1565,7,FALSE)),IF(D20=$U$23, VLOOKUP(A20,'Liste de prix Public EUROPE'!$B$9:$H$174,7,FALSE)+(VLOOKUP(A20,'Liste de prix Public EUROPE'!$B$834:$H$974,7,FALSE)),IF(D20=$U$24, VLOOKUP(A20,'Liste de prix Public EUROPE'!$B$9:$H$174,7,FALSE)+(VLOOKUP(A20,'Liste de prix Public EUROPE'!$B$704:$H$829,7,FALSE)),IF(D20=$U$27, VLOOKUP(A20,'Liste de prix Public EUROPE'!$B$9:$H$174,7,FALSE)+(VLOOKUP(A20,'Liste de prix Public EUROPE'!$B$1503:$H$1506,7,FALSE)),FALSE))))))))))*B20))</f>
        <v>0</v>
      </c>
      <c r="G20" s="842"/>
      <c r="H20" s="360"/>
      <c r="I20" s="64"/>
      <c r="J20" s="1000"/>
      <c r="U20" s="946" t="s">
        <v>0</v>
      </c>
    </row>
    <row r="21" spans="1:21">
      <c r="A21" s="585"/>
      <c r="B21" s="415"/>
      <c r="C21" s="416"/>
      <c r="D21" s="417"/>
      <c r="E21" s="417"/>
      <c r="F21" s="371">
        <f>IF(C21&lt;90%,(IF(D21=$U$19,VLOOKUP(A21,'Liste de prix Public EUROPE'!$B$9:$H$174,6,FALSE),IF(D21=$U$20,VLOOKUP(A21, 'Liste de prix Public EUROPE'!$B$9:$H$174,6,FALSE)+(VLOOKUP(A21,'Liste de prix Public EUROPE'!$B$378:$H$547,6,FALSE)),IF(D21=$U$21,VLOOKUP(A21,'Liste de prix Public EUROPE'!$B$9:$H$174,6,FALSE)+ (VLOOKUP(A21,'Liste de prix Public EUROPE'!$B$559:$H$700,6,FALSE)),IF(D21=$U$22,VLOOKUP(A21,'Liste de prix Public EUROPE'!$B$9:$H$174,6,FALSE)+ (VLOOKUP(A21,'Liste de prix Public EUROPE'!$B$1303:$H$1344,6,FALSE)),IF(D21=$U$25,VLOOKUP(A21,'Liste de prix Public EUROPE'!$B$9:$H$174,6,FALSE)+(VLOOKUP(A21,'Liste de prix Public EUROPE'!$B$1354:$H$1403,6,FALSE)),IF(D21=$U$26,VLOOKUP(A21,'Liste de prix Public EUROPE'!$B$9:$H$174,6,FALSE)+(VLOOKUP(A21,'Liste de prix Public EUROPE'!$B$1407:$H$1451,6,FALSE)),IF(D21=$U$28,VLOOKUP(A21,'Liste de prix Public EUROPE'!$B$9:$H$174,6,FALSE)+ (VLOOKUP(A21,'Liste de prix Public EUROPE'!$B$1506:$H$1565,6,FALSE)),IF(D21=$U$23,VLOOKUP(A21,'Liste de prix Public EUROPE'!$B$9:$H$174,6,FALSE)+( VLOOKUP(A21,'Liste de prix Public EUROPE'!$B$834:H$974,6,FALSE)),IF(D21=$U$24,VLOOKUP(A21,'Liste de prix Public EUROPE'!$B$9:$H$174,6,FALSE)+( VLOOKUP(A21,'Liste de prix Public EUROPE'!$B706:$H$829,6,FALSE)),IF(D21=$U$27,VLOOKUP(A21,'Liste de prix Public EUROPE'!$B$9:$H$174,6,FALSE)+( VLOOKUP(A21,'Liste de prix Public EUROPE'!$B$1455:$H$1502,6,FALSE)),FALSE))))))))))*730*C21*B21),
(IF(D21=$U$19,VLOOKUP(A21,'Liste de prix Public EUROPE'!$B$9:$H$174,7,FALSE),IF(D21=$U$20, VLOOKUP(A21,'Liste de prix Public EUROPE'!$B$9:$H$174,7,FALSE)+(VLOOKUP(A21,'Liste de prix Public EUROPE'!$B$378:$H$547,7,FALSE)),IF(D21=$U$21, VLOOKUP(A21,'Liste de prix Public EUROPE'!$B$9:$H$174,7,FALSE)+(VLOOKUP(A21,'Liste de prix Public EUROPE'!$B$559:$H$700,7,FALSE)),IF(D21=$U$22, VLOOKUP(A21,'Liste de prix Public EUROPE'!$B$9:$H$174,7,FALSE)+(VLOOKUP(A21,'Liste de prix Public EUROPE'!$B$1303:$H$1344,7,FALSE)),IF(D21=$U$25, VLOOKUP(A21,'Liste de prix Public EUROPE'!$B$9:$H$174,7,FALSE)+(VLOOKUP(A21,'Liste de prix Public EUROPE'!$B$1354:$H$1403,7,FALSE)),IF(D21=$U$26, VLOOKUP(A21,'Liste de prix Public EUROPE'!$B$9:$H$174,7,FALSE)+(VLOOKUP(A21,'Liste de prix Public EUROPE'!$B$1407:$H$1451,7,FALSE)),IF(D21=$U$28, VLOOKUP(A21,'Liste de prix Public EUROPE'!$B$9:$H$174,7,FALSE)+(VLOOKUP(A21,'Liste de prix Public EUROPE'!$B$1506:$H$1565,7,FALSE)),IF(D21=$U$23, VLOOKUP(A21,'Liste de prix Public EUROPE'!$B$9:$H$174,7,FALSE)+(VLOOKUP(A21,'Liste de prix Public EUROPE'!$B$834:$H$974,7,FALSE)),IF(D21=$U$24, VLOOKUP(A21,'Liste de prix Public EUROPE'!$B$9:$H$174,7,FALSE)+(VLOOKUP(A21,'Liste de prix Public EUROPE'!$B$704:$H$829,7,FALSE)),IF(D21=$U$27, VLOOKUP(A21,'Liste de prix Public EUROPE'!$B$9:$H$174,7,FALSE)+(VLOOKUP(A21,'Liste de prix Public EUROPE'!$B$1503:$H$1506,7,FALSE)),FALSE))))))))))*B21))</f>
        <v>0</v>
      </c>
      <c r="G21" s="842"/>
      <c r="H21" s="360"/>
      <c r="I21" s="64"/>
      <c r="J21" s="1000"/>
      <c r="U21" s="946" t="s">
        <v>17</v>
      </c>
    </row>
    <row r="22" spans="1:21">
      <c r="A22" s="585"/>
      <c r="B22" s="415"/>
      <c r="C22" s="416"/>
      <c r="D22" s="417"/>
      <c r="E22" s="417"/>
      <c r="F22" s="371">
        <f>IF(C22&lt;90%,(IF(D22=$U$19,VLOOKUP(A22,'Liste de prix Public EUROPE'!$B$9:$H$174,6,FALSE),IF(D22=$U$20,VLOOKUP(A22, 'Liste de prix Public EUROPE'!$B$9:$H$174,6,FALSE)+(VLOOKUP(A22,'Liste de prix Public EUROPE'!$B$378:$H$547,6,FALSE)),IF(D22=$U$21,VLOOKUP(A22,'Liste de prix Public EUROPE'!$B$9:$H$174,6,FALSE)+ (VLOOKUP(A22,'Liste de prix Public EUROPE'!$B$559:$H$700,6,FALSE)),IF(D22=$U$22,VLOOKUP(A22,'Liste de prix Public EUROPE'!$B$9:$H$174,6,FALSE)+ (VLOOKUP(A22,'Liste de prix Public EUROPE'!$B$1303:$H$1344,6,FALSE)),IF(D22=$U$25,VLOOKUP(A22,'Liste de prix Public EUROPE'!$B$9:$H$174,6,FALSE)+(VLOOKUP(A22,'Liste de prix Public EUROPE'!$B$1354:$H$1403,6,FALSE)),IF(D22=$U$26,VLOOKUP(A22,'Liste de prix Public EUROPE'!$B$9:$H$174,6,FALSE)+(VLOOKUP(A22,'Liste de prix Public EUROPE'!$B$1407:$H$1451,6,FALSE)),IF(D22=$U$28,VLOOKUP(A22,'Liste de prix Public EUROPE'!$B$9:$H$174,6,FALSE)+ (VLOOKUP(A22,'Liste de prix Public EUROPE'!$B$1506:$H$1565,6,FALSE)),IF(D22=$U$23,VLOOKUP(A22,'Liste de prix Public EUROPE'!$B$9:$H$174,6,FALSE)+( VLOOKUP(A22,'Liste de prix Public EUROPE'!$B$834:H$974,6,FALSE)),IF(D22=$U$24,VLOOKUP(A22,'Liste de prix Public EUROPE'!$B$9:$H$174,6,FALSE)+( VLOOKUP(A22,'Liste de prix Public EUROPE'!$B707:$H$829,6,FALSE)),IF(D22=$U$27,VLOOKUP(A22,'Liste de prix Public EUROPE'!$B$9:$H$174,6,FALSE)+( VLOOKUP(A22,'Liste de prix Public EUROPE'!$B$1455:$H$1502,6,FALSE)),FALSE))))))))))*730*C22*B22),
(IF(D22=$U$19,VLOOKUP(A22,'Liste de prix Public EUROPE'!$B$9:$H$174,7,FALSE),IF(D22=$U$20, VLOOKUP(A22,'Liste de prix Public EUROPE'!$B$9:$H$174,7,FALSE)+(VLOOKUP(A22,'Liste de prix Public EUROPE'!$B$378:$H$547,7,FALSE)),IF(D22=$U$21, VLOOKUP(A22,'Liste de prix Public EUROPE'!$B$9:$H$174,7,FALSE)+(VLOOKUP(A22,'Liste de prix Public EUROPE'!$B$559:$H$700,7,FALSE)),IF(D22=$U$22, VLOOKUP(A22,'Liste de prix Public EUROPE'!$B$9:$H$174,7,FALSE)+(VLOOKUP(A22,'Liste de prix Public EUROPE'!$B$1303:$H$1344,7,FALSE)),IF(D22=$U$25, VLOOKUP(A22,'Liste de prix Public EUROPE'!$B$9:$H$174,7,FALSE)+(VLOOKUP(A22,'Liste de prix Public EUROPE'!$B$1354:$H$1403,7,FALSE)),IF(D22=$U$26, VLOOKUP(A22,'Liste de prix Public EUROPE'!$B$9:$H$174,7,FALSE)+(VLOOKUP(A22,'Liste de prix Public EUROPE'!$B$1407:$H$1451,7,FALSE)),IF(D22=$U$28, VLOOKUP(A22,'Liste de prix Public EUROPE'!$B$9:$H$174,7,FALSE)+(VLOOKUP(A22,'Liste de prix Public EUROPE'!$B$1506:$H$1565,7,FALSE)),IF(D22=$U$23, VLOOKUP(A22,'Liste de prix Public EUROPE'!$B$9:$H$174,7,FALSE)+(VLOOKUP(A22,'Liste de prix Public EUROPE'!$B$834:$H$974,7,FALSE)),IF(D22=$U$24, VLOOKUP(A22,'Liste de prix Public EUROPE'!$B$9:$H$174,7,FALSE)+(VLOOKUP(A22,'Liste de prix Public EUROPE'!$B$704:$H$829,7,FALSE)),IF(D22=$U$27, VLOOKUP(A22,'Liste de prix Public EUROPE'!$B$9:$H$174,7,FALSE)+(VLOOKUP(A22,'Liste de prix Public EUROPE'!$B$1503:$H$1506,7,FALSE)),FALSE))))))))))*B22))</f>
        <v>0</v>
      </c>
      <c r="G22" s="842"/>
      <c r="H22" s="360"/>
      <c r="I22" s="64"/>
      <c r="J22" s="1000"/>
      <c r="U22" s="946" t="s">
        <v>229</v>
      </c>
    </row>
    <row r="23" spans="1:21">
      <c r="A23" s="585"/>
      <c r="B23" s="415"/>
      <c r="C23" s="416"/>
      <c r="D23" s="417"/>
      <c r="E23" s="417"/>
      <c r="F23" s="371">
        <f>IF(C23&lt;90%,(IF(D23=$U$19,VLOOKUP(A23,'Liste de prix Public EUROPE'!$B$9:$H$174,6,FALSE),IF(D23=$U$20,VLOOKUP(A23, 'Liste de prix Public EUROPE'!$B$9:$H$174,6,FALSE)+(VLOOKUP(A23,'Liste de prix Public EUROPE'!$B$378:$H$547,6,FALSE)),IF(D23=$U$21,VLOOKUP(A23,'Liste de prix Public EUROPE'!$B$9:$H$174,6,FALSE)+ (VLOOKUP(A23,'Liste de prix Public EUROPE'!$B$559:$H$700,6,FALSE)),IF(D23=$U$22,VLOOKUP(A23,'Liste de prix Public EUROPE'!$B$9:$H$174,6,FALSE)+ (VLOOKUP(A23,'Liste de prix Public EUROPE'!$B$1303:$H$1344,6,FALSE)),IF(D23=$U$25,VLOOKUP(A23,'Liste de prix Public EUROPE'!$B$9:$H$174,6,FALSE)+(VLOOKUP(A23,'Liste de prix Public EUROPE'!$B$1354:$H$1403,6,FALSE)),IF(D23=$U$26,VLOOKUP(A23,'Liste de prix Public EUROPE'!$B$9:$H$174,6,FALSE)+(VLOOKUP(A23,'Liste de prix Public EUROPE'!$B$1407:$H$1451,6,FALSE)),IF(D23=$U$28,VLOOKUP(A23,'Liste de prix Public EUROPE'!$B$9:$H$174,6,FALSE)+ (VLOOKUP(A23,'Liste de prix Public EUROPE'!$B$1506:$H$1565,6,FALSE)),IF(D23=$U$23,VLOOKUP(A23,'Liste de prix Public EUROPE'!$B$9:$H$174,6,FALSE)+( VLOOKUP(A23,'Liste de prix Public EUROPE'!$B$834:H$974,6,FALSE)),IF(D23=$U$24,VLOOKUP(A23,'Liste de prix Public EUROPE'!$B$9:$H$174,6,FALSE)+( VLOOKUP(A23,'Liste de prix Public EUROPE'!$B708:$H$829,6,FALSE)),IF(D23=$U$27,VLOOKUP(A23,'Liste de prix Public EUROPE'!$B$9:$H$174,6,FALSE)+( VLOOKUP(A23,'Liste de prix Public EUROPE'!$B$1455:$H$1502,6,FALSE)),FALSE))))))))))*730*C23*B23),
(IF(D23=$U$19,VLOOKUP(A23,'Liste de prix Public EUROPE'!$B$9:$H$174,7,FALSE),IF(D23=$U$20, VLOOKUP(A23,'Liste de prix Public EUROPE'!$B$9:$H$174,7,FALSE)+(VLOOKUP(A23,'Liste de prix Public EUROPE'!$B$378:$H$547,7,FALSE)),IF(D23=$U$21, VLOOKUP(A23,'Liste de prix Public EUROPE'!$B$9:$H$174,7,FALSE)+(VLOOKUP(A23,'Liste de prix Public EUROPE'!$B$559:$H$700,7,FALSE)),IF(D23=$U$22, VLOOKUP(A23,'Liste de prix Public EUROPE'!$B$9:$H$174,7,FALSE)+(VLOOKUP(A23,'Liste de prix Public EUROPE'!$B$1303:$H$1344,7,FALSE)),IF(D23=$U$25, VLOOKUP(A23,'Liste de prix Public EUROPE'!$B$9:$H$174,7,FALSE)+(VLOOKUP(A23,'Liste de prix Public EUROPE'!$B$1354:$H$1403,7,FALSE)),IF(D23=$U$26, VLOOKUP(A23,'Liste de prix Public EUROPE'!$B$9:$H$174,7,FALSE)+(VLOOKUP(A23,'Liste de prix Public EUROPE'!$B$1407:$H$1451,7,FALSE)),IF(D23=$U$28, VLOOKUP(A23,'Liste de prix Public EUROPE'!$B$9:$H$174,7,FALSE)+(VLOOKUP(A23,'Liste de prix Public EUROPE'!$B$1506:$H$1565,7,FALSE)),IF(D23=$U$23, VLOOKUP(A23,'Liste de prix Public EUROPE'!$B$9:$H$174,7,FALSE)+(VLOOKUP(A23,'Liste de prix Public EUROPE'!$B$834:$H$974,7,FALSE)),IF(D23=$U$24, VLOOKUP(A23,'Liste de prix Public EUROPE'!$B$9:$H$174,7,FALSE)+(VLOOKUP(A23,'Liste de prix Public EUROPE'!$B$704:$H$829,7,FALSE)),IF(D23=$U$27, VLOOKUP(A23,'Liste de prix Public EUROPE'!$B$9:$H$174,7,FALSE)+(VLOOKUP(A23,'Liste de prix Public EUROPE'!$B$1503:$H$1506,7,FALSE)),FALSE))))))))))*B23))</f>
        <v>0</v>
      </c>
      <c r="G23" s="842"/>
      <c r="H23" s="360"/>
      <c r="I23" s="64"/>
      <c r="J23" s="1000"/>
      <c r="U23" s="946" t="s">
        <v>104</v>
      </c>
    </row>
    <row r="24" spans="1:21">
      <c r="A24" s="585"/>
      <c r="B24" s="415"/>
      <c r="C24" s="416"/>
      <c r="D24" s="417"/>
      <c r="E24" s="417"/>
      <c r="F24" s="371">
        <f>IF(C24&lt;90%,(IF(D24=$U$19,VLOOKUP(A24,'Liste de prix Public EUROPE'!$B$9:$H$174,6,FALSE),IF(D24=$U$20,VLOOKUP(A24, 'Liste de prix Public EUROPE'!$B$9:$H$174,6,FALSE)+(VLOOKUP(A24,'Liste de prix Public EUROPE'!$B$378:$H$547,6,FALSE)),IF(D24=$U$21,VLOOKUP(A24,'Liste de prix Public EUROPE'!$B$9:$H$174,6,FALSE)+ (VLOOKUP(A24,'Liste de prix Public EUROPE'!$B$559:$H$700,6,FALSE)),IF(D24=$U$22,VLOOKUP(A24,'Liste de prix Public EUROPE'!$B$9:$H$174,6,FALSE)+ (VLOOKUP(A24,'Liste de prix Public EUROPE'!$B$1303:$H$1344,6,FALSE)),IF(D24=$U$25,VLOOKUP(A24,'Liste de prix Public EUROPE'!$B$9:$H$174,6,FALSE)+(VLOOKUP(A24,'Liste de prix Public EUROPE'!$B$1354:$H$1403,6,FALSE)),IF(D24=$U$26,VLOOKUP(A24,'Liste de prix Public EUROPE'!$B$9:$H$174,6,FALSE)+(VLOOKUP(A24,'Liste de prix Public EUROPE'!$B$1407:$H$1451,6,FALSE)),IF(D24=$U$28,VLOOKUP(A24,'Liste de prix Public EUROPE'!$B$9:$H$174,6,FALSE)+ (VLOOKUP(A24,'Liste de prix Public EUROPE'!$B$1506:$H$1565,6,FALSE)),IF(D24=$U$23,VLOOKUP(A24,'Liste de prix Public EUROPE'!$B$9:$H$174,6,FALSE)+( VLOOKUP(A24,'Liste de prix Public EUROPE'!$B$834:H$974,6,FALSE)),IF(D24=$U$24,VLOOKUP(A24,'Liste de prix Public EUROPE'!$B$9:$H$174,6,FALSE)+( VLOOKUP(A24,'Liste de prix Public EUROPE'!$B709:$H$829,6,FALSE)),IF(D24=$U$27,VLOOKUP(A24,'Liste de prix Public EUROPE'!$B$9:$H$174,6,FALSE)+( VLOOKUP(A24,'Liste de prix Public EUROPE'!$B$1455:$H$1502,6,FALSE)),FALSE))))))))))*730*C24*B24),
(IF(D24=$U$19,VLOOKUP(A24,'Liste de prix Public EUROPE'!$B$9:$H$174,7,FALSE),IF(D24=$U$20, VLOOKUP(A24,'Liste de prix Public EUROPE'!$B$9:$H$174,7,FALSE)+(VLOOKUP(A24,'Liste de prix Public EUROPE'!$B$378:$H$547,7,FALSE)),IF(D24=$U$21, VLOOKUP(A24,'Liste de prix Public EUROPE'!$B$9:$H$174,7,FALSE)+(VLOOKUP(A24,'Liste de prix Public EUROPE'!$B$559:$H$700,7,FALSE)),IF(D24=$U$22, VLOOKUP(A24,'Liste de prix Public EUROPE'!$B$9:$H$174,7,FALSE)+(VLOOKUP(A24,'Liste de prix Public EUROPE'!$B$1303:$H$1344,7,FALSE)),IF(D24=$U$25, VLOOKUP(A24,'Liste de prix Public EUROPE'!$B$9:$H$174,7,FALSE)+(VLOOKUP(A24,'Liste de prix Public EUROPE'!$B$1354:$H$1403,7,FALSE)),IF(D24=$U$26, VLOOKUP(A24,'Liste de prix Public EUROPE'!$B$9:$H$174,7,FALSE)+(VLOOKUP(A24,'Liste de prix Public EUROPE'!$B$1407:$H$1451,7,FALSE)),IF(D24=$U$28, VLOOKUP(A24,'Liste de prix Public EUROPE'!$B$9:$H$174,7,FALSE)+(VLOOKUP(A24,'Liste de prix Public EUROPE'!$B$1506:$H$1565,7,FALSE)),IF(D24=$U$23, VLOOKUP(A24,'Liste de prix Public EUROPE'!$B$9:$H$174,7,FALSE)+(VLOOKUP(A24,'Liste de prix Public EUROPE'!$B$834:$H$974,7,FALSE)),IF(D24=$U$24, VLOOKUP(A24,'Liste de prix Public EUROPE'!$B$9:$H$174,7,FALSE)+(VLOOKUP(A24,'Liste de prix Public EUROPE'!$B$704:$H$829,7,FALSE)),IF(D24=$U$27, VLOOKUP(A24,'Liste de prix Public EUROPE'!$B$9:$H$174,7,FALSE)+(VLOOKUP(A24,'Liste de prix Public EUROPE'!$B$1503:$H$1506,7,FALSE)),FALSE))))))))))*B24))</f>
        <v>0</v>
      </c>
      <c r="G24" s="842"/>
      <c r="H24" s="360"/>
      <c r="I24" s="64"/>
      <c r="U24" s="946" t="s">
        <v>273</v>
      </c>
    </row>
    <row r="25" spans="1:21">
      <c r="A25" s="585"/>
      <c r="B25" s="415"/>
      <c r="C25" s="416"/>
      <c r="D25" s="417"/>
      <c r="E25" s="417"/>
      <c r="F25" s="371">
        <f>IF(C25&lt;90%,(IF(D25=$U$19,VLOOKUP(A25,'Liste de prix Public EUROPE'!$B$9:$H$174,6,FALSE),IF(D25=$U$20,VLOOKUP(A25, 'Liste de prix Public EUROPE'!$B$9:$H$174,6,FALSE)+(VLOOKUP(A25,'Liste de prix Public EUROPE'!$B$378:$H$547,6,FALSE)),IF(D25=$U$21,VLOOKUP(A25,'Liste de prix Public EUROPE'!$B$9:$H$174,6,FALSE)+ (VLOOKUP(A25,'Liste de prix Public EUROPE'!$B$559:$H$700,6,FALSE)),IF(D25=$U$22,VLOOKUP(A25,'Liste de prix Public EUROPE'!$B$9:$H$174,6,FALSE)+ (VLOOKUP(A25,'Liste de prix Public EUROPE'!$B$1303:$H$1344,6,FALSE)),IF(D25=$U$25,VLOOKUP(A25,'Liste de prix Public EUROPE'!$B$9:$H$174,6,FALSE)+(VLOOKUP(A25,'Liste de prix Public EUROPE'!$B$1354:$H$1403,6,FALSE)),IF(D25=$U$26,VLOOKUP(A25,'Liste de prix Public EUROPE'!$B$9:$H$174,6,FALSE)+(VLOOKUP(A25,'Liste de prix Public EUROPE'!$B$1407:$H$1451,6,FALSE)),IF(D25=$U$28,VLOOKUP(A25,'Liste de prix Public EUROPE'!$B$9:$H$174,6,FALSE)+ (VLOOKUP(A25,'Liste de prix Public EUROPE'!$B$1506:$H$1565,6,FALSE)),IF(D25=$U$23,VLOOKUP(A25,'Liste de prix Public EUROPE'!$B$9:$H$174,6,FALSE)+( VLOOKUP(A25,'Liste de prix Public EUROPE'!$B$834:H$974,6,FALSE)),IF(D25=$U$24,VLOOKUP(A25,'Liste de prix Public EUROPE'!$B$9:$H$174,6,FALSE)+( VLOOKUP(A25,'Liste de prix Public EUROPE'!$B710:$H$829,6,FALSE)),IF(D25=$U$27,VLOOKUP(A25,'Liste de prix Public EUROPE'!$B$9:$H$174,6,FALSE)+( VLOOKUP(A25,'Liste de prix Public EUROPE'!$B$1455:$H$1502,6,FALSE)),FALSE))))))))))*730*C25*B25),
(IF(D25=$U$19,VLOOKUP(A25,'Liste de prix Public EUROPE'!$B$9:$H$174,7,FALSE),IF(D25=$U$20, VLOOKUP(A25,'Liste de prix Public EUROPE'!$B$9:$H$174,7,FALSE)+(VLOOKUP(A25,'Liste de prix Public EUROPE'!$B$378:$H$547,7,FALSE)),IF(D25=$U$21, VLOOKUP(A25,'Liste de prix Public EUROPE'!$B$9:$H$174,7,FALSE)+(VLOOKUP(A25,'Liste de prix Public EUROPE'!$B$559:$H$700,7,FALSE)),IF(D25=$U$22, VLOOKUP(A25,'Liste de prix Public EUROPE'!$B$9:$H$174,7,FALSE)+(VLOOKUP(A25,'Liste de prix Public EUROPE'!$B$1303:$H$1344,7,FALSE)),IF(D25=$U$25, VLOOKUP(A25,'Liste de prix Public EUROPE'!$B$9:$H$174,7,FALSE)+(VLOOKUP(A25,'Liste de prix Public EUROPE'!$B$1354:$H$1403,7,FALSE)),IF(D25=$U$26, VLOOKUP(A25,'Liste de prix Public EUROPE'!$B$9:$H$174,7,FALSE)+(VLOOKUP(A25,'Liste de prix Public EUROPE'!$B$1407:$H$1451,7,FALSE)),IF(D25=$U$28, VLOOKUP(A25,'Liste de prix Public EUROPE'!$B$9:$H$174,7,FALSE)+(VLOOKUP(A25,'Liste de prix Public EUROPE'!$B$1506:$H$1565,7,FALSE)),IF(D25=$U$23, VLOOKUP(A25,'Liste de prix Public EUROPE'!$B$9:$H$174,7,FALSE)+(VLOOKUP(A25,'Liste de prix Public EUROPE'!$B$834:$H$974,7,FALSE)),IF(D25=$U$24, VLOOKUP(A25,'Liste de prix Public EUROPE'!$B$9:$H$174,7,FALSE)+(VLOOKUP(A25,'Liste de prix Public EUROPE'!$B$704:$H$829,7,FALSE)),IF(D25=$U$27, VLOOKUP(A25,'Liste de prix Public EUROPE'!$B$9:$H$174,7,FALSE)+(VLOOKUP(A25,'Liste de prix Public EUROPE'!$B$1503:$H$1506,7,FALSE)),FALSE))))))))))*B25))</f>
        <v>0</v>
      </c>
      <c r="G25" s="842"/>
      <c r="H25" s="360"/>
      <c r="I25" s="64"/>
      <c r="U25" s="946" t="s">
        <v>245</v>
      </c>
    </row>
    <row r="26" spans="1:21">
      <c r="A26" s="585"/>
      <c r="B26" s="415"/>
      <c r="C26" s="416"/>
      <c r="D26" s="417"/>
      <c r="E26" s="591"/>
      <c r="F26" s="371">
        <f>IF(C26&lt;90%,(IF(D26=$U$19,VLOOKUP(A26,'Liste de prix Public EUROPE'!$B$9:$H$174,6,FALSE),IF(D26=$U$20,VLOOKUP(A26, 'Liste de prix Public EUROPE'!$B$9:$H$174,6,FALSE)+(VLOOKUP(A26,'Liste de prix Public EUROPE'!$B$378:$H$547,6,FALSE)),IF(D26=$U$21,VLOOKUP(A26,'Liste de prix Public EUROPE'!$B$9:$H$174,6,FALSE)+ (VLOOKUP(A26,'Liste de prix Public EUROPE'!$B$559:$H$700,6,FALSE)),IF(D26=$U$22,VLOOKUP(A26,'Liste de prix Public EUROPE'!$B$9:$H$174,6,FALSE)+ (VLOOKUP(A26,'Liste de prix Public EUROPE'!$B$1303:$H$1344,6,FALSE)),IF(D26=$U$25,VLOOKUP(A26,'Liste de prix Public EUROPE'!$B$9:$H$174,6,FALSE)+(VLOOKUP(A26,'Liste de prix Public EUROPE'!$B$1354:$H$1403,6,FALSE)),IF(D26=$U$26,VLOOKUP(A26,'Liste de prix Public EUROPE'!$B$9:$H$174,6,FALSE)+(VLOOKUP(A26,'Liste de prix Public EUROPE'!$B$1407:$H$1451,6,FALSE)),IF(D26=$U$28,VLOOKUP(A26,'Liste de prix Public EUROPE'!$B$9:$H$174,6,FALSE)+ (VLOOKUP(A26,'Liste de prix Public EUROPE'!$B$1506:$H$1565,6,FALSE)),IF(D26=$U$23,VLOOKUP(A26,'Liste de prix Public EUROPE'!$B$9:$H$174,6,FALSE)+( VLOOKUP(A26,'Liste de prix Public EUROPE'!$B$834:H$974,6,FALSE)),IF(D26=$U$24,VLOOKUP(A26,'Liste de prix Public EUROPE'!$B$9:$H$174,6,FALSE)+( VLOOKUP(A26,'Liste de prix Public EUROPE'!$B711:$H$829,6,FALSE)),IF(D26=$U$27,VLOOKUP(A26,'Liste de prix Public EUROPE'!$B$9:$H$174,6,FALSE)+( VLOOKUP(A26,'Liste de prix Public EUROPE'!$B$1455:$H$1502,6,FALSE)),FALSE))))))))))*730*C26*B26),
(IF(D26=$U$19,VLOOKUP(A26,'Liste de prix Public EUROPE'!$B$9:$H$174,7,FALSE),IF(D26=$U$20, VLOOKUP(A26,'Liste de prix Public EUROPE'!$B$9:$H$174,7,FALSE)+(VLOOKUP(A26,'Liste de prix Public EUROPE'!$B$378:$H$547,7,FALSE)),IF(D26=$U$21, VLOOKUP(A26,'Liste de prix Public EUROPE'!$B$9:$H$174,7,FALSE)+(VLOOKUP(A26,'Liste de prix Public EUROPE'!$B$559:$H$700,7,FALSE)),IF(D26=$U$22, VLOOKUP(A26,'Liste de prix Public EUROPE'!$B$9:$H$174,7,FALSE)+(VLOOKUP(A26,'Liste de prix Public EUROPE'!$B$1303:$H$1344,7,FALSE)),IF(D26=$U$25, VLOOKUP(A26,'Liste de prix Public EUROPE'!$B$9:$H$174,7,FALSE)+(VLOOKUP(A26,'Liste de prix Public EUROPE'!$B$1354:$H$1403,7,FALSE)),IF(D26=$U$26, VLOOKUP(A26,'Liste de prix Public EUROPE'!$B$9:$H$174,7,FALSE)+(VLOOKUP(A26,'Liste de prix Public EUROPE'!$B$1407:$H$1451,7,FALSE)),IF(D26=$U$28, VLOOKUP(A26,'Liste de prix Public EUROPE'!$B$9:$H$174,7,FALSE)+(VLOOKUP(A26,'Liste de prix Public EUROPE'!$B$1506:$H$1565,7,FALSE)),IF(D26=$U$23, VLOOKUP(A26,'Liste de prix Public EUROPE'!$B$9:$H$174,7,FALSE)+(VLOOKUP(A26,'Liste de prix Public EUROPE'!$B$834:$H$974,7,FALSE)),IF(D26=$U$24, VLOOKUP(A26,'Liste de prix Public EUROPE'!$B$9:$H$174,7,FALSE)+(VLOOKUP(A26,'Liste de prix Public EUROPE'!$B$704:$H$829,7,FALSE)),IF(D26=$U$27, VLOOKUP(A26,'Liste de prix Public EUROPE'!$B$9:$H$174,7,FALSE)+(VLOOKUP(A26,'Liste de prix Public EUROPE'!$B$1503:$H$1506,7,FALSE)),FALSE))))))))))*B26))</f>
        <v>0</v>
      </c>
      <c r="G26" s="842"/>
      <c r="H26" s="360"/>
      <c r="I26" s="64"/>
      <c r="U26" s="946" t="s">
        <v>688</v>
      </c>
    </row>
    <row r="27" spans="1:21">
      <c r="A27" s="585"/>
      <c r="B27" s="415"/>
      <c r="C27" s="416"/>
      <c r="D27" s="417"/>
      <c r="E27" s="591"/>
      <c r="F27" s="371">
        <f>IF(C27&lt;90%,(IF(D27=$U$19,VLOOKUP(A27,'Liste de prix Public EUROPE'!$B$9:$H$174,6,FALSE),IF(D27=$U$20,VLOOKUP(A27, 'Liste de prix Public EUROPE'!$B$9:$H$174,6,FALSE)+(VLOOKUP(A27,'Liste de prix Public EUROPE'!$B$378:$H$547,6,FALSE)),IF(D27=$U$21,VLOOKUP(A27,'Liste de prix Public EUROPE'!$B$9:$H$174,6,FALSE)+ (VLOOKUP(A27,'Liste de prix Public EUROPE'!$B$559:$H$700,6,FALSE)),IF(D27=$U$22,VLOOKUP(A27,'Liste de prix Public EUROPE'!$B$9:$H$174,6,FALSE)+ (VLOOKUP(A27,'Liste de prix Public EUROPE'!$B$1303:$H$1344,6,FALSE)),IF(D27=$U$25,VLOOKUP(A27,'Liste de prix Public EUROPE'!$B$9:$H$174,6,FALSE)+(VLOOKUP(A27,'Liste de prix Public EUROPE'!$B$1354:$H$1403,6,FALSE)),IF(D27=$U$26,VLOOKUP(A27,'Liste de prix Public EUROPE'!$B$9:$H$174,6,FALSE)+(VLOOKUP(A27,'Liste de prix Public EUROPE'!$B$1407:$H$1451,6,FALSE)),IF(D27=$U$28,VLOOKUP(A27,'Liste de prix Public EUROPE'!$B$9:$H$174,6,FALSE)+ (VLOOKUP(A27,'Liste de prix Public EUROPE'!$B$1506:$H$1565,6,FALSE)),IF(D27=$U$23,VLOOKUP(A27,'Liste de prix Public EUROPE'!$B$9:$H$174,6,FALSE)+( VLOOKUP(A27,'Liste de prix Public EUROPE'!$B$834:H$974,6,FALSE)),IF(D27=$U$24,VLOOKUP(A27,'Liste de prix Public EUROPE'!$B$9:$H$174,6,FALSE)+( VLOOKUP(A27,'Liste de prix Public EUROPE'!$B712:$H$829,6,FALSE)),IF(D27=$U$27,VLOOKUP(A27,'Liste de prix Public EUROPE'!$B$9:$H$174,6,FALSE)+( VLOOKUP(A27,'Liste de prix Public EUROPE'!$B$1455:$H$1502,6,FALSE)),FALSE))))))))))*730*C27*B27),
(IF(D27=$U$19,VLOOKUP(A27,'Liste de prix Public EUROPE'!$B$9:$H$174,7,FALSE),IF(D27=$U$20, VLOOKUP(A27,'Liste de prix Public EUROPE'!$B$9:$H$174,7,FALSE)+(VLOOKUP(A27,'Liste de prix Public EUROPE'!$B$378:$H$547,7,FALSE)),IF(D27=$U$21, VLOOKUP(A27,'Liste de prix Public EUROPE'!$B$9:$H$174,7,FALSE)+(VLOOKUP(A27,'Liste de prix Public EUROPE'!$B$559:$H$700,7,FALSE)),IF(D27=$U$22, VLOOKUP(A27,'Liste de prix Public EUROPE'!$B$9:$H$174,7,FALSE)+(VLOOKUP(A27,'Liste de prix Public EUROPE'!$B$1303:$H$1344,7,FALSE)),IF(D27=$U$25, VLOOKUP(A27,'Liste de prix Public EUROPE'!$B$9:$H$174,7,FALSE)+(VLOOKUP(A27,'Liste de prix Public EUROPE'!$B$1354:$H$1403,7,FALSE)),IF(D27=$U$26, VLOOKUP(A27,'Liste de prix Public EUROPE'!$B$9:$H$174,7,FALSE)+(VLOOKUP(A27,'Liste de prix Public EUROPE'!$B$1407:$H$1451,7,FALSE)),IF(D27=$U$28, VLOOKUP(A27,'Liste de prix Public EUROPE'!$B$9:$H$174,7,FALSE)+(VLOOKUP(A27,'Liste de prix Public EUROPE'!$B$1506:$H$1565,7,FALSE)),IF(D27=$U$23, VLOOKUP(A27,'Liste de prix Public EUROPE'!$B$9:$H$174,7,FALSE)+(VLOOKUP(A27,'Liste de prix Public EUROPE'!$B$834:$H$974,7,FALSE)),IF(D27=$U$24, VLOOKUP(A27,'Liste de prix Public EUROPE'!$B$9:$H$174,7,FALSE)+(VLOOKUP(A27,'Liste de prix Public EUROPE'!$B$704:$H$829,7,FALSE)),IF(D27=$U$27, VLOOKUP(A27,'Liste de prix Public EUROPE'!$B$9:$H$174,7,FALSE)+(VLOOKUP(A27,'Liste de prix Public EUROPE'!$B$1503:$H$1506,7,FALSE)),FALSE))))))))))*B27))</f>
        <v>0</v>
      </c>
      <c r="G27" s="842"/>
      <c r="H27" s="360"/>
      <c r="I27" s="64"/>
      <c r="U27" s="946" t="s">
        <v>686</v>
      </c>
    </row>
    <row r="28" spans="1:21">
      <c r="A28" s="585"/>
      <c r="B28" s="415"/>
      <c r="C28" s="416"/>
      <c r="D28" s="417"/>
      <c r="E28" s="417"/>
      <c r="F28" s="371">
        <f>IF(C28&lt;90%,(IF(D28=$U$19,VLOOKUP(A28,'Liste de prix Public EUROPE'!$B$9:$H$174,6,FALSE),IF(D28=$U$20,VLOOKUP(A28, 'Liste de prix Public EUROPE'!$B$9:$H$174,6,FALSE)+(VLOOKUP(A28,'Liste de prix Public EUROPE'!$B$378:$H$547,6,FALSE)),IF(D28=$U$21,VLOOKUP(A28,'Liste de prix Public EUROPE'!$B$9:$H$174,6,FALSE)+ (VLOOKUP(A28,'Liste de prix Public EUROPE'!$B$559:$H$700,6,FALSE)),IF(D28=$U$22,VLOOKUP(A28,'Liste de prix Public EUROPE'!$B$9:$H$174,6,FALSE)+ (VLOOKUP(A28,'Liste de prix Public EUROPE'!$B$1303:$H$1344,6,FALSE)),IF(D28=$U$25,VLOOKUP(A28,'Liste de prix Public EUROPE'!$B$9:$H$174,6,FALSE)+(VLOOKUP(A28,'Liste de prix Public EUROPE'!$B$1354:$H$1403,6,FALSE)),IF(D28=$U$26,VLOOKUP(A28,'Liste de prix Public EUROPE'!$B$9:$H$174,6,FALSE)+(VLOOKUP(A28,'Liste de prix Public EUROPE'!$B$1407:$H$1451,6,FALSE)),IF(D28=$U$28,VLOOKUP(A28,'Liste de prix Public EUROPE'!$B$9:$H$174,6,FALSE)+ (VLOOKUP(A28,'Liste de prix Public EUROPE'!$B$1506:$H$1565,6,FALSE)),IF(D28=$U$23,VLOOKUP(A28,'Liste de prix Public EUROPE'!$B$9:$H$174,6,FALSE)+( VLOOKUP(A28,'Liste de prix Public EUROPE'!$B$834:H$974,6,FALSE)),IF(D28=$U$24,VLOOKUP(A28,'Liste de prix Public EUROPE'!$B$9:$H$174,6,FALSE)+( VLOOKUP(A28,'Liste de prix Public EUROPE'!$B713:$H$829,6,FALSE)),IF(D28=$U$27,VLOOKUP(A28,'Liste de prix Public EUROPE'!$B$9:$H$174,6,FALSE)+( VLOOKUP(A28,'Liste de prix Public EUROPE'!$B$1455:$H$1502,6,FALSE)),FALSE))))))))))*730*C28*B28),
(IF(D28=$U$19,VLOOKUP(A28,'Liste de prix Public EUROPE'!$B$9:$H$174,7,FALSE),IF(D28=$U$20, VLOOKUP(A28,'Liste de prix Public EUROPE'!$B$9:$H$174,7,FALSE)+(VLOOKUP(A28,'Liste de prix Public EUROPE'!$B$378:$H$547,7,FALSE)),IF(D28=$U$21, VLOOKUP(A28,'Liste de prix Public EUROPE'!$B$9:$H$174,7,FALSE)+(VLOOKUP(A28,'Liste de prix Public EUROPE'!$B$559:$H$700,7,FALSE)),IF(D28=$U$22, VLOOKUP(A28,'Liste de prix Public EUROPE'!$B$9:$H$174,7,FALSE)+(VLOOKUP(A28,'Liste de prix Public EUROPE'!$B$1303:$H$1344,7,FALSE)),IF(D28=$U$25, VLOOKUP(A28,'Liste de prix Public EUROPE'!$B$9:$H$174,7,FALSE)+(VLOOKUP(A28,'Liste de prix Public EUROPE'!$B$1354:$H$1403,7,FALSE)),IF(D28=$U$26, VLOOKUP(A28,'Liste de prix Public EUROPE'!$B$9:$H$174,7,FALSE)+(VLOOKUP(A28,'Liste de prix Public EUROPE'!$B$1407:$H$1451,7,FALSE)),IF(D28=$U$28, VLOOKUP(A28,'Liste de prix Public EUROPE'!$B$9:$H$174,7,FALSE)+(VLOOKUP(A28,'Liste de prix Public EUROPE'!$B$1506:$H$1565,7,FALSE)),IF(D28=$U$23, VLOOKUP(A28,'Liste de prix Public EUROPE'!$B$9:$H$174,7,FALSE)+(VLOOKUP(A28,'Liste de prix Public EUROPE'!$B$834:$H$974,7,FALSE)),IF(D28=$U$24, VLOOKUP(A28,'Liste de prix Public EUROPE'!$B$9:$H$174,7,FALSE)+(VLOOKUP(A28,'Liste de prix Public EUROPE'!$B$704:$H$829,7,FALSE)),IF(D28=$U$27, VLOOKUP(A28,'Liste de prix Public EUROPE'!$B$9:$H$174,7,FALSE)+(VLOOKUP(A28,'Liste de prix Public EUROPE'!$B$1503:$H$1506,7,FALSE)),FALSE))))))))))*B28))</f>
        <v>0</v>
      </c>
      <c r="G28" s="842"/>
      <c r="H28" s="360"/>
      <c r="I28" s="64"/>
      <c r="U28" s="946" t="s">
        <v>685</v>
      </c>
    </row>
    <row r="29" spans="1:21">
      <c r="A29" s="585"/>
      <c r="B29" s="415"/>
      <c r="C29" s="416"/>
      <c r="D29" s="417"/>
      <c r="E29" s="417"/>
      <c r="F29" s="371">
        <f>IF(C29&lt;90%,(IF(D29=$U$19,VLOOKUP(A29,'Liste de prix Public EUROPE'!$B$9:$H$174,6,FALSE),IF(D29=$U$20,VLOOKUP(A29, 'Liste de prix Public EUROPE'!$B$9:$H$174,6,FALSE)+(VLOOKUP(A29,'Liste de prix Public EUROPE'!$B$378:$H$547,6,FALSE)),IF(D29=$U$21,VLOOKUP(A29,'Liste de prix Public EUROPE'!$B$9:$H$174,6,FALSE)+ (VLOOKUP(A29,'Liste de prix Public EUROPE'!$B$559:$H$700,6,FALSE)),IF(D29=$U$22,VLOOKUP(A29,'Liste de prix Public EUROPE'!$B$9:$H$174,6,FALSE)+ (VLOOKUP(A29,'Liste de prix Public EUROPE'!$B$1303:$H$1344,6,FALSE)),IF(D29=$U$25,VLOOKUP(A29,'Liste de prix Public EUROPE'!$B$9:$H$174,6,FALSE)+(VLOOKUP(A29,'Liste de prix Public EUROPE'!$B$1354:$H$1403,6,FALSE)),IF(D29=$U$26,VLOOKUP(A29,'Liste de prix Public EUROPE'!$B$9:$H$174,6,FALSE)+(VLOOKUP(A29,'Liste de prix Public EUROPE'!$B$1407:$H$1451,6,FALSE)),IF(D29=$U$28,VLOOKUP(A29,'Liste de prix Public EUROPE'!$B$9:$H$174,6,FALSE)+ (VLOOKUP(A29,'Liste de prix Public EUROPE'!$B$1506:$H$1565,6,FALSE)),IF(D29=$U$23,VLOOKUP(A29,'Liste de prix Public EUROPE'!$B$9:$H$174,6,FALSE)+( VLOOKUP(A29,'Liste de prix Public EUROPE'!$B$834:H$974,6,FALSE)),IF(D29=$U$24,VLOOKUP(A29,'Liste de prix Public EUROPE'!$B$9:$H$174,6,FALSE)+( VLOOKUP(A29,'Liste de prix Public EUROPE'!$B714:$H$829,6,FALSE)),IF(D29=$U$27,VLOOKUP(A29,'Liste de prix Public EUROPE'!$B$9:$H$174,6,FALSE)+( VLOOKUP(A29,'Liste de prix Public EUROPE'!$B$1455:$H$1502,6,FALSE)),FALSE))))))))))*730*C29*B29),
(IF(D29=$U$19,VLOOKUP(A29,'Liste de prix Public EUROPE'!$B$9:$H$174,7,FALSE),IF(D29=$U$20, VLOOKUP(A29,'Liste de prix Public EUROPE'!$B$9:$H$174,7,FALSE)+(VLOOKUP(A29,'Liste de prix Public EUROPE'!$B$378:$H$547,7,FALSE)),IF(D29=$U$21, VLOOKUP(A29,'Liste de prix Public EUROPE'!$B$9:$H$174,7,FALSE)+(VLOOKUP(A29,'Liste de prix Public EUROPE'!$B$559:$H$700,7,FALSE)),IF(D29=$U$22, VLOOKUP(A29,'Liste de prix Public EUROPE'!$B$9:$H$174,7,FALSE)+(VLOOKUP(A29,'Liste de prix Public EUROPE'!$B$1303:$H$1344,7,FALSE)),IF(D29=$U$25, VLOOKUP(A29,'Liste de prix Public EUROPE'!$B$9:$H$174,7,FALSE)+(VLOOKUP(A29,'Liste de prix Public EUROPE'!$B$1354:$H$1403,7,FALSE)),IF(D29=$U$26, VLOOKUP(A29,'Liste de prix Public EUROPE'!$B$9:$H$174,7,FALSE)+(VLOOKUP(A29,'Liste de prix Public EUROPE'!$B$1407:$H$1451,7,FALSE)),IF(D29=$U$28, VLOOKUP(A29,'Liste de prix Public EUROPE'!$B$9:$H$174,7,FALSE)+(VLOOKUP(A29,'Liste de prix Public EUROPE'!$B$1506:$H$1565,7,FALSE)),IF(D29=$U$23, VLOOKUP(A29,'Liste de prix Public EUROPE'!$B$9:$H$174,7,FALSE)+(VLOOKUP(A29,'Liste de prix Public EUROPE'!$B$834:$H$974,7,FALSE)),IF(D29=$U$24, VLOOKUP(A29,'Liste de prix Public EUROPE'!$B$9:$H$174,7,FALSE)+(VLOOKUP(A29,'Liste de prix Public EUROPE'!$B$704:$H$829,7,FALSE)),IF(D29=$U$27, VLOOKUP(A29,'Liste de prix Public EUROPE'!$B$9:$H$174,7,FALSE)+(VLOOKUP(A29,'Liste de prix Public EUROPE'!$B$1503:$H$1506,7,FALSE)),FALSE))))))))))*B29))</f>
        <v>0</v>
      </c>
      <c r="G29" s="842"/>
      <c r="H29" s="360"/>
      <c r="I29" s="64"/>
    </row>
    <row r="30" spans="1:21">
      <c r="A30" s="585"/>
      <c r="B30" s="415"/>
      <c r="C30" s="416"/>
      <c r="D30" s="417"/>
      <c r="E30" s="417"/>
      <c r="F30" s="371">
        <f>IF(C30&lt;90%,(IF(D30=$U$19,VLOOKUP(A30,'Liste de prix Public EUROPE'!$B$9:$H$174,6,FALSE),IF(D30=$U$20,VLOOKUP(A30, 'Liste de prix Public EUROPE'!$B$9:$H$174,6,FALSE)+(VLOOKUP(A30,'Liste de prix Public EUROPE'!$B$378:$H$547,6,FALSE)),IF(D30=$U$21,VLOOKUP(A30,'Liste de prix Public EUROPE'!$B$9:$H$174,6,FALSE)+ (VLOOKUP(A30,'Liste de prix Public EUROPE'!$B$559:$H$700,6,FALSE)),IF(D30=$U$22,VLOOKUP(A30,'Liste de prix Public EUROPE'!$B$9:$H$174,6,FALSE)+ (VLOOKUP(A30,'Liste de prix Public EUROPE'!$B$1303:$H$1344,6,FALSE)),IF(D30=$U$25,VLOOKUP(A30,'Liste de prix Public EUROPE'!$B$9:$H$174,6,FALSE)+(VLOOKUP(A30,'Liste de prix Public EUROPE'!$B$1354:$H$1403,6,FALSE)),IF(D30=$U$26,VLOOKUP(A30,'Liste de prix Public EUROPE'!$B$9:$H$174,6,FALSE)+(VLOOKUP(A30,'Liste de prix Public EUROPE'!$B$1407:$H$1451,6,FALSE)),IF(D30=$U$28,VLOOKUP(A30,'Liste de prix Public EUROPE'!$B$9:$H$174,6,FALSE)+ (VLOOKUP(A30,'Liste de prix Public EUROPE'!$B$1506:$H$1565,6,FALSE)),IF(D30=$U$23,VLOOKUP(A30,'Liste de prix Public EUROPE'!$B$9:$H$174,6,FALSE)+( VLOOKUP(A30,'Liste de prix Public EUROPE'!$B$834:H$974,6,FALSE)),IF(D30=$U$24,VLOOKUP(A30,'Liste de prix Public EUROPE'!$B$9:$H$174,6,FALSE)+( VLOOKUP(A30,'Liste de prix Public EUROPE'!$B715:$H$829,6,FALSE)),IF(D30=$U$27,VLOOKUP(A30,'Liste de prix Public EUROPE'!$B$9:$H$174,6,FALSE)+( VLOOKUP(A30,'Liste de prix Public EUROPE'!$B$1455:$H$1502,6,FALSE)),FALSE))))))))))*730*C30*B30),
(IF(D30=$U$19,VLOOKUP(A30,'Liste de prix Public EUROPE'!$B$9:$H$174,7,FALSE),IF(D30=$U$20, VLOOKUP(A30,'Liste de prix Public EUROPE'!$B$9:$H$174,7,FALSE)+(VLOOKUP(A30,'Liste de prix Public EUROPE'!$B$378:$H$547,7,FALSE)),IF(D30=$U$21, VLOOKUP(A30,'Liste de prix Public EUROPE'!$B$9:$H$174,7,FALSE)+(VLOOKUP(A30,'Liste de prix Public EUROPE'!$B$559:$H$700,7,FALSE)),IF(D30=$U$22, VLOOKUP(A30,'Liste de prix Public EUROPE'!$B$9:$H$174,7,FALSE)+(VLOOKUP(A30,'Liste de prix Public EUROPE'!$B$1303:$H$1344,7,FALSE)),IF(D30=$U$25, VLOOKUP(A30,'Liste de prix Public EUROPE'!$B$9:$H$174,7,FALSE)+(VLOOKUP(A30,'Liste de prix Public EUROPE'!$B$1354:$H$1403,7,FALSE)),IF(D30=$U$26, VLOOKUP(A30,'Liste de prix Public EUROPE'!$B$9:$H$174,7,FALSE)+(VLOOKUP(A30,'Liste de prix Public EUROPE'!$B$1407:$H$1451,7,FALSE)),IF(D30=$U$28, VLOOKUP(A30,'Liste de prix Public EUROPE'!$B$9:$H$174,7,FALSE)+(VLOOKUP(A30,'Liste de prix Public EUROPE'!$B$1506:$H$1565,7,FALSE)),IF(D30=$U$23, VLOOKUP(A30,'Liste de prix Public EUROPE'!$B$9:$H$174,7,FALSE)+(VLOOKUP(A30,'Liste de prix Public EUROPE'!$B$834:$H$974,7,FALSE)),IF(D30=$U$24, VLOOKUP(A30,'Liste de prix Public EUROPE'!$B$9:$H$174,7,FALSE)+(VLOOKUP(A30,'Liste de prix Public EUROPE'!$B$704:$H$829,7,FALSE)),IF(D30=$U$27, VLOOKUP(A30,'Liste de prix Public EUROPE'!$B$9:$H$174,7,FALSE)+(VLOOKUP(A30,'Liste de prix Public EUROPE'!$B$1503:$H$1506,7,FALSE)),FALSE))))))))))*B30))</f>
        <v>0</v>
      </c>
      <c r="G30" s="842"/>
      <c r="H30" s="360"/>
      <c r="I30" s="64"/>
    </row>
    <row r="31" spans="1:21">
      <c r="A31" s="585"/>
      <c r="B31" s="415"/>
      <c r="C31" s="416"/>
      <c r="D31" s="417"/>
      <c r="E31" s="417"/>
      <c r="F31" s="371">
        <f>IF(C31&lt;90%,(IF(D31=$U$19,VLOOKUP(A31,'Liste de prix Public EUROPE'!$B$9:$H$174,6,FALSE),IF(D31=$U$20,VLOOKUP(A31, 'Liste de prix Public EUROPE'!$B$9:$H$174,6,FALSE)+(VLOOKUP(A31,'Liste de prix Public EUROPE'!$B$378:$H$547,6,FALSE)),IF(D31=$U$21,VLOOKUP(A31,'Liste de prix Public EUROPE'!$B$9:$H$174,6,FALSE)+ (VLOOKUP(A31,'Liste de prix Public EUROPE'!$B$559:$H$700,6,FALSE)),IF(D31=$U$22,VLOOKUP(A31,'Liste de prix Public EUROPE'!$B$9:$H$174,6,FALSE)+ (VLOOKUP(A31,'Liste de prix Public EUROPE'!$B$1303:$H$1344,6,FALSE)),IF(D31=$U$25,VLOOKUP(A31,'Liste de prix Public EUROPE'!$B$9:$H$174,6,FALSE)+(VLOOKUP(A31,'Liste de prix Public EUROPE'!$B$1354:$H$1403,6,FALSE)),IF(D31=$U$26,VLOOKUP(A31,'Liste de prix Public EUROPE'!$B$9:$H$174,6,FALSE)+(VLOOKUP(A31,'Liste de prix Public EUROPE'!$B$1407:$H$1451,6,FALSE)),IF(D31=$U$28,VLOOKUP(A31,'Liste de prix Public EUROPE'!$B$9:$H$174,6,FALSE)+ (VLOOKUP(A31,'Liste de prix Public EUROPE'!$B$1506:$H$1565,6,FALSE)),IF(D31=$U$23,VLOOKUP(A31,'Liste de prix Public EUROPE'!$B$9:$H$174,6,FALSE)+( VLOOKUP(A31,'Liste de prix Public EUROPE'!$B$834:H$974,6,FALSE)),IF(D31=$U$24,VLOOKUP(A31,'Liste de prix Public EUROPE'!$B$9:$H$174,6,FALSE)+( VLOOKUP(A31,'Liste de prix Public EUROPE'!$B716:$H$829,6,FALSE)),IF(D31=$U$27,VLOOKUP(A31,'Liste de prix Public EUROPE'!$B$9:$H$174,6,FALSE)+( VLOOKUP(A31,'Liste de prix Public EUROPE'!$B$1455:$H$1502,6,FALSE)),FALSE))))))))))*730*C31*B31),
(IF(D31=$U$19,VLOOKUP(A31,'Liste de prix Public EUROPE'!$B$9:$H$174,7,FALSE),IF(D31=$U$20, VLOOKUP(A31,'Liste de prix Public EUROPE'!$B$9:$H$174,7,FALSE)+(VLOOKUP(A31,'Liste de prix Public EUROPE'!$B$378:$H$547,7,FALSE)),IF(D31=$U$21, VLOOKUP(A31,'Liste de prix Public EUROPE'!$B$9:$H$174,7,FALSE)+(VLOOKUP(A31,'Liste de prix Public EUROPE'!$B$559:$H$700,7,FALSE)),IF(D31=$U$22, VLOOKUP(A31,'Liste de prix Public EUROPE'!$B$9:$H$174,7,FALSE)+(VLOOKUP(A31,'Liste de prix Public EUROPE'!$B$1303:$H$1344,7,FALSE)),IF(D31=$U$25, VLOOKUP(A31,'Liste de prix Public EUROPE'!$B$9:$H$174,7,FALSE)+(VLOOKUP(A31,'Liste de prix Public EUROPE'!$B$1354:$H$1403,7,FALSE)),IF(D31=$U$26, VLOOKUP(A31,'Liste de prix Public EUROPE'!$B$9:$H$174,7,FALSE)+(VLOOKUP(A31,'Liste de prix Public EUROPE'!$B$1407:$H$1451,7,FALSE)),IF(D31=$U$28, VLOOKUP(A31,'Liste de prix Public EUROPE'!$B$9:$H$174,7,FALSE)+(VLOOKUP(A31,'Liste de prix Public EUROPE'!$B$1506:$H$1565,7,FALSE)),IF(D31=$U$23, VLOOKUP(A31,'Liste de prix Public EUROPE'!$B$9:$H$174,7,FALSE)+(VLOOKUP(A31,'Liste de prix Public EUROPE'!$B$834:$H$974,7,FALSE)),IF(D31=$U$24, VLOOKUP(A31,'Liste de prix Public EUROPE'!$B$9:$H$174,7,FALSE)+(VLOOKUP(A31,'Liste de prix Public EUROPE'!$B$704:$H$829,7,FALSE)),IF(D31=$U$27, VLOOKUP(A31,'Liste de prix Public EUROPE'!$B$9:$H$174,7,FALSE)+(VLOOKUP(A31,'Liste de prix Public EUROPE'!$B$1503:$H$1506,7,FALSE)),FALSE))))))))))*B31))</f>
        <v>0</v>
      </c>
      <c r="G31" s="842"/>
      <c r="H31" s="360"/>
      <c r="I31" s="64"/>
    </row>
    <row r="32" spans="1:21">
      <c r="A32" s="585"/>
      <c r="B32" s="415"/>
      <c r="C32" s="416"/>
      <c r="D32" s="417"/>
      <c r="E32" s="417"/>
      <c r="F32" s="371">
        <f>IF(C32&lt;90%,(IF(D32=$U$19,VLOOKUP(A32,'Liste de prix Public EUROPE'!$B$9:$H$174,6,FALSE),IF(D32=$U$20,VLOOKUP(A32, 'Liste de prix Public EUROPE'!$B$9:$H$174,6,FALSE)+(VLOOKUP(A32,'Liste de prix Public EUROPE'!$B$378:$H$547,6,FALSE)),IF(D32=$U$21,VLOOKUP(A32,'Liste de prix Public EUROPE'!$B$9:$H$174,6,FALSE)+ (VLOOKUP(A32,'Liste de prix Public EUROPE'!$B$559:$H$700,6,FALSE)),IF(D32=$U$22,VLOOKUP(A32,'Liste de prix Public EUROPE'!$B$9:$H$174,6,FALSE)+ (VLOOKUP(A32,'Liste de prix Public EUROPE'!$B$1303:$H$1344,6,FALSE)),IF(D32=$U$25,VLOOKUP(A32,'Liste de prix Public EUROPE'!$B$9:$H$174,6,FALSE)+(VLOOKUP(A32,'Liste de prix Public EUROPE'!$B$1354:$H$1403,6,FALSE)),IF(D32=$U$26,VLOOKUP(A32,'Liste de prix Public EUROPE'!$B$9:$H$174,6,FALSE)+(VLOOKUP(A32,'Liste de prix Public EUROPE'!$B$1407:$H$1451,6,FALSE)),IF(D32=$U$28,VLOOKUP(A32,'Liste de prix Public EUROPE'!$B$9:$H$174,6,FALSE)+ (VLOOKUP(A32,'Liste de prix Public EUROPE'!$B$1506:$H$1565,6,FALSE)),IF(D32=$U$23,VLOOKUP(A32,'Liste de prix Public EUROPE'!$B$9:$H$174,6,FALSE)+( VLOOKUP(A32,'Liste de prix Public EUROPE'!$B$834:H$974,6,FALSE)),IF(D32=$U$24,VLOOKUP(A32,'Liste de prix Public EUROPE'!$B$9:$H$174,6,FALSE)+( VLOOKUP(A32,'Liste de prix Public EUROPE'!$B717:$H$829,6,FALSE)),IF(D32=$U$27,VLOOKUP(A32,'Liste de prix Public EUROPE'!$B$9:$H$174,6,FALSE)+( VLOOKUP(A32,'Liste de prix Public EUROPE'!$B$1455:$H$1502,6,FALSE)),FALSE))))))))))*730*C32*B32),
(IF(D32=$U$19,VLOOKUP(A32,'Liste de prix Public EUROPE'!$B$9:$H$174,7,FALSE),IF(D32=$U$20, VLOOKUP(A32,'Liste de prix Public EUROPE'!$B$9:$H$174,7,FALSE)+(VLOOKUP(A32,'Liste de prix Public EUROPE'!$B$378:$H$547,7,FALSE)),IF(D32=$U$21, VLOOKUP(A32,'Liste de prix Public EUROPE'!$B$9:$H$174,7,FALSE)+(VLOOKUP(A32,'Liste de prix Public EUROPE'!$B$559:$H$700,7,FALSE)),IF(D32=$U$22, VLOOKUP(A32,'Liste de prix Public EUROPE'!$B$9:$H$174,7,FALSE)+(VLOOKUP(A32,'Liste de prix Public EUROPE'!$B$1303:$H$1344,7,FALSE)),IF(D32=$U$25, VLOOKUP(A32,'Liste de prix Public EUROPE'!$B$9:$H$174,7,FALSE)+(VLOOKUP(A32,'Liste de prix Public EUROPE'!$B$1354:$H$1403,7,FALSE)),IF(D32=$U$26, VLOOKUP(A32,'Liste de prix Public EUROPE'!$B$9:$H$174,7,FALSE)+(VLOOKUP(A32,'Liste de prix Public EUROPE'!$B$1407:$H$1451,7,FALSE)),IF(D32=$U$28, VLOOKUP(A32,'Liste de prix Public EUROPE'!$B$9:$H$174,7,FALSE)+(VLOOKUP(A32,'Liste de prix Public EUROPE'!$B$1506:$H$1565,7,FALSE)),IF(D32=$U$23, VLOOKUP(A32,'Liste de prix Public EUROPE'!$B$9:$H$174,7,FALSE)+(VLOOKUP(A32,'Liste de prix Public EUROPE'!$B$834:$H$974,7,FALSE)),IF(D32=$U$24, VLOOKUP(A32,'Liste de prix Public EUROPE'!$B$9:$H$174,7,FALSE)+(VLOOKUP(A32,'Liste de prix Public EUROPE'!$B$704:$H$829,7,FALSE)),IF(D32=$U$27, VLOOKUP(A32,'Liste de prix Public EUROPE'!$B$9:$H$174,7,FALSE)+(VLOOKUP(A32,'Liste de prix Public EUROPE'!$B$1503:$H$1506,7,FALSE)),FALSE))))))))))*B32))</f>
        <v>0</v>
      </c>
      <c r="G32" s="842"/>
      <c r="H32" s="360"/>
      <c r="I32" s="64"/>
    </row>
    <row r="33" spans="1:24">
      <c r="A33" s="585"/>
      <c r="B33" s="415"/>
      <c r="C33" s="416"/>
      <c r="D33" s="417"/>
      <c r="E33" s="417"/>
      <c r="F33" s="371">
        <f>IF(C33&lt;90%,(IF(D33=$U$19,VLOOKUP(A33,'Liste de prix Public EUROPE'!$B$9:$H$174,6,FALSE),IF(D33=$U$20,VLOOKUP(A33, 'Liste de prix Public EUROPE'!$B$9:$H$174,6,FALSE)+(VLOOKUP(A33,'Liste de prix Public EUROPE'!$B$378:$H$547,6,FALSE)),IF(D33=$U$21,VLOOKUP(A33,'Liste de prix Public EUROPE'!$B$9:$H$174,6,FALSE)+ (VLOOKUP(A33,'Liste de prix Public EUROPE'!$B$559:$H$700,6,FALSE)),IF(D33=$U$22,VLOOKUP(A33,'Liste de prix Public EUROPE'!$B$9:$H$174,6,FALSE)+ (VLOOKUP(A33,'Liste de prix Public EUROPE'!$B$1303:$H$1344,6,FALSE)),IF(D33=$U$25,VLOOKUP(A33,'Liste de prix Public EUROPE'!$B$9:$H$174,6,FALSE)+(VLOOKUP(A33,'Liste de prix Public EUROPE'!$B$1354:$H$1403,6,FALSE)),IF(D33=$U$26,VLOOKUP(A33,'Liste de prix Public EUROPE'!$B$9:$H$174,6,FALSE)+(VLOOKUP(A33,'Liste de prix Public EUROPE'!$B$1407:$H$1451,6,FALSE)),IF(D33=$U$28,VLOOKUP(A33,'Liste de prix Public EUROPE'!$B$9:$H$174,6,FALSE)+ (VLOOKUP(A33,'Liste de prix Public EUROPE'!$B$1506:$H$1565,6,FALSE)),IF(D33=$U$23,VLOOKUP(A33,'Liste de prix Public EUROPE'!$B$9:$H$174,6,FALSE)+( VLOOKUP(A33,'Liste de prix Public EUROPE'!$B$834:H$974,6,FALSE)),IF(D33=$U$24,VLOOKUP(A33,'Liste de prix Public EUROPE'!$B$9:$H$174,6,FALSE)+( VLOOKUP(A33,'Liste de prix Public EUROPE'!$B718:$H$829,6,FALSE)),IF(D33=$U$27,VLOOKUP(A33,'Liste de prix Public EUROPE'!$B$9:$H$174,6,FALSE)+( VLOOKUP(A33,'Liste de prix Public EUROPE'!$B$1455:$H$1502,6,FALSE)),FALSE))))))))))*730*C33*B33),
(IF(D33=$U$19,VLOOKUP(A33,'Liste de prix Public EUROPE'!$B$9:$H$174,7,FALSE),IF(D33=$U$20, VLOOKUP(A33,'Liste de prix Public EUROPE'!$B$9:$H$174,7,FALSE)+(VLOOKUP(A33,'Liste de prix Public EUROPE'!$B$378:$H$547,7,FALSE)),IF(D33=$U$21, VLOOKUP(A33,'Liste de prix Public EUROPE'!$B$9:$H$174,7,FALSE)+(VLOOKUP(A33,'Liste de prix Public EUROPE'!$B$559:$H$700,7,FALSE)),IF(D33=$U$22, VLOOKUP(A33,'Liste de prix Public EUROPE'!$B$9:$H$174,7,FALSE)+(VLOOKUP(A33,'Liste de prix Public EUROPE'!$B$1303:$H$1344,7,FALSE)),IF(D33=$U$25, VLOOKUP(A33,'Liste de prix Public EUROPE'!$B$9:$H$174,7,FALSE)+(VLOOKUP(A33,'Liste de prix Public EUROPE'!$B$1354:$H$1403,7,FALSE)),IF(D33=$U$26, VLOOKUP(A33,'Liste de prix Public EUROPE'!$B$9:$H$174,7,FALSE)+(VLOOKUP(A33,'Liste de prix Public EUROPE'!$B$1407:$H$1451,7,FALSE)),IF(D33=$U$28, VLOOKUP(A33,'Liste de prix Public EUROPE'!$B$9:$H$174,7,FALSE)+(VLOOKUP(A33,'Liste de prix Public EUROPE'!$B$1506:$H$1565,7,FALSE)),IF(D33=$U$23, VLOOKUP(A33,'Liste de prix Public EUROPE'!$B$9:$H$174,7,FALSE)+(VLOOKUP(A33,'Liste de prix Public EUROPE'!$B$834:$H$974,7,FALSE)),IF(D33=$U$24, VLOOKUP(A33,'Liste de prix Public EUROPE'!$B$9:$H$174,7,FALSE)+(VLOOKUP(A33,'Liste de prix Public EUROPE'!$B$704:$H$829,7,FALSE)),IF(D33=$U$27, VLOOKUP(A33,'Liste de prix Public EUROPE'!$B$9:$H$174,7,FALSE)+(VLOOKUP(A33,'Liste de prix Public EUROPE'!$B$1503:$H$1506,7,FALSE)),FALSE))))))))))*B33))</f>
        <v>0</v>
      </c>
      <c r="G33" s="842"/>
      <c r="H33" s="360"/>
      <c r="I33" s="64"/>
      <c r="U33" s="966"/>
    </row>
    <row r="34" spans="1:24">
      <c r="A34" s="585"/>
      <c r="B34" s="415"/>
      <c r="C34" s="416"/>
      <c r="D34" s="417"/>
      <c r="E34" s="417"/>
      <c r="F34" s="371">
        <f>IF(C34&lt;90%,(IF(D34=$U$19,VLOOKUP(A34,'Liste de prix Public EUROPE'!$B$9:$H$174,6,FALSE),IF(D34=$U$20,VLOOKUP(A34, 'Liste de prix Public EUROPE'!$B$9:$H$174,6,FALSE)+(VLOOKUP(A34,'Liste de prix Public EUROPE'!$B$378:$H$547,6,FALSE)),IF(D34=$U$21,VLOOKUP(A34,'Liste de prix Public EUROPE'!$B$9:$H$174,6,FALSE)+ (VLOOKUP(A34,'Liste de prix Public EUROPE'!$B$559:$H$700,6,FALSE)),IF(D34=$U$22,VLOOKUP(A34,'Liste de prix Public EUROPE'!$B$9:$H$174,6,FALSE)+ (VLOOKUP(A34,'Liste de prix Public EUROPE'!$B$1303:$H$1344,6,FALSE)),IF(D34=$U$25,VLOOKUP(A34,'Liste de prix Public EUROPE'!$B$9:$H$174,6,FALSE)+(VLOOKUP(A34,'Liste de prix Public EUROPE'!$B$1354:$H$1403,6,FALSE)),IF(D34=$U$26,VLOOKUP(A34,'Liste de prix Public EUROPE'!$B$9:$H$174,6,FALSE)+(VLOOKUP(A34,'Liste de prix Public EUROPE'!$B$1407:$H$1451,6,FALSE)),IF(D34=$U$28,VLOOKUP(A34,'Liste de prix Public EUROPE'!$B$9:$H$174,6,FALSE)+ (VLOOKUP(A34,'Liste de prix Public EUROPE'!$B$1506:$H$1565,6,FALSE)),IF(D34=$U$23,VLOOKUP(A34,'Liste de prix Public EUROPE'!$B$9:$H$174,6,FALSE)+( VLOOKUP(A34,'Liste de prix Public EUROPE'!$B$834:H$974,6,FALSE)),IF(D34=$U$24,VLOOKUP(A34,'Liste de prix Public EUROPE'!$B$9:$H$174,6,FALSE)+( VLOOKUP(A34,'Liste de prix Public EUROPE'!$B719:$H$829,6,FALSE)),IF(D34=$U$27,VLOOKUP(A34,'Liste de prix Public EUROPE'!$B$9:$H$174,6,FALSE)+( VLOOKUP(A34,'Liste de prix Public EUROPE'!$B$1455:$H$1502,6,FALSE)),FALSE))))))))))*730*C34*B34),
(IF(D34=$U$19,VLOOKUP(A34,'Liste de prix Public EUROPE'!$B$9:$H$174,7,FALSE),IF(D34=$U$20, VLOOKUP(A34,'Liste de prix Public EUROPE'!$B$9:$H$174,7,FALSE)+(VLOOKUP(A34,'Liste de prix Public EUROPE'!$B$378:$H$547,7,FALSE)),IF(D34=$U$21, VLOOKUP(A34,'Liste de prix Public EUROPE'!$B$9:$H$174,7,FALSE)+(VLOOKUP(A34,'Liste de prix Public EUROPE'!$B$559:$H$700,7,FALSE)),IF(D34=$U$22, VLOOKUP(A34,'Liste de prix Public EUROPE'!$B$9:$H$174,7,FALSE)+(VLOOKUP(A34,'Liste de prix Public EUROPE'!$B$1303:$H$1344,7,FALSE)),IF(D34=$U$25, VLOOKUP(A34,'Liste de prix Public EUROPE'!$B$9:$H$174,7,FALSE)+(VLOOKUP(A34,'Liste de prix Public EUROPE'!$B$1354:$H$1403,7,FALSE)),IF(D34=$U$26, VLOOKUP(A34,'Liste de prix Public EUROPE'!$B$9:$H$174,7,FALSE)+(VLOOKUP(A34,'Liste de prix Public EUROPE'!$B$1407:$H$1451,7,FALSE)),IF(D34=$U$28, VLOOKUP(A34,'Liste de prix Public EUROPE'!$B$9:$H$174,7,FALSE)+(VLOOKUP(A34,'Liste de prix Public EUROPE'!$B$1506:$H$1565,7,FALSE)),IF(D34=$U$23, VLOOKUP(A34,'Liste de prix Public EUROPE'!$B$9:$H$174,7,FALSE)+(VLOOKUP(A34,'Liste de prix Public EUROPE'!$B$834:$H$974,7,FALSE)),IF(D34=$U$24, VLOOKUP(A34,'Liste de prix Public EUROPE'!$B$9:$H$174,7,FALSE)+(VLOOKUP(A34,'Liste de prix Public EUROPE'!$B$704:$H$829,7,FALSE)),IF(D34=$U$27, VLOOKUP(A34,'Liste de prix Public EUROPE'!$B$9:$H$174,7,FALSE)+(VLOOKUP(A34,'Liste de prix Public EUROPE'!$B$1503:$H$1506,7,FALSE)),FALSE))))))))))*B34))</f>
        <v>0</v>
      </c>
      <c r="G34" s="842"/>
      <c r="H34" s="360"/>
      <c r="I34" s="64"/>
      <c r="U34" s="966"/>
    </row>
    <row r="35" spans="1:24">
      <c r="A35" s="585"/>
      <c r="B35" s="415"/>
      <c r="C35" s="416"/>
      <c r="D35" s="417"/>
      <c r="E35" s="417"/>
      <c r="F35" s="371">
        <f>IF(C35&lt;90%,(IF(D35=$U$19,VLOOKUP(A35,'Liste de prix Public EUROPE'!$B$9:$H$174,6,FALSE),IF(D35=$U$20,VLOOKUP(A35, 'Liste de prix Public EUROPE'!$B$9:$H$174,6,FALSE)+(VLOOKUP(A35,'Liste de prix Public EUROPE'!$B$378:$H$547,6,FALSE)),IF(D35=$U$21,VLOOKUP(A35,'Liste de prix Public EUROPE'!$B$9:$H$174,6,FALSE)+ (VLOOKUP(A35,'Liste de prix Public EUROPE'!$B$559:$H$700,6,FALSE)),IF(D35=$U$22,VLOOKUP(A35,'Liste de prix Public EUROPE'!$B$9:$H$174,6,FALSE)+ (VLOOKUP(A35,'Liste de prix Public EUROPE'!$B$1303:$H$1344,6,FALSE)),IF(D35=$U$25,VLOOKUP(A35,'Liste de prix Public EUROPE'!$B$9:$H$174,6,FALSE)+(VLOOKUP(A35,'Liste de prix Public EUROPE'!$B$1354:$H$1403,6,FALSE)),IF(D35=$U$26,VLOOKUP(A35,'Liste de prix Public EUROPE'!$B$9:$H$174,6,FALSE)+(VLOOKUP(A35,'Liste de prix Public EUROPE'!$B$1407:$H$1451,6,FALSE)),IF(D35=$U$28,VLOOKUP(A35,'Liste de prix Public EUROPE'!$B$9:$H$174,6,FALSE)+ (VLOOKUP(A35,'Liste de prix Public EUROPE'!$B$1506:$H$1565,6,FALSE)),IF(D35=$U$23,VLOOKUP(A35,'Liste de prix Public EUROPE'!$B$9:$H$174,6,FALSE)+( VLOOKUP(A35,'Liste de prix Public EUROPE'!$B$834:H$974,6,FALSE)),IF(D35=$U$24,VLOOKUP(A35,'Liste de prix Public EUROPE'!$B$9:$H$174,6,FALSE)+( VLOOKUP(A35,'Liste de prix Public EUROPE'!$B720:$H$829,6,FALSE)),IF(D35=$U$27,VLOOKUP(A35,'Liste de prix Public EUROPE'!$B$9:$H$174,6,FALSE)+( VLOOKUP(A35,'Liste de prix Public EUROPE'!$B$1455:$H$1502,6,FALSE)),FALSE))))))))))*730*C35*B35),
(IF(D35=$U$19,VLOOKUP(A35,'Liste de prix Public EUROPE'!$B$9:$H$174,7,FALSE),IF(D35=$U$20, VLOOKUP(A35,'Liste de prix Public EUROPE'!$B$9:$H$174,7,FALSE)+(VLOOKUP(A35,'Liste de prix Public EUROPE'!$B$378:$H$547,7,FALSE)),IF(D35=$U$21, VLOOKUP(A35,'Liste de prix Public EUROPE'!$B$9:$H$174,7,FALSE)+(VLOOKUP(A35,'Liste de prix Public EUROPE'!$B$559:$H$700,7,FALSE)),IF(D35=$U$22, VLOOKUP(A35,'Liste de prix Public EUROPE'!$B$9:$H$174,7,FALSE)+(VLOOKUP(A35,'Liste de prix Public EUROPE'!$B$1303:$H$1344,7,FALSE)),IF(D35=$U$25, VLOOKUP(A35,'Liste de prix Public EUROPE'!$B$9:$H$174,7,FALSE)+(VLOOKUP(A35,'Liste de prix Public EUROPE'!$B$1354:$H$1403,7,FALSE)),IF(D35=$U$26, VLOOKUP(A35,'Liste de prix Public EUROPE'!$B$9:$H$174,7,FALSE)+(VLOOKUP(A35,'Liste de prix Public EUROPE'!$B$1407:$H$1451,7,FALSE)),IF(D35=$U$28, VLOOKUP(A35,'Liste de prix Public EUROPE'!$B$9:$H$174,7,FALSE)+(VLOOKUP(A35,'Liste de prix Public EUROPE'!$B$1506:$H$1565,7,FALSE)),IF(D35=$U$23, VLOOKUP(A35,'Liste de prix Public EUROPE'!$B$9:$H$174,7,FALSE)+(VLOOKUP(A35,'Liste de prix Public EUROPE'!$B$834:$H$974,7,FALSE)),IF(D35=$U$24, VLOOKUP(A35,'Liste de prix Public EUROPE'!$B$9:$H$174,7,FALSE)+(VLOOKUP(A35,'Liste de prix Public EUROPE'!$B$704:$H$829,7,FALSE)),IF(D35=$U$27, VLOOKUP(A35,'Liste de prix Public EUROPE'!$B$9:$H$174,7,FALSE)+(VLOOKUP(A35,'Liste de prix Public EUROPE'!$B$1503:$H$1506,7,FALSE)),FALSE))))))))))*B35))</f>
        <v>0</v>
      </c>
      <c r="G35" s="842"/>
      <c r="H35" s="360"/>
      <c r="I35" s="64"/>
      <c r="U35" s="966"/>
    </row>
    <row r="36" spans="1:24">
      <c r="A36" s="585"/>
      <c r="B36" s="415"/>
      <c r="C36" s="416"/>
      <c r="D36" s="417"/>
      <c r="E36" s="417"/>
      <c r="F36" s="371">
        <f>IF(C36&lt;90%,(IF(D36=$U$19,VLOOKUP(A36,'Liste de prix Public EUROPE'!$B$9:$H$174,6,FALSE),IF(D36=$U$20,VLOOKUP(A36, 'Liste de prix Public EUROPE'!$B$9:$H$174,6,FALSE)+(VLOOKUP(A36,'Liste de prix Public EUROPE'!$B$378:$H$547,6,FALSE)),IF(D36=$U$21,VLOOKUP(A36,'Liste de prix Public EUROPE'!$B$9:$H$174,6,FALSE)+ (VLOOKUP(A36,'Liste de prix Public EUROPE'!$B$559:$H$700,6,FALSE)),IF(D36=$U$22,VLOOKUP(A36,'Liste de prix Public EUROPE'!$B$9:$H$174,6,FALSE)+ (VLOOKUP(A36,'Liste de prix Public EUROPE'!$B$1303:$H$1344,6,FALSE)),IF(D36=$U$25,VLOOKUP(A36,'Liste de prix Public EUROPE'!$B$9:$H$174,6,FALSE)+(VLOOKUP(A36,'Liste de prix Public EUROPE'!$B$1354:$H$1403,6,FALSE)),IF(D36=$U$26,VLOOKUP(A36,'Liste de prix Public EUROPE'!$B$9:$H$174,6,FALSE)+(VLOOKUP(A36,'Liste de prix Public EUROPE'!$B$1407:$H$1451,6,FALSE)),IF(D36=$U$28,VLOOKUP(A36,'Liste de prix Public EUROPE'!$B$9:$H$174,6,FALSE)+ (VLOOKUP(A36,'Liste de prix Public EUROPE'!$B$1506:$H$1565,6,FALSE)),IF(D36=$U$23,VLOOKUP(A36,'Liste de prix Public EUROPE'!$B$9:$H$174,6,FALSE)+( VLOOKUP(A36,'Liste de prix Public EUROPE'!$B$834:H$974,6,FALSE)),IF(D36=$U$24,VLOOKUP(A36,'Liste de prix Public EUROPE'!$B$9:$H$174,6,FALSE)+( VLOOKUP(A36,'Liste de prix Public EUROPE'!$B721:$H$829,6,FALSE)),IF(D36=$U$27,VLOOKUP(A36,'Liste de prix Public EUROPE'!$B$9:$H$174,6,FALSE)+( VLOOKUP(A36,'Liste de prix Public EUROPE'!$B$1455:$H$1502,6,FALSE)),FALSE))))))))))*730*C36*B36),
(IF(D36=$U$19,VLOOKUP(A36,'Liste de prix Public EUROPE'!$B$9:$H$174,7,FALSE),IF(D36=$U$20, VLOOKUP(A36,'Liste de prix Public EUROPE'!$B$9:$H$174,7,FALSE)+(VLOOKUP(A36,'Liste de prix Public EUROPE'!$B$378:$H$547,7,FALSE)),IF(D36=$U$21, VLOOKUP(A36,'Liste de prix Public EUROPE'!$B$9:$H$174,7,FALSE)+(VLOOKUP(A36,'Liste de prix Public EUROPE'!$B$559:$H$700,7,FALSE)),IF(D36=$U$22, VLOOKUP(A36,'Liste de prix Public EUROPE'!$B$9:$H$174,7,FALSE)+(VLOOKUP(A36,'Liste de prix Public EUROPE'!$B$1303:$H$1344,7,FALSE)),IF(D36=$U$25, VLOOKUP(A36,'Liste de prix Public EUROPE'!$B$9:$H$174,7,FALSE)+(VLOOKUP(A36,'Liste de prix Public EUROPE'!$B$1354:$H$1403,7,FALSE)),IF(D36=$U$26, VLOOKUP(A36,'Liste de prix Public EUROPE'!$B$9:$H$174,7,FALSE)+(VLOOKUP(A36,'Liste de prix Public EUROPE'!$B$1407:$H$1451,7,FALSE)),IF(D36=$U$28, VLOOKUP(A36,'Liste de prix Public EUROPE'!$B$9:$H$174,7,FALSE)+(VLOOKUP(A36,'Liste de prix Public EUROPE'!$B$1506:$H$1565,7,FALSE)),IF(D36=$U$23, VLOOKUP(A36,'Liste de prix Public EUROPE'!$B$9:$H$174,7,FALSE)+(VLOOKUP(A36,'Liste de prix Public EUROPE'!$B$834:$H$974,7,FALSE)),IF(D36=$U$24, VLOOKUP(A36,'Liste de prix Public EUROPE'!$B$9:$H$174,7,FALSE)+(VLOOKUP(A36,'Liste de prix Public EUROPE'!$B$704:$H$829,7,FALSE)),IF(D36=$U$27, VLOOKUP(A36,'Liste de prix Public EUROPE'!$B$9:$H$174,7,FALSE)+(VLOOKUP(A36,'Liste de prix Public EUROPE'!$B$1503:$H$1506,7,FALSE)),FALSE))))))))))*B36))</f>
        <v>0</v>
      </c>
      <c r="G36" s="842"/>
      <c r="H36" s="360"/>
      <c r="I36" s="64"/>
      <c r="U36" s="966"/>
    </row>
    <row r="37" spans="1:24">
      <c r="A37" s="581"/>
      <c r="B37" s="373">
        <f>SUM(B19:B36)</f>
        <v>0</v>
      </c>
      <c r="C37" s="374"/>
      <c r="D37" s="375"/>
      <c r="E37" s="375"/>
      <c r="F37" s="371"/>
      <c r="G37" s="842"/>
      <c r="H37" s="360"/>
      <c r="I37" s="64"/>
      <c r="U37" s="966"/>
    </row>
    <row r="38" spans="1:24">
      <c r="A38" s="376"/>
      <c r="B38" s="64"/>
      <c r="C38" s="64"/>
      <c r="D38" s="70"/>
      <c r="E38" s="377" t="s">
        <v>277</v>
      </c>
      <c r="F38" s="378">
        <f>SUM(F19:F37)</f>
        <v>0</v>
      </c>
      <c r="G38" s="298"/>
      <c r="H38" s="360"/>
      <c r="I38" s="64"/>
      <c r="U38" s="966"/>
    </row>
    <row r="39" spans="1:24">
      <c r="A39" s="376"/>
      <c r="B39" s="64"/>
      <c r="C39" s="64"/>
      <c r="D39" s="70"/>
      <c r="E39" s="64"/>
      <c r="F39" s="298"/>
      <c r="G39" s="298"/>
      <c r="H39" s="360"/>
      <c r="I39" s="64"/>
      <c r="U39" s="966"/>
    </row>
    <row r="40" spans="1:24">
      <c r="A40" s="376"/>
      <c r="B40" s="64"/>
      <c r="C40" s="64"/>
      <c r="D40" s="70"/>
      <c r="E40" s="64"/>
      <c r="F40" s="298"/>
      <c r="G40" s="298"/>
      <c r="H40" s="360"/>
      <c r="I40" s="64"/>
      <c r="U40" s="966"/>
    </row>
    <row r="41" spans="1:24">
      <c r="A41" s="376"/>
      <c r="B41" s="64"/>
      <c r="C41" s="64"/>
      <c r="D41" s="70"/>
      <c r="E41" s="64"/>
      <c r="F41" s="298"/>
      <c r="G41" s="298"/>
      <c r="H41" s="360"/>
      <c r="I41" s="64"/>
      <c r="U41" s="966"/>
    </row>
    <row r="42" spans="1:24" hidden="1">
      <c r="A42" s="580" t="s">
        <v>108</v>
      </c>
      <c r="B42" s="368" t="s">
        <v>282</v>
      </c>
      <c r="C42" s="368"/>
      <c r="D42" s="368" t="s">
        <v>8</v>
      </c>
      <c r="E42" s="368" t="s">
        <v>192</v>
      </c>
      <c r="F42" s="368" t="s">
        <v>164</v>
      </c>
      <c r="G42" s="841"/>
      <c r="H42" s="360"/>
      <c r="I42" s="64"/>
      <c r="U42" s="966"/>
    </row>
    <row r="43" spans="1:24" hidden="1">
      <c r="A43" s="585" t="s">
        <v>392</v>
      </c>
      <c r="B43" s="418"/>
      <c r="C43" s="379"/>
      <c r="D43" s="377" t="s">
        <v>7</v>
      </c>
      <c r="E43" s="417"/>
      <c r="F43" s="371" t="e">
        <f>VLOOKUP(A43,'Liste de prix Public EUROPE'!B1812:I1812,8,FALSE)*B43*(1-$B$5)</f>
        <v>#N/A</v>
      </c>
      <c r="G43" s="842"/>
      <c r="H43" s="360"/>
      <c r="I43" s="64"/>
      <c r="U43" s="966"/>
    </row>
    <row r="44" spans="1:24" hidden="1">
      <c r="A44" s="585" t="s">
        <v>392</v>
      </c>
      <c r="B44" s="418"/>
      <c r="C44" s="379"/>
      <c r="D44" s="377" t="s">
        <v>7</v>
      </c>
      <c r="E44" s="417"/>
      <c r="F44" s="371" t="e">
        <f>VLOOKUP(A44,'Liste de prix Public EUROPE'!B1812:I1812,8,FALSE)*B44*(1-$B$5)</f>
        <v>#N/A</v>
      </c>
      <c r="G44" s="842"/>
      <c r="H44" s="360"/>
      <c r="I44" s="64"/>
      <c r="U44" s="966"/>
    </row>
    <row r="45" spans="1:24" hidden="1">
      <c r="A45" s="585" t="s">
        <v>392</v>
      </c>
      <c r="B45" s="418"/>
      <c r="C45" s="379"/>
      <c r="D45" s="377" t="s">
        <v>7</v>
      </c>
      <c r="E45" s="417"/>
      <c r="F45" s="371" t="e">
        <f>VLOOKUP(A45,'Liste de prix Public EUROPE'!B1812:I1812,8,FALSE)*B45*(1-$B$5)</f>
        <v>#N/A</v>
      </c>
      <c r="G45" s="842"/>
      <c r="H45" s="360"/>
      <c r="I45" s="64"/>
      <c r="U45" s="966"/>
    </row>
    <row r="46" spans="1:24" hidden="1">
      <c r="A46" s="376"/>
      <c r="B46" s="64"/>
      <c r="C46" s="64"/>
      <c r="D46" s="70"/>
      <c r="E46" s="377" t="s">
        <v>277</v>
      </c>
      <c r="F46" s="378" t="e">
        <f>SUM(F43:F45)</f>
        <v>#N/A</v>
      </c>
      <c r="G46" s="298"/>
      <c r="H46" s="360"/>
      <c r="I46" s="64"/>
      <c r="U46" s="966"/>
    </row>
    <row r="47" spans="1:24">
      <c r="A47" s="801" t="s">
        <v>1015</v>
      </c>
      <c r="B47" s="368" t="s">
        <v>282</v>
      </c>
      <c r="C47" s="368" t="s">
        <v>435</v>
      </c>
      <c r="D47" s="368" t="s">
        <v>8</v>
      </c>
      <c r="E47" s="368" t="s">
        <v>192</v>
      </c>
      <c r="F47" s="368" t="s">
        <v>164</v>
      </c>
      <c r="G47" s="846"/>
      <c r="H47" s="360"/>
      <c r="I47" s="64"/>
      <c r="U47" s="966"/>
      <c r="X47" s="946" t="s">
        <v>1996</v>
      </c>
    </row>
    <row r="48" spans="1:24">
      <c r="A48" s="585"/>
      <c r="B48" s="418"/>
      <c r="C48" s="1658"/>
      <c r="D48" s="417"/>
      <c r="E48" s="417"/>
      <c r="F48" s="378">
        <f>IF(A48&lt;&gt;"",VLOOKUP(A48,'Liste de prix Public EUROPE'!$B$1834:$F$1839,5,FALSE)*B48*C48)+B48*IF(D48&lt;&gt;"",VLOOKUP(D48,'Liste de prix Public EUROPE'!$B$1866:$D$1866,3,FALSE))</f>
        <v>0</v>
      </c>
      <c r="G48" s="850"/>
      <c r="H48" s="360"/>
      <c r="I48" s="64"/>
      <c r="U48" s="966"/>
      <c r="V48" s="946" t="s">
        <v>2013</v>
      </c>
      <c r="X48" s="946" t="s">
        <v>823</v>
      </c>
    </row>
    <row r="49" spans="1:21">
      <c r="A49" s="585"/>
      <c r="B49" s="418"/>
      <c r="C49" s="1658"/>
      <c r="D49" s="417"/>
      <c r="E49" s="417"/>
      <c r="F49" s="378">
        <f>IF(A49&lt;&gt;"",VLOOKUP(A49,'Liste de prix Public EUROPE'!$B$1834:$F$1839,5,FALSE)*B49*C49)+B49*IF(D49&lt;&gt;"",VLOOKUP(D49,'Liste de prix Public EUROPE'!$B$1866:$D$1866,3,FALSE))</f>
        <v>0</v>
      </c>
      <c r="G49" s="850"/>
      <c r="H49" s="360"/>
      <c r="I49" s="64"/>
      <c r="U49" s="966"/>
    </row>
    <row r="50" spans="1:21">
      <c r="A50" s="376"/>
      <c r="B50" s="64"/>
      <c r="C50" s="64"/>
      <c r="D50" s="70"/>
      <c r="E50" s="377" t="s">
        <v>277</v>
      </c>
      <c r="F50" s="378">
        <f>SUM(F48:F49)</f>
        <v>0</v>
      </c>
      <c r="G50" s="850"/>
      <c r="H50" s="360"/>
      <c r="I50" s="64"/>
      <c r="U50" s="966"/>
    </row>
    <row r="51" spans="1:21">
      <c r="A51" s="376"/>
      <c r="B51" s="64"/>
      <c r="C51" s="64"/>
      <c r="D51" s="70"/>
      <c r="E51" s="360"/>
      <c r="F51" s="360"/>
      <c r="G51" s="851"/>
      <c r="H51" s="360"/>
      <c r="I51" s="64"/>
      <c r="U51" s="966"/>
    </row>
    <row r="52" spans="1:21">
      <c r="A52" s="580" t="s">
        <v>1010</v>
      </c>
      <c r="B52" s="368" t="s">
        <v>282</v>
      </c>
      <c r="C52" s="368" t="s">
        <v>435</v>
      </c>
      <c r="D52" s="2149" t="s">
        <v>8</v>
      </c>
      <c r="E52" s="2150"/>
      <c r="F52" s="368" t="s">
        <v>164</v>
      </c>
      <c r="G52" s="846"/>
      <c r="H52" s="360"/>
      <c r="I52" s="64"/>
      <c r="U52" s="966"/>
    </row>
    <row r="53" spans="1:21">
      <c r="A53" s="585"/>
      <c r="B53" s="418"/>
      <c r="C53" s="1658"/>
      <c r="D53" s="2147"/>
      <c r="E53" s="2148"/>
      <c r="F53" s="1659">
        <f>IFERROR(IF(C53&lt;650,VLOOKUP(A53,'Liste de prix Public EUROPE'!$B$347:$K$349,10,FALSE)*B53*C53+VLOOKUP(D53,'Liste de prix Public EUROPE'!$B$978:$H$981,6,FALSE)*B53*C53,VLOOKUP(A53,'Liste de prix Public EUROPE'!$B$347:$K$349,10,FALSE)*B53*650+VLOOKUP(D53,'Liste de prix Public EUROPE'!$B$978:$H$981,7,FALSE)*B53),0)</f>
        <v>0</v>
      </c>
      <c r="G53" s="298"/>
      <c r="H53" s="360"/>
      <c r="I53" s="64"/>
      <c r="U53" s="966"/>
    </row>
    <row r="54" spans="1:21">
      <c r="A54" s="585"/>
      <c r="B54" s="418"/>
      <c r="C54" s="1658"/>
      <c r="D54" s="2147"/>
      <c r="E54" s="2148"/>
      <c r="F54" s="1659">
        <f>IFERROR(IF(C54&lt;650,VLOOKUP(A54,'Liste de prix Public EUROPE'!$B$347:$K$349,10,FALSE)*B54*C54+VLOOKUP(D54,'Liste de prix Public EUROPE'!$B$978:$H$981,6,FALSE)*B54*C54,VLOOKUP(A54,'Liste de prix Public EUROPE'!$B$347:$K$349,10,FALSE)*B54*650+VLOOKUP(D54,'Liste de prix Public EUROPE'!$B$978:$H$981,7,FALSE)*B54),0)</f>
        <v>0</v>
      </c>
      <c r="G54" s="298"/>
      <c r="H54" s="360"/>
      <c r="I54" s="64"/>
      <c r="U54" s="966"/>
    </row>
    <row r="55" spans="1:21">
      <c r="A55" s="376"/>
      <c r="B55" s="64"/>
      <c r="C55" s="64"/>
      <c r="D55" s="424"/>
      <c r="E55" s="377" t="s">
        <v>277</v>
      </c>
      <c r="F55" s="378">
        <f>SUM(F53:F54)</f>
        <v>0</v>
      </c>
      <c r="G55" s="298"/>
      <c r="H55" s="360"/>
      <c r="I55" s="64"/>
      <c r="U55" s="966" t="s">
        <v>2497</v>
      </c>
    </row>
    <row r="56" spans="1:21" ht="15.75" customHeight="1">
      <c r="A56" s="376"/>
      <c r="B56" s="173"/>
      <c r="C56" s="64"/>
      <c r="D56" s="70"/>
      <c r="E56" s="64"/>
      <c r="F56" s="298"/>
      <c r="G56" s="298"/>
      <c r="H56" s="360"/>
      <c r="I56" s="64"/>
      <c r="U56" s="966" t="s">
        <v>2498</v>
      </c>
    </row>
    <row r="57" spans="1:21">
      <c r="A57" s="376"/>
      <c r="B57" s="173"/>
      <c r="C57" s="64"/>
      <c r="D57" s="70"/>
      <c r="E57" s="64"/>
      <c r="F57" s="840"/>
      <c r="G57" s="840"/>
      <c r="H57" s="360"/>
      <c r="I57" s="64"/>
      <c r="U57" s="946" t="s">
        <v>484</v>
      </c>
    </row>
    <row r="58" spans="1:21">
      <c r="A58" s="940" t="s">
        <v>244</v>
      </c>
      <c r="B58" s="941" t="s">
        <v>165</v>
      </c>
      <c r="C58" s="941" t="s">
        <v>190</v>
      </c>
      <c r="D58" s="941" t="s">
        <v>8</v>
      </c>
      <c r="E58" s="941" t="s">
        <v>192</v>
      </c>
      <c r="F58" s="941" t="s">
        <v>164</v>
      </c>
      <c r="G58" s="942" t="s">
        <v>488</v>
      </c>
      <c r="H58" s="1836"/>
      <c r="I58" s="64"/>
      <c r="U58" s="946" t="s">
        <v>485</v>
      </c>
    </row>
    <row r="59" spans="1:21">
      <c r="A59" s="585"/>
      <c r="B59" s="628"/>
      <c r="C59" s="416"/>
      <c r="D59" s="417"/>
      <c r="E59" s="417"/>
      <c r="F59" s="371">
        <f>IF(C59=$U$55,VLOOKUP(A59,'Liste de prix Public EUROPE'!$B$9:$X$30,22,FALSE),
IF(C59=$U$56,VLOOKUP(A59,'Liste de prix Public EUROPE'!$B$9:$X$30,23,FALSE),
IF(C59=$U$57,VLOOKUP(A59,'Liste de prix Public EUROPE'!$B$9:$V$174,9,FALSE),
IF(C59=$U$58,VLOOKUP(A59,'Liste de prix Public EUROPE'!$B$9:$V$174,11,FALSE),
IF(C59=$U$59,VLOOKUP(A59,'Liste de prix Public EUROPE'!$B$9:$V$174,15,FALSE),
IF(C59=$U$60,VLOOKUP(A59,'Liste de prix Public EUROPE'!$B$9:$V$174,13,FALSE),
IF(C59=$U$61,VLOOKUP(A59,'Liste de prix Public EUROPE'!$B$9:$V$174,19,FALSE),
IF(C59=$U$62,VLOOKUP(A59,'Liste de prix Public EUROPE'!$B$9:$V$174,17,FALSE),
IF(C59=$U$63,VLOOKUP(A59,'Liste de prix Public EUROPE'!$B$9:$V$174,21,FALSE),
FALSE))))))))*B59
+IF(D59=$U$65,VLOOKUP(A59,'Liste de prix Public EUROPE'!$B$378:$S$547,7,FALSE),
IF(D59=$U$66,VLOOKUP(A59,'Liste de prix Public EUROPE'!$B$559:$S$692,7,FALSE),
IF(D59=$U$67,VLOOKUP(A59,'Liste de prix Public EUROPE'!$B$826:$S$966,7,FALSE),
IF(D59=$U$68,VLOOKUP(A59,'Liste de prix Public EUROPE'!$B$1287:$S$1324,7,FALSE),
IF(D59=$U$73,VLOOKUP(A59,'Liste de prix Public EUROPE'!$B$698:$S$822,7,FALSE),
IF(D59=$U$69,VLOOKUP(A59,'Liste de prix Public EUROPE'!$B$1335:$S$1403,7,FALSE),
IF(D59=$U$70,VLOOKUP(A59,'Liste de prix Public EUROPE'!$B$1407:$H$1451,7,FALSE),
IF(D59=$U$71,VLOOKUP(A59,'Liste de prix Public EUROPE'!$B$1455:$H$1502,7,FALSE),
IF(D59=$U$72,VLOOKUP(A59,'Liste de prix Public EUROPE'!$B$1506:$H$1565,7,FALSE),)))))))))*B59)</f>
        <v>0</v>
      </c>
      <c r="G59" s="405">
        <f>IF(C59=$U$56,0,IF(C59=$U$57,0,IF(C59=$U$60,0,IF(C59=$U$63,0,IF(C59=$U$58,VLOOKUP(A59,'Liste de prix Public EUROPE'!$B$9:$V$174,10,FALSE),IF(C59=$U$59,VLOOKUP(A59,'Liste de prix Public EUROPE'!$B$9:$V$174,14,FALSE),IF(C59=$U$61,VLOOKUP(A59,'Liste de prix Public EUROPE'!$B$9:$V$174,18,FALSE),FALSE)))))))*B59</f>
        <v>0</v>
      </c>
      <c r="H59" s="1836"/>
      <c r="I59" s="64"/>
      <c r="J59" s="1000"/>
      <c r="P59" s="975"/>
      <c r="U59" s="946" t="s">
        <v>486</v>
      </c>
    </row>
    <row r="60" spans="1:21">
      <c r="A60" s="585"/>
      <c r="B60" s="628"/>
      <c r="C60" s="416"/>
      <c r="D60" s="417"/>
      <c r="E60" s="417"/>
      <c r="F60" s="371">
        <f>IF(C60=$U$55,VLOOKUP(A60,'Liste de prix Public EUROPE'!$B$9:$X$30,22,FALSE),
IF(C60=$U$56,VLOOKUP(A60,'Liste de prix Public EUROPE'!$B$9:$X$30,23,FALSE),
IF(C60=$U$57,VLOOKUP(A60,'Liste de prix Public EUROPE'!$B$9:$V$174,9,FALSE),
IF(C60=$U$58,VLOOKUP(A60,'Liste de prix Public EUROPE'!$B$9:$V$174,11,FALSE),
IF(C60=$U$59,VLOOKUP(A60,'Liste de prix Public EUROPE'!$B$9:$V$174,15,FALSE),
IF(C60=$U$60,VLOOKUP(A60,'Liste de prix Public EUROPE'!$B$9:$V$174,13,FALSE),
IF(C60=$U$61,VLOOKUP(A60,'Liste de prix Public EUROPE'!$B$9:$V$174,19,FALSE),
IF(C60=$U$62,VLOOKUP(A60,'Liste de prix Public EUROPE'!$B$9:$V$174,17,FALSE),
IF(C60=$U$63,VLOOKUP(A60,'Liste de prix Public EUROPE'!$B$9:$V$174,21,FALSE),
FALSE))))))))*B60
+IF(D60=$U$65,VLOOKUP(A60,'Liste de prix Public EUROPE'!$B$378:$S$547,7,FALSE),
IF(D60=$U$66,VLOOKUP(A60,'Liste de prix Public EUROPE'!$B$559:$S$692,7,FALSE),
IF(D60=$U$67,VLOOKUP(A60,'Liste de prix Public EUROPE'!$B$826:$S$966,7,FALSE),
IF(D60=$U$68,VLOOKUP(A60,'Liste de prix Public EUROPE'!$B$1287:$S$1324,7,FALSE),
IF(D60=$U$73,VLOOKUP(A60,'Liste de prix Public EUROPE'!$B$698:$S$822,7,FALSE),
IF(D60=$U$69,VLOOKUP(A60,'Liste de prix Public EUROPE'!$B$1335:$S$1403,7,FALSE),
IF(D60=$U$70,VLOOKUP(A60,'Liste de prix Public EUROPE'!$B$1407:$H$1451,7,FALSE),
IF(D60=$U$71,VLOOKUP(A60,'Liste de prix Public EUROPE'!$B$1455:$H$1502,7,FALSE),
IF(D60=$U$72,VLOOKUP(A60,'Liste de prix Public EUROPE'!$B$1506:$H$1565,7,FALSE),)))))))))*B60)</f>
        <v>0</v>
      </c>
      <c r="G60" s="405">
        <f>IF(C60=$U$56,0,IF(C60=$U$57,0,IF(C60=$U$60,0,IF(C60=$U$63,0,IF(C60=$U$58,VLOOKUP(A60,'Liste de prix Public EUROPE'!$B$9:$V$174,10,FALSE),IF(C60=$U$59,VLOOKUP(A60,'Liste de prix Public EUROPE'!$B$9:$V$174,14,FALSE),IF(C60=$U$61,VLOOKUP(A60,'Liste de prix Public EUROPE'!$B$9:$V$174,18,FALSE),FALSE)))))))*B60</f>
        <v>0</v>
      </c>
      <c r="H60" s="1836"/>
      <c r="I60" s="64"/>
      <c r="J60" s="1000"/>
      <c r="P60" s="975"/>
      <c r="U60" s="946" t="s">
        <v>2125</v>
      </c>
    </row>
    <row r="61" spans="1:21" ht="12.75" customHeight="1">
      <c r="A61" s="585"/>
      <c r="B61" s="628"/>
      <c r="C61" s="416"/>
      <c r="D61" s="417"/>
      <c r="E61" s="417"/>
      <c r="F61" s="371">
        <f>IF(C61=$U$55,VLOOKUP(A61,'Liste de prix Public EUROPE'!$B$9:$X$30,22,FALSE),
IF(C61=$U$56,VLOOKUP(A61,'Liste de prix Public EUROPE'!$B$9:$X$30,23,FALSE),
IF(C61=$U$57,VLOOKUP(A61,'Liste de prix Public EUROPE'!$B$9:$V$174,9,FALSE),
IF(C61=$U$58,VLOOKUP(A61,'Liste de prix Public EUROPE'!$B$9:$V$174,11,FALSE),
IF(C61=$U$59,VLOOKUP(A61,'Liste de prix Public EUROPE'!$B$9:$V$174,15,FALSE),
IF(C61=$U$60,VLOOKUP(A61,'Liste de prix Public EUROPE'!$B$9:$V$174,13,FALSE),
IF(C61=$U$61,VLOOKUP(A61,'Liste de prix Public EUROPE'!$B$9:$V$174,19,FALSE),
IF(C61=$U$62,VLOOKUP(A61,'Liste de prix Public EUROPE'!$B$9:$V$174,17,FALSE),
IF(C61=$U$63,VLOOKUP(A61,'Liste de prix Public EUROPE'!$B$9:$V$174,21,FALSE),
FALSE))))))))*B61
+IF(D61=$U$65,VLOOKUP(A61,'Liste de prix Public EUROPE'!$B$378:$S$547,7,FALSE),
IF(D61=$U$66,VLOOKUP(A61,'Liste de prix Public EUROPE'!$B$559:$S$692,7,FALSE),
IF(D61=$U$67,VLOOKUP(A61,'Liste de prix Public EUROPE'!$B$826:$S$966,7,FALSE),
IF(D61=$U$68,VLOOKUP(A61,'Liste de prix Public EUROPE'!$B$1287:$S$1324,7,FALSE),
IF(D61=$U$73,VLOOKUP(A61,'Liste de prix Public EUROPE'!$B$698:$S$822,7,FALSE),
IF(D61=$U$69,VLOOKUP(A61,'Liste de prix Public EUROPE'!$B$1335:$S$1403,7,FALSE),
IF(D61=$U$70,VLOOKUP(A61,'Liste de prix Public EUROPE'!$B$1407:$H$1451,7,FALSE),
IF(D61=$U$71,VLOOKUP(A61,'Liste de prix Public EUROPE'!$B$1455:$H$1502,7,FALSE),
IF(D61=$U$72,VLOOKUP(A61,'Liste de prix Public EUROPE'!$B$1506:$H$1565,7,FALSE),)))))))))*B61)</f>
        <v>0</v>
      </c>
      <c r="G61" s="405">
        <f>IF(C61=$U$56,0,IF(C61=$U$57,0,IF(C61=$U$60,0,IF(C61=$U$63,0,IF(C61=$U$58,VLOOKUP(A61,'Liste de prix Public EUROPE'!$B$9:$V$174,10,FALSE),IF(C61=$U$59,VLOOKUP(A61,'Liste de prix Public EUROPE'!$B$9:$V$174,14,FALSE),IF(C61=$U$61,VLOOKUP(A61,'Liste de prix Public EUROPE'!$B$9:$V$174,18,FALSE),FALSE)))))))*B61</f>
        <v>0</v>
      </c>
      <c r="H61" s="1836"/>
      <c r="I61" s="64"/>
      <c r="J61" s="1000"/>
      <c r="P61" s="975"/>
      <c r="U61" s="946" t="s">
        <v>487</v>
      </c>
    </row>
    <row r="62" spans="1:21">
      <c r="A62" s="585"/>
      <c r="B62" s="628"/>
      <c r="C62" s="416"/>
      <c r="D62" s="417"/>
      <c r="E62" s="417"/>
      <c r="F62" s="371">
        <f>IF(C62=$U$55,VLOOKUP(A62,'Liste de prix Public EUROPE'!$B$9:$X$30,22,FALSE),
IF(C62=$U$56,VLOOKUP(A62,'Liste de prix Public EUROPE'!$B$9:$X$30,23,FALSE),
IF(C62=$U$57,VLOOKUP(A62,'Liste de prix Public EUROPE'!$B$9:$V$174,9,FALSE),
IF(C62=$U$58,VLOOKUP(A62,'Liste de prix Public EUROPE'!$B$9:$V$174,11,FALSE),
IF(C62=$U$59,VLOOKUP(A62,'Liste de prix Public EUROPE'!$B$9:$V$174,15,FALSE),
IF(C62=$U$60,VLOOKUP(A62,'Liste de prix Public EUROPE'!$B$9:$V$174,13,FALSE),
IF(C62=$U$61,VLOOKUP(A62,'Liste de prix Public EUROPE'!$B$9:$V$174,19,FALSE),
IF(C62=$U$62,VLOOKUP(A62,'Liste de prix Public EUROPE'!$B$9:$V$174,17,FALSE),
IF(C62=$U$63,VLOOKUP(A62,'Liste de prix Public EUROPE'!$B$9:$V$174,21,FALSE),
FALSE))))))))*B62
+IF(D62=$U$65,VLOOKUP(A62,'Liste de prix Public EUROPE'!$B$378:$S$547,7,FALSE),
IF(D62=$U$66,VLOOKUP(A62,'Liste de prix Public EUROPE'!$B$559:$S$692,7,FALSE),
IF(D62=$U$67,VLOOKUP(A62,'Liste de prix Public EUROPE'!$B$826:$S$966,7,FALSE),
IF(D62=$U$68,VLOOKUP(A62,'Liste de prix Public EUROPE'!$B$1287:$S$1324,7,FALSE),
IF(D62=$U$73,VLOOKUP(A62,'Liste de prix Public EUROPE'!$B$698:$S$822,7,FALSE),
IF(D62=$U$69,VLOOKUP(A62,'Liste de prix Public EUROPE'!$B$1335:$S$1403,7,FALSE),
IF(D62=$U$70,VLOOKUP(A62,'Liste de prix Public EUROPE'!$B$1407:$H$1451,7,FALSE),
IF(D62=$U$71,VLOOKUP(A62,'Liste de prix Public EUROPE'!$B$1455:$H$1502,7,FALSE),
IF(D62=$U$72,VLOOKUP(A62,'Liste de prix Public EUROPE'!$B$1506:$H$1565,7,FALSE),)))))))))*B62)</f>
        <v>0</v>
      </c>
      <c r="G62" s="405">
        <f>IF(C62=$U$56,0,IF(C62=$U$57,0,IF(C62=$U$60,0,IF(C62=$U$63,0,IF(C62=$U$58,VLOOKUP(A62,'Liste de prix Public EUROPE'!$B$9:$V$174,10,FALSE),IF(C62=$U$59,VLOOKUP(A62,'Liste de prix Public EUROPE'!$B$9:$V$174,14,FALSE),IF(C62=$U$61,VLOOKUP(A62,'Liste de prix Public EUROPE'!$B$9:$V$174,18,FALSE),FALSE)))))))*B62</f>
        <v>0</v>
      </c>
      <c r="H62" s="1836"/>
      <c r="I62" s="64"/>
      <c r="J62" s="1000"/>
      <c r="P62" s="975"/>
      <c r="U62" s="946" t="s">
        <v>2343</v>
      </c>
    </row>
    <row r="63" spans="1:21">
      <c r="A63" s="585"/>
      <c r="B63" s="415"/>
      <c r="C63" s="416"/>
      <c r="D63" s="417"/>
      <c r="E63" s="417"/>
      <c r="F63" s="371">
        <f>IF(C63=$U$55,VLOOKUP(A63,'Liste de prix Public EUROPE'!$B$9:$X$30,22,FALSE),
IF(C63=$U$56,VLOOKUP(A63,'Liste de prix Public EUROPE'!$B$9:$X$30,23,FALSE),
IF(C63=$U$57,VLOOKUP(A63,'Liste de prix Public EUROPE'!$B$9:$V$174,9,FALSE),
IF(C63=$U$58,VLOOKUP(A63,'Liste de prix Public EUROPE'!$B$9:$V$174,11,FALSE),
IF(C63=$U$59,VLOOKUP(A63,'Liste de prix Public EUROPE'!$B$9:$V$174,15,FALSE),
IF(C63=$U$60,VLOOKUP(A63,'Liste de prix Public EUROPE'!$B$9:$V$174,13,FALSE),
IF(C63=$U$61,VLOOKUP(A63,'Liste de prix Public EUROPE'!$B$9:$V$174,19,FALSE),
IF(C63=$U$62,VLOOKUP(A63,'Liste de prix Public EUROPE'!$B$9:$V$174,17,FALSE),
IF(C63=$U$63,VLOOKUP(A63,'Liste de prix Public EUROPE'!$B$9:$V$174,21,FALSE),
FALSE))))))))*B63
+IF(D63=$U$65,VLOOKUP(A63,'Liste de prix Public EUROPE'!$B$378:$S$547,7,FALSE),
IF(D63=$U$66,VLOOKUP(A63,'Liste de prix Public EUROPE'!$B$559:$S$692,7,FALSE),
IF(D63=$U$67,VLOOKUP(A63,'Liste de prix Public EUROPE'!$B$826:$S$966,7,FALSE),
IF(D63=$U$68,VLOOKUP(A63,'Liste de prix Public EUROPE'!$B$1287:$S$1324,7,FALSE),
IF(D63=$U$73,VLOOKUP(A63,'Liste de prix Public EUROPE'!$B$698:$S$822,7,FALSE),
IF(D63=$U$69,VLOOKUP(A63,'Liste de prix Public EUROPE'!$B$1335:$S$1403,7,FALSE),
IF(D63=$U$70,VLOOKUP(A63,'Liste de prix Public EUROPE'!$B$1407:$H$1451,7,FALSE),
IF(D63=$U$71,VLOOKUP(A63,'Liste de prix Public EUROPE'!$B$1455:$H$1502,7,FALSE),
IF(D63=$U$72,VLOOKUP(A63,'Liste de prix Public EUROPE'!$B$1506:$H$1565,7,FALSE),)))))))))*B63)</f>
        <v>0</v>
      </c>
      <c r="G63" s="405">
        <f>IF(C63=$U$56,0,IF(C63=$U$57,0,IF(C63=$U$60,0,IF(C63=$U$63,0,IF(C63=$U$58,VLOOKUP(A63,'Liste de prix Public EUROPE'!$B$9:$V$174,10,FALSE),IF(C63=$U$59,VLOOKUP(A63,'Liste de prix Public EUROPE'!$B$9:$V$174,14,FALSE),IF(C63=$U$61,VLOOKUP(A63,'Liste de prix Public EUROPE'!$B$9:$V$174,18,FALSE),FALSE)))))))*B63</f>
        <v>0</v>
      </c>
      <c r="H63" s="1836"/>
      <c r="I63" s="64"/>
      <c r="J63" s="1000"/>
      <c r="P63" s="975"/>
      <c r="U63" s="946" t="s">
        <v>924</v>
      </c>
    </row>
    <row r="64" spans="1:21">
      <c r="A64" s="585"/>
      <c r="B64" s="415"/>
      <c r="C64" s="416"/>
      <c r="D64" s="417"/>
      <c r="E64" s="417"/>
      <c r="F64" s="371">
        <f>IF(C64=$U$55,VLOOKUP(A64,'Liste de prix Public EUROPE'!$B$9:$X$30,22,FALSE),
IF(C64=$U$56,VLOOKUP(A64,'Liste de prix Public EUROPE'!$B$9:$X$30,23,FALSE),
IF(C64=$U$57,VLOOKUP(A64,'Liste de prix Public EUROPE'!$B$9:$V$174,9,FALSE),
IF(C64=$U$58,VLOOKUP(A64,'Liste de prix Public EUROPE'!$B$9:$V$174,11,FALSE),
IF(C64=$U$59,VLOOKUP(A64,'Liste de prix Public EUROPE'!$B$9:$V$174,15,FALSE),
IF(C64=$U$60,VLOOKUP(A64,'Liste de prix Public EUROPE'!$B$9:$V$174,13,FALSE),
IF(C64=$U$61,VLOOKUP(A64,'Liste de prix Public EUROPE'!$B$9:$V$174,19,FALSE),
IF(C64=$U$62,VLOOKUP(A64,'Liste de prix Public EUROPE'!$B$9:$V$174,17,FALSE),
IF(C64=$U$63,VLOOKUP(A64,'Liste de prix Public EUROPE'!$B$9:$V$174,21,FALSE),
FALSE))))))))*B64
+IF(D64=$U$65,VLOOKUP(A64,'Liste de prix Public EUROPE'!$B$378:$S$547,7,FALSE),
IF(D64=$U$66,VLOOKUP(A64,'Liste de prix Public EUROPE'!$B$559:$S$692,7,FALSE),
IF(D64=$U$67,VLOOKUP(A64,'Liste de prix Public EUROPE'!$B$826:$S$966,7,FALSE),
IF(D64=$U$68,VLOOKUP(A64,'Liste de prix Public EUROPE'!$B$1287:$S$1324,7,FALSE),
IF(D64=$U$73,VLOOKUP(A64,'Liste de prix Public EUROPE'!$B$698:$S$822,7,FALSE),
IF(D64=$U$69,VLOOKUP(A64,'Liste de prix Public EUROPE'!$B$1335:$S$1403,7,FALSE),
IF(D64=$U$70,VLOOKUP(A64,'Liste de prix Public EUROPE'!$B$1407:$H$1451,7,FALSE),
IF(D64=$U$71,VLOOKUP(A64,'Liste de prix Public EUROPE'!$B$1455:$H$1502,7,FALSE),
IF(D64=$U$72,VLOOKUP(A64,'Liste de prix Public EUROPE'!$B$1506:$H$1565,7,FALSE),)))))))))*B64)</f>
        <v>0</v>
      </c>
      <c r="G64" s="405">
        <f>IF(C64=$U$56,0,IF(C64=$U$57,0,IF(C64=$U$60,0,IF(C64=$U$63,0,IF(C64=$U$58,VLOOKUP(A64,'Liste de prix Public EUROPE'!$B$9:$V$174,10,FALSE),IF(C64=$U$59,VLOOKUP(A64,'Liste de prix Public EUROPE'!$B$9:$V$174,14,FALSE),IF(C64=$U$61,VLOOKUP(A64,'Liste de prix Public EUROPE'!$B$9:$V$174,18,FALSE),FALSE)))))))*B64</f>
        <v>0</v>
      </c>
      <c r="H64" s="1836"/>
      <c r="I64" s="64"/>
      <c r="P64" s="975"/>
      <c r="U64" s="946" t="s">
        <v>7</v>
      </c>
    </row>
    <row r="65" spans="1:21">
      <c r="A65" s="585"/>
      <c r="B65" s="415"/>
      <c r="C65" s="416"/>
      <c r="D65" s="417"/>
      <c r="E65" s="417"/>
      <c r="F65" s="371">
        <f>IF(C65=$U$55,VLOOKUP(A65,'Liste de prix Public EUROPE'!$B$9:$X$30,22,FALSE),
IF(C65=$U$56,VLOOKUP(A65,'Liste de prix Public EUROPE'!$B$9:$X$30,23,FALSE),
IF(C65=$U$57,VLOOKUP(A65,'Liste de prix Public EUROPE'!$B$9:$V$174,9,FALSE),
IF(C65=$U$58,VLOOKUP(A65,'Liste de prix Public EUROPE'!$B$9:$V$174,11,FALSE),
IF(C65=$U$59,VLOOKUP(A65,'Liste de prix Public EUROPE'!$B$9:$V$174,15,FALSE),
IF(C65=$U$60,VLOOKUP(A65,'Liste de prix Public EUROPE'!$B$9:$V$174,13,FALSE),
IF(C65=$U$61,VLOOKUP(A65,'Liste de prix Public EUROPE'!$B$9:$V$174,19,FALSE),
IF(C65=$U$62,VLOOKUP(A65,'Liste de prix Public EUROPE'!$B$9:$V$174,17,FALSE),
IF(C65=$U$63,VLOOKUP(A65,'Liste de prix Public EUROPE'!$B$9:$V$174,21,FALSE),
FALSE))))))))*B65
+IF(D65=$U$65,VLOOKUP(A65,'Liste de prix Public EUROPE'!$B$378:$S$547,7,FALSE),
IF(D65=$U$66,VLOOKUP(A65,'Liste de prix Public EUROPE'!$B$559:$S$692,7,FALSE),
IF(D65=$U$67,VLOOKUP(A65,'Liste de prix Public EUROPE'!$B$826:$S$966,7,FALSE),
IF(D65=$U$68,VLOOKUP(A65,'Liste de prix Public EUROPE'!$B$1287:$S$1324,7,FALSE),
IF(D65=$U$73,VLOOKUP(A65,'Liste de prix Public EUROPE'!$B$698:$S$822,7,FALSE),
IF(D65=$U$69,VLOOKUP(A65,'Liste de prix Public EUROPE'!$B$1335:$S$1403,7,FALSE),
IF(D65=$U$70,VLOOKUP(A65,'Liste de prix Public EUROPE'!$B$1407:$H$1451,7,FALSE),
IF(D65=$U$71,VLOOKUP(A65,'Liste de prix Public EUROPE'!$B$1455:$H$1502,7,FALSE),
IF(D65=$U$72,VLOOKUP(A65,'Liste de prix Public EUROPE'!$B$1506:$H$1565,7,FALSE),)))))))))*B65)</f>
        <v>0</v>
      </c>
      <c r="G65" s="405">
        <f>IF(C65=$U$56,0,IF(C65=$U$57,0,IF(C65=$U$60,0,IF(C65=$U$63,0,IF(C65=$U$58,VLOOKUP(A65,'Liste de prix Public EUROPE'!$B$9:$V$174,10,FALSE),IF(C65=$U$59,VLOOKUP(A65,'Liste de prix Public EUROPE'!$B$9:$V$174,14,FALSE),IF(C65=$U$61,VLOOKUP(A65,'Liste de prix Public EUROPE'!$B$9:$V$174,18,FALSE),FALSE)))))))*B65</f>
        <v>0</v>
      </c>
      <c r="H65" s="1836"/>
      <c r="I65" s="64"/>
      <c r="P65" s="975"/>
      <c r="U65" s="946" t="s">
        <v>0</v>
      </c>
    </row>
    <row r="66" spans="1:21">
      <c r="A66" s="585"/>
      <c r="B66" s="415"/>
      <c r="C66" s="416"/>
      <c r="D66" s="417"/>
      <c r="E66" s="417"/>
      <c r="F66" s="371">
        <f>IF(C66=$U$55,VLOOKUP(A66,'Liste de prix Public EUROPE'!$B$9:$X$30,22,FALSE),
IF(C66=$U$56,VLOOKUP(A66,'Liste de prix Public EUROPE'!$B$9:$X$30,23,FALSE),
IF(C66=$U$57,VLOOKUP(A66,'Liste de prix Public EUROPE'!$B$9:$V$174,9,FALSE),
IF(C66=$U$58,VLOOKUP(A66,'Liste de prix Public EUROPE'!$B$9:$V$174,11,FALSE),
IF(C66=$U$59,VLOOKUP(A66,'Liste de prix Public EUROPE'!$B$9:$V$174,15,FALSE),
IF(C66=$U$60,VLOOKUP(A66,'Liste de prix Public EUROPE'!$B$9:$V$174,13,FALSE),
IF(C66=$U$61,VLOOKUP(A66,'Liste de prix Public EUROPE'!$B$9:$V$174,19,FALSE),
IF(C66=$U$62,VLOOKUP(A66,'Liste de prix Public EUROPE'!$B$9:$V$174,17,FALSE),
IF(C66=$U$63,VLOOKUP(A66,'Liste de prix Public EUROPE'!$B$9:$V$174,21,FALSE),
FALSE))))))))*B66
+IF(D66=$U$65,VLOOKUP(A66,'Liste de prix Public EUROPE'!$B$378:$S$547,7,FALSE),
IF(D66=$U$66,VLOOKUP(A66,'Liste de prix Public EUROPE'!$B$559:$S$692,7,FALSE),
IF(D66=$U$67,VLOOKUP(A66,'Liste de prix Public EUROPE'!$B$826:$S$966,7,FALSE),
IF(D66=$U$68,VLOOKUP(A66,'Liste de prix Public EUROPE'!$B$1287:$S$1324,7,FALSE),
IF(D66=$U$73,VLOOKUP(A66,'Liste de prix Public EUROPE'!$B$698:$S$822,7,FALSE),
IF(D66=$U$69,VLOOKUP(A66,'Liste de prix Public EUROPE'!$B$1335:$S$1403,7,FALSE),
IF(D66=$U$70,VLOOKUP(A66,'Liste de prix Public EUROPE'!$B$1407:$H$1451,7,FALSE),
IF(D66=$U$71,VLOOKUP(A66,'Liste de prix Public EUROPE'!$B$1455:$H$1502,7,FALSE),
IF(D66=$U$72,VLOOKUP(A66,'Liste de prix Public EUROPE'!$B$1506:$H$1565,7,FALSE),)))))))))*B66)</f>
        <v>0</v>
      </c>
      <c r="G66" s="405">
        <f>IF(C66=$U$56,0,IF(C66=$U$57,0,IF(C66=$U$60,0,IF(C66=$U$63,0,IF(C66=$U$58,VLOOKUP(A66,'Liste de prix Public EUROPE'!$B$9:$V$174,10,FALSE),IF(C66=$U$59,VLOOKUP(A66,'Liste de prix Public EUROPE'!$B$9:$V$174,14,FALSE),IF(C66=$U$61,VLOOKUP(A66,'Liste de prix Public EUROPE'!$B$9:$V$174,18,FALSE),FALSE)))))))*B66</f>
        <v>0</v>
      </c>
      <c r="H66" s="1836"/>
      <c r="I66" s="64"/>
      <c r="P66" s="975"/>
      <c r="U66" s="946" t="s">
        <v>17</v>
      </c>
    </row>
    <row r="67" spans="1:21">
      <c r="A67" s="585"/>
      <c r="B67" s="415"/>
      <c r="C67" s="416"/>
      <c r="D67" s="417"/>
      <c r="E67" s="417"/>
      <c r="F67" s="371">
        <f>IF(C67=$U$55,VLOOKUP(A67,'Liste de prix Public EUROPE'!$B$9:$X$30,22,FALSE),
IF(C67=$U$56,VLOOKUP(A67,'Liste de prix Public EUROPE'!$B$9:$X$30,23,FALSE),
IF(C67=$U$57,VLOOKUP(A67,'Liste de prix Public EUROPE'!$B$9:$V$174,9,FALSE),
IF(C67=$U$58,VLOOKUP(A67,'Liste de prix Public EUROPE'!$B$9:$V$174,11,FALSE),
IF(C67=$U$59,VLOOKUP(A67,'Liste de prix Public EUROPE'!$B$9:$V$174,15,FALSE),
IF(C67=$U$60,VLOOKUP(A67,'Liste de prix Public EUROPE'!$B$9:$V$174,13,FALSE),
IF(C67=$U$61,VLOOKUP(A67,'Liste de prix Public EUROPE'!$B$9:$V$174,19,FALSE),
IF(C67=$U$62,VLOOKUP(A67,'Liste de prix Public EUROPE'!$B$9:$V$174,17,FALSE),
IF(C67=$U$63,VLOOKUP(A67,'Liste de prix Public EUROPE'!$B$9:$V$174,21,FALSE),
FALSE))))))))*B67
+IF(D67=$U$65,VLOOKUP(A67,'Liste de prix Public EUROPE'!$B$378:$S$547,7,FALSE),
IF(D67=$U$66,VLOOKUP(A67,'Liste de prix Public EUROPE'!$B$559:$S$692,7,FALSE),
IF(D67=$U$67,VLOOKUP(A67,'Liste de prix Public EUROPE'!$B$826:$S$966,7,FALSE),
IF(D67=$U$68,VLOOKUP(A67,'Liste de prix Public EUROPE'!$B$1287:$S$1324,7,FALSE),
IF(D67=$U$73,VLOOKUP(A67,'Liste de prix Public EUROPE'!$B$698:$S$822,7,FALSE),
IF(D67=$U$69,VLOOKUP(A67,'Liste de prix Public EUROPE'!$B$1335:$S$1403,7,FALSE),
IF(D67=$U$70,VLOOKUP(A67,'Liste de prix Public EUROPE'!$B$1407:$H$1451,7,FALSE),
IF(D67=$U$71,VLOOKUP(A67,'Liste de prix Public EUROPE'!$B$1455:$H$1502,7,FALSE),
IF(D67=$U$72,VLOOKUP(A67,'Liste de prix Public EUROPE'!$B$1506:$H$1565,7,FALSE),)))))))))*B67)</f>
        <v>0</v>
      </c>
      <c r="G67" s="405">
        <f>IF(C67=$U$56,0,IF(C67=$U$57,0,IF(C67=$U$60,0,IF(C67=$U$63,0,IF(C67=$U$58,VLOOKUP(A67,'Liste de prix Public EUROPE'!$B$9:$V$174,10,FALSE),IF(C67=$U$59,VLOOKUP(A67,'Liste de prix Public EUROPE'!$B$9:$V$174,14,FALSE),IF(C67=$U$61,VLOOKUP(A67,'Liste de prix Public EUROPE'!$B$9:$V$174,18,FALSE),FALSE)))))))*B67</f>
        <v>0</v>
      </c>
      <c r="H67" s="1836"/>
      <c r="I67" s="64"/>
      <c r="P67" s="975"/>
      <c r="U67" s="946" t="s">
        <v>104</v>
      </c>
    </row>
    <row r="68" spans="1:21">
      <c r="A68" s="585"/>
      <c r="B68" s="415"/>
      <c r="C68" s="416"/>
      <c r="D68" s="417"/>
      <c r="E68" s="417"/>
      <c r="F68" s="371">
        <f>IF(C68=$U$55,VLOOKUP(A68,'Liste de prix Public EUROPE'!$B$9:$X$30,22,FALSE),
IF(C68=$U$56,VLOOKUP(A68,'Liste de prix Public EUROPE'!$B$9:$X$30,23,FALSE),
IF(C68=$U$57,VLOOKUP(A68,'Liste de prix Public EUROPE'!$B$9:$V$174,9,FALSE),
IF(C68=$U$58,VLOOKUP(A68,'Liste de prix Public EUROPE'!$B$9:$V$174,11,FALSE),
IF(C68=$U$59,VLOOKUP(A68,'Liste de prix Public EUROPE'!$B$9:$V$174,15,FALSE),
IF(C68=$U$60,VLOOKUP(A68,'Liste de prix Public EUROPE'!$B$9:$V$174,13,FALSE),
IF(C68=$U$61,VLOOKUP(A68,'Liste de prix Public EUROPE'!$B$9:$V$174,19,FALSE),
IF(C68=$U$62,VLOOKUP(A68,'Liste de prix Public EUROPE'!$B$9:$V$174,17,FALSE),
IF(C68=$U$63,VLOOKUP(A68,'Liste de prix Public EUROPE'!$B$9:$V$174,21,FALSE),
FALSE))))))))*B68
+IF(D68=$U$65,VLOOKUP(A68,'Liste de prix Public EUROPE'!$B$378:$S$547,7,FALSE),
IF(D68=$U$66,VLOOKUP(A68,'Liste de prix Public EUROPE'!$B$559:$S$692,7,FALSE),
IF(D68=$U$67,VLOOKUP(A68,'Liste de prix Public EUROPE'!$B$826:$S$966,7,FALSE),
IF(D68=$U$68,VLOOKUP(A68,'Liste de prix Public EUROPE'!$B$1287:$S$1324,7,FALSE),
IF(D68=$U$73,VLOOKUP(A68,'Liste de prix Public EUROPE'!$B$698:$S$822,7,FALSE),
IF(D68=$U$69,VLOOKUP(A68,'Liste de prix Public EUROPE'!$B$1335:$S$1403,7,FALSE),
IF(D68=$U$70,VLOOKUP(A68,'Liste de prix Public EUROPE'!$B$1407:$H$1451,7,FALSE),
IF(D68=$U$71,VLOOKUP(A68,'Liste de prix Public EUROPE'!$B$1455:$H$1502,7,FALSE),
IF(D68=$U$72,VLOOKUP(A68,'Liste de prix Public EUROPE'!$B$1506:$H$1565,7,FALSE),)))))))))*B68)</f>
        <v>0</v>
      </c>
      <c r="G68" s="405">
        <f>IF(C68=$U$56,0,IF(C68=$U$57,0,IF(C68=$U$60,0,IF(C68=$U$63,0,IF(C68=$U$58,VLOOKUP(A68,'Liste de prix Public EUROPE'!$B$9:$V$174,10,FALSE),IF(C68=$U$59,VLOOKUP(A68,'Liste de prix Public EUROPE'!$B$9:$V$174,14,FALSE),IF(C68=$U$61,VLOOKUP(A68,'Liste de prix Public EUROPE'!$B$9:$V$174,18,FALSE),FALSE)))))))*B68</f>
        <v>0</v>
      </c>
      <c r="H68" s="1836"/>
      <c r="I68" s="64"/>
      <c r="P68" s="975"/>
      <c r="U68" s="946" t="s">
        <v>229</v>
      </c>
    </row>
    <row r="69" spans="1:21">
      <c r="A69" s="585"/>
      <c r="B69" s="415"/>
      <c r="C69" s="416"/>
      <c r="D69" s="417"/>
      <c r="E69" s="417"/>
      <c r="F69" s="371">
        <f>IF(C69=$U$55,VLOOKUP(A69,'Liste de prix Public EUROPE'!$B$9:$X$30,22,FALSE),
IF(C69=$U$56,VLOOKUP(A69,'Liste de prix Public EUROPE'!$B$9:$X$30,23,FALSE),
IF(C69=$U$57,VLOOKUP(A69,'Liste de prix Public EUROPE'!$B$9:$V$174,9,FALSE),
IF(C69=$U$58,VLOOKUP(A69,'Liste de prix Public EUROPE'!$B$9:$V$174,11,FALSE),
IF(C69=$U$59,VLOOKUP(A69,'Liste de prix Public EUROPE'!$B$9:$V$174,15,FALSE),
IF(C69=$U$60,VLOOKUP(A69,'Liste de prix Public EUROPE'!$B$9:$V$174,13,FALSE),
IF(C69=$U$61,VLOOKUP(A69,'Liste de prix Public EUROPE'!$B$9:$V$174,19,FALSE),
IF(C69=$U$62,VLOOKUP(A69,'Liste de prix Public EUROPE'!$B$9:$V$174,17,FALSE),
IF(C69=$U$63,VLOOKUP(A69,'Liste de prix Public EUROPE'!$B$9:$V$174,21,FALSE),
FALSE))))))))*B69
+IF(D69=$U$65,VLOOKUP(A69,'Liste de prix Public EUROPE'!$B$378:$S$547,7,FALSE),
IF(D69=$U$66,VLOOKUP(A69,'Liste de prix Public EUROPE'!$B$559:$S$692,7,FALSE),
IF(D69=$U$67,VLOOKUP(A69,'Liste de prix Public EUROPE'!$B$826:$S$966,7,FALSE),
IF(D69=$U$68,VLOOKUP(A69,'Liste de prix Public EUROPE'!$B$1287:$S$1324,7,FALSE),
IF(D69=$U$73,VLOOKUP(A69,'Liste de prix Public EUROPE'!$B$698:$S$822,7,FALSE),
IF(D69=$U$69,VLOOKUP(A69,'Liste de prix Public EUROPE'!$B$1335:$S$1403,7,FALSE),
IF(D69=$U$70,VLOOKUP(A69,'Liste de prix Public EUROPE'!$B$1407:$H$1451,7,FALSE),
IF(D69=$U$71,VLOOKUP(A69,'Liste de prix Public EUROPE'!$B$1455:$H$1502,7,FALSE),
IF(D69=$U$72,VLOOKUP(A69,'Liste de prix Public EUROPE'!$B$1506:$H$1565,7,FALSE),)))))))))*B69)</f>
        <v>0</v>
      </c>
      <c r="G69" s="405">
        <f>IF(C69=$U$56,0,IF(C69=$U$57,0,IF(C69=$U$60,0,IF(C69=$U$63,0,IF(C69=$U$58,VLOOKUP(A69,'Liste de prix Public EUROPE'!$B$9:$V$174,10,FALSE),IF(C69=$U$59,VLOOKUP(A69,'Liste de prix Public EUROPE'!$B$9:$V$174,14,FALSE),IF(C69=$U$61,VLOOKUP(A69,'Liste de prix Public EUROPE'!$B$9:$V$174,18,FALSE),FALSE)))))))*B69</f>
        <v>0</v>
      </c>
      <c r="H69" s="1836"/>
      <c r="I69" s="64"/>
      <c r="P69" s="975"/>
      <c r="U69" s="946" t="s">
        <v>245</v>
      </c>
    </row>
    <row r="70" spans="1:21">
      <c r="A70" s="585"/>
      <c r="B70" s="415"/>
      <c r="C70" s="416"/>
      <c r="D70" s="417"/>
      <c r="E70" s="417"/>
      <c r="F70" s="371">
        <f>IF(C70=$U$55,VLOOKUP(A70,'Liste de prix Public EUROPE'!$B$9:$X$30,22,FALSE),
IF(C70=$U$56,VLOOKUP(A70,'Liste de prix Public EUROPE'!$B$9:$X$30,23,FALSE),
IF(C70=$U$57,VLOOKUP(A70,'Liste de prix Public EUROPE'!$B$9:$V$174,9,FALSE),
IF(C70=$U$58,VLOOKUP(A70,'Liste de prix Public EUROPE'!$B$9:$V$174,11,FALSE),
IF(C70=$U$59,VLOOKUP(A70,'Liste de prix Public EUROPE'!$B$9:$V$174,15,FALSE),
IF(C70=$U$60,VLOOKUP(A70,'Liste de prix Public EUROPE'!$B$9:$V$174,13,FALSE),
IF(C70=$U$61,VLOOKUP(A70,'Liste de prix Public EUROPE'!$B$9:$V$174,19,FALSE),
IF(C70=$U$62,VLOOKUP(A70,'Liste de prix Public EUROPE'!$B$9:$V$174,17,FALSE),
IF(C70=$U$63,VLOOKUP(A70,'Liste de prix Public EUROPE'!$B$9:$V$174,21,FALSE),
FALSE))))))))*B70
+IF(D70=$U$65,VLOOKUP(A70,'Liste de prix Public EUROPE'!$B$378:$S$547,7,FALSE),
IF(D70=$U$66,VLOOKUP(A70,'Liste de prix Public EUROPE'!$B$559:$S$692,7,FALSE),
IF(D70=$U$67,VLOOKUP(A70,'Liste de prix Public EUROPE'!$B$826:$S$966,7,FALSE),
IF(D70=$U$68,VLOOKUP(A70,'Liste de prix Public EUROPE'!$B$1287:$S$1324,7,FALSE),
IF(D70=$U$73,VLOOKUP(A70,'Liste de prix Public EUROPE'!$B$698:$S$822,7,FALSE),
IF(D70=$U$69,VLOOKUP(A70,'Liste de prix Public EUROPE'!$B$1335:$S$1403,7,FALSE),
IF(D70=$U$70,VLOOKUP(A70,'Liste de prix Public EUROPE'!$B$1407:$H$1451,7,FALSE),
IF(D70=$U$71,VLOOKUP(A70,'Liste de prix Public EUROPE'!$B$1455:$H$1502,7,FALSE),
IF(D70=$U$72,VLOOKUP(A70,'Liste de prix Public EUROPE'!$B$1506:$H$1565,7,FALSE),)))))))))*B70)</f>
        <v>0</v>
      </c>
      <c r="G70" s="405">
        <f>IF(C70=$U$56,0,IF(C70=$U$57,0,IF(C70=$U$60,0,IF(C70=$U$63,0,IF(C70=$U$58,VLOOKUP(A70,'Liste de prix Public EUROPE'!$B$9:$V$174,10,FALSE),IF(C70=$U$59,VLOOKUP(A70,'Liste de prix Public EUROPE'!$B$9:$V$174,14,FALSE),IF(C70=$U$61,VLOOKUP(A70,'Liste de prix Public EUROPE'!$B$9:$V$174,18,FALSE),FALSE)))))))*B70</f>
        <v>0</v>
      </c>
      <c r="H70" s="1836"/>
      <c r="I70" s="64"/>
      <c r="P70" s="975"/>
      <c r="T70" s="946">
        <v>69</v>
      </c>
      <c r="U70" s="946" t="s">
        <v>688</v>
      </c>
    </row>
    <row r="71" spans="1:21">
      <c r="A71" s="585"/>
      <c r="B71" s="628"/>
      <c r="C71" s="416"/>
      <c r="D71" s="417"/>
      <c r="E71" s="591"/>
      <c r="F71" s="371">
        <f>IF(C71=$U$55,VLOOKUP(A71,'Liste de prix Public EUROPE'!$B$9:$X$30,22,FALSE),
IF(C71=$U$56,VLOOKUP(A71,'Liste de prix Public EUROPE'!$B$9:$X$30,23,FALSE),
IF(C71=$U$57,VLOOKUP(A71,'Liste de prix Public EUROPE'!$B$9:$V$174,9,FALSE),
IF(C71=$U$58,VLOOKUP(A71,'Liste de prix Public EUROPE'!$B$9:$V$174,11,FALSE),
IF(C71=$U$59,VLOOKUP(A71,'Liste de prix Public EUROPE'!$B$9:$V$174,15,FALSE),
IF(C71=$U$60,VLOOKUP(A71,'Liste de prix Public EUROPE'!$B$9:$V$174,13,FALSE),
IF(C71=$U$61,VLOOKUP(A71,'Liste de prix Public EUROPE'!$B$9:$V$174,19,FALSE),
IF(C71=$U$62,VLOOKUP(A71,'Liste de prix Public EUROPE'!$B$9:$V$174,17,FALSE),
IF(C71=$U$63,VLOOKUP(A71,'Liste de prix Public EUROPE'!$B$9:$V$174,21,FALSE),
FALSE))))))))*B71
+IF(D71=$U$65,VLOOKUP(A71,'Liste de prix Public EUROPE'!$B$378:$S$547,7,FALSE),
IF(D71=$U$66,VLOOKUP(A71,'Liste de prix Public EUROPE'!$B$559:$S$692,7,FALSE),
IF(D71=$U$67,VLOOKUP(A71,'Liste de prix Public EUROPE'!$B$826:$S$966,7,FALSE),
IF(D71=$U$68,VLOOKUP(A71,'Liste de prix Public EUROPE'!$B$1287:$S$1324,7,FALSE),
IF(D71=$U$73,VLOOKUP(A71,'Liste de prix Public EUROPE'!$B$698:$S$822,7,FALSE),
IF(D71=$U$69,VLOOKUP(A71,'Liste de prix Public EUROPE'!$B$1335:$S$1403,7,FALSE),
IF(D71=$U$70,VLOOKUP(A71,'Liste de prix Public EUROPE'!$B$1407:$H$1451,7,FALSE),
IF(D71=$U$71,VLOOKUP(A71,'Liste de prix Public EUROPE'!$B$1455:$H$1502,7,FALSE),
IF(D71=$U$72,VLOOKUP(A71,'Liste de prix Public EUROPE'!$B$1506:$H$1565,7,FALSE),)))))))))*B71)</f>
        <v>0</v>
      </c>
      <c r="G71" s="405">
        <f>IF(C71=$U$56,0,IF(C71=$U$57,0,IF(C71=$U$60,0,IF(C71=$U$63,0,IF(C71=$U$58,VLOOKUP(A71,'Liste de prix Public EUROPE'!$B$9:$V$174,10,FALSE),IF(C71=$U$59,VLOOKUP(A71,'Liste de prix Public EUROPE'!$B$9:$V$174,14,FALSE),IF(C71=$U$61,VLOOKUP(A71,'Liste de prix Public EUROPE'!$B$9:$V$174,18,FALSE),FALSE)))))))*B71</f>
        <v>0</v>
      </c>
      <c r="H71" s="1836"/>
      <c r="I71" s="64"/>
      <c r="P71" s="975"/>
      <c r="T71" s="946">
        <v>70</v>
      </c>
      <c r="U71" s="946" t="s">
        <v>686</v>
      </c>
    </row>
    <row r="72" spans="1:21">
      <c r="A72" s="585"/>
      <c r="B72" s="628"/>
      <c r="C72" s="416"/>
      <c r="D72" s="417"/>
      <c r="E72" s="591"/>
      <c r="F72" s="371">
        <f>IF(C72=$U$55,VLOOKUP(A72,'Liste de prix Public EUROPE'!$B$9:$X$30,22,FALSE),
IF(C72=$U$56,VLOOKUP(A72,'Liste de prix Public EUROPE'!$B$9:$X$30,23,FALSE),
IF(C72=$U$57,VLOOKUP(A72,'Liste de prix Public EUROPE'!$B$9:$V$174,9,FALSE),
IF(C72=$U$58,VLOOKUP(A72,'Liste de prix Public EUROPE'!$B$9:$V$174,11,FALSE),
IF(C72=$U$59,VLOOKUP(A72,'Liste de prix Public EUROPE'!$B$9:$V$174,15,FALSE),
IF(C72=$U$60,VLOOKUP(A72,'Liste de prix Public EUROPE'!$B$9:$V$174,13,FALSE),
IF(C72=$U$61,VLOOKUP(A72,'Liste de prix Public EUROPE'!$B$9:$V$174,19,FALSE),
IF(C72=$U$62,VLOOKUP(A72,'Liste de prix Public EUROPE'!$B$9:$V$174,17,FALSE),
IF(C72=$U$63,VLOOKUP(A72,'Liste de prix Public EUROPE'!$B$9:$V$174,21,FALSE),
FALSE))))))))*B72
+IF(D72=$U$65,VLOOKUP(A72,'Liste de prix Public EUROPE'!$B$378:$S$547,7,FALSE),
IF(D72=$U$66,VLOOKUP(A72,'Liste de prix Public EUROPE'!$B$559:$S$692,7,FALSE),
IF(D72=$U$67,VLOOKUP(A72,'Liste de prix Public EUROPE'!$B$826:$S$966,7,FALSE),
IF(D72=$U$68,VLOOKUP(A72,'Liste de prix Public EUROPE'!$B$1287:$S$1324,7,FALSE),
IF(D72=$U$73,VLOOKUP(A72,'Liste de prix Public EUROPE'!$B$698:$S$822,7,FALSE),
IF(D72=$U$69,VLOOKUP(A72,'Liste de prix Public EUROPE'!$B$1335:$S$1403,7,FALSE),
IF(D72=$U$70,VLOOKUP(A72,'Liste de prix Public EUROPE'!$B$1407:$H$1451,7,FALSE),
IF(D72=$U$71,VLOOKUP(A72,'Liste de prix Public EUROPE'!$B$1455:$H$1502,7,FALSE),
IF(D72=$U$72,VLOOKUP(A72,'Liste de prix Public EUROPE'!$B$1506:$H$1565,7,FALSE),)))))))))*B72)</f>
        <v>0</v>
      </c>
      <c r="G72" s="405">
        <f>IF(C72=$U$56,0,IF(C72=$U$57,0,IF(C72=$U$60,0,IF(C72=$U$63,0,IF(C72=$U$58,VLOOKUP(A72,'Liste de prix Public EUROPE'!$B$9:$V$174,10,FALSE),IF(C72=$U$59,VLOOKUP(A72,'Liste de prix Public EUROPE'!$B$9:$V$174,14,FALSE),IF(C72=$U$61,VLOOKUP(A72,'Liste de prix Public EUROPE'!$B$9:$V$174,18,FALSE),FALSE)))))))*B72</f>
        <v>0</v>
      </c>
      <c r="H72" s="1836"/>
      <c r="I72" s="64"/>
      <c r="P72" s="975"/>
      <c r="T72" s="946">
        <v>71</v>
      </c>
      <c r="U72" s="946" t="s">
        <v>685</v>
      </c>
    </row>
    <row r="73" spans="1:21">
      <c r="A73" s="585"/>
      <c r="B73" s="415"/>
      <c r="C73" s="416"/>
      <c r="D73" s="417"/>
      <c r="E73" s="417"/>
      <c r="F73" s="371">
        <f>IF(C73=$U$55,VLOOKUP(A73,'Liste de prix Public EUROPE'!$B$9:$X$30,22,FALSE),
IF(C73=$U$56,VLOOKUP(A73,'Liste de prix Public EUROPE'!$B$9:$X$30,23,FALSE),
IF(C73=$U$57,VLOOKUP(A73,'Liste de prix Public EUROPE'!$B$9:$V$174,9,FALSE),
IF(C73=$U$58,VLOOKUP(A73,'Liste de prix Public EUROPE'!$B$9:$V$174,11,FALSE),
IF(C73=$U$59,VLOOKUP(A73,'Liste de prix Public EUROPE'!$B$9:$V$174,15,FALSE),
IF(C73=$U$60,VLOOKUP(A73,'Liste de prix Public EUROPE'!$B$9:$V$174,13,FALSE),
IF(C73=$U$61,VLOOKUP(A73,'Liste de prix Public EUROPE'!$B$9:$V$174,19,FALSE),
IF(C73=$U$62,VLOOKUP(A73,'Liste de prix Public EUROPE'!$B$9:$V$174,17,FALSE),
IF(C73=$U$63,VLOOKUP(A73,'Liste de prix Public EUROPE'!$B$9:$V$174,21,FALSE),
FALSE))))))))*B73
+IF(D73=$U$65,VLOOKUP(A73,'Liste de prix Public EUROPE'!$B$378:$S$547,7,FALSE),
IF(D73=$U$66,VLOOKUP(A73,'Liste de prix Public EUROPE'!$B$559:$S$692,7,FALSE),
IF(D73=$U$67,VLOOKUP(A73,'Liste de prix Public EUROPE'!$B$826:$S$966,7,FALSE),
IF(D73=$U$68,VLOOKUP(A73,'Liste de prix Public EUROPE'!$B$1287:$S$1324,7,FALSE),
IF(D73=$U$73,VLOOKUP(A73,'Liste de prix Public EUROPE'!$B$698:$S$822,7,FALSE),
IF(D73=$U$69,VLOOKUP(A73,'Liste de prix Public EUROPE'!$B$1335:$S$1403,7,FALSE),
IF(D73=$U$70,VLOOKUP(A73,'Liste de prix Public EUROPE'!$B$1407:$H$1451,7,FALSE),
IF(D73=$U$71,VLOOKUP(A73,'Liste de prix Public EUROPE'!$B$1455:$H$1502,7,FALSE),
IF(D73=$U$72,VLOOKUP(A73,'Liste de prix Public EUROPE'!$B$1506:$H$1565,7,FALSE),)))))))))*B73)</f>
        <v>0</v>
      </c>
      <c r="G73" s="405">
        <f>IF(C73=$U$56,0,IF(C73=$U$57,0,IF(C73=$U$60,0,IF(C73=$U$63,0,IF(C73=$U$58,VLOOKUP(A73,'Liste de prix Public EUROPE'!$B$9:$V$174,10,FALSE),IF(C73=$U$59,VLOOKUP(A73,'Liste de prix Public EUROPE'!$B$9:$V$174,14,FALSE),IF(C73=$U$61,VLOOKUP(A73,'Liste de prix Public EUROPE'!$B$9:$V$174,18,FALSE),FALSE)))))))*B73</f>
        <v>0</v>
      </c>
      <c r="H73" s="1836"/>
      <c r="I73" s="64"/>
      <c r="P73" s="975"/>
      <c r="T73" s="946">
        <v>72</v>
      </c>
      <c r="U73" s="946" t="s">
        <v>273</v>
      </c>
    </row>
    <row r="74" spans="1:21">
      <c r="A74" s="585"/>
      <c r="B74" s="415"/>
      <c r="C74" s="416"/>
      <c r="D74" s="417"/>
      <c r="E74" s="417"/>
      <c r="F74" s="371">
        <f>IF(C74=$U$55,VLOOKUP(A74,'Liste de prix Public EUROPE'!$B$9:$X$30,22,FALSE),
IF(C74=$U$56,VLOOKUP(A74,'Liste de prix Public EUROPE'!$B$9:$X$30,23,FALSE),
IF(C74=$U$57,VLOOKUP(A74,'Liste de prix Public EUROPE'!$B$9:$V$174,9,FALSE),
IF(C74=$U$58,VLOOKUP(A74,'Liste de prix Public EUROPE'!$B$9:$V$174,11,FALSE),
IF(C74=$U$59,VLOOKUP(A74,'Liste de prix Public EUROPE'!$B$9:$V$174,15,FALSE),
IF(C74=$U$60,VLOOKUP(A74,'Liste de prix Public EUROPE'!$B$9:$V$174,13,FALSE),
IF(C74=$U$61,VLOOKUP(A74,'Liste de prix Public EUROPE'!$B$9:$V$174,19,FALSE),
IF(C74=$U$62,VLOOKUP(A74,'Liste de prix Public EUROPE'!$B$9:$V$174,17,FALSE),
IF(C74=$U$63,VLOOKUP(A74,'Liste de prix Public EUROPE'!$B$9:$V$174,21,FALSE),
FALSE))))))))*B74
+IF(D74=$U$65,VLOOKUP(A74,'Liste de prix Public EUROPE'!$B$378:$S$547,7,FALSE),
IF(D74=$U$66,VLOOKUP(A74,'Liste de prix Public EUROPE'!$B$559:$S$692,7,FALSE),
IF(D74=$U$67,VLOOKUP(A74,'Liste de prix Public EUROPE'!$B$826:$S$966,7,FALSE),
IF(D74=$U$68,VLOOKUP(A74,'Liste de prix Public EUROPE'!$B$1287:$S$1324,7,FALSE),
IF(D74=$U$73,VLOOKUP(A74,'Liste de prix Public EUROPE'!$B$698:$S$822,7,FALSE),
IF(D74=$U$69,VLOOKUP(A74,'Liste de prix Public EUROPE'!$B$1335:$S$1403,7,FALSE),
IF(D74=$U$70,VLOOKUP(A74,'Liste de prix Public EUROPE'!$B$1407:$H$1451,7,FALSE),
IF(D74=$U$71,VLOOKUP(A74,'Liste de prix Public EUROPE'!$B$1455:$H$1502,7,FALSE),
IF(D74=$U$72,VLOOKUP(A74,'Liste de prix Public EUROPE'!$B$1506:$H$1565,7,FALSE),)))))))))*B74)</f>
        <v>0</v>
      </c>
      <c r="G74" s="405">
        <f>IF(C74=$U$56,0,IF(C74=$U$57,0,IF(C74=$U$60,0,IF(C74=$U$63,0,IF(C74=$U$58,VLOOKUP(A74,'Liste de prix Public EUROPE'!$B$9:$V$174,10,FALSE),IF(C74=$U$59,VLOOKUP(A74,'Liste de prix Public EUROPE'!$B$9:$V$174,14,FALSE),IF(C74=$U$61,VLOOKUP(A74,'Liste de prix Public EUROPE'!$B$9:$V$174,18,FALSE),FALSE)))))))*B74</f>
        <v>0</v>
      </c>
      <c r="H74" s="1836"/>
      <c r="I74" s="64"/>
      <c r="P74" s="975"/>
      <c r="U74" s="966"/>
    </row>
    <row r="75" spans="1:21">
      <c r="A75" s="585"/>
      <c r="B75" s="415"/>
      <c r="C75" s="416"/>
      <c r="D75" s="417"/>
      <c r="E75" s="417"/>
      <c r="F75" s="371">
        <f>IF(C75=$U$55,VLOOKUP(A75,'Liste de prix Public EUROPE'!$B$9:$X$30,22,FALSE),
IF(C75=$U$56,VLOOKUP(A75,'Liste de prix Public EUROPE'!$B$9:$X$30,23,FALSE),
IF(C75=$U$57,VLOOKUP(A75,'Liste de prix Public EUROPE'!$B$9:$V$174,9,FALSE),
IF(C75=$U$58,VLOOKUP(A75,'Liste de prix Public EUROPE'!$B$9:$V$174,11,FALSE),
IF(C75=$U$59,VLOOKUP(A75,'Liste de prix Public EUROPE'!$B$9:$V$174,15,FALSE),
IF(C75=$U$60,VLOOKUP(A75,'Liste de prix Public EUROPE'!$B$9:$V$174,13,FALSE),
IF(C75=$U$61,VLOOKUP(A75,'Liste de prix Public EUROPE'!$B$9:$V$174,19,FALSE),
IF(C75=$U$62,VLOOKUP(A75,'Liste de prix Public EUROPE'!$B$9:$V$174,17,FALSE),
IF(C75=$U$63,VLOOKUP(A75,'Liste de prix Public EUROPE'!$B$9:$V$174,21,FALSE),
FALSE))))))))*B75
+IF(D75=$U$65,VLOOKUP(A75,'Liste de prix Public EUROPE'!$B$378:$S$547,7,FALSE),
IF(D75=$U$66,VLOOKUP(A75,'Liste de prix Public EUROPE'!$B$559:$S$692,7,FALSE),
IF(D75=$U$67,VLOOKUP(A75,'Liste de prix Public EUROPE'!$B$826:$S$966,7,FALSE),
IF(D75=$U$68,VLOOKUP(A75,'Liste de prix Public EUROPE'!$B$1287:$S$1324,7,FALSE),
IF(D75=$U$73,VLOOKUP(A75,'Liste de prix Public EUROPE'!$B$698:$S$822,7,FALSE),
IF(D75=$U$69,VLOOKUP(A75,'Liste de prix Public EUROPE'!$B$1335:$S$1403,7,FALSE),
IF(D75=$U$70,VLOOKUP(A75,'Liste de prix Public EUROPE'!$B$1407:$H$1451,7,FALSE),
IF(D75=$U$71,VLOOKUP(A75,'Liste de prix Public EUROPE'!$B$1455:$H$1502,7,FALSE),
IF(D75=$U$72,VLOOKUP(A75,'Liste de prix Public EUROPE'!$B$1506:$H$1565,7,FALSE),)))))))))*B75)</f>
        <v>0</v>
      </c>
      <c r="G75" s="405">
        <f>IF(C75=$U$56,0,IF(C75=$U$57,0,IF(C75=$U$60,0,IF(C75=$U$63,0,IF(C75=$U$58,VLOOKUP(A75,'Liste de prix Public EUROPE'!$B$9:$V$174,10,FALSE),IF(C75=$U$59,VLOOKUP(A75,'Liste de prix Public EUROPE'!$B$9:$V$174,14,FALSE),IF(C75=$U$61,VLOOKUP(A75,'Liste de prix Public EUROPE'!$B$9:$V$174,18,FALSE),FALSE)))))))*B75</f>
        <v>0</v>
      </c>
      <c r="H75" s="1836"/>
      <c r="I75" s="64"/>
      <c r="P75" s="975"/>
      <c r="U75" s="966"/>
    </row>
    <row r="76" spans="1:21">
      <c r="A76" s="585"/>
      <c r="B76" s="415"/>
      <c r="C76" s="416"/>
      <c r="D76" s="417"/>
      <c r="E76" s="417"/>
      <c r="F76" s="371">
        <f>IF(C76=$U$55,VLOOKUP(A76,'Liste de prix Public EUROPE'!$B$9:$X$30,22,FALSE),
IF(C76=$U$56,VLOOKUP(A76,'Liste de prix Public EUROPE'!$B$9:$X$30,23,FALSE),
IF(C76=$U$57,VLOOKUP(A76,'Liste de prix Public EUROPE'!$B$9:$V$174,9,FALSE),
IF(C76=$U$58,VLOOKUP(A76,'Liste de prix Public EUROPE'!$B$9:$V$174,11,FALSE),
IF(C76=$U$59,VLOOKUP(A76,'Liste de prix Public EUROPE'!$B$9:$V$174,15,FALSE),
IF(C76=$U$60,VLOOKUP(A76,'Liste de prix Public EUROPE'!$B$9:$V$174,13,FALSE),
IF(C76=$U$61,VLOOKUP(A76,'Liste de prix Public EUROPE'!$B$9:$V$174,19,FALSE),
IF(C76=$U$62,VLOOKUP(A76,'Liste de prix Public EUROPE'!$B$9:$V$174,17,FALSE),
IF(C76=$U$63,VLOOKUP(A76,'Liste de prix Public EUROPE'!$B$9:$V$174,21,FALSE),
FALSE))))))))*B76
+IF(D76=$U$65,VLOOKUP(A76,'Liste de prix Public EUROPE'!$B$378:$S$547,7,FALSE),
IF(D76=$U$66,VLOOKUP(A76,'Liste de prix Public EUROPE'!$B$559:$S$692,7,FALSE),
IF(D76=$U$67,VLOOKUP(A76,'Liste de prix Public EUROPE'!$B$826:$S$966,7,FALSE),
IF(D76=$U$68,VLOOKUP(A76,'Liste de prix Public EUROPE'!$B$1287:$S$1324,7,FALSE),
IF(D76=$U$73,VLOOKUP(A76,'Liste de prix Public EUROPE'!$B$698:$S$822,7,FALSE),
IF(D76=$U$69,VLOOKUP(A76,'Liste de prix Public EUROPE'!$B$1335:$S$1403,7,FALSE),
IF(D76=$U$70,VLOOKUP(A76,'Liste de prix Public EUROPE'!$B$1407:$H$1451,7,FALSE),
IF(D76=$U$71,VLOOKUP(A76,'Liste de prix Public EUROPE'!$B$1455:$H$1502,7,FALSE),
IF(D76=$U$72,VLOOKUP(A76,'Liste de prix Public EUROPE'!$B$1506:$H$1565,7,FALSE),)))))))))*B76)</f>
        <v>0</v>
      </c>
      <c r="G76" s="405">
        <f>IF(C76=$U$56,0,IF(C76=$U$57,0,IF(C76=$U$60,0,IF(C76=$U$63,0,IF(C76=$U$58,VLOOKUP(A76,'Liste de prix Public EUROPE'!$B$9:$V$174,10,FALSE),IF(C76=$U$59,VLOOKUP(A76,'Liste de prix Public EUROPE'!$B$9:$V$174,14,FALSE),IF(C76=$U$61,VLOOKUP(A76,'Liste de prix Public EUROPE'!$B$9:$V$174,18,FALSE),FALSE)))))))*B76</f>
        <v>0</v>
      </c>
      <c r="H76" s="1836"/>
      <c r="I76" s="64"/>
      <c r="P76" s="975"/>
      <c r="U76" s="966"/>
    </row>
    <row r="77" spans="1:21">
      <c r="A77" s="581"/>
      <c r="B77" s="373">
        <f>SUM(B59:B76)</f>
        <v>0</v>
      </c>
      <c r="C77" s="374"/>
      <c r="D77" s="375"/>
      <c r="E77" s="375"/>
      <c r="F77" s="371"/>
      <c r="G77" s="371"/>
      <c r="H77" s="1836"/>
      <c r="I77" s="64"/>
      <c r="P77" s="975"/>
      <c r="U77" s="966"/>
    </row>
    <row r="78" spans="1:21">
      <c r="A78" s="376"/>
      <c r="B78" s="64"/>
      <c r="C78" s="64"/>
      <c r="D78" s="173"/>
      <c r="E78" s="377" t="s">
        <v>277</v>
      </c>
      <c r="F78" s="757">
        <f>SUM(F59:F77)</f>
        <v>0</v>
      </c>
      <c r="G78" s="849">
        <f>SUM(G59:G77)</f>
        <v>0</v>
      </c>
      <c r="H78" s="100"/>
      <c r="I78" s="64"/>
      <c r="U78" s="966" t="s">
        <v>433</v>
      </c>
    </row>
    <row r="79" spans="1:21">
      <c r="A79" s="376"/>
      <c r="B79" s="64"/>
      <c r="C79" s="64"/>
      <c r="D79" s="173"/>
      <c r="E79" s="64"/>
      <c r="F79" s="298"/>
      <c r="G79" s="298"/>
      <c r="H79" s="100"/>
      <c r="I79" s="64"/>
      <c r="U79" s="946" t="s">
        <v>292</v>
      </c>
    </row>
    <row r="80" spans="1:21">
      <c r="A80" s="940" t="s">
        <v>1054</v>
      </c>
      <c r="B80" s="941" t="s">
        <v>165</v>
      </c>
      <c r="C80" s="941" t="s">
        <v>190</v>
      </c>
      <c r="D80" s="941" t="s">
        <v>8</v>
      </c>
      <c r="E80" s="941" t="s">
        <v>192</v>
      </c>
      <c r="F80" s="941" t="s">
        <v>164</v>
      </c>
      <c r="G80" s="942" t="s">
        <v>488</v>
      </c>
      <c r="H80" s="100"/>
      <c r="I80" s="64"/>
    </row>
    <row r="81" spans="1:21">
      <c r="A81" s="585"/>
      <c r="B81" s="628"/>
      <c r="C81" s="416"/>
      <c r="D81" s="417"/>
      <c r="E81" s="417"/>
      <c r="F81" s="877">
        <f>IF(C81=$U$56,VLOOKUP(A81,'Liste de prix Public EUROPE'!$B$178:$V$343,8,FALSE),
IF(C81=$U$57,VLOOKUP(A81,'Liste de prix Public EUROPE'!$B$178:$V$343,9,FALSE),
IF(C81=$U$58,VLOOKUP(A81,'Liste de prix Public EUROPE'!$B$178:$V$343,11,FALSE),
IF(C81=$U$59,VLOOKUP(A81,'Liste de prix Public EUROPE'!$B$178:$V$343,15,FALSE),
IF(C81=$U$60,VLOOKUP(A81,'Liste de prix Public EUROPE'!$B$178:$V$343,13,FALSE),
IF(C81=$U$61,VLOOKUP(A81,'Liste de prix Public EUROPE'!$B$178:$V$343,19,FALSE),
IF(C81=$U$62,VLOOKUP(A81,'Liste de prix Public EUROPE'!$B$178:$V$343,17,FALSE),
IF(C81=$U$63,VLOOKUP(A81,'Liste de prix Public EUROPE'!$B$178:$V$343,21,FALSE),
FALSE)))))))*B81+
IF(D81=$U$65,VLOOKUP(A81,'Liste de prix Public EUROPE'!$B$378:$S$542,7,FALSE),
IF(D81=$U$66,VLOOKUP(A81,'Liste de prix Public EUROPE'!$B$559:$S$692,7,FALSE),
IF(D81=$U$67,VLOOKUP(A81,'Liste de prix Public EUROPE'!$B$826:$S$966,7,FALSE),
IF(D81=$U$73,VLOOKUP(A81,'Liste de prix Public EUROPE'!$B$698:$S$822,7,FALSE),
IF(D81=$U$68,VLOOKUP(A81,'Liste de prix Public EUROPE'!$B$1287:$S$1324,7,FALSE),
IF(D81=$U$73,VLOOKUP(A81,'Liste de prix Public EUROPE'!$B$698:$S$822,7,FALSE),
IF(D81=$U$69,VLOOKUP(A81,'Liste de prix Public EUROPE'!$B$1335:$S$1403,7,FALSE),
IF(D81=$U$70,VLOOKUP(A81,'Liste de prix Public EUROPE'!$B$1407:$H$1451,7,FALSE),
IF(D81=$U$71,VLOOKUP(A81,'Liste de prix Public EUROPE'!$B$1455:$H$1502,7,FALSE),
IF(D81=$U$72,VLOOKUP(A81,'Liste de prix Public EUROPE'!$B$1506:$H$1565,7,FALSE),))))))))))*B81)</f>
        <v>0</v>
      </c>
      <c r="G81" s="878">
        <f>IF(C81=$U$56,0,IF(C81=$U$57,0,IF(C81=$U$60,0,IF(C81=$U$63,0,IF(C81=$U$58,VLOOKUP(A81,'Liste de prix Public EUROPE'!$B$178:$V$343,10,FALSE),IF(C81=$U$59,VLOOKUP(A81,'Liste de prix Public EUROPE'!$B$178:$V$343,14,FALSE),IF(C81=$U$61,VLOOKUP(A81,'Liste de prix Public EUROPE'!$B$178:$V$343,18,FALSE),FALSE)))))))*B81*(100%-$B$5)</f>
        <v>0</v>
      </c>
      <c r="H81" s="100"/>
      <c r="I81" s="64"/>
      <c r="U81" s="946" t="s">
        <v>7</v>
      </c>
    </row>
    <row r="82" spans="1:21">
      <c r="A82" s="585"/>
      <c r="B82" s="628"/>
      <c r="C82" s="416"/>
      <c r="D82" s="417"/>
      <c r="E82" s="417"/>
      <c r="F82" s="877">
        <f>IF(C82=$U$56,VLOOKUP(A82,'Liste de prix Public EUROPE'!$B$178:$V$343,8,FALSE),
IF(C82=$U$57,VLOOKUP(A82,'Liste de prix Public EUROPE'!$B$178:$V$343,9,FALSE),
IF(C82=$U$58,VLOOKUP(A82,'Liste de prix Public EUROPE'!$B$178:$V$343,11,FALSE),
IF(C82=$U$59,VLOOKUP(A82,'Liste de prix Public EUROPE'!$B$178:$V$343,15,FALSE),
IF(C82=$U$60,VLOOKUP(A82,'Liste de prix Public EUROPE'!$B$178:$V$343,13,FALSE),
IF(C82=$U$61,VLOOKUP(A82,'Liste de prix Public EUROPE'!$B$178:$V$343,19,FALSE),
IF(C82=$U$62,VLOOKUP(A82,'Liste de prix Public EUROPE'!$B$178:$V$343,17,FALSE),
IF(C82=$U$63,VLOOKUP(A82,'Liste de prix Public EUROPE'!$B$178:$V$343,21,FALSE),
FALSE)))))))*B82+
IF(D82=$U$65,VLOOKUP(A82,'Liste de prix Public EUROPE'!$B$378:$S$542,7,FALSE),
IF(D82=$U$66,VLOOKUP(A82,'Liste de prix Public EUROPE'!$B$559:$S$692,7,FALSE),
IF(D82=$U$67,VLOOKUP(A82,'Liste de prix Public EUROPE'!$B$826:$S$966,7,FALSE),
IF(D82=$U$73,VLOOKUP(A82,'Liste de prix Public EUROPE'!$B$698:$S$822,7,FALSE),
IF(D82=$U$68,VLOOKUP(A82,'Liste de prix Public EUROPE'!$B$1287:$S$1324,7,FALSE),
IF(D82=$U$73,VLOOKUP(A82,'Liste de prix Public EUROPE'!$B$698:$S$822,7,FALSE),
IF(D82=$U$69,VLOOKUP(A82,'Liste de prix Public EUROPE'!$B$1335:$S$1403,7,FALSE),
IF(D82=$U$70,VLOOKUP(A82,'Liste de prix Public EUROPE'!$B$1407:$H$1451,7,FALSE),
IF(D82=$U$71,VLOOKUP(A82,'Liste de prix Public EUROPE'!$B$1455:$H$1502,7,FALSE),
IF(D82=$U$72,VLOOKUP(A82,'Liste de prix Public EUROPE'!$B$1506:$H$1565,7,FALSE),))))))))))*B82)</f>
        <v>0</v>
      </c>
      <c r="G82" s="878">
        <f>IF(C82=$U$56,0,IF(C82=$U$57,0,IF(C82=$U$60,0,IF(C82=$U$63,0,IF(C82=$U$58,VLOOKUP(A82,'Liste de prix Public EUROPE'!$B$178:$V$343,10,FALSE),IF(C82=$U$59,VLOOKUP(A82,'Liste de prix Public EUROPE'!$B$178:$V$343,14,FALSE),IF(C82=$U$61,VLOOKUP(A82,'Liste de prix Public EUROPE'!$B$178:$V$343,18,FALSE),FALSE)))))))*B82*(100%-$B$5)</f>
        <v>0</v>
      </c>
      <c r="H82" s="100"/>
      <c r="I82" s="64"/>
      <c r="U82" s="946" t="s">
        <v>0</v>
      </c>
    </row>
    <row r="83" spans="1:21">
      <c r="A83" s="585"/>
      <c r="B83" s="628"/>
      <c r="C83" s="416"/>
      <c r="D83" s="417"/>
      <c r="E83" s="417"/>
      <c r="F83" s="877">
        <f>IF(C83=$U$56,VLOOKUP(A83,'Liste de prix Public EUROPE'!$B$178:$V$343,8,FALSE),
IF(C83=$U$57,VLOOKUP(A83,'Liste de prix Public EUROPE'!$B$178:$V$343,9,FALSE),
IF(C83=$U$58,VLOOKUP(A83,'Liste de prix Public EUROPE'!$B$178:$V$343,11,FALSE),
IF(C83=$U$59,VLOOKUP(A83,'Liste de prix Public EUROPE'!$B$178:$V$343,15,FALSE),
IF(C83=$U$60,VLOOKUP(A83,'Liste de prix Public EUROPE'!$B$178:$V$343,13,FALSE),
IF(C83=$U$61,VLOOKUP(A83,'Liste de prix Public EUROPE'!$B$178:$V$343,19,FALSE),
IF(C83=$U$62,VLOOKUP(A83,'Liste de prix Public EUROPE'!$B$178:$V$343,17,FALSE),
IF(C83=$U$63,VLOOKUP(A83,'Liste de prix Public EUROPE'!$B$178:$V$343,21,FALSE),
FALSE)))))))*B83+
IF(D83=$U$65,VLOOKUP(A83,'Liste de prix Public EUROPE'!$B$378:$S$542,7,FALSE),
IF(D83=$U$66,VLOOKUP(A83,'Liste de prix Public EUROPE'!$B$559:$S$692,7,FALSE),
IF(D83=$U$67,VLOOKUP(A83,'Liste de prix Public EUROPE'!$B$826:$S$966,7,FALSE),
IF(D83=$U$73,VLOOKUP(A83,'Liste de prix Public EUROPE'!$B$698:$S$822,7,FALSE),
IF(D83=$U$68,VLOOKUP(A83,'Liste de prix Public EUROPE'!$B$1287:$S$1324,7,FALSE),
IF(D83=$U$73,VLOOKUP(A83,'Liste de prix Public EUROPE'!$B$698:$S$822,7,FALSE),
IF(D83=$U$69,VLOOKUP(A83,'Liste de prix Public EUROPE'!$B$1335:$S$1403,7,FALSE),
IF(D83=$U$70,VLOOKUP(A83,'Liste de prix Public EUROPE'!$B$1407:$H$1451,7,FALSE),
IF(D83=$U$71,VLOOKUP(A83,'Liste de prix Public EUROPE'!$B$1455:$H$1502,7,FALSE),
IF(D83=$U$72,VLOOKUP(A83,'Liste de prix Public EUROPE'!$B$1506:$H$1565,7,FALSE),))))))))))*B83)</f>
        <v>0</v>
      </c>
      <c r="G83" s="878">
        <f>IF(C83=$U$56,0,IF(C83=$U$57,0,IF(C83=$U$60,0,IF(C83=$U$63,0,IF(C83=$U$58,VLOOKUP(A83,'Liste de prix Public EUROPE'!$B$178:$V$343,10,FALSE),IF(C83=$U$59,VLOOKUP(A83,'Liste de prix Public EUROPE'!$B$178:$V$343,14,FALSE),IF(C83=$U$61,VLOOKUP(A83,'Liste de prix Public EUROPE'!$B$178:$V$343,18,FALSE),FALSE)))))))*B83*(100%-$B$5)</f>
        <v>0</v>
      </c>
      <c r="H83" s="100"/>
      <c r="I83" s="64"/>
      <c r="U83" s="946" t="s">
        <v>17</v>
      </c>
    </row>
    <row r="84" spans="1:21">
      <c r="A84" s="585"/>
      <c r="B84" s="628"/>
      <c r="C84" s="416"/>
      <c r="D84" s="417"/>
      <c r="E84" s="417"/>
      <c r="F84" s="877">
        <f>IF(C84=$U$56,VLOOKUP(A84,'Liste de prix Public EUROPE'!$B$178:$V$343,8,FALSE),
IF(C84=$U$57,VLOOKUP(A84,'Liste de prix Public EUROPE'!$B$178:$V$343,9,FALSE),
IF(C84=$U$58,VLOOKUP(A84,'Liste de prix Public EUROPE'!$B$178:$V$343,11,FALSE),
IF(C84=$U$59,VLOOKUP(A84,'Liste de prix Public EUROPE'!$B$178:$V$343,15,FALSE),
IF(C84=$U$60,VLOOKUP(A84,'Liste de prix Public EUROPE'!$B$178:$V$343,13,FALSE),
IF(C84=$U$61,VLOOKUP(A84,'Liste de prix Public EUROPE'!$B$178:$V$343,19,FALSE),
IF(C84=$U$62,VLOOKUP(A84,'Liste de prix Public EUROPE'!$B$178:$V$343,17,FALSE),
IF(C84=$U$63,VLOOKUP(A84,'Liste de prix Public EUROPE'!$B$178:$V$343,21,FALSE),
FALSE)))))))*B84+
IF(D84=$U$65,VLOOKUP(A84,'Liste de prix Public EUROPE'!$B$378:$S$542,7,FALSE),
IF(D84=$U$66,VLOOKUP(A84,'Liste de prix Public EUROPE'!$B$559:$S$692,7,FALSE),
IF(D84=$U$67,VLOOKUP(A84,'Liste de prix Public EUROPE'!$B$826:$S$966,7,FALSE),
IF(D84=$U$73,VLOOKUP(A84,'Liste de prix Public EUROPE'!$B$698:$S$822,7,FALSE),
IF(D84=$U$68,VLOOKUP(A84,'Liste de prix Public EUROPE'!$B$1287:$S$1324,7,FALSE),
IF(D84=$U$73,VLOOKUP(A84,'Liste de prix Public EUROPE'!$B$698:$S$822,7,FALSE),
IF(D84=$U$69,VLOOKUP(A84,'Liste de prix Public EUROPE'!$B$1335:$S$1403,7,FALSE),
IF(D84=$U$70,VLOOKUP(A84,'Liste de prix Public EUROPE'!$B$1407:$H$1451,7,FALSE),
IF(D84=$U$71,VLOOKUP(A84,'Liste de prix Public EUROPE'!$B$1455:$H$1502,7,FALSE),
IF(D84=$U$72,VLOOKUP(A84,'Liste de prix Public EUROPE'!$B$1506:$H$1565,7,FALSE),))))))))))*B84)</f>
        <v>0</v>
      </c>
      <c r="G84" s="878">
        <f>IF(C84=$U$56,0,IF(C84=$U$57,0,IF(C84=$U$60,0,IF(C84=$U$63,0,IF(C84=$U$58,VLOOKUP(A84,'Liste de prix Public EUROPE'!$B$178:$V$343,10,FALSE),IF(C84=$U$59,VLOOKUP(A84,'Liste de prix Public EUROPE'!$B$178:$V$343,14,FALSE),IF(C84=$U$61,VLOOKUP(A84,'Liste de prix Public EUROPE'!$B$178:$V$343,18,FALSE),FALSE)))))))*B84*(100%-$B$5)</f>
        <v>0</v>
      </c>
      <c r="H84" s="100"/>
      <c r="I84" s="64"/>
      <c r="U84" s="946" t="s">
        <v>104</v>
      </c>
    </row>
    <row r="85" spans="1:21">
      <c r="A85" s="585"/>
      <c r="B85" s="415"/>
      <c r="C85" s="416"/>
      <c r="D85" s="417"/>
      <c r="E85" s="417"/>
      <c r="F85" s="877">
        <f>IF(C85=$U$56,VLOOKUP(A85,'Liste de prix Public EUROPE'!$B$178:$V$343,8,FALSE),
IF(C85=$U$57,VLOOKUP(A85,'Liste de prix Public EUROPE'!$B$178:$V$343,9,FALSE),
IF(C85=$U$58,VLOOKUP(A85,'Liste de prix Public EUROPE'!$B$178:$V$343,11,FALSE),
IF(C85=$U$59,VLOOKUP(A85,'Liste de prix Public EUROPE'!$B$178:$V$343,15,FALSE),
IF(C85=$U$60,VLOOKUP(A85,'Liste de prix Public EUROPE'!$B$178:$V$343,13,FALSE),
IF(C85=$U$61,VLOOKUP(A85,'Liste de prix Public EUROPE'!$B$178:$V$343,19,FALSE),
IF(C85=$U$62,VLOOKUP(A85,'Liste de prix Public EUROPE'!$B$178:$V$343,17,FALSE),
IF(C85=$U$63,VLOOKUP(A85,'Liste de prix Public EUROPE'!$B$178:$V$343,21,FALSE),
FALSE)))))))*B85+
IF(D85=$U$65,VLOOKUP(A85,'Liste de prix Public EUROPE'!$B$378:$S$542,7,FALSE),
IF(D85=$U$66,VLOOKUP(A85,'Liste de prix Public EUROPE'!$B$559:$S$692,7,FALSE),
IF(D85=$U$67,VLOOKUP(A85,'Liste de prix Public EUROPE'!$B$826:$S$966,7,FALSE),
IF(D85=$U$73,VLOOKUP(A85,'Liste de prix Public EUROPE'!$B$698:$S$822,7,FALSE),
IF(D85=$U$68,VLOOKUP(A85,'Liste de prix Public EUROPE'!$B$1287:$S$1324,7,FALSE),
IF(D85=$U$73,VLOOKUP(A85,'Liste de prix Public EUROPE'!$B$698:$S$822,7,FALSE),
IF(D85=$U$69,VLOOKUP(A85,'Liste de prix Public EUROPE'!$B$1335:$S$1403,7,FALSE),
IF(D85=$U$70,VLOOKUP(A85,'Liste de prix Public EUROPE'!$B$1407:$H$1451,7,FALSE),
IF(D85=$U$71,VLOOKUP(A85,'Liste de prix Public EUROPE'!$B$1455:$H$1502,7,FALSE),
IF(D85=$U$72,VLOOKUP(A85,'Liste de prix Public EUROPE'!$B$1506:$H$1565,7,FALSE),))))))))))*B85)</f>
        <v>0</v>
      </c>
      <c r="G85" s="878">
        <f>IF(C85=$U$56,0,IF(C85=$U$57,0,IF(C85=$U$60,0,IF(C85=$U$63,0,IF(C85=$U$58,VLOOKUP(A85,'Liste de prix Public EUROPE'!$B$178:$V$343,10,FALSE),IF(C85=$U$59,VLOOKUP(A85,'Liste de prix Public EUROPE'!$B$178:$V$343,14,FALSE),IF(C85=$U$61,VLOOKUP(A85,'Liste de prix Public EUROPE'!$B$178:$V$343,18,FALSE),FALSE)))))))*B85*(100%-$B$5)</f>
        <v>0</v>
      </c>
      <c r="H85" s="100"/>
      <c r="I85" s="64"/>
      <c r="U85" s="946" t="s">
        <v>273</v>
      </c>
    </row>
    <row r="86" spans="1:21">
      <c r="A86" s="585"/>
      <c r="B86" s="415"/>
      <c r="C86" s="416"/>
      <c r="D86" s="417"/>
      <c r="E86" s="417"/>
      <c r="F86" s="877">
        <f>IF(C86=$U$56,VLOOKUP(A86,'Liste de prix Public EUROPE'!$B$178:$V$343,8,FALSE),
IF(C86=$U$57,VLOOKUP(A86,'Liste de prix Public EUROPE'!$B$178:$V$343,9,FALSE),
IF(C86=$U$58,VLOOKUP(A86,'Liste de prix Public EUROPE'!$B$178:$V$343,11,FALSE),
IF(C86=$U$59,VLOOKUP(A86,'Liste de prix Public EUROPE'!$B$178:$V$343,15,FALSE),
IF(C86=$U$60,VLOOKUP(A86,'Liste de prix Public EUROPE'!$B$178:$V$343,13,FALSE),
IF(C86=$U$61,VLOOKUP(A86,'Liste de prix Public EUROPE'!$B$178:$V$343,19,FALSE),
IF(C86=$U$62,VLOOKUP(A86,'Liste de prix Public EUROPE'!$B$178:$V$343,17,FALSE),
IF(C86=$U$63,VLOOKUP(A86,'Liste de prix Public EUROPE'!$B$178:$V$343,21,FALSE),
FALSE)))))))*B86+
IF(D86=$U$65,VLOOKUP(A86,'Liste de prix Public EUROPE'!$B$378:$S$542,7,FALSE),
IF(D86=$U$66,VLOOKUP(A86,'Liste de prix Public EUROPE'!$B$559:$S$692,7,FALSE),
IF(D86=$U$67,VLOOKUP(A86,'Liste de prix Public EUROPE'!$B$826:$S$966,7,FALSE),
IF(D86=$U$73,VLOOKUP(A86,'Liste de prix Public EUROPE'!$B$698:$S$822,7,FALSE),
IF(D86=$U$68,VLOOKUP(A86,'Liste de prix Public EUROPE'!$B$1287:$S$1324,7,FALSE),
IF(D86=$U$73,VLOOKUP(A86,'Liste de prix Public EUROPE'!$B$698:$S$822,7,FALSE),
IF(D86=$U$69,VLOOKUP(A86,'Liste de prix Public EUROPE'!$B$1335:$S$1403,7,FALSE),
IF(D86=$U$70,VLOOKUP(A86,'Liste de prix Public EUROPE'!$B$1407:$H$1451,7,FALSE),
IF(D86=$U$71,VLOOKUP(A86,'Liste de prix Public EUROPE'!$B$1455:$H$1502,7,FALSE),
IF(D86=$U$72,VLOOKUP(A86,'Liste de prix Public EUROPE'!$B$1506:$H$1565,7,FALSE),))))))))))*B86)</f>
        <v>0</v>
      </c>
      <c r="G86" s="878">
        <f>IF(C86=$U$56,0,IF(C86=$U$57,0,IF(C86=$U$60,0,IF(C86=$U$63,0,IF(C86=$U$58,VLOOKUP(A86,'Liste de prix Public EUROPE'!$B$178:$V$343,10,FALSE),IF(C86=$U$59,VLOOKUP(A86,'Liste de prix Public EUROPE'!$B$178:$V$343,14,FALSE),IF(C86=$U$61,VLOOKUP(A86,'Liste de prix Public EUROPE'!$B$178:$V$343,18,FALSE),FALSE)))))))*B86*(100%-$B$5)</f>
        <v>0</v>
      </c>
      <c r="H86" s="100"/>
      <c r="I86" s="64"/>
      <c r="U86" s="946" t="s">
        <v>229</v>
      </c>
    </row>
    <row r="87" spans="1:21">
      <c r="A87" s="585"/>
      <c r="B87" s="415"/>
      <c r="C87" s="416"/>
      <c r="D87" s="417"/>
      <c r="E87" s="417"/>
      <c r="F87" s="877">
        <f>IF(C87=$U$56,VLOOKUP(A87,'Liste de prix Public EUROPE'!$B$178:$V$343,8,FALSE),
IF(C87=$U$57,VLOOKUP(A87,'Liste de prix Public EUROPE'!$B$178:$V$343,9,FALSE),
IF(C87=$U$58,VLOOKUP(A87,'Liste de prix Public EUROPE'!$B$178:$V$343,11,FALSE),
IF(C87=$U$59,VLOOKUP(A87,'Liste de prix Public EUROPE'!$B$178:$V$343,15,FALSE),
IF(C87=$U$60,VLOOKUP(A87,'Liste de prix Public EUROPE'!$B$178:$V$343,13,FALSE),
IF(C87=$U$61,VLOOKUP(A87,'Liste de prix Public EUROPE'!$B$178:$V$343,19,FALSE),
IF(C87=$U$62,VLOOKUP(A87,'Liste de prix Public EUROPE'!$B$178:$V$343,17,FALSE),
IF(C87=$U$63,VLOOKUP(A87,'Liste de prix Public EUROPE'!$B$178:$V$343,21,FALSE),
FALSE)))))))*B87+
IF(D87=$U$65,VLOOKUP(A87,'Liste de prix Public EUROPE'!$B$378:$S$542,7,FALSE),
IF(D87=$U$66,VLOOKUP(A87,'Liste de prix Public EUROPE'!$B$559:$S$692,7,FALSE),
IF(D87=$U$67,VLOOKUP(A87,'Liste de prix Public EUROPE'!$B$826:$S$966,7,FALSE),
IF(D87=$U$73,VLOOKUP(A87,'Liste de prix Public EUROPE'!$B$698:$S$822,7,FALSE),
IF(D87=$U$68,VLOOKUP(A87,'Liste de prix Public EUROPE'!$B$1287:$S$1324,7,FALSE),
IF(D87=$U$73,VLOOKUP(A87,'Liste de prix Public EUROPE'!$B$698:$S$822,7,FALSE),
IF(D87=$U$69,VLOOKUP(A87,'Liste de prix Public EUROPE'!$B$1335:$S$1403,7,FALSE),
IF(D87=$U$70,VLOOKUP(A87,'Liste de prix Public EUROPE'!$B$1407:$H$1451,7,FALSE),
IF(D87=$U$71,VLOOKUP(A87,'Liste de prix Public EUROPE'!$B$1455:$H$1502,7,FALSE),
IF(D87=$U$72,VLOOKUP(A87,'Liste de prix Public EUROPE'!$B$1506:$H$1565,7,FALSE),))))))))))*B87)</f>
        <v>0</v>
      </c>
      <c r="G87" s="878">
        <f>IF(C87=$U$56,0,IF(C87=$U$57,0,IF(C87=$U$60,0,IF(C87=$U$63,0,IF(C87=$U$58,VLOOKUP(A87,'Liste de prix Public EUROPE'!$B$178:$V$343,10,FALSE),IF(C87=$U$59,VLOOKUP(A87,'Liste de prix Public EUROPE'!$B$178:$V$343,14,FALSE),IF(C87=$U$61,VLOOKUP(A87,'Liste de prix Public EUROPE'!$B$178:$V$343,18,FALSE),FALSE)))))))*B87*(100%-$B$5)</f>
        <v>0</v>
      </c>
      <c r="H87" s="100"/>
      <c r="I87" s="64"/>
      <c r="U87" s="946" t="s">
        <v>245</v>
      </c>
    </row>
    <row r="88" spans="1:21">
      <c r="A88" s="585"/>
      <c r="B88" s="415"/>
      <c r="C88" s="416"/>
      <c r="D88" s="417"/>
      <c r="E88" s="417"/>
      <c r="F88" s="877">
        <f>IF(C88=$U$56,VLOOKUP(A88,'Liste de prix Public EUROPE'!$B$178:$V$343,8,FALSE),
IF(C88=$U$57,VLOOKUP(A88,'Liste de prix Public EUROPE'!$B$178:$V$343,9,FALSE),
IF(C88=$U$58,VLOOKUP(A88,'Liste de prix Public EUROPE'!$B$178:$V$343,11,FALSE),
IF(C88=$U$59,VLOOKUP(A88,'Liste de prix Public EUROPE'!$B$178:$V$343,15,FALSE),
IF(C88=$U$60,VLOOKUP(A88,'Liste de prix Public EUROPE'!$B$178:$V$343,13,FALSE),
IF(C88=$U$61,VLOOKUP(A88,'Liste de prix Public EUROPE'!$B$178:$V$343,19,FALSE),
IF(C88=$U$62,VLOOKUP(A88,'Liste de prix Public EUROPE'!$B$178:$V$343,17,FALSE),
IF(C88=$U$63,VLOOKUP(A88,'Liste de prix Public EUROPE'!$B$178:$V$343,21,FALSE),
FALSE)))))))*B88+
IF(D88=$U$65,VLOOKUP(A88,'Liste de prix Public EUROPE'!$B$378:$S$542,7,FALSE),
IF(D88=$U$66,VLOOKUP(A88,'Liste de prix Public EUROPE'!$B$559:$S$692,7,FALSE),
IF(D88=$U$67,VLOOKUP(A88,'Liste de prix Public EUROPE'!$B$826:$S$966,7,FALSE),
IF(D88=$U$73,VLOOKUP(A88,'Liste de prix Public EUROPE'!$B$698:$S$822,7,FALSE),
IF(D88=$U$68,VLOOKUP(A88,'Liste de prix Public EUROPE'!$B$1287:$S$1324,7,FALSE),
IF(D88=$U$73,VLOOKUP(A88,'Liste de prix Public EUROPE'!$B$698:$S$822,7,FALSE),
IF(D88=$U$69,VLOOKUP(A88,'Liste de prix Public EUROPE'!$B$1335:$S$1403,7,FALSE),
IF(D88=$U$70,VLOOKUP(A88,'Liste de prix Public EUROPE'!$B$1407:$H$1451,7,FALSE),
IF(D88=$U$71,VLOOKUP(A88,'Liste de prix Public EUROPE'!$B$1455:$H$1502,7,FALSE),
IF(D88=$U$72,VLOOKUP(A88,'Liste de prix Public EUROPE'!$B$1506:$H$1565,7,FALSE),))))))))))*B88)</f>
        <v>0</v>
      </c>
      <c r="G88" s="878">
        <f>IF(C88=$U$56,0,IF(C88=$U$57,0,IF(C88=$U$60,0,IF(C88=$U$63,0,IF(C88=$U$58,VLOOKUP(A88,'Liste de prix Public EUROPE'!$B$178:$V$343,10,FALSE),IF(C88=$U$59,VLOOKUP(A88,'Liste de prix Public EUROPE'!$B$178:$V$343,14,FALSE),IF(C88=$U$61,VLOOKUP(A88,'Liste de prix Public EUROPE'!$B$178:$V$343,18,FALSE),FALSE)))))))*B88*(100%-$B$5)</f>
        <v>0</v>
      </c>
      <c r="H88" s="100"/>
      <c r="I88" s="64"/>
      <c r="U88" s="946" t="s">
        <v>688</v>
      </c>
    </row>
    <row r="89" spans="1:21">
      <c r="A89" s="585"/>
      <c r="B89" s="415"/>
      <c r="C89" s="416"/>
      <c r="D89" s="417"/>
      <c r="E89" s="417"/>
      <c r="F89" s="877">
        <f>IF(C89=$U$56,VLOOKUP(A89,'Liste de prix Public EUROPE'!$B$178:$V$343,8,FALSE),
IF(C89=$U$57,VLOOKUP(A89,'Liste de prix Public EUROPE'!$B$178:$V$343,9,FALSE),
IF(C89=$U$58,VLOOKUP(A89,'Liste de prix Public EUROPE'!$B$178:$V$343,11,FALSE),
IF(C89=$U$59,VLOOKUP(A89,'Liste de prix Public EUROPE'!$B$178:$V$343,15,FALSE),
IF(C89=$U$60,VLOOKUP(A89,'Liste de prix Public EUROPE'!$B$178:$V$343,13,FALSE),
IF(C89=$U$61,VLOOKUP(A89,'Liste de prix Public EUROPE'!$B$178:$V$343,19,FALSE),
IF(C89=$U$62,VLOOKUP(A89,'Liste de prix Public EUROPE'!$B$178:$V$343,17,FALSE),
IF(C89=$U$63,VLOOKUP(A89,'Liste de prix Public EUROPE'!$B$178:$V$343,21,FALSE),
FALSE)))))))*B89+
IF(D89=$U$65,VLOOKUP(A89,'Liste de prix Public EUROPE'!$B$378:$S$542,7,FALSE),
IF(D89=$U$66,VLOOKUP(A89,'Liste de prix Public EUROPE'!$B$559:$S$692,7,FALSE),
IF(D89=$U$67,VLOOKUP(A89,'Liste de prix Public EUROPE'!$B$826:$S$966,7,FALSE),
IF(D89=$U$73,VLOOKUP(A89,'Liste de prix Public EUROPE'!$B$698:$S$822,7,FALSE),
IF(D89=$U$68,VLOOKUP(A89,'Liste de prix Public EUROPE'!$B$1287:$S$1324,7,FALSE),
IF(D89=$U$73,VLOOKUP(A89,'Liste de prix Public EUROPE'!$B$698:$S$822,7,FALSE),
IF(D89=$U$69,VLOOKUP(A89,'Liste de prix Public EUROPE'!$B$1335:$S$1403,7,FALSE),
IF(D89=$U$70,VLOOKUP(A89,'Liste de prix Public EUROPE'!$B$1407:$H$1451,7,FALSE),
IF(D89=$U$71,VLOOKUP(A89,'Liste de prix Public EUROPE'!$B$1455:$H$1502,7,FALSE),
IF(D89=$U$72,VLOOKUP(A89,'Liste de prix Public EUROPE'!$B$1506:$H$1565,7,FALSE),))))))))))*B89)</f>
        <v>0</v>
      </c>
      <c r="G89" s="878">
        <f>IF(C89=$U$56,0,IF(C89=$U$57,0,IF(C89=$U$60,0,IF(C89=$U$63,0,IF(C89=$U$58,VLOOKUP(A89,'Liste de prix Public EUROPE'!$B$178:$V$343,10,FALSE),IF(C89=$U$59,VLOOKUP(A89,'Liste de prix Public EUROPE'!$B$178:$V$343,14,FALSE),IF(C89=$U$61,VLOOKUP(A89,'Liste de prix Public EUROPE'!$B$178:$V$343,18,FALSE),FALSE)))))))*B89*(100%-$B$5)</f>
        <v>0</v>
      </c>
      <c r="H89" s="100"/>
      <c r="I89" s="64"/>
      <c r="U89" s="946" t="s">
        <v>686</v>
      </c>
    </row>
    <row r="90" spans="1:21">
      <c r="A90" s="585"/>
      <c r="B90" s="415"/>
      <c r="C90" s="416"/>
      <c r="D90" s="417"/>
      <c r="E90" s="417"/>
      <c r="F90" s="877">
        <f>IF(C90=$U$56,VLOOKUP(A90,'Liste de prix Public EUROPE'!$B$178:$V$343,8,FALSE),
IF(C90=$U$57,VLOOKUP(A90,'Liste de prix Public EUROPE'!$B$178:$V$343,9,FALSE),
IF(C90=$U$58,VLOOKUP(A90,'Liste de prix Public EUROPE'!$B$178:$V$343,11,FALSE),
IF(C90=$U$59,VLOOKUP(A90,'Liste de prix Public EUROPE'!$B$178:$V$343,15,FALSE),
IF(C90=$U$60,VLOOKUP(A90,'Liste de prix Public EUROPE'!$B$178:$V$343,13,FALSE),
IF(C90=$U$61,VLOOKUP(A90,'Liste de prix Public EUROPE'!$B$178:$V$343,19,FALSE),
IF(C90=$U$62,VLOOKUP(A90,'Liste de prix Public EUROPE'!$B$178:$V$343,17,FALSE),
IF(C90=$U$63,VLOOKUP(A90,'Liste de prix Public EUROPE'!$B$178:$V$343,21,FALSE),
FALSE)))))))*B90+
IF(D90=$U$65,VLOOKUP(A90,'Liste de prix Public EUROPE'!$B$378:$S$542,7,FALSE),
IF(D90=$U$66,VLOOKUP(A90,'Liste de prix Public EUROPE'!$B$559:$S$692,7,FALSE),
IF(D90=$U$67,VLOOKUP(A90,'Liste de prix Public EUROPE'!$B$826:$S$966,7,FALSE),
IF(D90=$U$73,VLOOKUP(A90,'Liste de prix Public EUROPE'!$B$698:$S$822,7,FALSE),
IF(D90=$U$68,VLOOKUP(A90,'Liste de prix Public EUROPE'!$B$1287:$S$1324,7,FALSE),
IF(D90=$U$73,VLOOKUP(A90,'Liste de prix Public EUROPE'!$B$698:$S$822,7,FALSE),
IF(D90=$U$69,VLOOKUP(A90,'Liste de prix Public EUROPE'!$B$1335:$S$1403,7,FALSE),
IF(D90=$U$70,VLOOKUP(A90,'Liste de prix Public EUROPE'!$B$1407:$H$1451,7,FALSE),
IF(D90=$U$71,VLOOKUP(A90,'Liste de prix Public EUROPE'!$B$1455:$H$1502,7,FALSE),
IF(D90=$U$72,VLOOKUP(A90,'Liste de prix Public EUROPE'!$B$1506:$H$1565,7,FALSE),))))))))))*B90)</f>
        <v>0</v>
      </c>
      <c r="G90" s="878">
        <f>IF(C90=$U$56,0,IF(C90=$U$57,0,IF(C90=$U$60,0,IF(C90=$U$63,0,IF(C90=$U$58,VLOOKUP(A90,'Liste de prix Public EUROPE'!$B$178:$V$343,10,FALSE),IF(C90=$U$59,VLOOKUP(A90,'Liste de prix Public EUROPE'!$B$178:$V$343,14,FALSE),IF(C90=$U$61,VLOOKUP(A90,'Liste de prix Public EUROPE'!$B$178:$V$343,18,FALSE),FALSE)))))))*B90*(100%-$B$5)</f>
        <v>0</v>
      </c>
      <c r="H90" s="100"/>
      <c r="I90" s="64"/>
      <c r="U90" s="946" t="s">
        <v>685</v>
      </c>
    </row>
    <row r="91" spans="1:21">
      <c r="A91" s="585"/>
      <c r="B91" s="415"/>
      <c r="C91" s="416"/>
      <c r="D91" s="417"/>
      <c r="E91" s="417"/>
      <c r="F91" s="877">
        <f>IF(C91=$U$56,VLOOKUP(A91,'Liste de prix Public EUROPE'!$B$178:$V$343,8,FALSE),
IF(C91=$U$57,VLOOKUP(A91,'Liste de prix Public EUROPE'!$B$178:$V$343,9,FALSE),
IF(C91=$U$58,VLOOKUP(A91,'Liste de prix Public EUROPE'!$B$178:$V$343,11,FALSE),
IF(C91=$U$59,VLOOKUP(A91,'Liste de prix Public EUROPE'!$B$178:$V$343,15,FALSE),
IF(C91=$U$60,VLOOKUP(A91,'Liste de prix Public EUROPE'!$B$178:$V$343,13,FALSE),
IF(C91=$U$61,VLOOKUP(A91,'Liste de prix Public EUROPE'!$B$178:$V$343,19,FALSE),
IF(C91=$U$62,VLOOKUP(A91,'Liste de prix Public EUROPE'!$B$178:$V$343,17,FALSE),
IF(C91=$U$63,VLOOKUP(A91,'Liste de prix Public EUROPE'!$B$178:$V$343,21,FALSE),
FALSE)))))))*B91+
IF(D91=$U$65,VLOOKUP(A91,'Liste de prix Public EUROPE'!$B$378:$S$542,7,FALSE),
IF(D91=$U$66,VLOOKUP(A91,'Liste de prix Public EUROPE'!$B$559:$S$692,7,FALSE),
IF(D91=$U$67,VLOOKUP(A91,'Liste de prix Public EUROPE'!$B$826:$S$966,7,FALSE),
IF(D91=$U$73,VLOOKUP(A91,'Liste de prix Public EUROPE'!$B$698:$S$822,7,FALSE),
IF(D91=$U$68,VLOOKUP(A91,'Liste de prix Public EUROPE'!$B$1287:$S$1324,7,FALSE),
IF(D91=$U$73,VLOOKUP(A91,'Liste de prix Public EUROPE'!$B$698:$S$822,7,FALSE),
IF(D91=$U$69,VLOOKUP(A91,'Liste de prix Public EUROPE'!$B$1335:$S$1403,7,FALSE),
IF(D91=$U$70,VLOOKUP(A91,'Liste de prix Public EUROPE'!$B$1407:$H$1451,7,FALSE),
IF(D91=$U$71,VLOOKUP(A91,'Liste de prix Public EUROPE'!$B$1455:$H$1502,7,FALSE),
IF(D91=$U$72,VLOOKUP(A91,'Liste de prix Public EUROPE'!$B$1506:$H$1565,7,FALSE),))))))))))*B91)</f>
        <v>0</v>
      </c>
      <c r="G91" s="878">
        <f>IF(C91=$U$56,0,IF(C91=$U$57,0,IF(C91=$U$60,0,IF(C91=$U$63,0,IF(C91=$U$58,VLOOKUP(A91,'Liste de prix Public EUROPE'!$B$178:$V$343,10,FALSE),IF(C91=$U$59,VLOOKUP(A91,'Liste de prix Public EUROPE'!$B$178:$V$343,14,FALSE),IF(C91=$U$61,VLOOKUP(A91,'Liste de prix Public EUROPE'!$B$178:$V$343,18,FALSE),FALSE)))))))*B91*(100%-$B$5)</f>
        <v>0</v>
      </c>
      <c r="H91" s="100"/>
      <c r="I91" s="64"/>
    </row>
    <row r="92" spans="1:21">
      <c r="A92" s="585"/>
      <c r="B92" s="415"/>
      <c r="C92" s="416"/>
      <c r="D92" s="417"/>
      <c r="E92" s="417"/>
      <c r="F92" s="877">
        <f>IF(C92=$U$56,VLOOKUP(A92,'Liste de prix Public EUROPE'!$B$178:$V$343,8,FALSE),
IF(C92=$U$57,VLOOKUP(A92,'Liste de prix Public EUROPE'!$B$178:$V$343,9,FALSE),
IF(C92=$U$58,VLOOKUP(A92,'Liste de prix Public EUROPE'!$B$178:$V$343,11,FALSE),
IF(C92=$U$59,VLOOKUP(A92,'Liste de prix Public EUROPE'!$B$178:$V$343,15,FALSE),
IF(C92=$U$60,VLOOKUP(A92,'Liste de prix Public EUROPE'!$B$178:$V$343,13,FALSE),
IF(C92=$U$61,VLOOKUP(A92,'Liste de prix Public EUROPE'!$B$178:$V$343,19,FALSE),
IF(C92=$U$62,VLOOKUP(A92,'Liste de prix Public EUROPE'!$B$178:$V$343,17,FALSE),
IF(C92=$U$63,VLOOKUP(A92,'Liste de prix Public EUROPE'!$B$178:$V$343,21,FALSE),
FALSE)))))))*B92+
IF(D92=$U$65,VLOOKUP(A92,'Liste de prix Public EUROPE'!$B$378:$S$542,7,FALSE),
IF(D92=$U$66,VLOOKUP(A92,'Liste de prix Public EUROPE'!$B$559:$S$692,7,FALSE),
IF(D92=$U$67,VLOOKUP(A92,'Liste de prix Public EUROPE'!$B$826:$S$966,7,FALSE),
IF(D92=$U$73,VLOOKUP(A92,'Liste de prix Public EUROPE'!$B$698:$S$822,7,FALSE),
IF(D92=$U$68,VLOOKUP(A92,'Liste de prix Public EUROPE'!$B$1287:$S$1324,7,FALSE),
IF(D92=$U$73,VLOOKUP(A92,'Liste de prix Public EUROPE'!$B$698:$S$822,7,FALSE),
IF(D92=$U$69,VLOOKUP(A92,'Liste de prix Public EUROPE'!$B$1335:$S$1403,7,FALSE),
IF(D92=$U$70,VLOOKUP(A92,'Liste de prix Public EUROPE'!$B$1407:$H$1451,7,FALSE),
IF(D92=$U$71,VLOOKUP(A92,'Liste de prix Public EUROPE'!$B$1455:$H$1502,7,FALSE),
IF(D92=$U$72,VLOOKUP(A92,'Liste de prix Public EUROPE'!$B$1506:$H$1565,7,FALSE),))))))))))*B92)</f>
        <v>0</v>
      </c>
      <c r="G92" s="878">
        <f>IF(C92=$U$56,0,IF(C92=$U$57,0,IF(C92=$U$60,0,IF(C92=$U$63,0,IF(C92=$U$58,VLOOKUP(A92,'Liste de prix Public EUROPE'!$B$178:$V$343,10,FALSE),IF(C92=$U$59,VLOOKUP(A92,'Liste de prix Public EUROPE'!$B$178:$V$343,14,FALSE),IF(C92=$U$61,VLOOKUP(A92,'Liste de prix Public EUROPE'!$B$178:$V$343,18,FALSE),FALSE)))))))*B92*(100%-$B$5)</f>
        <v>0</v>
      </c>
      <c r="H92" s="100"/>
      <c r="I92" s="64"/>
    </row>
    <row r="93" spans="1:21">
      <c r="A93" s="585"/>
      <c r="B93" s="628"/>
      <c r="C93" s="416"/>
      <c r="D93" s="417"/>
      <c r="E93" s="591"/>
      <c r="F93" s="877">
        <f>IF(C93=$U$56,VLOOKUP(A93,'Liste de prix Public EUROPE'!$B$178:$V$343,8,FALSE),
IF(C93=$U$57,VLOOKUP(A93,'Liste de prix Public EUROPE'!$B$178:$V$343,9,FALSE),
IF(C93=$U$58,VLOOKUP(A93,'Liste de prix Public EUROPE'!$B$178:$V$343,11,FALSE),
IF(C93=$U$59,VLOOKUP(A93,'Liste de prix Public EUROPE'!$B$178:$V$343,15,FALSE),
IF(C93=$U$60,VLOOKUP(A93,'Liste de prix Public EUROPE'!$B$178:$V$343,13,FALSE),
IF(C93=$U$61,VLOOKUP(A93,'Liste de prix Public EUROPE'!$B$178:$V$343,19,FALSE),
IF(C93=$U$62,VLOOKUP(A93,'Liste de prix Public EUROPE'!$B$178:$V$343,17,FALSE),
IF(C93=$U$63,VLOOKUP(A93,'Liste de prix Public EUROPE'!$B$178:$V$343,21,FALSE),
FALSE)))))))*B93+
IF(D93=$U$65,VLOOKUP(A93,'Liste de prix Public EUROPE'!$B$378:$S$542,7,FALSE),
IF(D93=$U$66,VLOOKUP(A93,'Liste de prix Public EUROPE'!$B$559:$S$692,7,FALSE),
IF(D93=$U$67,VLOOKUP(A93,'Liste de prix Public EUROPE'!$B$826:$S$966,7,FALSE),
IF(D93=$U$73,VLOOKUP(A93,'Liste de prix Public EUROPE'!$B$698:$S$822,7,FALSE),
IF(D93=$U$68,VLOOKUP(A93,'Liste de prix Public EUROPE'!$B$1287:$S$1324,7,FALSE),
IF(D93=$U$73,VLOOKUP(A93,'Liste de prix Public EUROPE'!$B$698:$S$822,7,FALSE),
IF(D93=$U$69,VLOOKUP(A93,'Liste de prix Public EUROPE'!$B$1335:$S$1403,7,FALSE),
IF(D93=$U$70,VLOOKUP(A93,'Liste de prix Public EUROPE'!$B$1407:$H$1451,7,FALSE),
IF(D93=$U$71,VLOOKUP(A93,'Liste de prix Public EUROPE'!$B$1455:$H$1502,7,FALSE),
IF(D93=$U$72,VLOOKUP(A93,'Liste de prix Public EUROPE'!$B$1506:$H$1565,7,FALSE),))))))))))*B93)</f>
        <v>0</v>
      </c>
      <c r="G93" s="878">
        <f>IF(C93=$U$56,0,IF(C93=$U$57,0,IF(C93=$U$60,0,IF(C93=$U$63,0,IF(C93=$U$58,VLOOKUP(A93,'Liste de prix Public EUROPE'!$B$178:$V$343,10,FALSE),IF(C93=$U$59,VLOOKUP(A93,'Liste de prix Public EUROPE'!$B$178:$V$343,14,FALSE),IF(C93=$U$61,VLOOKUP(A93,'Liste de prix Public EUROPE'!$B$178:$V$343,18,FALSE),FALSE)))))))*B93*(100%-$B$5)</f>
        <v>0</v>
      </c>
      <c r="H93" s="100"/>
      <c r="I93" s="64"/>
    </row>
    <row r="94" spans="1:21">
      <c r="A94" s="585"/>
      <c r="B94" s="628"/>
      <c r="C94" s="416"/>
      <c r="D94" s="417"/>
      <c r="E94" s="591"/>
      <c r="F94" s="877">
        <f>IF(C94=$U$56,VLOOKUP(A94,'Liste de prix Public EUROPE'!$B$178:$V$343,8,FALSE),
IF(C94=$U$57,VLOOKUP(A94,'Liste de prix Public EUROPE'!$B$178:$V$343,9,FALSE),
IF(C94=$U$58,VLOOKUP(A94,'Liste de prix Public EUROPE'!$B$178:$V$343,11,FALSE),
IF(C94=$U$59,VLOOKUP(A94,'Liste de prix Public EUROPE'!$B$178:$V$343,15,FALSE),
IF(C94=$U$60,VLOOKUP(A94,'Liste de prix Public EUROPE'!$B$178:$V$343,13,FALSE),
IF(C94=$U$61,VLOOKUP(A94,'Liste de prix Public EUROPE'!$B$178:$V$343,19,FALSE),
IF(C94=$U$62,VLOOKUP(A94,'Liste de prix Public EUROPE'!$B$178:$V$343,17,FALSE),
IF(C94=$U$63,VLOOKUP(A94,'Liste de prix Public EUROPE'!$B$178:$V$343,21,FALSE),
FALSE)))))))*B94+
IF(D94=$U$65,VLOOKUP(A94,'Liste de prix Public EUROPE'!$B$378:$S$542,7,FALSE),
IF(D94=$U$66,VLOOKUP(A94,'Liste de prix Public EUROPE'!$B$559:$S$692,7,FALSE),
IF(D94=$U$67,VLOOKUP(A94,'Liste de prix Public EUROPE'!$B$826:$S$966,7,FALSE),
IF(D94=$U$73,VLOOKUP(A94,'Liste de prix Public EUROPE'!$B$698:$S$822,7,FALSE),
IF(D94=$U$68,VLOOKUP(A94,'Liste de prix Public EUROPE'!$B$1287:$S$1324,7,FALSE),
IF(D94=$U$73,VLOOKUP(A94,'Liste de prix Public EUROPE'!$B$698:$S$822,7,FALSE),
IF(D94=$U$69,VLOOKUP(A94,'Liste de prix Public EUROPE'!$B$1335:$S$1403,7,FALSE),
IF(D94=$U$70,VLOOKUP(A94,'Liste de prix Public EUROPE'!$B$1407:$H$1451,7,FALSE),
IF(D94=$U$71,VLOOKUP(A94,'Liste de prix Public EUROPE'!$B$1455:$H$1502,7,FALSE),
IF(D94=$U$72,VLOOKUP(A94,'Liste de prix Public EUROPE'!$B$1506:$H$1565,7,FALSE),))))))))))*B94)</f>
        <v>0</v>
      </c>
      <c r="G94" s="878">
        <f>IF(C94=$U$56,0,IF(C94=$U$57,0,IF(C94=$U$60,0,IF(C94=$U$63,0,IF(C94=$U$58,VLOOKUP(A94,'Liste de prix Public EUROPE'!$B$178:$V$343,10,FALSE),IF(C94=$U$59,VLOOKUP(A94,'Liste de prix Public EUROPE'!$B$178:$V$343,14,FALSE),IF(C94=$U$61,VLOOKUP(A94,'Liste de prix Public EUROPE'!$B$178:$V$343,18,FALSE),FALSE)))))))*B94*(100%-$B$5)</f>
        <v>0</v>
      </c>
      <c r="H94" s="100"/>
      <c r="I94" s="64"/>
    </row>
    <row r="95" spans="1:21">
      <c r="A95" s="585"/>
      <c r="B95" s="415"/>
      <c r="C95" s="416"/>
      <c r="D95" s="417"/>
      <c r="E95" s="417"/>
      <c r="F95" s="877">
        <f>IF(C95=$U$56,VLOOKUP(A95,'Liste de prix Public EUROPE'!$B$178:$V$343,8,FALSE),
IF(C95=$U$57,VLOOKUP(A95,'Liste de prix Public EUROPE'!$B$178:$V$343,9,FALSE),
IF(C95=$U$58,VLOOKUP(A95,'Liste de prix Public EUROPE'!$B$178:$V$343,11,FALSE),
IF(C95=$U$59,VLOOKUP(A95,'Liste de prix Public EUROPE'!$B$178:$V$343,15,FALSE),
IF(C95=$U$60,VLOOKUP(A95,'Liste de prix Public EUROPE'!$B$178:$V$343,13,FALSE),
IF(C95=$U$61,VLOOKUP(A95,'Liste de prix Public EUROPE'!$B$178:$V$343,19,FALSE),
IF(C95=$U$62,VLOOKUP(A95,'Liste de prix Public EUROPE'!$B$178:$V$343,17,FALSE),
IF(C95=$U$63,VLOOKUP(A95,'Liste de prix Public EUROPE'!$B$178:$V$343,21,FALSE),
FALSE)))))))*B95+
IF(D95=$U$65,VLOOKUP(A95,'Liste de prix Public EUROPE'!$B$378:$S$542,7,FALSE),
IF(D95=$U$66,VLOOKUP(A95,'Liste de prix Public EUROPE'!$B$559:$S$692,7,FALSE),
IF(D95=$U$67,VLOOKUP(A95,'Liste de prix Public EUROPE'!$B$826:$S$966,7,FALSE),
IF(D95=$U$73,VLOOKUP(A95,'Liste de prix Public EUROPE'!$B$698:$S$822,7,FALSE),
IF(D95=$U$68,VLOOKUP(A95,'Liste de prix Public EUROPE'!$B$1287:$S$1324,7,FALSE),
IF(D95=$U$73,VLOOKUP(A95,'Liste de prix Public EUROPE'!$B$698:$S$822,7,FALSE),
IF(D95=$U$69,VLOOKUP(A95,'Liste de prix Public EUROPE'!$B$1335:$S$1403,7,FALSE),
IF(D95=$U$70,VLOOKUP(A95,'Liste de prix Public EUROPE'!$B$1407:$H$1451,7,FALSE),
IF(D95=$U$71,VLOOKUP(A95,'Liste de prix Public EUROPE'!$B$1455:$H$1502,7,FALSE),
IF(D95=$U$72,VLOOKUP(A95,'Liste de prix Public EUROPE'!$B$1506:$H$1565,7,FALSE),))))))))))*B95)</f>
        <v>0</v>
      </c>
      <c r="G95" s="878">
        <f>IF(C95=$U$56,0,IF(C95=$U$57,0,IF(C95=$U$60,0,IF(C95=$U$63,0,IF(C95=$U$58,VLOOKUP(A95,'Liste de prix Public EUROPE'!$B$178:$V$343,10,FALSE),IF(C95=$U$59,VLOOKUP(A95,'Liste de prix Public EUROPE'!$B$178:$V$343,14,FALSE),IF(C95=$U$61,VLOOKUP(A95,'Liste de prix Public EUROPE'!$B$178:$V$343,18,FALSE),FALSE)))))))*B95*(100%-$B$5)</f>
        <v>0</v>
      </c>
      <c r="H95" s="100"/>
      <c r="I95" s="64"/>
    </row>
    <row r="96" spans="1:21">
      <c r="A96" s="585"/>
      <c r="B96" s="415"/>
      <c r="C96" s="416"/>
      <c r="D96" s="417"/>
      <c r="E96" s="417"/>
      <c r="F96" s="877">
        <f>IF(C96=$U$56,VLOOKUP(A96,'Liste de prix Public EUROPE'!$B$178:$V$343,8,FALSE),
IF(C96=$U$57,VLOOKUP(A96,'Liste de prix Public EUROPE'!$B$178:$V$343,9,FALSE),
IF(C96=$U$58,VLOOKUP(A96,'Liste de prix Public EUROPE'!$B$178:$V$343,11,FALSE),
IF(C96=$U$59,VLOOKUP(A96,'Liste de prix Public EUROPE'!$B$178:$V$343,15,FALSE),
IF(C96=$U$60,VLOOKUP(A96,'Liste de prix Public EUROPE'!$B$178:$V$343,13,FALSE),
IF(C96=$U$61,VLOOKUP(A96,'Liste de prix Public EUROPE'!$B$178:$V$343,19,FALSE),
IF(C96=$U$62,VLOOKUP(A96,'Liste de prix Public EUROPE'!$B$178:$V$343,17,FALSE),
IF(C96=$U$63,VLOOKUP(A96,'Liste de prix Public EUROPE'!$B$178:$V$343,21,FALSE),
FALSE)))))))*B96+
IF(D96=$U$65,VLOOKUP(A96,'Liste de prix Public EUROPE'!$B$378:$S$542,7,FALSE),
IF(D96=$U$66,VLOOKUP(A96,'Liste de prix Public EUROPE'!$B$559:$S$692,7,FALSE),
IF(D96=$U$67,VLOOKUP(A96,'Liste de prix Public EUROPE'!$B$826:$S$966,7,FALSE),
IF(D96=$U$73,VLOOKUP(A96,'Liste de prix Public EUROPE'!$B$698:$S$822,7,FALSE),
IF(D96=$U$68,VLOOKUP(A96,'Liste de prix Public EUROPE'!$B$1287:$S$1324,7,FALSE),
IF(D96=$U$73,VLOOKUP(A96,'Liste de prix Public EUROPE'!$B$698:$S$822,7,FALSE),
IF(D96=$U$69,VLOOKUP(A96,'Liste de prix Public EUROPE'!$B$1335:$S$1403,7,FALSE),
IF(D96=$U$70,VLOOKUP(A96,'Liste de prix Public EUROPE'!$B$1407:$H$1451,7,FALSE),
IF(D96=$U$71,VLOOKUP(A96,'Liste de prix Public EUROPE'!$B$1455:$H$1502,7,FALSE),
IF(D96=$U$72,VLOOKUP(A96,'Liste de prix Public EUROPE'!$B$1506:$H$1565,7,FALSE),))))))))))*B96)</f>
        <v>0</v>
      </c>
      <c r="G96" s="878">
        <f>IF(C96=$U$56,0,IF(C96=$U$57,0,IF(C96=$U$60,0,IF(C96=$U$63,0,IF(C96=$U$58,VLOOKUP(A96,'Liste de prix Public EUROPE'!$B$178:$V$343,10,FALSE),IF(C96=$U$59,VLOOKUP(A96,'Liste de prix Public EUROPE'!$B$178:$V$343,14,FALSE),IF(C96=$U$61,VLOOKUP(A96,'Liste de prix Public EUROPE'!$B$178:$V$343,18,FALSE),FALSE)))))))*B96*(100%-$B$5)</f>
        <v>0</v>
      </c>
      <c r="H96" s="100"/>
      <c r="I96" s="64"/>
    </row>
    <row r="97" spans="1:28">
      <c r="A97" s="585"/>
      <c r="B97" s="415"/>
      <c r="C97" s="416"/>
      <c r="D97" s="417"/>
      <c r="E97" s="417"/>
      <c r="F97" s="877">
        <f>IF(C97=$U$56,VLOOKUP(A97,'Liste de prix Public EUROPE'!$B$178:$V$343,8,FALSE),
IF(C97=$U$57,VLOOKUP(A97,'Liste de prix Public EUROPE'!$B$178:$V$343,9,FALSE),
IF(C97=$U$58,VLOOKUP(A97,'Liste de prix Public EUROPE'!$B$178:$V$343,11,FALSE),
IF(C97=$U$59,VLOOKUP(A97,'Liste de prix Public EUROPE'!$B$178:$V$343,15,FALSE),
IF(C97=$U$60,VLOOKUP(A97,'Liste de prix Public EUROPE'!$B$178:$V$343,13,FALSE),
IF(C97=$U$61,VLOOKUP(A97,'Liste de prix Public EUROPE'!$B$178:$V$343,19,FALSE),
IF(C97=$U$62,VLOOKUP(A97,'Liste de prix Public EUROPE'!$B$178:$V$343,17,FALSE),
IF(C97=$U$63,VLOOKUP(A97,'Liste de prix Public EUROPE'!$B$178:$V$343,21,FALSE),
FALSE)))))))*B97+
IF(D97=$U$65,VLOOKUP(A97,'Liste de prix Public EUROPE'!$B$378:$S$542,7,FALSE),
IF(D97=$U$66,VLOOKUP(A97,'Liste de prix Public EUROPE'!$B$559:$S$692,7,FALSE),
IF(D97=$U$67,VLOOKUP(A97,'Liste de prix Public EUROPE'!$B$826:$S$966,7,FALSE),
IF(D97=$U$73,VLOOKUP(A97,'Liste de prix Public EUROPE'!$B$698:$S$822,7,FALSE),
IF(D97=$U$68,VLOOKUP(A97,'Liste de prix Public EUROPE'!$B$1287:$S$1324,7,FALSE),
IF(D97=$U$73,VLOOKUP(A97,'Liste de prix Public EUROPE'!$B$698:$S$822,7,FALSE),
IF(D97=$U$69,VLOOKUP(A97,'Liste de prix Public EUROPE'!$B$1335:$S$1403,7,FALSE),
IF(D97=$U$70,VLOOKUP(A97,'Liste de prix Public EUROPE'!$B$1407:$H$1451,7,FALSE),
IF(D97=$U$71,VLOOKUP(A97,'Liste de prix Public EUROPE'!$B$1455:$H$1502,7,FALSE),
IF(D97=$U$72,VLOOKUP(A97,'Liste de prix Public EUROPE'!$B$1506:$H$1565,7,FALSE),))))))))))*B97)</f>
        <v>0</v>
      </c>
      <c r="G97" s="878">
        <f>IF(C97=$U$56,0,IF(C97=$U$57,0,IF(C97=$U$60,0,IF(C97=$U$63,0,IF(C97=$U$58,VLOOKUP(A97,'Liste de prix Public EUROPE'!$B$178:$V$343,10,FALSE),IF(C97=$U$59,VLOOKUP(A97,'Liste de prix Public EUROPE'!$B$178:$V$343,14,FALSE),IF(C97=$U$61,VLOOKUP(A97,'Liste de prix Public EUROPE'!$B$178:$V$343,18,FALSE),FALSE)))))))*B97*(100%-$B$5)</f>
        <v>0</v>
      </c>
      <c r="H97" s="100"/>
      <c r="I97" s="64"/>
    </row>
    <row r="98" spans="1:28">
      <c r="A98" s="585"/>
      <c r="B98" s="415"/>
      <c r="C98" s="416"/>
      <c r="D98" s="417"/>
      <c r="E98" s="417"/>
      <c r="F98" s="877">
        <f>IF(C98=$U$56,VLOOKUP(A98,'Liste de prix Public EUROPE'!$B$178:$V$343,8,FALSE),
IF(C98=$U$57,VLOOKUP(A98,'Liste de prix Public EUROPE'!$B$178:$V$343,9,FALSE),
IF(C98=$U$58,VLOOKUP(A98,'Liste de prix Public EUROPE'!$B$178:$V$343,11,FALSE),
IF(C98=$U$59,VLOOKUP(A98,'Liste de prix Public EUROPE'!$B$178:$V$343,15,FALSE),
IF(C98=$U$60,VLOOKUP(A98,'Liste de prix Public EUROPE'!$B$178:$V$343,13,FALSE),
IF(C98=$U$61,VLOOKUP(A98,'Liste de prix Public EUROPE'!$B$178:$V$343,19,FALSE),
IF(C98=$U$62,VLOOKUP(A98,'Liste de prix Public EUROPE'!$B$178:$V$343,17,FALSE),
IF(C98=$U$63,VLOOKUP(A98,'Liste de prix Public EUROPE'!$B$178:$V$343,21,FALSE),
FALSE)))))))*B98+
IF(D98=$U$65,VLOOKUP(A98,'Liste de prix Public EUROPE'!$B$378:$S$542,7,FALSE),
IF(D98=$U$66,VLOOKUP(A98,'Liste de prix Public EUROPE'!$B$559:$S$692,7,FALSE),
IF(D98=$U$67,VLOOKUP(A98,'Liste de prix Public EUROPE'!$B$826:$S$966,7,FALSE),
IF(D98=$U$73,VLOOKUP(A98,'Liste de prix Public EUROPE'!$B$698:$S$822,7,FALSE),
IF(D98=$U$68,VLOOKUP(A98,'Liste de prix Public EUROPE'!$B$1287:$S$1324,7,FALSE),
IF(D98=$U$73,VLOOKUP(A98,'Liste de prix Public EUROPE'!$B$698:$S$822,7,FALSE),
IF(D98=$U$69,VLOOKUP(A98,'Liste de prix Public EUROPE'!$B$1335:$S$1403,7,FALSE),
IF(D98=$U$70,VLOOKUP(A98,'Liste de prix Public EUROPE'!$B$1407:$H$1451,7,FALSE),
IF(D98=$U$71,VLOOKUP(A98,'Liste de prix Public EUROPE'!$B$1455:$H$1502,7,FALSE),
IF(D98=$U$72,VLOOKUP(A98,'Liste de prix Public EUROPE'!$B$1506:$H$1565,7,FALSE),))))))))))*B98)</f>
        <v>0</v>
      </c>
      <c r="G98" s="878">
        <f>IF(C98=$U$56,0,IF(C98=$U$57,0,IF(C98=$U$60,0,IF(C98=$U$63,0,IF(C98=$U$58,VLOOKUP(A98,'Liste de prix Public EUROPE'!$B$178:$V$343,10,FALSE),IF(C98=$U$59,VLOOKUP(A98,'Liste de prix Public EUROPE'!$B$178:$V$343,14,FALSE),IF(C98=$U$61,VLOOKUP(A98,'Liste de prix Public EUROPE'!$B$178:$V$343,18,FALSE),FALSE)))))))*B98*(100%-$B$5)</f>
        <v>0</v>
      </c>
      <c r="H98" s="100"/>
      <c r="I98" s="64"/>
    </row>
    <row r="99" spans="1:28">
      <c r="A99" s="586"/>
      <c r="B99" s="373">
        <f>SUM(B81:B98)</f>
        <v>0</v>
      </c>
      <c r="C99" s="374"/>
      <c r="D99" s="375"/>
      <c r="E99" s="375"/>
      <c r="F99" s="371"/>
      <c r="G99" s="406"/>
      <c r="H99" s="100"/>
      <c r="I99" s="64"/>
    </row>
    <row r="100" spans="1:28">
      <c r="A100" s="376"/>
      <c r="B100" s="64"/>
      <c r="C100" s="64"/>
      <c r="D100" s="173"/>
      <c r="E100" s="377" t="s">
        <v>277</v>
      </c>
      <c r="F100" s="757">
        <f>SUM(F81:F99)</f>
        <v>0</v>
      </c>
      <c r="G100" s="849">
        <f>SUM(G81:G99)</f>
        <v>0</v>
      </c>
      <c r="H100" s="100"/>
      <c r="I100" s="64"/>
    </row>
    <row r="101" spans="1:28">
      <c r="A101" s="376"/>
      <c r="B101" s="64"/>
      <c r="C101" s="64"/>
      <c r="D101" s="173"/>
      <c r="E101" s="64"/>
      <c r="F101" s="298"/>
      <c r="G101" s="298"/>
      <c r="H101" s="100"/>
      <c r="I101" s="64"/>
    </row>
    <row r="102" spans="1:28">
      <c r="A102" s="376"/>
      <c r="B102" s="64"/>
      <c r="C102" s="64"/>
      <c r="D102" s="173"/>
      <c r="E102" s="64"/>
      <c r="F102" s="298"/>
      <c r="G102" s="298"/>
      <c r="H102" s="100"/>
      <c r="I102" s="64"/>
    </row>
    <row r="103" spans="1:28">
      <c r="A103" s="940" t="s">
        <v>1011</v>
      </c>
      <c r="B103" s="941" t="s">
        <v>282</v>
      </c>
      <c r="C103" s="941" t="s">
        <v>190</v>
      </c>
      <c r="D103" s="2115" t="s">
        <v>8</v>
      </c>
      <c r="E103" s="2116"/>
      <c r="F103" s="941" t="s">
        <v>164</v>
      </c>
      <c r="G103" s="942" t="s">
        <v>488</v>
      </c>
      <c r="H103" s="100"/>
      <c r="I103" s="64"/>
      <c r="AB103" s="946" t="s">
        <v>351</v>
      </c>
    </row>
    <row r="104" spans="1:28">
      <c r="A104" s="585"/>
      <c r="B104" s="415"/>
      <c r="C104" s="416"/>
      <c r="D104" s="2082"/>
      <c r="E104" s="2083"/>
      <c r="F104" s="371">
        <f>(((IF(C104=$W$106,VLOOKUP(A104,'Liste de prix Public EUROPE'!$B$346:$S$356,10,FALSE),IF(C104=$W$107,VLOOKUP(A104,'Liste de prix Public EUROPE'!$B$346:$S$356,12,FALSE),IF(C104=$W$108,VLOOKUP(A104,'Liste de prix Public EUROPE'!$B$346:$S$356,16,FALSE),IF(C104=$W$109,VLOOKUP(A104,'Liste de prix Public EUROPE'!$B$346:$S$356,14,FALSE)))))+IF(D104='Liste de prix Public EUROPE'!$B$978,'Liste de prix Public EUROPE'!$H$978,FALSE))*B104)+IF(D104="",0,(VLOOKUP(D104,'Liste de prix Public EUROPE'!$B$978:$H$982,7,FALSE))*B104))</f>
        <v>0</v>
      </c>
      <c r="G104" s="405">
        <f>(IF(C104=$W$106,0,IF(C104=$W$109,0,IF(C104=$W$107,VLOOKUP(A104,'Liste de prix Public EUROPE'!$B$346:$S$356,11,FALSE),IF(C104=$W$108,VLOOKUP(A104,'Liste de prix Public EUROPE'!$B$346:$S$356,15,FALSE)))))*B104)</f>
        <v>0</v>
      </c>
      <c r="H104" s="100"/>
      <c r="I104" s="64"/>
    </row>
    <row r="105" spans="1:28">
      <c r="A105" s="585"/>
      <c r="B105" s="415"/>
      <c r="C105" s="416"/>
      <c r="D105" s="2082"/>
      <c r="E105" s="2083"/>
      <c r="F105" s="371">
        <f>(((IF(C105=$W$106,VLOOKUP(A105,'Liste de prix Public EUROPE'!$B$346:$S$356,10,FALSE),IF(C105=$W$107,VLOOKUP(A105,'Liste de prix Public EUROPE'!$B$346:$S$356,12,FALSE),IF(C105=$W$108,VLOOKUP(A105,'Liste de prix Public EUROPE'!$B$346:$S$356,16,FALSE),IF(C105=$W$109,VLOOKUP(A105,'Liste de prix Public EUROPE'!$B$346:$S$356,14,FALSE)))))+IF(D105='Liste de prix Public EUROPE'!$B$978,'Liste de prix Public EUROPE'!$H$978,FALSE))*B105)+IF(D105="",0,(VLOOKUP(D105,'Liste de prix Public EUROPE'!$B$978:$H$982,7,FALSE))*B105))</f>
        <v>0</v>
      </c>
      <c r="G105" s="405">
        <f>(IF(C105=$W$106,0,IF(C105=$W$109,0,IF(C105=$W$107,VLOOKUP(A105,'Liste de prix Public EUROPE'!$B$346:$S$356,11,FALSE),IF(C105=$W$108,VLOOKUP(A105,'Liste de prix Public EUROPE'!$B$346:$S$356,15,FALSE)))))*B105)</f>
        <v>0</v>
      </c>
      <c r="H105" s="100"/>
      <c r="I105" s="64"/>
    </row>
    <row r="106" spans="1:28">
      <c r="A106" s="585"/>
      <c r="B106" s="415"/>
      <c r="C106" s="416"/>
      <c r="D106" s="2082"/>
      <c r="E106" s="2083"/>
      <c r="F106" s="371">
        <f>(((IF(C106=$W$106,VLOOKUP(A106,'Liste de prix Public EUROPE'!$B$346:$S$356,10,FALSE),IF(C106=$W$107,VLOOKUP(A106,'Liste de prix Public EUROPE'!$B$346:$S$356,12,FALSE),IF(C106=$W$108,VLOOKUP(A106,'Liste de prix Public EUROPE'!$B$346:$S$356,16,FALSE),IF(C106=$W$109,VLOOKUP(A106,'Liste de prix Public EUROPE'!$B$346:$S$356,14,FALSE)))))+IF(D106='Liste de prix Public EUROPE'!$B$978,'Liste de prix Public EUROPE'!$H$978,FALSE))*B106)+IF(D106="",0,(VLOOKUP(D106,'Liste de prix Public EUROPE'!$B$978:$H$982,7,FALSE))*B106))</f>
        <v>0</v>
      </c>
      <c r="G106" s="405">
        <f>(IF(C106=$W$106,0,IF(C106=$W$109,0,IF(C106=$W$107,VLOOKUP(A106,'Liste de prix Public EUROPE'!$B$346:$S$356,11,FALSE),IF(C106=$W$108,VLOOKUP(A106,'Liste de prix Public EUROPE'!$B$346:$S$356,15,FALSE)))))*B106)</f>
        <v>0</v>
      </c>
      <c r="H106" s="100"/>
      <c r="I106" s="64"/>
      <c r="W106" s="946" t="s">
        <v>484</v>
      </c>
    </row>
    <row r="107" spans="1:28">
      <c r="A107" s="585"/>
      <c r="B107" s="415"/>
      <c r="C107" s="416"/>
      <c r="D107" s="2082"/>
      <c r="E107" s="2083"/>
      <c r="F107" s="371">
        <f>(((IF(C107=$W$106,VLOOKUP(A107,'Liste de prix Public EUROPE'!$B$346:$S$356,10,FALSE),IF(C107=$W$107,VLOOKUP(A107,'Liste de prix Public EUROPE'!$B$346:$S$356,12,FALSE),IF(C107=$W$108,VLOOKUP(A107,'Liste de prix Public EUROPE'!$B$346:$S$356,16,FALSE),IF(C107=$W$109,VLOOKUP(A107,'Liste de prix Public EUROPE'!$B$346:$S$356,14,FALSE)))))+IF(D107='Liste de prix Public EUROPE'!$B$978,'Liste de prix Public EUROPE'!$H$978,FALSE))*B107)+IF(D107="",0,(VLOOKUP(D107,'Liste de prix Public EUROPE'!$B$978:$H$982,7,FALSE))*B107))</f>
        <v>0</v>
      </c>
      <c r="G107" s="405">
        <f>(IF(C107=$W$106,0,IF(C107=$W$109,0,IF(C107=$W$107,VLOOKUP(A107,'Liste de prix Public EUROPE'!$B$346:$S$356,11,FALSE),IF(C107=$W$108,VLOOKUP(A107,'Liste de prix Public EUROPE'!$B$346:$S$356,15,FALSE)))))*B107)</f>
        <v>0</v>
      </c>
      <c r="H107" s="100"/>
      <c r="I107" s="64"/>
      <c r="W107" s="946" t="s">
        <v>485</v>
      </c>
    </row>
    <row r="108" spans="1:28">
      <c r="A108" s="585"/>
      <c r="B108" s="415"/>
      <c r="C108" s="416"/>
      <c r="D108" s="2082"/>
      <c r="E108" s="2083"/>
      <c r="F108" s="371">
        <f>(((IF(C108=$W$106,VLOOKUP(A108,'Liste de prix Public EUROPE'!$B$346:$S$356,10,FALSE),IF(C108=$W$107,VLOOKUP(A108,'Liste de prix Public EUROPE'!$B$346:$S$356,12,FALSE),IF(C108=$W$108,VLOOKUP(A108,'Liste de prix Public EUROPE'!$B$346:$S$356,16,FALSE),IF(C108=$W$109,VLOOKUP(A108,'Liste de prix Public EUROPE'!$B$346:$S$356,14,FALSE)))))+IF(D108='Liste de prix Public EUROPE'!$B$978,'Liste de prix Public EUROPE'!$H$978,FALSE))*B108)+IF(D108="",0,(VLOOKUP(D108,'Liste de prix Public EUROPE'!$B$978:$H$982,7,FALSE))*B108))</f>
        <v>0</v>
      </c>
      <c r="G108" s="405">
        <f>(IF(C108=$W$106,0,IF(C108=$W$109,0,IF(C108=$W$107,VLOOKUP(A108,'Liste de prix Public EUROPE'!$B$346:$S$356,11,FALSE),IF(C108=$W$108,VLOOKUP(A108,'Liste de prix Public EUROPE'!$B$346:$S$356,15,FALSE)))))*B108)</f>
        <v>0</v>
      </c>
      <c r="H108" s="100"/>
      <c r="I108" s="64"/>
      <c r="W108" s="946" t="s">
        <v>487</v>
      </c>
    </row>
    <row r="109" spans="1:28">
      <c r="A109" s="376"/>
      <c r="B109" s="64"/>
      <c r="C109" s="64"/>
      <c r="D109" s="173"/>
      <c r="E109" s="377" t="s">
        <v>277</v>
      </c>
      <c r="F109" s="378">
        <f>SUM(F104:F108)</f>
        <v>0</v>
      </c>
      <c r="G109" s="378">
        <f>SUM(G104:G108)</f>
        <v>0</v>
      </c>
      <c r="H109" s="100"/>
      <c r="I109" s="64"/>
      <c r="W109" s="946" t="s">
        <v>887</v>
      </c>
    </row>
    <row r="110" spans="1:28">
      <c r="A110" s="376"/>
      <c r="B110" s="64"/>
      <c r="C110" s="64"/>
      <c r="D110" s="173"/>
      <c r="E110" s="64"/>
      <c r="F110" s="298"/>
      <c r="G110" s="298"/>
      <c r="H110" s="100"/>
      <c r="I110" s="64"/>
    </row>
    <row r="111" spans="1:28">
      <c r="A111" s="940" t="s">
        <v>1016</v>
      </c>
      <c r="B111" s="941" t="s">
        <v>282</v>
      </c>
      <c r="C111" s="941" t="s">
        <v>190</v>
      </c>
      <c r="D111" s="941"/>
      <c r="E111" s="941" t="s">
        <v>192</v>
      </c>
      <c r="F111" s="941" t="s">
        <v>164</v>
      </c>
      <c r="G111" s="942" t="s">
        <v>488</v>
      </c>
      <c r="H111" s="100"/>
      <c r="I111" s="64"/>
      <c r="U111" s="966"/>
    </row>
    <row r="112" spans="1:28">
      <c r="A112" s="585"/>
      <c r="B112" s="418"/>
      <c r="C112" s="416"/>
      <c r="D112" s="377"/>
      <c r="E112" s="417"/>
      <c r="F112" s="371">
        <f>(IF(C112=$R$113,VLOOKUP(A112,'Liste de prix Public EUROPE'!$B$1824:$R$1824,6,FALSE),IF(C112=$R$114,VLOOKUP(A112,'Liste de prix Public EUROPE'!$B$1824:$R$1824,8,FALSE),IF(C112=$R$116,VLOOKUP(A112,'Liste de prix Public EUROPE'!$B$1824:$R$1824,12,FALSE),IF(C112=$R$117,VLOOKUP(A112,'Liste de prix Public EUROPE'!$B$1824:$R$1824,16,FALSE),IF(C112=$R$118,VLOOKUP(A112,'Liste de prix Public EUROPE'!$B$1824:$R$1824,14,FALSE)))))*B112))</f>
        <v>0</v>
      </c>
      <c r="G112" s="405">
        <f>IF(C112=$R$113,0,IF(C112=$R$114,VLOOKUP(A112,'Liste de prix Public EUROPE'!$B$1824:$R$1824,7,FALSE),IF(C112=$R$116,VLOOKUP(A112,'Liste de prix Public EUROPE'!$B$1824:$R$1824,11,FALSE),IF(C112=$R$117,VLOOKUP(A112,'Liste de prix Public EUROPE'!$B$1824:$R$1824,15,FALSE)))))*B112</f>
        <v>0</v>
      </c>
      <c r="H112" s="100"/>
      <c r="I112" s="64"/>
      <c r="U112" s="966"/>
    </row>
    <row r="113" spans="1:25">
      <c r="A113" s="585"/>
      <c r="B113" s="418"/>
      <c r="C113" s="416"/>
      <c r="D113" s="377"/>
      <c r="E113" s="417"/>
      <c r="F113" s="371">
        <f>(IF(C113=$R$113,VLOOKUP(A113,'Liste de prix Public EUROPE'!$B$1824:$R$1824,6,FALSE),IF(C113=$R$114,VLOOKUP(A113,'Liste de prix Public EUROPE'!$B$1824:$R$1824,8,FALSE),IF(C113=$R$116,VLOOKUP(A113,'Liste de prix Public EUROPE'!$B$1824:$R$1824,12,FALSE),IF(C113=$R$117,VLOOKUP(A113,'Liste de prix Public EUROPE'!$B$1824:$R$1824,16,FALSE),IF(C113=$R$118,VLOOKUP(A113,'Liste de prix Public EUROPE'!$B$1824:$R$1824,14,FALSE)))))*B113))</f>
        <v>0</v>
      </c>
      <c r="G113" s="405">
        <f>IF(C113=$R$113,0,IF(C113=$R$114,VLOOKUP(A113,'Liste de prix Public EUROPE'!$B$1824:$R$1824,7,FALSE),IF(C113=$R$116,VLOOKUP(A113,'Liste de prix Public EUROPE'!$B$1824:$R$1824,11,FALSE),IF(C113=$R$117,VLOOKUP(A113,'Liste de prix Public EUROPE'!$B$1824:$R$1824,15,FALSE)))))*B113</f>
        <v>0</v>
      </c>
      <c r="H113" s="100"/>
      <c r="I113" s="64"/>
      <c r="R113" s="946" t="s">
        <v>484</v>
      </c>
      <c r="U113" s="966"/>
      <c r="W113" s="946" t="s">
        <v>824</v>
      </c>
    </row>
    <row r="114" spans="1:25">
      <c r="A114" s="363"/>
      <c r="B114" s="173"/>
      <c r="C114" s="173"/>
      <c r="D114" s="173"/>
      <c r="E114" s="377" t="s">
        <v>277</v>
      </c>
      <c r="F114" s="378">
        <f>SUM(F112:F113)</f>
        <v>0</v>
      </c>
      <c r="G114" s="378">
        <f>SUM(G112:G113)</f>
        <v>0</v>
      </c>
      <c r="H114" s="100"/>
      <c r="I114" s="64"/>
      <c r="R114" s="946" t="s">
        <v>485</v>
      </c>
      <c r="U114" s="966"/>
    </row>
    <row r="115" spans="1:25">
      <c r="A115" s="363"/>
      <c r="B115" s="173"/>
      <c r="C115" s="173"/>
      <c r="D115" s="173"/>
      <c r="E115" s="173"/>
      <c r="F115" s="173"/>
      <c r="G115" s="362"/>
      <c r="H115" s="100"/>
      <c r="I115" s="64"/>
      <c r="R115" s="946" t="s">
        <v>2125</v>
      </c>
      <c r="U115" s="966"/>
    </row>
    <row r="116" spans="1:25">
      <c r="A116" s="940" t="s">
        <v>1017</v>
      </c>
      <c r="B116" s="941" t="s">
        <v>282</v>
      </c>
      <c r="C116" s="941" t="s">
        <v>190</v>
      </c>
      <c r="D116" s="941" t="s">
        <v>8</v>
      </c>
      <c r="E116" s="941" t="s">
        <v>192</v>
      </c>
      <c r="F116" s="941" t="s">
        <v>164</v>
      </c>
      <c r="G116" s="942" t="s">
        <v>488</v>
      </c>
      <c r="H116" s="100"/>
      <c r="I116" s="64"/>
      <c r="R116" s="946" t="s">
        <v>486</v>
      </c>
      <c r="U116" s="966"/>
      <c r="W116" s="946" t="s">
        <v>1996</v>
      </c>
    </row>
    <row r="117" spans="1:25">
      <c r="A117" s="585"/>
      <c r="B117" s="418"/>
      <c r="C117" s="416"/>
      <c r="D117" s="417"/>
      <c r="E117" s="417"/>
      <c r="F117" s="378">
        <f>((IF(C117=$R$113,VLOOKUP(A117,'Liste de prix Public EUROPE'!$B$1834:$R$1840,6,FALSE),IF(C117=$R$114,VLOOKUP(A117,'Liste de prix Public EUROPE'!$B$1834:$R$1840,8,FALSE),IF(C117=$R$115,VLOOKUP(A117,'Liste de prix Public EUROPE'!$B$1834:$R$1840,10,FALSE),IF(C117=$R$116,VLOOKUP(A117,'Liste de prix Public EUROPE'!$B$1834:$R$1840,12,FALSE),IF(C117=$R$117,VLOOKUP(A117,'Liste de prix Public EUROPE'!$B$1834:$R$1840,14,FALSE),IF(C117=$R$118,VLOOKUP(A117,'Liste de prix Public EUROPE'!$B$1834:$R$1840,16,FALSE))))))*B117)))+(IF(D117=$Y$117,VLOOKUP(D117,'Liste de prix Public EUROPE'!$B$1866:$D$1866,3,FALSE)*B117,0))</f>
        <v>0</v>
      </c>
      <c r="G117" s="405">
        <f>IFERROR(IF(C117=$R$114,VLOOKUP(A117,'Liste de prix Public EUROPE'!$B$1834:$R$1840,7,FALSE),IF(C117=$R$116,VLOOKUP(A117,'Liste de prix Public EUROPE'!$B$1834:$R$1840,11,FALSE),IF(C117=$R$118,VLOOKUP(A117,'Liste de prix Public EUROPE'!$B$1834:$R$1840,15,FALSE))))*B117,0)</f>
        <v>0</v>
      </c>
      <c r="H117" s="100"/>
      <c r="I117" s="64"/>
      <c r="R117" s="946" t="s">
        <v>2343</v>
      </c>
      <c r="U117" s="966"/>
      <c r="W117" s="946" t="s">
        <v>823</v>
      </c>
      <c r="Y117" s="946" t="s">
        <v>2013</v>
      </c>
    </row>
    <row r="118" spans="1:25">
      <c r="A118" s="585"/>
      <c r="B118" s="418"/>
      <c r="C118" s="416"/>
      <c r="D118" s="417"/>
      <c r="E118" s="417"/>
      <c r="F118" s="378">
        <f>((IF(C118=$R$113,VLOOKUP(A118,'Liste de prix Public EUROPE'!$B$1834:$R$1840,6,FALSE),IF(C118=$R$114,VLOOKUP(A118,'Liste de prix Public EUROPE'!$B$1834:$R$1840,8,FALSE),IF(C118=$R$115,VLOOKUP(A118,'Liste de prix Public EUROPE'!$B$1834:$R$1840,10,FALSE),IF(C118=$R$116,VLOOKUP(A118,'Liste de prix Public EUROPE'!$B$1834:$R$1840,12,FALSE),IF(C118=$R$117,VLOOKUP(A118,'Liste de prix Public EUROPE'!$B$1834:$R$1840,14,FALSE),IF(C118=$R$118,VLOOKUP(A118,'Liste de prix Public EUROPE'!$B$1834:$R$1840,16,FALSE))))))*B118)))+(IF(D118=$Y$117,VLOOKUP(D118,'Liste de prix Public EUROPE'!$B$1866:$D$1866,3,FALSE)*B118,0))</f>
        <v>0</v>
      </c>
      <c r="G118" s="405">
        <f>IFERROR(IF(C118=$R$114,VLOOKUP(A118,'Liste de prix Public EUROPE'!$B$1834:$R$1840,7,FALSE),IF(C118=$R$116,VLOOKUP(A118,'Liste de prix Public EUROPE'!$B$1834:$R$1840,11,FALSE),IF(C118=$R$118,VLOOKUP(A118,'Liste de prix Public EUROPE'!$B$1834:$R$1840,15,FALSE))))*B118,0)</f>
        <v>0</v>
      </c>
      <c r="H118" s="100"/>
      <c r="I118" s="64"/>
      <c r="R118" s="946" t="s">
        <v>487</v>
      </c>
      <c r="U118" s="966"/>
    </row>
    <row r="119" spans="1:25">
      <c r="A119" s="363"/>
      <c r="B119" s="173"/>
      <c r="C119" s="173"/>
      <c r="D119" s="173"/>
      <c r="E119" s="377" t="s">
        <v>277</v>
      </c>
      <c r="F119" s="378">
        <f>SUM(F117:F118)</f>
        <v>0</v>
      </c>
      <c r="G119" s="378">
        <f>SUM(G117:G118)</f>
        <v>0</v>
      </c>
      <c r="H119" s="100"/>
      <c r="I119" s="64"/>
      <c r="U119" s="966"/>
    </row>
    <row r="120" spans="1:25">
      <c r="A120" s="363"/>
      <c r="B120" s="173"/>
      <c r="C120" s="173"/>
      <c r="D120" s="173"/>
      <c r="E120" s="64"/>
      <c r="F120" s="298"/>
      <c r="G120" s="298"/>
      <c r="H120" s="298"/>
      <c r="I120" s="64"/>
      <c r="U120" s="966"/>
    </row>
    <row r="121" spans="1:25">
      <c r="A121" s="755" t="s">
        <v>1317</v>
      </c>
      <c r="B121" s="756" t="s">
        <v>90</v>
      </c>
      <c r="C121" s="368" t="s">
        <v>164</v>
      </c>
      <c r="D121" s="173"/>
      <c r="E121" s="64"/>
      <c r="F121" s="298"/>
      <c r="G121" s="298"/>
      <c r="H121" s="298"/>
      <c r="I121" s="64"/>
      <c r="U121" s="966"/>
    </row>
    <row r="122" spans="1:25">
      <c r="A122" s="585" t="s">
        <v>714</v>
      </c>
      <c r="B122" s="417"/>
      <c r="C122" s="382">
        <f>(IF(A122="",0,(IF(B122="",0,(VLOOKUP(A122,'Liste de prix Public EUROPE'!$B$362:$E$373,4,FALSE)*B122*730)))))</f>
        <v>0</v>
      </c>
      <c r="D122" s="173"/>
      <c r="E122" s="64"/>
      <c r="F122" s="298"/>
      <c r="G122" s="298"/>
      <c r="H122" s="298"/>
      <c r="I122" s="64"/>
      <c r="U122" s="966"/>
    </row>
    <row r="123" spans="1:25">
      <c r="A123" s="585" t="s">
        <v>714</v>
      </c>
      <c r="B123" s="591"/>
      <c r="C123" s="382">
        <f>(IF(A123="",0,(IF(B123="",0,(VLOOKUP(A123,'Liste de prix Public EUROPE'!$B$362:$E$373,4,FALSE)*B123*730)))))</f>
        <v>0</v>
      </c>
      <c r="D123" s="173"/>
      <c r="E123" s="64"/>
      <c r="F123" s="298"/>
      <c r="G123" s="298"/>
      <c r="H123" s="298"/>
      <c r="I123" s="64"/>
      <c r="U123" s="966"/>
    </row>
    <row r="124" spans="1:25">
      <c r="A124" s="585" t="s">
        <v>714</v>
      </c>
      <c r="B124" s="591"/>
      <c r="C124" s="382">
        <f>(IF(A124="",0,(IF(B124="",0,(VLOOKUP(A124,'Liste de prix Public EUROPE'!$B$362:$E$373,4,FALSE)*B124*730)))))</f>
        <v>0</v>
      </c>
      <c r="D124" s="173"/>
      <c r="E124" s="64"/>
      <c r="F124" s="298"/>
      <c r="G124" s="298"/>
      <c r="H124" s="298"/>
      <c r="I124" s="64"/>
      <c r="U124" s="966"/>
    </row>
    <row r="125" spans="1:25">
      <c r="A125" s="585" t="s">
        <v>714</v>
      </c>
      <c r="B125" s="417"/>
      <c r="C125" s="382">
        <f>(IF(A125="",0,(IF(B125="",0,(VLOOKUP(A125,'Liste de prix Public EUROPE'!$B$362:$E$373,4,FALSE)*B125*730)))))</f>
        <v>0</v>
      </c>
      <c r="D125" s="173"/>
      <c r="E125" s="64"/>
      <c r="F125" s="298"/>
      <c r="G125" s="298"/>
      <c r="H125" s="298"/>
      <c r="I125" s="64"/>
      <c r="U125" s="966"/>
    </row>
    <row r="126" spans="1:25">
      <c r="A126" s="64"/>
      <c r="B126" s="377" t="s">
        <v>277</v>
      </c>
      <c r="C126" s="382">
        <f>SUM(C122:C125)</f>
        <v>0</v>
      </c>
      <c r="D126" s="173"/>
      <c r="E126" s="64"/>
      <c r="F126" s="298"/>
      <c r="G126" s="298"/>
      <c r="H126" s="298"/>
      <c r="I126" s="64"/>
      <c r="U126" s="966"/>
    </row>
    <row r="127" spans="1:25">
      <c r="A127" s="64"/>
      <c r="B127" s="64"/>
      <c r="C127" s="1117"/>
      <c r="D127" s="173"/>
      <c r="E127" s="64"/>
      <c r="F127" s="917"/>
      <c r="G127" s="917"/>
      <c r="H127" s="917"/>
      <c r="I127" s="64"/>
      <c r="U127" s="966"/>
    </row>
    <row r="128" spans="1:25">
      <c r="A128" s="1103" t="s">
        <v>1456</v>
      </c>
      <c r="B128" s="1103" t="s">
        <v>90</v>
      </c>
      <c r="C128" s="368" t="s">
        <v>164</v>
      </c>
      <c r="D128" s="173"/>
      <c r="E128" s="64"/>
      <c r="F128" s="917"/>
      <c r="G128" s="917"/>
      <c r="H128" s="917"/>
      <c r="I128" s="64"/>
      <c r="N128" s="1168" t="s">
        <v>1602</v>
      </c>
      <c r="O128" s="1168" t="s">
        <v>1617</v>
      </c>
      <c r="Q128" s="1168" t="s">
        <v>1680</v>
      </c>
      <c r="U128" s="966"/>
    </row>
    <row r="129" spans="1:21">
      <c r="A129" s="619" t="s">
        <v>1463</v>
      </c>
      <c r="B129" s="1118"/>
      <c r="C129" s="382">
        <f>IF(B129&gt;1000000,(ROUND((B129/1000000),0)*'Liste de prix Public EUROPE'!C2097),0)</f>
        <v>0</v>
      </c>
      <c r="D129" s="173"/>
      <c r="E129" s="64"/>
      <c r="F129" s="917"/>
      <c r="G129" s="917"/>
      <c r="H129" s="917"/>
      <c r="I129" s="64"/>
      <c r="N129" s="1168" t="s">
        <v>1673</v>
      </c>
      <c r="O129" s="1168">
        <v>13</v>
      </c>
      <c r="Q129" s="1168" t="s">
        <v>1602</v>
      </c>
      <c r="R129" s="1168" t="str">
        <f>C158</f>
        <v xml:space="preserve">6 month </v>
      </c>
      <c r="U129" s="966"/>
    </row>
    <row r="130" spans="1:21">
      <c r="A130" s="619" t="s">
        <v>1479</v>
      </c>
      <c r="B130" s="754"/>
      <c r="C130" s="382">
        <f>IF(B130&gt;100,(B130-100)*'Liste de prix Public EUROPE'!$C$2100,0)</f>
        <v>0</v>
      </c>
      <c r="D130" s="173"/>
      <c r="E130" s="64"/>
      <c r="F130" s="917"/>
      <c r="G130" s="917"/>
      <c r="H130" s="917"/>
      <c r="I130" s="64"/>
      <c r="N130" s="1168" t="s">
        <v>1674</v>
      </c>
      <c r="O130" s="1168">
        <v>26</v>
      </c>
      <c r="Q130" s="1168" t="s">
        <v>1617</v>
      </c>
      <c r="R130" s="1168">
        <f>VLOOKUP(R129,N129:O132,2,FALSE)</f>
        <v>26</v>
      </c>
      <c r="U130" s="966"/>
    </row>
    <row r="131" spans="1:21">
      <c r="A131" s="64"/>
      <c r="B131" s="377" t="s">
        <v>277</v>
      </c>
      <c r="C131" s="382">
        <f>SUM(C129:C130)</f>
        <v>0</v>
      </c>
      <c r="D131" s="173"/>
      <c r="E131" s="64"/>
      <c r="F131" s="917"/>
      <c r="G131" s="917"/>
      <c r="H131" s="917"/>
      <c r="I131" s="64"/>
      <c r="N131" s="1168" t="s">
        <v>1675</v>
      </c>
      <c r="O131" s="1168">
        <v>52</v>
      </c>
      <c r="Q131" s="1168" t="s">
        <v>1681</v>
      </c>
      <c r="R131" s="1234">
        <v>0.02</v>
      </c>
      <c r="U131" s="966"/>
    </row>
    <row r="132" spans="1:21">
      <c r="A132" s="64"/>
      <c r="B132" s="64"/>
      <c r="C132" s="1117"/>
      <c r="D132" s="173"/>
      <c r="E132" s="64"/>
      <c r="F132" s="917"/>
      <c r="G132" s="917"/>
      <c r="H132" s="917"/>
      <c r="I132" s="64"/>
      <c r="N132" s="1168" t="s">
        <v>1676</v>
      </c>
      <c r="O132" s="1168">
        <v>156</v>
      </c>
      <c r="U132" s="966"/>
    </row>
    <row r="133" spans="1:21" ht="23.4">
      <c r="A133" s="343" t="s">
        <v>172</v>
      </c>
      <c r="B133" s="350" t="s">
        <v>325</v>
      </c>
      <c r="C133" s="349"/>
      <c r="D133" s="349"/>
      <c r="E133" s="349"/>
      <c r="F133" s="349"/>
      <c r="G133" s="349"/>
      <c r="H133" s="1833"/>
      <c r="I133" s="1833"/>
      <c r="J133" s="944"/>
      <c r="K133" s="944"/>
    </row>
    <row r="134" spans="1:21" ht="21.75" customHeight="1">
      <c r="A134" s="2138" t="s">
        <v>238</v>
      </c>
      <c r="B134" s="2151"/>
      <c r="C134" s="368" t="s">
        <v>164</v>
      </c>
      <c r="D134" s="64"/>
      <c r="E134" s="172"/>
      <c r="F134" s="172"/>
      <c r="G134" s="172"/>
      <c r="H134" s="360"/>
      <c r="I134" s="64"/>
      <c r="N134" s="1265" t="s">
        <v>1677</v>
      </c>
      <c r="U134" s="946" t="s">
        <v>0</v>
      </c>
    </row>
    <row r="135" spans="1:21" ht="13.5" customHeight="1">
      <c r="A135" s="369" t="s">
        <v>999</v>
      </c>
      <c r="B135" s="754"/>
      <c r="C135" s="381">
        <f>B135*'Liste de prix Public EUROPE'!$C$986</f>
        <v>0</v>
      </c>
      <c r="D135" s="64"/>
      <c r="E135" s="64"/>
      <c r="F135" s="64"/>
      <c r="G135" s="64"/>
      <c r="H135" s="360"/>
      <c r="I135" s="64"/>
      <c r="N135" s="1268" t="s">
        <v>1619</v>
      </c>
      <c r="O135" s="1268" t="s">
        <v>1620</v>
      </c>
      <c r="P135" s="1268" t="s">
        <v>1646</v>
      </c>
      <c r="Q135" s="1268" t="s">
        <v>1622</v>
      </c>
      <c r="R135" s="1268" t="s">
        <v>1678</v>
      </c>
      <c r="S135" s="1269" t="s">
        <v>1624</v>
      </c>
      <c r="T135" s="1269" t="s">
        <v>1625</v>
      </c>
      <c r="U135" s="1269" t="s">
        <v>1679</v>
      </c>
    </row>
    <row r="136" spans="1:21" ht="13.5" customHeight="1">
      <c r="A136" s="518" t="s">
        <v>1000</v>
      </c>
      <c r="B136" s="754"/>
      <c r="C136" s="381">
        <f>B136*'Liste de prix Public EUROPE'!$C$992</f>
        <v>0</v>
      </c>
      <c r="D136" s="64"/>
      <c r="E136" s="64"/>
      <c r="F136" s="64"/>
      <c r="G136" s="64"/>
      <c r="H136" s="360"/>
      <c r="I136" s="64"/>
      <c r="N136" s="1234">
        <v>0.55000000000000004</v>
      </c>
      <c r="O136" s="1234">
        <v>0.95</v>
      </c>
      <c r="P136" s="1234">
        <v>0.6</v>
      </c>
      <c r="Q136" s="1234">
        <f>R131</f>
        <v>0.02</v>
      </c>
      <c r="R136" s="1267">
        <f>D158</f>
        <v>0</v>
      </c>
      <c r="S136" s="745">
        <f>R130</f>
        <v>26</v>
      </c>
      <c r="T136" s="745">
        <f>S136</f>
        <v>26</v>
      </c>
      <c r="U136" s="745">
        <f>S136*5</f>
        <v>130</v>
      </c>
    </row>
    <row r="137" spans="1:21">
      <c r="A137" s="369" t="s">
        <v>1001</v>
      </c>
      <c r="B137" s="754"/>
      <c r="C137" s="382">
        <f>B137*'Liste de prix Public EUROPE'!$C$1002</f>
        <v>0</v>
      </c>
      <c r="D137" s="68"/>
      <c r="E137" s="64"/>
      <c r="F137" s="64"/>
      <c r="G137" s="64"/>
      <c r="H137" s="360"/>
      <c r="I137" s="64"/>
      <c r="N137" s="1268" t="s">
        <v>1682</v>
      </c>
      <c r="O137" s="1268" t="s">
        <v>1683</v>
      </c>
      <c r="P137" s="1268" t="s">
        <v>1637</v>
      </c>
      <c r="Q137" s="1268" t="s">
        <v>1651</v>
      </c>
      <c r="R137" s="1268" t="s">
        <v>1684</v>
      </c>
    </row>
    <row r="138" spans="1:21">
      <c r="A138" s="369" t="s">
        <v>998</v>
      </c>
      <c r="B138" s="754"/>
      <c r="C138" s="382">
        <f>B138*'Liste de prix Public EUROPE'!$C$1004</f>
        <v>0</v>
      </c>
      <c r="D138" s="68"/>
      <c r="E138" s="64"/>
      <c r="F138" s="64"/>
      <c r="G138" s="64"/>
      <c r="H138" s="360"/>
      <c r="I138" s="64"/>
      <c r="N138" s="1168">
        <f>R136*(1-N136)</f>
        <v>0</v>
      </c>
      <c r="O138" s="1168">
        <f>R136*(1-O136)</f>
        <v>0</v>
      </c>
      <c r="P138" s="1168">
        <f>R136*(1-P136)*Q136</f>
        <v>0</v>
      </c>
      <c r="Q138" s="1246">
        <f>(R136*S136)+(U136*R136*Q136)</f>
        <v>0</v>
      </c>
      <c r="R138" s="1246">
        <f>N138+((T136-1)*O138)+(U136*P138)</f>
        <v>0</v>
      </c>
    </row>
    <row r="139" spans="1:21">
      <c r="A139" s="369" t="s">
        <v>2430</v>
      </c>
      <c r="B139" s="754"/>
      <c r="C139" s="382">
        <f>B139*'Liste de prix Public EUROPE'!$C$997</f>
        <v>0</v>
      </c>
      <c r="D139" s="68"/>
      <c r="E139" s="64"/>
      <c r="F139" s="64"/>
      <c r="G139" s="64"/>
      <c r="H139" s="360"/>
      <c r="I139" s="64"/>
      <c r="N139" s="1202"/>
      <c r="O139" s="1202"/>
      <c r="P139" s="1701"/>
      <c r="Q139" s="1702"/>
      <c r="R139" s="1702"/>
    </row>
    <row r="140" spans="1:21">
      <c r="A140" s="369" t="s">
        <v>2431</v>
      </c>
      <c r="B140" s="754"/>
      <c r="C140" s="382">
        <f>B140*'Liste de prix Public EUROPE'!$C$998</f>
        <v>0</v>
      </c>
      <c r="D140" s="68"/>
      <c r="E140" s="64"/>
      <c r="F140" s="64"/>
      <c r="G140" s="64"/>
      <c r="H140" s="360"/>
      <c r="I140" s="64"/>
      <c r="N140" s="1202"/>
      <c r="O140" s="1202"/>
      <c r="P140" s="1701"/>
      <c r="Q140" s="1702"/>
      <c r="R140" s="1702"/>
    </row>
    <row r="141" spans="1:21" ht="13.5" customHeight="1">
      <c r="A141" s="376"/>
      <c r="B141" s="64"/>
      <c r="C141" s="64"/>
      <c r="D141" s="64"/>
      <c r="E141" s="64"/>
      <c r="F141" s="64"/>
      <c r="G141" s="64"/>
      <c r="H141" s="360"/>
      <c r="I141" s="64"/>
      <c r="P141" s="2085"/>
      <c r="Q141" s="2085"/>
      <c r="R141" s="2085"/>
      <c r="S141" s="2085"/>
      <c r="T141" s="2085"/>
      <c r="U141" s="2085"/>
    </row>
    <row r="142" spans="1:21">
      <c r="A142" s="2099" t="s">
        <v>239</v>
      </c>
      <c r="B142" s="2100"/>
      <c r="C142" s="368" t="s">
        <v>164</v>
      </c>
      <c r="D142" s="64"/>
      <c r="E142" s="172"/>
      <c r="F142" s="172"/>
      <c r="G142" s="172"/>
      <c r="H142" s="360"/>
      <c r="I142" s="64"/>
      <c r="Q142" s="1222">
        <v>50</v>
      </c>
      <c r="R142" s="1223">
        <v>100</v>
      </c>
      <c r="S142" s="1223">
        <v>200</v>
      </c>
      <c r="T142" s="1223">
        <v>500</v>
      </c>
      <c r="U142" s="1224" t="s">
        <v>1642</v>
      </c>
    </row>
    <row r="143" spans="1:21">
      <c r="A143" s="369" t="s">
        <v>1005</v>
      </c>
      <c r="B143" s="754"/>
      <c r="C143" s="382">
        <f>B143*'Liste de prix Public EUROPE'!$C$988</f>
        <v>0</v>
      </c>
      <c r="D143" s="64"/>
      <c r="E143" s="172"/>
      <c r="F143" s="172"/>
      <c r="G143" s="172"/>
      <c r="H143" s="360"/>
      <c r="I143" s="64"/>
      <c r="Q143" s="1242">
        <v>2.89</v>
      </c>
      <c r="R143" s="1243">
        <v>2.46</v>
      </c>
      <c r="S143" s="1243">
        <v>2.09</v>
      </c>
      <c r="T143" s="1242">
        <v>1.78</v>
      </c>
      <c r="U143" s="1242">
        <v>1.49</v>
      </c>
    </row>
    <row r="144" spans="1:21">
      <c r="A144" s="369" t="s">
        <v>1006</v>
      </c>
      <c r="B144" s="870"/>
      <c r="C144" s="382">
        <f>B144*'Liste de prix Public EUROPE'!$C$993</f>
        <v>0</v>
      </c>
      <c r="D144" s="64"/>
      <c r="E144" s="172"/>
      <c r="F144" s="172"/>
      <c r="G144" s="172"/>
      <c r="H144" s="360"/>
      <c r="I144" s="64"/>
    </row>
    <row r="145" spans="1:36">
      <c r="A145" s="369" t="s">
        <v>1007</v>
      </c>
      <c r="B145" s="754"/>
      <c r="C145" s="382">
        <f>B145*'Liste de prix Public EUROPE'!$C$1003</f>
        <v>0</v>
      </c>
      <c r="D145" s="64"/>
      <c r="E145" s="172"/>
      <c r="F145" s="172"/>
      <c r="G145" s="172"/>
      <c r="H145" s="360"/>
      <c r="I145" s="64"/>
    </row>
    <row r="146" spans="1:36">
      <c r="A146" s="376"/>
      <c r="B146" s="64"/>
      <c r="C146" s="64"/>
      <c r="D146" s="64"/>
      <c r="E146" s="172"/>
      <c r="F146" s="172"/>
      <c r="G146" s="172"/>
      <c r="H146" s="360"/>
      <c r="I146" s="64"/>
    </row>
    <row r="147" spans="1:36">
      <c r="A147" s="654" t="s">
        <v>623</v>
      </c>
      <c r="B147" s="368" t="s">
        <v>282</v>
      </c>
      <c r="C147" s="655"/>
      <c r="D147" s="659"/>
      <c r="E147" s="656"/>
      <c r="F147" s="621" t="s">
        <v>164</v>
      </c>
      <c r="G147" s="846"/>
      <c r="H147" s="360"/>
      <c r="I147" s="64"/>
    </row>
    <row r="148" spans="1:36">
      <c r="A148" s="585"/>
      <c r="B148" s="418"/>
      <c r="C148" s="657"/>
      <c r="D148" s="660"/>
      <c r="E148" s="658"/>
      <c r="F148" s="371">
        <f>IFERROR(VLOOKUP(A148,'Liste de prix Public EUROPE'!$B$1277:$I$1281,8,FALSE)*B148,0)</f>
        <v>0</v>
      </c>
      <c r="G148" s="842"/>
      <c r="H148" s="360"/>
      <c r="I148" s="64"/>
    </row>
    <row r="149" spans="1:36">
      <c r="A149" s="585"/>
      <c r="B149" s="418"/>
      <c r="C149" s="657"/>
      <c r="D149" s="660"/>
      <c r="E149" s="658"/>
      <c r="F149" s="371">
        <f>IFERROR(VLOOKUP(A149,'Liste de prix Public EUROPE'!$B$1277:$I$1281,8,FALSE)*B149,0)</f>
        <v>0</v>
      </c>
      <c r="G149" s="842"/>
      <c r="H149" s="360"/>
      <c r="I149" s="64"/>
    </row>
    <row r="150" spans="1:36">
      <c r="A150" s="376"/>
      <c r="B150" s="64"/>
      <c r="C150" s="64"/>
      <c r="D150" s="70"/>
      <c r="E150" s="377" t="s">
        <v>277</v>
      </c>
      <c r="F150" s="378">
        <f>SUM(F148:F149)</f>
        <v>0</v>
      </c>
      <c r="G150" s="298"/>
      <c r="H150" s="360"/>
      <c r="I150" s="64"/>
      <c r="N150" s="1168" t="s">
        <v>1602</v>
      </c>
      <c r="O150" s="1168" t="str">
        <f>C154</f>
        <v>3 month</v>
      </c>
      <c r="Q150" s="1168" t="s">
        <v>1594</v>
      </c>
      <c r="R150" s="1168" t="s">
        <v>1666</v>
      </c>
      <c r="S150" s="745" t="s">
        <v>1644</v>
      </c>
      <c r="U150" s="2084" t="s">
        <v>1603</v>
      </c>
      <c r="V150" s="2084"/>
      <c r="W150" s="2084"/>
      <c r="X150" s="2084"/>
      <c r="Y150" s="2084"/>
      <c r="Z150" s="2084"/>
    </row>
    <row r="151" spans="1:36">
      <c r="A151" s="376"/>
      <c r="B151" s="767"/>
      <c r="C151" s="768"/>
      <c r="D151" s="64"/>
      <c r="E151" s="172"/>
      <c r="F151" s="172"/>
      <c r="G151" s="172"/>
      <c r="H151" s="360"/>
      <c r="I151" s="64"/>
      <c r="N151" s="1168" t="s">
        <v>1617</v>
      </c>
      <c r="O151" s="1168">
        <f>VLOOKUP(O150,R151:S156,2,FALSE)</f>
        <v>13</v>
      </c>
      <c r="Q151" s="1234">
        <v>0.02</v>
      </c>
      <c r="R151" s="1168" t="s">
        <v>939</v>
      </c>
      <c r="S151" s="745">
        <v>1</v>
      </c>
      <c r="U151" s="1221" t="s">
        <v>1604</v>
      </c>
      <c r="V151" s="1222">
        <v>1</v>
      </c>
      <c r="W151" s="1223">
        <v>5</v>
      </c>
      <c r="X151" s="1223">
        <v>10</v>
      </c>
      <c r="Y151" s="1223">
        <v>15</v>
      </c>
      <c r="Z151" s="1224" t="s">
        <v>1605</v>
      </c>
    </row>
    <row r="152" spans="1:36">
      <c r="A152" s="1218" t="s">
        <v>1653</v>
      </c>
      <c r="B152" s="1254"/>
      <c r="C152" s="1254"/>
      <c r="D152" s="1254"/>
      <c r="E152" s="1254"/>
      <c r="F152" s="1254"/>
      <c r="G152" s="334"/>
      <c r="H152" s="92"/>
      <c r="I152" s="64"/>
      <c r="N152" s="1168" t="s">
        <v>1594</v>
      </c>
      <c r="O152" s="1234">
        <f>B154</f>
        <v>0</v>
      </c>
      <c r="Q152" s="1234">
        <v>0.05</v>
      </c>
      <c r="R152" s="1168" t="s">
        <v>940</v>
      </c>
      <c r="S152" s="745">
        <v>2</v>
      </c>
      <c r="U152" s="1221" t="s">
        <v>1606</v>
      </c>
      <c r="V152" s="1222">
        <v>1000</v>
      </c>
      <c r="W152" s="1223">
        <v>5000</v>
      </c>
      <c r="X152" s="1223">
        <v>10000</v>
      </c>
      <c r="Y152" s="1223">
        <v>15000</v>
      </c>
      <c r="Z152" s="1224" t="s">
        <v>1607</v>
      </c>
    </row>
    <row r="153" spans="1:36" ht="43.2">
      <c r="A153" s="1253" t="s">
        <v>1661</v>
      </c>
      <c r="B153" s="1253" t="s">
        <v>1672</v>
      </c>
      <c r="C153" s="1253" t="s">
        <v>1662</v>
      </c>
      <c r="D153" s="1253" t="s">
        <v>1663</v>
      </c>
      <c r="E153" s="1253" t="s">
        <v>1664</v>
      </c>
      <c r="F153" s="1255" t="s">
        <v>1665</v>
      </c>
      <c r="G153" s="1257" t="s">
        <v>1591</v>
      </c>
      <c r="H153" s="92"/>
      <c r="I153" s="64"/>
      <c r="Q153" s="1234">
        <v>0.1</v>
      </c>
      <c r="R153" s="1168" t="s">
        <v>946</v>
      </c>
      <c r="S153" s="745">
        <v>5</v>
      </c>
      <c r="U153" s="1225" t="s">
        <v>1608</v>
      </c>
      <c r="V153" s="1226">
        <v>0.09</v>
      </c>
      <c r="W153" s="1226">
        <v>7.6999999999999999E-2</v>
      </c>
      <c r="X153" s="1226">
        <v>6.5000000000000002E-2</v>
      </c>
      <c r="Y153" s="1226">
        <v>5.5E-2</v>
      </c>
      <c r="Z153" s="1226">
        <v>4.7E-2</v>
      </c>
    </row>
    <row r="154" spans="1:36">
      <c r="A154" s="1266"/>
      <c r="B154" s="1262"/>
      <c r="C154" s="1263" t="s">
        <v>1592</v>
      </c>
      <c r="D154" s="1239">
        <f>R168</f>
        <v>0</v>
      </c>
      <c r="E154" s="382">
        <f>IF(A154&lt;=$V$152, A154*$V$153, IF(A154&lt;=$W$152,((A154-$V$152)*$W$153+$V$152*$V$153),IF(A154&lt;=$X$152,((A154-$W$152)*$X$153+($W$152-$V$152)*$W$153+$V$152*$V$153),IF(A154&lt;=$Y$152,((A154-$X$152)*$Y$153+($X$152-$W$152)*$X$153+($W$152-$V$152)*$W$153+$V$152*$V$153),((A154-$Y$152)*$Z$153+($Y$152-$X$152)*$Y$153+($X$152-$W$152)*$X$153+($W$152-$V$152)*$W$153+$V$152*$V$153)))))</f>
        <v>0</v>
      </c>
      <c r="F154" s="1256">
        <f>D154*'Liste de prix Public EUROPE'!C1008</f>
        <v>0</v>
      </c>
      <c r="G154" s="1264">
        <f>E154+F154</f>
        <v>0</v>
      </c>
      <c r="H154" s="92"/>
      <c r="I154" s="64"/>
      <c r="Q154" s="1168"/>
      <c r="R154" s="1168" t="s">
        <v>1592</v>
      </c>
      <c r="S154" s="745">
        <v>13</v>
      </c>
    </row>
    <row r="155" spans="1:36">
      <c r="A155" s="376"/>
      <c r="B155" s="767"/>
      <c r="C155" s="768"/>
      <c r="D155" s="64"/>
      <c r="E155" s="172"/>
      <c r="F155" s="334"/>
      <c r="G155" s="172"/>
      <c r="H155" s="360"/>
      <c r="I155" s="64"/>
      <c r="Q155" s="1168"/>
      <c r="R155" s="1168" t="s">
        <v>1593</v>
      </c>
      <c r="S155" s="745">
        <v>26</v>
      </c>
    </row>
    <row r="156" spans="1:36">
      <c r="A156" s="1218" t="s">
        <v>1654</v>
      </c>
      <c r="B156" s="767"/>
      <c r="C156" s="767"/>
      <c r="D156" s="767"/>
      <c r="E156" s="767"/>
      <c r="F156" s="767"/>
      <c r="G156" s="172"/>
      <c r="H156" s="360"/>
      <c r="I156" s="64"/>
      <c r="Q156" s="1168"/>
      <c r="R156" s="1168" t="s">
        <v>943</v>
      </c>
      <c r="S156" s="745">
        <v>52</v>
      </c>
    </row>
    <row r="157" spans="1:36" ht="27.6">
      <c r="A157" s="1230" t="s">
        <v>1655</v>
      </c>
      <c r="B157" s="1253" t="s">
        <v>1656</v>
      </c>
      <c r="C157" s="1253" t="s">
        <v>1657</v>
      </c>
      <c r="D157" s="1253" t="s">
        <v>1686</v>
      </c>
      <c r="E157" s="1253" t="s">
        <v>1687</v>
      </c>
      <c r="F157" s="1253" t="s">
        <v>1659</v>
      </c>
      <c r="G157" s="1255" t="s">
        <v>1658</v>
      </c>
      <c r="H157" s="1257" t="s">
        <v>1660</v>
      </c>
      <c r="I157" s="64"/>
    </row>
    <row r="158" spans="1:36">
      <c r="A158" s="1266"/>
      <c r="B158" s="419"/>
      <c r="C158" s="1263" t="s">
        <v>1674</v>
      </c>
      <c r="D158" s="1274">
        <f>A158*B158</f>
        <v>0</v>
      </c>
      <c r="E158" s="1274">
        <f>R138</f>
        <v>0</v>
      </c>
      <c r="F158" s="1251">
        <f>IF(A158&lt;=$Q$142, A158*$Q$143, IF(A158&lt;=$R$142,((A158-$Q$142)*$R$143+$Q$142*$Q$143),IF(A158&lt;=$S$142,((A158-$R$142)*$S$143+($R$142-$Q$142)*$R$143+$Q$736*$Q$143),IF(A158&lt;=$T$142,((A158-$S$142)*$T$143+($S$142-$R$142)*$S$143+($R$142-$Q$142)*$R$143+$Q$142*$Q$143),((A158-$T$142)*$U$143+($T$142-$S$142)*$T$143+($S$142-$R$142)*$S$143+($R$142-$Q$142)*$R$143+$Q$142*$Q$143)))))</f>
        <v>0</v>
      </c>
      <c r="G158" s="1837">
        <f>E158*'Liste de prix Public EUROPE'!C1008</f>
        <v>0</v>
      </c>
      <c r="H158" s="1270">
        <f>F158+G158</f>
        <v>0</v>
      </c>
      <c r="I158" s="64"/>
      <c r="N158" s="1168" t="s">
        <v>1618</v>
      </c>
      <c r="T158" s="947"/>
      <c r="U158" s="947"/>
      <c r="V158" s="947"/>
      <c r="W158" s="947"/>
      <c r="X158" s="947"/>
      <c r="Y158" s="947"/>
      <c r="Z158" s="947"/>
      <c r="AA158" s="947"/>
    </row>
    <row r="159" spans="1:36" hidden="1">
      <c r="A159" s="426"/>
      <c r="B159" s="767"/>
      <c r="C159" s="767"/>
      <c r="D159" s="426"/>
      <c r="E159" s="1202"/>
      <c r="F159" s="1203"/>
      <c r="G159" s="172"/>
      <c r="H159" s="360"/>
      <c r="I159" s="64"/>
      <c r="T159" s="947"/>
      <c r="U159" s="947"/>
      <c r="V159" s="947"/>
      <c r="W159" s="947"/>
      <c r="X159" s="947"/>
      <c r="Y159" s="947"/>
      <c r="Z159" s="947"/>
      <c r="AA159" s="947"/>
    </row>
    <row r="160" spans="1:36" ht="15" hidden="1" customHeight="1">
      <c r="A160" s="426"/>
      <c r="B160" s="1200"/>
      <c r="C160" s="1204"/>
      <c r="D160" s="1205"/>
      <c r="E160" s="1202"/>
      <c r="F160" s="1202"/>
      <c r="G160" s="172"/>
      <c r="H160" s="360"/>
      <c r="I160" s="64"/>
      <c r="T160" s="2155" t="s">
        <v>937</v>
      </c>
      <c r="U160" s="1258">
        <v>0.02</v>
      </c>
      <c r="V160" s="1259">
        <v>526</v>
      </c>
      <c r="W160" s="1259">
        <v>652</v>
      </c>
      <c r="X160" s="1259">
        <v>940</v>
      </c>
      <c r="Y160" s="1259">
        <f>2.02*1024</f>
        <v>2068.48</v>
      </c>
      <c r="Z160" s="1259">
        <v>3727.36</v>
      </c>
      <c r="AA160" s="1259">
        <v>7137.28</v>
      </c>
      <c r="AD160" s="1001">
        <f>Y160/1024</f>
        <v>2.02</v>
      </c>
      <c r="AE160" s="1001">
        <f t="shared" ref="AE160:AF168" si="0">Z160/1024</f>
        <v>3.64</v>
      </c>
      <c r="AF160" s="1001">
        <f t="shared" si="0"/>
        <v>6.97</v>
      </c>
      <c r="AH160" s="937"/>
      <c r="AI160" s="937"/>
      <c r="AJ160" s="937"/>
    </row>
    <row r="161" spans="1:36" ht="15" hidden="1" customHeight="1">
      <c r="A161" s="426"/>
      <c r="B161" s="1201"/>
      <c r="C161" s="1204"/>
      <c r="D161" s="426"/>
      <c r="E161" s="1202"/>
      <c r="F161" s="1202"/>
      <c r="G161" s="172"/>
      <c r="H161" s="360"/>
      <c r="I161" s="64"/>
      <c r="T161" s="2155"/>
      <c r="U161" s="1258">
        <v>0.05</v>
      </c>
      <c r="V161" s="1259">
        <v>610</v>
      </c>
      <c r="W161" s="1259">
        <v>820</v>
      </c>
      <c r="X161" s="1259">
        <v>1331.2</v>
      </c>
      <c r="Y161" s="1259">
        <v>3174.4</v>
      </c>
      <c r="Z161" s="1259">
        <v>5939.2</v>
      </c>
      <c r="AA161" s="1259">
        <v>11622.4</v>
      </c>
      <c r="AD161" s="1001">
        <f t="shared" ref="AD161:AD168" si="1">Y161/1024</f>
        <v>3.1</v>
      </c>
      <c r="AE161" s="1001">
        <f t="shared" si="0"/>
        <v>5.8</v>
      </c>
      <c r="AF161" s="1001">
        <f t="shared" si="0"/>
        <v>11.35</v>
      </c>
      <c r="AH161" s="937"/>
      <c r="AI161" s="937"/>
      <c r="AJ161" s="937"/>
    </row>
    <row r="162" spans="1:36" hidden="1">
      <c r="A162" s="426"/>
      <c r="B162" s="1201"/>
      <c r="C162" s="1204"/>
      <c r="D162" s="426"/>
      <c r="E162" s="1202"/>
      <c r="F162" s="1202"/>
      <c r="G162" s="172"/>
      <c r="H162" s="360"/>
      <c r="I162" s="64"/>
      <c r="T162" s="2155"/>
      <c r="U162" s="1258">
        <v>0.1</v>
      </c>
      <c r="V162" s="1259">
        <v>750</v>
      </c>
      <c r="W162" s="1259">
        <v>1126.4000000000001</v>
      </c>
      <c r="X162" s="1259">
        <v>1945.6</v>
      </c>
      <c r="Y162" s="1259">
        <v>5017.6000000000004</v>
      </c>
      <c r="Z162" s="1259">
        <v>9625.6</v>
      </c>
      <c r="AA162" s="1259">
        <v>19097.599999999999</v>
      </c>
      <c r="AD162" s="1001">
        <f t="shared" si="1"/>
        <v>4.9000000000000004</v>
      </c>
      <c r="AE162" s="1001">
        <f t="shared" si="0"/>
        <v>9.4</v>
      </c>
      <c r="AF162" s="1001">
        <f t="shared" si="0"/>
        <v>18.649999999999999</v>
      </c>
      <c r="AH162" s="937"/>
      <c r="AI162" s="937"/>
      <c r="AJ162" s="937"/>
    </row>
    <row r="163" spans="1:36">
      <c r="A163" s="376"/>
      <c r="B163" s="64"/>
      <c r="C163" s="64"/>
      <c r="D163" s="64"/>
      <c r="E163" s="172"/>
      <c r="F163" s="172"/>
      <c r="G163" s="172"/>
      <c r="H163" s="360"/>
      <c r="I163" s="64"/>
      <c r="N163" s="1168" t="s">
        <v>1645</v>
      </c>
      <c r="O163" s="1168" t="s">
        <v>1667</v>
      </c>
      <c r="P163" s="1168" t="s">
        <v>1646</v>
      </c>
      <c r="Q163" s="1168" t="s">
        <v>1668</v>
      </c>
      <c r="R163" s="1168" t="s">
        <v>1623</v>
      </c>
      <c r="S163" s="745" t="s">
        <v>1624</v>
      </c>
      <c r="T163" s="1261" t="s">
        <v>1625</v>
      </c>
      <c r="U163" s="1261" t="s">
        <v>1647</v>
      </c>
      <c r="V163" s="1260"/>
      <c r="W163" s="1260"/>
      <c r="X163" s="2155"/>
      <c r="Y163" s="2155"/>
      <c r="Z163" s="2155"/>
      <c r="AA163" s="2155"/>
      <c r="AD163" s="1001">
        <f t="shared" si="1"/>
        <v>0</v>
      </c>
      <c r="AE163" s="1001">
        <f t="shared" si="0"/>
        <v>0</v>
      </c>
      <c r="AF163" s="1001">
        <f t="shared" si="0"/>
        <v>0</v>
      </c>
      <c r="AH163" s="937"/>
      <c r="AI163" s="937"/>
      <c r="AJ163" s="937"/>
    </row>
    <row r="164" spans="1:36">
      <c r="A164" s="2099" t="s">
        <v>725</v>
      </c>
      <c r="B164" s="2100"/>
      <c r="C164" s="368" t="s">
        <v>164</v>
      </c>
      <c r="D164" s="64"/>
      <c r="E164" s="172"/>
      <c r="F164" s="172"/>
      <c r="G164" s="172"/>
      <c r="H164" s="360"/>
      <c r="I164" s="64"/>
      <c r="N164" s="1234">
        <v>0.55000000000000004</v>
      </c>
      <c r="O164" s="1234">
        <v>0.95</v>
      </c>
      <c r="P164" s="1234">
        <v>0.6</v>
      </c>
      <c r="Q164" s="1234">
        <f>O152</f>
        <v>0</v>
      </c>
      <c r="R164" s="1168">
        <f>A154</f>
        <v>0</v>
      </c>
      <c r="S164" s="745">
        <f>O151</f>
        <v>13</v>
      </c>
      <c r="T164" s="1261">
        <f>S164</f>
        <v>13</v>
      </c>
      <c r="U164" s="1261">
        <f>S164*5</f>
        <v>65</v>
      </c>
      <c r="V164" s="1260"/>
      <c r="W164" s="1260"/>
      <c r="X164" s="2155"/>
      <c r="Y164" s="2155"/>
      <c r="Z164" s="2155"/>
      <c r="AA164" s="2155"/>
      <c r="AD164" s="1001">
        <f t="shared" si="1"/>
        <v>0</v>
      </c>
      <c r="AE164" s="1001">
        <f t="shared" si="0"/>
        <v>0</v>
      </c>
      <c r="AF164" s="1001">
        <f t="shared" si="0"/>
        <v>0</v>
      </c>
      <c r="AH164" s="937"/>
      <c r="AI164" s="937"/>
      <c r="AJ164" s="937"/>
    </row>
    <row r="165" spans="1:36">
      <c r="A165" s="369" t="s">
        <v>466</v>
      </c>
      <c r="B165" s="597"/>
      <c r="C165" s="382">
        <f>$B$165*'Liste de prix Public EUROPE'!$D$1029</f>
        <v>0</v>
      </c>
      <c r="D165" s="64"/>
      <c r="E165" s="172"/>
      <c r="F165" s="172"/>
      <c r="G165" s="172"/>
      <c r="H165" s="360"/>
      <c r="I165" s="64"/>
      <c r="T165" s="1260"/>
      <c r="U165" s="1260"/>
      <c r="V165" s="1260"/>
      <c r="W165" s="1260"/>
      <c r="X165" s="2155"/>
      <c r="Y165" s="2155"/>
      <c r="Z165" s="2155"/>
      <c r="AA165" s="2155"/>
      <c r="AD165" s="1001">
        <f t="shared" si="1"/>
        <v>0</v>
      </c>
      <c r="AE165" s="1001">
        <f t="shared" si="0"/>
        <v>0</v>
      </c>
      <c r="AF165" s="1001">
        <f t="shared" si="0"/>
        <v>0</v>
      </c>
      <c r="AH165" s="937"/>
      <c r="AI165" s="937"/>
      <c r="AJ165" s="937"/>
    </row>
    <row r="166" spans="1:36">
      <c r="A166" s="369" t="s">
        <v>463</v>
      </c>
      <c r="B166" s="2097" t="s">
        <v>458</v>
      </c>
      <c r="C166" s="2098"/>
      <c r="D166" s="64"/>
      <c r="E166" s="172"/>
      <c r="F166" s="172"/>
      <c r="G166" s="172"/>
      <c r="H166" s="360"/>
      <c r="I166" s="64"/>
      <c r="N166" s="1168" t="s">
        <v>1635</v>
      </c>
      <c r="O166" s="1168" t="s">
        <v>1669</v>
      </c>
      <c r="P166" s="1168" t="s">
        <v>1670</v>
      </c>
      <c r="Q166" s="1168" t="s">
        <v>1671</v>
      </c>
      <c r="R166" s="1168" t="s">
        <v>1639</v>
      </c>
      <c r="T166" s="2155"/>
      <c r="U166" s="2155"/>
      <c r="V166" s="2155"/>
      <c r="W166" s="2155"/>
      <c r="X166" s="2155"/>
      <c r="Y166" s="2155"/>
      <c r="Z166" s="2155"/>
      <c r="AA166" s="2155"/>
      <c r="AD166" s="1001">
        <f t="shared" si="1"/>
        <v>0</v>
      </c>
      <c r="AE166" s="1001">
        <f t="shared" si="0"/>
        <v>0</v>
      </c>
      <c r="AF166" s="1001">
        <f t="shared" si="0"/>
        <v>0</v>
      </c>
      <c r="AH166" s="937"/>
      <c r="AI166" s="937"/>
      <c r="AJ166" s="937"/>
    </row>
    <row r="167" spans="1:36">
      <c r="A167" s="376"/>
      <c r="B167" s="64"/>
      <c r="C167" s="64"/>
      <c r="D167" s="64"/>
      <c r="E167" s="172"/>
      <c r="F167" s="172"/>
      <c r="G167" s="172"/>
      <c r="H167" s="360"/>
      <c r="I167" s="64"/>
      <c r="N167" s="1168">
        <f>R164*(1-N164)</f>
        <v>0</v>
      </c>
      <c r="O167" s="1168">
        <f>R164*(1-O164)</f>
        <v>0</v>
      </c>
      <c r="P167" s="1168">
        <f>R164*(1-P164)*Q164</f>
        <v>0</v>
      </c>
      <c r="Q167" s="1168">
        <f>(R164*S164)+(U164*R164*Q164)</f>
        <v>0</v>
      </c>
      <c r="R167" s="1168">
        <f>N167+((T164-1)*O167)+(U164*P167)</f>
        <v>0</v>
      </c>
      <c r="T167" s="2155"/>
      <c r="U167" s="2155"/>
      <c r="V167" s="2155"/>
      <c r="W167" s="2155"/>
      <c r="X167" s="2155"/>
      <c r="Y167" s="2155"/>
      <c r="Z167" s="2155"/>
      <c r="AA167" s="2155"/>
      <c r="AD167" s="1001">
        <f t="shared" si="1"/>
        <v>0</v>
      </c>
      <c r="AE167" s="1001">
        <f t="shared" si="0"/>
        <v>0</v>
      </c>
      <c r="AF167" s="1001">
        <f t="shared" si="0"/>
        <v>0</v>
      </c>
      <c r="AH167" s="937"/>
      <c r="AI167" s="937"/>
      <c r="AJ167" s="937"/>
    </row>
    <row r="168" spans="1:36">
      <c r="A168" s="2099" t="s">
        <v>726</v>
      </c>
      <c r="B168" s="2100"/>
      <c r="C168" s="368" t="s">
        <v>164</v>
      </c>
      <c r="D168" s="64"/>
      <c r="E168" s="172"/>
      <c r="F168" s="172"/>
      <c r="G168" s="172"/>
      <c r="H168" s="360"/>
      <c r="I168" s="64"/>
      <c r="R168" s="1238">
        <f>R167</f>
        <v>0</v>
      </c>
      <c r="T168" s="2155"/>
      <c r="U168" s="2155"/>
      <c r="V168" s="2155"/>
      <c r="W168" s="2155"/>
      <c r="X168" s="2155"/>
      <c r="Y168" s="2155"/>
      <c r="Z168" s="2155"/>
      <c r="AA168" s="2155"/>
      <c r="AD168" s="1001">
        <f t="shared" si="1"/>
        <v>0</v>
      </c>
      <c r="AE168" s="1001">
        <f t="shared" si="0"/>
        <v>0</v>
      </c>
      <c r="AF168" s="1001">
        <f t="shared" si="0"/>
        <v>0</v>
      </c>
      <c r="AH168" s="937"/>
      <c r="AI168" s="937"/>
      <c r="AJ168" s="937"/>
    </row>
    <row r="169" spans="1:36" ht="15" thickBot="1">
      <c r="A169" s="369" t="s">
        <v>675</v>
      </c>
      <c r="B169" s="754"/>
      <c r="C169" s="382">
        <f>$B$169*'Liste de prix Public EUROPE'!$D$1175</f>
        <v>0</v>
      </c>
      <c r="D169" s="64"/>
      <c r="E169" s="172"/>
      <c r="F169" s="172"/>
      <c r="G169" s="172"/>
      <c r="H169" s="360"/>
      <c r="I169" s="64"/>
    </row>
    <row r="170" spans="1:36" ht="15" thickBot="1">
      <c r="A170" s="369" t="s">
        <v>676</v>
      </c>
      <c r="B170" s="597"/>
      <c r="C170" s="382">
        <f>$B$170*'Liste de prix Public EUROPE'!$D$1176</f>
        <v>0</v>
      </c>
      <c r="D170" s="64"/>
      <c r="E170" s="172"/>
      <c r="F170" s="172"/>
      <c r="G170" s="172"/>
      <c r="H170" s="360"/>
      <c r="I170" s="64"/>
      <c r="Z170" s="1001"/>
      <c r="AA170" s="1002"/>
      <c r="AD170" s="981" t="s">
        <v>941</v>
      </c>
      <c r="AE170" s="981" t="s">
        <v>942</v>
      </c>
      <c r="AF170" s="981" t="s">
        <v>943</v>
      </c>
      <c r="AH170" s="981" t="s">
        <v>941</v>
      </c>
    </row>
    <row r="171" spans="1:36" ht="15" thickBot="1">
      <c r="A171" s="369" t="s">
        <v>677</v>
      </c>
      <c r="B171" s="2097" t="s">
        <v>674</v>
      </c>
      <c r="C171" s="2098"/>
      <c r="D171" s="64"/>
      <c r="E171" s="172"/>
      <c r="F171" s="172"/>
      <c r="G171" s="172"/>
      <c r="H171" s="360"/>
      <c r="I171" s="64"/>
      <c r="Z171" s="2154"/>
      <c r="AA171" s="1003"/>
      <c r="AD171" s="991">
        <f t="shared" ref="AD171:AD179" si="2">Y160/(Y160+Z160)</f>
        <v>0.35689045936395758</v>
      </c>
      <c r="AE171" s="1004">
        <f>100%-AD171</f>
        <v>0.64310954063604242</v>
      </c>
      <c r="AF171" s="1004">
        <f>100%-AH171</f>
        <v>0.77530589543937711</v>
      </c>
      <c r="AH171" s="992">
        <f t="shared" ref="AH171:AH179" si="3">Y160/(Y160+AA160)</f>
        <v>0.22469410456062291</v>
      </c>
    </row>
    <row r="172" spans="1:36" ht="15" thickBot="1">
      <c r="A172" s="376"/>
      <c r="B172" s="377" t="s">
        <v>277</v>
      </c>
      <c r="C172" s="378">
        <f>SUM($C$169:$C$170)</f>
        <v>0</v>
      </c>
      <c r="D172" s="64"/>
      <c r="E172" s="172"/>
      <c r="F172" s="172"/>
      <c r="G172" s="172"/>
      <c r="H172" s="360"/>
      <c r="I172" s="64"/>
      <c r="Z172" s="2154"/>
      <c r="AA172" s="1003"/>
      <c r="AD172" s="991">
        <f t="shared" si="2"/>
        <v>0.34831460674157305</v>
      </c>
      <c r="AE172" s="1004">
        <f t="shared" ref="AE172:AE179" si="4">100%-AD172</f>
        <v>0.651685393258427</v>
      </c>
      <c r="AF172" s="1004">
        <f t="shared" ref="AF172:AF179" si="5">100%-AH172</f>
        <v>0.7854671280276817</v>
      </c>
      <c r="AH172" s="992">
        <f t="shared" si="3"/>
        <v>0.21453287197231835</v>
      </c>
    </row>
    <row r="173" spans="1:36" ht="15" thickBot="1">
      <c r="A173" s="376"/>
      <c r="B173" s="64"/>
      <c r="C173" s="64"/>
      <c r="D173" s="64"/>
      <c r="E173" s="172"/>
      <c r="F173" s="172"/>
      <c r="G173" s="172"/>
      <c r="H173" s="360"/>
      <c r="I173" s="64"/>
      <c r="Z173" s="2154"/>
      <c r="AA173" s="1003"/>
      <c r="AD173" s="991">
        <f t="shared" si="2"/>
        <v>0.34265734265734266</v>
      </c>
      <c r="AE173" s="1004">
        <f t="shared" si="4"/>
        <v>0.65734265734265729</v>
      </c>
      <c r="AF173" s="1004">
        <f t="shared" si="5"/>
        <v>0.79193205944798295</v>
      </c>
      <c r="AH173" s="992">
        <f t="shared" si="3"/>
        <v>0.20806794055201702</v>
      </c>
    </row>
    <row r="174" spans="1:36" ht="15" thickBot="1">
      <c r="A174" s="2099" t="s">
        <v>358</v>
      </c>
      <c r="B174" s="2100"/>
      <c r="C174" s="368" t="s">
        <v>164</v>
      </c>
      <c r="D174" s="64"/>
      <c r="E174" s="172"/>
      <c r="F174" s="172"/>
      <c r="G174" s="172"/>
      <c r="H174" s="360"/>
      <c r="I174" s="64"/>
      <c r="Z174" s="2154"/>
      <c r="AA174" s="1003"/>
      <c r="AD174" s="991" t="e">
        <f t="shared" si="2"/>
        <v>#DIV/0!</v>
      </c>
      <c r="AE174" s="1004" t="e">
        <f t="shared" si="4"/>
        <v>#DIV/0!</v>
      </c>
      <c r="AF174" s="1004" t="e">
        <f t="shared" si="5"/>
        <v>#DIV/0!</v>
      </c>
      <c r="AH174" s="992" t="e">
        <f t="shared" si="3"/>
        <v>#DIV/0!</v>
      </c>
    </row>
    <row r="175" spans="1:36" ht="15" thickBot="1">
      <c r="A175" s="518" t="s">
        <v>360</v>
      </c>
      <c r="B175" s="754"/>
      <c r="C175" s="382">
        <f>$B$175*'Liste de prix Public EUROPE'!$C$1034</f>
        <v>0</v>
      </c>
      <c r="D175" s="64"/>
      <c r="E175" s="172"/>
      <c r="F175" s="172"/>
      <c r="G175" s="172"/>
      <c r="H175" s="360"/>
      <c r="I175" s="64"/>
      <c r="Z175" s="2154"/>
      <c r="AA175" s="1003"/>
      <c r="AD175" s="991" t="e">
        <f t="shared" si="2"/>
        <v>#DIV/0!</v>
      </c>
      <c r="AE175" s="1004" t="e">
        <f t="shared" si="4"/>
        <v>#DIV/0!</v>
      </c>
      <c r="AF175" s="1004" t="e">
        <f t="shared" si="5"/>
        <v>#DIV/0!</v>
      </c>
      <c r="AH175" s="992" t="e">
        <f t="shared" si="3"/>
        <v>#DIV/0!</v>
      </c>
    </row>
    <row r="176" spans="1:36" ht="15" thickBot="1">
      <c r="A176" s="518" t="s">
        <v>1209</v>
      </c>
      <c r="B176" s="419"/>
      <c r="C176" s="382">
        <f>$B$176*'Liste de prix Public EUROPE'!$C$1035</f>
        <v>0</v>
      </c>
      <c r="D176" s="64"/>
      <c r="E176" s="172"/>
      <c r="F176" s="172"/>
      <c r="G176" s="172"/>
      <c r="H176" s="360"/>
      <c r="I176" s="64"/>
      <c r="U176" s="1005"/>
      <c r="Z176" s="2154"/>
      <c r="AA176" s="1003"/>
      <c r="AD176" s="991" t="e">
        <f t="shared" si="2"/>
        <v>#DIV/0!</v>
      </c>
      <c r="AE176" s="1004" t="e">
        <f t="shared" si="4"/>
        <v>#DIV/0!</v>
      </c>
      <c r="AF176" s="1004" t="e">
        <f t="shared" si="5"/>
        <v>#DIV/0!</v>
      </c>
      <c r="AH176" s="992" t="e">
        <f t="shared" si="3"/>
        <v>#DIV/0!</v>
      </c>
    </row>
    <row r="177" spans="1:34" ht="15.75" customHeight="1" thickBot="1">
      <c r="A177" s="518" t="s">
        <v>1210</v>
      </c>
      <c r="B177" s="419"/>
      <c r="C177" s="382">
        <f>$B$177*'Liste de prix Public EUROPE'!$C$1036</f>
        <v>0</v>
      </c>
      <c r="D177" s="64"/>
      <c r="E177" s="172"/>
      <c r="F177" s="172"/>
      <c r="G177" s="172"/>
      <c r="H177" s="360"/>
      <c r="I177" s="64"/>
      <c r="Z177" s="2154"/>
      <c r="AA177" s="1003"/>
      <c r="AD177" s="991" t="e">
        <f t="shared" si="2"/>
        <v>#DIV/0!</v>
      </c>
      <c r="AE177" s="1004" t="e">
        <f t="shared" si="4"/>
        <v>#DIV/0!</v>
      </c>
      <c r="AF177" s="1004" t="e">
        <f t="shared" si="5"/>
        <v>#DIV/0!</v>
      </c>
      <c r="AH177" s="992" t="e">
        <f t="shared" si="3"/>
        <v>#DIV/0!</v>
      </c>
    </row>
    <row r="178" spans="1:34" ht="15" thickBot="1">
      <c r="A178" s="376"/>
      <c r="B178" s="64"/>
      <c r="C178" s="64"/>
      <c r="D178" s="64"/>
      <c r="E178" s="172"/>
      <c r="F178" s="172"/>
      <c r="G178" s="172"/>
      <c r="H178" s="360"/>
      <c r="I178" s="64"/>
      <c r="Z178" s="2154"/>
      <c r="AA178" s="1003"/>
      <c r="AD178" s="991" t="e">
        <f t="shared" si="2"/>
        <v>#DIV/0!</v>
      </c>
      <c r="AE178" s="1004" t="e">
        <f t="shared" si="4"/>
        <v>#DIV/0!</v>
      </c>
      <c r="AF178" s="1004" t="e">
        <f t="shared" si="5"/>
        <v>#DIV/0!</v>
      </c>
      <c r="AH178" s="992" t="e">
        <f t="shared" si="3"/>
        <v>#DIV/0!</v>
      </c>
    </row>
    <row r="179" spans="1:34">
      <c r="A179" s="2099" t="s">
        <v>1063</v>
      </c>
      <c r="B179" s="2100"/>
      <c r="C179" s="368" t="s">
        <v>164</v>
      </c>
      <c r="D179" s="29"/>
      <c r="E179" s="29"/>
      <c r="F179" s="29"/>
      <c r="G179" s="29"/>
      <c r="H179" s="360"/>
      <c r="I179" s="64"/>
      <c r="N179" s="993"/>
      <c r="Z179" s="2154"/>
      <c r="AA179" s="1003"/>
      <c r="AD179" s="991" t="e">
        <f t="shared" si="2"/>
        <v>#DIV/0!</v>
      </c>
      <c r="AE179" s="1004" t="e">
        <f t="shared" si="4"/>
        <v>#DIV/0!</v>
      </c>
      <c r="AF179" s="1004" t="e">
        <f t="shared" si="5"/>
        <v>#DIV/0!</v>
      </c>
      <c r="AH179" s="992" t="e">
        <f t="shared" si="3"/>
        <v>#DIV/0!</v>
      </c>
    </row>
    <row r="180" spans="1:34">
      <c r="A180" s="369" t="s">
        <v>1958</v>
      </c>
      <c r="B180" s="754"/>
      <c r="C180" s="1055">
        <f>IF($B$181&lt;='Liste de prix Public EUROPE'!$D$1104,$B$181*'Liste de prix Public EUROPE'!$E$1104,IF(AND($B$181&gt;'Liste de prix Public EUROPE'!$C$1105,$B$181&lt;='Liste de prix Public EUROPE'!$D$1095),($B$181-'Liste de prix Public EUROPE'!$D$1104)*'Liste de prix Public EUROPE'!$E$1105,IF(AND($B$181&gt;'Liste de prix Public EUROPE'!$C$1096,$B$181&lt;='Liste de prix Public EUROPE'!$D$1106), ('Liste de prix Public EUROPE'!$D$1105-'Liste de prix Public EUROPE'!$D$1104)*'Liste de prix Public EUROPE'!$E$1105+($B$181-'Liste de prix Public EUROPE'!$D$1105)*'Liste de prix Public EUROPE'!$E$1106,IF($B$181&gt;='Liste de prix Public EUROPE'!$C$1097,('Liste de prix Public EUROPE'!$D$1105-'Liste de prix Public EUROPE'!$D$1104)*'Liste de prix Public EUROPE'!$E$1105+('Liste de prix Public EUROPE'!$D$1106-'Liste de prix Public EUROPE'!$D$1095)*'Liste de prix Public EUROPE'!$E$1106+($B$181-'Liste de prix Public EUROPE'!$D$1096)*'Liste de prix Public EUROPE'!$E$1097))))</f>
        <v>0</v>
      </c>
      <c r="D180" s="2103"/>
      <c r="E180" s="2103"/>
      <c r="F180" s="361"/>
      <c r="G180" s="361"/>
      <c r="H180" s="360"/>
      <c r="I180" s="64"/>
    </row>
    <row r="181" spans="1:34">
      <c r="A181" s="518" t="s">
        <v>1542</v>
      </c>
      <c r="B181" s="870"/>
      <c r="C181" s="1055">
        <f>IF($B$181&lt;='Liste de prix Public EUROPE'!$D$1104,$B$181*'Liste de prix Public EUROPE'!$E$1104,IF(AND($B$181&gt;'Liste de prix Public EUROPE'!$C$1105,$B$181&lt;='Liste de prix Public EUROPE'!$D$1095),($B$181-'Liste de prix Public EUROPE'!$D$1104)*'Liste de prix Public EUROPE'!$E$1105,IF(AND($B$181&gt;'Liste de prix Public EUROPE'!$C$1096,$B$181&lt;='Liste de prix Public EUROPE'!$D$1106), ('Liste de prix Public EUROPE'!$D$1105-'Liste de prix Public EUROPE'!$D$1104)*'Liste de prix Public EUROPE'!$E$1105+($B$181-'Liste de prix Public EUROPE'!$D$1105)*'Liste de prix Public EUROPE'!$E$1106,IF($B$181&gt;='Liste de prix Public EUROPE'!$C$1097,('Liste de prix Public EUROPE'!$D$1105-'Liste de prix Public EUROPE'!$D$1104)*'Liste de prix Public EUROPE'!$E$1105+('Liste de prix Public EUROPE'!$D$1106-'Liste de prix Public EUROPE'!$D$1095)*'Liste de prix Public EUROPE'!$E$1106+($B$181-'Liste de prix Public EUROPE'!$D$1096)*'Liste de prix Public EUROPE'!$E$1097))))</f>
        <v>0</v>
      </c>
      <c r="D181" s="1151"/>
      <c r="E181" s="1151"/>
      <c r="F181" s="361"/>
      <c r="G181" s="361"/>
      <c r="H181" s="360"/>
      <c r="I181" s="64"/>
    </row>
    <row r="182" spans="1:34">
      <c r="A182" s="590" t="s">
        <v>548</v>
      </c>
      <c r="B182" s="754"/>
      <c r="C182" s="1657">
        <f>IFERROR(IF($B$182&lt;='Liste de prix Public EUROPE'!$D$1114,'Liste de prix Public EUROPE'!$E$1114,IF($B$182&gt;5,($B$182-'Liste de prix Public EUROPE'!$D$1114)*'Liste de prix Public EUROPE'!$E$1115,"")),"")</f>
        <v>0</v>
      </c>
      <c r="D182" s="29"/>
      <c r="E182" s="172"/>
      <c r="F182" s="172"/>
      <c r="G182" s="172"/>
      <c r="H182" s="360"/>
      <c r="I182" s="64"/>
    </row>
    <row r="183" spans="1:34">
      <c r="A183" s="590" t="s">
        <v>550</v>
      </c>
      <c r="B183" s="754"/>
      <c r="C183" s="1657">
        <f>IFERROR(IF($B$183&lt;='Liste de prix Public EUROPE'!$D$1124,'Liste de prix Public EUROPE'!$E$1124,IF($B$183&gt;5,($B$183-'Liste de prix Public EUROPE'!$D$1124)*'Liste de prix Public EUROPE'!$E$1125,"")),"")</f>
        <v>0</v>
      </c>
      <c r="D183" s="64"/>
      <c r="E183" s="172"/>
      <c r="F183" s="172"/>
      <c r="G183" s="172"/>
      <c r="H183" s="360"/>
      <c r="I183" s="64"/>
    </row>
    <row r="184" spans="1:34">
      <c r="A184" s="376"/>
      <c r="B184" s="67"/>
      <c r="C184" s="65"/>
      <c r="D184" s="64"/>
      <c r="E184" s="172"/>
      <c r="F184" s="172"/>
      <c r="G184" s="172"/>
      <c r="H184" s="360"/>
      <c r="I184" s="64"/>
    </row>
    <row r="185" spans="1:34">
      <c r="A185" s="2138" t="s">
        <v>240</v>
      </c>
      <c r="B185" s="2151"/>
      <c r="C185" s="368" t="s">
        <v>164</v>
      </c>
      <c r="D185" s="29"/>
      <c r="E185" s="29"/>
      <c r="F185" s="29"/>
      <c r="G185" s="29"/>
      <c r="H185" s="360"/>
      <c r="I185" s="64"/>
      <c r="N185" s="993"/>
    </row>
    <row r="186" spans="1:34">
      <c r="A186" s="369" t="s">
        <v>1343</v>
      </c>
      <c r="B186" s="425"/>
      <c r="C186" s="382">
        <f>IFERROR(IF(B186&lt;'Liste de prix Public EUROPE'!$D$1148,B186*'Liste de prix Public EUROPE'!$E$1148,'Liste de prix Public EUROPE'!$D$1148*'Liste de prix Public EUROPE'!$E$1148+(B186-'Liste de prix Public EUROPE'!$D$1148)*'Liste de prix Public EUROPE'!$E$1149),"")</f>
        <v>0</v>
      </c>
      <c r="D186" s="2103"/>
      <c r="E186" s="2103"/>
      <c r="F186" s="361"/>
      <c r="G186" s="361"/>
      <c r="H186" s="360"/>
      <c r="I186" s="64"/>
    </row>
    <row r="187" spans="1:34">
      <c r="A187" s="369" t="s">
        <v>1298</v>
      </c>
      <c r="B187" s="425"/>
      <c r="C187" s="382">
        <f>IFERROR(IF(B187&lt;'Liste de prix Public EUROPE'!$D$1150,B187*'Liste de prix Public EUROPE'!$E$1150,'Liste de prix Public EUROPE'!$D$1150*'Liste de prix Public EUROPE'!$E$1150+(B187-'Liste de prix Public EUROPE'!$D$1150)*'Liste de prix Public EUROPE'!$E$1151),"")</f>
        <v>0</v>
      </c>
      <c r="D187" s="29"/>
      <c r="E187" s="172"/>
      <c r="F187" s="172"/>
      <c r="G187" s="172"/>
      <c r="H187" s="360"/>
      <c r="I187" s="64"/>
    </row>
    <row r="188" spans="1:34">
      <c r="A188" s="590" t="s">
        <v>1346</v>
      </c>
      <c r="B188" s="425"/>
      <c r="C188" s="382">
        <f>$B$188*'Liste de prix Public EUROPE'!$E$1153</f>
        <v>0</v>
      </c>
      <c r="D188" s="64"/>
      <c r="E188" s="172"/>
      <c r="F188" s="172"/>
      <c r="G188" s="172"/>
      <c r="H188" s="360"/>
      <c r="I188" s="64"/>
    </row>
    <row r="189" spans="1:34">
      <c r="A189" s="590" t="s">
        <v>1299</v>
      </c>
      <c r="B189" s="425"/>
      <c r="C189" s="382">
        <f>$B$189*'Liste de prix Public EUROPE'!$E$1154</f>
        <v>0</v>
      </c>
      <c r="D189" s="64"/>
      <c r="E189" s="172"/>
      <c r="F189" s="172"/>
      <c r="G189" s="172"/>
      <c r="H189" s="360"/>
      <c r="I189" s="64"/>
    </row>
    <row r="190" spans="1:34">
      <c r="A190" s="590" t="s">
        <v>440</v>
      </c>
      <c r="B190" s="425"/>
      <c r="C190" s="382">
        <f>$B$190*'Liste de prix Public EUROPE'!$E$1155</f>
        <v>0</v>
      </c>
      <c r="D190" s="64"/>
      <c r="E190" s="172"/>
      <c r="F190" s="172"/>
      <c r="G190" s="172"/>
      <c r="H190" s="360"/>
      <c r="I190" s="64"/>
    </row>
    <row r="191" spans="1:34">
      <c r="A191" s="590" t="s">
        <v>1347</v>
      </c>
      <c r="B191" s="425"/>
      <c r="C191" s="382">
        <f>$B$191*'Liste de prix Public EUROPE'!$E$1156</f>
        <v>0</v>
      </c>
      <c r="D191" s="64"/>
      <c r="E191" s="172"/>
      <c r="F191" s="172"/>
      <c r="G191" s="172"/>
      <c r="H191" s="360"/>
      <c r="I191" s="64"/>
    </row>
    <row r="192" spans="1:34">
      <c r="A192" s="590" t="s">
        <v>441</v>
      </c>
      <c r="B192" s="425"/>
      <c r="C192" s="382">
        <f>$B$192*'Liste de prix Public EUROPE'!$E$1157</f>
        <v>0</v>
      </c>
      <c r="D192" s="64"/>
      <c r="E192" s="172"/>
      <c r="F192" s="172"/>
      <c r="G192" s="172"/>
      <c r="H192" s="360"/>
      <c r="I192" s="64"/>
    </row>
    <row r="193" spans="1:9">
      <c r="A193" s="590" t="s">
        <v>2467</v>
      </c>
      <c r="B193" s="676"/>
      <c r="C193" s="1055" t="s">
        <v>2466</v>
      </c>
      <c r="D193" s="64"/>
      <c r="E193" s="172"/>
      <c r="F193" s="172"/>
      <c r="G193" s="172"/>
      <c r="H193" s="360"/>
      <c r="I193" s="64"/>
    </row>
    <row r="194" spans="1:9">
      <c r="A194" s="376"/>
      <c r="B194" s="377" t="s">
        <v>277</v>
      </c>
      <c r="C194" s="378">
        <f>SUM($C$186:$C$192)</f>
        <v>0</v>
      </c>
      <c r="D194" s="64"/>
      <c r="E194" s="172"/>
      <c r="F194" s="172"/>
      <c r="G194" s="172"/>
      <c r="H194" s="360"/>
      <c r="I194" s="64"/>
    </row>
    <row r="195" spans="1:9">
      <c r="A195" s="376"/>
      <c r="B195" s="67"/>
      <c r="C195" s="65"/>
      <c r="D195" s="64"/>
      <c r="E195" s="172"/>
      <c r="F195" s="172"/>
      <c r="G195" s="172"/>
      <c r="H195" s="360"/>
      <c r="I195" s="64"/>
    </row>
    <row r="196" spans="1:9">
      <c r="A196" s="2101" t="s">
        <v>477</v>
      </c>
      <c r="B196" s="2102"/>
      <c r="C196" s="368" t="s">
        <v>164</v>
      </c>
      <c r="D196" s="64"/>
      <c r="E196" s="172"/>
      <c r="F196" s="172"/>
      <c r="G196" s="172"/>
      <c r="H196" s="360"/>
      <c r="I196" s="64"/>
    </row>
    <row r="197" spans="1:9">
      <c r="A197" s="590" t="s">
        <v>476</v>
      </c>
      <c r="B197" s="754"/>
      <c r="C197" s="382">
        <f>$B$197*'Liste de prix Public EUROPE'!$D$1161</f>
        <v>0</v>
      </c>
      <c r="D197" s="64"/>
      <c r="E197" s="172"/>
      <c r="F197" s="172"/>
      <c r="G197" s="172"/>
      <c r="H197" s="360"/>
      <c r="I197" s="64"/>
    </row>
    <row r="198" spans="1:9">
      <c r="A198" s="590" t="s">
        <v>439</v>
      </c>
      <c r="B198" s="754"/>
      <c r="C198" s="382">
        <f>$B$198*'Liste de prix Public EUROPE'!$D$1163</f>
        <v>0</v>
      </c>
      <c r="D198" s="64"/>
      <c r="E198" s="172"/>
      <c r="F198" s="172"/>
      <c r="G198" s="172"/>
      <c r="H198" s="360"/>
      <c r="I198" s="64"/>
    </row>
    <row r="199" spans="1:9">
      <c r="A199" s="590" t="s">
        <v>532</v>
      </c>
      <c r="B199" s="425"/>
      <c r="C199" s="382">
        <f>$B$199*'Liste de prix Public EUROPE'!$D$1164</f>
        <v>0</v>
      </c>
      <c r="D199" s="64"/>
      <c r="E199" s="172"/>
      <c r="F199" s="172"/>
      <c r="G199" s="172"/>
      <c r="H199" s="360"/>
      <c r="I199" s="64"/>
    </row>
    <row r="200" spans="1:9">
      <c r="A200" s="590" t="s">
        <v>473</v>
      </c>
      <c r="B200" s="754"/>
      <c r="C200" s="382">
        <f>$B$200*'Liste de prix Public EUROPE'!$D$1166</f>
        <v>0</v>
      </c>
      <c r="D200" s="64"/>
      <c r="E200" s="172"/>
      <c r="F200" s="172"/>
      <c r="G200" s="172"/>
      <c r="H200" s="360"/>
      <c r="I200" s="64"/>
    </row>
    <row r="201" spans="1:9">
      <c r="A201" s="590" t="s">
        <v>533</v>
      </c>
      <c r="B201" s="425"/>
      <c r="C201" s="382">
        <f>$B$201*'Liste de prix Public EUROPE'!$D$1167</f>
        <v>0</v>
      </c>
      <c r="D201" s="64"/>
      <c r="E201" s="172"/>
      <c r="F201" s="172"/>
      <c r="G201" s="172"/>
      <c r="H201" s="360"/>
      <c r="I201" s="64"/>
    </row>
    <row r="202" spans="1:9">
      <c r="A202" s="590" t="s">
        <v>474</v>
      </c>
      <c r="B202" s="754"/>
      <c r="C202" s="382">
        <f>$B$202*'Liste de prix Public EUROPE'!$D$1169</f>
        <v>0</v>
      </c>
      <c r="D202" s="64"/>
      <c r="E202" s="172"/>
      <c r="F202" s="172"/>
      <c r="G202" s="172"/>
      <c r="H202" s="360"/>
      <c r="I202" s="64"/>
    </row>
    <row r="203" spans="1:9">
      <c r="A203" s="590" t="s">
        <v>534</v>
      </c>
      <c r="B203" s="425"/>
      <c r="C203" s="382">
        <f>$B$203*'Liste de prix Public EUROPE'!$D$1170</f>
        <v>0</v>
      </c>
      <c r="D203" s="64"/>
      <c r="E203" s="172"/>
      <c r="F203" s="172"/>
      <c r="G203" s="172"/>
      <c r="H203" s="360"/>
      <c r="I203" s="64"/>
    </row>
    <row r="204" spans="1:9">
      <c r="A204" s="376"/>
      <c r="B204" s="377" t="s">
        <v>277</v>
      </c>
      <c r="C204" s="378">
        <f>SUM($C$197:$C$203)</f>
        <v>0</v>
      </c>
      <c r="D204" s="64"/>
      <c r="E204" s="172"/>
      <c r="F204" s="172"/>
      <c r="G204" s="172"/>
      <c r="H204" s="360"/>
      <c r="I204" s="64"/>
    </row>
    <row r="205" spans="1:9">
      <c r="A205" s="376"/>
      <c r="B205" s="64"/>
      <c r="C205" s="917"/>
      <c r="D205" s="64"/>
      <c r="E205" s="172"/>
      <c r="F205" s="172"/>
      <c r="G205" s="172"/>
      <c r="H205" s="360"/>
      <c r="I205" s="64"/>
    </row>
    <row r="206" spans="1:9">
      <c r="A206" s="1422" t="s">
        <v>2024</v>
      </c>
      <c r="B206" s="1423" t="s">
        <v>2025</v>
      </c>
      <c r="C206" s="368" t="s">
        <v>2026</v>
      </c>
      <c r="D206" s="64"/>
      <c r="E206" s="172"/>
      <c r="F206" s="172"/>
      <c r="G206" s="172"/>
      <c r="H206" s="360"/>
      <c r="I206" s="64"/>
    </row>
    <row r="207" spans="1:9">
      <c r="A207" s="590" t="s">
        <v>2023</v>
      </c>
      <c r="B207" s="754"/>
      <c r="C207" s="757">
        <f>B207*'Liste de prix Public EUROPE'!$C$2112</f>
        <v>0</v>
      </c>
      <c r="D207" s="64"/>
      <c r="E207" s="172"/>
      <c r="F207" s="172"/>
      <c r="G207" s="172"/>
      <c r="H207" s="360"/>
      <c r="I207" s="64"/>
    </row>
    <row r="208" spans="1:9">
      <c r="A208" s="376"/>
      <c r="B208" s="64"/>
      <c r="C208" s="917"/>
      <c r="D208" s="64"/>
      <c r="E208" s="172"/>
      <c r="F208" s="172"/>
      <c r="G208" s="172"/>
      <c r="H208" s="360"/>
      <c r="I208" s="64"/>
    </row>
    <row r="209" spans="1:9">
      <c r="A209" s="1134" t="s">
        <v>1485</v>
      </c>
      <c r="B209" s="1135" t="s">
        <v>2025</v>
      </c>
      <c r="C209" s="368" t="s">
        <v>164</v>
      </c>
      <c r="D209" s="64"/>
      <c r="E209" s="172"/>
      <c r="F209" s="172"/>
      <c r="G209" s="172"/>
      <c r="H209" s="360"/>
      <c r="I209" s="64"/>
    </row>
    <row r="210" spans="1:9">
      <c r="A210" s="590" t="s">
        <v>1480</v>
      </c>
      <c r="B210" s="754"/>
      <c r="C210" s="757">
        <f>'Liste de prix Public EUROPE'!$C$2116*$B$210</f>
        <v>0</v>
      </c>
      <c r="D210" s="64"/>
      <c r="E210" s="172"/>
      <c r="F210" s="172"/>
      <c r="G210" s="172"/>
      <c r="H210" s="360"/>
      <c r="I210" s="64"/>
    </row>
    <row r="211" spans="1:9">
      <c r="A211" s="590" t="s">
        <v>1481</v>
      </c>
      <c r="B211" s="754"/>
      <c r="C211" s="757">
        <f>'Liste de prix Public EUROPE'!$C$2117*$B$211</f>
        <v>0</v>
      </c>
      <c r="D211" s="64"/>
      <c r="E211" s="172"/>
      <c r="F211" s="172"/>
      <c r="G211" s="172"/>
      <c r="H211" s="360"/>
      <c r="I211" s="64"/>
    </row>
    <row r="212" spans="1:9">
      <c r="A212" s="590" t="s">
        <v>1482</v>
      </c>
      <c r="B212" s="754"/>
      <c r="C212" s="757">
        <f>'Liste de prix Public EUROPE'!$C$2118*$B$212</f>
        <v>0</v>
      </c>
      <c r="D212" s="64"/>
      <c r="E212" s="172"/>
      <c r="F212" s="172"/>
      <c r="G212" s="172"/>
      <c r="H212" s="360"/>
      <c r="I212" s="64"/>
    </row>
    <row r="213" spans="1:9">
      <c r="A213" s="1054" t="s">
        <v>1483</v>
      </c>
      <c r="B213" s="754"/>
      <c r="C213" s="757">
        <f>'Liste de prix Public EUROPE'!$C$2119*$B$213</f>
        <v>0</v>
      </c>
      <c r="D213" s="64"/>
      <c r="E213" s="172"/>
      <c r="F213" s="172"/>
      <c r="G213" s="172"/>
      <c r="H213" s="360"/>
      <c r="I213" s="64"/>
    </row>
    <row r="214" spans="1:9" ht="13.5" customHeight="1">
      <c r="A214" s="1132"/>
      <c r="B214" s="619" t="s">
        <v>277</v>
      </c>
      <c r="C214" s="1136">
        <f>$C$210+$C$211+$C$212+$C$213</f>
        <v>0</v>
      </c>
      <c r="D214" s="64"/>
      <c r="E214" s="172"/>
      <c r="F214" s="172"/>
      <c r="G214" s="172"/>
      <c r="H214" s="360"/>
      <c r="I214" s="64"/>
    </row>
    <row r="215" spans="1:9" ht="13.5" customHeight="1">
      <c r="A215" s="1132"/>
      <c r="B215" s="64"/>
      <c r="C215" s="917"/>
      <c r="D215" s="64"/>
      <c r="E215" s="172"/>
      <c r="F215" s="172"/>
      <c r="G215" s="172"/>
      <c r="H215" s="360"/>
      <c r="I215" s="64"/>
    </row>
    <row r="216" spans="1:9" ht="13.5" customHeight="1">
      <c r="A216" s="1532" t="s">
        <v>2074</v>
      </c>
      <c r="B216" s="1490"/>
      <c r="C216" s="1490"/>
      <c r="D216" s="64"/>
      <c r="E216" s="172"/>
      <c r="F216" s="172"/>
      <c r="G216" s="172"/>
      <c r="H216" s="360"/>
      <c r="I216" s="64"/>
    </row>
    <row r="217" spans="1:9" ht="13.5" customHeight="1">
      <c r="A217" s="1695" t="s">
        <v>2077</v>
      </c>
      <c r="B217" s="1695" t="s">
        <v>282</v>
      </c>
      <c r="C217" s="368" t="s">
        <v>164</v>
      </c>
      <c r="D217" s="64"/>
      <c r="E217" s="172"/>
      <c r="F217" s="172"/>
      <c r="G217" s="172"/>
      <c r="H217" s="360"/>
      <c r="I217" s="64"/>
    </row>
    <row r="218" spans="1:9" ht="13.5" customHeight="1">
      <c r="A218" s="1714" t="s">
        <v>83</v>
      </c>
      <c r="B218" s="1437"/>
      <c r="C218" s="757" t="s">
        <v>2466</v>
      </c>
      <c r="D218" s="64"/>
      <c r="E218" s="172"/>
      <c r="F218" s="172"/>
      <c r="G218" s="172"/>
      <c r="H218" s="360"/>
      <c r="I218" s="64"/>
    </row>
    <row r="219" spans="1:9" ht="13.5" customHeight="1">
      <c r="A219" s="1714"/>
      <c r="B219" s="1437"/>
      <c r="C219" s="757">
        <f>IFERROR(VLOOKUP(A219,'Liste de prix Public EUROPE'!$B$2173:$E$2176,4,FALSE)*B219,0)</f>
        <v>0</v>
      </c>
      <c r="D219" s="64"/>
      <c r="E219" s="172"/>
      <c r="F219" s="172"/>
      <c r="G219" s="172"/>
      <c r="H219" s="360"/>
      <c r="I219" s="64"/>
    </row>
    <row r="220" spans="1:9" ht="13.5" customHeight="1">
      <c r="A220" s="1714"/>
      <c r="B220" s="1437"/>
      <c r="C220" s="757">
        <f>IFERROR(VLOOKUP(A220,'Liste de prix Public EUROPE'!$B$2173:$E$2176,4,FALSE)*B220,0)</f>
        <v>0</v>
      </c>
      <c r="D220" s="64"/>
      <c r="E220" s="172"/>
      <c r="F220" s="172"/>
      <c r="G220" s="172"/>
      <c r="H220" s="360"/>
      <c r="I220" s="64"/>
    </row>
    <row r="221" spans="1:9" ht="13.5" customHeight="1">
      <c r="A221" s="1714"/>
      <c r="B221" s="1437"/>
      <c r="C221" s="757">
        <f>IFERROR(VLOOKUP(A221,'Liste de prix Public EUROPE'!$B$2173:$E$2176,4,FALSE)*B221,0)</f>
        <v>0</v>
      </c>
      <c r="D221" s="64"/>
      <c r="E221" s="172"/>
      <c r="F221" s="172"/>
      <c r="G221" s="172"/>
      <c r="H221" s="360"/>
      <c r="I221" s="64"/>
    </row>
    <row r="222" spans="1:9" ht="13.5" customHeight="1">
      <c r="A222" s="1132"/>
      <c r="B222" s="619" t="s">
        <v>170</v>
      </c>
      <c r="C222" s="757">
        <f>SUM(C218:C221)</f>
        <v>0</v>
      </c>
      <c r="D222" s="64"/>
      <c r="E222" s="172"/>
      <c r="F222" s="172"/>
      <c r="G222" s="172"/>
      <c r="H222" s="360"/>
      <c r="I222" s="64"/>
    </row>
    <row r="223" spans="1:9" ht="13.5" customHeight="1">
      <c r="A223" s="1132"/>
      <c r="B223" s="64"/>
      <c r="C223" s="917"/>
      <c r="D223" s="64"/>
      <c r="E223" s="172"/>
      <c r="F223" s="172"/>
      <c r="G223" s="172"/>
      <c r="H223" s="360"/>
      <c r="I223" s="64"/>
    </row>
    <row r="224" spans="1:9" ht="13.5" customHeight="1">
      <c r="A224" s="1532" t="s">
        <v>2434</v>
      </c>
      <c r="B224" s="1490"/>
      <c r="C224" s="1490"/>
      <c r="D224" s="64"/>
      <c r="E224" s="172"/>
      <c r="F224" s="172"/>
      <c r="G224" s="172"/>
      <c r="H224" s="360"/>
      <c r="I224" s="64"/>
    </row>
    <row r="225" spans="1:9" ht="13.5" customHeight="1">
      <c r="A225" s="1695" t="s">
        <v>146</v>
      </c>
      <c r="B225" s="1695" t="s">
        <v>2500</v>
      </c>
      <c r="C225" s="368" t="s">
        <v>164</v>
      </c>
      <c r="D225" s="64"/>
      <c r="E225" s="172"/>
      <c r="F225" s="172"/>
      <c r="G225" s="172"/>
      <c r="H225" s="360"/>
      <c r="I225" s="64"/>
    </row>
    <row r="226" spans="1:9" ht="13.5" customHeight="1">
      <c r="A226" s="1436" t="s">
        <v>2434</v>
      </c>
      <c r="B226" s="1437"/>
      <c r="C226" s="757">
        <f>IFERROR(VLOOKUP(A226,'Liste de prix Public EUROPE'!$B$2180:$E$2180,4,FALSE)*B226,0)</f>
        <v>0</v>
      </c>
      <c r="D226" s="64"/>
      <c r="E226" s="172"/>
      <c r="F226" s="172"/>
      <c r="G226" s="172"/>
      <c r="H226" s="360"/>
      <c r="I226" s="64"/>
    </row>
    <row r="227" spans="1:9" ht="13.5" customHeight="1">
      <c r="A227" s="64"/>
      <c r="B227" s="64"/>
      <c r="C227" s="64"/>
      <c r="D227" s="64"/>
      <c r="E227" s="172"/>
      <c r="F227" s="172"/>
      <c r="G227" s="172"/>
      <c r="H227" s="360"/>
      <c r="I227" s="64"/>
    </row>
    <row r="228" spans="1:9" ht="13.5" customHeight="1">
      <c r="A228" s="1532" t="s">
        <v>2560</v>
      </c>
      <c r="B228" s="1490"/>
      <c r="C228" s="1490"/>
      <c r="D228" s="64"/>
      <c r="E228" s="172"/>
      <c r="F228" s="172"/>
      <c r="G228" s="172"/>
      <c r="H228" s="360"/>
      <c r="I228" s="64"/>
    </row>
    <row r="229" spans="1:9" ht="13.5" customHeight="1">
      <c r="A229" s="1752" t="s">
        <v>146</v>
      </c>
      <c r="B229" s="1752" t="s">
        <v>2562</v>
      </c>
      <c r="C229" s="368" t="s">
        <v>2026</v>
      </c>
      <c r="D229" s="64"/>
      <c r="E229" s="172"/>
      <c r="F229" s="172"/>
      <c r="G229" s="172"/>
      <c r="H229" s="360"/>
      <c r="I229" s="64"/>
    </row>
    <row r="230" spans="1:9" ht="13.5" customHeight="1">
      <c r="A230" s="1437"/>
      <c r="B230" s="1755"/>
      <c r="C230" s="757">
        <f>IFERROR(VLOOKUP(A230,'Liste de prix Public EUROPE'!$C$2541:$D$2542,2,FALSE)*B230,0)</f>
        <v>0</v>
      </c>
      <c r="D230" s="64"/>
      <c r="E230" s="172"/>
      <c r="F230" s="172"/>
      <c r="G230" s="172"/>
      <c r="H230" s="360"/>
      <c r="I230" s="64"/>
    </row>
    <row r="231" spans="1:9" ht="13.5" customHeight="1">
      <c r="A231" s="917"/>
      <c r="B231" s="917"/>
      <c r="C231" s="917"/>
      <c r="D231" s="64"/>
      <c r="E231" s="172"/>
      <c r="F231" s="172"/>
      <c r="G231" s="172"/>
      <c r="H231" s="360"/>
      <c r="I231" s="64"/>
    </row>
    <row r="232" spans="1:9" ht="13.5" customHeight="1">
      <c r="A232" s="1532" t="s">
        <v>2585</v>
      </c>
      <c r="B232" s="1490"/>
      <c r="C232" s="1490"/>
      <c r="D232" s="64"/>
      <c r="E232" s="172"/>
      <c r="F232" s="172"/>
      <c r="G232" s="172"/>
      <c r="H232" s="360"/>
      <c r="I232" s="64"/>
    </row>
    <row r="233" spans="1:9" ht="13.5" customHeight="1">
      <c r="A233" s="1759" t="s">
        <v>146</v>
      </c>
      <c r="B233" s="1759" t="s">
        <v>2587</v>
      </c>
      <c r="C233" s="368" t="s">
        <v>164</v>
      </c>
      <c r="D233" s="64"/>
      <c r="E233" s="172"/>
      <c r="F233" s="172"/>
      <c r="G233" s="172"/>
      <c r="H233" s="360"/>
      <c r="I233" s="64"/>
    </row>
    <row r="234" spans="1:9" ht="13.5" customHeight="1">
      <c r="A234" s="1437"/>
      <c r="B234" s="1755"/>
      <c r="C234" s="757">
        <f>IFERROR(VLOOKUP(A234,'Liste de prix Public EUROPE'!$B$2184:$C$2196,2,FALSE)*B234,0)</f>
        <v>0</v>
      </c>
      <c r="D234" s="64"/>
      <c r="E234" s="172"/>
      <c r="F234" s="172"/>
      <c r="G234" s="172"/>
      <c r="H234" s="360"/>
      <c r="I234" s="64"/>
    </row>
    <row r="235" spans="1:9" ht="13.5" customHeight="1">
      <c r="A235" s="64"/>
      <c r="B235" s="64"/>
      <c r="C235" s="64"/>
      <c r="D235" s="64"/>
      <c r="E235" s="172"/>
      <c r="F235" s="172"/>
      <c r="G235" s="172"/>
      <c r="H235" s="360"/>
      <c r="I235" s="64"/>
    </row>
    <row r="236" spans="1:9" ht="13.5" customHeight="1">
      <c r="A236" s="343" t="s">
        <v>175</v>
      </c>
      <c r="B236" s="350" t="s">
        <v>326</v>
      </c>
      <c r="C236" s="349"/>
      <c r="D236" s="349"/>
      <c r="E236" s="349"/>
      <c r="F236" s="349"/>
      <c r="G236" s="349"/>
      <c r="H236" s="1833"/>
      <c r="I236" s="1833"/>
    </row>
    <row r="237" spans="1:9" ht="30" customHeight="1">
      <c r="A237" s="372"/>
      <c r="B237" s="69"/>
      <c r="C237" s="64"/>
      <c r="D237" s="64"/>
      <c r="E237" s="64"/>
      <c r="F237" s="64"/>
      <c r="G237" s="64"/>
      <c r="H237" s="360"/>
      <c r="I237" s="64"/>
    </row>
    <row r="238" spans="1:9" ht="13.5" customHeight="1">
      <c r="A238" s="2101" t="s">
        <v>279</v>
      </c>
      <c r="B238" s="2102"/>
      <c r="C238" s="368" t="s">
        <v>164</v>
      </c>
      <c r="D238" s="64"/>
      <c r="E238" s="64"/>
      <c r="F238" s="64"/>
      <c r="G238" s="64"/>
      <c r="H238" s="360"/>
      <c r="I238" s="64"/>
    </row>
    <row r="239" spans="1:9" ht="13.5" customHeight="1">
      <c r="A239" s="583" t="s">
        <v>353</v>
      </c>
      <c r="B239" s="754"/>
      <c r="C239" s="1131">
        <f>IF($B$239&lt;='Liste de prix Public EUROPE'!$D$1040,$B$239*'Liste de prix Public EUROPE'!$E$1040,IF(AND($B$239&gt;'Liste de prix Public EUROPE'!$C$1041,$B$239&lt;='Liste de prix Public EUROPE'!$D$1041),($B$239-'Liste de prix Public EUROPE'!$D$1040)*'Liste de prix Public EUROPE'!$E$1041,IF(AND($B$239&gt;'Liste de prix Public EUROPE'!$C$1042,$B$239&lt;='Liste de prix Public EUROPE'!$D$1042), ('Liste de prix Public EUROPE'!$D$1041-'Liste de prix Public EUROPE'!$D$1040)*'Liste de prix Public EUROPE'!$E$1041+($B$239-'Liste de prix Public EUROPE'!$D$1041)*'Liste de prix Public EUROPE'!$E$1042,IF(AND($B$239&gt;'Liste de prix Public EUROPE'!$C$1043,$B$239&lt;='Liste de prix Public EUROPE'!$D$1043), ('Liste de prix Public EUROPE'!$D$1041-'Liste de prix Public EUROPE'!$D$1040)*'Liste de prix Public EUROPE'!$E$1041+('Liste de prix Public EUROPE'!$D$1042-'Liste de prix Public EUROPE'!$D$1041)*'Liste de prix Public EUROPE'!$E$1042+($B$239-'Liste de prix Public EUROPE'!$D$1042)*'Liste de prix Public EUROPE'!$E$1043,IF(AND($B$239&gt;'Liste de prix Public EUROPE'!$C$1044,$B$239&lt;='Liste de prix Public EUROPE'!$D$1044), ('Liste de prix Public EUROPE'!$D$1041-'Liste de prix Public EUROPE'!$D$1040)*'Liste de prix Public EUROPE'!$E$1041+('Liste de prix Public EUROPE'!$D$1042-'Liste de prix Public EUROPE'!$D$1041)*'Liste de prix Public EUROPE'!$E$1042+('Liste de prix Public EUROPE'!$D$1043-'Liste de prix Public EUROPE'!$D$1042)*'Liste de prix Public EUROPE'!$E$1043+($B$239-'Liste de prix Public EUROPE'!$D$1043)*'Liste de prix Public EUROPE'!$E$1044,IF($B$239&gt;'Liste de prix Public EUROPE'!$D$1044,"Contact OCB"))))))</f>
        <v>0</v>
      </c>
      <c r="D239" s="68"/>
      <c r="E239" s="64"/>
      <c r="F239" s="298"/>
      <c r="G239" s="298"/>
      <c r="H239" s="360"/>
      <c r="I239" s="64"/>
    </row>
    <row r="240" spans="1:9" ht="13.5" customHeight="1">
      <c r="A240" s="2152" t="s">
        <v>241</v>
      </c>
      <c r="B240" s="2153"/>
      <c r="C240" s="384" t="s">
        <v>164</v>
      </c>
      <c r="D240" s="64"/>
      <c r="E240" s="64"/>
      <c r="F240" s="64"/>
      <c r="G240" s="64"/>
      <c r="H240" s="360"/>
      <c r="I240" s="64"/>
    </row>
    <row r="241" spans="1:21">
      <c r="A241" s="369" t="s">
        <v>176</v>
      </c>
      <c r="B241" s="419"/>
      <c r="C241" s="383">
        <f>IF(B241&lt;='Liste de prix Public EUROPE'!D1133,B241*'Liste de prix Public EUROPE'!E1133,IF(AND(B241&gt;'Liste de prix Public EUROPE'!C1134,B241&lt;='Liste de prix Public EUROPE'!D1134),(B241-'Liste de prix Public EUROPE'!D1133)*'Liste de prix Public EUROPE'!E1134,IF(AND(B241&gt;'Liste de prix Public EUROPE'!C1135,B241&lt;='Liste de prix Public EUROPE'!D1135), ('Liste de prix Public EUROPE'!D1134-'Liste de prix Public EUROPE'!D1133)*'Liste de prix Public EUROPE'!E1134+(B241-'Liste de prix Public EUROPE'!D1134)*'Liste de prix Public EUROPE'!E1135,IF(AND(B241&gt;'Liste de prix Public EUROPE'!C1136,B241&lt;='Liste de prix Public EUROPE'!D1136), ('Liste de prix Public EUROPE'!D1134-'Liste de prix Public EUROPE'!D1133)*'Liste de prix Public EUROPE'!E1134+('Liste de prix Public EUROPE'!D1135-'Liste de prix Public EUROPE'!D1134)*'Liste de prix Public EUROPE'!E1135+(B241-'Liste de prix Public EUROPE'!D1135)*'Liste de prix Public EUROPE'!E1136,IF(AND(B241&gt;'Liste de prix Public EUROPE'!C1137,B241&lt;='Liste de prix Public EUROPE'!D1137), ('Liste de prix Public EUROPE'!D1134-'Liste de prix Public EUROPE'!D1133)*'Liste de prix Public EUROPE'!E1134+('Liste de prix Public EUROPE'!D1135-'Liste de prix Public EUROPE'!D1134)*'Liste de prix Public EUROPE'!E1135+('Liste de prix Public EUROPE'!D1136-'Liste de prix Public EUROPE'!D1135)*'Liste de prix Public EUROPE'!E1136+(B241-'Liste de prix Public EUROPE'!D1136)*'Liste de prix Public EUROPE'!E1137,IF(B241&gt;'Liste de prix Public EUROPE'!D1137,"Contact OCB"))))))</f>
        <v>0</v>
      </c>
      <c r="D241" s="64"/>
      <c r="E241" s="64"/>
      <c r="F241" s="64"/>
      <c r="G241" s="64"/>
      <c r="H241" s="360"/>
      <c r="I241" s="64"/>
      <c r="U241" s="966"/>
    </row>
    <row r="242" spans="1:21">
      <c r="A242" s="363"/>
      <c r="B242" s="173"/>
      <c r="C242" s="64"/>
      <c r="D242" s="64"/>
      <c r="E242" s="64"/>
      <c r="F242" s="64"/>
      <c r="G242" s="64"/>
      <c r="H242" s="360"/>
      <c r="I242" s="64"/>
      <c r="U242" s="966"/>
    </row>
    <row r="243" spans="1:21">
      <c r="A243" s="2101" t="s">
        <v>2345</v>
      </c>
      <c r="B243" s="2100"/>
      <c r="C243" s="621" t="s">
        <v>164</v>
      </c>
      <c r="D243" s="64"/>
      <c r="E243" s="64"/>
      <c r="F243" s="64"/>
      <c r="G243" s="64"/>
      <c r="H243" s="360"/>
      <c r="I243" s="64"/>
      <c r="U243" s="966"/>
    </row>
    <row r="244" spans="1:21">
      <c r="A244" s="1631" t="s">
        <v>2303</v>
      </c>
      <c r="B244" s="1632"/>
      <c r="C244" s="1630">
        <f>IF(B244&lt;='Liste de prix Public EUROPE'!$D$1049,B244*'Liste de prix Public EUROPE'!$E$1049,
IF(AND(B244&gt;'Liste de prix Public EUROPE'!$D$1049,B244&lt;='Liste de prix Public EUROPE'!$D$1050),(('Liste de prix Public EUROPE'!$D$1049*'Liste de prix Public EUROPE'!$E$1049)+(B244-'Liste de prix Public EUROPE'!$D$1049)*'Liste de prix Public EUROPE'!$E$1050),
IF(AND(B244&gt;'Liste de prix Public EUROPE'!$D$1050,B244&lt;='Liste de prix Public EUROPE'!$D$1051),(('Liste de prix Public EUROPE'!$D$1049*'Liste de prix Public EUROPE'!$E$1049)+(('Liste de prix Public EUROPE'!$D$1050-'Liste de prix Public EUROPE'!$D$1049)*'Liste de prix Public EUROPE'!$E$1050)+((B244-'Liste de prix Public EUROPE'!$D$1050)*'Liste de prix Public EUROPE'!$E$1051)),
IF(AND(B244&gt;'Liste de prix Public EUROPE'!$D$1051,B244&lt;='Liste de prix Public EUROPE'!$D$1052),(('Liste de prix Public EUROPE'!$D$1049*'Liste de prix Public EUROPE'!$E$1049)+(('Liste de prix Public EUROPE'!$D$1050-'Liste de prix Public EUROPE'!$D$1049)*'Liste de prix Public EUROPE'!$E$1050)+(('Liste de prix Public EUROPE'!$D$1051-'Liste de prix Public EUROPE'!$D$1050)*'Liste de prix Public EUROPE'!$E$1051)+((B244-'Liste de prix Public EUROPE'!$D$1051)*'Liste de prix Public EUROPE'!$E$1052)),
IF(AND(B244&gt;'Liste de prix Public EUROPE'!$D$1052,B244&lt;='Liste de prix Public EUROPE'!$D$1053),(('Liste de prix Public EUROPE'!$D$1049*'Liste de prix Public EUROPE'!$E$1049)+(('Liste de prix Public EUROPE'!$D$1050-'Liste de prix Public EUROPE'!$D$1049)*'Liste de prix Public EUROPE'!$E$1050)+(('Liste de prix Public EUROPE'!$D$1051-'Liste de prix Public EUROPE'!$D$1050)*'Liste de prix Public EUROPE'!$E$1051)+(('Liste de prix Public EUROPE'!$D$1052-'Liste de prix Public EUROPE'!$D$1051)*'Liste de prix Public EUROPE'!$E$1052)+((B244-'Liste de prix Public EUROPE'!$D$1052)*'Liste de prix Public EUROPE'!$E$1053)),
IF(AND(B244&gt;'Liste de prix Public EUROPE'!$D$1053,B244&lt;='Liste de prix Public EUROPE'!$D$1054),(('Liste de prix Public EUROPE'!$D$1049*'Liste de prix Public EUROPE'!$E$1049)+(('Liste de prix Public EUROPE'!$D$1050-'Liste de prix Public EUROPE'!$D$1049)*'Liste de prix Public EUROPE'!$E$1050)+(('Liste de prix Public EUROPE'!$D$1051-'Liste de prix Public EUROPE'!$D$1050)*'Liste de prix Public EUROPE'!$E$1051)+(('Liste de prix Public EUROPE'!$D$1052-'Liste de prix Public EUROPE'!$D$1051)*'Liste de prix Public EUROPE'!$E$1052)+(('Liste de prix Public EUROPE'!$D$1053-'Liste de prix Public EUROPE'!$D$1052)*'Liste de prix Public EUROPE'!$E$1053)+((B244-'Liste de prix Public EUROPE'!$D$1053)*'Liste de prix Public EUROPE'!$E$1054)),
IF(AND(B244&gt;'Liste de prix Public EUROPE'!$D$1054,B244&lt;='Liste de prix Public EUROPE'!$D$1055),(('Liste de prix Public EUROPE'!$D$1049*'Liste de prix Public EUROPE'!$E$1049)+(('Liste de prix Public EUROPE'!$D$1050-'Liste de prix Public EUROPE'!$D$1049)*'Liste de prix Public EUROPE'!$E$1050)+(('Liste de prix Public EUROPE'!$D$1051-'Liste de prix Public EUROPE'!$D$1050)*'Liste de prix Public EUROPE'!$E$1051)+(('Liste de prix Public EUROPE'!$D$1052-'Liste de prix Public EUROPE'!$D$1051)*'Liste de prix Public EUROPE'!$E$1052)+(('Liste de prix Public EUROPE'!$D$1053-'Liste de prix Public EUROPE'!$D$1052)*'Liste de prix Public EUROPE'!$E$1053))+(('Liste de prix Public EUROPE'!$D$1054-'Liste de prix Public EUROPE'!$D$1053)*'Liste de prix Public EUROPE'!$E$1054)+((B244-'Liste de prix Public EUROPE'!$D$1054)*'Liste de prix Public EUROPE'!$E$1055),
IF(B244&gt;'Liste de prix Public EUROPE'!$D$1055,"Contact OBS"))))))))</f>
        <v>0</v>
      </c>
      <c r="D244" s="64"/>
      <c r="E244" s="64"/>
      <c r="F244" s="64"/>
      <c r="G244" s="64"/>
      <c r="H244" s="360"/>
      <c r="I244" s="64"/>
      <c r="U244" s="966"/>
    </row>
    <row r="245" spans="1:21">
      <c r="A245" s="376"/>
      <c r="B245" s="64"/>
      <c r="C245" s="64"/>
      <c r="D245" s="64"/>
      <c r="E245" s="64"/>
      <c r="F245" s="64"/>
      <c r="G245" s="64"/>
      <c r="H245" s="360"/>
      <c r="I245" s="64"/>
      <c r="U245" s="966"/>
    </row>
    <row r="246" spans="1:21">
      <c r="A246" s="2119" t="s">
        <v>237</v>
      </c>
      <c r="B246" s="2118"/>
      <c r="C246" s="368" t="s">
        <v>164</v>
      </c>
      <c r="D246" s="173"/>
      <c r="E246" s="64"/>
      <c r="F246" s="64"/>
      <c r="G246" s="64"/>
      <c r="H246" s="360"/>
      <c r="I246" s="64"/>
      <c r="U246" s="966"/>
    </row>
    <row r="247" spans="1:21">
      <c r="A247" s="369" t="s">
        <v>177</v>
      </c>
      <c r="B247" s="417"/>
      <c r="C247" s="385">
        <f>IF($B$247=0,0,$B$247*'Liste de prix Public EUROPE'!$C$1183*730)</f>
        <v>0</v>
      </c>
      <c r="D247" s="173"/>
      <c r="E247" s="64"/>
      <c r="F247" s="64"/>
      <c r="G247" s="64"/>
      <c r="H247" s="360"/>
      <c r="I247" s="64"/>
      <c r="U247" s="966"/>
    </row>
    <row r="248" spans="1:21">
      <c r="A248" s="363"/>
      <c r="B248" s="173"/>
      <c r="C248" s="173"/>
      <c r="D248" s="173"/>
      <c r="E248" s="64"/>
      <c r="F248" s="64"/>
      <c r="G248" s="64"/>
      <c r="H248" s="360"/>
      <c r="I248" s="64"/>
      <c r="U248" s="966"/>
    </row>
    <row r="249" spans="1:21">
      <c r="A249" s="386" t="s">
        <v>1328</v>
      </c>
      <c r="B249" s="387" t="s">
        <v>90</v>
      </c>
      <c r="C249" s="388" t="s">
        <v>171</v>
      </c>
      <c r="D249" s="368" t="s">
        <v>164</v>
      </c>
      <c r="E249" s="368" t="s">
        <v>169</v>
      </c>
      <c r="F249" s="172"/>
      <c r="G249" s="172"/>
      <c r="H249" s="92"/>
      <c r="I249" s="64"/>
      <c r="K249" s="944" t="s">
        <v>545</v>
      </c>
    </row>
    <row r="250" spans="1:21">
      <c r="A250" s="1074" t="s">
        <v>1330</v>
      </c>
      <c r="B250" s="591"/>
      <c r="C250" s="502"/>
      <c r="D250" s="389">
        <f>IFERROR(IF($C$250='Liste de prix Public EUROPE'!$B$1193,0,IF($C$250='Liste de prix Public EUROPE'!$B$1194,'Liste de prix Public EUROPE'!$E$1194,IF($C$250='Liste de prix Public EUROPE'!$B$1195,'Liste de prix Public EUROPE'!$E$1195,IF($C$250='Liste de prix Public EUROPE'!$B$1196,'Liste de prix Public EUROPE'!$E$1196,IF($C$250='Liste de prix Public EUROPE'!$B$1199,'Liste de prix Public EUROPE'!$E$1199,IF($C$250='Liste de prix Public EUROPE'!$B$1200,'Liste de prix Public EUROPE'!$E$1200,IF($C$250='Liste de prix Public EUROPE'!$B$1201,'Liste de prix Public EUROPE'!$E$1201,IF($C$250='Liste de prix Public EUROPE'!$B$1203,'Liste de prix Public EUROPE'!$E$1203,IF($C$250='Liste de prix Public EUROPE'!$B$1204,'Liste de prix Public EUROPE'!$E$1204,IF($C$250='Liste de prix Public EUROPE'!$B$1205,'Liste de prix Public EUROPE'!$E$1205,IF($C$250='Liste de prix Public EUROPE'!$B$1206,'Liste de prix Public EUROPE'!$E$1206,IF($C$250='Liste de prix Public EUROPE'!$B$1207,'Liste de prix Public EUROPE'!$E$1207,IF($C$250='Liste de prix Public EUROPE'!$B$1197,'Liste de prix Public EUROPE'!$E$1197,IF($C$250='Liste de prix Public EUROPE'!$B$1198,'Liste de prix Public EUROPE'!$E$1198,IF($C$250='Liste de prix Public EUROPE'!$B$1202,'Liste de prix Public EUROPE'!$E$1202,"")))))))))))))))*$B$250,0)</f>
        <v>0</v>
      </c>
      <c r="E250" s="389">
        <f>IF($D$250&lt;&gt;0,700,0)</f>
        <v>0</v>
      </c>
      <c r="F250" s="172"/>
      <c r="G250" s="172"/>
      <c r="H250" s="92"/>
      <c r="I250" s="64"/>
      <c r="K250" s="944" t="s">
        <v>546</v>
      </c>
    </row>
    <row r="251" spans="1:21">
      <c r="A251" s="1074" t="s">
        <v>1331</v>
      </c>
      <c r="B251" s="591"/>
      <c r="C251" s="502"/>
      <c r="D251" s="389">
        <f>IFERROR(IF($C$251='Liste de prix Public EUROPE'!$B$1208,'Liste de prix Public EUROPE'!$E$1208,IF($C$251='Liste de prix Public EUROPE'!$B$1204,'Liste de prix Public EUROPE'!$E$1204,IF($C$251='Liste de prix Public EUROPE'!$B$1205,'Liste de prix Public EUROPE'!$E$1205,IF($C$251='Liste de prix Public EUROPE'!$B$1206,'Liste de prix Public EUROPE'!$E$1206,IF($C$251='Liste de prix Public EUROPE'!$B$1207,'Liste de prix Public EUROPE'!$E$1207,IF($C$251='Liste de prix Public EUROPE'!$B$1197,'Liste de prix Public EUROPE'!$E$1197,IF($C$251='Liste de prix Public EUROPE'!$B$1198,'Liste de prix Public EUROPE'!$E$1198,IF($C$251='Liste de prix Public EUROPE'!$B$1202,'Liste de prix Public EUROPE'!$E$1202,""))))))))*$B$251,0)</f>
        <v>0</v>
      </c>
      <c r="E251" s="389">
        <f>IF($D$251&lt;&gt;0,3600,0)</f>
        <v>0</v>
      </c>
      <c r="F251" s="172"/>
      <c r="G251" s="172"/>
      <c r="H251" s="92"/>
      <c r="I251" s="64"/>
      <c r="K251" s="944" t="s">
        <v>1258</v>
      </c>
    </row>
    <row r="252" spans="1:21">
      <c r="A252" s="390"/>
      <c r="B252" s="79"/>
      <c r="C252" s="377" t="s">
        <v>170</v>
      </c>
      <c r="D252" s="389">
        <f>SUM($D$250:$D$251)</f>
        <v>0</v>
      </c>
      <c r="E252" s="389">
        <f>SUM($E$250:$E$251)</f>
        <v>0</v>
      </c>
      <c r="F252" s="172"/>
      <c r="G252" s="172"/>
      <c r="H252" s="92"/>
      <c r="I252" s="64"/>
    </row>
    <row r="253" spans="1:21">
      <c r="A253" s="390"/>
      <c r="B253" s="172"/>
      <c r="C253" s="172"/>
      <c r="D253" s="172"/>
      <c r="E253" s="172"/>
      <c r="F253" s="172"/>
      <c r="G253" s="172"/>
      <c r="H253" s="92"/>
      <c r="I253" s="64"/>
    </row>
    <row r="254" spans="1:21">
      <c r="A254" s="386" t="s">
        <v>1329</v>
      </c>
      <c r="B254" s="387" t="s">
        <v>90</v>
      </c>
      <c r="C254" s="1047" t="s">
        <v>171</v>
      </c>
      <c r="D254" s="368" t="s">
        <v>164</v>
      </c>
      <c r="E254" s="368" t="s">
        <v>169</v>
      </c>
      <c r="F254" s="172"/>
      <c r="G254" s="172"/>
      <c r="H254" s="92"/>
      <c r="I254" s="64"/>
    </row>
    <row r="255" spans="1:21">
      <c r="A255" s="1074" t="s">
        <v>1332</v>
      </c>
      <c r="B255" s="591"/>
      <c r="C255" s="502"/>
      <c r="D255" s="389">
        <f>IFERROR(IF(C255='Liste de prix Public EUROPE'!$B$1212,'Liste de prix Public EUROPE'!$E$1212,IF(C255='Liste de prix Public EUROPE'!$B$1213,'Liste de prix Public EUROPE'!$E$1213,IF(C255='Liste de prix Public EUROPE'!$B$1214,'Liste de prix Public EUROPE'!$E$1214,IF(C255='Liste de prix Public EUROPE'!$B$1215,'Liste de prix Public EUROPE'!$E$1215,IF(C255='Liste de prix Public EUROPE'!$B$1218,'Liste de prix Public EUROPE'!$E$1218,IF(C255='Liste de prix Public EUROPE'!$B$1219,'Liste de prix Public EUROPE'!$E$1219,IF(C255='Liste de prix Public EUROPE'!$B$1220,'Liste de prix Public EUROPE'!$E$1220,IF(C255='Liste de prix Public EUROPE'!$B$1222,'Liste de prix Public EUROPE'!$E$1222,IF(C255='Liste de prix Public EUROPE'!$B$1223,'Liste de prix Public EUROPE'!$E$1223,IF(C255='Liste de prix Public EUROPE'!$B$1224,'Liste de prix Public EUROPE'!$E$1224,IF(C255='Liste de prix Public EUROPE'!$B$1225,'Liste de prix Public EUROPE'!$E$1225,IF(C255='Liste de prix Public EUROPE'!$B$1226,'Liste de prix Public EUROPE'!$E$1226,IF(C255='Liste de prix Public EUROPE'!$B$1216,'Liste de prix Public EUROPE'!$E$1216,IF(C255='Liste de prix Public EUROPE'!$B$1217,'Liste de prix Public EUROPE'!$E$1217,IF(C255='Liste de prix Public EUROPE'!$B$1227,'Liste de prix Public EUROPE'!$E$1227,IF(C255='Liste de prix Public EUROPE'!$B$1221,'Liste de prix Public EUROPE'!$E$1221,""))))))))))))))))*B255,0)</f>
        <v>0</v>
      </c>
      <c r="E255" s="389">
        <v>0</v>
      </c>
      <c r="F255" s="172"/>
      <c r="G255" s="172"/>
      <c r="H255" s="92"/>
      <c r="I255" s="64"/>
    </row>
    <row r="256" spans="1:21">
      <c r="A256" s="1074" t="s">
        <v>1333</v>
      </c>
      <c r="B256" s="591"/>
      <c r="C256" s="502"/>
      <c r="D256" s="389">
        <f>IFERROR(IF(C256='Liste de prix Public EUROPE'!$B$1223,'Liste de prix Public EUROPE'!$E$1223,IF(C256='Liste de prix Public EUROPE'!$B$1226,'Liste de prix Public EUROPE'!$E$1226,IF(C256='Liste de prix Public EUROPE'!$B$1227,'Liste de prix Public EUROPE'!$E$1227,"")))*B256,0)</f>
        <v>0</v>
      </c>
      <c r="E256" s="389">
        <v>0</v>
      </c>
      <c r="F256" s="172"/>
      <c r="G256" s="172"/>
      <c r="H256" s="92"/>
      <c r="I256" s="64"/>
    </row>
    <row r="257" spans="1:21">
      <c r="A257" s="390"/>
      <c r="B257" s="79"/>
      <c r="C257" s="377" t="s">
        <v>170</v>
      </c>
      <c r="D257" s="389">
        <f>SUM($D$255:$D$256)</f>
        <v>0</v>
      </c>
      <c r="E257" s="389">
        <f>SUM($E$255:$E$256)</f>
        <v>0</v>
      </c>
      <c r="F257" s="172"/>
      <c r="G257" s="172"/>
      <c r="H257" s="92"/>
      <c r="I257" s="64"/>
    </row>
    <row r="258" spans="1:21">
      <c r="A258" s="390"/>
      <c r="B258" s="172"/>
      <c r="C258" s="172"/>
      <c r="D258" s="172"/>
      <c r="E258" s="172"/>
      <c r="F258" s="172"/>
      <c r="G258" s="172"/>
      <c r="H258" s="92"/>
      <c r="I258" s="64"/>
    </row>
    <row r="259" spans="1:21">
      <c r="A259" s="2138" t="s">
        <v>209</v>
      </c>
      <c r="B259" s="2100"/>
      <c r="C259" s="368" t="s">
        <v>164</v>
      </c>
      <c r="D259" s="368" t="s">
        <v>170</v>
      </c>
      <c r="E259" s="172"/>
      <c r="F259" s="172"/>
      <c r="G259" s="172"/>
      <c r="H259" s="92"/>
      <c r="I259" s="64"/>
    </row>
    <row r="260" spans="1:21">
      <c r="A260" s="369" t="s">
        <v>208</v>
      </c>
      <c r="B260" s="503"/>
      <c r="C260" s="393">
        <f>$B$260*'Liste de prix Public EUROPE'!$F$1231</f>
        <v>0</v>
      </c>
      <c r="D260" s="2139">
        <f>SUM($C$260:$C$261)</f>
        <v>0</v>
      </c>
      <c r="E260" s="173"/>
      <c r="F260" s="172"/>
      <c r="G260" s="172"/>
      <c r="H260" s="360"/>
      <c r="I260" s="64"/>
      <c r="K260" s="945" t="s">
        <v>1385</v>
      </c>
      <c r="L260" s="945" t="s">
        <v>2609</v>
      </c>
      <c r="U260" s="966"/>
    </row>
    <row r="261" spans="1:21">
      <c r="A261" s="369" t="s">
        <v>207</v>
      </c>
      <c r="B261" s="503"/>
      <c r="C261" s="393">
        <f>$B$261*'Liste de prix Public EUROPE'!$F$1232</f>
        <v>0</v>
      </c>
      <c r="D261" s="2140"/>
      <c r="E261" s="173"/>
      <c r="F261" s="172"/>
      <c r="G261" s="172"/>
      <c r="H261" s="360"/>
      <c r="I261" s="64"/>
      <c r="K261" s="945" t="s">
        <v>1386</v>
      </c>
      <c r="L261" s="945" t="s">
        <v>2606</v>
      </c>
      <c r="P261" s="945" t="s">
        <v>1385</v>
      </c>
      <c r="Q261" s="945" t="s">
        <v>569</v>
      </c>
      <c r="U261" s="966"/>
    </row>
    <row r="262" spans="1:21">
      <c r="A262" s="376"/>
      <c r="B262" s="64"/>
      <c r="C262" s="64"/>
      <c r="D262" s="64"/>
      <c r="E262" s="64"/>
      <c r="F262" s="64"/>
      <c r="G262" s="64"/>
      <c r="H262" s="360"/>
      <c r="I262" s="64"/>
      <c r="K262" s="945" t="s">
        <v>1387</v>
      </c>
      <c r="L262" s="945" t="s">
        <v>2394</v>
      </c>
      <c r="P262" s="945" t="s">
        <v>1386</v>
      </c>
      <c r="Q262" s="945" t="s">
        <v>570</v>
      </c>
      <c r="U262" s="966"/>
    </row>
    <row r="263" spans="1:21">
      <c r="A263" s="2119" t="s">
        <v>121</v>
      </c>
      <c r="B263" s="2118"/>
      <c r="C263" s="368" t="s">
        <v>164</v>
      </c>
      <c r="D263" s="64"/>
      <c r="E263" s="64"/>
      <c r="F263" s="64"/>
      <c r="G263" s="64"/>
      <c r="H263" s="360"/>
      <c r="I263" s="64"/>
      <c r="K263" s="945" t="s">
        <v>1388</v>
      </c>
      <c r="L263" s="945" t="s">
        <v>2607</v>
      </c>
      <c r="P263" s="945" t="s">
        <v>1387</v>
      </c>
      <c r="Q263" s="945" t="s">
        <v>571</v>
      </c>
      <c r="U263" s="966"/>
    </row>
    <row r="264" spans="1:21">
      <c r="A264" s="369" t="s">
        <v>316</v>
      </c>
      <c r="B264" s="417"/>
      <c r="C264" s="382">
        <f>$B$264*'Liste de prix Public EUROPE'!$C$1064*730</f>
        <v>0</v>
      </c>
      <c r="D264" s="64"/>
      <c r="E264" s="64"/>
      <c r="F264" s="64"/>
      <c r="G264" s="64"/>
      <c r="H264" s="173"/>
      <c r="I264" s="64"/>
      <c r="K264" s="945" t="s">
        <v>1389</v>
      </c>
      <c r="L264" s="945" t="s">
        <v>2395</v>
      </c>
      <c r="P264" s="945" t="s">
        <v>1388</v>
      </c>
      <c r="Q264" s="945" t="s">
        <v>575</v>
      </c>
      <c r="U264" s="966"/>
    </row>
    <row r="265" spans="1:21">
      <c r="A265" s="376"/>
      <c r="B265" s="64"/>
      <c r="C265" s="67"/>
      <c r="D265" s="64"/>
      <c r="E265" s="64"/>
      <c r="F265" s="64"/>
      <c r="G265" s="64"/>
      <c r="H265" s="173"/>
      <c r="I265" s="64"/>
      <c r="K265" s="945" t="s">
        <v>1390</v>
      </c>
      <c r="L265" s="945" t="s">
        <v>2366</v>
      </c>
      <c r="P265" s="945" t="s">
        <v>1389</v>
      </c>
      <c r="Q265" s="945" t="s">
        <v>572</v>
      </c>
      <c r="U265" s="966"/>
    </row>
    <row r="266" spans="1:21">
      <c r="A266" s="2119" t="s">
        <v>722</v>
      </c>
      <c r="B266" s="2118"/>
      <c r="C266" s="368" t="s">
        <v>164</v>
      </c>
      <c r="D266" s="64"/>
      <c r="E266" s="64"/>
      <c r="F266" s="64"/>
      <c r="G266" s="64"/>
      <c r="H266" s="173"/>
      <c r="I266" s="64"/>
      <c r="K266" s="945" t="s">
        <v>1391</v>
      </c>
      <c r="L266" s="945" t="s">
        <v>2396</v>
      </c>
      <c r="P266" s="945" t="s">
        <v>1390</v>
      </c>
      <c r="Q266" s="945" t="s">
        <v>576</v>
      </c>
      <c r="U266" s="966"/>
    </row>
    <row r="267" spans="1:21">
      <c r="A267" s="585"/>
      <c r="B267" s="417"/>
      <c r="C267" s="382">
        <f>(IF($A$267="",0,(IF(B267="",0,(VLOOKUP($A$267,'Liste de prix Public EUROPE'!$B$1068:$F$1071,5,FALSE)*$B$267*730)))))</f>
        <v>0</v>
      </c>
      <c r="D267" s="64"/>
      <c r="E267" s="64"/>
      <c r="F267" s="64"/>
      <c r="G267" s="64"/>
      <c r="H267" s="173"/>
      <c r="I267" s="64"/>
      <c r="K267" s="945" t="s">
        <v>1392</v>
      </c>
      <c r="L267" s="945" t="s">
        <v>2367</v>
      </c>
      <c r="P267" s="945" t="s">
        <v>1391</v>
      </c>
      <c r="Q267" s="945" t="s">
        <v>573</v>
      </c>
      <c r="U267" s="966"/>
    </row>
    <row r="268" spans="1:21">
      <c r="A268" s="585"/>
      <c r="B268" s="417"/>
      <c r="C268" s="382">
        <f>(IF($A$268="",0,(IF($B$268="",0,(VLOOKUP($A$268,'Liste de prix Public EUROPE'!$B$1068:$F$1071,5,FALSE)*$B$268*730)))))</f>
        <v>0</v>
      </c>
      <c r="D268" s="64"/>
      <c r="E268" s="64"/>
      <c r="F268" s="64"/>
      <c r="G268" s="64"/>
      <c r="H268" s="173"/>
      <c r="I268" s="64"/>
      <c r="K268" s="945" t="s">
        <v>1393</v>
      </c>
      <c r="L268" s="945" t="s">
        <v>2393</v>
      </c>
      <c r="P268" s="945" t="s">
        <v>1392</v>
      </c>
      <c r="Q268" s="945" t="s">
        <v>577</v>
      </c>
      <c r="U268" s="966"/>
    </row>
    <row r="269" spans="1:21">
      <c r="A269" s="64"/>
      <c r="B269" s="377" t="s">
        <v>277</v>
      </c>
      <c r="C269" s="1770">
        <f>SUM($C$267:$C$268)</f>
        <v>0</v>
      </c>
      <c r="D269" s="64"/>
      <c r="E269" s="64"/>
      <c r="F269" s="64"/>
      <c r="G269" s="64"/>
      <c r="H269" s="173"/>
      <c r="I269" s="64"/>
      <c r="K269" s="945" t="s">
        <v>1394</v>
      </c>
      <c r="L269" s="945" t="s">
        <v>2368</v>
      </c>
      <c r="P269" s="945" t="s">
        <v>1393</v>
      </c>
      <c r="Q269" s="945" t="s">
        <v>574</v>
      </c>
      <c r="U269" s="966"/>
    </row>
    <row r="270" spans="1:21">
      <c r="A270" s="64"/>
      <c r="B270" s="64"/>
      <c r="C270" s="762"/>
      <c r="D270" s="64"/>
      <c r="E270" s="64"/>
      <c r="F270" s="64"/>
      <c r="G270" s="64"/>
      <c r="H270" s="173"/>
      <c r="I270" s="64"/>
      <c r="K270" s="945" t="s">
        <v>1395</v>
      </c>
      <c r="L270" s="945" t="s">
        <v>2637</v>
      </c>
      <c r="P270" s="945" t="s">
        <v>1394</v>
      </c>
      <c r="Q270" s="945" t="s">
        <v>578</v>
      </c>
      <c r="U270" s="966"/>
    </row>
    <row r="271" spans="1:21">
      <c r="A271" s="1768" t="s">
        <v>2568</v>
      </c>
      <c r="B271" s="1769" t="s">
        <v>2571</v>
      </c>
      <c r="C271" s="368" t="s">
        <v>164</v>
      </c>
      <c r="D271" s="64"/>
      <c r="E271" s="64"/>
      <c r="F271" s="64"/>
      <c r="G271" s="64"/>
      <c r="H271" s="173"/>
      <c r="I271" s="64"/>
      <c r="K271" s="945" t="s">
        <v>1396</v>
      </c>
      <c r="L271" s="945" t="s">
        <v>2378</v>
      </c>
      <c r="P271" s="945" t="s">
        <v>1395</v>
      </c>
      <c r="Q271" s="945" t="s">
        <v>580</v>
      </c>
      <c r="U271" s="966"/>
    </row>
    <row r="272" spans="1:21">
      <c r="A272" s="585"/>
      <c r="B272" s="417"/>
      <c r="C272" s="382">
        <f>IFERROR(VLOOKUP(A272,'Liste de prix Public EUROPE'!$B$1075:$E$1078,4,FALSE)*730*B272,0)</f>
        <v>0</v>
      </c>
      <c r="D272" s="64"/>
      <c r="E272" s="64"/>
      <c r="F272" s="64"/>
      <c r="G272" s="64"/>
      <c r="H272" s="173"/>
      <c r="I272" s="64"/>
      <c r="K272" s="945" t="s">
        <v>1397</v>
      </c>
      <c r="L272" s="945" t="s">
        <v>2638</v>
      </c>
      <c r="P272" s="945" t="s">
        <v>1396</v>
      </c>
      <c r="Q272" s="945" t="s">
        <v>579</v>
      </c>
      <c r="U272" s="966"/>
    </row>
    <row r="273" spans="1:24">
      <c r="A273" s="585"/>
      <c r="B273" s="417"/>
      <c r="C273" s="382">
        <f>(IF(A273="",0,(IF(B273="",0,(VLOOKUP(A273,'Liste de prix Public EUROPE'!$B$1068:$F$1071,5,FALSE)*B273*730)))))</f>
        <v>0</v>
      </c>
      <c r="D273" s="64"/>
      <c r="E273" s="64"/>
      <c r="F273" s="64"/>
      <c r="G273" s="64"/>
      <c r="H273" s="173"/>
      <c r="I273" s="64"/>
      <c r="K273" s="945" t="s">
        <v>1398</v>
      </c>
      <c r="L273" s="945" t="s">
        <v>2641</v>
      </c>
      <c r="P273" s="945" t="s">
        <v>1397</v>
      </c>
      <c r="Q273" s="945" t="s">
        <v>700</v>
      </c>
      <c r="U273" s="966"/>
    </row>
    <row r="274" spans="1:24">
      <c r="A274" s="64"/>
      <c r="B274" s="377" t="s">
        <v>277</v>
      </c>
      <c r="C274" s="1770">
        <f>SUM(C272:C273)</f>
        <v>0</v>
      </c>
      <c r="D274" s="64"/>
      <c r="E274" s="64"/>
      <c r="F274" s="64"/>
      <c r="G274" s="64"/>
      <c r="H274" s="173"/>
      <c r="I274" s="64"/>
      <c r="K274" s="945" t="s">
        <v>1828</v>
      </c>
      <c r="L274" s="945" t="s">
        <v>2626</v>
      </c>
      <c r="P274" s="945" t="s">
        <v>1398</v>
      </c>
      <c r="Q274" s="945" t="s">
        <v>704</v>
      </c>
      <c r="U274" s="966"/>
    </row>
    <row r="275" spans="1:24">
      <c r="A275" s="64"/>
      <c r="B275" s="64"/>
      <c r="C275" s="67"/>
      <c r="D275" s="64"/>
      <c r="E275" s="64"/>
      <c r="F275" s="64"/>
      <c r="G275" s="64"/>
      <c r="H275" s="173"/>
      <c r="I275" s="64"/>
      <c r="K275" s="945" t="s">
        <v>1401</v>
      </c>
      <c r="L275" s="945" t="s">
        <v>2631</v>
      </c>
      <c r="P275" s="945" t="s">
        <v>1828</v>
      </c>
      <c r="Q275" s="945" t="s">
        <v>1363</v>
      </c>
      <c r="U275" s="966"/>
    </row>
    <row r="276" spans="1:24">
      <c r="A276" s="2142" t="s">
        <v>536</v>
      </c>
      <c r="B276" s="2102"/>
      <c r="C276" s="368" t="s">
        <v>164</v>
      </c>
      <c r="D276" s="64"/>
      <c r="E276" s="64"/>
      <c r="F276" s="64"/>
      <c r="G276" s="64"/>
      <c r="H276" s="173"/>
      <c r="I276" s="64"/>
      <c r="K276" s="945" t="s">
        <v>2514</v>
      </c>
      <c r="L276" s="945" t="s">
        <v>2642</v>
      </c>
      <c r="P276" s="945" t="s">
        <v>1401</v>
      </c>
      <c r="Q276" s="945" t="s">
        <v>1234</v>
      </c>
      <c r="U276" s="966"/>
    </row>
    <row r="277" spans="1:24">
      <c r="A277" s="619" t="s">
        <v>527</v>
      </c>
      <c r="B277" s="417"/>
      <c r="C277" s="382">
        <f>(IF($B$277&lt;=25,$B$277*'Liste de prix Public EUROPE'!$D$1087,(('Deviseur EUROPE'!$B$308-25)*'Liste de prix Public EUROPE'!$D$1088)+'Liste de prix Public EUROPE'!$D$1087*25))</f>
        <v>0</v>
      </c>
      <c r="D277" s="64"/>
      <c r="E277" s="64"/>
      <c r="F277" s="64"/>
      <c r="G277" s="64"/>
      <c r="H277" s="173"/>
      <c r="I277" s="64"/>
      <c r="K277" s="945" t="s">
        <v>1402</v>
      </c>
      <c r="L277" s="945" t="s">
        <v>2627</v>
      </c>
      <c r="P277" s="945" t="s">
        <v>2514</v>
      </c>
      <c r="Q277" s="945" t="s">
        <v>1242</v>
      </c>
      <c r="U277" s="966"/>
    </row>
    <row r="278" spans="1:24">
      <c r="A278" s="619" t="s">
        <v>746</v>
      </c>
      <c r="B278" s="417"/>
      <c r="C278" s="382">
        <f>(IF($B$278&lt;=1,$B$278*'Liste de prix Public EUROPE'!$D$1089,(($B$278-1)*'Liste de prix Public EUROPE'!$D$1090)+'Liste de prix Public EUROPE'!$D$1089))</f>
        <v>0</v>
      </c>
      <c r="D278" s="64"/>
      <c r="E278" s="64"/>
      <c r="F278" s="64"/>
      <c r="G278" s="64"/>
      <c r="H278" s="173"/>
      <c r="I278" s="64"/>
      <c r="K278" s="945" t="s">
        <v>1403</v>
      </c>
      <c r="L278" s="945" t="s">
        <v>2632</v>
      </c>
      <c r="P278" s="945" t="s">
        <v>1402</v>
      </c>
      <c r="Q278" s="945" t="s">
        <v>1227</v>
      </c>
      <c r="U278" s="966"/>
      <c r="V278" s="945" t="s">
        <v>635</v>
      </c>
      <c r="W278" s="945" t="s">
        <v>1381</v>
      </c>
      <c r="X278" s="946" t="s">
        <v>484</v>
      </c>
    </row>
    <row r="279" spans="1:24">
      <c r="A279" s="376"/>
      <c r="B279" s="377" t="s">
        <v>170</v>
      </c>
      <c r="C279" s="389">
        <f>SUM($C$277:$C$278)</f>
        <v>0</v>
      </c>
      <c r="D279" s="64"/>
      <c r="E279" s="64"/>
      <c r="F279" s="64"/>
      <c r="G279" s="64"/>
      <c r="H279" s="173"/>
      <c r="I279" s="64"/>
      <c r="K279" s="945" t="s">
        <v>2515</v>
      </c>
      <c r="L279" s="945" t="s">
        <v>2643</v>
      </c>
      <c r="P279" s="945" t="s">
        <v>1403</v>
      </c>
      <c r="Q279" s="945" t="s">
        <v>1235</v>
      </c>
      <c r="U279" s="966"/>
      <c r="V279" s="945" t="s">
        <v>636</v>
      </c>
      <c r="W279" s="945" t="s">
        <v>1382</v>
      </c>
      <c r="X279" s="946" t="s">
        <v>485</v>
      </c>
    </row>
    <row r="280" spans="1:24">
      <c r="A280" s="376"/>
      <c r="B280" s="64"/>
      <c r="C280" s="762"/>
      <c r="D280" s="64"/>
      <c r="E280" s="64"/>
      <c r="F280" s="64"/>
      <c r="G280" s="64"/>
      <c r="H280" s="173"/>
      <c r="I280" s="64"/>
      <c r="K280" s="945" t="s">
        <v>1404</v>
      </c>
      <c r="L280" s="945" t="s">
        <v>2628</v>
      </c>
      <c r="P280" s="945" t="s">
        <v>2515</v>
      </c>
      <c r="Q280" s="945" t="s">
        <v>1243</v>
      </c>
      <c r="U280" s="966"/>
      <c r="V280" s="945" t="s">
        <v>1470</v>
      </c>
      <c r="W280" s="945" t="s">
        <v>1383</v>
      </c>
      <c r="X280" s="946" t="s">
        <v>486</v>
      </c>
    </row>
    <row r="281" spans="1:24">
      <c r="A281" s="2119" t="s">
        <v>2087</v>
      </c>
      <c r="B281" s="2118"/>
      <c r="C281" s="762"/>
      <c r="D281" s="64"/>
      <c r="E281" s="64"/>
      <c r="F281" s="64"/>
      <c r="G281" s="64"/>
      <c r="H281" s="173"/>
      <c r="I281" s="64"/>
      <c r="K281" s="945" t="s">
        <v>1405</v>
      </c>
      <c r="L281" s="945" t="s">
        <v>2633</v>
      </c>
      <c r="P281" s="945" t="s">
        <v>1404</v>
      </c>
      <c r="Q281" s="945" t="s">
        <v>1228</v>
      </c>
      <c r="U281" s="966"/>
      <c r="V281" s="945"/>
      <c r="W281" s="945" t="s">
        <v>1384</v>
      </c>
      <c r="X281" s="946" t="s">
        <v>487</v>
      </c>
    </row>
    <row r="282" spans="1:24">
      <c r="A282" s="1439" t="s">
        <v>2090</v>
      </c>
      <c r="B282" s="368" t="s">
        <v>2091</v>
      </c>
      <c r="C282" s="762"/>
      <c r="D282" s="64"/>
      <c r="E282" s="64"/>
      <c r="F282" s="64"/>
      <c r="G282" s="64"/>
      <c r="H282" s="173"/>
      <c r="I282" s="64"/>
      <c r="K282" s="945" t="s">
        <v>2516</v>
      </c>
      <c r="L282" s="945" t="s">
        <v>2383</v>
      </c>
      <c r="P282" s="945" t="s">
        <v>1405</v>
      </c>
      <c r="Q282" s="945" t="s">
        <v>1236</v>
      </c>
      <c r="U282" s="966"/>
      <c r="V282" s="945"/>
      <c r="W282" s="946" t="s">
        <v>2061</v>
      </c>
      <c r="X282" s="946" t="s">
        <v>887</v>
      </c>
    </row>
    <row r="283" spans="1:24">
      <c r="A283" s="591"/>
      <c r="B283" s="382">
        <f>A283*'Liste de prix Public EUROPE'!$C$2200</f>
        <v>0</v>
      </c>
      <c r="C283" s="762"/>
      <c r="D283" s="64"/>
      <c r="E283" s="64"/>
      <c r="F283" s="64"/>
      <c r="G283" s="64"/>
      <c r="H283" s="64"/>
      <c r="I283" s="64"/>
      <c r="K283" s="945" t="s">
        <v>1406</v>
      </c>
      <c r="L283" s="945" t="s">
        <v>2388</v>
      </c>
      <c r="P283" s="945" t="s">
        <v>2516</v>
      </c>
      <c r="Q283" s="945" t="s">
        <v>1244</v>
      </c>
      <c r="U283" s="966"/>
      <c r="V283" s="945"/>
      <c r="W283" s="945"/>
      <c r="X283" s="946" t="s">
        <v>924</v>
      </c>
    </row>
    <row r="284" spans="1:24">
      <c r="A284" s="591"/>
      <c r="B284" s="382">
        <f>A284*'Liste de prix Public EUROPE'!$C$2200</f>
        <v>0</v>
      </c>
      <c r="C284" s="762"/>
      <c r="D284" s="64"/>
      <c r="E284" s="64"/>
      <c r="F284" s="64"/>
      <c r="G284" s="64"/>
      <c r="H284" s="64"/>
      <c r="I284" s="64"/>
      <c r="K284" s="945" t="s">
        <v>1399</v>
      </c>
      <c r="L284" s="945" t="s">
        <v>2389</v>
      </c>
      <c r="P284" s="945" t="s">
        <v>1406</v>
      </c>
      <c r="Q284" s="945" t="s">
        <v>1230</v>
      </c>
      <c r="U284" s="966"/>
      <c r="V284" s="945"/>
      <c r="W284" s="945"/>
    </row>
    <row r="285" spans="1:24">
      <c r="A285" s="377" t="s">
        <v>1591</v>
      </c>
      <c r="B285" s="1441">
        <f>B283+B284</f>
        <v>0</v>
      </c>
      <c r="C285" s="67"/>
      <c r="D285" s="64"/>
      <c r="E285" s="64"/>
      <c r="F285" s="64"/>
      <c r="G285" s="64"/>
      <c r="H285" s="64"/>
      <c r="I285" s="64"/>
      <c r="K285" s="945" t="s">
        <v>1407</v>
      </c>
      <c r="L285" s="945" t="s">
        <v>2442</v>
      </c>
      <c r="P285" s="945" t="s">
        <v>1399</v>
      </c>
      <c r="Q285" s="945" t="s">
        <v>1238</v>
      </c>
      <c r="U285" s="966"/>
      <c r="V285" s="945"/>
      <c r="W285" s="945"/>
    </row>
    <row r="286" spans="1:24">
      <c r="A286" s="376"/>
      <c r="B286" s="64"/>
      <c r="C286" s="67"/>
      <c r="D286" s="64"/>
      <c r="E286" s="64"/>
      <c r="F286" s="64"/>
      <c r="G286" s="64"/>
      <c r="H286" s="64"/>
      <c r="I286" s="64"/>
      <c r="K286" s="945" t="s">
        <v>1400</v>
      </c>
      <c r="L286" s="945" t="s">
        <v>2391</v>
      </c>
      <c r="P286" s="945" t="s">
        <v>2517</v>
      </c>
      <c r="Q286" s="945" t="s">
        <v>1245</v>
      </c>
      <c r="U286" s="966"/>
      <c r="V286" s="945"/>
      <c r="W286" s="945"/>
    </row>
    <row r="287" spans="1:24" ht="23.4">
      <c r="A287" s="343" t="s">
        <v>938</v>
      </c>
      <c r="B287" s="1120" t="s">
        <v>1468</v>
      </c>
      <c r="C287" s="349"/>
      <c r="D287" s="349"/>
      <c r="E287" s="349"/>
      <c r="F287" s="349"/>
      <c r="G287" s="349"/>
      <c r="H287" s="1833"/>
      <c r="I287" s="1833"/>
      <c r="K287" s="945" t="s">
        <v>2518</v>
      </c>
      <c r="L287" s="945" t="s">
        <v>2385</v>
      </c>
      <c r="P287" s="945" t="s">
        <v>1407</v>
      </c>
      <c r="Q287" s="945" t="s">
        <v>1232</v>
      </c>
      <c r="U287" s="966"/>
      <c r="W287" s="945"/>
    </row>
    <row r="288" spans="1:24">
      <c r="A288" s="376"/>
      <c r="B288" s="64"/>
      <c r="C288" s="67"/>
      <c r="D288" s="64"/>
      <c r="E288" s="64"/>
      <c r="F288" s="64"/>
      <c r="G288" s="64"/>
      <c r="H288" s="173"/>
      <c r="I288" s="64"/>
      <c r="K288" s="945" t="s">
        <v>1408</v>
      </c>
      <c r="L288" s="945" t="s">
        <v>2443</v>
      </c>
      <c r="P288" s="945" t="s">
        <v>1400</v>
      </c>
      <c r="Q288" s="945" t="s">
        <v>1240</v>
      </c>
      <c r="U288" s="966"/>
      <c r="W288" s="945"/>
    </row>
    <row r="289" spans="1:54">
      <c r="A289" s="1808" t="s">
        <v>1414</v>
      </c>
      <c r="B289" s="1715" t="s">
        <v>2867</v>
      </c>
      <c r="C289" s="368" t="s">
        <v>165</v>
      </c>
      <c r="D289" s="368" t="s">
        <v>213</v>
      </c>
      <c r="E289" s="368" t="s">
        <v>1416</v>
      </c>
      <c r="F289" s="368" t="s">
        <v>637</v>
      </c>
      <c r="G289" s="621" t="s">
        <v>164</v>
      </c>
      <c r="H289" s="173"/>
      <c r="I289" s="64"/>
      <c r="K289" s="945" t="s">
        <v>1409</v>
      </c>
      <c r="L289" s="945" t="s">
        <v>2392</v>
      </c>
      <c r="P289" s="945" t="s">
        <v>2518</v>
      </c>
      <c r="Q289" s="945" t="s">
        <v>1246</v>
      </c>
      <c r="U289" s="966"/>
      <c r="W289" s="945"/>
    </row>
    <row r="290" spans="1:54" ht="13.95" customHeight="1">
      <c r="A290" s="1741"/>
      <c r="B290" s="1899" t="str">
        <f>IFERROR(VLOOKUP(A290,$K$260:$L$290,2,FALSE),"")</f>
        <v/>
      </c>
      <c r="C290" s="415"/>
      <c r="D290" s="1742"/>
      <c r="E290" s="1741"/>
      <c r="F290" s="1741"/>
      <c r="G290" s="1055">
        <f>IF(F290=$V$279,IF(D290&lt;90%,
(IF(E290=$W$278,VLOOKUP(B290,'Liste de prix Public EUROPE'!$B$8:$U$174,6,FALSE)+VLOOKUP(B290,'Liste de prix Public EUROPE'!$B$1355:$H$1404,6,FALSE),
IF(E290=$W$279,VLOOKUP(B290,'Liste de prix Public EUROPE'!$B$8:$U$174,6,FALSE)+VLOOKUP(B290,'Liste de prix Public EUROPE'!$B$1407:$H$1451,6,FALSE),
IF(E290=$W$280,VLOOKUP(B290,'Liste de prix Public EUROPE'!$B$8:$U$174,6,FALSE)+VLOOKUP(B290,'Liste de prix Public EUROPE'!$B$1455:$H$1502,6,FALSE),
IF(E290=$W$281,VLOOKUP(B290,'Liste de prix Public EUROPE'!$B$8:$U$174,6,FALSE)+VLOOKUP(B290,'Liste de prix Public EUROPE'!$B$1506:$H$1565,6,FALSE),
IF(E290=$W$282,VLOOKUP(B290,'Liste de prix Public EUROPE'!$B$8:$U$174,6,FALSE)+VLOOKUP(B290,'Liste de prix Public EUROPE'!$B$1568:$H1617,6,FALSE),
FALSE)))))*730*D290),
(IF(E290=$W$278,VLOOKUP(B290,'Liste de prix Public EUROPE'!$B$8:$U$174,7,FALSE)+VLOOKUP(B290,'Liste de prix Public EUROPE'!$B$1355:$H$1404,7,FALSE),
IF(E290=$W$279,VLOOKUP(B290,'Liste de prix Public EUROPE'!$B$8:$U$174,7,FALSE)+VLOOKUP(B290,'Liste de prix Public EUROPE'!$B$1407:$H$1451,7,FALSE),
IF(E290=$W$280,VLOOKUP(B290,'Liste de prix Public EUROPE'!$B$8:$U$174,7,FALSE)+VLOOKUP(B290,'Liste de prix Public EUROPE'!$B$1455:$H$1502,7,FALSE),
IF(E290=$W$281,VLOOKUP(B290,'Liste de prix Public EUROPE'!$B$8:$U$174,7,FALSE)+VLOOKUP(B290,'Liste de prix Public EUROPE'!$B$1506:$H$1565,7,FALSE),
IF(E290=$W$282,VLOOKUP(B290,'Liste de prix Public EUROPE'!$B$8:$U$174,7,FALSE)+VLOOKUP(B290,'Liste de prix Public EUROPE'!$B$1568:$H$1617,7,FALSE),
FALSE)))))))*2,
IF(D290&lt;90%,(IF(E290=$W$278,VLOOKUP(B290,'Liste de prix Public EUROPE'!$B$8:$U$174,6,FALSE)+VLOOKUP(B290,'Liste de prix Public EUROPE'!$B$1355:$H$1404,6,FALSE),
IF(E290=$W$279,VLOOKUP(B290,'Liste de prix Public EUROPE'!$B$8:$U$174,6,FALSE)+VLOOKUP(B290,'Liste de prix Public EUROPE'!$B$1407:$H$1451,6,FALSE),
IF(E290=$W$280,VLOOKUP(B290,'Liste de prix Public EUROPE'!$B$8:$U$174,6,FALSE)+VLOOKUP(B290,'Liste de prix Public EUROPE'!$B$1455:$H$1502,6,FALSE),
IF(E290=$W$281,VLOOKUP(B290,'Liste de prix Public EUROPE'!$B$8:$U$174,6,FALSE)+VLOOKUP(B290,'Liste de prix Public EUROPE'!$B$1506:$H$1565,6,FALSE),
IF(E290=$W$282,VLOOKUP(B290,'Liste de prix Public EUROPE'!$B$8:$U$174,6,FALSE)+VLOOKUP(B290,'Liste de prix Public EUROPE'!$B$1568:$H$1617,6,FALSE),
FALSE)))))*730*D290),
(IF(E290=$W$278,VLOOKUP(B290,'Liste de prix Public EUROPE'!$B$8:$U$174,7,FALSE)+VLOOKUP(B290,'Liste de prix Public EUROPE'!$B$1355:$H$1404,7,FALSE),
IF(E290=$W$279,VLOOKUP(B290,'Liste de prix Public EUROPE'!$B$8:$U$174,7,FALSE)+VLOOKUP(B290,'Liste de prix Public EUROPE'!$B$1407:$H$1451,7,FALSE),
IF(E290=$W$280,VLOOKUP(B290,'Liste de prix Public EUROPE'!$B$8:$U$174,7,FALSE)+VLOOKUP(B290,'Liste de prix Public EUROPE'!$B$1455:$H$1502,7,FALSE),
IF(E290=$W$281,VLOOKUP(B290,'Liste de prix Public EUROPE'!$B$8:$U$174,7,FALSE)+VLOOKUP(B290,'Liste de prix Public EUROPE'!$B$1506:$H$1565,7,FALSE),
IF(E290=$W$282,VLOOKUP(B290,'Liste de prix Public EUROPE'!$B$8:$U$174,7,FALSE)+VLOOKUP(B290,'Liste de prix Public EUROPE'!$B$1568:$H$1617,7,FALSE),FALSE))))))))*C290</f>
        <v>0</v>
      </c>
      <c r="H290" s="173"/>
      <c r="I290" s="64"/>
      <c r="K290" s="945" t="s">
        <v>2519</v>
      </c>
      <c r="L290" s="945" t="s">
        <v>2386</v>
      </c>
      <c r="P290" s="945" t="s">
        <v>1408</v>
      </c>
      <c r="Q290" s="945" t="s">
        <v>1233</v>
      </c>
      <c r="U290" s="966"/>
    </row>
    <row r="291" spans="1:54">
      <c r="A291" s="1741"/>
      <c r="B291" s="1899" t="str">
        <f t="shared" ref="B291:B293" si="6">IFERROR(VLOOKUP(A291,$K$260:$L$290,2,FALSE),"")</f>
        <v/>
      </c>
      <c r="C291" s="415"/>
      <c r="D291" s="1742"/>
      <c r="E291" s="1741"/>
      <c r="F291" s="1741"/>
      <c r="G291" s="1055">
        <f>IF(F291=$V$279,IF(D291&lt;90%,
(IF(E291=$W$278,VLOOKUP(B291,'Liste de prix Public EUROPE'!$B$8:$U$174,6,FALSE)+VLOOKUP(B291,'Liste de prix Public EUROPE'!$B$1355:$H$1404,6,FALSE),
IF(E291=$W$279,VLOOKUP(B291,'Liste de prix Public EUROPE'!$B$8:$U$174,6,FALSE)+VLOOKUP(B291,'Liste de prix Public EUROPE'!$B$1407:$H$1451,6,FALSE),
IF(E291=$W$280,VLOOKUP(B291,'Liste de prix Public EUROPE'!$B$8:$U$174,6,FALSE)+VLOOKUP(B291,'Liste de prix Public EUROPE'!$B$1455:$H$1502,6,FALSE),
IF(E291=$W$281,VLOOKUP(B291,'Liste de prix Public EUROPE'!$B$8:$U$174,6,FALSE)+VLOOKUP(B291,'Liste de prix Public EUROPE'!$B$1506:$H$1565,6,FALSE),
IF(E291=$W$282,VLOOKUP(B291,'Liste de prix Public EUROPE'!$B$8:$U$174,6,FALSE)+VLOOKUP(B291,'Liste de prix Public EUROPE'!$B$1568:$H1618,6,FALSE),
FALSE)))))*730*D291),
(IF(E291=$W$278,VLOOKUP(B291,'Liste de prix Public EUROPE'!$B$8:$U$174,7,FALSE)+VLOOKUP(B291,'Liste de prix Public EUROPE'!$B$1355:$H$1404,7,FALSE),
IF(E291=$W$279,VLOOKUP(B291,'Liste de prix Public EUROPE'!$B$8:$U$174,7,FALSE)+VLOOKUP(B291,'Liste de prix Public EUROPE'!$B$1407:$H$1451,7,FALSE),
IF(E291=$W$280,VLOOKUP(B291,'Liste de prix Public EUROPE'!$B$8:$U$174,7,FALSE)+VLOOKUP(B291,'Liste de prix Public EUROPE'!$B$1455:$H$1502,7,FALSE),
IF(E291=$W$281,VLOOKUP(B291,'Liste de prix Public EUROPE'!$B$8:$U$174,7,FALSE)+VLOOKUP(B291,'Liste de prix Public EUROPE'!$B$1506:$H$1565,7,FALSE),
IF(E291=$W$282,VLOOKUP(B291,'Liste de prix Public EUROPE'!$B$8:$U$174,7,FALSE)+VLOOKUP(B291,'Liste de prix Public EUROPE'!$B$1568:$H$1617,7,FALSE),
FALSE)))))))*2,
IF(D291&lt;90%,(IF(E291=$W$278,VLOOKUP(B291,'Liste de prix Public EUROPE'!$B$8:$U$174,6,FALSE)+VLOOKUP(B291,'Liste de prix Public EUROPE'!$B$1355:$H$1404,6,FALSE),
IF(E291=$W$279,VLOOKUP(B291,'Liste de prix Public EUROPE'!$B$8:$U$174,6,FALSE)+VLOOKUP(B291,'Liste de prix Public EUROPE'!$B$1407:$H$1451,6,FALSE),
IF(E291=$W$280,VLOOKUP(B291,'Liste de prix Public EUROPE'!$B$8:$U$174,6,FALSE)+VLOOKUP(B291,'Liste de prix Public EUROPE'!$B$1455:$H$1502,6,FALSE),
IF(E291=$W$281,VLOOKUP(B291,'Liste de prix Public EUROPE'!$B$8:$U$174,6,FALSE)+VLOOKUP(B291,'Liste de prix Public EUROPE'!$B$1506:$H$1565,6,FALSE),
IF(E291=$W$282,VLOOKUP(B291,'Liste de prix Public EUROPE'!$B$8:$U$174,6,FALSE)+VLOOKUP(B291,'Liste de prix Public EUROPE'!$B$1568:$H$1617,6,FALSE),
FALSE)))))*730*D291),
(IF(E291=$W$278,VLOOKUP(B291,'Liste de prix Public EUROPE'!$B$8:$U$174,7,FALSE)+VLOOKUP(B291,'Liste de prix Public EUROPE'!$B$1355:$H$1404,7,FALSE),
IF(E291=$W$279,VLOOKUP(B291,'Liste de prix Public EUROPE'!$B$8:$U$174,7,FALSE)+VLOOKUP(B291,'Liste de prix Public EUROPE'!$B$1407:$H$1451,7,FALSE),
IF(E291=$W$280,VLOOKUP(B291,'Liste de prix Public EUROPE'!$B$8:$U$174,7,FALSE)+VLOOKUP(B291,'Liste de prix Public EUROPE'!$B$1455:$H$1502,7,FALSE),
IF(E291=$W$281,VLOOKUP(B291,'Liste de prix Public EUROPE'!$B$8:$U$174,7,FALSE)+VLOOKUP(B291,'Liste de prix Public EUROPE'!$B$1506:$H$1565,7,FALSE),
IF(E291=$W$282,VLOOKUP(B291,'Liste de prix Public EUROPE'!$B$8:$U$174,7,FALSE)+VLOOKUP(B291,'Liste de prix Public EUROPE'!$B$1568:$H$1617,7,FALSE),FALSE))))))))*C291</f>
        <v>0</v>
      </c>
      <c r="H291" s="173"/>
      <c r="I291" s="64"/>
      <c r="P291" s="945" t="s">
        <v>1409</v>
      </c>
      <c r="Q291" s="945" t="s">
        <v>1241</v>
      </c>
      <c r="U291" s="966"/>
    </row>
    <row r="292" spans="1:54">
      <c r="A292" s="1741"/>
      <c r="B292" s="1899" t="str">
        <f t="shared" si="6"/>
        <v/>
      </c>
      <c r="C292" s="415"/>
      <c r="D292" s="1742"/>
      <c r="E292" s="1741"/>
      <c r="F292" s="1741"/>
      <c r="G292" s="1055">
        <f>IF(F292=$V$279,IF(D292&lt;90%,
(IF(E292=$W$278,VLOOKUP(B292,'Liste de prix Public EUROPE'!$B$8:$U$174,6,FALSE)+VLOOKUP(B292,'Liste de prix Public EUROPE'!$B$1355:$H$1404,6,FALSE),
IF(E292=$W$279,VLOOKUP(B292,'Liste de prix Public EUROPE'!$B$8:$U$174,6,FALSE)+VLOOKUP(B292,'Liste de prix Public EUROPE'!$B$1407:$H$1451,6,FALSE),
IF(E292=$W$280,VLOOKUP(B292,'Liste de prix Public EUROPE'!$B$8:$U$174,6,FALSE)+VLOOKUP(B292,'Liste de prix Public EUROPE'!$B$1455:$H$1502,6,FALSE),
IF(E292=$W$281,VLOOKUP(B292,'Liste de prix Public EUROPE'!$B$8:$U$174,6,FALSE)+VLOOKUP(B292,'Liste de prix Public EUROPE'!$B$1506:$H$1565,6,FALSE),
IF(E292=$W$282,VLOOKUP(B292,'Liste de prix Public EUROPE'!$B$8:$U$174,6,FALSE)+VLOOKUP(B292,'Liste de prix Public EUROPE'!$B$1568:$H1619,6,FALSE),
FALSE)))))*730*D292),
(IF(E292=$W$278,VLOOKUP(B292,'Liste de prix Public EUROPE'!$B$8:$U$174,7,FALSE)+VLOOKUP(B292,'Liste de prix Public EUROPE'!$B$1355:$H$1404,7,FALSE),
IF(E292=$W$279,VLOOKUP(B292,'Liste de prix Public EUROPE'!$B$8:$U$174,7,FALSE)+VLOOKUP(B292,'Liste de prix Public EUROPE'!$B$1407:$H$1451,7,FALSE),
IF(E292=$W$280,VLOOKUP(B292,'Liste de prix Public EUROPE'!$B$8:$U$174,7,FALSE)+VLOOKUP(B292,'Liste de prix Public EUROPE'!$B$1455:$H$1502,7,FALSE),
IF(E292=$W$281,VLOOKUP(B292,'Liste de prix Public EUROPE'!$B$8:$U$174,7,FALSE)+VLOOKUP(B292,'Liste de prix Public EUROPE'!$B$1506:$H$1565,7,FALSE),
IF(E292=$W$282,VLOOKUP(B292,'Liste de prix Public EUROPE'!$B$8:$U$174,7,FALSE)+VLOOKUP(B292,'Liste de prix Public EUROPE'!$B$1568:$H$1617,7,FALSE),
FALSE)))))))*2,
IF(D292&lt;90%,(IF(E292=$W$278,VLOOKUP(B292,'Liste de prix Public EUROPE'!$B$8:$U$174,6,FALSE)+VLOOKUP(B292,'Liste de prix Public EUROPE'!$B$1355:$H$1404,6,FALSE),
IF(E292=$W$279,VLOOKUP(B292,'Liste de prix Public EUROPE'!$B$8:$U$174,6,FALSE)+VLOOKUP(B292,'Liste de prix Public EUROPE'!$B$1407:$H$1451,6,FALSE),
IF(E292=$W$280,VLOOKUP(B292,'Liste de prix Public EUROPE'!$B$8:$U$174,6,FALSE)+VLOOKUP(B292,'Liste de prix Public EUROPE'!$B$1455:$H$1502,6,FALSE),
IF(E292=$W$281,VLOOKUP(B292,'Liste de prix Public EUROPE'!$B$8:$U$174,6,FALSE)+VLOOKUP(B292,'Liste de prix Public EUROPE'!$B$1506:$H$1565,6,FALSE),
IF(E292=$W$282,VLOOKUP(B292,'Liste de prix Public EUROPE'!$B$8:$U$174,6,FALSE)+VLOOKUP(B292,'Liste de prix Public EUROPE'!$B$1568:$H$1617,6,FALSE),
FALSE)))))*730*D292),
(IF(E292=$W$278,VLOOKUP(B292,'Liste de prix Public EUROPE'!$B$8:$U$174,7,FALSE)+VLOOKUP(B292,'Liste de prix Public EUROPE'!$B$1355:$H$1404,7,FALSE),
IF(E292=$W$279,VLOOKUP(B292,'Liste de prix Public EUROPE'!$B$8:$U$174,7,FALSE)+VLOOKUP(B292,'Liste de prix Public EUROPE'!$B$1407:$H$1451,7,FALSE),
IF(E292=$W$280,VLOOKUP(B292,'Liste de prix Public EUROPE'!$B$8:$U$174,7,FALSE)+VLOOKUP(B292,'Liste de prix Public EUROPE'!$B$1455:$H$1502,7,FALSE),
IF(E292=$W$281,VLOOKUP(B292,'Liste de prix Public EUROPE'!$B$8:$U$174,7,FALSE)+VLOOKUP(B292,'Liste de prix Public EUROPE'!$B$1506:$H$1565,7,FALSE),
IF(E292=$W$282,VLOOKUP(B292,'Liste de prix Public EUROPE'!$B$8:$U$174,7,FALSE)+VLOOKUP(B292,'Liste de prix Public EUROPE'!$B$1568:$H$1617,7,FALSE),FALSE))))))))*C292</f>
        <v>0</v>
      </c>
      <c r="H292" s="173"/>
      <c r="I292" s="64"/>
      <c r="K292" s="944" t="s">
        <v>1381</v>
      </c>
      <c r="L292" s="944" t="s">
        <v>2897</v>
      </c>
      <c r="M292" s="945" t="s">
        <v>635</v>
      </c>
      <c r="P292" s="945" t="s">
        <v>2519</v>
      </c>
      <c r="Q292" s="945" t="s">
        <v>1247</v>
      </c>
      <c r="U292" s="966"/>
    </row>
    <row r="293" spans="1:54">
      <c r="A293" s="1741"/>
      <c r="B293" s="1899" t="str">
        <f t="shared" si="6"/>
        <v/>
      </c>
      <c r="C293" s="415"/>
      <c r="D293" s="1742"/>
      <c r="E293" s="1741"/>
      <c r="F293" s="1741"/>
      <c r="G293" s="1055">
        <f>IF(F293=$V$279,IF(D293&lt;90%,
(IF(E293=$W$278,VLOOKUP(B293,'Liste de prix Public EUROPE'!$B$8:$U$174,6,FALSE)+VLOOKUP(B293,'Liste de prix Public EUROPE'!$B$1355:$H$1404,6,FALSE),
IF(E293=$W$279,VLOOKUP(B293,'Liste de prix Public EUROPE'!$B$8:$U$174,6,FALSE)+VLOOKUP(B293,'Liste de prix Public EUROPE'!$B$1407:$H$1451,6,FALSE),
IF(E293=$W$280,VLOOKUP(B293,'Liste de prix Public EUROPE'!$B$8:$U$174,6,FALSE)+VLOOKUP(B293,'Liste de prix Public EUROPE'!$B$1455:$H$1502,6,FALSE),
IF(E293=$W$281,VLOOKUP(B293,'Liste de prix Public EUROPE'!$B$8:$U$174,6,FALSE)+VLOOKUP(B293,'Liste de prix Public EUROPE'!$B$1506:$H$1565,6,FALSE),
IF(E293=$W$282,VLOOKUP(B293,'Liste de prix Public EUROPE'!$B$8:$U$174,6,FALSE)+VLOOKUP(B293,'Liste de prix Public EUROPE'!$B$1568:$H1620,6,FALSE),
FALSE)))))*730*D293),
(IF(E293=$W$278,VLOOKUP(B293,'Liste de prix Public EUROPE'!$B$8:$U$174,7,FALSE)+VLOOKUP(B293,'Liste de prix Public EUROPE'!$B$1355:$H$1404,7,FALSE),
IF(E293=$W$279,VLOOKUP(B293,'Liste de prix Public EUROPE'!$B$8:$U$174,7,FALSE)+VLOOKUP(B293,'Liste de prix Public EUROPE'!$B$1407:$H$1451,7,FALSE),
IF(E293=$W$280,VLOOKUP(B293,'Liste de prix Public EUROPE'!$B$8:$U$174,7,FALSE)+VLOOKUP(B293,'Liste de prix Public EUROPE'!$B$1455:$H$1502,7,FALSE),
IF(E293=$W$281,VLOOKUP(B293,'Liste de prix Public EUROPE'!$B$8:$U$174,7,FALSE)+VLOOKUP(B293,'Liste de prix Public EUROPE'!$B$1506:$H$1565,7,FALSE),
IF(E293=$W$282,VLOOKUP(B293,'Liste de prix Public EUROPE'!$B$8:$U$174,7,FALSE)+VLOOKUP(B293,'Liste de prix Public EUROPE'!$B$1568:$H$1617,7,FALSE),
FALSE)))))))*2,
IF(D293&lt;90%,(IF(E293=$W$278,VLOOKUP(B293,'Liste de prix Public EUROPE'!$B$8:$U$174,6,FALSE)+VLOOKUP(B293,'Liste de prix Public EUROPE'!$B$1355:$H$1404,6,FALSE),
IF(E293=$W$279,VLOOKUP(B293,'Liste de prix Public EUROPE'!$B$8:$U$174,6,FALSE)+VLOOKUP(B293,'Liste de prix Public EUROPE'!$B$1407:$H$1451,6,FALSE),
IF(E293=$W$280,VLOOKUP(B293,'Liste de prix Public EUROPE'!$B$8:$U$174,6,FALSE)+VLOOKUP(B293,'Liste de prix Public EUROPE'!$B$1455:$H$1502,6,FALSE),
IF(E293=$W$281,VLOOKUP(B293,'Liste de prix Public EUROPE'!$B$8:$U$174,6,FALSE)+VLOOKUP(B293,'Liste de prix Public EUROPE'!$B$1506:$H$1565,6,FALSE),
IF(E293=$W$282,VLOOKUP(B293,'Liste de prix Public EUROPE'!$B$8:$U$174,6,FALSE)+VLOOKUP(B293,'Liste de prix Public EUROPE'!$B$1568:$H$1617,6,FALSE),
FALSE)))))*730*D293),
(IF(E293=$W$278,VLOOKUP(B293,'Liste de prix Public EUROPE'!$B$8:$U$174,7,FALSE)+VLOOKUP(B293,'Liste de prix Public EUROPE'!$B$1355:$H$1404,7,FALSE),
IF(E293=$W$279,VLOOKUP(B293,'Liste de prix Public EUROPE'!$B$8:$U$174,7,FALSE)+VLOOKUP(B293,'Liste de prix Public EUROPE'!$B$1407:$H$1451,7,FALSE),
IF(E293=$W$280,VLOOKUP(B293,'Liste de prix Public EUROPE'!$B$8:$U$174,7,FALSE)+VLOOKUP(B293,'Liste de prix Public EUROPE'!$B$1455:$H$1502,7,FALSE),
IF(E293=$W$281,VLOOKUP(B293,'Liste de prix Public EUROPE'!$B$8:$U$174,7,FALSE)+VLOOKUP(B293,'Liste de prix Public EUROPE'!$B$1506:$H$1565,7,FALSE),
IF(E293=$W$282,VLOOKUP(B293,'Liste de prix Public EUROPE'!$B$8:$U$174,7,FALSE)+VLOOKUP(B293,'Liste de prix Public EUROPE'!$B$1568:$H$1617,7,FALSE),FALSE))))))))*C293</f>
        <v>0</v>
      </c>
      <c r="H293" s="173"/>
      <c r="I293" s="64"/>
      <c r="K293" s="944" t="s">
        <v>1384</v>
      </c>
      <c r="L293" s="944" t="s">
        <v>2898</v>
      </c>
      <c r="M293" s="945" t="s">
        <v>636</v>
      </c>
      <c r="P293" s="945" t="s">
        <v>1526</v>
      </c>
      <c r="Q293" s="945" t="s">
        <v>1519</v>
      </c>
      <c r="U293" s="966"/>
    </row>
    <row r="294" spans="1:54">
      <c r="A294" s="1121" t="s">
        <v>1471</v>
      </c>
      <c r="B294" s="64"/>
      <c r="C294" s="67"/>
      <c r="D294" s="64"/>
      <c r="E294" s="64"/>
      <c r="F294" s="619" t="s">
        <v>170</v>
      </c>
      <c r="G294" s="757">
        <f>SUM($G$290:$G$293)</f>
        <v>0</v>
      </c>
      <c r="H294" s="173"/>
      <c r="I294" s="64"/>
      <c r="K294" s="944" t="s">
        <v>2848</v>
      </c>
      <c r="L294" s="944" t="s">
        <v>2899</v>
      </c>
      <c r="M294" s="945" t="s">
        <v>2859</v>
      </c>
      <c r="P294" s="945" t="s">
        <v>1527</v>
      </c>
      <c r="Q294" s="945" t="s">
        <v>1518</v>
      </c>
      <c r="U294" s="966"/>
    </row>
    <row r="295" spans="1:54">
      <c r="A295" s="376"/>
      <c r="B295" s="64"/>
      <c r="C295" s="67"/>
      <c r="D295" s="64"/>
      <c r="E295" s="64"/>
      <c r="F295" s="173"/>
      <c r="G295" s="173"/>
      <c r="H295" s="173"/>
      <c r="I295" s="64"/>
      <c r="K295" s="944" t="s">
        <v>2849</v>
      </c>
      <c r="L295" s="944"/>
      <c r="P295" s="945" t="s">
        <v>1528</v>
      </c>
      <c r="Q295" s="945" t="s">
        <v>1508</v>
      </c>
      <c r="U295" s="966"/>
    </row>
    <row r="296" spans="1:54" ht="41.4">
      <c r="A296" s="1808" t="s">
        <v>2864</v>
      </c>
      <c r="B296" s="1808" t="s">
        <v>2866</v>
      </c>
      <c r="C296" s="1808" t="s">
        <v>2867</v>
      </c>
      <c r="D296" s="1824" t="s">
        <v>2868</v>
      </c>
      <c r="E296" s="837" t="s">
        <v>165</v>
      </c>
      <c r="F296" s="837" t="s">
        <v>2869</v>
      </c>
      <c r="G296" s="1213" t="s">
        <v>164</v>
      </c>
      <c r="H296" s="64"/>
      <c r="I296" s="64"/>
      <c r="J296" s="944"/>
      <c r="K296" s="944" t="s">
        <v>2850</v>
      </c>
      <c r="L296" s="944"/>
      <c r="N296" s="944"/>
      <c r="O296" s="944"/>
      <c r="P296" s="945" t="s">
        <v>1529</v>
      </c>
      <c r="Q296" s="945" t="s">
        <v>1512</v>
      </c>
      <c r="S296" s="944"/>
      <c r="T296" s="944"/>
      <c r="U296" s="944"/>
      <c r="V296" s="944"/>
      <c r="W296" s="944"/>
      <c r="X296" s="944"/>
      <c r="Y296" s="944"/>
      <c r="Z296" s="944"/>
      <c r="AA296" s="944"/>
      <c r="AB296" s="944"/>
      <c r="AC296" s="944"/>
      <c r="AD296" s="944"/>
      <c r="AE296" s="944"/>
      <c r="AF296" s="944"/>
      <c r="AG296" s="944"/>
      <c r="AH296" s="944"/>
      <c r="AI296" s="944"/>
      <c r="AJ296" s="944"/>
      <c r="AK296" s="944"/>
      <c r="AL296" s="944"/>
      <c r="AM296" s="944"/>
      <c r="AN296" s="944"/>
      <c r="AO296" s="944"/>
      <c r="AP296" s="944"/>
      <c r="AQ296" s="944"/>
      <c r="AR296" s="944"/>
      <c r="AS296" s="944"/>
      <c r="AT296" s="944"/>
      <c r="AU296" s="944"/>
      <c r="AV296" s="944"/>
      <c r="AW296" s="944"/>
      <c r="AX296" s="944"/>
      <c r="AY296" s="944"/>
      <c r="AZ296" s="944"/>
      <c r="BA296" s="944"/>
      <c r="BB296" s="944"/>
    </row>
    <row r="297" spans="1:54">
      <c r="A297" s="1552"/>
      <c r="B297" s="1823"/>
      <c r="C297" s="1149" t="str">
        <f>IFERROR(VLOOKUP(B297,$K$260:$L$290,2,FALSE),"")</f>
        <v/>
      </c>
      <c r="D297" s="1665"/>
      <c r="E297" s="1665"/>
      <c r="F297" s="1552"/>
      <c r="G297" s="1809">
        <f>IFERROR(IF(F297=$M$293,IF(AND(A297=$K$292,D297=$L$292),VLOOKUP(B297,'RDS Réservés'!$F$5:$K$34,2,FALSE)+VLOOKUP(C297,'RDS Réservés'!$H$5:$K$34,2,FALSE),
(IF(AND(A297=$K$292,D297=$L$293),VLOOKUP(B297,'RDS Réservés'!$F$5:$K$34,2,FALSE)+VLOOKUP(C297,'RDS Réservés'!$H$5:$K$34,3,FALSE),
(IF(AND(A297=$K$292,D297=$L$294),VLOOKUP(B297,'RDS Réservés'!$F$5:$K$34,2,FALSE)+VLOOKUP(C297,'RDS Réservés'!$H$5:$K$34,4,FALSE),
(IF(AND(A297=$K$293,D297=$L$292),VLOOKUP(B297,'RDS Réservés'!$F$39:$K$68,2,FALSE)+VLOOKUP(C297,'RDS Réservés'!$H$39:$K$68,2,FALSE),
(IF(AND(A297=$K$293,D297=$L$293),VLOOKUP(B297,'RDS Réservés'!$F$39:$K$68,2,FALSE)+VLOOKUP(C297,'RDS Réservés'!$H$39:$K$68,3,FALSE),
(IF(AND(A297=$K$293,D297=$L$294),VLOOKUP(B297,'RDS Réservés'!$F$39:$K$68,2,FALSE)+VLOOKUP(C297,'RDS Réservés'!$H$39:$K$68,4,FALSE),)))))))))))*2,
IF(AND(A297=$K$292,D297=$L$292),VLOOKUP(B297,'RDS Réservés'!$F$5:$K$34,2,FALSE)+VLOOKUP(C297,'RDS Réservés'!$H$5:$K$34,2,FALSE),
(IF(AND(A297=$K$292,D297=$L$293),VLOOKUP(B297,'RDS Réservés'!$F$5:$K$34,2,FALSE)+VLOOKUP(C297,'RDS Réservés'!$H$5:$K$34,3,FALSE),
(IF(AND(A297=$K$292,D297=$L$294),VLOOKUP(B297,'RDS Réservés'!$F$5:$K$34,2,FALSE)+VLOOKUP(C297,'RDS Réservés'!$H$5:$K$34,4,FALSE),
(IF(AND(A297=$K$293,D297=$L$292),VLOOKUP(B297,'RDS Réservés'!$F$39:$K$68,2,FALSE)+VLOOKUP(C297,'RDS Réservés'!$H$39:$K$68,2,FALSE),
(IF(AND(A297=$K$293,D297=$L$293),VLOOKUP(B297,'RDS Réservés'!$F$39:$K$68,2,FALSE)+VLOOKUP(C297,'RDS Réservés'!$H$39:$K$68,3,FALSE),
(IF(AND(A297=$K$293,D297=$L$294),VLOOKUP(B297,'RDS Réservés'!$F$39:$K$68,2,FALSE)+VLOOKUP(C297,'RDS Réservés'!$H$39:$K$68,4,FALSE),)))))))))))),0)*E297</f>
        <v>0</v>
      </c>
      <c r="H297" s="64"/>
      <c r="I297" s="64"/>
      <c r="K297" s="944"/>
      <c r="L297" s="944"/>
      <c r="P297" s="945" t="s">
        <v>2520</v>
      </c>
      <c r="Q297" s="945" t="s">
        <v>1567</v>
      </c>
      <c r="U297" s="966"/>
    </row>
    <row r="298" spans="1:54">
      <c r="A298" s="1552"/>
      <c r="B298" s="1823"/>
      <c r="C298" s="1149" t="str">
        <f t="shared" ref="C298:C300" si="7">IFERROR(VLOOKUP(B298,$K$260:$L$290,2,FALSE),"")</f>
        <v/>
      </c>
      <c r="D298" s="1665"/>
      <c r="E298" s="1665"/>
      <c r="F298" s="1552"/>
      <c r="G298" s="1809">
        <f>IFERROR(IF(F298=$M$293,IF(AND(A298=$K$292,D298=$L$292),VLOOKUP(B298,'RDS Réservés'!$F$5:$K$34,2,FALSE)+VLOOKUP(C298,'RDS Réservés'!$H$5:$K$34,2,FALSE),
(IF(AND(A298=$K$292,D298=$L$293),VLOOKUP(B298,'RDS Réservés'!$F$5:$K$34,2,FALSE)+VLOOKUP(C298,'RDS Réservés'!$H$5:$K$34,3,FALSE),
(IF(AND(A298=$K$292,D298=$L$294),VLOOKUP(B298,'RDS Réservés'!$F$5:$K$34,2,FALSE)+VLOOKUP(C298,'RDS Réservés'!$H$5:$K$34,4,FALSE),
(IF(AND(A298=$K$293,D298=$L$292),VLOOKUP(B298,'RDS Réservés'!$F$39:$K$68,2,FALSE)+VLOOKUP(C298,'RDS Réservés'!$H$39:$K$68,2,FALSE),
(IF(AND(A298=$K$293,D298=$L$293),VLOOKUP(B298,'RDS Réservés'!$F$39:$K$68,2,FALSE)+VLOOKUP(C298,'RDS Réservés'!$H$39:$K$68,3,FALSE),
(IF(AND(A298=$K$293,D298=$L$294),VLOOKUP(B298,'RDS Réservés'!$F$39:$K$68,2,FALSE)+VLOOKUP(C298,'RDS Réservés'!$H$39:$K$68,4,FALSE),)))))))))))*2,
IF(AND(A298=$K$292,D298=$L$292),VLOOKUP(B298,'RDS Réservés'!$F$5:$K$34,2,FALSE)+VLOOKUP(C298,'RDS Réservés'!$H$5:$K$34,2,FALSE),
(IF(AND(A298=$K$292,D298=$L$293),VLOOKUP(B298,'RDS Réservés'!$F$5:$K$34,2,FALSE)+VLOOKUP(C298,'RDS Réservés'!$H$5:$K$34,3,FALSE),
(IF(AND(A298=$K$292,D298=$L$294),VLOOKUP(B298,'RDS Réservés'!$F$5:$K$34,2,FALSE)+VLOOKUP(C298,'RDS Réservés'!$H$5:$K$34,4,FALSE),
(IF(AND(A298=$K$293,D298=$L$292),VLOOKUP(B298,'RDS Réservés'!$F$39:$K$68,2,FALSE)+VLOOKUP(C298,'RDS Réservés'!$H$39:$K$68,2,FALSE),
(IF(AND(A298=$K$293,D298=$L$293),VLOOKUP(B298,'RDS Réservés'!$F$39:$K$68,2,FALSE)+VLOOKUP(C298,'RDS Réservés'!$H$39:$K$68,3,FALSE),
(IF(AND(A298=$K$293,D298=$L$294),VLOOKUP(B298,'RDS Réservés'!$F$39:$K$68,2,FALSE)+VLOOKUP(C298,'RDS Réservés'!$H$39:$K$68,4,FALSE),)))))))))))),0)*E298</f>
        <v>0</v>
      </c>
      <c r="H298" s="64"/>
      <c r="I298" s="64"/>
      <c r="K298" s="944" t="s">
        <v>2900</v>
      </c>
      <c r="L298" s="944"/>
      <c r="P298" s="945" t="s">
        <v>1530</v>
      </c>
      <c r="Q298" s="945" t="s">
        <v>1509</v>
      </c>
      <c r="U298" s="966"/>
    </row>
    <row r="299" spans="1:54">
      <c r="A299" s="1552"/>
      <c r="B299" s="1823"/>
      <c r="C299" s="1149" t="str">
        <f t="shared" si="7"/>
        <v/>
      </c>
      <c r="D299" s="1665"/>
      <c r="E299" s="1665"/>
      <c r="F299" s="1552"/>
      <c r="G299" s="1809">
        <f>IFERROR(IF(F299=$M$293,IF(AND(A299=$K$292,D299=$L$292),VLOOKUP(B299,'RDS Réservés'!$F$5:$K$34,2,FALSE)+VLOOKUP(C299,'RDS Réservés'!$H$5:$K$34,2,FALSE),
(IF(AND(A299=$K$292,D299=$L$293),VLOOKUP(B299,'RDS Réservés'!$F$5:$K$34,2,FALSE)+VLOOKUP(C299,'RDS Réservés'!$H$5:$K$34,3,FALSE),
(IF(AND(A299=$K$292,D299=$L$294),VLOOKUP(B299,'RDS Réservés'!$F$5:$K$34,2,FALSE)+VLOOKUP(C299,'RDS Réservés'!$H$5:$K$34,4,FALSE),
(IF(AND(A299=$K$293,D299=$L$292),VLOOKUP(B299,'RDS Réservés'!$F$39:$K$68,2,FALSE)+VLOOKUP(C299,'RDS Réservés'!$H$39:$K$68,2,FALSE),
(IF(AND(A299=$K$293,D299=$L$293),VLOOKUP(B299,'RDS Réservés'!$F$39:$K$68,2,FALSE)+VLOOKUP(C299,'RDS Réservés'!$H$39:$K$68,3,FALSE),
(IF(AND(A299=$K$293,D299=$L$294),VLOOKUP(B299,'RDS Réservés'!$F$39:$K$68,2,FALSE)+VLOOKUP(C299,'RDS Réservés'!$H$39:$K$68,4,FALSE),)))))))))))*2,
IF(AND(A299=$K$292,D299=$L$292),VLOOKUP(B299,'RDS Réservés'!$F$5:$K$34,2,FALSE)+VLOOKUP(C299,'RDS Réservés'!$H$5:$K$34,2,FALSE),
(IF(AND(A299=$K$292,D299=$L$293),VLOOKUP(B299,'RDS Réservés'!$F$5:$K$34,2,FALSE)+VLOOKUP(C299,'RDS Réservés'!$H$5:$K$34,3,FALSE),
(IF(AND(A299=$K$292,D299=$L$294),VLOOKUP(B299,'RDS Réservés'!$F$5:$K$34,2,FALSE)+VLOOKUP(C299,'RDS Réservés'!$H$5:$K$34,4,FALSE),
(IF(AND(A299=$K$293,D299=$L$292),VLOOKUP(B299,'RDS Réservés'!$F$39:$K$68,2,FALSE)+VLOOKUP(C299,'RDS Réservés'!$H$39:$K$68,2,FALSE),
(IF(AND(A299=$K$293,D299=$L$293),VLOOKUP(B299,'RDS Réservés'!$F$39:$K$68,2,FALSE)+VLOOKUP(C299,'RDS Réservés'!$H$39:$K$68,3,FALSE),
(IF(AND(A299=$K$293,D299=$L$294),VLOOKUP(B299,'RDS Réservés'!$F$39:$K$68,2,FALSE)+VLOOKUP(C299,'RDS Réservés'!$H$39:$K$68,4,FALSE),)))))))))))),0)*E299</f>
        <v>0</v>
      </c>
      <c r="H299" s="64"/>
      <c r="I299" s="64"/>
      <c r="K299" s="944" t="s">
        <v>2901</v>
      </c>
      <c r="L299" s="944"/>
      <c r="P299" s="945" t="s">
        <v>1531</v>
      </c>
      <c r="Q299" s="945" t="s">
        <v>1513</v>
      </c>
      <c r="U299" s="966"/>
    </row>
    <row r="300" spans="1:54">
      <c r="A300" s="1552"/>
      <c r="B300" s="1823"/>
      <c r="C300" s="1149" t="str">
        <f t="shared" si="7"/>
        <v/>
      </c>
      <c r="D300" s="1665"/>
      <c r="E300" s="1665"/>
      <c r="F300" s="1552"/>
      <c r="G300" s="1809">
        <f>IFERROR(IF(F300=$M$293,IF(AND(A300=$K$292,D300=$L$292),VLOOKUP(B300,'RDS Réservés'!$F$5:$K$34,2,FALSE)+VLOOKUP(C300,'RDS Réservés'!$H$5:$K$34,2,FALSE),
(IF(AND(A300=$K$292,D300=$L$293),VLOOKUP(B300,'RDS Réservés'!$F$5:$K$34,2,FALSE)+VLOOKUP(C300,'RDS Réservés'!$H$5:$K$34,3,FALSE),
(IF(AND(A300=$K$292,D300=$L$294),VLOOKUP(B300,'RDS Réservés'!$F$5:$K$34,2,FALSE)+VLOOKUP(C300,'RDS Réservés'!$H$5:$K$34,4,FALSE),
(IF(AND(A300=$K$293,D300=$L$292),VLOOKUP(B300,'RDS Réservés'!$F$39:$K$68,2,FALSE)+VLOOKUP(C300,'RDS Réservés'!$H$39:$K$68,2,FALSE),
(IF(AND(A300=$K$293,D300=$L$293),VLOOKUP(B300,'RDS Réservés'!$F$39:$K$68,2,FALSE)+VLOOKUP(C300,'RDS Réservés'!$H$39:$K$68,3,FALSE),
(IF(AND(A300=$K$293,D300=$L$294),VLOOKUP(B300,'RDS Réservés'!$F$39:$K$68,2,FALSE)+VLOOKUP(C300,'RDS Réservés'!$H$39:$K$68,4,FALSE),)))))))))))*2,
IF(AND(A300=$K$292,D300=$L$292),VLOOKUP(B300,'RDS Réservés'!$F$5:$K$34,2,FALSE)+VLOOKUP(C300,'RDS Réservés'!$H$5:$K$34,2,FALSE),
(IF(AND(A300=$K$292,D300=$L$293),VLOOKUP(B300,'RDS Réservés'!$F$5:$K$34,2,FALSE)+VLOOKUP(C300,'RDS Réservés'!$H$5:$K$34,3,FALSE),
(IF(AND(A300=$K$292,D300=$L$294),VLOOKUP(B300,'RDS Réservés'!$F$5:$K$34,2,FALSE)+VLOOKUP(C300,'RDS Réservés'!$H$5:$K$34,4,FALSE),
(IF(AND(A300=$K$293,D300=$L$292),VLOOKUP(B300,'RDS Réservés'!$F$39:$K$68,2,FALSE)+VLOOKUP(C300,'RDS Réservés'!$H$39:$K$68,2,FALSE),
(IF(AND(A300=$K$293,D300=$L$293),VLOOKUP(B300,'RDS Réservés'!$F$39:$K$68,2,FALSE)+VLOOKUP(C300,'RDS Réservés'!$H$39:$K$68,3,FALSE),
(IF(AND(A300=$K$293,D300=$L$294),VLOOKUP(B300,'RDS Réservés'!$F$39:$K$68,2,FALSE)+VLOOKUP(C300,'RDS Réservés'!$H$39:$K$68,4,FALSE),)))))))))))),0)*E300</f>
        <v>0</v>
      </c>
      <c r="H300" s="64"/>
      <c r="I300" s="64"/>
      <c r="P300" s="945" t="s">
        <v>2521</v>
      </c>
      <c r="Q300" s="945" t="s">
        <v>1568</v>
      </c>
      <c r="U300" s="966"/>
    </row>
    <row r="301" spans="1:54">
      <c r="A301" s="1121" t="s">
        <v>1471</v>
      </c>
      <c r="B301" s="64"/>
      <c r="C301" s="762"/>
      <c r="D301" s="64"/>
      <c r="E301" s="64"/>
      <c r="F301" s="1810" t="s">
        <v>170</v>
      </c>
      <c r="G301" s="1553">
        <f>SUM(G297:G300)</f>
        <v>0</v>
      </c>
      <c r="H301" s="64"/>
      <c r="I301" s="64"/>
      <c r="P301" s="945" t="s">
        <v>1532</v>
      </c>
      <c r="Q301" s="945" t="s">
        <v>1517</v>
      </c>
      <c r="U301" s="966"/>
    </row>
    <row r="302" spans="1:54">
      <c r="A302" s="64"/>
      <c r="B302" s="64"/>
      <c r="C302" s="762"/>
      <c r="D302" s="64"/>
      <c r="E302" s="64"/>
      <c r="F302" s="1822"/>
      <c r="G302" s="1807"/>
      <c r="H302" s="64"/>
      <c r="I302" s="917"/>
      <c r="P302" s="945" t="s">
        <v>1533</v>
      </c>
      <c r="Q302" s="945" t="s">
        <v>1514</v>
      </c>
      <c r="U302" s="966"/>
      <c r="W302" s="966"/>
    </row>
    <row r="303" spans="1:54" ht="41.4">
      <c r="A303" s="1808" t="s">
        <v>2865</v>
      </c>
      <c r="B303" s="1808" t="s">
        <v>2866</v>
      </c>
      <c r="C303" s="1808" t="s">
        <v>2867</v>
      </c>
      <c r="D303" s="1824" t="s">
        <v>2868</v>
      </c>
      <c r="E303" s="837" t="s">
        <v>2870</v>
      </c>
      <c r="F303" s="837" t="s">
        <v>165</v>
      </c>
      <c r="G303" s="837" t="s">
        <v>2869</v>
      </c>
      <c r="H303" s="1828" t="s">
        <v>2872</v>
      </c>
      <c r="I303" s="1838" t="s">
        <v>164</v>
      </c>
      <c r="P303" s="945" t="s">
        <v>2522</v>
      </c>
      <c r="Q303" s="945" t="s">
        <v>1569</v>
      </c>
      <c r="U303" s="966"/>
      <c r="W303" s="966"/>
    </row>
    <row r="304" spans="1:54">
      <c r="A304" s="1552"/>
      <c r="B304" s="1823"/>
      <c r="C304" s="1149" t="str">
        <f>IFERROR(VLOOKUP(B304,$K$260:$L$290,2,FALSE),"")</f>
        <v/>
      </c>
      <c r="D304" s="1665"/>
      <c r="E304" s="1552"/>
      <c r="F304" s="1665"/>
      <c r="G304" s="1552"/>
      <c r="H304" s="1552"/>
      <c r="I304" s="1809">
        <f>IFERROR(IF(G304=$M$293,IF(D304=$L$292,VLOOKUP(B304,'RDS Réservés'!$F$72:$O$95,2,FALSE)+VLOOKUP(B304,'RDS Réservés'!$F$72:$O$95,4,FALSE),
(IF(AND(A304=$K$294,D304=$L$293),VLOOKUP(B304,'RDS Réservés'!$F$72:$O$95,2,FALSE)+VLOOKUP(B304,'RDS Réservés'!$F$72:$O$95,5,FALSE),
(IF(AND(A304=$K$294,D304=$L$294),VLOOKUP(B304,'RDS Réservés'!$F$72:$O$95,2,FALSE)+VLOOKUP(B304,'RDS Réservés'!$F$72:$O$95,6,FALSE),)))))*2
+IF(E304=$K$298,VLOOKUP(B304,'RDS Réservés'!$F$72:$O$95,7,FALSE),0)*2
+IF(AND(H304=$K$298,A304=$K$294),VLOOKUP(B304,'RDS Réservés'!$F$72:$O$95,8,FALSE),
IF(AND(H304=$K$298,A304=$K$295),VLOOKUP(B304,'RDS Réservés'!$F$72:$O$95,9,FALSE),
IF(AND(H304=$K$298,A304=$K$296),VLOOKUP(B304,'RDS Réservés'!$F$72:$O$95,10,FALSE),0)))*2,
IF(D304=$L$292,VLOOKUP(B304,'RDS Réservés'!$F$72:$O$95,2,FALSE)+VLOOKUP(B304,'RDS Réservés'!$F$72:$O$95,4,FALSE),
(IF(D304=$L$293,VLOOKUP(B304,'RDS Réservés'!$F$72:$O$95,2,FALSE)+VLOOKUP(B304,'RDS Réservés'!$F$72:$O$95,5,FALSE),
(IF(D304=$L$294,VLOOKUP(B304,'RDS Réservés'!$F$72:$O$95,2,FALSE)+VLOOKUP(B304,'RDS Réservés'!$F$72:$O$95,6,FALSE),)))))
+IF(E304=$K$298,VLOOKUP(B304,'RDS Réservés'!$F$72:$O$95,7,FALSE),0)
+IF(AND(H304=$K$298,A304=$K$294),VLOOKUP(B304,'RDS Réservés'!$F$72:$O$95,8,FALSE),
IF(AND(H304=$K$298,A304=$K$295),VLOOKUP(B304,'RDS Réservés'!$F$72:$O$95,9,FALSE),
IF(AND(H304=$K$298,A304=$K$296),VLOOKUP(B304,'RDS Réservés'!$F$72:$O$95,10,FALSE),0)))),0)*F304</f>
        <v>0</v>
      </c>
      <c r="P304" s="945" t="s">
        <v>1534</v>
      </c>
      <c r="Q304" s="945" t="s">
        <v>1510</v>
      </c>
      <c r="U304" s="966"/>
      <c r="W304" s="966"/>
    </row>
    <row r="305" spans="1:34">
      <c r="A305" s="1552"/>
      <c r="B305" s="1823"/>
      <c r="C305" s="1149" t="str">
        <f t="shared" ref="C305:C307" si="8">IFERROR(VLOOKUP(B305,$K$260:$L$290,2,FALSE),"")</f>
        <v/>
      </c>
      <c r="D305" s="1665"/>
      <c r="E305" s="1552"/>
      <c r="F305" s="1665"/>
      <c r="G305" s="1552"/>
      <c r="H305" s="1552"/>
      <c r="I305" s="1809">
        <f>IFERROR(IF(G305=$M$293,IF(D305=$L$292,VLOOKUP(B305,'RDS Réservés'!$F$72:$O$95,2,FALSE)+VLOOKUP(B305,'RDS Réservés'!$F$72:$O$95,4,FALSE),
(IF(AND(A305=$K$294,D305=$L$293),VLOOKUP(B305,'RDS Réservés'!$F$72:$O$95,2,FALSE)+VLOOKUP(B305,'RDS Réservés'!$F$72:$O$95,5,FALSE),
(IF(AND(A305=$K$294,D305=$L$294),VLOOKUP(B305,'RDS Réservés'!$F$72:$O$95,2,FALSE)+VLOOKUP(B305,'RDS Réservés'!$F$72:$O$95,6,FALSE),)))))*2
+IF(E305=$K$298,VLOOKUP(B305,'RDS Réservés'!$F$72:$O$95,7,FALSE),0)*2
+IF(AND(H305=$K$298,A305=$K$294),VLOOKUP(B305,'RDS Réservés'!$F$72:$O$95,8,FALSE),
IF(AND(H305=$K$298,A305=$K$295),VLOOKUP(B305,'RDS Réservés'!$F$72:$O$95,9,FALSE),
IF(AND(H305=$K$298,A305=$K$296),VLOOKUP(B305,'RDS Réservés'!$F$72:$O$95,10,FALSE),0)))*2,
IF(D305=$L$292,VLOOKUP(B305,'RDS Réservés'!$F$72:$O$95,2,FALSE)+VLOOKUP(B305,'RDS Réservés'!$F$72:$O$95,4,FALSE),
(IF(D305=$L$293,VLOOKUP(B305,'RDS Réservés'!$F$72:$O$95,2,FALSE)+VLOOKUP(B305,'RDS Réservés'!$F$72:$O$95,5,FALSE),
(IF(D305=$L$294,VLOOKUP(B305,'RDS Réservés'!$F$72:$O$95,2,FALSE)+VLOOKUP(B305,'RDS Réservés'!$F$72:$O$95,6,FALSE),)))))
+IF(E305=$K$298,VLOOKUP(B305,'RDS Réservés'!$F$72:$O$95,7,FALSE),0)
+IF(AND(H305=$K$298,A305=$K$294),VLOOKUP(B305,'RDS Réservés'!$F$72:$O$95,8,FALSE),
IF(AND(H305=$K$298,A305=$K$295),VLOOKUP(B305,'RDS Réservés'!$F$72:$O$95,9,FALSE),
IF(AND(H305=$K$298,A305=$K$296),VLOOKUP(B305,'RDS Réservés'!$F$72:$O$95,10,FALSE),0)))),0)*F305</f>
        <v>0</v>
      </c>
      <c r="P305" s="945" t="s">
        <v>1535</v>
      </c>
      <c r="Q305" s="945" t="s">
        <v>1515</v>
      </c>
      <c r="U305" s="966"/>
      <c r="W305" s="966"/>
    </row>
    <row r="306" spans="1:34">
      <c r="A306" s="1552"/>
      <c r="B306" s="1823"/>
      <c r="C306" s="1149" t="str">
        <f t="shared" si="8"/>
        <v/>
      </c>
      <c r="D306" s="1665"/>
      <c r="E306" s="1552"/>
      <c r="F306" s="1665"/>
      <c r="G306" s="1552"/>
      <c r="H306" s="1552"/>
      <c r="I306" s="1809">
        <f>IFERROR(IF(G306=$M$293,IF(D306=$L$292,VLOOKUP(B306,'RDS Réservés'!$F$72:$O$95,2,FALSE)+VLOOKUP(B306,'RDS Réservés'!$F$72:$O$95,4,FALSE),
(IF(AND(A306=$K$294,D306=$L$293),VLOOKUP(B306,'RDS Réservés'!$F$72:$O$95,2,FALSE)+VLOOKUP(B306,'RDS Réservés'!$F$72:$O$95,5,FALSE),
(IF(AND(A306=$K$294,D306=$L$294),VLOOKUP(B306,'RDS Réservés'!$F$72:$O$95,2,FALSE)+VLOOKUP(B306,'RDS Réservés'!$F$72:$O$95,6,FALSE),)))))*2
+IF(E306=$K$298,VLOOKUP(B306,'RDS Réservés'!$F$72:$O$95,7,FALSE),0)*2
+IF(AND(H306=$K$298,A306=$K$294),VLOOKUP(B306,'RDS Réservés'!$F$72:$O$95,8,FALSE),
IF(AND(H306=$K$298,A306=$K$295),VLOOKUP(B306,'RDS Réservés'!$F$72:$O$95,9,FALSE),
IF(AND(H306=$K$298,A306=$K$296),VLOOKUP(B306,'RDS Réservés'!$F$72:$O$95,10,FALSE),0)))*2,
IF(D306=$L$292,VLOOKUP(B306,'RDS Réservés'!$F$72:$O$95,2,FALSE)+VLOOKUP(B306,'RDS Réservés'!$F$72:$O$95,4,FALSE),
(IF(D306=$L$293,VLOOKUP(B306,'RDS Réservés'!$F$72:$O$95,2,FALSE)+VLOOKUP(B306,'RDS Réservés'!$F$72:$O$95,5,FALSE),
(IF(D306=$L$294,VLOOKUP(B306,'RDS Réservés'!$F$72:$O$95,2,FALSE)+VLOOKUP(B306,'RDS Réservés'!$F$72:$O$95,6,FALSE),)))))
+IF(E306=$K$298,VLOOKUP(B306,'RDS Réservés'!$F$72:$O$95,7,FALSE),0)
+IF(AND(H306=$K$298,A306=$K$294),VLOOKUP(B306,'RDS Réservés'!$F$72:$O$95,8,FALSE),
IF(AND(H306=$K$298,A306=$K$295),VLOOKUP(B306,'RDS Réservés'!$F$72:$O$95,9,FALSE),
IF(AND(H306=$K$298,A306=$K$296),VLOOKUP(B306,'RDS Réservés'!$F$72:$O$95,10,FALSE),0)))),0)*F306</f>
        <v>0</v>
      </c>
      <c r="P306" s="945" t="s">
        <v>2523</v>
      </c>
      <c r="Q306" s="945" t="s">
        <v>1570</v>
      </c>
      <c r="U306" s="966"/>
      <c r="W306" s="966"/>
    </row>
    <row r="307" spans="1:34">
      <c r="A307" s="1552"/>
      <c r="B307" s="1823"/>
      <c r="C307" s="1149" t="str">
        <f t="shared" si="8"/>
        <v/>
      </c>
      <c r="D307" s="1665"/>
      <c r="E307" s="1552"/>
      <c r="F307" s="1665"/>
      <c r="G307" s="1552"/>
      <c r="H307" s="1552"/>
      <c r="I307" s="1809">
        <f>IFERROR(IF(G307=$M$293,IF(D307=$L$292,VLOOKUP(B307,'RDS Réservés'!$F$72:$O$95,2,FALSE)+VLOOKUP(B307,'RDS Réservés'!$F$72:$O$95,4,FALSE),
(IF(AND(A307=$K$294,D307=$L$293),VLOOKUP(B307,'RDS Réservés'!$F$72:$O$95,2,FALSE)+VLOOKUP(B307,'RDS Réservés'!$F$72:$O$95,5,FALSE),
(IF(AND(A307=$K$294,D307=$L$294),VLOOKUP(B307,'RDS Réservés'!$F$72:$O$95,2,FALSE)+VLOOKUP(B307,'RDS Réservés'!$F$72:$O$95,6,FALSE),)))))*2
+IF(E307=$K$298,VLOOKUP(B307,'RDS Réservés'!$F$72:$O$95,7,FALSE),0)*2
+IF(AND(H307=$K$298,A307=$K$294),VLOOKUP(B307,'RDS Réservés'!$F$72:$O$95,8,FALSE),
IF(AND(H307=$K$298,A307=$K$295),VLOOKUP(B307,'RDS Réservés'!$F$72:$O$95,9,FALSE),
IF(AND(H307=$K$298,A307=$K$296),VLOOKUP(B307,'RDS Réservés'!$F$72:$O$95,10,FALSE),0)))*2,
IF(D307=$L$292,VLOOKUP(B307,'RDS Réservés'!$F$72:$O$95,2,FALSE)+VLOOKUP(B307,'RDS Réservés'!$F$72:$O$95,4,FALSE),
(IF(D307=$L$293,VLOOKUP(B307,'RDS Réservés'!$F$72:$O$95,2,FALSE)+VLOOKUP(B307,'RDS Réservés'!$F$72:$O$95,5,FALSE),
(IF(D307=$L$294,VLOOKUP(B307,'RDS Réservés'!$F$72:$O$95,2,FALSE)+VLOOKUP(B307,'RDS Réservés'!$F$72:$O$95,6,FALSE),)))))
+IF(E307=$K$298,VLOOKUP(B307,'RDS Réservés'!$F$72:$O$95,7,FALSE),0)
+IF(AND(H307=$K$298,A307=$K$294),VLOOKUP(B307,'RDS Réservés'!$F$72:$O$95,8,FALSE),
IF(AND(H307=$K$298,A307=$K$295),VLOOKUP(B307,'RDS Réservés'!$F$72:$O$95,9,FALSE),
IF(AND(H307=$K$298,A307=$K$296),VLOOKUP(B307,'RDS Réservés'!$F$72:$O$95,10,FALSE),0)))),0)*F307</f>
        <v>0</v>
      </c>
      <c r="P307" s="945" t="s">
        <v>1536</v>
      </c>
      <c r="Q307" s="945" t="s">
        <v>1511</v>
      </c>
      <c r="U307" s="966"/>
      <c r="W307" s="966"/>
    </row>
    <row r="308" spans="1:34">
      <c r="A308" s="1121" t="s">
        <v>1471</v>
      </c>
      <c r="B308" s="64"/>
      <c r="C308" s="1827"/>
      <c r="D308" s="1827"/>
      <c r="E308" s="1827"/>
      <c r="F308" s="1827"/>
      <c r="G308" s="1827"/>
      <c r="H308" s="1810" t="s">
        <v>277</v>
      </c>
      <c r="I308" s="1553">
        <f>SUM(I304:I307)</f>
        <v>0</v>
      </c>
      <c r="U308" s="966"/>
      <c r="W308" s="966"/>
    </row>
    <row r="309" spans="1:34">
      <c r="A309" s="64"/>
      <c r="B309" s="64"/>
      <c r="C309" s="64"/>
      <c r="D309" s="64"/>
      <c r="E309" s="64"/>
      <c r="F309" s="64"/>
      <c r="G309" s="64"/>
      <c r="H309" s="64"/>
      <c r="I309" s="64"/>
      <c r="P309" s="945" t="s">
        <v>1537</v>
      </c>
      <c r="Q309" s="945" t="s">
        <v>1516</v>
      </c>
      <c r="U309" s="966"/>
      <c r="W309" s="966"/>
    </row>
    <row r="310" spans="1:34">
      <c r="A310" s="1902" t="s">
        <v>2875</v>
      </c>
      <c r="B310" s="368" t="s">
        <v>2902</v>
      </c>
      <c r="C310" s="368" t="s">
        <v>164</v>
      </c>
      <c r="D310" s="64"/>
      <c r="E310" s="64"/>
      <c r="F310" s="64"/>
      <c r="G310" s="64"/>
      <c r="H310" s="64"/>
      <c r="I310" s="64"/>
      <c r="P310" s="945" t="s">
        <v>2524</v>
      </c>
      <c r="Q310" s="945" t="s">
        <v>1571</v>
      </c>
      <c r="U310" s="966"/>
      <c r="W310" s="966"/>
    </row>
    <row r="311" spans="1:34">
      <c r="A311" s="585"/>
      <c r="B311" s="417"/>
      <c r="C311" s="382">
        <f>IFERROR(B311*VLOOKUP(A311,'Liste de prix Public EUROPE'!$B$2806:$D$2808,3,FALSE),0)</f>
        <v>0</v>
      </c>
      <c r="D311" s="64"/>
      <c r="E311" s="64"/>
      <c r="F311" s="64"/>
      <c r="G311" s="64"/>
      <c r="H311" s="64"/>
      <c r="I311" s="64"/>
      <c r="U311" s="966"/>
      <c r="W311" s="966"/>
    </row>
    <row r="312" spans="1:34">
      <c r="A312" s="585"/>
      <c r="B312" s="417"/>
      <c r="C312" s="382">
        <f>IFERROR(B312*VLOOKUP(A312,'Liste de prix Public EUROPE'!$B$2806:$D$2808,3,FALSE),0)</f>
        <v>0</v>
      </c>
      <c r="D312" s="64"/>
      <c r="E312" s="64"/>
      <c r="F312" s="64"/>
      <c r="G312" s="64"/>
      <c r="H312" s="64"/>
      <c r="I312" s="64"/>
      <c r="U312" s="966"/>
      <c r="W312" s="966"/>
    </row>
    <row r="313" spans="1:34">
      <c r="A313" s="64"/>
      <c r="B313" s="377" t="s">
        <v>277</v>
      </c>
      <c r="C313" s="1770">
        <f>SUM(C311:C312)</f>
        <v>0</v>
      </c>
      <c r="D313" s="64"/>
      <c r="E313" s="64"/>
      <c r="F313" s="64"/>
      <c r="G313" s="64"/>
      <c r="H313" s="64"/>
      <c r="I313" s="64"/>
      <c r="U313" s="966"/>
      <c r="W313" s="966"/>
    </row>
    <row r="314" spans="1:34">
      <c r="A314" s="1901"/>
      <c r="B314" s="1901"/>
      <c r="C314" s="67"/>
      <c r="D314" s="64"/>
      <c r="E314" s="64"/>
      <c r="F314" s="64"/>
      <c r="G314" s="64"/>
      <c r="H314" s="64"/>
      <c r="I314" s="64"/>
      <c r="P314" s="946"/>
      <c r="Q314" s="946"/>
      <c r="R314" s="946"/>
      <c r="U314" s="966"/>
      <c r="W314" s="966"/>
    </row>
    <row r="315" spans="1:34">
      <c r="A315" s="620" t="s">
        <v>1143</v>
      </c>
      <c r="B315" s="64"/>
      <c r="C315" s="64"/>
      <c r="D315" s="787"/>
      <c r="E315" s="64"/>
      <c r="F315" s="64"/>
      <c r="G315" s="64"/>
      <c r="H315" s="64"/>
      <c r="I315" s="64"/>
      <c r="P315" s="946"/>
      <c r="Q315" s="946"/>
      <c r="R315" s="946"/>
      <c r="U315" s="966"/>
      <c r="W315" s="966"/>
      <c r="X315" s="1090" t="s">
        <v>2</v>
      </c>
      <c r="Y315" s="1091" t="s">
        <v>3</v>
      </c>
      <c r="Z315" s="1091" t="s">
        <v>37</v>
      </c>
      <c r="AA315" s="1092" t="s">
        <v>261</v>
      </c>
      <c r="AB315" s="1092" t="s">
        <v>904</v>
      </c>
      <c r="AC315" s="1091" t="s">
        <v>43</v>
      </c>
      <c r="AD315" s="1091" t="s">
        <v>1472</v>
      </c>
      <c r="AE315" s="966"/>
      <c r="AF315" s="1006"/>
    </row>
    <row r="316" spans="1:34" ht="41.4">
      <c r="A316" s="621" t="s">
        <v>435</v>
      </c>
      <c r="B316" s="788" t="s">
        <v>1444</v>
      </c>
      <c r="C316" s="621" t="s">
        <v>1445</v>
      </c>
      <c r="D316" s="788" t="s">
        <v>1447</v>
      </c>
      <c r="E316" s="621" t="s">
        <v>1446</v>
      </c>
      <c r="F316" s="1058" t="s">
        <v>1451</v>
      </c>
      <c r="G316" s="1058" t="s">
        <v>631</v>
      </c>
      <c r="H316" s="788" t="s">
        <v>807</v>
      </c>
      <c r="I316" s="64"/>
      <c r="N316" s="788" t="s">
        <v>1274</v>
      </c>
      <c r="O316" s="788" t="s">
        <v>1275</v>
      </c>
      <c r="P316" s="946"/>
      <c r="Q316" s="946"/>
      <c r="R316" s="946"/>
      <c r="U316" s="966"/>
      <c r="W316" s="966"/>
      <c r="X316" s="1093" t="s">
        <v>1420</v>
      </c>
      <c r="Y316" s="1094">
        <v>1</v>
      </c>
      <c r="Z316" s="1094">
        <v>4</v>
      </c>
      <c r="AA316" s="1094" t="s">
        <v>102</v>
      </c>
      <c r="AB316" s="1094" t="s">
        <v>102</v>
      </c>
      <c r="AC316" s="1111">
        <v>1.55E-2</v>
      </c>
      <c r="AD316" s="1089">
        <f>'Liste de prix Public EUROPE'!G13</f>
        <v>0.32979999999999998</v>
      </c>
      <c r="AE316" s="966" t="s">
        <v>1465</v>
      </c>
      <c r="AF316" s="1119">
        <v>0.28820000000000001</v>
      </c>
      <c r="AG316" s="946" t="s">
        <v>838</v>
      </c>
      <c r="AH316" s="1119">
        <f>'Liste de prix Public EUROPE'!G14</f>
        <v>0.65959999999999996</v>
      </c>
    </row>
    <row r="317" spans="1:34" ht="41.4">
      <c r="A317" s="629"/>
      <c r="B317" s="1099"/>
      <c r="C317" s="1096"/>
      <c r="D317" s="1099"/>
      <c r="E317" s="1096"/>
      <c r="F317" s="1097" t="s">
        <v>1452</v>
      </c>
      <c r="G317" s="822">
        <f>IF(ISERROR(SEARCH("*II*",C317)),$A$317*$AF$316,$A$317*$AF$317)</f>
        <v>0</v>
      </c>
      <c r="H317" s="625">
        <f>IFERROR(IF($N$317&lt;&gt;0,($N$317+$O$317+$G$317)*(100%-$B$5),0),0)</f>
        <v>0</v>
      </c>
      <c r="I317" s="64"/>
      <c r="N317" s="822">
        <f>IFERROR((VLOOKUP(C317,$X$315:$AC$331,6,FALSE)*$A$317*$B$317)+(VLOOKUP(C317,$X$315:$AD$331,7,FALSE)*(MIN(650,$A$317))*$B$317),0)</f>
        <v>0</v>
      </c>
      <c r="O317" s="822">
        <f>IFERROR((VLOOKUP(E317,$X$315:$AC$331,6,FALSE)*$A$317*$D$317*3)+(VLOOKUP(E317,$X$315:$AD$332,7,FALSE)*(MIN(650,$A$317))*$D$317*3),0)</f>
        <v>0</v>
      </c>
      <c r="P317" s="946"/>
      <c r="Q317" s="946"/>
      <c r="R317" s="946"/>
      <c r="U317" s="966"/>
      <c r="W317" s="966"/>
      <c r="X317" s="1093" t="s">
        <v>1421</v>
      </c>
      <c r="Y317" s="1094">
        <v>2</v>
      </c>
      <c r="Z317" s="1094">
        <v>4</v>
      </c>
      <c r="AA317" s="1094" t="s">
        <v>102</v>
      </c>
      <c r="AB317" s="1094" t="s">
        <v>102</v>
      </c>
      <c r="AC317" s="1111">
        <v>3.1099999999999999E-2</v>
      </c>
      <c r="AD317" s="1089">
        <f>'Liste de prix Public EUROPE'!G14</f>
        <v>0.65959999999999996</v>
      </c>
      <c r="AE317" s="966" t="s">
        <v>1466</v>
      </c>
      <c r="AF317" s="1119">
        <v>4.3900000000000002E-2</v>
      </c>
      <c r="AG317" s="946" t="s">
        <v>1361</v>
      </c>
      <c r="AH317" s="1119">
        <f>'Liste de prix Public EUROPE'!G76</f>
        <v>4.0941000000000001</v>
      </c>
    </row>
    <row r="318" spans="1:34">
      <c r="A318" s="64"/>
      <c r="B318" s="64"/>
      <c r="C318" s="64"/>
      <c r="D318" s="787"/>
      <c r="E318" s="64"/>
      <c r="F318" s="64"/>
      <c r="G318" s="64"/>
      <c r="H318" s="64"/>
      <c r="I318" s="64"/>
      <c r="P318" s="946"/>
      <c r="Q318" s="946"/>
      <c r="R318" s="946"/>
      <c r="U318" s="966"/>
      <c r="W318" s="966"/>
      <c r="X318" s="1093" t="s">
        <v>1422</v>
      </c>
      <c r="Y318" s="1095">
        <v>4</v>
      </c>
      <c r="Z318" s="1095">
        <v>8</v>
      </c>
      <c r="AA318" s="1095" t="s">
        <v>102</v>
      </c>
      <c r="AB318" s="1095" t="s">
        <v>102</v>
      </c>
      <c r="AC318" s="1112">
        <v>6.2300000000000001E-2</v>
      </c>
      <c r="AD318" s="1089">
        <f>'Liste de prix Public EUROPE'!G15</f>
        <v>3.8899999999999997E-2</v>
      </c>
    </row>
    <row r="319" spans="1:34">
      <c r="A319" s="620" t="s">
        <v>1354</v>
      </c>
      <c r="B319" s="64"/>
      <c r="C319" s="64"/>
      <c r="D319" s="787"/>
      <c r="E319" s="64"/>
      <c r="F319" s="64"/>
      <c r="G319" s="64"/>
      <c r="H319" s="64"/>
      <c r="I319" s="64"/>
      <c r="P319" s="946"/>
      <c r="Q319" s="946"/>
      <c r="R319" s="946"/>
      <c r="U319" s="966"/>
      <c r="W319" s="966"/>
      <c r="X319" s="1093" t="s">
        <v>1423</v>
      </c>
      <c r="Y319" s="1095">
        <v>8</v>
      </c>
      <c r="Z319" s="1095">
        <v>16</v>
      </c>
      <c r="AA319" s="1095" t="s">
        <v>102</v>
      </c>
      <c r="AB319" s="1095" t="s">
        <v>102</v>
      </c>
      <c r="AC319" s="1112">
        <v>0.12470000000000001</v>
      </c>
      <c r="AD319" s="1089">
        <f>'Liste de prix Public EUROPE'!G16</f>
        <v>9.1499999999999998E-2</v>
      </c>
    </row>
    <row r="320" spans="1:34">
      <c r="A320" s="621" t="s">
        <v>435</v>
      </c>
      <c r="B320" s="621" t="s">
        <v>1448</v>
      </c>
      <c r="C320" s="621" t="s">
        <v>1450</v>
      </c>
      <c r="D320" s="368" t="s">
        <v>164</v>
      </c>
      <c r="E320"/>
      <c r="F320"/>
      <c r="G320" s="64"/>
      <c r="H320" s="64"/>
      <c r="I320" s="64"/>
      <c r="U320" s="966"/>
      <c r="W320" s="966"/>
      <c r="X320" s="1093" t="s">
        <v>1424</v>
      </c>
      <c r="Y320" s="1095">
        <v>2</v>
      </c>
      <c r="Z320" s="1095">
        <v>8</v>
      </c>
      <c r="AA320" s="1095" t="s">
        <v>102</v>
      </c>
      <c r="AB320" s="1095" t="s">
        <v>102</v>
      </c>
      <c r="AC320" s="1112">
        <v>3.4599999999999999E-2</v>
      </c>
      <c r="AD320" s="1089">
        <f>'Liste de prix Public EUROPE'!G18</f>
        <v>0.36620000000000003</v>
      </c>
    </row>
    <row r="321" spans="1:30" ht="27.6">
      <c r="A321" s="629"/>
      <c r="B321" s="1096"/>
      <c r="C321" s="1097" t="s">
        <v>1449</v>
      </c>
      <c r="D321" s="625">
        <f>IFERROR(((VLOOKUP($B$321,$X$315:$AC$331,6,FALSE)*3*$A$321)+(VLOOKUP($B$321,$X$315:$AD$331,7,FALSE)*3*(MIN(650,$A$321)))),0)</f>
        <v>0</v>
      </c>
      <c r="E321"/>
      <c r="F321"/>
      <c r="G321" s="64"/>
      <c r="H321" s="64"/>
      <c r="I321" s="64"/>
      <c r="U321" s="966"/>
      <c r="W321" s="966"/>
      <c r="X321" s="1093" t="s">
        <v>1425</v>
      </c>
      <c r="Y321" s="1095">
        <v>4</v>
      </c>
      <c r="Z321" s="1095">
        <v>16</v>
      </c>
      <c r="AA321" s="1095" t="s">
        <v>102</v>
      </c>
      <c r="AB321" s="1095" t="s">
        <v>102</v>
      </c>
      <c r="AC321" s="1112">
        <v>6.93E-2</v>
      </c>
      <c r="AD321" s="1089">
        <f>'Liste de prix Public EUROPE'!G19</f>
        <v>0.73229999999999995</v>
      </c>
    </row>
    <row r="322" spans="1:30">
      <c r="A322" s="376"/>
      <c r="B322" s="64"/>
      <c r="C322" s="67"/>
      <c r="D322" s="64"/>
      <c r="E322" s="64"/>
      <c r="F322" s="64"/>
      <c r="G322" s="64"/>
      <c r="H322" s="64"/>
      <c r="I322" s="64"/>
      <c r="U322" s="966"/>
      <c r="W322" s="966"/>
      <c r="X322" s="1093" t="s">
        <v>1426</v>
      </c>
      <c r="Y322" s="1095">
        <v>8</v>
      </c>
      <c r="Z322" s="1095">
        <v>32</v>
      </c>
      <c r="AA322" s="1095" t="s">
        <v>102</v>
      </c>
      <c r="AB322" s="1095" t="s">
        <v>102</v>
      </c>
      <c r="AC322" s="1112">
        <v>0.1386</v>
      </c>
      <c r="AD322" s="1089">
        <f>'Liste de prix Public EUROPE'!G20</f>
        <v>1.5299999999999999E-2</v>
      </c>
    </row>
    <row r="323" spans="1:30">
      <c r="A323" s="376"/>
      <c r="B323" s="64"/>
      <c r="C323" s="67"/>
      <c r="D323" s="64"/>
      <c r="E323" s="64"/>
      <c r="F323" s="64"/>
      <c r="G323" s="64"/>
      <c r="H323" s="64"/>
      <c r="I323" s="64"/>
      <c r="U323" s="966"/>
      <c r="X323" s="1093" t="s">
        <v>1427</v>
      </c>
      <c r="Y323" s="1095">
        <v>16</v>
      </c>
      <c r="Z323" s="1095">
        <v>64</v>
      </c>
      <c r="AA323" s="1095" t="s">
        <v>102</v>
      </c>
      <c r="AB323" s="1095" t="s">
        <v>102</v>
      </c>
      <c r="AC323" s="1112">
        <v>0.2772</v>
      </c>
      <c r="AD323" s="1089">
        <f>'Liste de prix Public EUROPE'!G21</f>
        <v>3.0599999999999999E-2</v>
      </c>
    </row>
    <row r="324" spans="1:30" ht="23.4">
      <c r="A324" s="343" t="s">
        <v>378</v>
      </c>
      <c r="B324" s="350" t="s">
        <v>1453</v>
      </c>
      <c r="C324" s="349"/>
      <c r="D324" s="349"/>
      <c r="E324" s="349"/>
      <c r="F324" s="349"/>
      <c r="G324" s="349"/>
      <c r="H324" s="349"/>
      <c r="I324" s="349"/>
      <c r="U324" s="966"/>
      <c r="X324" s="1093" t="s">
        <v>1428</v>
      </c>
      <c r="Y324" s="1095">
        <v>2</v>
      </c>
      <c r="Z324" s="1095">
        <v>8</v>
      </c>
      <c r="AA324" s="1095" t="s">
        <v>102</v>
      </c>
      <c r="AB324" s="1095" t="s">
        <v>102</v>
      </c>
      <c r="AC324" s="1112">
        <v>4.9950000000000008E-2</v>
      </c>
      <c r="AD324" s="1089">
        <f>'Liste de prix Public EUROPE'!G84</f>
        <v>2.3578999999999999</v>
      </c>
    </row>
    <row r="325" spans="1:30">
      <c r="A325" s="376"/>
      <c r="B325" s="64"/>
      <c r="C325" s="67"/>
      <c r="D325" s="64"/>
      <c r="E325" s="64"/>
      <c r="F325" s="64"/>
      <c r="G325" s="64"/>
      <c r="H325" s="64"/>
      <c r="I325" s="64"/>
      <c r="U325" s="966"/>
      <c r="X325" s="1093" t="s">
        <v>1429</v>
      </c>
      <c r="Y325" s="1095">
        <v>4</v>
      </c>
      <c r="Z325" s="1095">
        <v>16</v>
      </c>
      <c r="AA325" s="1095" t="s">
        <v>102</v>
      </c>
      <c r="AB325" s="1095" t="s">
        <v>102</v>
      </c>
      <c r="AC325" s="1112">
        <v>9.9900000000000017E-2</v>
      </c>
      <c r="AD325" s="1089">
        <f>'Liste de prix Public EUROPE'!G85</f>
        <v>4.7159000000000004</v>
      </c>
    </row>
    <row r="326" spans="1:30">
      <c r="A326" s="2099" t="s">
        <v>727</v>
      </c>
      <c r="B326" s="2100"/>
      <c r="C326" s="368" t="s">
        <v>164</v>
      </c>
      <c r="D326" s="64"/>
      <c r="E326" s="64"/>
      <c r="F326" s="64"/>
      <c r="G326" s="64"/>
      <c r="H326" s="64"/>
      <c r="I326" s="64"/>
      <c r="U326" s="966"/>
      <c r="X326" s="1093" t="s">
        <v>1430</v>
      </c>
      <c r="Y326" s="1095">
        <v>8</v>
      </c>
      <c r="Z326" s="1095">
        <v>32</v>
      </c>
      <c r="AA326" s="1095" t="s">
        <v>102</v>
      </c>
      <c r="AB326" s="1095" t="s">
        <v>102</v>
      </c>
      <c r="AC326" s="1112">
        <v>0.19980000000000003</v>
      </c>
      <c r="AD326" s="1089">
        <f>'Liste de prix Public EUROPE'!G93</f>
        <v>0.17929999999999999</v>
      </c>
    </row>
    <row r="327" spans="1:30">
      <c r="A327" s="369" t="s">
        <v>380</v>
      </c>
      <c r="B327" s="425"/>
      <c r="C327" s="382">
        <f>(IF($B$327&lt;=1,0,($B$327-1)*'Liste de prix Public EUROPE'!$H$1237))</f>
        <v>0</v>
      </c>
      <c r="D327" s="64"/>
      <c r="E327" s="64"/>
      <c r="F327" s="64"/>
      <c r="G327" s="64"/>
      <c r="H327" s="64"/>
      <c r="I327" s="64"/>
      <c r="U327" s="966"/>
      <c r="X327" s="1093" t="s">
        <v>1431</v>
      </c>
      <c r="Y327" s="1095">
        <v>16</v>
      </c>
      <c r="Z327" s="1095">
        <v>64</v>
      </c>
      <c r="AA327" s="1095" t="s">
        <v>102</v>
      </c>
      <c r="AB327" s="1095" t="s">
        <v>102</v>
      </c>
      <c r="AC327" s="1112">
        <v>0.29969999999999997</v>
      </c>
      <c r="AD327" s="1089">
        <f>'Liste de prix Public EUROPE'!G95</f>
        <v>0.71760000000000002</v>
      </c>
    </row>
    <row r="328" spans="1:30">
      <c r="A328" s="369" t="s">
        <v>381</v>
      </c>
      <c r="B328" s="425"/>
      <c r="C328" s="382">
        <f>(IF($B$328&lt;=1,0,($B$328-1)*'Liste de prix Public EUROPE'!$H$1239))</f>
        <v>0</v>
      </c>
      <c r="D328" s="64"/>
      <c r="E328" s="64"/>
      <c r="F328" s="64"/>
      <c r="G328" s="64"/>
      <c r="H328" s="64"/>
      <c r="I328" s="64"/>
      <c r="U328" s="966"/>
      <c r="X328" s="1093" t="s">
        <v>1432</v>
      </c>
      <c r="Y328" s="1095">
        <v>2</v>
      </c>
      <c r="Z328" s="1095">
        <v>4</v>
      </c>
      <c r="AA328" s="1095" t="s">
        <v>102</v>
      </c>
      <c r="AB328" s="1095" t="s">
        <v>102</v>
      </c>
      <c r="AC328" s="1112">
        <v>4.7899999999999998E-2</v>
      </c>
      <c r="AD328" s="1089">
        <f>'Liste de prix Public EUROPE'!G76</f>
        <v>4.0941000000000001</v>
      </c>
    </row>
    <row r="329" spans="1:30">
      <c r="A329" s="369" t="s">
        <v>382</v>
      </c>
      <c r="B329" s="425"/>
      <c r="C329" s="382">
        <f>(IF($B$329&lt;=1,0,($B$329-1)*'Liste de prix Public EUROPE'!$H$1241))</f>
        <v>0</v>
      </c>
      <c r="D329" s="64"/>
      <c r="E329" s="64"/>
      <c r="F329" s="64"/>
      <c r="G329" s="64"/>
      <c r="H329" s="64"/>
      <c r="I329" s="64"/>
      <c r="U329" s="966"/>
      <c r="X329" s="1093" t="s">
        <v>1433</v>
      </c>
      <c r="Y329" s="1095">
        <v>4</v>
      </c>
      <c r="Z329" s="1095">
        <v>8</v>
      </c>
      <c r="AA329" s="1095" t="s">
        <v>102</v>
      </c>
      <c r="AB329" s="1095" t="s">
        <v>102</v>
      </c>
      <c r="AC329" s="1112">
        <v>9.5799999999999996E-2</v>
      </c>
      <c r="AD329" s="1089">
        <f>'Liste de prix Public EUROPE'!G77</f>
        <v>4.0941000000000001</v>
      </c>
    </row>
    <row r="330" spans="1:30">
      <c r="A330" s="619" t="s">
        <v>1813</v>
      </c>
      <c r="B330" s="676"/>
      <c r="C330" s="382">
        <f>(IF($B$330&lt;=100,0,($B$330-100)*'Liste de prix Public EUROPE'!$H$1243))</f>
        <v>0</v>
      </c>
      <c r="D330" s="64"/>
      <c r="E330" s="64"/>
      <c r="F330" s="64"/>
      <c r="G330" s="64"/>
      <c r="H330" s="64"/>
      <c r="I330" s="64"/>
      <c r="U330" s="966"/>
      <c r="X330" s="1093" t="s">
        <v>1434</v>
      </c>
      <c r="Y330" s="1095">
        <v>8</v>
      </c>
      <c r="Z330" s="1095">
        <v>16</v>
      </c>
      <c r="AA330" s="1095" t="s">
        <v>102</v>
      </c>
      <c r="AB330" s="1095" t="s">
        <v>102</v>
      </c>
      <c r="AC330" s="1112">
        <v>0.19164999999999999</v>
      </c>
      <c r="AD330" s="1089">
        <f>'Liste de prix Public EUROPE'!G78</f>
        <v>0.14729999999999999</v>
      </c>
    </row>
    <row r="331" spans="1:30">
      <c r="A331" s="376"/>
      <c r="B331" s="64"/>
      <c r="C331" s="64"/>
      <c r="D331" s="64"/>
      <c r="E331" s="64"/>
      <c r="F331" s="64"/>
      <c r="G331" s="64"/>
      <c r="H331" s="64"/>
      <c r="I331" s="64"/>
      <c r="U331" s="966"/>
      <c r="X331" s="1093" t="s">
        <v>1435</v>
      </c>
      <c r="Y331" s="1095">
        <v>16</v>
      </c>
      <c r="Z331" s="1095">
        <v>32</v>
      </c>
      <c r="AA331" s="1095" t="s">
        <v>102</v>
      </c>
      <c r="AB331" s="1095" t="s">
        <v>102</v>
      </c>
      <c r="AC331" s="1112">
        <v>0.38329999999999997</v>
      </c>
      <c r="AD331" s="1089">
        <f>'Liste de prix Public EUROPE'!G80</f>
        <v>0.58950000000000002</v>
      </c>
    </row>
    <row r="332" spans="1:30">
      <c r="A332" s="2099" t="s">
        <v>1249</v>
      </c>
      <c r="B332" s="2100"/>
      <c r="C332" s="368" t="s">
        <v>164</v>
      </c>
      <c r="D332" s="64"/>
      <c r="E332" s="64"/>
      <c r="F332" s="64"/>
      <c r="G332" s="64"/>
      <c r="H332" s="64"/>
      <c r="I332" s="64"/>
      <c r="K332" s="944" t="s">
        <v>1215</v>
      </c>
      <c r="L332" s="945">
        <v>0</v>
      </c>
      <c r="N332" s="945" t="s">
        <v>1222</v>
      </c>
      <c r="O332" s="945">
        <v>0</v>
      </c>
      <c r="U332" s="966"/>
    </row>
    <row r="333" spans="1:30">
      <c r="A333" s="1038" t="s">
        <v>1252</v>
      </c>
      <c r="B333" s="577"/>
      <c r="C333" s="382">
        <f>$H$333/1000000</f>
        <v>0</v>
      </c>
      <c r="D333" s="64"/>
      <c r="E333" s="64"/>
      <c r="F333" s="64"/>
      <c r="G333" s="64"/>
      <c r="H333" s="64"/>
      <c r="I333" s="64"/>
      <c r="K333" s="944" t="s">
        <v>1216</v>
      </c>
      <c r="L333" s="945">
        <v>0.4</v>
      </c>
      <c r="N333" s="945" t="s">
        <v>1223</v>
      </c>
      <c r="O333" s="945">
        <v>7.0000000000000007E-2</v>
      </c>
      <c r="U333" s="966"/>
    </row>
    <row r="334" spans="1:30">
      <c r="A334" s="1038" t="s">
        <v>1253</v>
      </c>
      <c r="B334" s="1042"/>
      <c r="C334" s="382">
        <f>IF($B$334&lt;=15,$B$334*0,IF(AND($B$334&gt;15,$B$334&lt;=10000),($B$334-15)*$O$333,IF(AND($B$334&gt;10000,$B$334&lt;=50000),($B$334-10000)*$O$334+(10000-15)*$O$333,IF(AND($B$334&gt;50000,$B$334&lt;=150000),($B$334-50000)*$O$335+(50000-10000)*$O$334+(10000-15)*$O$333,IF(AND($B$334&gt;150000,$B$334&lt;=500000),($B$334-150000)*$O$336+(150000-50000)*$O$335+(50000-10000)*$O$334+(10000-15)*$O$333)))))</f>
        <v>0</v>
      </c>
      <c r="D334" s="64"/>
      <c r="E334" s="64"/>
      <c r="F334" s="64"/>
      <c r="G334" s="64"/>
      <c r="H334" s="64"/>
      <c r="I334" s="64"/>
      <c r="K334" s="944" t="s">
        <v>1217</v>
      </c>
      <c r="L334" s="945">
        <v>0.37</v>
      </c>
      <c r="N334" s="945" t="s">
        <v>1224</v>
      </c>
      <c r="O334" s="945">
        <v>6.6000000000000003E-2</v>
      </c>
      <c r="U334" s="966"/>
    </row>
    <row r="335" spans="1:30">
      <c r="A335" s="376"/>
      <c r="B335" s="377" t="s">
        <v>170</v>
      </c>
      <c r="C335" s="378">
        <f>SUM($C$333:$C$334)</f>
        <v>0</v>
      </c>
      <c r="D335" s="64"/>
      <c r="E335" s="64"/>
      <c r="F335" s="64"/>
      <c r="G335" s="64"/>
      <c r="H335" s="64"/>
      <c r="I335" s="64"/>
      <c r="K335" s="944" t="s">
        <v>1218</v>
      </c>
      <c r="L335" s="945">
        <v>0.31</v>
      </c>
      <c r="N335" s="945" t="s">
        <v>1225</v>
      </c>
      <c r="O335" s="945">
        <v>5.3999999999999999E-2</v>
      </c>
      <c r="U335" s="966"/>
    </row>
    <row r="336" spans="1:30">
      <c r="A336" s="376"/>
      <c r="B336" s="64"/>
      <c r="C336" s="917"/>
      <c r="D336" s="64"/>
      <c r="E336" s="64"/>
      <c r="F336" s="64"/>
      <c r="G336" s="64"/>
      <c r="H336" s="64"/>
      <c r="I336" s="64"/>
      <c r="K336" s="944" t="s">
        <v>1219</v>
      </c>
      <c r="L336" s="945">
        <v>0.27</v>
      </c>
      <c r="N336" s="945" t="s">
        <v>1226</v>
      </c>
      <c r="O336" s="945">
        <v>3.7999999999999999E-2</v>
      </c>
      <c r="U336" s="966"/>
    </row>
    <row r="337" spans="1:21">
      <c r="A337" s="1633" t="s">
        <v>2361</v>
      </c>
      <c r="B337" s="621" t="s">
        <v>90</v>
      </c>
      <c r="C337" s="621" t="s">
        <v>164</v>
      </c>
      <c r="D337" s="64"/>
      <c r="E337" s="64"/>
      <c r="F337" s="64"/>
      <c r="G337" s="64"/>
      <c r="H337" s="64"/>
      <c r="I337" s="64"/>
      <c r="K337" s="944"/>
      <c r="U337" s="966"/>
    </row>
    <row r="338" spans="1:21">
      <c r="A338" s="701" t="s">
        <v>2319</v>
      </c>
      <c r="B338" s="629"/>
      <c r="C338" s="1634">
        <f>VLOOKUP($A$338,'Liste de prix Public EUROPE'!$B$1263:$C$1266,2,FALSE)*$B$338</f>
        <v>0</v>
      </c>
      <c r="D338" s="64"/>
      <c r="E338" s="64"/>
      <c r="F338" s="64"/>
      <c r="G338" s="64"/>
      <c r="H338" s="64"/>
      <c r="I338" s="64"/>
      <c r="K338" s="944"/>
      <c r="U338" s="966"/>
    </row>
    <row r="339" spans="1:21">
      <c r="A339" s="701" t="s">
        <v>2320</v>
      </c>
      <c r="B339" s="591"/>
      <c r="C339" s="1634">
        <f>VLOOKUP($A$339,'Liste de prix Public EUROPE'!$B$1263:$C$1266,2,FALSE)*$B$339</f>
        <v>0</v>
      </c>
      <c r="D339" s="64"/>
      <c r="E339" s="64"/>
      <c r="F339" s="64"/>
      <c r="G339" s="64"/>
      <c r="H339" s="173"/>
      <c r="I339" s="173"/>
      <c r="K339" s="944"/>
      <c r="U339" s="966"/>
    </row>
    <row r="340" spans="1:21">
      <c r="A340" s="701" t="s">
        <v>2321</v>
      </c>
      <c r="B340" s="629"/>
      <c r="C340" s="1634">
        <f>VLOOKUP($A$340,'Liste de prix Public EUROPE'!$B$1263:$C$1266,2,FALSE)*$B$340</f>
        <v>0</v>
      </c>
      <c r="D340" s="64"/>
      <c r="E340" s="64"/>
      <c r="F340" s="64"/>
      <c r="G340" s="64"/>
      <c r="H340" s="173"/>
      <c r="I340" s="173"/>
      <c r="K340" s="944"/>
      <c r="U340" s="966"/>
    </row>
    <row r="341" spans="1:21">
      <c r="A341" s="701" t="s">
        <v>2322</v>
      </c>
      <c r="B341" s="591"/>
      <c r="C341" s="1634">
        <f>VLOOKUP($A$341,'Liste de prix Public EUROPE'!$B$1263:$C$1266,2,FALSE)*$B$341</f>
        <v>0</v>
      </c>
      <c r="D341" s="64"/>
      <c r="E341" s="64"/>
      <c r="F341" s="64"/>
      <c r="G341" s="64"/>
      <c r="H341" s="173"/>
      <c r="I341" s="173"/>
      <c r="K341" s="944"/>
      <c r="U341" s="966"/>
    </row>
    <row r="342" spans="1:21">
      <c r="A342" s="396"/>
      <c r="B342" s="1540" t="s">
        <v>170</v>
      </c>
      <c r="C342" s="1635">
        <f>SUM(C338:C341)</f>
        <v>0</v>
      </c>
      <c r="D342" s="64"/>
      <c r="E342" s="64"/>
      <c r="F342" s="64"/>
      <c r="G342" s="64"/>
      <c r="H342" s="173"/>
      <c r="I342" s="173"/>
      <c r="K342" s="944"/>
      <c r="U342" s="966"/>
    </row>
    <row r="343" spans="1:21">
      <c r="A343" s="376"/>
      <c r="B343" s="64"/>
      <c r="C343" s="64"/>
      <c r="D343" s="64"/>
      <c r="E343" s="64"/>
      <c r="F343" s="64"/>
      <c r="G343" s="64"/>
      <c r="H343" s="173"/>
      <c r="I343" s="173"/>
      <c r="K343" s="946"/>
      <c r="L343" s="946"/>
      <c r="M343" s="946"/>
      <c r="N343" s="946"/>
      <c r="O343" s="946"/>
      <c r="U343" s="966"/>
    </row>
    <row r="344" spans="1:21">
      <c r="A344" s="580" t="s">
        <v>633</v>
      </c>
      <c r="B344" s="368" t="s">
        <v>165</v>
      </c>
      <c r="C344" s="368" t="s">
        <v>435</v>
      </c>
      <c r="D344" s="368" t="s">
        <v>434</v>
      </c>
      <c r="E344" s="368" t="s">
        <v>8</v>
      </c>
      <c r="F344" s="368" t="s">
        <v>164</v>
      </c>
      <c r="G344" s="846"/>
      <c r="H344" s="173"/>
      <c r="I344" s="173"/>
      <c r="U344" s="966"/>
    </row>
    <row r="345" spans="1:21">
      <c r="A345" s="585"/>
      <c r="B345" s="415"/>
      <c r="C345" s="577"/>
      <c r="D345" s="417"/>
      <c r="E345" s="417"/>
      <c r="F345" s="371">
        <f>(IF($D$345=$U$79,VLOOKUP($A$345,'Liste de prix Public EUROPE'!$B$1871:$M$1886,12,FALSE),IF($D$345=$U$78,VLOOKUP($A$345,'Liste de prix Public EUROPE'!$B$1871:$M$1886,9,FALSE),FALSE))*$B$345+$C$345*IF($D$345=$U$78,VLOOKUP($A$345,'Liste de prix Public EUROPE'!$B$1871:$M$1886,10,FALSE),0)*$B$345)</f>
        <v>0</v>
      </c>
      <c r="G345" s="842"/>
      <c r="H345" s="173"/>
      <c r="I345" s="173"/>
      <c r="U345" s="966"/>
    </row>
    <row r="346" spans="1:21">
      <c r="A346" s="585"/>
      <c r="B346" s="415"/>
      <c r="C346" s="577"/>
      <c r="D346" s="417"/>
      <c r="E346" s="417"/>
      <c r="F346" s="371">
        <f>(IF($D$345=$U$79,VLOOKUP($A$345,'Liste de prix Public EUROPE'!$B$1871:$M$1886,12,FALSE),IF($D$345=$U$78,VLOOKUP($A$345,'Liste de prix Public EUROPE'!$B$1871:$M$1886,9,FALSE),FALSE))*$B$345+$C$345*IF($D$345=$U$78,VLOOKUP($A$345,'Liste de prix Public EUROPE'!$B$1871:$M$1886,10,FALSE),0)*$B$345)</f>
        <v>0</v>
      </c>
      <c r="G346" s="842"/>
      <c r="H346" s="173"/>
      <c r="I346" s="173"/>
      <c r="U346" s="966"/>
    </row>
    <row r="347" spans="1:21">
      <c r="A347" s="585"/>
      <c r="B347" s="415"/>
      <c r="C347" s="577"/>
      <c r="D347" s="417"/>
      <c r="E347" s="417"/>
      <c r="F347" s="371">
        <f>(IF($D$345=$U$79,VLOOKUP($A$345,'Liste de prix Public EUROPE'!$B$1871:$M$1886,12,FALSE),IF($D$345=$U$78,VLOOKUP($A$345,'Liste de prix Public EUROPE'!$B$1871:$M$1886,9,FALSE),FALSE))*$B$345+$C$345*IF($D$345=$U$78,VLOOKUP($A$345,'Liste de prix Public EUROPE'!$B$1871:$M$1886,10,FALSE),0)*$B$345)</f>
        <v>0</v>
      </c>
      <c r="G347" s="842"/>
      <c r="H347" s="173"/>
      <c r="I347" s="173"/>
      <c r="U347" s="966"/>
    </row>
    <row r="348" spans="1:21">
      <c r="A348" s="585"/>
      <c r="B348" s="415"/>
      <c r="C348" s="577"/>
      <c r="D348" s="417"/>
      <c r="E348" s="417"/>
      <c r="F348" s="371">
        <f>(IF($D$345=$U$79,VLOOKUP($A$345,'Liste de prix Public EUROPE'!$B$1871:$M$1886,12,FALSE),IF($D$345=$U$78,VLOOKUP($A$345,'Liste de prix Public EUROPE'!$B$1871:$M$1886,9,FALSE),FALSE))*$B$345+$C$345*IF($D$345=$U$78,VLOOKUP($A$345,'Liste de prix Public EUROPE'!$B$1871:$M$1886,10,FALSE),0)*$B$345)</f>
        <v>0</v>
      </c>
      <c r="G348" s="842"/>
      <c r="H348" s="173"/>
      <c r="I348" s="173"/>
      <c r="U348" s="966"/>
    </row>
    <row r="349" spans="1:21">
      <c r="A349" s="376"/>
      <c r="B349" s="64"/>
      <c r="C349" s="64"/>
      <c r="D349" s="64"/>
      <c r="E349" s="377" t="s">
        <v>170</v>
      </c>
      <c r="F349" s="378">
        <f>SUM($F$345:$F$348)</f>
        <v>0</v>
      </c>
      <c r="G349" s="298"/>
      <c r="H349" s="173"/>
      <c r="I349" s="173"/>
      <c r="U349" s="966"/>
    </row>
    <row r="350" spans="1:21">
      <c r="A350" s="64"/>
      <c r="B350" s="64"/>
      <c r="C350" s="64"/>
      <c r="D350" s="64"/>
      <c r="E350" s="64"/>
      <c r="F350" s="917"/>
      <c r="G350" s="917"/>
      <c r="H350" s="173"/>
      <c r="I350" s="173"/>
      <c r="P350" s="945" t="s">
        <v>0</v>
      </c>
      <c r="U350" s="966"/>
    </row>
    <row r="351" spans="1:21">
      <c r="A351" s="2130" t="s">
        <v>2101</v>
      </c>
      <c r="B351" s="2131"/>
      <c r="C351" s="2131"/>
      <c r="D351" s="2131"/>
      <c r="E351" s="2131"/>
      <c r="F351" s="2131"/>
      <c r="G351" s="2131"/>
      <c r="H351" s="2131"/>
      <c r="I351" s="2132"/>
      <c r="U351" s="966"/>
    </row>
    <row r="352" spans="1:21">
      <c r="A352" s="621" t="s">
        <v>2017</v>
      </c>
      <c r="B352" s="621" t="s">
        <v>165</v>
      </c>
      <c r="C352" s="621" t="s">
        <v>435</v>
      </c>
      <c r="D352" s="621" t="s">
        <v>1999</v>
      </c>
      <c r="E352" s="621" t="s">
        <v>2104</v>
      </c>
      <c r="F352" s="917"/>
      <c r="G352" s="917"/>
      <c r="H352" s="917"/>
      <c r="I352" s="404"/>
      <c r="U352" s="966"/>
    </row>
    <row r="353" spans="1:21">
      <c r="A353" s="415"/>
      <c r="B353" s="415"/>
      <c r="C353" s="415"/>
      <c r="D353" s="415"/>
      <c r="E353" s="371">
        <f>IFERROR((IF(D353=$P$350,
(VLOOKUP(A353,'Liste de prix Public EUROPE'!$B$1901:'Liste de prix Public EUROPE'!$K$1912,10,FALSE)*C353),
(VLOOKUP(A353,'Liste de prix Public EUROPE'!$B$1901:'Liste de prix Public EUROPE'!$K$1912,8,FALSE)*C353))*B353),0)</f>
        <v>0</v>
      </c>
      <c r="F353" s="917"/>
      <c r="G353" s="917"/>
      <c r="H353" s="917"/>
      <c r="I353" s="404"/>
      <c r="U353" s="966"/>
    </row>
    <row r="354" spans="1:21">
      <c r="A354" s="415"/>
      <c r="B354" s="415"/>
      <c r="C354" s="415"/>
      <c r="D354" s="415"/>
      <c r="E354" s="371">
        <f>IFERROR((IF(D354=$P$350,
(VLOOKUP(A354,'Liste de prix Public EUROPE'!$B$1901:'Liste de prix Public EUROPE'!$K$1912,10,FALSE)*C354),
(VLOOKUP(A354,'Liste de prix Public EUROPE'!$B$1901:'Liste de prix Public EUROPE'!$K$1912,8,FALSE)*C354))*B354),0)</f>
        <v>0</v>
      </c>
      <c r="F354" s="917"/>
      <c r="G354" s="917"/>
      <c r="H354" s="917"/>
      <c r="I354" s="404"/>
      <c r="U354" s="966"/>
    </row>
    <row r="355" spans="1:21">
      <c r="A355" s="628"/>
      <c r="B355" s="628"/>
      <c r="C355" s="628"/>
      <c r="D355" s="415"/>
      <c r="E355" s="371">
        <f>IFERROR((IF(D355=$P$350,
(VLOOKUP(A355,'Liste de prix Public EUROPE'!$B$1901:'Liste de prix Public EUROPE'!$K$1912,10,FALSE)*C355),
(VLOOKUP(A355,'Liste de prix Public EUROPE'!$B$1901:'Liste de prix Public EUROPE'!$K$1912,8,FALSE)*C355))*B355),0)</f>
        <v>0</v>
      </c>
      <c r="F355" s="917"/>
      <c r="G355" s="917"/>
      <c r="H355" s="917"/>
      <c r="I355" s="404"/>
      <c r="U355" s="966"/>
    </row>
    <row r="356" spans="1:21">
      <c r="A356" s="64"/>
      <c r="B356" s="64"/>
      <c r="C356" s="64"/>
      <c r="D356" s="619" t="s">
        <v>1818</v>
      </c>
      <c r="E356" s="371">
        <f>E353+E354+E355</f>
        <v>0</v>
      </c>
      <c r="F356" s="917"/>
      <c r="G356" s="917"/>
      <c r="H356" s="917"/>
      <c r="I356" s="404"/>
      <c r="U356" s="966"/>
    </row>
    <row r="357" spans="1:21">
      <c r="A357" s="376"/>
      <c r="B357" s="64"/>
      <c r="C357" s="64"/>
      <c r="D357" s="64"/>
      <c r="E357" s="64"/>
      <c r="F357" s="917"/>
      <c r="G357" s="917"/>
      <c r="H357" s="917"/>
      <c r="I357" s="404"/>
      <c r="U357" s="966"/>
    </row>
    <row r="358" spans="1:21">
      <c r="A358" s="621" t="s">
        <v>2110</v>
      </c>
      <c r="B358" s="621" t="s">
        <v>2107</v>
      </c>
      <c r="C358" s="621" t="s">
        <v>2108</v>
      </c>
      <c r="D358" s="621" t="s">
        <v>2104</v>
      </c>
      <c r="E358" s="64"/>
      <c r="F358" s="917"/>
      <c r="G358" s="917"/>
      <c r="H358" s="917"/>
      <c r="I358" s="404"/>
      <c r="U358" s="966"/>
    </row>
    <row r="359" spans="1:21">
      <c r="A359" s="415"/>
      <c r="B359" s="415"/>
      <c r="C359" s="415"/>
      <c r="D359" s="371">
        <f>IFERROR((VLOOKUP(B359,'Liste de prix Public EUROPE'!B1878:E1912,4,FALSE)*VLOOKUP(C359,'Liste de prix Public EUROPE'!B1878:E1912,4,FALSE)*A359),0)</f>
        <v>0</v>
      </c>
      <c r="E359" s="64"/>
      <c r="F359" s="917"/>
      <c r="G359" s="917"/>
      <c r="H359" s="917"/>
      <c r="I359" s="404"/>
      <c r="U359" s="966"/>
    </row>
    <row r="360" spans="1:21">
      <c r="A360" s="415"/>
      <c r="B360" s="415"/>
      <c r="C360" s="415"/>
      <c r="D360" s="371">
        <f>IFERROR((VLOOKUP(B360,'Liste de prix Public EUROPE'!B1879:E1913,4,FALSE)*VLOOKUP(C360,'Liste de prix Public EUROPE'!B1879:E1913,4,FALSE)*A360),0)</f>
        <v>0</v>
      </c>
      <c r="E360" s="64"/>
      <c r="F360" s="917"/>
      <c r="G360" s="917"/>
      <c r="H360" s="917"/>
      <c r="I360" s="404"/>
      <c r="U360" s="966"/>
    </row>
    <row r="361" spans="1:21">
      <c r="A361" s="628"/>
      <c r="B361" s="628"/>
      <c r="C361" s="628"/>
      <c r="D361" s="371">
        <f>IFERROR((VLOOKUP(B361,'Liste de prix Public EUROPE'!B1880:E1914,4,FALSE)*VLOOKUP(C361,'Liste de prix Public EUROPE'!B1880:E1914,4,FALSE)*A361),0)</f>
        <v>0</v>
      </c>
      <c r="E361" s="64"/>
      <c r="F361" s="917"/>
      <c r="G361" s="917"/>
      <c r="H361" s="917"/>
      <c r="I361" s="404"/>
      <c r="U361" s="966"/>
    </row>
    <row r="362" spans="1:21">
      <c r="A362" s="64"/>
      <c r="B362" s="64"/>
      <c r="C362" s="1461" t="s">
        <v>1591</v>
      </c>
      <c r="D362" s="1459">
        <f>D359+D360+D361</f>
        <v>0</v>
      </c>
      <c r="E362" s="64"/>
      <c r="F362" s="917"/>
      <c r="G362" s="917"/>
      <c r="H362" s="917"/>
      <c r="I362" s="404"/>
      <c r="U362" s="966"/>
    </row>
    <row r="363" spans="1:21">
      <c r="A363" s="376"/>
      <c r="B363" s="64"/>
      <c r="C363" s="64"/>
      <c r="D363" s="64"/>
      <c r="E363" s="64"/>
      <c r="F363" s="917"/>
      <c r="G363" s="917"/>
      <c r="H363" s="917"/>
      <c r="I363" s="404"/>
      <c r="U363" s="966"/>
    </row>
    <row r="364" spans="1:21">
      <c r="A364" s="621" t="s">
        <v>2111</v>
      </c>
      <c r="B364" s="621" t="s">
        <v>2109</v>
      </c>
      <c r="C364" s="621" t="s">
        <v>2104</v>
      </c>
      <c r="D364" s="64"/>
      <c r="E364" s="64"/>
      <c r="F364" s="917"/>
      <c r="G364" s="917"/>
      <c r="H364" s="917"/>
      <c r="I364" s="404"/>
      <c r="U364" s="966"/>
    </row>
    <row r="365" spans="1:21">
      <c r="A365" s="415"/>
      <c r="B365" s="415"/>
      <c r="C365" s="371">
        <f>IFERROR((VLOOKUP(B365,'Liste de prix Public EUROPE'!$B$1952:$E$1960,4,FALSE)*A365),0)</f>
        <v>0</v>
      </c>
      <c r="D365" s="64"/>
      <c r="E365" s="64"/>
      <c r="F365" s="917"/>
      <c r="G365" s="917"/>
      <c r="H365" s="917"/>
      <c r="I365" s="404"/>
      <c r="U365" s="966"/>
    </row>
    <row r="366" spans="1:21">
      <c r="A366" s="415"/>
      <c r="B366" s="415"/>
      <c r="C366" s="371">
        <f>IFERROR((VLOOKUP(B366,'Liste de prix Public EUROPE'!$B$1952:$E$1960,4,FALSE)*A366),0)</f>
        <v>0</v>
      </c>
      <c r="D366" s="64"/>
      <c r="E366" s="64"/>
      <c r="F366" s="917"/>
      <c r="G366" s="917"/>
      <c r="H366" s="917"/>
      <c r="I366" s="404"/>
      <c r="U366" s="966"/>
    </row>
    <row r="367" spans="1:21">
      <c r="A367" s="415"/>
      <c r="B367" s="415"/>
      <c r="C367" s="371">
        <f>IFERROR((VLOOKUP(B367,'Liste de prix Public EUROPE'!$B$1952:$E$1960,4,FALSE)*A367),0)</f>
        <v>0</v>
      </c>
      <c r="D367" s="64"/>
      <c r="E367" s="64"/>
      <c r="F367" s="917"/>
      <c r="G367" s="917"/>
      <c r="H367" s="917"/>
      <c r="I367" s="404"/>
      <c r="U367" s="966"/>
    </row>
    <row r="368" spans="1:21">
      <c r="A368" s="376"/>
      <c r="B368" s="1460" t="s">
        <v>1591</v>
      </c>
      <c r="C368" s="1459">
        <f>C365+C366+C367</f>
        <v>0</v>
      </c>
      <c r="D368" s="64"/>
      <c r="E368" s="64"/>
      <c r="F368" s="917"/>
      <c r="G368" s="917"/>
      <c r="H368" s="917"/>
      <c r="I368" s="404"/>
      <c r="U368" s="966"/>
    </row>
    <row r="369" spans="1:23">
      <c r="A369" s="376"/>
      <c r="B369" s="64"/>
      <c r="C369" s="64"/>
      <c r="D369" s="64"/>
      <c r="E369" s="64"/>
      <c r="F369" s="917"/>
      <c r="G369" s="917"/>
      <c r="H369" s="917"/>
      <c r="I369" s="404"/>
      <c r="P369" s="945" t="s">
        <v>0</v>
      </c>
      <c r="U369" s="966"/>
    </row>
    <row r="370" spans="1:23">
      <c r="A370" s="621" t="s">
        <v>2112</v>
      </c>
      <c r="B370" s="64"/>
      <c r="C370" s="64"/>
      <c r="D370" s="64"/>
      <c r="E370" s="64"/>
      <c r="F370" s="917"/>
      <c r="G370" s="917"/>
      <c r="H370" s="917"/>
      <c r="I370" s="404"/>
      <c r="U370" s="966"/>
    </row>
    <row r="371" spans="1:23">
      <c r="A371" s="641">
        <f>E356+D362+C368</f>
        <v>0</v>
      </c>
      <c r="B371" s="64"/>
      <c r="C371" s="64"/>
      <c r="D371" s="64"/>
      <c r="E371" s="64"/>
      <c r="F371" s="917"/>
      <c r="G371" s="917"/>
      <c r="H371" s="917"/>
      <c r="I371" s="404"/>
      <c r="U371" s="966"/>
    </row>
    <row r="372" spans="1:23">
      <c r="A372" s="376"/>
      <c r="B372" s="64"/>
      <c r="C372" s="64"/>
      <c r="D372" s="64"/>
      <c r="E372" s="64"/>
      <c r="F372" s="917"/>
      <c r="G372" s="917"/>
      <c r="H372" s="173"/>
      <c r="I372" s="404"/>
      <c r="U372" s="966"/>
    </row>
    <row r="373" spans="1:23">
      <c r="A373" s="376"/>
      <c r="B373" s="64"/>
      <c r="C373" s="64"/>
      <c r="D373" s="64"/>
      <c r="E373" s="64"/>
      <c r="F373" s="917"/>
      <c r="G373" s="64"/>
      <c r="H373" s="173"/>
      <c r="I373" s="404"/>
      <c r="U373" s="966"/>
    </row>
    <row r="374" spans="1:23">
      <c r="A374" s="638" t="s">
        <v>733</v>
      </c>
      <c r="B374" s="620" t="s">
        <v>90</v>
      </c>
      <c r="C374" s="368" t="s">
        <v>164</v>
      </c>
      <c r="D374" s="64"/>
      <c r="E374" s="64"/>
      <c r="F374" s="917"/>
      <c r="G374" s="64"/>
      <c r="H374" s="173"/>
      <c r="I374" s="404"/>
      <c r="U374" s="966"/>
    </row>
    <row r="375" spans="1:23">
      <c r="A375" s="610" t="s">
        <v>691</v>
      </c>
      <c r="B375" s="640"/>
      <c r="C375" s="641">
        <f>(B375*'Liste de prix Public EUROPE'!$D$1965)</f>
        <v>0</v>
      </c>
      <c r="D375" s="64"/>
      <c r="E375" s="64"/>
      <c r="F375" s="64"/>
      <c r="G375" s="64"/>
      <c r="H375" s="173"/>
      <c r="I375" s="404"/>
      <c r="T375" s="994" t="s">
        <v>1068</v>
      </c>
      <c r="U375" s="966"/>
      <c r="W375" s="916" t="s">
        <v>1100</v>
      </c>
    </row>
    <row r="376" spans="1:23">
      <c r="A376" s="610" t="s">
        <v>692</v>
      </c>
      <c r="B376" s="640"/>
      <c r="C376" s="641">
        <f>(B376*'Liste de prix Public EUROPE'!$D$1966)</f>
        <v>0</v>
      </c>
      <c r="D376" s="64"/>
      <c r="E376" s="64"/>
      <c r="F376" s="64"/>
      <c r="G376" s="64"/>
      <c r="H376" s="173"/>
      <c r="I376" s="404"/>
      <c r="T376" s="994" t="s">
        <v>640</v>
      </c>
      <c r="U376" s="966"/>
      <c r="W376" s="712" t="s">
        <v>1108</v>
      </c>
    </row>
    <row r="377" spans="1:23">
      <c r="A377" s="610" t="s">
        <v>554</v>
      </c>
      <c r="B377" s="640"/>
      <c r="C377" s="641">
        <f>(B377*'Liste de prix Public EUROPE'!$D$1967)</f>
        <v>0</v>
      </c>
      <c r="D377" s="64"/>
      <c r="E377" s="64"/>
      <c r="F377" s="64"/>
      <c r="G377" s="64"/>
      <c r="H377" s="173"/>
      <c r="I377" s="404"/>
      <c r="Q377" s="945" t="s">
        <v>1100</v>
      </c>
      <c r="T377" s="995" t="s">
        <v>641</v>
      </c>
      <c r="U377" s="966"/>
      <c r="W377" s="712" t="s">
        <v>1109</v>
      </c>
    </row>
    <row r="378" spans="1:23">
      <c r="A378" s="64"/>
      <c r="B378" s="377" t="s">
        <v>170</v>
      </c>
      <c r="C378" s="378">
        <f>SUM(C375:C377)</f>
        <v>0</v>
      </c>
      <c r="D378" s="64"/>
      <c r="E378" s="64"/>
      <c r="F378" s="64"/>
      <c r="G378" s="64"/>
      <c r="H378" s="173"/>
      <c r="I378" s="404"/>
      <c r="Q378" s="945" t="s">
        <v>1101</v>
      </c>
      <c r="T378" s="995" t="s">
        <v>642</v>
      </c>
      <c r="U378" s="966"/>
      <c r="W378" s="712" t="s">
        <v>1110</v>
      </c>
    </row>
    <row r="379" spans="1:23">
      <c r="A379" s="64"/>
      <c r="B379" s="64"/>
      <c r="C379" s="64"/>
      <c r="D379" s="64"/>
      <c r="E379" s="64"/>
      <c r="F379" s="64"/>
      <c r="G379" s="64"/>
      <c r="H379" s="173"/>
      <c r="I379" s="404"/>
      <c r="Q379" s="945" t="s">
        <v>1102</v>
      </c>
      <c r="T379" s="994" t="s">
        <v>1069</v>
      </c>
      <c r="U379" s="966"/>
      <c r="W379" s="712" t="s">
        <v>1111</v>
      </c>
    </row>
    <row r="380" spans="1:23">
      <c r="A380" s="687" t="s">
        <v>1254</v>
      </c>
      <c r="B380" s="368" t="s">
        <v>165</v>
      </c>
      <c r="C380" s="368" t="s">
        <v>435</v>
      </c>
      <c r="D380" s="368" t="s">
        <v>646</v>
      </c>
      <c r="E380" s="368" t="s">
        <v>164</v>
      </c>
      <c r="F380" s="64"/>
      <c r="G380" s="64"/>
      <c r="H380" s="173"/>
      <c r="I380" s="404"/>
      <c r="Q380" s="945" t="s">
        <v>1100</v>
      </c>
      <c r="T380" s="995" t="s">
        <v>643</v>
      </c>
      <c r="U380" s="966"/>
      <c r="W380" s="712" t="s">
        <v>1112</v>
      </c>
    </row>
    <row r="381" spans="1:23">
      <c r="A381" s="585"/>
      <c r="B381" s="415"/>
      <c r="C381" s="577"/>
      <c r="D381" s="417"/>
      <c r="E381" s="692">
        <f>(IF(D381=$Q$377,VLOOKUP(A381,'Liste de prix Public EUROPE'!$B$1623:$E$1628,4,FALSE),
IF(D381=$Q$378,VLOOKUP(A381,'Liste de prix Public EUROPE'!$B$1630:$E$1635,4,FALSE),
IF(D381=$Q$379,VLOOKUP(A381,'Liste de prix Public EUROPE'!$B$1637:$E$1641,4,FALSE),0))))*B381*C381</f>
        <v>0</v>
      </c>
      <c r="F381" s="64"/>
      <c r="G381" s="64"/>
      <c r="H381" s="173"/>
      <c r="I381" s="404"/>
      <c r="Q381" s="945" t="s">
        <v>1835</v>
      </c>
      <c r="T381" s="995" t="s">
        <v>644</v>
      </c>
      <c r="U381" s="966"/>
      <c r="W381" s="712" t="s">
        <v>1113</v>
      </c>
    </row>
    <row r="382" spans="1:23">
      <c r="A382" s="585"/>
      <c r="B382" s="415"/>
      <c r="C382" s="577"/>
      <c r="D382" s="417"/>
      <c r="E382" s="692">
        <f>(IF(D382=$Q$377,VLOOKUP(A382,'Liste de prix Public EUROPE'!$B$1623:$E$1628,4,FALSE),
IF(D382=$Q$378,VLOOKUP(A382,'Liste de prix Public EUROPE'!$B$1630:$E$1635,4,FALSE),
IF(D382=$Q$379,VLOOKUP(A382,'Liste de prix Public EUROPE'!$B$1637:$E$1641,4,FALSE),0))))*B382*C382</f>
        <v>0</v>
      </c>
      <c r="F382" s="64"/>
      <c r="G382" s="64"/>
      <c r="H382" s="173"/>
      <c r="I382" s="404"/>
      <c r="Q382" s="945" t="s">
        <v>1842</v>
      </c>
      <c r="T382" s="996" t="s">
        <v>645</v>
      </c>
      <c r="U382" s="966"/>
      <c r="W382" s="1163" t="s">
        <v>1829</v>
      </c>
    </row>
    <row r="383" spans="1:23">
      <c r="A383" s="585"/>
      <c r="B383" s="415"/>
      <c r="C383" s="577"/>
      <c r="D383" s="417"/>
      <c r="E383" s="692">
        <f>(IF(D383=$Q$377,VLOOKUP(A383,'Liste de prix Public EUROPE'!$B$1623:$E$1628,4,FALSE),
IF(D383=$Q$378,VLOOKUP(A383,'Liste de prix Public EUROPE'!$B$1630:$E$1635,4,FALSE),
IF(D383=$Q$379,VLOOKUP(A383,'Liste de prix Public EUROPE'!$B$1637:$E$1641,4,FALSE),0))))*B383*C383</f>
        <v>0</v>
      </c>
      <c r="F383" s="64"/>
      <c r="G383" s="64"/>
      <c r="H383" s="173"/>
      <c r="I383" s="404"/>
      <c r="Q383" s="945" t="s">
        <v>1855</v>
      </c>
      <c r="U383" s="966"/>
      <c r="W383" s="1163" t="s">
        <v>1830</v>
      </c>
    </row>
    <row r="384" spans="1:23">
      <c r="A384" s="585"/>
      <c r="B384" s="415"/>
      <c r="C384" s="577"/>
      <c r="D384" s="417"/>
      <c r="E384" s="692">
        <f>(IF(D384=$Q$377,VLOOKUP(A384,'Liste de prix Public EUROPE'!$B$1623:$E$1628,4,FALSE),
IF(D384=$Q$378,VLOOKUP(A384,'Liste de prix Public EUROPE'!$B$1630:$E$1635,4,FALSE),
IF(D384=$Q$379,VLOOKUP(A384,'Liste de prix Public EUROPE'!$B$1637:$E$1641,4,FALSE),0))))*B384*C384</f>
        <v>0</v>
      </c>
      <c r="F384" s="64"/>
      <c r="G384" s="64"/>
      <c r="H384" s="173"/>
      <c r="I384" s="404"/>
      <c r="Q384" s="945" t="s">
        <v>1868</v>
      </c>
      <c r="U384" s="966"/>
      <c r="W384" s="1163" t="s">
        <v>1831</v>
      </c>
    </row>
    <row r="385" spans="1:25">
      <c r="A385" s="64"/>
      <c r="B385" s="64"/>
      <c r="C385" s="64"/>
      <c r="D385" s="377" t="s">
        <v>1591</v>
      </c>
      <c r="E385" s="692">
        <f>SUM($E$381:$E$384)</f>
        <v>0</v>
      </c>
      <c r="F385" s="64"/>
      <c r="G385" s="64"/>
      <c r="H385" s="173"/>
      <c r="I385" s="404"/>
      <c r="Q385" s="945" t="s">
        <v>1950</v>
      </c>
      <c r="U385" s="966"/>
      <c r="W385" s="1163" t="s">
        <v>1832</v>
      </c>
    </row>
    <row r="386" spans="1:25">
      <c r="A386" s="64"/>
      <c r="B386" s="64"/>
      <c r="C386" s="64"/>
      <c r="D386" s="64"/>
      <c r="E386" s="1044"/>
      <c r="F386" s="64"/>
      <c r="G386" s="64"/>
      <c r="H386" s="173"/>
      <c r="I386" s="404"/>
      <c r="Q386" s="945" t="s">
        <v>1951</v>
      </c>
      <c r="U386" s="966"/>
      <c r="W386" s="1163" t="s">
        <v>1833</v>
      </c>
    </row>
    <row r="387" spans="1:25">
      <c r="A387" s="1039" t="s">
        <v>1255</v>
      </c>
      <c r="B387" s="368" t="s">
        <v>165</v>
      </c>
      <c r="C387" s="368" t="s">
        <v>435</v>
      </c>
      <c r="D387" s="368" t="s">
        <v>646</v>
      </c>
      <c r="E387" s="368" t="s">
        <v>164</v>
      </c>
      <c r="F387" s="64"/>
      <c r="G387" s="64"/>
      <c r="H387" s="173"/>
      <c r="I387" s="404"/>
      <c r="Q387" s="945" t="s">
        <v>1952</v>
      </c>
      <c r="U387" s="966"/>
      <c r="W387" s="1163" t="s">
        <v>1834</v>
      </c>
    </row>
    <row r="388" spans="1:25">
      <c r="A388" s="585"/>
      <c r="B388" s="415"/>
      <c r="C388" s="577"/>
      <c r="D388" s="417"/>
      <c r="E388" s="692">
        <f>IF(D388=$Q$380,VLOOKUP(A388,'Liste de prix Public EUROPE'!$B$1646:$E$1657,4,FALSE),
IF(D388=$Q$381,VLOOKUP(A388,'Liste de prix Public EUROPE'!$B$1659:$E$1670,4,FALSE),
IF(D388=$Q$382,VLOOKUP(A388,'Liste de prix Public EUROPE'!$B$1672:$E$1683,4,FALSE),
IF(D388=$Q$383,VLOOKUP(A388,'Liste de prix Public EUROPE'!$B$1684:$E$1696,4,FALSE),
IF(D388=$Q$384,VLOOKUP(A388,'Liste de prix Public EUROPE'!$B$1698:$E$1709,4,FALSE),
IF(D388=$Q$385,VLOOKUP(A388,'Liste de prix Public EUROPE'!$B$1711:$E$1725,4,FALSE),
IF(D388=$Q$386,VLOOKUP(A388,'Liste de prix Public EUROPE'!$B$1727:$E$1741,4,FALSE),
IF(D388=$Q$387,VLOOKUP(A388,'Liste de prix Public EUROPE'!$B$1743:$E$1757,4,FALSE),
IF(D388=$Q$388,VLOOKUP(A388,'Liste de prix Public EUROPE'!$B$1759:$E$1773,4,FALSE),
IF(D388=$Q$389,VLOOKUP(A388,'Liste de prix Public EUROPE'!$B$1775:$E$1789,4,FALSE),0))))))))))*B388*C388</f>
        <v>0</v>
      </c>
      <c r="F388" s="64"/>
      <c r="G388" s="64"/>
      <c r="H388" s="173"/>
      <c r="I388" s="404"/>
      <c r="Q388" s="945" t="s">
        <v>1953</v>
      </c>
      <c r="U388" s="966"/>
      <c r="W388" s="916" t="s">
        <v>1101</v>
      </c>
    </row>
    <row r="389" spans="1:25">
      <c r="A389" s="585"/>
      <c r="B389" s="415"/>
      <c r="C389" s="577"/>
      <c r="D389" s="417"/>
      <c r="E389" s="692">
        <f>IF(D389=$Q$380,VLOOKUP(A389,'Liste de prix Public EUROPE'!$B$1646:$E$1657,4,FALSE),
IF(D389=$Q$381,VLOOKUP(A389,'Liste de prix Public EUROPE'!$B$1659:$E$1670,4,FALSE),
IF(D389=$Q$382,VLOOKUP(A389,'Liste de prix Public EUROPE'!$B$1672:$E$1683,4,FALSE),
IF(D389=$Q$383,VLOOKUP(A389,'Liste de prix Public EUROPE'!$B$1684:$E$1696,4,FALSE),
IF(D389=$Q$384,VLOOKUP(A389,'Liste de prix Public EUROPE'!$B$1698:$E$1709,4,FALSE),
IF(D389=$Q$385,VLOOKUP(A389,'Liste de prix Public EUROPE'!$B$1711:$E$1725,4,FALSE),
IF(D389=$Q$386,VLOOKUP(A389,'Liste de prix Public EUROPE'!$B$1727:$E$1741,4,FALSE),
IF(D389=$Q$387,VLOOKUP(A389,'Liste de prix Public EUROPE'!$B$1743:$E$1757,4,FALSE),
IF(D389=$Q$388,VLOOKUP(A389,'Liste de prix Public EUROPE'!$B$1759:$E$1773,4,FALSE),
IF(D389=$Q$389,VLOOKUP(A389,'Liste de prix Public EUROPE'!$B$1775:$E$1789,4,FALSE),0))))))))))*B389*C389</f>
        <v>0</v>
      </c>
      <c r="F389" s="64"/>
      <c r="G389" s="64"/>
      <c r="H389" s="173"/>
      <c r="I389" s="404"/>
      <c r="Q389" s="945" t="s">
        <v>1954</v>
      </c>
      <c r="U389" s="966"/>
      <c r="W389" s="712" t="s">
        <v>1114</v>
      </c>
    </row>
    <row r="390" spans="1:25">
      <c r="A390" s="585"/>
      <c r="B390" s="415"/>
      <c r="C390" s="577"/>
      <c r="D390" s="417"/>
      <c r="E390" s="692">
        <f>IF(D390=$Q$380,VLOOKUP(A390,'Liste de prix Public EUROPE'!$B$1646:$E$1657,4,FALSE),
IF(D390=$Q$381,VLOOKUP(A390,'Liste de prix Public EUROPE'!$B$1659:$E$1670,4,FALSE),
IF(D390=$Q$382,VLOOKUP(A390,'Liste de prix Public EUROPE'!$B$1672:$E$1683,4,FALSE),
IF(D390=$Q$383,VLOOKUP(A390,'Liste de prix Public EUROPE'!$B$1684:$E$1696,4,FALSE),
IF(D390=$Q$384,VLOOKUP(A390,'Liste de prix Public EUROPE'!$B$1698:$E$1709,4,FALSE),
IF(D390=$Q$385,VLOOKUP(A390,'Liste de prix Public EUROPE'!$B$1711:$E$1725,4,FALSE),
IF(D390=$Q$386,VLOOKUP(A390,'Liste de prix Public EUROPE'!$B$1727:$E$1741,4,FALSE),
IF(D390=$Q$387,VLOOKUP(A390,'Liste de prix Public EUROPE'!$B$1743:$E$1757,4,FALSE),
IF(D390=$Q$388,VLOOKUP(A390,'Liste de prix Public EUROPE'!$B$1759:$E$1773,4,FALSE),
IF(D390=$Q$389,VLOOKUP(A390,'Liste de prix Public EUROPE'!$B$1775:$E$1789,4,FALSE),0))))))))))*B390*C390</f>
        <v>0</v>
      </c>
      <c r="F390" s="64"/>
      <c r="G390" s="64"/>
      <c r="H390" s="173"/>
      <c r="I390" s="404"/>
      <c r="U390" s="966"/>
      <c r="W390" s="712" t="s">
        <v>1115</v>
      </c>
    </row>
    <row r="391" spans="1:25">
      <c r="A391" s="585"/>
      <c r="B391" s="415"/>
      <c r="C391" s="577"/>
      <c r="D391" s="417"/>
      <c r="E391" s="692">
        <f>IF(D391=$Q$380,VLOOKUP(A391,'Liste de prix Public EUROPE'!$B$1646:$E$1657,4,FALSE),
IF(D391=$Q$381,VLOOKUP(A391,'Liste de prix Public EUROPE'!$B$1659:$E$1670,4,FALSE),
IF(D391=$Q$382,VLOOKUP(A391,'Liste de prix Public EUROPE'!$B$1672:$E$1683,4,FALSE),
IF(D391=$Q$383,VLOOKUP(A391,'Liste de prix Public EUROPE'!$B$1684:$E$1696,4,FALSE),
IF(D391=$Q$384,VLOOKUP(A391,'Liste de prix Public EUROPE'!$B$1698:$E$1709,4,FALSE),
IF(D391=$Q$385,VLOOKUP(A391,'Liste de prix Public EUROPE'!$B$1711:$E$1725,4,FALSE),
IF(D391=$Q$386,VLOOKUP(A391,'Liste de prix Public EUROPE'!$B$1727:$E$1741,4,FALSE),
IF(D391=$Q$387,VLOOKUP(A391,'Liste de prix Public EUROPE'!$B$1743:$E$1757,4,FALSE),
IF(D391=$Q$388,VLOOKUP(A391,'Liste de prix Public EUROPE'!$B$1759:$E$1773,4,FALSE),
IF(D391=$Q$389,VLOOKUP(A391,'Liste de prix Public EUROPE'!$B$1775:$E$1789,4,FALSE),0))))))))))*B391*C391</f>
        <v>0</v>
      </c>
      <c r="F391" s="64"/>
      <c r="G391" s="64"/>
      <c r="H391" s="173"/>
      <c r="I391" s="404"/>
      <c r="Q391" s="945" t="s">
        <v>1100</v>
      </c>
      <c r="U391" s="966"/>
      <c r="W391" s="712" t="s">
        <v>1116</v>
      </c>
    </row>
    <row r="392" spans="1:25">
      <c r="A392" s="64"/>
      <c r="B392" s="64"/>
      <c r="C392" s="64"/>
      <c r="D392" s="377" t="s">
        <v>277</v>
      </c>
      <c r="E392" s="692">
        <f>SUM($E$388:$E$391)</f>
        <v>0</v>
      </c>
      <c r="F392" s="64"/>
      <c r="G392" s="64"/>
      <c r="H392" s="173"/>
      <c r="I392" s="404"/>
      <c r="Q392" s="945" t="s">
        <v>1101</v>
      </c>
      <c r="U392" s="966"/>
      <c r="W392" s="712" t="s">
        <v>1117</v>
      </c>
      <c r="Y392" s="946" t="s">
        <v>640</v>
      </c>
    </row>
    <row r="393" spans="1:25">
      <c r="A393" s="64"/>
      <c r="B393" s="64"/>
      <c r="C393" s="64"/>
      <c r="D393" s="64"/>
      <c r="E393" s="1044"/>
      <c r="F393" s="64"/>
      <c r="G393" s="64"/>
      <c r="H393" s="173"/>
      <c r="I393" s="404"/>
      <c r="U393" s="966"/>
      <c r="W393" s="712" t="s">
        <v>1118</v>
      </c>
      <c r="Y393" s="946" t="s">
        <v>641</v>
      </c>
    </row>
    <row r="394" spans="1:25">
      <c r="A394" s="1039" t="s">
        <v>1256</v>
      </c>
      <c r="B394" s="368" t="s">
        <v>165</v>
      </c>
      <c r="C394" s="368" t="s">
        <v>435</v>
      </c>
      <c r="D394" s="368" t="s">
        <v>646</v>
      </c>
      <c r="E394" s="368" t="s">
        <v>164</v>
      </c>
      <c r="F394" s="64"/>
      <c r="G394" s="64"/>
      <c r="H394" s="173"/>
      <c r="I394" s="404"/>
      <c r="U394" s="966"/>
      <c r="W394" s="712" t="s">
        <v>1119</v>
      </c>
      <c r="Y394" s="946" t="s">
        <v>642</v>
      </c>
    </row>
    <row r="395" spans="1:25">
      <c r="A395" s="585"/>
      <c r="B395" s="415"/>
      <c r="C395" s="577"/>
      <c r="D395" s="417"/>
      <c r="E395" s="692">
        <f>IF(D395=$Q$391,VLOOKUP(A395,'Liste de prix Public EUROPE'!$B$1810:$E$1816,4,FALSE),
IF(D395=$Q$392,VLOOKUP(A395,'Liste de prix Public EUROPE'!$B$1818:$E$1823,4,FALSE),0))*B395*C395</f>
        <v>0</v>
      </c>
      <c r="F395" s="64"/>
      <c r="G395" s="64"/>
      <c r="H395" s="173"/>
      <c r="I395" s="404"/>
      <c r="U395" s="966"/>
      <c r="W395" s="1382" t="s">
        <v>1835</v>
      </c>
      <c r="Y395" s="946" t="s">
        <v>643</v>
      </c>
    </row>
    <row r="396" spans="1:25">
      <c r="A396" s="585"/>
      <c r="B396" s="415"/>
      <c r="C396" s="577"/>
      <c r="D396" s="417"/>
      <c r="E396" s="692">
        <f>IF(D396=$Q$391,VLOOKUP(A396,'Liste de prix Public EUROPE'!$B$1810:$E$1816,4,FALSE),
IF(D396=$Q$392,VLOOKUP(A396,'Liste de prix Public EUROPE'!$B$1818:$E$1823,4,FALSE),0))*B396*C396</f>
        <v>0</v>
      </c>
      <c r="F396" s="64"/>
      <c r="G396" s="64"/>
      <c r="H396" s="173"/>
      <c r="I396" s="404"/>
      <c r="U396" s="966"/>
      <c r="W396" s="1163" t="s">
        <v>1836</v>
      </c>
      <c r="Y396" s="946" t="s">
        <v>644</v>
      </c>
    </row>
    <row r="397" spans="1:25">
      <c r="A397" s="585"/>
      <c r="B397" s="415"/>
      <c r="C397" s="577"/>
      <c r="D397" s="417"/>
      <c r="E397" s="692">
        <f>IF(D397=$Q$391,VLOOKUP(A397,'Liste de prix Public EUROPE'!$B$1810:$E$1816,4,FALSE),
IF(D397=$Q$392,VLOOKUP(A397,'Liste de prix Public EUROPE'!$B$1818:$E$1823,4,FALSE),0))*B397*C397</f>
        <v>0</v>
      </c>
      <c r="F397" s="64"/>
      <c r="G397" s="64"/>
      <c r="H397" s="173"/>
      <c r="I397" s="404"/>
      <c r="U397" s="966"/>
      <c r="W397" s="1163" t="s">
        <v>1837</v>
      </c>
      <c r="Y397" s="946" t="s">
        <v>645</v>
      </c>
    </row>
    <row r="398" spans="1:25">
      <c r="A398" s="585"/>
      <c r="B398" s="415"/>
      <c r="C398" s="577"/>
      <c r="D398" s="417"/>
      <c r="E398" s="692">
        <f>IF(D398=$Q$391,VLOOKUP(A398,'Liste de prix Public EUROPE'!$B$1810:$E$1816,4,FALSE),
IF(D398=$Q$392,VLOOKUP(A398,'Liste de prix Public EUROPE'!$B$1818:$E$1823,4,FALSE),0))*B398*C398</f>
        <v>0</v>
      </c>
      <c r="F398" s="64"/>
      <c r="G398" s="64"/>
      <c r="H398" s="173"/>
      <c r="I398" s="404"/>
      <c r="U398" s="966"/>
      <c r="W398" s="1163" t="s">
        <v>1838</v>
      </c>
    </row>
    <row r="399" spans="1:25">
      <c r="A399" s="64"/>
      <c r="B399" s="64"/>
      <c r="C399" s="64"/>
      <c r="D399" s="377" t="s">
        <v>1591</v>
      </c>
      <c r="E399" s="692">
        <f>SUM($E$395:$E$398)</f>
        <v>0</v>
      </c>
      <c r="F399" s="64"/>
      <c r="G399" s="64"/>
      <c r="H399" s="173"/>
      <c r="I399" s="404"/>
      <c r="U399" s="966"/>
      <c r="W399" s="1163" t="s">
        <v>1839</v>
      </c>
    </row>
    <row r="400" spans="1:25">
      <c r="A400" s="64"/>
      <c r="B400" s="64"/>
      <c r="C400" s="64"/>
      <c r="D400" s="64"/>
      <c r="E400" s="64"/>
      <c r="F400" s="64"/>
      <c r="G400" s="64"/>
      <c r="H400" s="173"/>
      <c r="I400" s="404"/>
      <c r="U400" s="966"/>
      <c r="W400" s="1163" t="s">
        <v>1840</v>
      </c>
    </row>
    <row r="401" spans="1:23">
      <c r="A401" s="642" t="s">
        <v>609</v>
      </c>
      <c r="B401" s="620" t="s">
        <v>90</v>
      </c>
      <c r="C401" s="368" t="s">
        <v>164</v>
      </c>
      <c r="D401" s="64"/>
      <c r="E401" s="64"/>
      <c r="F401" s="64"/>
      <c r="G401" s="64"/>
      <c r="H401" s="173"/>
      <c r="I401" s="404"/>
      <c r="U401" s="966"/>
      <c r="W401" s="1163" t="s">
        <v>1841</v>
      </c>
    </row>
    <row r="402" spans="1:23">
      <c r="A402" s="511" t="s">
        <v>556</v>
      </c>
      <c r="B402" s="640"/>
      <c r="C402" s="625">
        <f>(B402*'Liste de prix Public EUROPE'!$D$1972)</f>
        <v>0</v>
      </c>
      <c r="D402" s="64"/>
      <c r="E402" s="64"/>
      <c r="F402" s="64"/>
      <c r="G402" s="64"/>
      <c r="H402" s="173"/>
      <c r="I402" s="404"/>
      <c r="U402" s="966"/>
      <c r="W402" s="1235" t="s">
        <v>1842</v>
      </c>
    </row>
    <row r="403" spans="1:23">
      <c r="A403" s="511" t="s">
        <v>566</v>
      </c>
      <c r="B403" s="425"/>
      <c r="C403" s="625">
        <f>(IF(B403&lt;=2,0,(B403-2)*'Liste de prix Public EUROPE'!$D$1974))</f>
        <v>0</v>
      </c>
      <c r="D403" s="64"/>
      <c r="E403" s="64"/>
      <c r="F403" s="64"/>
      <c r="G403" s="64"/>
      <c r="H403" s="173"/>
      <c r="I403" s="404"/>
      <c r="U403" s="966"/>
      <c r="W403" s="1163" t="s">
        <v>1843</v>
      </c>
    </row>
    <row r="404" spans="1:23">
      <c r="A404" s="64"/>
      <c r="B404" s="377" t="s">
        <v>170</v>
      </c>
      <c r="C404" s="378">
        <f>SUM(C402:C403)</f>
        <v>0</v>
      </c>
      <c r="D404" s="64"/>
      <c r="E404" s="64"/>
      <c r="F404" s="64"/>
      <c r="G404" s="64"/>
      <c r="H404" s="173"/>
      <c r="I404" s="404"/>
      <c r="U404" s="966"/>
      <c r="W404" s="1163" t="s">
        <v>1844</v>
      </c>
    </row>
    <row r="405" spans="1:23">
      <c r="A405" s="64"/>
      <c r="B405" s="64"/>
      <c r="C405" s="64"/>
      <c r="D405" s="64"/>
      <c r="E405" s="64"/>
      <c r="F405" s="64"/>
      <c r="G405" s="64"/>
      <c r="H405" s="173"/>
      <c r="I405" s="404"/>
      <c r="U405" s="966"/>
      <c r="W405" s="1163" t="s">
        <v>1845</v>
      </c>
    </row>
    <row r="406" spans="1:23">
      <c r="A406" s="620" t="s">
        <v>537</v>
      </c>
      <c r="B406" s="620" t="s">
        <v>90</v>
      </c>
      <c r="C406" s="620" t="s">
        <v>435</v>
      </c>
      <c r="D406" s="368" t="s">
        <v>164</v>
      </c>
      <c r="E406" s="64"/>
      <c r="F406" s="64"/>
      <c r="G406" s="64"/>
      <c r="H406" s="173"/>
      <c r="I406" s="404"/>
      <c r="U406" s="966"/>
      <c r="W406" s="1163" t="s">
        <v>1846</v>
      </c>
    </row>
    <row r="407" spans="1:23">
      <c r="A407" s="619" t="s">
        <v>513</v>
      </c>
      <c r="B407" s="622"/>
      <c r="C407" s="577"/>
      <c r="D407" s="625">
        <f>B407*C407*'Liste de prix Public EUROPE'!$D$1998</f>
        <v>0</v>
      </c>
      <c r="E407" s="64"/>
      <c r="F407" s="64"/>
      <c r="G407" s="64"/>
      <c r="H407" s="173"/>
      <c r="I407" s="404"/>
      <c r="W407" s="1163" t="s">
        <v>1847</v>
      </c>
    </row>
    <row r="408" spans="1:23">
      <c r="A408" s="619" t="s">
        <v>528</v>
      </c>
      <c r="B408" s="425"/>
      <c r="C408" s="623"/>
      <c r="D408" s="625">
        <f>B408*'Liste de prix Public EUROPE'!$D$1999</f>
        <v>0</v>
      </c>
      <c r="E408" s="64"/>
      <c r="F408" s="64"/>
      <c r="G408" s="64"/>
      <c r="H408" s="173"/>
      <c r="I408" s="404"/>
      <c r="W408" s="1163" t="s">
        <v>1848</v>
      </c>
    </row>
    <row r="409" spans="1:23">
      <c r="A409" s="619" t="s">
        <v>491</v>
      </c>
      <c r="B409" s="754"/>
      <c r="C409" s="624"/>
      <c r="D409" s="625">
        <f>B409*'Liste de prix Public EUROPE'!$D$2000</f>
        <v>0</v>
      </c>
      <c r="E409" s="64"/>
      <c r="F409" s="64"/>
      <c r="G409" s="64"/>
      <c r="H409" s="173"/>
      <c r="I409" s="404"/>
      <c r="W409" s="1163" t="s">
        <v>1849</v>
      </c>
    </row>
    <row r="410" spans="1:23">
      <c r="A410" s="376"/>
      <c r="B410" s="64"/>
      <c r="C410" s="377" t="s">
        <v>170</v>
      </c>
      <c r="D410" s="625">
        <f>SUM(D407:D409)</f>
        <v>0</v>
      </c>
      <c r="E410" s="64"/>
      <c r="F410" s="64"/>
      <c r="G410" s="64"/>
      <c r="H410" s="173"/>
      <c r="I410" s="404"/>
      <c r="W410" s="1163" t="s">
        <v>1850</v>
      </c>
    </row>
    <row r="411" spans="1:23">
      <c r="A411" s="376"/>
      <c r="B411" s="64"/>
      <c r="C411" s="64"/>
      <c r="D411" s="787"/>
      <c r="E411" s="64"/>
      <c r="F411" s="64"/>
      <c r="G411" s="64"/>
      <c r="H411" s="173"/>
      <c r="I411" s="404"/>
      <c r="W411" s="1163" t="s">
        <v>1851</v>
      </c>
    </row>
    <row r="412" spans="1:23">
      <c r="A412" s="922" t="s">
        <v>1174</v>
      </c>
      <c r="B412" s="368" t="s">
        <v>165</v>
      </c>
      <c r="C412" s="368" t="s">
        <v>164</v>
      </c>
      <c r="D412" s="613"/>
      <c r="E412" s="613"/>
      <c r="F412" s="64"/>
      <c r="G412" s="64"/>
      <c r="H412" s="173"/>
      <c r="I412" s="404"/>
      <c r="W412" s="1163" t="s">
        <v>1852</v>
      </c>
    </row>
    <row r="413" spans="1:23">
      <c r="A413" s="585"/>
      <c r="B413" s="415"/>
      <c r="C413" s="822">
        <f>IFERROR((VLOOKUP(A413,'Liste de prix Public EUROPE'!$B$1978:$H$1994,7,FALSE)*$B$413),0)</f>
        <v>0</v>
      </c>
      <c r="D413" s="64"/>
      <c r="E413" s="64"/>
      <c r="F413" s="64"/>
      <c r="G413" s="64"/>
      <c r="H413" s="173"/>
      <c r="I413" s="404"/>
      <c r="W413" s="1163" t="s">
        <v>1853</v>
      </c>
    </row>
    <row r="414" spans="1:23">
      <c r="A414" s="585"/>
      <c r="B414" s="415"/>
      <c r="C414" s="822">
        <f>IFERROR((VLOOKUP(A414,'Liste de prix Public EUROPE'!$B$1978:$H$1994,7,FALSE)*$B$413),0)</f>
        <v>0</v>
      </c>
      <c r="D414" s="64"/>
      <c r="E414" s="64"/>
      <c r="F414" s="64"/>
      <c r="G414" s="64"/>
      <c r="H414" s="173"/>
      <c r="I414" s="404"/>
      <c r="W414" s="1163" t="s">
        <v>1854</v>
      </c>
    </row>
    <row r="415" spans="1:23">
      <c r="A415" s="585"/>
      <c r="B415" s="415"/>
      <c r="C415" s="822">
        <f>IFERROR((VLOOKUP(A415,'Liste de prix Public EUROPE'!$B$1978:$H$1994,7,FALSE)*$B$413),0)</f>
        <v>0</v>
      </c>
      <c r="D415" s="64"/>
      <c r="E415" s="64"/>
      <c r="F415" s="64"/>
      <c r="G415" s="64"/>
      <c r="H415" s="173"/>
      <c r="I415" s="404"/>
      <c r="W415" s="1235" t="s">
        <v>1855</v>
      </c>
    </row>
    <row r="416" spans="1:23">
      <c r="A416" s="585"/>
      <c r="B416" s="415"/>
      <c r="C416" s="822">
        <f>IFERROR((VLOOKUP(A416,'Liste de prix Public EUROPE'!$B$1978:$H$1994,7,FALSE)*$B$413),0)</f>
        <v>0</v>
      </c>
      <c r="D416" s="64"/>
      <c r="E416" s="64"/>
      <c r="F416" s="64"/>
      <c r="G416" s="64"/>
      <c r="H416" s="173"/>
      <c r="I416" s="404"/>
      <c r="W416" s="1163" t="s">
        <v>1856</v>
      </c>
    </row>
    <row r="417" spans="1:23">
      <c r="A417" s="64"/>
      <c r="B417" s="377" t="s">
        <v>170</v>
      </c>
      <c r="C417" s="822">
        <f>SUM(C413:C416)</f>
        <v>0</v>
      </c>
      <c r="D417" s="64"/>
      <c r="E417" s="64"/>
      <c r="F417" s="64"/>
      <c r="G417" s="64"/>
      <c r="H417" s="173"/>
      <c r="I417" s="404"/>
      <c r="Q417" s="945" t="s">
        <v>843</v>
      </c>
      <c r="S417" s="946" t="s">
        <v>484</v>
      </c>
      <c r="W417" s="1163" t="s">
        <v>1857</v>
      </c>
    </row>
    <row r="418" spans="1:23">
      <c r="A418" s="64"/>
      <c r="B418" s="64"/>
      <c r="C418" s="64"/>
      <c r="D418" s="64"/>
      <c r="E418" s="64"/>
      <c r="F418" s="64"/>
      <c r="G418" s="64"/>
      <c r="H418" s="173"/>
      <c r="I418" s="404"/>
      <c r="Q418" s="945" t="s">
        <v>844</v>
      </c>
      <c r="S418" s="946" t="s">
        <v>485</v>
      </c>
      <c r="W418" s="1163" t="s">
        <v>1858</v>
      </c>
    </row>
    <row r="419" spans="1:23">
      <c r="A419" s="1662" t="s">
        <v>1184</v>
      </c>
      <c r="B419" s="1662" t="s">
        <v>165</v>
      </c>
      <c r="C419" s="1662" t="s">
        <v>190</v>
      </c>
      <c r="D419" s="1662" t="s">
        <v>164</v>
      </c>
      <c r="E419" s="1662" t="s">
        <v>488</v>
      </c>
      <c r="F419" s="64"/>
      <c r="G419" s="64"/>
      <c r="H419" s="173"/>
      <c r="I419" s="404"/>
      <c r="Q419" s="945" t="s">
        <v>845</v>
      </c>
      <c r="S419" s="946" t="s">
        <v>486</v>
      </c>
      <c r="W419" s="1163" t="s">
        <v>1859</v>
      </c>
    </row>
    <row r="420" spans="1:23">
      <c r="A420" s="585"/>
      <c r="B420" s="415"/>
      <c r="C420" s="415"/>
      <c r="D420" s="822">
        <f>IFERROR((IF(C420=$S$417,VLOOKUP(A420,'Liste de prix Public EUROPE'!$B$1962:$U$1978,8,FALSE),IF(C420=$S$418,VLOOKUP(A420,'Liste de prix Public EUROPE'!$B$1962:$U$1978,10,FALSE),IF(C420=$S$420,VLOOKUP(A420,'Liste de prix Public EUROPE'!$B$1962:$U$1978,12,FALSE),IF(C420=$S$419,VLOOKUP(A420,'Liste de prix Public EUROPE'!$B$1962:$U$1978,14,FALSE),IF(C420=$S$422,VLOOKUP(A420,'Liste de prix Public EUROPE'!$B$1962:$U$1978,16,FALSE),IF(C420=$S$421,VLOOKUP(A420,'Liste de prix Public EUROPE'!$B$1962:$U$1978,18,FALSE)))))))*B420),0)</f>
        <v>0</v>
      </c>
      <c r="E420" s="822">
        <f>IF(C420=$S$418,VLOOKUP(A420,'Liste de prix Public EUROPE'!$B$1962:$U$1978,9,FALSE),IF(C420=$S$419,VLOOKUP(A420,'Liste de prix Public EUROPE'!$B$1962:$U$1978,13,FALSE),IF(C420=$S$421,VLOOKUP(A420,'Liste de prix Public EUROPE'!$B$1962:$U$1978,17,FALSE))))*B420</f>
        <v>0</v>
      </c>
      <c r="F420" s="64"/>
      <c r="G420" s="64"/>
      <c r="H420" s="173"/>
      <c r="I420" s="404"/>
      <c r="Q420" s="945" t="s">
        <v>846</v>
      </c>
      <c r="S420" s="946" t="s">
        <v>1175</v>
      </c>
      <c r="W420" s="1163" t="s">
        <v>1860</v>
      </c>
    </row>
    <row r="421" spans="1:23">
      <c r="A421" s="585"/>
      <c r="B421" s="415"/>
      <c r="C421" s="415"/>
      <c r="D421" s="822">
        <f>IFERROR((IF(C421=$S$417,VLOOKUP(A421,'Liste de prix Public EUROPE'!$B$1962:$U$1978,8,FALSE),IF(C421=$S$418,VLOOKUP(A421,'Liste de prix Public EUROPE'!$B$1962:$U$1978,10,FALSE),IF(C421=$S$420,VLOOKUP(A421,'Liste de prix Public EUROPE'!$B$1962:$U$1978,12,FALSE),IF(C421=$S$419,VLOOKUP(A421,'Liste de prix Public EUROPE'!$B$1962:$U$1978,14,FALSE),IF(C421=$S$422,VLOOKUP(A421,'Liste de prix Public EUROPE'!$B$1962:$U$1978,16,FALSE),IF(C421=$S$421,VLOOKUP(A421,'Liste de prix Public EUROPE'!$B$1962:$U$1978,18,FALSE)))))))*B421),0)</f>
        <v>0</v>
      </c>
      <c r="E421" s="822">
        <f>IF(C421=$S$418,VLOOKUP(A421,'Liste de prix Public EUROPE'!$B$1962:$U$1978,9,FALSE),IF(C421=$S$419,VLOOKUP(A421,'Liste de prix Public EUROPE'!$B$1962:$U$1978,13,FALSE),IF(C421=$S$421,VLOOKUP(A421,'Liste de prix Public EUROPE'!$B$1962:$U$1978,17,FALSE))))*B421</f>
        <v>0</v>
      </c>
      <c r="F421" s="64"/>
      <c r="G421" s="64"/>
      <c r="H421" s="173"/>
      <c r="I421" s="404"/>
      <c r="Q421" s="945" t="s">
        <v>1154</v>
      </c>
      <c r="S421" s="946" t="s">
        <v>487</v>
      </c>
      <c r="W421" s="1163" t="s">
        <v>1861</v>
      </c>
    </row>
    <row r="422" spans="1:23">
      <c r="A422" s="585"/>
      <c r="B422" s="415"/>
      <c r="C422" s="415"/>
      <c r="D422" s="822">
        <f>IFERROR((IF(C422=$S$417,VLOOKUP(A422,'Liste de prix Public EUROPE'!$B$1962:$U$1978,8,FALSE),IF(C422=$S$418,VLOOKUP(A422,'Liste de prix Public EUROPE'!$B$1962:$U$1978,10,FALSE),IF(C422=$S$420,VLOOKUP(A422,'Liste de prix Public EUROPE'!$B$1962:$U$1978,12,FALSE),IF(C422=$S$419,VLOOKUP(A422,'Liste de prix Public EUROPE'!$B$1962:$U$1978,14,FALSE),IF(C422=$S$422,VLOOKUP(A422,'Liste de prix Public EUROPE'!$B$1962:$U$1978,16,FALSE),IF(C422=$S$421,VLOOKUP(A422,'Liste de prix Public EUROPE'!$B$1962:$U$1978,18,FALSE)))))))*B422),0)</f>
        <v>0</v>
      </c>
      <c r="E422" s="822">
        <f>IF(C422=$S$418,VLOOKUP(A422,'Liste de prix Public EUROPE'!$B$1962:$U$1978,9,FALSE),IF(C422=$S$419,VLOOKUP(A422,'Liste de prix Public EUROPE'!$B$1962:$U$1978,13,FALSE),IF(C422=$S$421,VLOOKUP(A422,'Liste de prix Public EUROPE'!$B$1962:$U$1978,17,FALSE))))*B422</f>
        <v>0</v>
      </c>
      <c r="F422" s="64"/>
      <c r="G422" s="64"/>
      <c r="H422" s="173"/>
      <c r="I422" s="404"/>
      <c r="Q422" s="945" t="s">
        <v>1155</v>
      </c>
      <c r="S422" s="946" t="s">
        <v>887</v>
      </c>
      <c r="W422" s="1163" t="s">
        <v>1862</v>
      </c>
    </row>
    <row r="423" spans="1:23" s="937" customFormat="1">
      <c r="A423" s="585"/>
      <c r="B423" s="415"/>
      <c r="C423" s="415"/>
      <c r="D423" s="822">
        <f>IFERROR((IF(C423=$S$417,VLOOKUP(A423,'Liste de prix Public EUROPE'!$B$1962:$U$1978,8,FALSE),IF(C423=$S$418,VLOOKUP(A423,'Liste de prix Public EUROPE'!$B$1962:$U$1978,10,FALSE),IF(C423=$S$420,VLOOKUP(A423,'Liste de prix Public EUROPE'!$B$1962:$U$1978,12,FALSE),IF(C423=$S$419,VLOOKUP(A423,'Liste de prix Public EUROPE'!$B$1962:$U$1978,14,FALSE),IF(C423=$S$422,VLOOKUP(A423,'Liste de prix Public EUROPE'!$B$1962:$U$1978,16,FALSE),IF(C423=$S$421,VLOOKUP(A423,'Liste de prix Public EUROPE'!$B$1962:$U$1978,18,FALSE)))))))*B423),0)</f>
        <v>0</v>
      </c>
      <c r="E423" s="822">
        <f>IF(C423=$S$418,VLOOKUP(A423,'Liste de prix Public EUROPE'!$B$1962:$U$1978,9,FALSE),IF(C423=$S$419,VLOOKUP(A423,'Liste de prix Public EUROPE'!$B$1962:$U$1978,13,FALSE),IF(C423=$S$421,VLOOKUP(A423,'Liste de prix Public EUROPE'!$B$1962:$U$1978,17,FALSE))))*B423</f>
        <v>0</v>
      </c>
      <c r="F423" s="64"/>
      <c r="G423" s="64"/>
      <c r="H423" s="173"/>
      <c r="I423" s="404"/>
      <c r="Q423" s="945" t="s">
        <v>1156</v>
      </c>
      <c r="W423" s="1163" t="s">
        <v>1863</v>
      </c>
    </row>
    <row r="424" spans="1:23">
      <c r="A424" s="64"/>
      <c r="B424" s="64"/>
      <c r="C424" s="377" t="s">
        <v>170</v>
      </c>
      <c r="D424" s="822">
        <f>SUM(D420:D423)</f>
        <v>0</v>
      </c>
      <c r="E424" s="822">
        <f>SUM(E420:E423)</f>
        <v>0</v>
      </c>
      <c r="F424" s="64"/>
      <c r="G424" s="64"/>
      <c r="H424" s="173"/>
      <c r="I424" s="404"/>
      <c r="Q424" s="945" t="s">
        <v>1157</v>
      </c>
      <c r="W424" s="1163" t="s">
        <v>1864</v>
      </c>
    </row>
    <row r="425" spans="1:23">
      <c r="A425"/>
      <c r="B425"/>
      <c r="C425"/>
      <c r="D425"/>
      <c r="E425"/>
      <c r="F425"/>
      <c r="G425"/>
      <c r="H425" s="818"/>
      <c r="I425" s="404"/>
      <c r="Q425" s="945" t="s">
        <v>1158</v>
      </c>
      <c r="W425" s="1163" t="s">
        <v>1865</v>
      </c>
    </row>
    <row r="426" spans="1:23" hidden="1">
      <c r="A426" s="1079" t="s">
        <v>1351</v>
      </c>
      <c r="B426" s="1078"/>
      <c r="C426" s="613"/>
      <c r="D426" s="613"/>
      <c r="E426" s="613"/>
      <c r="F426" s="613"/>
      <c r="G426" s="613"/>
      <c r="H426" s="818"/>
      <c r="I426" s="404"/>
      <c r="W426" s="1163" t="s">
        <v>1866</v>
      </c>
    </row>
    <row r="427" spans="1:23" hidden="1">
      <c r="A427" s="1056" t="s">
        <v>171</v>
      </c>
      <c r="B427" s="627" t="s">
        <v>1335</v>
      </c>
      <c r="C427" s="613"/>
      <c r="D427" s="613"/>
      <c r="E427" s="613"/>
      <c r="F427" s="613"/>
      <c r="G427" s="613"/>
      <c r="H427" s="818"/>
      <c r="I427" s="404"/>
      <c r="W427" s="1163" t="s">
        <v>1867</v>
      </c>
    </row>
    <row r="428" spans="1:23" hidden="1">
      <c r="A428" s="1056" t="s">
        <v>435</v>
      </c>
      <c r="B428" s="628"/>
      <c r="C428" s="613"/>
      <c r="D428" s="613"/>
      <c r="E428" s="613"/>
      <c r="F428" s="613"/>
      <c r="G428" s="613"/>
      <c r="H428" s="818"/>
      <c r="I428" s="404"/>
      <c r="W428" s="1235" t="s">
        <v>1868</v>
      </c>
    </row>
    <row r="429" spans="1:23" hidden="1">
      <c r="A429" s="377" t="s">
        <v>170</v>
      </c>
      <c r="B429" s="822">
        <f>IF(B427='Liste de prix Public EUROPE'!$B$2060,'Liste de prix Public EUROPE'!$C$2060*B428,IF(B427='Liste de prix Public EUROPE'!$B$2061,'Liste de prix Public EUROPE'!$C$2061*B428,IF(B427='Liste de prix Public EUROPE'!$B$2062,'Liste de prix Public EUROPE'!$C$2062*B428,IF(B427='Liste de prix Public EUROPE'!$B$2063,'Liste de prix Public EUROPE'!$C$2063*B428))))</f>
        <v>0</v>
      </c>
      <c r="C429" s="613"/>
      <c r="D429" s="613"/>
      <c r="E429" s="613"/>
      <c r="F429" s="613"/>
      <c r="G429" s="613"/>
      <c r="H429" s="818"/>
      <c r="I429" s="404"/>
      <c r="W429" s="1163" t="s">
        <v>1869</v>
      </c>
    </row>
    <row r="430" spans="1:23" hidden="1">
      <c r="A430" s="64"/>
      <c r="B430" s="787"/>
      <c r="C430" s="1489"/>
      <c r="D430" s="1489"/>
      <c r="E430" s="1489"/>
      <c r="F430" s="1489"/>
      <c r="G430" s="1489"/>
      <c r="H430" s="818"/>
      <c r="I430" s="404"/>
      <c r="W430" s="1163" t="s">
        <v>1870</v>
      </c>
    </row>
    <row r="431" spans="1:23">
      <c r="A431" s="1532" t="s">
        <v>2259</v>
      </c>
      <c r="B431" s="1532" t="s">
        <v>2355</v>
      </c>
      <c r="C431" s="1532" t="s">
        <v>2356</v>
      </c>
      <c r="D431" s="1532" t="s">
        <v>2357</v>
      </c>
      <c r="E431" s="1532" t="s">
        <v>2359</v>
      </c>
      <c r="F431" s="1532" t="s">
        <v>435</v>
      </c>
      <c r="G431" s="1532" t="s">
        <v>164</v>
      </c>
      <c r="H431" s="818"/>
      <c r="I431" s="404"/>
      <c r="W431" s="1163" t="s">
        <v>1871</v>
      </c>
    </row>
    <row r="432" spans="1:23">
      <c r="A432" s="619" t="s">
        <v>2208</v>
      </c>
      <c r="B432" s="1538"/>
      <c r="C432" s="1054" t="str">
        <f>IF(B432="","",VLOOKUP(B432,'Liste de prix Public EUROPE'!C2288:H2289,3,FALSE))</f>
        <v/>
      </c>
      <c r="D432" s="1054" t="str">
        <f>IF(B432="","",VLOOKUP(B432,'Liste de prix Public EUROPE'!C2288:H2289,5,FALSE))</f>
        <v/>
      </c>
      <c r="E432" s="1538"/>
      <c r="F432" s="1538"/>
      <c r="G432" s="1539" t="str">
        <f>IFERROR(VLOOKUP(C432,'Liste de prix Public EUROPE'!E2288:H2289,4,FALSE)*E432*F432,"")</f>
        <v/>
      </c>
      <c r="H432" s="818"/>
      <c r="I432" s="404"/>
      <c r="W432" s="1163" t="s">
        <v>1872</v>
      </c>
    </row>
    <row r="433" spans="1:23">
      <c r="A433" s="619" t="s">
        <v>2212</v>
      </c>
      <c r="B433" s="1538"/>
      <c r="C433" s="1054" t="str">
        <f>IF(B433="","",VLOOKUP(B433,'Liste de prix Public EUROPE'!C2290:H2299,3,FALSE))</f>
        <v/>
      </c>
      <c r="D433" s="1054" t="str">
        <f>IF(B433="","",VLOOKUP(B433,'Liste de prix Public EUROPE'!C2290:H2299,5,FALSE))</f>
        <v/>
      </c>
      <c r="E433" s="1538"/>
      <c r="F433" s="1538"/>
      <c r="G433" s="1539" t="str">
        <f>IFERROR(VLOOKUP(C433,'Liste de prix Public EUROPE'!E2290:H2299,4,FALSE)*E433*F433,"")</f>
        <v/>
      </c>
      <c r="H433" s="818"/>
      <c r="I433" s="404"/>
      <c r="W433" s="1163" t="s">
        <v>1873</v>
      </c>
    </row>
    <row r="434" spans="1:23">
      <c r="A434" s="619" t="s">
        <v>2223</v>
      </c>
      <c r="B434" s="1538"/>
      <c r="C434" s="1054" t="str">
        <f>IF(B434="","",VLOOKUP(B434,'Liste de prix Public EUROPE'!C2300:H2309,3,FALSE))</f>
        <v/>
      </c>
      <c r="D434" s="1054" t="str">
        <f>IF(B434="","",VLOOKUP(B434,'Liste de prix Public EUROPE'!C2300:H2309,5,FALSE))</f>
        <v/>
      </c>
      <c r="E434" s="1538"/>
      <c r="F434" s="1538"/>
      <c r="G434" s="1539" t="str">
        <f>IFERROR(VLOOKUP(C434,'Liste de prix Public EUROPE'!E2300:H2309,4,FALSE)*E434*F434,"")</f>
        <v/>
      </c>
      <c r="H434" s="818"/>
      <c r="I434" s="404"/>
      <c r="W434" s="1163" t="s">
        <v>1874</v>
      </c>
    </row>
    <row r="435" spans="1:23">
      <c r="A435" s="619" t="s">
        <v>2235</v>
      </c>
      <c r="B435" s="1538"/>
      <c r="C435" s="1054" t="str">
        <f>IF(B435="","",VLOOKUP(B435,'Liste de prix Public EUROPE'!C2310:H2319,3,FALSE))</f>
        <v/>
      </c>
      <c r="D435" s="1054" t="str">
        <f>IF(B435="","",VLOOKUP(B435,'Liste de prix Public EUROPE'!C2310:H2319,5,FALSE))</f>
        <v/>
      </c>
      <c r="E435" s="1538"/>
      <c r="F435" s="1538"/>
      <c r="G435" s="1539" t="str">
        <f>IFERROR(VLOOKUP(C435,'Liste de prix Public EUROPE'!E2310:H2319,4,FALSE)*E435*F435,"")</f>
        <v/>
      </c>
      <c r="H435" s="818"/>
      <c r="I435" s="404"/>
      <c r="W435" s="1163" t="s">
        <v>1875</v>
      </c>
    </row>
    <row r="436" spans="1:23">
      <c r="A436" s="619" t="s">
        <v>2247</v>
      </c>
      <c r="B436" s="1538"/>
      <c r="C436" s="1054" t="str">
        <f>IF(B436="","",VLOOKUP(B436,'Liste de prix Public EUROPE'!C2320:H2329,3,FALSE))</f>
        <v/>
      </c>
      <c r="D436" s="1054" t="str">
        <f>IF(B436="","",VLOOKUP(B436,'Liste de prix Public EUROPE'!C2320:H2329,5,FALSE))</f>
        <v/>
      </c>
      <c r="E436" s="1538"/>
      <c r="F436" s="1538"/>
      <c r="G436" s="1539" t="str">
        <f>IFERROR(VLOOKUP(C436,'Liste de prix Public EUROPE'!E2320:H2329,4,FALSE)*E436*F436,"")</f>
        <v/>
      </c>
      <c r="H436" s="818"/>
      <c r="I436" s="404"/>
      <c r="W436" s="1163" t="s">
        <v>1876</v>
      </c>
    </row>
    <row r="437" spans="1:23">
      <c r="A437" s="28"/>
      <c r="B437" s="787"/>
      <c r="C437" s="787"/>
      <c r="D437" s="787"/>
      <c r="E437" s="787"/>
      <c r="F437" s="1540" t="s">
        <v>277</v>
      </c>
      <c r="G437" s="1539">
        <f>SUM(G432:G436)</f>
        <v>0</v>
      </c>
      <c r="H437" s="818"/>
      <c r="I437" s="404"/>
      <c r="W437" s="1163" t="s">
        <v>1877</v>
      </c>
    </row>
    <row r="438" spans="1:23">
      <c r="A438" s="28"/>
      <c r="B438" s="787"/>
      <c r="C438" s="787"/>
      <c r="D438" s="787"/>
      <c r="E438" s="787"/>
      <c r="F438" s="29"/>
      <c r="G438" s="1711"/>
      <c r="H438" s="818"/>
      <c r="I438" s="404"/>
      <c r="W438" s="1163" t="s">
        <v>1878</v>
      </c>
    </row>
    <row r="439" spans="1:23">
      <c r="A439" s="1532" t="s">
        <v>1351</v>
      </c>
      <c r="B439" s="1532" t="s">
        <v>2355</v>
      </c>
      <c r="C439" s="1532" t="s">
        <v>2359</v>
      </c>
      <c r="D439" s="1532" t="s">
        <v>435</v>
      </c>
      <c r="E439" s="1700" t="s">
        <v>164</v>
      </c>
      <c r="F439" s="29"/>
      <c r="G439" s="1711"/>
      <c r="H439" s="818"/>
      <c r="I439" s="404"/>
      <c r="W439" s="1163" t="s">
        <v>1879</v>
      </c>
    </row>
    <row r="440" spans="1:23">
      <c r="A440" s="619" t="s">
        <v>2458</v>
      </c>
      <c r="B440" s="1538"/>
      <c r="C440" s="1538"/>
      <c r="D440" s="1538"/>
      <c r="E440" s="1706">
        <f>IFERROR((VLOOKUP(B440,'Liste de prix Public EUROPE'!$C$2332:$E$2359,3,FALSE)*C440*D440),0)</f>
        <v>0</v>
      </c>
      <c r="F440" s="29"/>
      <c r="G440" s="1711"/>
      <c r="H440" s="818"/>
      <c r="I440" s="404"/>
      <c r="W440" s="1163" t="s">
        <v>1880</v>
      </c>
    </row>
    <row r="441" spans="1:23">
      <c r="A441" s="619" t="s">
        <v>2450</v>
      </c>
      <c r="B441" s="1538"/>
      <c r="C441" s="1538"/>
      <c r="D441" s="1538"/>
      <c r="E441" s="1706">
        <f>IFERROR((VLOOKUP(B441,'Liste de prix Public EUROPE'!$C$2360:$E$2387,3,FALSE)*C441*D441),0)</f>
        <v>0</v>
      </c>
      <c r="F441" s="29"/>
      <c r="G441" s="1711"/>
      <c r="H441" s="818"/>
      <c r="I441" s="404"/>
      <c r="W441" s="1235" t="s">
        <v>1881</v>
      </c>
    </row>
    <row r="442" spans="1:23">
      <c r="A442" s="619" t="s">
        <v>2451</v>
      </c>
      <c r="B442" s="1538"/>
      <c r="C442" s="1538"/>
      <c r="D442" s="1538"/>
      <c r="E442" s="1706">
        <f>IFERROR((VLOOKUP(B442,'Liste de prix Public EUROPE'!$C$2388:$E$2435,3,FALSE)*C442*D442),0)</f>
        <v>0</v>
      </c>
      <c r="F442" s="29"/>
      <c r="G442" s="1711"/>
      <c r="H442" s="818"/>
      <c r="I442" s="404"/>
      <c r="W442" s="712" t="s">
        <v>1126</v>
      </c>
    </row>
    <row r="443" spans="1:23">
      <c r="A443" s="619" t="s">
        <v>2452</v>
      </c>
      <c r="B443" s="1538"/>
      <c r="C443" s="1538"/>
      <c r="D443" s="1538"/>
      <c r="E443" s="1706">
        <f>IFERROR((VLOOKUP(B443,'Liste de prix Public EUROPE'!$C$2436:$E$2483,3,FALSE)*C443*D443),0)</f>
        <v>0</v>
      </c>
      <c r="F443" s="29"/>
      <c r="G443" s="1711"/>
      <c r="H443" s="818"/>
      <c r="I443" s="404"/>
      <c r="W443" s="712" t="s">
        <v>1127</v>
      </c>
    </row>
    <row r="444" spans="1:23">
      <c r="A444" s="619" t="s">
        <v>2473</v>
      </c>
      <c r="B444" s="1538"/>
      <c r="C444" s="1538"/>
      <c r="D444" s="1538"/>
      <c r="E444" s="1706">
        <f>IFERROR((VLOOKUP(B444,'Liste de prix Public EUROPE'!$C$2484:$E$2531,3,FALSE)*C444*D444),0)</f>
        <v>0</v>
      </c>
      <c r="F444" s="29"/>
      <c r="G444" s="1711"/>
      <c r="H444" s="818"/>
      <c r="I444" s="404"/>
      <c r="W444" s="712" t="s">
        <v>1128</v>
      </c>
    </row>
    <row r="445" spans="1:23">
      <c r="A445" s="1532" t="s">
        <v>2475</v>
      </c>
      <c r="B445" s="621" t="s">
        <v>2478</v>
      </c>
      <c r="C445" s="1532" t="s">
        <v>435</v>
      </c>
      <c r="D445" s="1708"/>
      <c r="E445" s="917"/>
      <c r="F445" s="29"/>
      <c r="G445" s="1711"/>
      <c r="H445" s="818"/>
      <c r="I445" s="404"/>
      <c r="W445" s="712" t="s">
        <v>1129</v>
      </c>
    </row>
    <row r="446" spans="1:23">
      <c r="A446" s="619" t="s">
        <v>2454</v>
      </c>
      <c r="B446" s="754"/>
      <c r="C446" s="1538"/>
      <c r="D446" s="1709"/>
      <c r="E446" s="1707">
        <f>IFERROR(VLOOKUP(A446,'Liste de prix Public EUROPE'!$B$2535:$D$2536,3,FALSE)*B446*C446,0)</f>
        <v>0</v>
      </c>
      <c r="F446" s="29"/>
      <c r="G446" s="1711"/>
      <c r="H446" s="818"/>
      <c r="I446" s="404"/>
      <c r="W446" s="712" t="s">
        <v>1130</v>
      </c>
    </row>
    <row r="447" spans="1:23">
      <c r="A447" s="619" t="s">
        <v>2455</v>
      </c>
      <c r="B447" s="754"/>
      <c r="C447" s="1538"/>
      <c r="D447" s="1710"/>
      <c r="E447" s="1707">
        <f>IFERROR(VLOOKUP(A447,'Liste de prix Public EUROPE'!$B$2535:$D$2536,3,FALSE)*B447*C447,0)</f>
        <v>0</v>
      </c>
      <c r="F447" s="29"/>
      <c r="G447" s="1711"/>
      <c r="H447" s="818"/>
      <c r="I447" s="404"/>
      <c r="W447" s="712" t="s">
        <v>1131</v>
      </c>
    </row>
    <row r="448" spans="1:23">
      <c r="A448" s="64"/>
      <c r="B448" s="1489"/>
      <c r="C448" s="1489"/>
      <c r="D448" s="1540" t="s">
        <v>277</v>
      </c>
      <c r="E448" s="1706">
        <f>SUM(E440:E447)</f>
        <v>0</v>
      </c>
      <c r="F448" s="613"/>
      <c r="G448" s="613"/>
      <c r="H448" s="818"/>
      <c r="I448" s="404"/>
      <c r="W448" s="1163" t="s">
        <v>1882</v>
      </c>
    </row>
    <row r="449" spans="1:23">
      <c r="A449" s="64"/>
      <c r="B449" s="1489"/>
      <c r="C449" s="1489"/>
      <c r="D449" s="1712"/>
      <c r="E449" s="1712"/>
      <c r="F449" s="1489"/>
      <c r="G449" s="1489"/>
      <c r="H449" s="818"/>
      <c r="I449" s="404"/>
      <c r="W449" s="1163" t="s">
        <v>1883</v>
      </c>
    </row>
    <row r="450" spans="1:23">
      <c r="A450" s="620" t="s">
        <v>538</v>
      </c>
      <c r="B450" s="620" t="s">
        <v>521</v>
      </c>
      <c r="C450" s="620" t="s">
        <v>520</v>
      </c>
      <c r="D450" s="368" t="s">
        <v>164</v>
      </c>
      <c r="E450" s="64"/>
      <c r="F450" s="64"/>
      <c r="G450" s="64"/>
      <c r="H450" s="173"/>
      <c r="I450" s="404"/>
      <c r="Q450" s="945" t="s">
        <v>1159</v>
      </c>
      <c r="W450" s="1163" t="s">
        <v>1884</v>
      </c>
    </row>
    <row r="451" spans="1:23">
      <c r="A451" s="619" t="s">
        <v>514</v>
      </c>
      <c r="B451" s="622"/>
      <c r="C451" s="577"/>
      <c r="D451" s="625">
        <f>(IF(C451&lt;=0,B451*'Liste de prix Public EUROPE'!$D$2004,IF(C451&lt;30,B451*'Liste de prix Public EUROPE'!$D$2005,'Liste de prix Public EUROPE'!$D$2006*B451)))</f>
        <v>0</v>
      </c>
      <c r="E451" s="64"/>
      <c r="F451" s="64"/>
      <c r="G451" s="64"/>
      <c r="H451" s="173"/>
      <c r="I451" s="404"/>
      <c r="Q451" s="945" t="s">
        <v>1160</v>
      </c>
      <c r="W451" s="1163" t="s">
        <v>1885</v>
      </c>
    </row>
    <row r="452" spans="1:23">
      <c r="A452" s="376"/>
      <c r="B452" s="64"/>
      <c r="C452" s="64"/>
      <c r="D452" s="64"/>
      <c r="E452" s="64"/>
      <c r="F452" s="64"/>
      <c r="G452" s="64"/>
      <c r="H452" s="173"/>
      <c r="I452" s="404"/>
      <c r="Q452" s="945" t="s">
        <v>1161</v>
      </c>
      <c r="W452" s="1163" t="s">
        <v>1886</v>
      </c>
    </row>
    <row r="453" spans="1:23">
      <c r="A453" s="620" t="s">
        <v>667</v>
      </c>
      <c r="B453" s="620" t="s">
        <v>522</v>
      </c>
      <c r="C453" s="620" t="s">
        <v>435</v>
      </c>
      <c r="D453" s="368" t="s">
        <v>164</v>
      </c>
      <c r="E453" s="64"/>
      <c r="F453" s="64"/>
      <c r="G453" s="64"/>
      <c r="H453" s="173"/>
      <c r="I453" s="404"/>
      <c r="Q453" s="945" t="s">
        <v>1162</v>
      </c>
      <c r="W453" s="1163" t="s">
        <v>1887</v>
      </c>
    </row>
    <row r="454" spans="1:23">
      <c r="A454" s="627" t="s">
        <v>2444</v>
      </c>
      <c r="B454" s="640"/>
      <c r="C454" s="629"/>
      <c r="D454" s="822">
        <f>IFERROR(IF(C454&lt;730,(VLOOKUP(A454,'Liste de prix Public EUROPE'!$B$2010:$D$2018,3,FALSE)*B454*C454),(VLOOKUP(A454,'Liste de prix Public EUROPE'!$B$2010:$D$2018,3,FALSE)*730*B454)),0)</f>
        <v>0</v>
      </c>
      <c r="E454" s="64"/>
      <c r="F454" s="64"/>
      <c r="G454" s="64"/>
      <c r="H454" s="173"/>
      <c r="I454" s="404"/>
      <c r="Q454" s="945" t="s">
        <v>1163</v>
      </c>
      <c r="W454" s="1163" t="s">
        <v>1888</v>
      </c>
    </row>
    <row r="455" spans="1:23">
      <c r="A455" s="1532" t="s">
        <v>2479</v>
      </c>
      <c r="B455" s="1532" t="s">
        <v>2289</v>
      </c>
      <c r="C455" s="64"/>
      <c r="D455" s="64"/>
      <c r="E455" s="64"/>
      <c r="F455" s="64"/>
      <c r="G455" s="64"/>
      <c r="H455" s="173"/>
      <c r="I455" s="404"/>
      <c r="Q455" s="945" t="s">
        <v>1164</v>
      </c>
      <c r="W455" s="1163" t="s">
        <v>1889</v>
      </c>
    </row>
    <row r="456" spans="1:23">
      <c r="A456" s="627" t="s">
        <v>2445</v>
      </c>
      <c r="B456" s="870"/>
      <c r="C456" s="1713"/>
      <c r="D456" s="822">
        <f>IFERROR(VLOOKUP(A456,'Liste de prix Public EUROPE'!B2019:D2020,3,FALSE)*B456,0)</f>
        <v>0</v>
      </c>
      <c r="E456" s="64"/>
      <c r="F456" s="64"/>
      <c r="G456" s="64"/>
      <c r="H456" s="173"/>
      <c r="I456" s="404"/>
      <c r="Q456" s="945" t="s">
        <v>1165</v>
      </c>
      <c r="W456" s="1163" t="s">
        <v>1890</v>
      </c>
    </row>
    <row r="457" spans="1:23">
      <c r="A457" s="376"/>
      <c r="B457" s="64"/>
      <c r="C457" s="377" t="s">
        <v>277</v>
      </c>
      <c r="D457" s="822">
        <f>SUM(D454:D456)</f>
        <v>0</v>
      </c>
      <c r="E457" s="64"/>
      <c r="F457" s="64"/>
      <c r="G457" s="64"/>
      <c r="H457" s="173"/>
      <c r="I457" s="404"/>
      <c r="W457" s="1496"/>
    </row>
    <row r="458" spans="1:23">
      <c r="A458" s="376"/>
      <c r="B458" s="64"/>
      <c r="C458" s="64"/>
      <c r="D458" s="64"/>
      <c r="E458" s="64"/>
      <c r="F458" s="64"/>
      <c r="G458" s="64"/>
      <c r="H458" s="173"/>
      <c r="I458" s="404"/>
      <c r="Q458" s="945" t="s">
        <v>1166</v>
      </c>
      <c r="U458" s="966"/>
      <c r="W458" s="1235" t="s">
        <v>1891</v>
      </c>
    </row>
    <row r="459" spans="1:23">
      <c r="A459" s="620" t="s">
        <v>539</v>
      </c>
      <c r="B459" s="620" t="s">
        <v>669</v>
      </c>
      <c r="C459" s="620" t="s">
        <v>435</v>
      </c>
      <c r="D459" s="368" t="s">
        <v>164</v>
      </c>
      <c r="E459" s="64"/>
      <c r="F459" s="64"/>
      <c r="G459" s="64"/>
      <c r="H459" s="173"/>
      <c r="I459" s="404"/>
      <c r="U459" s="966"/>
      <c r="W459" s="712" t="s">
        <v>1120</v>
      </c>
    </row>
    <row r="460" spans="1:23">
      <c r="A460" s="619" t="s">
        <v>519</v>
      </c>
      <c r="B460" s="628"/>
      <c r="C460" s="629"/>
      <c r="D460" s="625">
        <f>$B$460*$C$460*'Liste de prix Public EUROPE'!$D$2024</f>
        <v>0</v>
      </c>
      <c r="E460" s="64"/>
      <c r="F460" s="64"/>
      <c r="G460" s="64"/>
      <c r="H460" s="173"/>
      <c r="I460" s="404"/>
      <c r="U460" s="966"/>
      <c r="W460" s="712" t="s">
        <v>1121</v>
      </c>
    </row>
    <row r="461" spans="1:23">
      <c r="A461" s="376"/>
      <c r="B461" s="64"/>
      <c r="C461" s="64"/>
      <c r="D461" s="64"/>
      <c r="E461" s="64"/>
      <c r="F461" s="64"/>
      <c r="G461" s="64"/>
      <c r="H461" s="173"/>
      <c r="I461" s="404"/>
      <c r="U461" s="966"/>
      <c r="W461" s="712" t="s">
        <v>1122</v>
      </c>
    </row>
    <row r="462" spans="1:23">
      <c r="A462" s="620" t="s">
        <v>728</v>
      </c>
      <c r="B462" s="620" t="s">
        <v>670</v>
      </c>
      <c r="C462" s="620" t="s">
        <v>435</v>
      </c>
      <c r="D462" s="368" t="s">
        <v>164</v>
      </c>
      <c r="E462" s="64"/>
      <c r="F462" s="64"/>
      <c r="G462" s="64"/>
      <c r="H462" s="173"/>
      <c r="I462" s="404"/>
      <c r="U462" s="966"/>
      <c r="W462" s="712" t="s">
        <v>1123</v>
      </c>
    </row>
    <row r="463" spans="1:23">
      <c r="A463" s="619" t="s">
        <v>651</v>
      </c>
      <c r="B463" s="628"/>
      <c r="C463" s="629"/>
      <c r="D463" s="625">
        <f>B463*C463*'Liste de prix Public EUROPE'!$D$2028</f>
        <v>0</v>
      </c>
      <c r="E463" s="64"/>
      <c r="F463" s="738"/>
      <c r="G463" s="64"/>
      <c r="H463" s="173"/>
      <c r="I463" s="404"/>
      <c r="U463" s="966"/>
      <c r="W463" s="712" t="s">
        <v>1124</v>
      </c>
    </row>
    <row r="464" spans="1:23" ht="16.5" customHeight="1">
      <c r="A464" s="376"/>
      <c r="B464" s="64"/>
      <c r="C464" s="64"/>
      <c r="D464" s="64"/>
      <c r="E464" s="64"/>
      <c r="F464" s="738"/>
      <c r="G464" s="64"/>
      <c r="H464" s="173"/>
      <c r="I464" s="404"/>
      <c r="W464" s="712" t="s">
        <v>1125</v>
      </c>
    </row>
    <row r="465" spans="1:23">
      <c r="A465" s="1122" t="s">
        <v>1473</v>
      </c>
      <c r="B465" s="1122" t="s">
        <v>2329</v>
      </c>
      <c r="C465" s="1122" t="s">
        <v>2331</v>
      </c>
      <c r="D465" s="368" t="s">
        <v>164</v>
      </c>
      <c r="E465" s="64"/>
      <c r="F465" s="738"/>
      <c r="G465" s="64"/>
      <c r="H465" s="173"/>
      <c r="I465" s="404"/>
      <c r="W465" s="1163" t="s">
        <v>1892</v>
      </c>
    </row>
    <row r="466" spans="1:23">
      <c r="A466" s="619" t="s">
        <v>1474</v>
      </c>
      <c r="B466" s="628"/>
      <c r="C466" s="629"/>
      <c r="D466" s="822">
        <f>(IF(B466&lt;=2000,B466*'Liste de prix Public EUROPE'!$C$2104,IF(AND(B466&gt;2000,B466&lt;=5000),2000*'Liste de prix Public EUROPE'!$C$2104+(B466-2000)*'Liste de prix Public EUROPE'!C$2105,IF(B466&gt;5000,2000*'Liste de prix Public EUROPE'!$C$2104+3000*'Liste de prix Public EUROPE'!C$2105+(B466-5000)*'Liste de prix Public EUROPE'!C$2106,FALSE)))+C466*('Liste de prix Public EUROPE'!$C$2108/1000000))</f>
        <v>0</v>
      </c>
      <c r="E466" s="64"/>
      <c r="F466" s="738"/>
      <c r="G466" s="64"/>
      <c r="H466" s="173"/>
      <c r="I466" s="404"/>
      <c r="W466" s="1163" t="s">
        <v>1893</v>
      </c>
    </row>
    <row r="467" spans="1:23">
      <c r="A467" s="64"/>
      <c r="B467" s="1139"/>
      <c r="C467" s="1140"/>
      <c r="D467" s="787"/>
      <c r="E467" s="64"/>
      <c r="F467" s="738"/>
      <c r="G467" s="64"/>
      <c r="H467" s="173"/>
      <c r="I467" s="404"/>
      <c r="W467" s="1163" t="s">
        <v>1894</v>
      </c>
    </row>
    <row r="468" spans="1:23">
      <c r="A468" s="1532" t="s">
        <v>2333</v>
      </c>
      <c r="B468" s="368" t="s">
        <v>164</v>
      </c>
      <c r="C468" s="1140"/>
      <c r="D468" s="787"/>
      <c r="E468" s="64"/>
      <c r="F468" s="738"/>
      <c r="G468" s="64"/>
      <c r="H468" s="173"/>
      <c r="I468" s="404"/>
      <c r="W468" s="1163" t="s">
        <v>1895</v>
      </c>
    </row>
    <row r="469" spans="1:23">
      <c r="A469" s="1538"/>
      <c r="B469" s="822">
        <f>IFERROR(VLOOKUP(A469,'Liste de prix Public EUROPE'!B2255:D2256,3,FALSE),0)</f>
        <v>0</v>
      </c>
      <c r="C469" s="1140"/>
      <c r="D469" s="787"/>
      <c r="E469" s="64"/>
      <c r="F469" s="738"/>
      <c r="G469" s="64"/>
      <c r="H469" s="173"/>
      <c r="I469" s="404"/>
      <c r="W469" s="1163" t="s">
        <v>1896</v>
      </c>
    </row>
    <row r="470" spans="1:23">
      <c r="A470" s="64"/>
      <c r="B470" s="1139"/>
      <c r="C470" s="1140"/>
      <c r="D470" s="787"/>
      <c r="E470" s="64"/>
      <c r="F470" s="738"/>
      <c r="G470" s="64"/>
      <c r="H470" s="173"/>
      <c r="I470" s="404"/>
      <c r="W470" s="1163" t="s">
        <v>1897</v>
      </c>
    </row>
    <row r="471" spans="1:23">
      <c r="A471" s="1147" t="s">
        <v>1504</v>
      </c>
      <c r="B471" s="621" t="s">
        <v>1524</v>
      </c>
      <c r="C471" s="368" t="s">
        <v>1525</v>
      </c>
      <c r="D471" s="787"/>
      <c r="E471" s="64"/>
      <c r="F471" s="738"/>
      <c r="G471" s="64"/>
      <c r="H471" s="173"/>
      <c r="I471" s="404"/>
      <c r="W471" s="1163" t="s">
        <v>1898</v>
      </c>
    </row>
    <row r="472" spans="1:23">
      <c r="A472" s="619" t="s">
        <v>1493</v>
      </c>
      <c r="B472" s="1143"/>
      <c r="C472" s="822">
        <f>VLOOKUP(A472,'Liste de prix Public EUROPE'!$B$2123:$C$2133,2,FALSE)*B472</f>
        <v>0</v>
      </c>
      <c r="D472" s="787"/>
      <c r="E472" s="64"/>
      <c r="F472" s="738"/>
      <c r="G472" s="64"/>
      <c r="H472" s="173"/>
      <c r="I472" s="404"/>
      <c r="W472" s="1163" t="s">
        <v>1899</v>
      </c>
    </row>
    <row r="473" spans="1:23">
      <c r="A473" s="619" t="s">
        <v>1494</v>
      </c>
      <c r="B473" s="1143"/>
      <c r="C473" s="822">
        <f>VLOOKUP(A473,'Liste de prix Public EUROPE'!$B$2123:$C$2133,2,FALSE)*B473</f>
        <v>0</v>
      </c>
      <c r="D473" s="787"/>
      <c r="E473" s="64"/>
      <c r="F473" s="738"/>
      <c r="G473" s="64"/>
      <c r="H473" s="173"/>
      <c r="I473" s="404"/>
      <c r="W473" s="1163" t="s">
        <v>1900</v>
      </c>
    </row>
    <row r="474" spans="1:23">
      <c r="A474" s="619" t="s">
        <v>1495</v>
      </c>
      <c r="B474" s="1143"/>
      <c r="C474" s="822">
        <f>VLOOKUP(A474,'Liste de prix Public EUROPE'!$B$2123:$C$2133,2,FALSE)*B474</f>
        <v>0</v>
      </c>
      <c r="D474" s="787"/>
      <c r="E474" s="64"/>
      <c r="F474" s="738"/>
      <c r="G474" s="64"/>
      <c r="H474" s="173"/>
      <c r="I474" s="404"/>
      <c r="W474" s="1235" t="s">
        <v>1901</v>
      </c>
    </row>
    <row r="475" spans="1:23">
      <c r="A475" s="619" t="s">
        <v>1496</v>
      </c>
      <c r="B475" s="1143"/>
      <c r="C475" s="822">
        <f>VLOOKUP(A475,'Liste de prix Public EUROPE'!$B$2123:$C$2133,2,FALSE)*B475</f>
        <v>0</v>
      </c>
      <c r="D475" s="787"/>
      <c r="E475" s="64"/>
      <c r="F475" s="738"/>
      <c r="G475" s="64"/>
      <c r="H475" s="173"/>
      <c r="I475" s="404"/>
      <c r="W475" s="1381" t="s">
        <v>1902</v>
      </c>
    </row>
    <row r="476" spans="1:23">
      <c r="A476" s="619" t="s">
        <v>1497</v>
      </c>
      <c r="B476" s="1143"/>
      <c r="C476" s="822">
        <f>VLOOKUP(A476,'Liste de prix Public EUROPE'!$B$2123:$C$2133,2,FALSE)*B476</f>
        <v>0</v>
      </c>
      <c r="D476" s="787"/>
      <c r="E476" s="64"/>
      <c r="F476" s="738"/>
      <c r="G476" s="64"/>
      <c r="H476" s="173"/>
      <c r="I476" s="404"/>
      <c r="W476" s="1381" t="s">
        <v>1903</v>
      </c>
    </row>
    <row r="477" spans="1:23">
      <c r="A477" s="619" t="s">
        <v>1498</v>
      </c>
      <c r="B477" s="1143"/>
      <c r="C477" s="822">
        <f>VLOOKUP(A477,'Liste de prix Public EUROPE'!$B$2123:$C$2133,2,FALSE)*B477</f>
        <v>0</v>
      </c>
      <c r="D477" s="787"/>
      <c r="E477" s="64"/>
      <c r="F477" s="738"/>
      <c r="G477" s="64"/>
      <c r="H477" s="173"/>
      <c r="I477" s="404"/>
      <c r="W477" s="1381" t="s">
        <v>1904</v>
      </c>
    </row>
    <row r="478" spans="1:23">
      <c r="A478" s="619" t="s">
        <v>1499</v>
      </c>
      <c r="B478" s="1143"/>
      <c r="C478" s="822">
        <f>VLOOKUP(A478,'Liste de prix Public EUROPE'!$B$2123:$C$2133,2,FALSE)*B478</f>
        <v>0</v>
      </c>
      <c r="D478" s="787"/>
      <c r="E478" s="64"/>
      <c r="F478" s="738"/>
      <c r="G478" s="64"/>
      <c r="H478" s="173"/>
      <c r="I478" s="404"/>
      <c r="W478" s="1381" t="s">
        <v>1905</v>
      </c>
    </row>
    <row r="479" spans="1:23">
      <c r="A479" s="619" t="s">
        <v>1500</v>
      </c>
      <c r="B479" s="1143"/>
      <c r="C479" s="822">
        <f>VLOOKUP(A479,'Liste de prix Public EUROPE'!$B$2123:$C$2133,2,FALSE)*B479</f>
        <v>0</v>
      </c>
      <c r="D479" s="64"/>
      <c r="E479" s="64"/>
      <c r="F479" s="738"/>
      <c r="G479" s="64"/>
      <c r="H479" s="173"/>
      <c r="I479" s="404"/>
      <c r="W479" s="1381" t="s">
        <v>1906</v>
      </c>
    </row>
    <row r="480" spans="1:23" ht="26.25" hidden="1" customHeight="1">
      <c r="A480" s="1142" t="s">
        <v>1501</v>
      </c>
      <c r="B480" s="1143"/>
      <c r="C480" s="822">
        <f>VLOOKUP(A480,'Liste de prix Public EUROPE'!$B$2123:$C$2133,2,FALSE)*B480</f>
        <v>0</v>
      </c>
      <c r="D480" s="64"/>
      <c r="E480" s="64"/>
      <c r="F480" s="738"/>
      <c r="G480" s="64"/>
      <c r="H480" s="173"/>
      <c r="I480" s="404"/>
      <c r="W480" s="1381" t="s">
        <v>1907</v>
      </c>
    </row>
    <row r="481" spans="1:23" hidden="1">
      <c r="A481" s="1142" t="s">
        <v>1502</v>
      </c>
      <c r="B481" s="1143"/>
      <c r="C481" s="822">
        <f>VLOOKUP(A481,'Liste de prix Public EUROPE'!$B$2123:$C$2133,2,FALSE)*B481</f>
        <v>0</v>
      </c>
      <c r="D481" s="64"/>
      <c r="E481" s="64"/>
      <c r="F481" s="738"/>
      <c r="G481" s="64"/>
      <c r="H481" s="173"/>
      <c r="I481" s="404"/>
      <c r="W481" s="1497"/>
    </row>
    <row r="482" spans="1:23" hidden="1">
      <c r="A482" s="1145"/>
      <c r="B482" s="1143"/>
      <c r="C482" s="822" t="e">
        <f>VLOOKUP(A482,'Liste de prix Public EUROPE'!$B$2123:$C$2133,2,FALSE)*B482</f>
        <v>#N/A</v>
      </c>
      <c r="D482" s="64"/>
      <c r="E482" s="64"/>
      <c r="F482" s="738"/>
      <c r="G482" s="64"/>
      <c r="H482" s="173"/>
      <c r="I482" s="404"/>
    </row>
    <row r="483" spans="1:23" hidden="1">
      <c r="A483" s="376"/>
      <c r="B483" s="1143"/>
      <c r="C483" s="822" t="e">
        <f>VLOOKUP(A483,'Liste de prix Public EUROPE'!$B$2123:$C$2133,2,FALSE)*B483</f>
        <v>#N/A</v>
      </c>
      <c r="D483" s="64"/>
      <c r="E483" s="64"/>
      <c r="F483" s="738"/>
      <c r="G483" s="64"/>
      <c r="H483" s="173"/>
      <c r="I483" s="404"/>
    </row>
    <row r="484" spans="1:23" hidden="1">
      <c r="A484" s="376"/>
      <c r="B484" s="1143"/>
      <c r="C484" s="822" t="e">
        <f>VLOOKUP(A484,'Liste de prix Public EUROPE'!$B$2123:$C$2133,2,FALSE)*B484</f>
        <v>#N/A</v>
      </c>
      <c r="D484" s="64"/>
      <c r="E484" s="64"/>
      <c r="F484" s="738"/>
      <c r="G484" s="64"/>
      <c r="H484" s="173"/>
      <c r="I484" s="404"/>
      <c r="J484" s="944"/>
      <c r="K484" s="944"/>
      <c r="W484" s="1163" t="s">
        <v>1908</v>
      </c>
    </row>
    <row r="485" spans="1:23">
      <c r="A485" s="619" t="s">
        <v>1501</v>
      </c>
      <c r="B485" s="1143"/>
      <c r="C485" s="822">
        <f>VLOOKUP(A485,'Liste de prix Public EUROPE'!$B$2123:$C$2133,2,FALSE)*B485</f>
        <v>0</v>
      </c>
      <c r="D485" s="64"/>
      <c r="E485" s="64"/>
      <c r="F485" s="738"/>
      <c r="G485" s="64"/>
      <c r="H485" s="173"/>
      <c r="I485" s="404"/>
      <c r="J485" s="944"/>
      <c r="K485" s="944"/>
      <c r="W485" s="1163" t="s">
        <v>1909</v>
      </c>
    </row>
    <row r="486" spans="1:23">
      <c r="A486" s="619" t="s">
        <v>1502</v>
      </c>
      <c r="B486" s="1143"/>
      <c r="C486" s="822">
        <f>VLOOKUP(A486,'Liste de prix Public EUROPE'!$B$2123:$C$2133,2,FALSE)*B486</f>
        <v>0</v>
      </c>
      <c r="D486" s="64"/>
      <c r="E486" s="64"/>
      <c r="F486" s="738"/>
      <c r="G486" s="64"/>
      <c r="H486" s="173"/>
      <c r="I486" s="404"/>
      <c r="J486" s="944"/>
      <c r="K486" s="944"/>
      <c r="W486" s="1163" t="s">
        <v>1910</v>
      </c>
    </row>
    <row r="487" spans="1:23">
      <c r="A487" s="619" t="s">
        <v>1503</v>
      </c>
      <c r="B487" s="1143"/>
      <c r="C487" s="822">
        <f>VLOOKUP(A487,'Liste de prix Public EUROPE'!$B$2123:$C$2133,2,FALSE)*B487</f>
        <v>0</v>
      </c>
      <c r="D487" s="64"/>
      <c r="E487" s="64"/>
      <c r="F487" s="738"/>
      <c r="G487" s="64"/>
      <c r="H487" s="173"/>
      <c r="I487" s="404"/>
      <c r="J487" s="944"/>
      <c r="K487" s="944"/>
      <c r="W487" s="1163" t="s">
        <v>1911</v>
      </c>
    </row>
    <row r="488" spans="1:23" ht="19.5" customHeight="1">
      <c r="A488" s="1145"/>
      <c r="B488" s="1146" t="s">
        <v>1523</v>
      </c>
      <c r="C488" s="1148">
        <f>C472+C473+C474+C475+C476+C477+C478+C479+C485+C486+C487</f>
        <v>0</v>
      </c>
      <c r="D488" s="64"/>
      <c r="E488" s="64"/>
      <c r="F488" s="738"/>
      <c r="G488" s="64"/>
      <c r="H488" s="173"/>
      <c r="I488" s="404"/>
      <c r="J488" s="944"/>
      <c r="K488" s="944"/>
      <c r="W488" s="1163" t="s">
        <v>1912</v>
      </c>
    </row>
    <row r="489" spans="1:23">
      <c r="A489" s="376"/>
      <c r="B489" s="64"/>
      <c r="C489" s="64"/>
      <c r="D489" s="64"/>
      <c r="E489" s="64"/>
      <c r="F489" s="738"/>
      <c r="G489" s="64"/>
      <c r="H489" s="173"/>
      <c r="I489" s="404"/>
      <c r="J489" s="944"/>
      <c r="K489" s="944"/>
      <c r="W489" s="1163" t="s">
        <v>1913</v>
      </c>
    </row>
    <row r="490" spans="1:23">
      <c r="A490" s="1363" t="s">
        <v>1554</v>
      </c>
      <c r="B490" s="621" t="s">
        <v>2354</v>
      </c>
      <c r="C490" s="621" t="s">
        <v>1819</v>
      </c>
      <c r="D490" s="621" t="s">
        <v>2291</v>
      </c>
      <c r="E490" s="64"/>
      <c r="F490" s="738"/>
      <c r="G490" s="64"/>
      <c r="H490" s="173"/>
      <c r="I490" s="404"/>
      <c r="J490" s="944"/>
      <c r="K490" s="944"/>
      <c r="W490" s="1163" t="s">
        <v>1914</v>
      </c>
    </row>
    <row r="491" spans="1:23">
      <c r="A491" s="619" t="s">
        <v>1552</v>
      </c>
      <c r="B491" s="1143"/>
      <c r="C491" s="1143"/>
      <c r="D491" s="1148">
        <f>VLOOKUP(A491,'Liste de prix Public EUROPE'!$B$2138:$C$2141,2,FALSE)*B491*C491</f>
        <v>0</v>
      </c>
      <c r="E491" s="64"/>
      <c r="F491" s="738"/>
      <c r="G491" s="64"/>
      <c r="H491" s="173"/>
      <c r="I491" s="404"/>
      <c r="J491" s="944"/>
      <c r="K491" s="944"/>
      <c r="W491" s="1163" t="s">
        <v>1915</v>
      </c>
    </row>
    <row r="492" spans="1:23">
      <c r="A492" s="619" t="s">
        <v>1551</v>
      </c>
      <c r="B492" s="1143"/>
      <c r="C492" s="1143"/>
      <c r="D492" s="1148">
        <f>VLOOKUP(A492,'Liste de prix Public EUROPE'!$B$2138:$C$2141,2,FALSE)*B492*C492</f>
        <v>0</v>
      </c>
      <c r="E492" s="64"/>
      <c r="F492" s="738"/>
      <c r="G492" s="64"/>
      <c r="H492" s="173"/>
      <c r="I492" s="404"/>
      <c r="J492" s="944"/>
      <c r="K492" s="944"/>
      <c r="W492" s="1163" t="s">
        <v>1916</v>
      </c>
    </row>
    <row r="493" spans="1:23">
      <c r="A493" s="619" t="s">
        <v>1550</v>
      </c>
      <c r="B493" s="1143"/>
      <c r="C493" s="1143"/>
      <c r="D493" s="1148">
        <f>VLOOKUP(A493,'Liste de prix Public EUROPE'!$B$2138:$C$2141,2,FALSE)*B493*C493</f>
        <v>0</v>
      </c>
      <c r="E493" s="64"/>
      <c r="F493" s="738"/>
      <c r="G493" s="64"/>
      <c r="H493" s="173"/>
      <c r="I493" s="404"/>
      <c r="J493" s="944"/>
      <c r="K493" s="944"/>
      <c r="W493" s="1235" t="s">
        <v>1917</v>
      </c>
    </row>
    <row r="494" spans="1:23">
      <c r="A494" s="619" t="s">
        <v>1549</v>
      </c>
      <c r="B494" s="1143"/>
      <c r="C494" s="1143"/>
      <c r="D494" s="1148">
        <f>VLOOKUP(A494,'Liste de prix Public EUROPE'!$B$2138:$C$2141,2,FALSE)*B494*C494</f>
        <v>0</v>
      </c>
      <c r="E494" s="64"/>
      <c r="F494" s="738"/>
      <c r="G494" s="64"/>
      <c r="H494" s="173"/>
      <c r="I494" s="404"/>
      <c r="J494" s="944"/>
      <c r="K494" s="944"/>
      <c r="W494" s="1163" t="s">
        <v>1918</v>
      </c>
    </row>
    <row r="495" spans="1:23">
      <c r="A495" s="1145"/>
      <c r="B495" s="1145"/>
      <c r="C495" s="1146" t="s">
        <v>1818</v>
      </c>
      <c r="D495" s="1148">
        <f>SUM(D491:D494)</f>
        <v>0</v>
      </c>
      <c r="E495" s="64"/>
      <c r="F495" s="738"/>
      <c r="G495" s="64"/>
      <c r="H495" s="173"/>
      <c r="I495" s="404"/>
      <c r="J495" s="944"/>
      <c r="K495" s="944"/>
      <c r="W495" s="1163" t="s">
        <v>1919</v>
      </c>
    </row>
    <row r="496" spans="1:23">
      <c r="A496" s="1145"/>
      <c r="B496" s="1161"/>
      <c r="C496" s="1161"/>
      <c r="D496" s="787"/>
      <c r="E496" s="64"/>
      <c r="F496" s="738"/>
      <c r="G496" s="64"/>
      <c r="H496" s="173"/>
      <c r="I496" s="404"/>
      <c r="J496" s="944"/>
      <c r="K496" s="944"/>
      <c r="W496" s="1163" t="s">
        <v>1920</v>
      </c>
    </row>
    <row r="497" spans="1:23">
      <c r="A497" s="1363" t="s">
        <v>1805</v>
      </c>
      <c r="B497" s="621" t="s">
        <v>2354</v>
      </c>
      <c r="C497" s="1213" t="s">
        <v>1819</v>
      </c>
      <c r="D497" s="621" t="s">
        <v>2291</v>
      </c>
      <c r="E497" s="64"/>
      <c r="F497" s="738"/>
      <c r="G497" s="64"/>
      <c r="H497" s="173"/>
      <c r="I497" s="404"/>
      <c r="J497" s="944"/>
      <c r="K497" s="944"/>
      <c r="W497" s="1163" t="s">
        <v>1921</v>
      </c>
    </row>
    <row r="498" spans="1:23" ht="15.6">
      <c r="A498" s="1353" t="s">
        <v>1806</v>
      </c>
      <c r="B498" s="1143"/>
      <c r="C498" s="1143"/>
      <c r="D498" s="1354">
        <f>VLOOKUP(A498,'Liste de prix Public EUROPE'!$B$2145:$C$2148,2,FALSE)*B498*C498</f>
        <v>0</v>
      </c>
      <c r="E498" s="64"/>
      <c r="F498" s="738"/>
      <c r="G498" s="64"/>
      <c r="H498" s="173"/>
      <c r="I498" s="404"/>
      <c r="J498" s="944"/>
      <c r="K498" s="944"/>
      <c r="W498" s="1163" t="s">
        <v>1922</v>
      </c>
    </row>
    <row r="499" spans="1:23" ht="15.6">
      <c r="A499" s="1353" t="s">
        <v>1807</v>
      </c>
      <c r="B499" s="1143"/>
      <c r="C499" s="1143"/>
      <c r="D499" s="1354">
        <f>VLOOKUP(A499,'Liste de prix Public EUROPE'!$B$2145:$C$2148,2,FALSE)*B499*C499</f>
        <v>0</v>
      </c>
      <c r="E499" s="64"/>
      <c r="F499" s="738"/>
      <c r="G499" s="64"/>
      <c r="H499" s="173"/>
      <c r="I499" s="404"/>
      <c r="J499" s="944"/>
      <c r="K499" s="944"/>
      <c r="W499" s="1163" t="s">
        <v>1923</v>
      </c>
    </row>
    <row r="500" spans="1:23" ht="15.6">
      <c r="A500" s="1353" t="s">
        <v>1808</v>
      </c>
      <c r="B500" s="1143"/>
      <c r="C500" s="1143"/>
      <c r="D500" s="1354">
        <f>VLOOKUP(A500,'Liste de prix Public EUROPE'!$B$2145:$C$2148,2,FALSE)*B500*C500</f>
        <v>0</v>
      </c>
      <c r="E500" s="64"/>
      <c r="F500" s="738"/>
      <c r="G500" s="64"/>
      <c r="H500" s="173"/>
      <c r="I500" s="404"/>
      <c r="J500" s="944"/>
      <c r="K500" s="944"/>
      <c r="W500" s="1163" t="s">
        <v>1924</v>
      </c>
    </row>
    <row r="501" spans="1:23" ht="15.6">
      <c r="A501" s="1353" t="s">
        <v>1809</v>
      </c>
      <c r="B501" s="1143"/>
      <c r="C501" s="1143"/>
      <c r="D501" s="1354">
        <f>VLOOKUP(A501,'Liste de prix Public EUROPE'!$B$2145:$C$2148,2,FALSE)*B501*C501</f>
        <v>0</v>
      </c>
      <c r="E501" s="64"/>
      <c r="F501" s="738"/>
      <c r="G501" s="64"/>
      <c r="H501" s="173"/>
      <c r="I501" s="404"/>
      <c r="J501" s="944"/>
      <c r="K501" s="944"/>
      <c r="W501" s="1163" t="s">
        <v>1925</v>
      </c>
    </row>
    <row r="502" spans="1:23" ht="15.6">
      <c r="A502" s="1356"/>
      <c r="B502" s="1356"/>
      <c r="C502" s="1146" t="s">
        <v>1818</v>
      </c>
      <c r="D502" s="1354">
        <f>SUM(D498:D501)</f>
        <v>0</v>
      </c>
      <c r="E502" s="64"/>
      <c r="F502" s="738"/>
      <c r="G502" s="64"/>
      <c r="H502" s="173"/>
      <c r="I502" s="404"/>
      <c r="J502" s="944"/>
      <c r="K502" s="944"/>
      <c r="W502" s="1163" t="s">
        <v>1926</v>
      </c>
    </row>
    <row r="503" spans="1:23">
      <c r="A503" s="64"/>
      <c r="B503" s="64"/>
      <c r="C503" s="64"/>
      <c r="D503" s="64"/>
      <c r="E503" s="64"/>
      <c r="F503" s="738"/>
      <c r="G503" s="64"/>
      <c r="H503" s="173"/>
      <c r="I503" s="404"/>
      <c r="J503" s="944"/>
      <c r="K503" s="944"/>
      <c r="W503" s="1163" t="s">
        <v>1927</v>
      </c>
    </row>
    <row r="504" spans="1:23" ht="15" customHeight="1">
      <c r="A504" s="1532" t="s">
        <v>2362</v>
      </c>
      <c r="B504" s="621" t="s">
        <v>2353</v>
      </c>
      <c r="C504" s="621" t="s">
        <v>1819</v>
      </c>
      <c r="D504" s="621" t="s">
        <v>2291</v>
      </c>
      <c r="E504" s="1352"/>
      <c r="F504" s="426"/>
      <c r="G504" s="426"/>
      <c r="H504" s="173"/>
      <c r="I504" s="404"/>
      <c r="J504" s="944"/>
      <c r="K504" s="944"/>
      <c r="L504" s="944"/>
      <c r="S504" s="945"/>
      <c r="W504" s="1163" t="s">
        <v>1928</v>
      </c>
    </row>
    <row r="505" spans="1:23" ht="15" customHeight="1">
      <c r="A505" s="1538"/>
      <c r="B505" s="1143"/>
      <c r="C505" s="1143"/>
      <c r="D505" s="1148">
        <f>IFERROR(VLOOKUP($A505,'Liste de prix Public EUROPE'!$B$2267:$E$2274,4,FALSE)*B505*C505,0)</f>
        <v>0</v>
      </c>
      <c r="E505" s="426"/>
      <c r="F505" s="426"/>
      <c r="G505" s="426"/>
      <c r="H505" s="173"/>
      <c r="I505" s="404"/>
      <c r="J505" s="944"/>
      <c r="K505" s="944"/>
      <c r="L505" s="944"/>
      <c r="S505" s="945"/>
      <c r="W505" s="1163" t="s">
        <v>1929</v>
      </c>
    </row>
    <row r="506" spans="1:23" ht="15" customHeight="1">
      <c r="A506" s="1538"/>
      <c r="B506" s="1143"/>
      <c r="C506" s="1143"/>
      <c r="D506" s="1148">
        <f>IFERROR(VLOOKUP($A506,'Liste de prix Public EUROPE'!$B$2267:$E$2274,4,FALSE)*B506*C506,0)</f>
        <v>0</v>
      </c>
      <c r="E506" s="426"/>
      <c r="F506" s="426"/>
      <c r="G506" s="426"/>
      <c r="H506" s="173"/>
      <c r="I506" s="404"/>
      <c r="J506" s="944"/>
      <c r="K506" s="944"/>
      <c r="L506" s="944"/>
      <c r="S506" s="945"/>
      <c r="W506" s="1163" t="s">
        <v>1930</v>
      </c>
    </row>
    <row r="507" spans="1:23" ht="15" customHeight="1">
      <c r="A507" s="1538"/>
      <c r="B507" s="1143"/>
      <c r="C507" s="1143"/>
      <c r="D507" s="1148">
        <f>IFERROR(VLOOKUP($A507,'Liste de prix Public EUROPE'!$B$2267:$E$2274,4,FALSE)*B507*C507,0)</f>
        <v>0</v>
      </c>
      <c r="E507" s="426"/>
      <c r="F507" s="426"/>
      <c r="G507" s="426"/>
      <c r="H507" s="173"/>
      <c r="I507" s="404"/>
      <c r="J507" s="944"/>
      <c r="K507" s="944"/>
      <c r="L507" s="944"/>
      <c r="S507" s="945"/>
      <c r="W507" s="1163" t="s">
        <v>1931</v>
      </c>
    </row>
    <row r="508" spans="1:23" ht="15" customHeight="1">
      <c r="A508" s="1538"/>
      <c r="B508" s="1143"/>
      <c r="C508" s="1143"/>
      <c r="D508" s="1148">
        <f>IFERROR(VLOOKUP($A508,'Liste de prix Public EUROPE'!$B$2267:$E$2274,4,FALSE)*B508*C508,0)</f>
        <v>0</v>
      </c>
      <c r="E508" s="426"/>
      <c r="F508" s="426"/>
      <c r="G508" s="426"/>
      <c r="H508" s="173"/>
      <c r="I508" s="404"/>
      <c r="J508" s="944"/>
      <c r="K508" s="944"/>
      <c r="L508" s="944"/>
      <c r="S508" s="945"/>
      <c r="W508" s="1163" t="s">
        <v>1932</v>
      </c>
    </row>
    <row r="509" spans="1:23" ht="15" customHeight="1">
      <c r="A509" s="1538"/>
      <c r="B509" s="1143"/>
      <c r="C509" s="1143"/>
      <c r="D509" s="1148">
        <f>IFERROR(VLOOKUP($A509,'Liste de prix Public EUROPE'!$B$2267:$E$2274,4,FALSE)*B509*C509,0)</f>
        <v>0</v>
      </c>
      <c r="E509" s="426"/>
      <c r="F509" s="426"/>
      <c r="G509" s="426"/>
      <c r="H509" s="173"/>
      <c r="I509" s="404"/>
      <c r="J509" s="944"/>
      <c r="K509" s="944"/>
      <c r="L509" s="944"/>
      <c r="S509" s="945"/>
      <c r="W509" s="1235" t="s">
        <v>1933</v>
      </c>
    </row>
    <row r="510" spans="1:23" ht="15" customHeight="1">
      <c r="A510" s="1538"/>
      <c r="B510" s="1143"/>
      <c r="C510" s="1143"/>
      <c r="D510" s="1148">
        <f>IFERROR(VLOOKUP($A510,'Liste de prix Public EUROPE'!$B$2267:$E$2274,4,FALSE)*B510*C510,0)</f>
        <v>0</v>
      </c>
      <c r="E510" s="426"/>
      <c r="F510" s="426"/>
      <c r="G510" s="426"/>
      <c r="H510" s="173"/>
      <c r="I510" s="404"/>
      <c r="J510" s="944"/>
      <c r="K510" s="944"/>
      <c r="L510" s="944"/>
      <c r="S510" s="945"/>
      <c r="W510" s="1163" t="s">
        <v>1934</v>
      </c>
    </row>
    <row r="511" spans="1:23" ht="15" customHeight="1">
      <c r="A511" s="1538"/>
      <c r="B511" s="1143"/>
      <c r="C511" s="1143"/>
      <c r="D511" s="1148">
        <f>IFERROR(VLOOKUP($A511,'Liste de prix Public EUROPE'!$B$2267:$E$2274,4,FALSE)*B511*C511,0)</f>
        <v>0</v>
      </c>
      <c r="E511" s="426"/>
      <c r="F511" s="426"/>
      <c r="G511" s="426"/>
      <c r="H511" s="173"/>
      <c r="I511" s="404"/>
      <c r="J511" s="944"/>
      <c r="K511" s="944"/>
      <c r="L511" s="944"/>
      <c r="S511" s="945"/>
      <c r="W511" s="1163" t="s">
        <v>1935</v>
      </c>
    </row>
    <row r="512" spans="1:23" ht="15" customHeight="1">
      <c r="A512" s="1538"/>
      <c r="B512" s="1143"/>
      <c r="C512" s="1143"/>
      <c r="D512" s="1148">
        <f>IFERROR(VLOOKUP($A512,'Liste de prix Public EUROPE'!$B$2267:$E$2274,4,FALSE)*B512*C512,0)</f>
        <v>0</v>
      </c>
      <c r="E512" s="426"/>
      <c r="F512" s="426"/>
      <c r="G512" s="426"/>
      <c r="H512" s="173"/>
      <c r="I512" s="404"/>
      <c r="J512" s="944"/>
      <c r="K512" s="944"/>
      <c r="L512" s="944"/>
      <c r="S512" s="945"/>
      <c r="W512" s="1163" t="s">
        <v>1936</v>
      </c>
    </row>
    <row r="513" spans="1:23" ht="15" customHeight="1">
      <c r="A513" s="1356"/>
      <c r="B513" s="1356"/>
      <c r="C513" s="1146" t="s">
        <v>277</v>
      </c>
      <c r="D513" s="1619">
        <f>SUM(D505:D512)</f>
        <v>0</v>
      </c>
      <c r="E513" s="426"/>
      <c r="F513" s="426"/>
      <c r="G513" s="426"/>
      <c r="H513" s="173"/>
      <c r="I513" s="404"/>
      <c r="J513" s="944"/>
      <c r="K513" s="944"/>
      <c r="L513" s="944"/>
      <c r="S513" s="945"/>
      <c r="W513" s="1163" t="s">
        <v>1937</v>
      </c>
    </row>
    <row r="514" spans="1:23" ht="15" customHeight="1">
      <c r="A514" s="1356"/>
      <c r="B514" s="1615"/>
      <c r="C514" s="1615"/>
      <c r="D514" s="1161"/>
      <c r="E514" s="426"/>
      <c r="F514" s="426"/>
      <c r="G514" s="426"/>
      <c r="H514" s="173"/>
      <c r="I514" s="404"/>
      <c r="J514" s="944"/>
      <c r="K514" s="944"/>
      <c r="L514" s="944"/>
      <c r="S514" s="945"/>
      <c r="W514" s="1163" t="s">
        <v>1938</v>
      </c>
    </row>
    <row r="515" spans="1:23" ht="15" customHeight="1">
      <c r="A515" s="1532" t="s">
        <v>2364</v>
      </c>
      <c r="B515" s="621" t="s">
        <v>1722</v>
      </c>
      <c r="C515" s="621" t="s">
        <v>2290</v>
      </c>
      <c r="D515" s="621" t="s">
        <v>2291</v>
      </c>
      <c r="E515" s="426"/>
      <c r="F515" s="426"/>
      <c r="G515" s="426"/>
      <c r="H515" s="173"/>
      <c r="I515" s="404"/>
      <c r="J515" s="944"/>
      <c r="K515" s="944"/>
      <c r="L515" s="944"/>
      <c r="S515" s="945"/>
      <c r="W515" s="1163" t="s">
        <v>1939</v>
      </c>
    </row>
    <row r="516" spans="1:23" ht="15" customHeight="1">
      <c r="A516" s="1054" t="s">
        <v>172</v>
      </c>
      <c r="B516" s="1143"/>
      <c r="C516" s="1143"/>
      <c r="D516" s="1148">
        <f>IFERROR(VLOOKUP($B$516,'Liste de prix Public EUROPE'!$B$2278:$C$2279,2,FALSE)*$C$516,0)</f>
        <v>0</v>
      </c>
      <c r="E516" s="426"/>
      <c r="F516" s="426"/>
      <c r="G516" s="426"/>
      <c r="H516" s="173"/>
      <c r="I516" s="404"/>
      <c r="J516" s="944"/>
      <c r="K516" s="944"/>
      <c r="L516" s="944"/>
      <c r="S516" s="945"/>
      <c r="W516" s="1163" t="s">
        <v>1940</v>
      </c>
    </row>
    <row r="517" spans="1:23" ht="15" customHeight="1">
      <c r="A517" s="1054" t="s">
        <v>2280</v>
      </c>
      <c r="B517" s="1143"/>
      <c r="C517" s="1143"/>
      <c r="D517" s="1148">
        <f>IFERROR(VLOOKUP($B$517,'Liste de prix Public EUROPE'!$B$2283:$C$2284,2,FALSE)*$C$517,0)</f>
        <v>0</v>
      </c>
      <c r="E517" s="426"/>
      <c r="F517" s="426"/>
      <c r="G517" s="426"/>
      <c r="H517" s="173"/>
      <c r="I517" s="404"/>
      <c r="J517" s="944"/>
      <c r="K517" s="944"/>
      <c r="L517" s="944"/>
      <c r="S517" s="945"/>
      <c r="W517" s="1163" t="s">
        <v>1941</v>
      </c>
    </row>
    <row r="518" spans="1:23" ht="15" customHeight="1">
      <c r="A518" s="1161"/>
      <c r="B518" s="1161"/>
      <c r="C518" s="1146" t="s">
        <v>277</v>
      </c>
      <c r="D518" s="1619">
        <f>SUM(D516:D517)</f>
        <v>0</v>
      </c>
      <c r="E518" s="426"/>
      <c r="F518" s="426"/>
      <c r="G518" s="426"/>
      <c r="H518" s="173"/>
      <c r="I518" s="404"/>
      <c r="J518" s="944"/>
      <c r="K518" s="944"/>
      <c r="L518" s="944"/>
      <c r="S518" s="945"/>
      <c r="W518" s="1163" t="s">
        <v>1942</v>
      </c>
    </row>
    <row r="519" spans="1:23" ht="15" customHeight="1">
      <c r="A519" s="1161"/>
      <c r="B519" s="1161"/>
      <c r="C519" s="1161"/>
      <c r="D519" s="1352"/>
      <c r="E519" s="426"/>
      <c r="F519" s="426"/>
      <c r="G519" s="426"/>
      <c r="H519" s="173"/>
      <c r="I519" s="404"/>
      <c r="J519" s="944"/>
      <c r="K519" s="944"/>
      <c r="L519" s="944"/>
      <c r="S519" s="945"/>
      <c r="W519" s="1163" t="s">
        <v>1943</v>
      </c>
    </row>
    <row r="520" spans="1:23" ht="15" customHeight="1">
      <c r="A520" s="1532" t="s">
        <v>2365</v>
      </c>
      <c r="B520" s="1715" t="s">
        <v>1415</v>
      </c>
      <c r="C520" s="368" t="s">
        <v>165</v>
      </c>
      <c r="D520" s="368" t="s">
        <v>1524</v>
      </c>
      <c r="E520" s="368" t="s">
        <v>2407</v>
      </c>
      <c r="F520" s="1829" t="s">
        <v>2408</v>
      </c>
      <c r="G520" s="621" t="s">
        <v>164</v>
      </c>
      <c r="H520" s="173"/>
      <c r="I520" s="404"/>
      <c r="J520" s="944"/>
      <c r="K520" s="944"/>
      <c r="L520" s="944"/>
      <c r="S520" s="945"/>
      <c r="W520" s="1163" t="s">
        <v>1944</v>
      </c>
    </row>
    <row r="521" spans="1:23" ht="15" customHeight="1">
      <c r="A521" s="419"/>
      <c r="B521" s="1664" t="str">
        <f>IFERROR(VLOOKUP(A521,'Liste de prix Public EUROPE'!$B$1303:$C$1351,2,FALSE),"")</f>
        <v/>
      </c>
      <c r="C521" s="415"/>
      <c r="D521" s="1665"/>
      <c r="E521" s="382">
        <f>IFERROR(IF(D521&lt;730,(VLOOKUP(A521,'Liste de prix Public EUROPE'!$B$1303:$H$1351,6,FALSE)*C521*D521),VLOOKUP(A521,'Liste de prix Public EUROPE'!$B$1303:$H$1351,7,FALSE)*C521),0)</f>
        <v>0</v>
      </c>
      <c r="F521" s="1256">
        <f>IFERROR(IF(D521&lt;650,VLOOKUP(A521,'Liste de prix Public EUROPE'!$B$9:$H$174,6,FALSE)*C521*D521,VLOOKUP(A521,'Liste de prix Public EUROPE'!$B$9:$H$174,7,FALSE)*C521),0)</f>
        <v>0</v>
      </c>
      <c r="G521" s="1055">
        <f>E521+F521</f>
        <v>0</v>
      </c>
      <c r="H521" s="173"/>
      <c r="I521" s="404"/>
      <c r="J521" s="944"/>
      <c r="K521" s="944"/>
      <c r="L521" s="944"/>
      <c r="S521" s="945"/>
      <c r="W521" s="1163" t="s">
        <v>1945</v>
      </c>
    </row>
    <row r="522" spans="1:23" ht="15" customHeight="1">
      <c r="A522" s="419"/>
      <c r="B522" s="1664" t="str">
        <f>IFERROR(VLOOKUP(A522,'Liste de prix Public EUROPE'!$B$1303:$C$1351,2,FALSE),"")</f>
        <v/>
      </c>
      <c r="C522" s="415"/>
      <c r="D522" s="1665"/>
      <c r="E522" s="382">
        <f>IFERROR(IF(D522&lt;730,(VLOOKUP(A522,'Liste de prix Public EUROPE'!$B$1303:$H$1351,6,FALSE)*C522*D522),VLOOKUP(A522,'Liste de prix Public EUROPE'!$B$1303:$H$1351,7,FALSE)*C522),0)</f>
        <v>0</v>
      </c>
      <c r="F522" s="1256">
        <f>IFERROR(IF(D522&lt;650,VLOOKUP(A522,'Liste de prix Public EUROPE'!$B$9:$H$174,6,FALSE)*C522*D522,VLOOKUP(A522,'Liste de prix Public EUROPE'!$B$9:$H$174,7,FALSE)*C522),0)</f>
        <v>0</v>
      </c>
      <c r="G522" s="1055">
        <f>E522+F522</f>
        <v>0</v>
      </c>
      <c r="H522" s="173"/>
      <c r="I522" s="404"/>
      <c r="J522" s="944"/>
      <c r="K522" s="944"/>
      <c r="L522" s="944"/>
      <c r="S522" s="945"/>
      <c r="W522" s="1163" t="s">
        <v>1946</v>
      </c>
    </row>
    <row r="523" spans="1:23" ht="15" customHeight="1">
      <c r="A523" s="419"/>
      <c r="B523" s="1664" t="str">
        <f>IFERROR(VLOOKUP(A523,'Liste de prix Public EUROPE'!$B$1303:$C$1351,2,FALSE),"")</f>
        <v/>
      </c>
      <c r="C523" s="415"/>
      <c r="D523" s="1665"/>
      <c r="E523" s="382">
        <f>IFERROR(IF(D523&lt;730,(VLOOKUP(A523,'Liste de prix Public EUROPE'!$B$1303:$H$1351,6,FALSE)*C523*D523),VLOOKUP(A523,'Liste de prix Public EUROPE'!$B$1303:$H$1351,7,FALSE)*C523),0)</f>
        <v>0</v>
      </c>
      <c r="F523" s="1256">
        <f>IFERROR(IF(D523&lt;650,VLOOKUP(A523,'Liste de prix Public EUROPE'!$B$9:$H$174,6,FALSE)*C523*D523,VLOOKUP(A523,'Liste de prix Public EUROPE'!$B$9:$H$174,7,FALSE)*C523),0)</f>
        <v>0</v>
      </c>
      <c r="G523" s="1055">
        <f>E523+F523</f>
        <v>0</v>
      </c>
      <c r="H523" s="173"/>
      <c r="I523" s="404"/>
      <c r="J523" s="944"/>
      <c r="K523" s="944"/>
      <c r="L523" s="944"/>
      <c r="S523" s="945"/>
      <c r="W523" s="1163" t="s">
        <v>1947</v>
      </c>
    </row>
    <row r="524" spans="1:23" ht="15" customHeight="1">
      <c r="A524" s="419"/>
      <c r="B524" s="1664" t="str">
        <f>IFERROR(VLOOKUP(A524,'Liste de prix Public EUROPE'!$B$1303:$C$1351,2,FALSE),"")</f>
        <v/>
      </c>
      <c r="C524" s="415"/>
      <c r="D524" s="1665"/>
      <c r="E524" s="382">
        <f>IFERROR(IF(D524&lt;730,(VLOOKUP(A524,'Liste de prix Public EUROPE'!$B$1303:$H$1351,6,FALSE)*C524*D524),VLOOKUP(A524,'Liste de prix Public EUROPE'!$B$1303:$H$1351,7,FALSE)*C524),0)</f>
        <v>0</v>
      </c>
      <c r="F524" s="1256">
        <f>IFERROR(IF(D524&lt;650,VLOOKUP(A524,'Liste de prix Public EUROPE'!$B$9:$H$174,6,FALSE)*C524*D524,VLOOKUP(A524,'Liste de prix Public EUROPE'!$B$9:$H$174,7,FALSE)*C524),0)</f>
        <v>0</v>
      </c>
      <c r="G524" s="1055">
        <f>E524+F524</f>
        <v>0</v>
      </c>
      <c r="H524" s="173"/>
      <c r="I524" s="404"/>
      <c r="J524" s="944"/>
      <c r="K524" s="944"/>
      <c r="L524" s="944"/>
      <c r="S524" s="945"/>
      <c r="W524" s="1163" t="s">
        <v>1948</v>
      </c>
    </row>
    <row r="525" spans="1:23" ht="15" customHeight="1">
      <c r="A525" s="1161"/>
      <c r="B525" s="1161"/>
      <c r="C525" s="1161"/>
      <c r="D525" s="1352"/>
      <c r="E525" s="426"/>
      <c r="F525" s="1835" t="s">
        <v>277</v>
      </c>
      <c r="G525" s="1619">
        <f>SUM(G521:G524)</f>
        <v>0</v>
      </c>
      <c r="H525" s="173"/>
      <c r="I525" s="404"/>
      <c r="J525" s="944"/>
      <c r="K525" s="944"/>
      <c r="L525" s="944"/>
      <c r="S525" s="945"/>
    </row>
    <row r="526" spans="1:23" ht="15" customHeight="1">
      <c r="A526" s="1532" t="s">
        <v>2472</v>
      </c>
      <c r="B526" s="368" t="s">
        <v>1819</v>
      </c>
      <c r="C526" s="621" t="s">
        <v>2291</v>
      </c>
      <c r="D526" s="1352"/>
      <c r="E526" s="426"/>
      <c r="F526" s="1161"/>
      <c r="G526" s="1352"/>
      <c r="H526" s="173"/>
      <c r="I526" s="404"/>
      <c r="J526" s="944"/>
      <c r="K526" s="944"/>
      <c r="L526" s="944"/>
      <c r="S526" s="945"/>
    </row>
    <row r="527" spans="1:23" ht="15" customHeight="1">
      <c r="A527" s="1665"/>
      <c r="B527" s="1665"/>
      <c r="C527" s="382">
        <f>IFERROR(VLOOKUP(A527,'Liste de prix Public EUROPE'!$B$2244:$C$2250,2,FALSE)*B527,0)</f>
        <v>0</v>
      </c>
      <c r="D527" s="1352"/>
      <c r="E527" s="426"/>
      <c r="F527" s="1161"/>
      <c r="G527" s="1352"/>
      <c r="H527" s="173"/>
      <c r="I527" s="404"/>
      <c r="J527" s="944"/>
      <c r="K527" s="944"/>
      <c r="L527" s="944"/>
      <c r="S527" s="945"/>
    </row>
    <row r="528" spans="1:23" ht="15" customHeight="1">
      <c r="A528" s="1352"/>
      <c r="B528" s="1352"/>
      <c r="C528" s="1352"/>
      <c r="D528" s="1352"/>
      <c r="E528" s="426"/>
      <c r="F528" s="1161"/>
      <c r="G528" s="1352"/>
      <c r="H528" s="173"/>
      <c r="I528" s="404"/>
      <c r="J528" s="944"/>
      <c r="K528" s="944"/>
      <c r="L528" s="944"/>
      <c r="S528" s="945"/>
    </row>
    <row r="529" spans="1:21" ht="15" customHeight="1">
      <c r="A529" s="1532" t="s">
        <v>2510</v>
      </c>
      <c r="B529" s="621" t="s">
        <v>90</v>
      </c>
      <c r="C529" s="621" t="s">
        <v>1819</v>
      </c>
      <c r="D529" s="368" t="s">
        <v>164</v>
      </c>
      <c r="E529" s="426"/>
      <c r="F529" s="1161"/>
      <c r="G529" s="1352"/>
      <c r="H529" s="173"/>
      <c r="I529" s="404"/>
      <c r="J529" s="944"/>
      <c r="K529" s="944"/>
      <c r="L529" s="944"/>
      <c r="S529" s="945"/>
    </row>
    <row r="530" spans="1:21" ht="15" customHeight="1">
      <c r="A530" s="1736"/>
      <c r="B530" s="1143"/>
      <c r="C530" s="1143"/>
      <c r="D530" s="1354">
        <f>IFERROR((VLOOKUP(A530,'Liste de prix Public EUROPE'!$B$2261:$C$2263,2,FALSE)*B530*C530),0)</f>
        <v>0</v>
      </c>
      <c r="E530" s="426"/>
      <c r="F530" s="1161"/>
      <c r="G530" s="1352"/>
      <c r="H530" s="173"/>
      <c r="I530" s="404"/>
      <c r="J530" s="944"/>
      <c r="K530" s="944"/>
      <c r="L530" s="944"/>
      <c r="S530" s="945"/>
    </row>
    <row r="531" spans="1:21" ht="15" customHeight="1">
      <c r="A531" s="1736"/>
      <c r="B531" s="1143"/>
      <c r="C531" s="1143"/>
      <c r="D531" s="1354">
        <f>IFERROR((VLOOKUP(A531,'Liste de prix Public EUROPE'!$B$2261:$C$2263,2,FALSE)*B531*C531),0)</f>
        <v>0</v>
      </c>
      <c r="E531" s="426"/>
      <c r="F531" s="1161"/>
      <c r="G531" s="1352"/>
      <c r="H531" s="173"/>
      <c r="I531" s="404"/>
      <c r="J531" s="944"/>
      <c r="K531" s="944"/>
      <c r="L531" s="944"/>
      <c r="S531" s="945"/>
    </row>
    <row r="532" spans="1:21" ht="15" customHeight="1">
      <c r="A532" s="1736"/>
      <c r="B532" s="1143"/>
      <c r="C532" s="1143"/>
      <c r="D532" s="1354">
        <f>IFERROR((VLOOKUP(A532,'Liste de prix Public EUROPE'!$B$2261:$C$2263,2,FALSE)*B532*C532),0)</f>
        <v>0</v>
      </c>
      <c r="E532" s="426"/>
      <c r="F532" s="1161"/>
      <c r="G532" s="1352"/>
      <c r="H532" s="173"/>
      <c r="I532" s="404"/>
      <c r="J532" s="944"/>
      <c r="K532" s="944"/>
      <c r="L532" s="944"/>
      <c r="S532" s="945"/>
    </row>
    <row r="533" spans="1:21" ht="15" customHeight="1">
      <c r="A533" s="64"/>
      <c r="B533" s="64"/>
      <c r="C533" s="1146" t="s">
        <v>277</v>
      </c>
      <c r="D533" s="1355">
        <f>SUM(D530:D532)</f>
        <v>0</v>
      </c>
      <c r="E533" s="426"/>
      <c r="F533" s="1161"/>
      <c r="G533" s="1352"/>
      <c r="H533" s="173"/>
      <c r="I533" s="404"/>
      <c r="J533" s="944"/>
      <c r="K533" s="944"/>
      <c r="L533" s="944"/>
      <c r="S533" s="945"/>
    </row>
    <row r="534" spans="1:21">
      <c r="A534" s="376"/>
      <c r="B534" s="64"/>
      <c r="C534" s="64"/>
      <c r="D534" s="64"/>
      <c r="E534" s="64"/>
      <c r="F534" s="64"/>
      <c r="G534" s="64"/>
      <c r="H534" s="173"/>
      <c r="I534" s="404"/>
      <c r="J534" s="944"/>
      <c r="K534" s="944"/>
    </row>
    <row r="535" spans="1:21" ht="26.25" customHeight="1">
      <c r="A535" s="352" t="s">
        <v>12</v>
      </c>
      <c r="B535" s="345" t="s">
        <v>1454</v>
      </c>
      <c r="C535" s="344"/>
      <c r="D535" s="344"/>
      <c r="E535" s="344"/>
      <c r="F535" s="344"/>
      <c r="G535" s="344"/>
      <c r="H535" s="344"/>
      <c r="I535" s="404"/>
      <c r="J535" s="946"/>
      <c r="K535" s="946"/>
      <c r="L535" s="946"/>
      <c r="M535" s="946"/>
      <c r="N535" s="946"/>
      <c r="O535" s="946"/>
      <c r="P535" s="946"/>
      <c r="Q535" s="946"/>
      <c r="R535" s="946"/>
    </row>
    <row r="536" spans="1:21" ht="27.6">
      <c r="A536" s="394"/>
      <c r="B536" s="353" t="s">
        <v>327</v>
      </c>
      <c r="C536" s="2141" t="s">
        <v>328</v>
      </c>
      <c r="D536" s="2093"/>
      <c r="E536" s="2094"/>
      <c r="F536" s="354" t="s">
        <v>329</v>
      </c>
      <c r="G536" s="847"/>
      <c r="H536" s="173"/>
      <c r="I536" s="404"/>
      <c r="J536" s="946"/>
      <c r="K536" s="946"/>
      <c r="L536" s="946"/>
      <c r="M536" s="946"/>
      <c r="N536" s="946"/>
      <c r="O536" s="946"/>
      <c r="P536" s="946"/>
      <c r="Q536" s="946"/>
      <c r="R536" s="946"/>
    </row>
    <row r="537" spans="1:21" ht="22.05" customHeight="1">
      <c r="A537" s="395" t="s">
        <v>166</v>
      </c>
      <c r="B537" s="1628" t="s">
        <v>83</v>
      </c>
      <c r="C537" s="2146">
        <f>IF(B537=V3,'Liste de prix Public EUROPE'!K1285,IF(B537=V5,'Liste de prix Public EUROPE'!K1288,IF(B537=V6,'Liste de prix Public EUROPE'!K1289,IF(B537=V4,'Liste de prix Public EUROPE'!K1287,IF(B537=V7,'Liste de prix Public EUROPE'!K1286,IF(B537=V8,'Liste de prix Public EUROPE'!K1290,"ko"))))))</f>
        <v>0</v>
      </c>
      <c r="D537" s="2121"/>
      <c r="E537" s="2122"/>
      <c r="F537" s="427">
        <f>IF(B537='QuoteTool EUROPE'!V4,IF('QuoteTool EUROPE'!Y4&gt;'QuoteTool EUROPE'!X4,"7,5%",'QuoteTool EUROPE'!X4),IF(B537='QuoteTool EUROPE'!V5,IF('QuoteTool EUROPE'!Y5&gt;'QuoteTool EUROPE'!X5,"10%",'QuoteTool EUROPE'!X5),IF(B537='QuoteTool EUROPE'!V6,IF('QuoteTool EUROPE'!Y6&gt;'QuoteTool EUROPE'!X6,"12%",'QuoteTool EUROPE'!X6),IF(B537='QuoteTool EUROPE'!V7,IF('QuoteTool EUROPE'!Y7&gt;'QuoteTool EUROPE'!X7,"5%",'QuoteTool EUROPE'!X7),IF(B537='QuoteTool EUROPE'!V8,IF('QuoteTool EUROPE'!Y8&gt;'QuoteTool EUROPE'!X8,"17%",'QuoteTool EUROPE'!X8),0)))))</f>
        <v>0</v>
      </c>
      <c r="G537" s="843"/>
      <c r="H537" s="173"/>
      <c r="I537" s="404"/>
      <c r="J537" s="947"/>
      <c r="K537" s="947"/>
      <c r="L537" s="946"/>
      <c r="M537" s="946"/>
      <c r="N537" s="946"/>
      <c r="O537" s="946"/>
      <c r="P537" s="946"/>
      <c r="Q537" s="946"/>
      <c r="R537" s="946"/>
    </row>
    <row r="538" spans="1:21">
      <c r="A538" s="396"/>
      <c r="B538" s="29"/>
      <c r="C538" s="29"/>
      <c r="D538" s="173"/>
      <c r="E538" s="173"/>
      <c r="F538" s="173"/>
      <c r="G538" s="173"/>
      <c r="H538" s="162"/>
      <c r="I538" s="404"/>
      <c r="J538" s="946"/>
      <c r="K538" s="946"/>
      <c r="L538" s="946"/>
      <c r="M538" s="946"/>
      <c r="N538" s="946"/>
      <c r="O538" s="946"/>
      <c r="P538" s="946"/>
      <c r="Q538" s="946"/>
      <c r="R538" s="946"/>
    </row>
    <row r="539" spans="1:21" ht="18">
      <c r="A539" s="2112" t="s">
        <v>322</v>
      </c>
      <c r="B539" s="2113"/>
      <c r="C539" s="2113"/>
      <c r="D539" s="2113"/>
      <c r="E539" s="2113"/>
      <c r="F539" s="2113"/>
      <c r="G539" s="834"/>
      <c r="H539" s="1831"/>
      <c r="I539" s="404"/>
      <c r="J539" s="946"/>
      <c r="K539" s="946"/>
      <c r="L539" s="946"/>
      <c r="M539" s="946"/>
      <c r="N539" s="946"/>
      <c r="O539" s="946"/>
      <c r="P539" s="946"/>
      <c r="Q539" s="946"/>
      <c r="R539" s="946"/>
    </row>
    <row r="540" spans="1:21">
      <c r="A540" s="582" t="s">
        <v>2483</v>
      </c>
      <c r="B540" s="319">
        <f>B6</f>
        <v>0</v>
      </c>
      <c r="C540" s="356" t="s">
        <v>332</v>
      </c>
      <c r="D540" s="162"/>
      <c r="E540" s="422" t="s">
        <v>2482</v>
      </c>
      <c r="F540" s="298">
        <f>F6</f>
        <v>0</v>
      </c>
      <c r="G540" s="298"/>
      <c r="H540" s="917"/>
      <c r="I540" s="917"/>
      <c r="J540" s="946"/>
      <c r="K540" s="946"/>
      <c r="L540" s="946"/>
      <c r="M540" s="946"/>
      <c r="N540" s="946"/>
      <c r="O540" s="946"/>
      <c r="P540" s="946"/>
      <c r="Q540" s="946"/>
      <c r="R540" s="946"/>
    </row>
    <row r="541" spans="1:21" ht="18">
      <c r="A541" s="582" t="s">
        <v>2486</v>
      </c>
      <c r="B541" s="298">
        <f t="shared" ref="B541:B546" si="9">B7</f>
        <v>0</v>
      </c>
      <c r="C541" s="202"/>
      <c r="D541" s="162"/>
      <c r="E541" s="422" t="s">
        <v>174</v>
      </c>
      <c r="F541" s="298">
        <f>F7</f>
        <v>0</v>
      </c>
      <c r="G541" s="298"/>
      <c r="H541" s="917"/>
      <c r="I541" s="404"/>
      <c r="J541" s="946"/>
      <c r="K541" s="946"/>
      <c r="L541" s="946"/>
      <c r="M541" s="946"/>
      <c r="N541" s="946"/>
      <c r="O541" s="946"/>
      <c r="P541" s="946"/>
      <c r="Q541" s="946"/>
      <c r="R541" s="946"/>
    </row>
    <row r="542" spans="1:21" ht="18">
      <c r="A542" s="582" t="s">
        <v>2485</v>
      </c>
      <c r="B542" s="298">
        <f t="shared" si="9"/>
        <v>0</v>
      </c>
      <c r="C542" s="202"/>
      <c r="D542" s="202"/>
      <c r="E542" s="202"/>
      <c r="F542" s="202"/>
      <c r="G542" s="202"/>
      <c r="H542" s="917"/>
      <c r="I542" s="404"/>
      <c r="J542" s="946"/>
      <c r="K542" s="946"/>
      <c r="L542" s="946"/>
      <c r="M542" s="946"/>
      <c r="N542" s="946"/>
      <c r="O542" s="946"/>
      <c r="P542" s="946"/>
      <c r="Q542" s="946"/>
      <c r="R542" s="946"/>
    </row>
    <row r="543" spans="1:21" ht="18">
      <c r="A543" s="582" t="s">
        <v>304</v>
      </c>
      <c r="B543" s="298">
        <f t="shared" si="9"/>
        <v>0</v>
      </c>
      <c r="C543" s="202"/>
      <c r="D543" s="202"/>
      <c r="E543" s="202"/>
      <c r="F543" s="202"/>
      <c r="G543" s="202"/>
      <c r="H543" s="917"/>
      <c r="I543" s="404"/>
      <c r="J543" s="946"/>
      <c r="K543" s="946"/>
      <c r="L543" s="946"/>
      <c r="M543" s="946"/>
      <c r="N543" s="946"/>
      <c r="O543" s="946"/>
      <c r="P543" s="946"/>
      <c r="Q543" s="946"/>
      <c r="R543" s="946"/>
    </row>
    <row r="544" spans="1:21" ht="18">
      <c r="A544" s="423"/>
      <c r="B544" s="1760"/>
      <c r="C544" s="202"/>
      <c r="D544" s="202"/>
      <c r="E544" s="202"/>
      <c r="F544" s="202"/>
      <c r="G544" s="202"/>
      <c r="H544" s="917"/>
      <c r="I544" s="404"/>
      <c r="U544" s="966"/>
    </row>
    <row r="545" spans="1:18" ht="12.75" hidden="1" customHeight="1">
      <c r="A545" s="2242" t="s">
        <v>296</v>
      </c>
      <c r="B545" s="2244">
        <f t="shared" si="9"/>
        <v>0</v>
      </c>
      <c r="C545" s="202"/>
      <c r="D545" s="202"/>
      <c r="E545" s="202"/>
      <c r="F545" s="202"/>
      <c r="G545" s="202"/>
      <c r="H545" s="917"/>
      <c r="I545" s="404"/>
      <c r="J545" s="946"/>
      <c r="K545" s="946"/>
      <c r="L545" s="946"/>
      <c r="M545" s="946"/>
      <c r="N545" s="946"/>
      <c r="O545" s="946"/>
      <c r="P545" s="946"/>
      <c r="Q545" s="946"/>
      <c r="R545" s="946"/>
    </row>
    <row r="546" spans="1:18" ht="12.75" hidden="1" customHeight="1">
      <c r="A546" s="2242" t="s">
        <v>297</v>
      </c>
      <c r="B546" s="2244">
        <f t="shared" si="9"/>
        <v>0</v>
      </c>
      <c r="C546" s="202"/>
      <c r="D546" s="202"/>
      <c r="E546" s="202"/>
      <c r="F546" s="202"/>
      <c r="G546" s="202"/>
      <c r="H546" s="917"/>
      <c r="I546" s="202"/>
      <c r="J546" s="946"/>
      <c r="K546" s="946"/>
      <c r="L546" s="946"/>
      <c r="M546" s="946"/>
      <c r="N546" s="946"/>
      <c r="O546" s="946"/>
      <c r="P546" s="946"/>
      <c r="Q546" s="946"/>
      <c r="R546" s="946"/>
    </row>
    <row r="547" spans="1:18" ht="15" customHeight="1" thickBot="1">
      <c r="A547" s="1761"/>
      <c r="B547" s="1762"/>
      <c r="C547" s="1762"/>
      <c r="D547" s="402"/>
      <c r="E547" s="402"/>
      <c r="F547" s="402"/>
      <c r="G547" s="848"/>
      <c r="H547" s="1834"/>
      <c r="I547" s="404"/>
      <c r="J547" s="946"/>
      <c r="K547" s="946"/>
      <c r="L547" s="946"/>
      <c r="M547" s="946"/>
      <c r="N547" s="946"/>
      <c r="O547" s="946"/>
      <c r="P547" s="946"/>
      <c r="Q547" s="946"/>
      <c r="R547" s="946"/>
    </row>
    <row r="548" spans="1:18">
      <c r="A548" s="28"/>
      <c r="B548" s="28"/>
      <c r="C548" s="28"/>
      <c r="D548" s="334"/>
      <c r="E548" s="334"/>
      <c r="F548" s="334"/>
      <c r="G548" s="334"/>
      <c r="H548" s="334"/>
      <c r="I548" s="1009"/>
      <c r="J548" s="946"/>
      <c r="K548" s="946"/>
      <c r="L548" s="946"/>
      <c r="M548" s="946"/>
      <c r="N548" s="946"/>
      <c r="O548" s="946"/>
      <c r="P548" s="946"/>
      <c r="Q548" s="946"/>
      <c r="R548" s="946"/>
    </row>
    <row r="549" spans="1:18" ht="18">
      <c r="A549" s="2123" t="s">
        <v>333</v>
      </c>
      <c r="B549" s="2124"/>
      <c r="C549" s="2124"/>
      <c r="D549" s="2124"/>
      <c r="E549" s="2124"/>
      <c r="F549" s="2124"/>
      <c r="G549" s="836"/>
      <c r="H549" s="1830"/>
      <c r="I549" s="1010"/>
    </row>
    <row r="550" spans="1:18">
      <c r="A550" s="28"/>
      <c r="B550" s="28"/>
      <c r="C550" s="28"/>
      <c r="D550" s="334"/>
      <c r="E550" s="334"/>
      <c r="F550" s="334"/>
      <c r="G550" s="334"/>
      <c r="H550" s="334"/>
      <c r="I550" s="404"/>
    </row>
    <row r="551" spans="1:18">
      <c r="A551" s="2135" t="s">
        <v>280</v>
      </c>
      <c r="B551" s="2136"/>
      <c r="C551" s="215" t="s">
        <v>164</v>
      </c>
      <c r="D551" s="171"/>
      <c r="E551" s="171"/>
      <c r="F551" s="171"/>
      <c r="G551" s="334"/>
      <c r="H551" s="334"/>
      <c r="I551" s="404"/>
    </row>
    <row r="552" spans="1:18">
      <c r="A552" s="209" t="s">
        <v>217</v>
      </c>
      <c r="B552" s="744"/>
      <c r="C552" s="276">
        <f>B552*0.114</f>
        <v>0</v>
      </c>
      <c r="D552" s="171"/>
      <c r="E552" s="171"/>
      <c r="F552" s="171"/>
      <c r="G552" s="334"/>
      <c r="H552" s="334"/>
      <c r="I552" s="404"/>
    </row>
    <row r="553" spans="1:18">
      <c r="A553" s="209" t="s">
        <v>215</v>
      </c>
      <c r="B553" s="176"/>
      <c r="C553" s="2137">
        <f>B555*0.114</f>
        <v>0</v>
      </c>
      <c r="D553" s="171"/>
      <c r="E553" s="171"/>
      <c r="F553" s="171"/>
      <c r="G553" s="334"/>
      <c r="H553" s="334"/>
      <c r="I553" s="404"/>
    </row>
    <row r="554" spans="1:18">
      <c r="A554" s="285" t="s">
        <v>218</v>
      </c>
      <c r="B554" s="216">
        <v>0.15</v>
      </c>
      <c r="C554" s="2137"/>
      <c r="D554" s="171"/>
      <c r="E554" s="171"/>
      <c r="F554" s="171"/>
      <c r="G554" s="334"/>
      <c r="H554" s="334"/>
      <c r="I554" s="404"/>
    </row>
    <row r="555" spans="1:18">
      <c r="A555" s="209" t="s">
        <v>216</v>
      </c>
      <c r="B555" s="217">
        <f>B553*30*24*3600*B554/8/1000</f>
        <v>0</v>
      </c>
      <c r="C555" s="2137"/>
      <c r="D555" s="171"/>
      <c r="E555" s="171"/>
      <c r="F555" s="171"/>
      <c r="G555" s="334"/>
      <c r="H555" s="334"/>
      <c r="I555" s="404"/>
      <c r="J555" s="946"/>
      <c r="K555" s="946"/>
      <c r="L555" s="946"/>
      <c r="M555" s="946"/>
      <c r="N555" s="946"/>
      <c r="O555" s="946"/>
      <c r="P555" s="946"/>
      <c r="Q555" s="946"/>
      <c r="R555" s="946"/>
    </row>
    <row r="556" spans="1:18">
      <c r="A556" s="171"/>
      <c r="B556" s="171"/>
      <c r="C556" s="171"/>
      <c r="D556" s="171"/>
      <c r="E556" s="171"/>
      <c r="F556" s="171"/>
      <c r="G556" s="334"/>
      <c r="H556" s="334"/>
      <c r="I556" s="404"/>
      <c r="J556" s="946"/>
      <c r="K556" s="946"/>
      <c r="L556" s="946"/>
      <c r="M556" s="946"/>
      <c r="N556" s="946"/>
      <c r="O556" s="946"/>
      <c r="P556" s="946"/>
      <c r="Q556" s="946"/>
      <c r="R556" s="946"/>
    </row>
    <row r="557" spans="1:18">
      <c r="A557" s="2143" t="s">
        <v>199</v>
      </c>
      <c r="B557" s="2144"/>
      <c r="C557" s="2144"/>
      <c r="D557" s="2145"/>
      <c r="E557" s="171"/>
      <c r="F557" s="171"/>
      <c r="G557" s="334"/>
      <c r="H557" s="334"/>
      <c r="I557" s="404"/>
      <c r="J557" s="946"/>
      <c r="K557" s="946"/>
      <c r="L557" s="946"/>
      <c r="M557" s="946"/>
      <c r="N557" s="946"/>
      <c r="O557" s="946"/>
      <c r="P557" s="946"/>
      <c r="Q557" s="946"/>
      <c r="R557" s="946"/>
    </row>
    <row r="558" spans="1:18">
      <c r="A558" s="211" t="s">
        <v>171</v>
      </c>
      <c r="B558" s="176">
        <v>10</v>
      </c>
      <c r="C558" s="166"/>
      <c r="D558" s="167"/>
      <c r="E558" s="171"/>
      <c r="F558" s="171"/>
      <c r="G558" s="334"/>
      <c r="H558" s="334"/>
      <c r="I558" s="404"/>
      <c r="J558" s="946"/>
      <c r="K558" s="946"/>
      <c r="L558" s="946"/>
      <c r="M558" s="946"/>
      <c r="N558" s="946"/>
      <c r="O558" s="946"/>
      <c r="P558" s="946"/>
      <c r="Q558" s="946"/>
      <c r="R558" s="946"/>
    </row>
    <row r="559" spans="1:18">
      <c r="A559" s="211" t="s">
        <v>197</v>
      </c>
      <c r="B559" s="321">
        <v>100</v>
      </c>
      <c r="C559" s="168"/>
      <c r="D559" s="169"/>
      <c r="E559" s="171"/>
      <c r="F559" s="171"/>
      <c r="G559" s="334"/>
      <c r="H559" s="334"/>
      <c r="I559" s="404"/>
    </row>
    <row r="560" spans="1:18">
      <c r="A560" s="1007" t="s">
        <v>198</v>
      </c>
      <c r="B560" s="1008">
        <f>B559*1024/(B558/8)</f>
        <v>81920</v>
      </c>
      <c r="C560" s="2133" t="str">
        <f>INT(B560/86400)&amp;"j "&amp;INT(MOD(B560,86400)/3600)&amp;"h "&amp;INT(MOD(B560,3600)/60)&amp;"m "&amp;MOD(B560,60)&amp;"s"</f>
        <v>0j 22h 45m 20s</v>
      </c>
      <c r="D560" s="2134"/>
      <c r="E560" s="173"/>
      <c r="F560" s="173"/>
      <c r="G560" s="173"/>
      <c r="H560" s="173"/>
      <c r="I560" s="404"/>
    </row>
    <row r="561" spans="1:9" ht="15" thickBot="1">
      <c r="A561" s="848"/>
      <c r="B561" s="848"/>
      <c r="C561" s="848"/>
      <c r="D561" s="848"/>
      <c r="E561" s="848"/>
      <c r="F561" s="848"/>
      <c r="G561" s="848"/>
      <c r="H561" s="848"/>
      <c r="I561" s="404"/>
    </row>
  </sheetData>
  <sheetProtection algorithmName="SHA-512" hashValue="pvrBPEVrvbTYHZmukbJ80n3mvHgJDeNUEcuNgmS38ylTNxm9OM22HQSKMiOzxEgUHtY06UzjqufyxM6jZQoWxQ==" saltValue="LU9JYyC0f3uqbd6PZU35UA==" spinCount="100000" sheet="1" selectLockedCells="1"/>
  <dataConsolidate/>
  <mergeCells count="64">
    <mergeCell ref="U150:Z150"/>
    <mergeCell ref="P141:U141"/>
    <mergeCell ref="AA163:AA165"/>
    <mergeCell ref="U166:U168"/>
    <mergeCell ref="V166:V168"/>
    <mergeCell ref="W166:W168"/>
    <mergeCell ref="X166:X168"/>
    <mergeCell ref="Y166:Y168"/>
    <mergeCell ref="Z166:Z168"/>
    <mergeCell ref="AA166:AA168"/>
    <mergeCell ref="Z171:Z173"/>
    <mergeCell ref="Z174:Z176"/>
    <mergeCell ref="Z177:Z179"/>
    <mergeCell ref="T160:T162"/>
    <mergeCell ref="T166:T168"/>
    <mergeCell ref="X163:X165"/>
    <mergeCell ref="Y163:Y165"/>
    <mergeCell ref="Z163:Z165"/>
    <mergeCell ref="D106:E106"/>
    <mergeCell ref="A332:B332"/>
    <mergeCell ref="A243:B243"/>
    <mergeCell ref="A168:B168"/>
    <mergeCell ref="B171:C171"/>
    <mergeCell ref="A196:B196"/>
    <mergeCell ref="A174:B174"/>
    <mergeCell ref="A240:B240"/>
    <mergeCell ref="A185:B185"/>
    <mergeCell ref="A179:B179"/>
    <mergeCell ref="D180:E180"/>
    <mergeCell ref="A246:B246"/>
    <mergeCell ref="A238:B238"/>
    <mergeCell ref="D186:E186"/>
    <mergeCell ref="C537:E537"/>
    <mergeCell ref="B166:C166"/>
    <mergeCell ref="A1:H1"/>
    <mergeCell ref="A2:H2"/>
    <mergeCell ref="A4:F4"/>
    <mergeCell ref="A164:B164"/>
    <mergeCell ref="A15:B15"/>
    <mergeCell ref="D53:E53"/>
    <mergeCell ref="D54:E54"/>
    <mergeCell ref="D52:E52"/>
    <mergeCell ref="A134:B134"/>
    <mergeCell ref="A142:B142"/>
    <mergeCell ref="D103:E103"/>
    <mergeCell ref="D104:E104"/>
    <mergeCell ref="D108:E108"/>
    <mergeCell ref="D105:E105"/>
    <mergeCell ref="A351:I351"/>
    <mergeCell ref="D107:E107"/>
    <mergeCell ref="C560:D560"/>
    <mergeCell ref="A551:B551"/>
    <mergeCell ref="C553:C555"/>
    <mergeCell ref="A259:B259"/>
    <mergeCell ref="D260:D261"/>
    <mergeCell ref="A263:B263"/>
    <mergeCell ref="C536:E536"/>
    <mergeCell ref="A539:F539"/>
    <mergeCell ref="A549:F549"/>
    <mergeCell ref="A326:B326"/>
    <mergeCell ref="A276:B276"/>
    <mergeCell ref="A266:B266"/>
    <mergeCell ref="A557:D557"/>
    <mergeCell ref="A281:B281"/>
  </mergeCells>
  <phoneticPr fontId="18" type="noConversion"/>
  <dataValidations count="36">
    <dataValidation type="list" allowBlank="1" showInputMessage="1" showErrorMessage="1" sqref="D37 D77 G99 D99" xr:uid="{00000000-0002-0000-0400-000000000000}">
      <formula1>$U$19:$U$22</formula1>
    </dataValidation>
    <dataValidation type="list" allowBlank="1" showInputMessage="1" showErrorMessage="1" sqref="E345:E348" xr:uid="{00000000-0002-0000-0400-000001000000}">
      <formula1>$U$134</formula1>
    </dataValidation>
    <dataValidation type="whole" operator="greaterThanOrEqual" allowBlank="1" showInputMessage="1" showErrorMessage="1" sqref="B43 B112:B113" xr:uid="{00000000-0002-0000-0400-000002000000}">
      <formula1>4</formula1>
    </dataValidation>
    <dataValidation type="list" allowBlank="1" showInputMessage="1" showErrorMessage="1" sqref="D48:D49" xr:uid="{00000000-0002-0000-0400-000003000000}">
      <formula1>$V$47:$V$48</formula1>
    </dataValidation>
    <dataValidation type="list" allowBlank="1" showInputMessage="1" showErrorMessage="1" sqref="A113" xr:uid="{00000000-0002-0000-0400-000005000000}">
      <formula1>$W$112:$W$113</formula1>
    </dataValidation>
    <dataValidation type="list" allowBlank="1" showInputMessage="1" showErrorMessage="1" sqref="D117:D118" xr:uid="{00000000-0002-0000-0400-000008000000}">
      <formula1>$Y$116:$Y$117</formula1>
    </dataValidation>
    <dataValidation type="list" allowBlank="1" showInputMessage="1" showErrorMessage="1" sqref="C81" xr:uid="{00000000-0002-0000-0400-000009000000}">
      <formula1>$U$57:$U$62</formula1>
    </dataValidation>
    <dataValidation type="list" allowBlank="1" showInputMessage="1" showErrorMessage="1" sqref="D345:D348" xr:uid="{00000000-0002-0000-0400-00000A000000}">
      <formula1>$U$78:$U$79</formula1>
    </dataValidation>
    <dataValidation type="list" allowBlank="1" showInputMessage="1" showErrorMessage="1" sqref="C82:C98" xr:uid="{00000000-0002-0000-0400-00000B000000}">
      <formula1>$U$58:$U$62</formula1>
    </dataValidation>
    <dataValidation type="list" allowBlank="1" showInputMessage="1" showErrorMessage="1" sqref="D381:D384" xr:uid="{00000000-0002-0000-0400-00000C000000}">
      <formula1>$Q$377:$Q$379</formula1>
    </dataValidation>
    <dataValidation type="list" allowBlank="1" showInputMessage="1" showErrorMessage="1" sqref="A413:A416 A420:A423" xr:uid="{00000000-0002-0000-0400-00000D000000}">
      <formula1>$Q$417:$Q$458</formula1>
    </dataValidation>
    <dataValidation type="list" allowBlank="1" showInputMessage="1" showErrorMessage="1" sqref="C420:C423" xr:uid="{00000000-0002-0000-0400-00000E000000}">
      <formula1>$S$417:$S$422</formula1>
    </dataValidation>
    <dataValidation type="list" allowBlank="1" showInputMessage="1" showErrorMessage="1" sqref="D388:D391" xr:uid="{00000000-0002-0000-0400-000012000000}">
      <formula1>$Q$380:$Q$389</formula1>
    </dataValidation>
    <dataValidation type="list" allowBlank="1" showInputMessage="1" showErrorMessage="1" sqref="D395:D398" xr:uid="{00000000-0002-0000-0400-000013000000}">
      <formula1>$Q$391:$Q$392</formula1>
    </dataValidation>
    <dataValidation type="list" allowBlank="1" showInputMessage="1" showErrorMessage="1" sqref="C251 C256" xr:uid="{00000000-0002-0000-0400-000014000000}">
      <formula1>$K$249:$K$251</formula1>
    </dataValidation>
    <dataValidation type="list" allowBlank="1" showInputMessage="1" showErrorMessage="1" sqref="B5" xr:uid="{00000000-0002-0000-0400-000015000000}">
      <formula1>$U$3:$U$12</formula1>
    </dataValidation>
    <dataValidation type="list" allowBlank="1" showInputMessage="1" showErrorMessage="1" sqref="C104:C108" xr:uid="{00000000-0002-0000-0400-000016000000}">
      <formula1>$W$106:$W$109</formula1>
    </dataValidation>
    <dataValidation type="list" allowBlank="1" showInputMessage="1" showErrorMessage="1" sqref="D19:D36 D81:D98 D59:D76" xr:uid="{00000000-0002-0000-0400-00001A000000}">
      <formula1>$U$19:$U$24</formula1>
    </dataValidation>
    <dataValidation type="whole" allowBlank="1" showInputMessage="1" showErrorMessage="1" sqref="B317 D317" xr:uid="{00000000-0002-0000-0400-00001B000000}">
      <formula1>2</formula1>
      <formula2>32</formula2>
    </dataValidation>
    <dataValidation type="list" allowBlank="1" showInputMessage="1" showErrorMessage="1" sqref="C317 E317 B321" xr:uid="{00000000-0002-0000-0400-00001C000000}">
      <formula1>$X$316:$X$331</formula1>
    </dataValidation>
    <dataValidation type="list" allowBlank="1" showInputMessage="1" showErrorMessage="1" sqref="F290:F293" xr:uid="{00000000-0002-0000-0400-00001D000000}">
      <formula1>$V$278:$V$280</formula1>
    </dataValidation>
    <dataValidation type="list" allowBlank="1" showInputMessage="1" showErrorMessage="1" sqref="C154" xr:uid="{00000000-0002-0000-0400-00001E000000}">
      <formula1>$R$151:$R$156</formula1>
    </dataValidation>
    <dataValidation type="list" allowBlank="1" showInputMessage="1" showErrorMessage="1" sqref="B154" xr:uid="{00000000-0002-0000-0400-00001F000000}">
      <formula1>$Q$151:$Q$153</formula1>
    </dataValidation>
    <dataValidation type="list" allowBlank="1" showInputMessage="1" showErrorMessage="1" sqref="C158" xr:uid="{00000000-0002-0000-0400-000020000000}">
      <formula1>$N$129:$N$132</formula1>
    </dataValidation>
    <dataValidation type="whole" operator="lessThanOrEqual" allowBlank="1" showInputMessage="1" showErrorMessage="1" sqref="C353:C355" xr:uid="{1C7C8083-2CEE-4B0D-8F89-142CEAAF1814}">
      <formula1>100</formula1>
    </dataValidation>
    <dataValidation type="list" allowBlank="1" showInputMessage="1" showErrorMessage="1" sqref="E290:E293" xr:uid="{F82CA6D8-D7E2-42C0-9D2F-50F531095AE4}">
      <formula1>$W$278:$W$282</formula1>
    </dataValidation>
    <dataValidation type="whole" operator="greaterThanOrEqual" allowBlank="1" showInputMessage="1" showErrorMessage="1" sqref="B176:B177" xr:uid="{2D69DC8B-9D81-45A1-B107-B6EC576F4914}">
      <formula1>500</formula1>
    </dataValidation>
    <dataValidation type="list" allowBlank="1" showInputMessage="1" showErrorMessage="1" sqref="A112" xr:uid="{CB1FBA00-475E-44A3-A419-DA4A3068B271}">
      <formula1>$W$113</formula1>
    </dataValidation>
    <dataValidation type="list" allowBlank="1" showInputMessage="1" showErrorMessage="1" sqref="C112:C113 C117:C118" xr:uid="{00000000-0002-0000-0400-000007000000}">
      <formula1>$R$113:$R$118</formula1>
    </dataValidation>
    <dataValidation type="list" allowBlank="1" showInputMessage="1" showErrorMessage="1" sqref="C59:C76" xr:uid="{1C5B917C-2768-4B0F-A3B0-AB6DC4589B6D}">
      <formula1>$U$55:$U$63</formula1>
    </dataValidation>
    <dataValidation type="list" allowBlank="1" showInputMessage="1" showErrorMessage="1" sqref="F297:F300 G304:G307" xr:uid="{1A03B029-4DF6-4B83-860A-289B1D928D30}">
      <formula1>$M$292:$M$294</formula1>
    </dataValidation>
    <dataValidation type="list" allowBlank="1" showInputMessage="1" showErrorMessage="1" sqref="B304:B307 A290:A293 B297:B300" xr:uid="{CD4B0AEA-EAF0-4462-BDDC-8B533FBBFC3E}">
      <formula1>$K$260:$K$290</formula1>
    </dataValidation>
    <dataValidation type="list" allowBlank="1" showInputMessage="1" showErrorMessage="1" sqref="A297:A300" xr:uid="{8828028A-A74E-4357-8CCA-D002B4FAEFED}">
      <formula1>$K$292:$K$293</formula1>
    </dataValidation>
    <dataValidation type="list" allowBlank="1" showInputMessage="1" showErrorMessage="1" sqref="D297:D300 D304:D307" xr:uid="{E6003414-23AC-4B5E-85E8-0659087C1293}">
      <formula1>$L$292:$L$294</formula1>
    </dataValidation>
    <dataValidation type="list" allowBlank="1" showInputMessage="1" showErrorMessage="1" sqref="A304:A307" xr:uid="{A872C6A2-9DDF-4CCF-ABE9-D257143717EF}">
      <formula1>$K$294:$K$296</formula1>
    </dataValidation>
    <dataValidation type="list" allowBlank="1" showInputMessage="1" showErrorMessage="1" sqref="E304:E307 H304:H307" xr:uid="{2796F7F8-AE5D-4B39-A6EC-E3052C47A75B}">
      <formula1>$K$298:$K$299</formula1>
    </dataValidation>
  </dataValidations>
  <pageMargins left="0.70000000000000007" right="0.70000000000000007" top="0.75000000000000011" bottom="0.75000000000000011" header="0.30000000000000004" footer="0.30000000000000004"/>
  <pageSetup paperSize="9" scale="21" orientation="portrait" r:id="rId1"/>
  <headerFooter>
    <oddHeader>&amp;CConfigurateur des services Cloudwatt</oddHeader>
    <oddFooter>&amp;C_x000D_&amp;1#&amp;"Helvetica 75 Bold"&amp;8&amp;KED7D31 Orange Restricted</oddFooter>
  </headerFooter>
  <customProperties>
    <customPr name="Guid" r:id="rId2"/>
  </customProperties>
  <drawing r:id="rId3"/>
  <legacyDrawing r:id="rId4"/>
  <extLst>
    <ext xmlns:x14="http://schemas.microsoft.com/office/spreadsheetml/2009/9/main" uri="{CCE6A557-97BC-4b89-ADB6-D9C93CAAB3DF}">
      <x14:dataValidations xmlns:xm="http://schemas.microsoft.com/office/excel/2006/main" count="48">
        <x14:dataValidation type="list" allowBlank="1" showInputMessage="1" showErrorMessage="1" xr:uid="{00000000-0002-0000-0400-00000F000000}">
          <x14:formula1>
            <xm:f>'Liste de prix Public EUROPE'!$B$1622:$B$1641</xm:f>
          </x14:formula1>
          <xm:sqref>A381:A384</xm:sqref>
        </x14:dataValidation>
        <x14:dataValidation type="list" allowBlank="1" showInputMessage="1" showErrorMessage="1" xr:uid="{00000000-0002-0000-0400-000011000000}">
          <x14:formula1>
            <xm:f>'Liste de prix Public EUROPE'!$B$1810:$B$1823</xm:f>
          </x14:formula1>
          <xm:sqref>A395:A398</xm:sqref>
        </x14:dataValidation>
        <x14:dataValidation type="list" allowBlank="1" showInputMessage="1" showErrorMessage="1" xr:uid="{C81743A9-F884-4005-93A8-5E8EBF2FD26E}">
          <x14:formula1>
            <xm:f>'Deviseur EUROPE'!$P$374:$P$383</xm:f>
          </x14:formula1>
          <xm:sqref>B365:B367</xm:sqref>
        </x14:dataValidation>
        <x14:dataValidation type="list" allowBlank="1" showInputMessage="1" showErrorMessage="1" xr:uid="{04C40042-C1B8-4C92-B2E2-B22F50613CA0}">
          <x14:formula1>
            <xm:f>'Deviseur EUROPE'!$N$374:$N$397</xm:f>
          </x14:formula1>
          <xm:sqref>C359:C361</xm:sqref>
        </x14:dataValidation>
        <x14:dataValidation type="list" allowBlank="1" showInputMessage="1" showErrorMessage="1" xr:uid="{0049C10B-5B9E-4F12-B626-4FF957DBFA17}">
          <x14:formula1>
            <xm:f>'Deviseur EUROPE'!$L$374:$L$385</xm:f>
          </x14:formula1>
          <xm:sqref>B359:B361</xm:sqref>
        </x14:dataValidation>
        <x14:dataValidation type="list" allowBlank="1" showInputMessage="1" showErrorMessage="1" xr:uid="{52EC24A5-67E5-4E54-A765-A054AC85FA60}">
          <x14:formula1>
            <xm:f>'Deviseur EUROPE'!$M$398:$M$399</xm:f>
          </x14:formula1>
          <xm:sqref>D353:D355</xm:sqref>
        </x14:dataValidation>
        <x14:dataValidation type="list" allowBlank="1" showInputMessage="1" showErrorMessage="1" xr:uid="{00000000-0002-0000-0400-000026000000}">
          <x14:formula1>
            <xm:f>'Liste de prix Public EUROPE'!$B$978:$B$981</xm:f>
          </x14:formula1>
          <xm:sqref>D104:E108 D53:E54</xm:sqref>
        </x14:dataValidation>
        <x14:dataValidation type="list" allowBlank="1" showInputMessage="1" showErrorMessage="1" xr:uid="{00000000-0002-0000-0400-000027000000}">
          <x14:formula1>
            <xm:f>'Liste de prix Public EUROPE'!$B$1285:$B$1290</xm:f>
          </x14:formula1>
          <xm:sqref>B537</xm:sqref>
        </x14:dataValidation>
        <x14:dataValidation type="list" allowBlank="1" showInputMessage="1" showErrorMessage="1" xr:uid="{00000000-0002-0000-0400-000029000000}">
          <x14:formula1>
            <xm:f>'Liste de prix Public EUROPE'!$B$1068:$B$1071</xm:f>
          </x14:formula1>
          <xm:sqref>A267:A268 A273</xm:sqref>
        </x14:dataValidation>
        <x14:dataValidation type="list" allowBlank="1" showInputMessage="1" showErrorMessage="1" xr:uid="{00000000-0002-0000-0400-00002A000000}">
          <x14:formula1>
            <xm:f>'Liste de prix Public EUROPE'!$B$1828:$B$1828</xm:f>
          </x14:formula1>
          <xm:sqref>A43:A45</xm:sqref>
        </x14:dataValidation>
        <x14:dataValidation type="list" allowBlank="1" showInputMessage="1" showErrorMessage="1" xr:uid="{00000000-0002-0000-0400-00002C000000}">
          <x14:formula1>
            <xm:f>'Liste de prix Public EUROPE'!$B$362:$B$373</xm:f>
          </x14:formula1>
          <xm:sqref>A122:A125</xm:sqref>
        </x14:dataValidation>
        <x14:dataValidation type="list" allowBlank="1" showInputMessage="1" showErrorMessage="1" xr:uid="{00000000-0002-0000-0400-00002E000000}">
          <x14:formula1>
            <xm:f>'Liste de prix Public EUROPE'!$B$1194:$B$1204</xm:f>
          </x14:formula1>
          <xm:sqref>C250</xm:sqref>
        </x14:dataValidation>
        <x14:dataValidation type="list" allowBlank="1" showInputMessage="1" showErrorMessage="1" xr:uid="{00000000-0002-0000-0400-00002F000000}">
          <x14:formula1>
            <xm:f>'Liste de prix Public EUROPE'!$B$1212:$B$1227</xm:f>
          </x14:formula1>
          <xm:sqref>C255</xm:sqref>
        </x14:dataValidation>
        <x14:dataValidation type="list" allowBlank="1" showInputMessage="1" showErrorMessage="1" xr:uid="{00000000-0002-0000-0400-000030000000}">
          <x14:formula1>
            <xm:f>'Liste de prix Public EUROPE'!$B$2060:$B$2063</xm:f>
          </x14:formula1>
          <xm:sqref>B427</xm:sqref>
        </x14:dataValidation>
        <x14:dataValidation type="list" allowBlank="1" showInputMessage="1" showErrorMessage="1" xr:uid="{00000000-0002-0000-0400-000004000000}">
          <x14:formula1>
            <xm:f>'Liste de prix Public EUROPE'!$B$1834:$B$1840</xm:f>
          </x14:formula1>
          <xm:sqref>A117:A118</xm:sqref>
        </x14:dataValidation>
        <x14:dataValidation type="list" allowBlank="1" showInputMessage="1" showErrorMessage="1" xr:uid="{083037E5-6FC3-43A4-B583-122097C7F535}">
          <x14:formula1>
            <xm:f>'Liste de prix Public EUROPE'!$B$2283:$B$2284</xm:f>
          </x14:formula1>
          <xm:sqref>B517</xm:sqref>
        </x14:dataValidation>
        <x14:dataValidation type="list" allowBlank="1" showInputMessage="1" showErrorMessage="1" xr:uid="{B088C22F-0AA5-464A-B508-BEADDBDB38CF}">
          <x14:formula1>
            <xm:f>'Liste de prix Public EUROPE'!$B$2278:$B$2279</xm:f>
          </x14:formula1>
          <xm:sqref>B516</xm:sqref>
        </x14:dataValidation>
        <x14:dataValidation type="list" allowBlank="1" showInputMessage="1" showErrorMessage="1" xr:uid="{1E827F59-2984-41E3-88D1-60BA22D3B644}">
          <x14:formula1>
            <xm:f>'Liste de prix Public EUROPE'!$B$2267:$B$2274</xm:f>
          </x14:formula1>
          <xm:sqref>A505:A512</xm:sqref>
        </x14:dataValidation>
        <x14:dataValidation type="list" allowBlank="1" showInputMessage="1" showErrorMessage="1" xr:uid="{75CF0820-732A-48F5-8050-05DF688EF291}">
          <x14:formula1>
            <xm:f>'Liste de prix Public EUROPE'!$B$2255:$B$2256</xm:f>
          </x14:formula1>
          <xm:sqref>A469</xm:sqref>
        </x14:dataValidation>
        <x14:dataValidation type="list" allowBlank="1" showInputMessage="1" showErrorMessage="1" xr:uid="{0C913AA9-4387-483C-B53E-24214B7B97EA}">
          <x14:formula1>
            <xm:f>'Liste de prix Public EUROPE'!$B$347:$B$349</xm:f>
          </x14:formula1>
          <xm:sqref>A53:A54 A104:A108</xm:sqref>
        </x14:dataValidation>
        <x14:dataValidation type="list" allowBlank="1" showInputMessage="1" showErrorMessage="1" xr:uid="{F4493154-5B9A-4F57-A95A-E991100BB87F}">
          <x14:formula1>
            <xm:f>'Liste de prix Public EUROPE'!$B$1834:$B$1839</xm:f>
          </x14:formula1>
          <xm:sqref>A48:A49</xm:sqref>
        </x14:dataValidation>
        <x14:dataValidation type="list" allowBlank="1" showInputMessage="1" showErrorMessage="1" xr:uid="{A615045B-1632-4E64-87A6-CD7A7ED39785}">
          <x14:formula1>
            <xm:f>'Liste de prix Public EUROPE'!$C$2320:$C$2329</xm:f>
          </x14:formula1>
          <xm:sqref>B436</xm:sqref>
        </x14:dataValidation>
        <x14:dataValidation type="list" allowBlank="1" showInputMessage="1" showErrorMessage="1" xr:uid="{1AE28241-260E-4266-A129-629A63C5E970}">
          <x14:formula1>
            <xm:f>'Liste de prix Public EUROPE'!$C$2310:$C$2319</xm:f>
          </x14:formula1>
          <xm:sqref>B435</xm:sqref>
        </x14:dataValidation>
        <x14:dataValidation type="list" allowBlank="1" showInputMessage="1" showErrorMessage="1" xr:uid="{BFB479CF-FBA8-439A-8226-826FE0512D7D}">
          <x14:formula1>
            <xm:f>'Liste de prix Public EUROPE'!$C$2300:$C$2309</xm:f>
          </x14:formula1>
          <xm:sqref>B434</xm:sqref>
        </x14:dataValidation>
        <x14:dataValidation type="list" allowBlank="1" showInputMessage="1" showErrorMessage="1" xr:uid="{0C817096-957A-48E1-8AC2-D2427A717437}">
          <x14:formula1>
            <xm:f>'Liste de prix Public EUROPE'!$C$2290:$C$2299</xm:f>
          </x14:formula1>
          <xm:sqref>B433</xm:sqref>
        </x14:dataValidation>
        <x14:dataValidation type="list" allowBlank="1" showInputMessage="1" showErrorMessage="1" xr:uid="{7436A3C4-DA26-4F34-9365-941793197FFB}">
          <x14:formula1>
            <xm:f>'Liste de prix Public EUROPE'!$C$2288:$C$2289</xm:f>
          </x14:formula1>
          <xm:sqref>B432</xm:sqref>
        </x14:dataValidation>
        <x14:dataValidation type="list" allowBlank="1" showInputMessage="1" showErrorMessage="1" xr:uid="{96DB48BF-F532-425F-A676-1ED2E33E8C44}">
          <x14:formula1>
            <xm:f>'Liste de prix Public EUROPE'!$B$2173:$B$2176</xm:f>
          </x14:formula1>
          <xm:sqref>A219:A221</xm:sqref>
        </x14:dataValidation>
        <x14:dataValidation type="list" showInputMessage="1" showErrorMessage="1" xr:uid="{299B51B3-F397-4F04-BE60-E7CEED90495F}">
          <x14:formula1>
            <xm:f>'Liste de prix Public EUROPE'!$B$2173:$B$2176</xm:f>
          </x14:formula1>
          <xm:sqref>A218 A226</xm:sqref>
        </x14:dataValidation>
        <x14:dataValidation type="list" allowBlank="1" showInputMessage="1" showErrorMessage="1" xr:uid="{BB263C37-C4B6-4C80-970B-F4FB4FC591B2}">
          <x14:formula1>
            <xm:f>'Liste de prix Public EUROPE'!$B$2244:$B$2250</xm:f>
          </x14:formula1>
          <xm:sqref>A527</xm:sqref>
        </x14:dataValidation>
        <x14:dataValidation type="list" allowBlank="1" showInputMessage="1" showErrorMessage="1" xr:uid="{22AEF916-FD6A-444E-B4CF-706F50D1C1BB}">
          <x14:formula1>
            <xm:f>'Liste de prix Public EUROPE'!$C$2484:$C$2531</xm:f>
          </x14:formula1>
          <xm:sqref>B444</xm:sqref>
        </x14:dataValidation>
        <x14:dataValidation type="list" allowBlank="1" showInputMessage="1" showErrorMessage="1" xr:uid="{590605BC-CF59-4049-AA38-BF676514095E}">
          <x14:formula1>
            <xm:f>'Liste de prix Public EUROPE'!$C$2436:$C$2483</xm:f>
          </x14:formula1>
          <xm:sqref>B443</xm:sqref>
        </x14:dataValidation>
        <x14:dataValidation type="list" allowBlank="1" showInputMessage="1" showErrorMessage="1" xr:uid="{E64BE9BE-EAEA-4F65-A2BC-FEC190DC6926}">
          <x14:formula1>
            <xm:f>'Liste de prix Public EUROPE'!$C$2388:$C$2435</xm:f>
          </x14:formula1>
          <xm:sqref>B442</xm:sqref>
        </x14:dataValidation>
        <x14:dataValidation type="list" allowBlank="1" showInputMessage="1" showErrorMessage="1" xr:uid="{87BC179E-6CE8-4BB5-A0C8-07984570D8B0}">
          <x14:formula1>
            <xm:f>'Liste de prix Public EUROPE'!$C$2360:$C$2387</xm:f>
          </x14:formula1>
          <xm:sqref>B441</xm:sqref>
        </x14:dataValidation>
        <x14:dataValidation type="list" allowBlank="1" showInputMessage="1" showErrorMessage="1" xr:uid="{A2E5D668-B29D-436D-BF54-03CC38BE8A03}">
          <x14:formula1>
            <xm:f>'Liste de prix Public EUROPE'!$C$2332:$C$2359</xm:f>
          </x14:formula1>
          <xm:sqref>B440</xm:sqref>
        </x14:dataValidation>
        <x14:dataValidation type="list" allowBlank="1" showInputMessage="1" showErrorMessage="1" xr:uid="{FC286CCA-2470-46AB-B5F0-E3687B33E1EA}">
          <x14:formula1>
            <xm:f>'Liste de prix Public EUROPE'!$B$2261:$B$2263</xm:f>
          </x14:formula1>
          <xm:sqref>A530:A532</xm:sqref>
        </x14:dataValidation>
        <x14:dataValidation type="list" showInputMessage="1" showErrorMessage="1" xr:uid="{232A1C63-A35E-40A5-9531-0A84584F1950}">
          <x14:formula1>
            <xm:f>'Liste de prix Public EUROPE'!$C$2541:$C$2543</xm:f>
          </x14:formula1>
          <xm:sqref>A230</xm:sqref>
        </x14:dataValidation>
        <x14:dataValidation type="list" allowBlank="1" showInputMessage="1" showErrorMessage="1" xr:uid="{AEB2611B-7FD1-4E6F-9C33-F598685A6BB1}">
          <x14:formula1>
            <xm:f>'Liste de prix Public EUROPE'!$B$1646:$B$1806</xm:f>
          </x14:formula1>
          <xm:sqref>A388:A391</xm:sqref>
        </x14:dataValidation>
        <x14:dataValidation type="list" allowBlank="1" showInputMessage="1" showErrorMessage="1" xr:uid="{B76C328C-550B-45D4-A0C5-5E58CFE6D2A7}">
          <x14:formula1>
            <xm:f>'Liste de prix Public EUROPE'!$B$1075:$B$1078</xm:f>
          </x14:formula1>
          <xm:sqref>A272</xm:sqref>
        </x14:dataValidation>
        <x14:dataValidation type="list" showInputMessage="1" showErrorMessage="1" xr:uid="{8E02515B-8BA9-44AF-9A5B-84EBFFC29895}">
          <x14:formula1>
            <xm:f>'Liste de prix Public EUROPE'!$B$2184:$B$2197</xm:f>
          </x14:formula1>
          <xm:sqref>A234</xm:sqref>
        </x14:dataValidation>
        <x14:dataValidation type="list" allowBlank="1" showInputMessage="1" showErrorMessage="1" xr:uid="{00000000-0002-0000-0400-000031000000}">
          <x14:formula1>
            <xm:f>'Liste de prix Public EUROPE'!$B$9:$B$174</xm:f>
          </x14:formula1>
          <xm:sqref>A19:A36 A59:A76</xm:sqref>
        </x14:dataValidation>
        <x14:dataValidation type="list" allowBlank="1" showInputMessage="1" showErrorMessage="1" xr:uid="{00000000-0002-0000-0400-000032000000}">
          <x14:formula1>
            <xm:f>'Liste de prix Public EUROPE'!$B$178:$B$343</xm:f>
          </x14:formula1>
          <xm:sqref>A81:A98</xm:sqref>
        </x14:dataValidation>
        <x14:dataValidation type="list" allowBlank="1" showInputMessage="1" showErrorMessage="1" xr:uid="{00000000-0002-0000-0400-00002D000000}">
          <x14:formula1>
            <xm:f>'Liste de prix Public EUROPE'!$B$1277:$B$1280</xm:f>
          </x14:formula1>
          <xm:sqref>A148:A149</xm:sqref>
        </x14:dataValidation>
        <x14:dataValidation type="list" allowBlank="1" showInputMessage="1" showErrorMessage="1" xr:uid="{E1DD0351-D055-4042-A446-5CB035AAD745}">
          <x14:formula1>
            <xm:f>'Liste de prix Public EUROPE'!$B$1303:$B$1351</xm:f>
          </x14:formula1>
          <xm:sqref>A521:A524</xm:sqref>
        </x14:dataValidation>
        <x14:dataValidation type="list" allowBlank="1" showInputMessage="1" showErrorMessage="1" xr:uid="{00000000-0002-0000-0400-00002B000000}">
          <x14:formula1>
            <xm:f>'Liste de prix Public EUROPE'!$B$1887:$B$1894</xm:f>
          </x14:formula1>
          <xm:sqref>A345:A348</xm:sqref>
        </x14:dataValidation>
        <x14:dataValidation type="list" allowBlank="1" showInputMessage="1" showErrorMessage="1" xr:uid="{95CADD32-64C0-4146-8B40-57EB7D2511DB}">
          <x14:formula1>
            <xm:f>'Liste de prix Public EUROPE'!$B$1901:$B$1912</xm:f>
          </x14:formula1>
          <xm:sqref>A353:A355</xm:sqref>
        </x14:dataValidation>
        <x14:dataValidation type="list" allowBlank="1" showInputMessage="1" showErrorMessage="1" xr:uid="{E72DA0F2-0A24-4F87-ACCB-E865877EC892}">
          <x14:formula1>
            <xm:f>'Liste de prix Public EUROPE'!$B$2010:$B$2018</xm:f>
          </x14:formula1>
          <xm:sqref>A454</xm:sqref>
        </x14:dataValidation>
        <x14:dataValidation type="list" allowBlank="1" showInputMessage="1" showErrorMessage="1" xr:uid="{E5E0E77F-26BB-4F33-9258-2404EC7CCD55}">
          <x14:formula1>
            <xm:f>'Liste de prix Public EUROPE'!$B$2019:$B$2020</xm:f>
          </x14:formula1>
          <xm:sqref>A456</xm:sqref>
        </x14:dataValidation>
        <x14:dataValidation type="list" allowBlank="1" showInputMessage="1" showErrorMessage="1" xr:uid="{BCD0AFD3-2AFB-4FC3-8AB7-35D187B7C3C6}">
          <x14:formula1>
            <xm:f>'Liste de prix Public EUROPE'!$B$2806:$B$2808</xm:f>
          </x14:formula1>
          <xm:sqref>A311:A312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0">
    <tabColor theme="9" tint="-0.249977111117893"/>
  </sheetPr>
  <dimension ref="A1:G407"/>
  <sheetViews>
    <sheetView showGridLines="0" view="pageBreakPreview" zoomScale="80" zoomScaleNormal="100" zoomScaleSheetLayoutView="80" zoomScalePageLayoutView="120" workbookViewId="0">
      <selection activeCell="C5" sqref="C5"/>
    </sheetView>
  </sheetViews>
  <sheetFormatPr baseColWidth="10" defaultRowHeight="14.4"/>
  <cols>
    <col min="1" max="1" width="20.88671875" customWidth="1"/>
    <col min="2" max="2" width="13.77734375" customWidth="1"/>
    <col min="3" max="3" width="13.33203125" customWidth="1"/>
    <col min="4" max="4" width="14.33203125" customWidth="1"/>
    <col min="5" max="5" width="11" customWidth="1"/>
    <col min="6" max="6" width="13.21875" customWidth="1"/>
    <col min="7" max="7" width="18.77734375" customWidth="1"/>
    <col min="8" max="13" width="11.21875" customWidth="1"/>
  </cols>
  <sheetData>
    <row r="1" spans="1:7" ht="15" customHeight="1">
      <c r="A1" s="79"/>
      <c r="B1" s="79"/>
      <c r="C1" s="79"/>
      <c r="D1" s="80"/>
      <c r="E1" s="80"/>
      <c r="F1" s="79"/>
      <c r="G1" s="79"/>
    </row>
    <row r="2" spans="1:7" ht="34.5" customHeight="1">
      <c r="A2" s="79"/>
      <c r="B2" s="79"/>
      <c r="C2" s="80"/>
      <c r="D2" s="81"/>
      <c r="F2" s="79"/>
      <c r="G2" s="158" t="s">
        <v>384</v>
      </c>
    </row>
    <row r="3" spans="1:7" s="39" customFormat="1" ht="34.5" customHeight="1">
      <c r="A3" s="79"/>
      <c r="B3" s="79"/>
      <c r="C3" s="80"/>
      <c r="D3" s="80"/>
      <c r="E3" s="81"/>
      <c r="F3" s="79"/>
      <c r="G3" s="79"/>
    </row>
    <row r="4" spans="1:7" s="39" customFormat="1" ht="15" customHeight="1">
      <c r="A4" s="83"/>
      <c r="B4" s="149" t="s">
        <v>53</v>
      </c>
      <c r="C4" s="146">
        <f ca="1">TODAY()</f>
        <v>45261</v>
      </c>
      <c r="D4" s="79"/>
      <c r="E4" s="82" t="s">
        <v>57</v>
      </c>
      <c r="F4" s="2165"/>
      <c r="G4" s="2165"/>
    </row>
    <row r="5" spans="1:7">
      <c r="A5" s="102"/>
      <c r="B5" s="149" t="s">
        <v>54</v>
      </c>
      <c r="C5" s="147">
        <v>30</v>
      </c>
      <c r="D5" s="79"/>
      <c r="E5" s="82" t="s">
        <v>58</v>
      </c>
      <c r="F5" s="2165"/>
      <c r="G5" s="2165"/>
    </row>
    <row r="6" spans="1:7" ht="15" customHeight="1">
      <c r="A6" s="101"/>
      <c r="B6" s="149" t="s">
        <v>55</v>
      </c>
      <c r="C6" s="146">
        <f ca="1">C4+C5</f>
        <v>45291</v>
      </c>
      <c r="D6" s="79"/>
      <c r="E6" s="82" t="s">
        <v>59</v>
      </c>
      <c r="F6" s="2165"/>
      <c r="G6" s="2165"/>
    </row>
    <row r="7" spans="1:7" s="3" customFormat="1">
      <c r="A7" s="79"/>
      <c r="B7" s="82" t="s">
        <v>56</v>
      </c>
      <c r="C7" s="148">
        <f ca="1">TODAY()</f>
        <v>45261</v>
      </c>
      <c r="D7" s="79"/>
      <c r="E7" s="82" t="s">
        <v>60</v>
      </c>
      <c r="F7" s="2165"/>
      <c r="G7" s="2165"/>
    </row>
    <row r="8" spans="1:7" s="39" customFormat="1">
      <c r="A8" s="83"/>
      <c r="B8" s="83"/>
      <c r="C8" s="83"/>
      <c r="D8" s="83"/>
      <c r="E8" s="83"/>
      <c r="F8" s="83"/>
      <c r="G8" s="83"/>
    </row>
    <row r="9" spans="1:7" s="163" customFormat="1">
      <c r="A9" s="83"/>
      <c r="B9" s="83"/>
      <c r="C9" s="83"/>
      <c r="D9" s="83"/>
      <c r="E9" s="83"/>
      <c r="F9" s="83"/>
      <c r="G9" s="83"/>
    </row>
    <row r="10" spans="1:7" s="163" customFormat="1">
      <c r="A10" s="83"/>
      <c r="B10" s="83"/>
      <c r="C10" s="83"/>
      <c r="D10" s="83"/>
      <c r="E10" s="83"/>
      <c r="F10" s="83"/>
      <c r="G10" s="83"/>
    </row>
    <row r="11" spans="1:7" s="39" customFormat="1" ht="17.399999999999999">
      <c r="A11" s="243" t="s">
        <v>383</v>
      </c>
      <c r="B11" s="188"/>
      <c r="C11" s="188"/>
      <c r="D11" s="184"/>
      <c r="E11" s="184"/>
      <c r="F11" s="184"/>
      <c r="G11" s="244"/>
    </row>
    <row r="12" spans="1:7" s="163" customFormat="1">
      <c r="A12" s="189"/>
      <c r="B12" s="190"/>
      <c r="C12" s="213"/>
      <c r="D12" s="44"/>
      <c r="E12" s="44"/>
      <c r="F12" s="44"/>
      <c r="G12" s="193"/>
    </row>
    <row r="13" spans="1:7" s="39" customFormat="1">
      <c r="A13" s="189" t="str">
        <f>IF(B13&lt;&gt;"","Remise","")</f>
        <v/>
      </c>
      <c r="B13" s="190" t="str">
        <f>IF('Deviseur EUROPE'!B5&lt;&gt;0%,'Deviseur EUROPE'!B5,"")</f>
        <v/>
      </c>
      <c r="D13" s="44"/>
      <c r="E13" s="44"/>
      <c r="F13" s="44"/>
      <c r="G13" s="192"/>
    </row>
    <row r="14" spans="1:7" s="39" customFormat="1">
      <c r="A14" s="189" t="str">
        <f>IF(B14&lt;&gt;"","Support","")</f>
        <v/>
      </c>
      <c r="B14" s="508" t="str">
        <f>IF('Deviseur EUROPE'!F571&lt;&gt;0%,'Deviseur EUROPE'!F571,"")</f>
        <v/>
      </c>
      <c r="C14" s="477" t="str">
        <f>IF('Deviseur EUROPE'!F571&lt;&gt;0%,'Deviseur EUROPE'!B571,"")</f>
        <v/>
      </c>
      <c r="D14" s="44"/>
      <c r="E14" s="44"/>
      <c r="F14" s="44"/>
      <c r="G14" s="193"/>
    </row>
    <row r="15" spans="1:7" s="163" customFormat="1">
      <c r="A15" s="677" t="str">
        <f>IF('Deviseur EUROPE'!B5&lt;&gt;0%,"NB : le support, les coûs de licences OS ainsi que les services RDS et MRS sont non remisables.","")</f>
        <v/>
      </c>
      <c r="B15" s="190"/>
      <c r="C15" s="213"/>
      <c r="D15" s="44"/>
      <c r="E15" s="44"/>
      <c r="F15" s="44"/>
      <c r="G15" s="193"/>
    </row>
    <row r="16" spans="1:7" s="39" customFormat="1" ht="15.6">
      <c r="A16" s="247" t="s">
        <v>291</v>
      </c>
      <c r="B16" s="248"/>
      <c r="C16" s="248"/>
      <c r="D16" s="249" t="str">
        <f>IF(B13&lt;&gt;"","Prix € HT","")</f>
        <v/>
      </c>
      <c r="E16" s="248"/>
      <c r="F16" s="248"/>
      <c r="G16" s="250" t="str">
        <f>IF(B13&lt;&gt;"","Prix € HT/mois remisé","Prix € HT/mois")</f>
        <v>Prix € HT/mois</v>
      </c>
    </row>
    <row r="17" spans="1:7" s="163" customFormat="1">
      <c r="A17" s="185" t="s">
        <v>288</v>
      </c>
      <c r="B17" s="200"/>
      <c r="C17" s="200"/>
      <c r="D17" s="181"/>
      <c r="E17" s="181"/>
      <c r="F17" s="262"/>
      <c r="G17" s="263"/>
    </row>
    <row r="18" spans="1:7" s="163" customFormat="1">
      <c r="A18" s="186" t="s">
        <v>283</v>
      </c>
      <c r="B18" s="179"/>
      <c r="C18" s="179"/>
      <c r="D18" s="481" t="str">
        <f>IF(B$13&lt;&gt;"",IF(G18&lt;&gt;"",G18/(100%-'Deviseur EUROPE'!B$5),""),"")</f>
        <v/>
      </c>
      <c r="E18" s="64"/>
      <c r="F18" s="64"/>
      <c r="G18" s="435">
        <f>SUM(G60:G118)</f>
        <v>0</v>
      </c>
    </row>
    <row r="19" spans="1:7" s="163" customFormat="1">
      <c r="A19" s="186" t="str">
        <f>IF('Deviseur EUROPE'!B7&lt;&gt;0,'Deviseur EUROPE'!A9,"")</f>
        <v/>
      </c>
      <c r="B19" s="179"/>
      <c r="C19" s="179"/>
      <c r="D19" s="481"/>
      <c r="E19" s="64"/>
      <c r="F19" s="64"/>
      <c r="G19" s="435">
        <f>G120</f>
        <v>0</v>
      </c>
    </row>
    <row r="20" spans="1:7" s="613" customFormat="1">
      <c r="A20" s="186"/>
      <c r="B20" s="179"/>
      <c r="C20" s="179"/>
      <c r="D20" s="481"/>
      <c r="E20" s="64"/>
      <c r="F20" s="64"/>
      <c r="G20" s="435"/>
    </row>
    <row r="21" spans="1:7" s="163" customFormat="1">
      <c r="A21" s="185" t="s">
        <v>77</v>
      </c>
      <c r="B21" s="200"/>
      <c r="C21" s="200"/>
      <c r="D21" s="181"/>
      <c r="E21" s="181"/>
      <c r="F21" s="259"/>
      <c r="G21" s="436"/>
    </row>
    <row r="22" spans="1:7" s="163" customFormat="1">
      <c r="A22" s="186" t="s">
        <v>78</v>
      </c>
      <c r="B22" s="179"/>
      <c r="C22" s="179"/>
      <c r="D22" s="481" t="str">
        <f>IF(B$13&lt;&gt;"",IF(G22&lt;&gt;"",G22/(100%-'Deviseur EUROPE'!B$5),""),"")</f>
        <v/>
      </c>
      <c r="E22" s="64"/>
      <c r="F22" s="64"/>
      <c r="G22" s="435">
        <f>SUM(G125:G129)</f>
        <v>0</v>
      </c>
    </row>
    <row r="23" spans="1:7" s="163" customFormat="1">
      <c r="A23" s="186"/>
      <c r="B23" s="179"/>
      <c r="C23" s="179"/>
      <c r="D23" s="481"/>
      <c r="E23" s="64"/>
      <c r="F23" s="64"/>
      <c r="G23" s="435"/>
    </row>
    <row r="24" spans="1:7" s="163" customFormat="1">
      <c r="A24" s="246" t="s">
        <v>149</v>
      </c>
      <c r="B24" s="240"/>
      <c r="C24" s="240"/>
      <c r="D24" s="483">
        <f>SUM(D18:D23)</f>
        <v>0</v>
      </c>
      <c r="E24" s="240"/>
      <c r="F24" s="240"/>
      <c r="G24" s="437">
        <f>SUM(G18:G23)</f>
        <v>0</v>
      </c>
    </row>
    <row r="25" spans="1:7" s="163" customFormat="1">
      <c r="A25" s="186"/>
      <c r="B25" s="179"/>
      <c r="C25" s="179"/>
      <c r="D25" s="178"/>
      <c r="E25" s="64"/>
      <c r="F25" s="64"/>
      <c r="G25" s="187"/>
    </row>
    <row r="26" spans="1:7" s="163" customFormat="1">
      <c r="A26" s="186"/>
      <c r="B26" s="179"/>
      <c r="C26" s="179"/>
      <c r="D26" s="178"/>
      <c r="E26" s="64"/>
      <c r="F26" s="64"/>
      <c r="G26" s="187"/>
    </row>
    <row r="27" spans="1:7" s="39" customFormat="1">
      <c r="A27" s="245"/>
      <c r="B27" s="191"/>
      <c r="C27" s="191"/>
      <c r="D27" s="44"/>
      <c r="E27" s="44"/>
      <c r="F27" s="44"/>
      <c r="G27" s="192"/>
    </row>
    <row r="28" spans="1:7" s="39" customFormat="1" ht="15.6">
      <c r="A28" s="247" t="s">
        <v>154</v>
      </c>
      <c r="B28" s="249"/>
      <c r="C28" s="251"/>
      <c r="D28" s="249" t="str">
        <f>IF(B13&lt;&gt;"","Prix € HT/mois","")</f>
        <v/>
      </c>
      <c r="E28" s="248"/>
      <c r="F28" s="248"/>
      <c r="G28" s="250" t="str">
        <f>IF(B13&lt;&gt;"","Prix € HT/mois remisé","Prix € HT/mois")</f>
        <v>Prix € HT/mois</v>
      </c>
    </row>
    <row r="29" spans="1:7" s="39" customFormat="1">
      <c r="A29" s="185" t="s">
        <v>148</v>
      </c>
      <c r="B29" s="200"/>
      <c r="C29" s="200"/>
      <c r="D29" s="200"/>
      <c r="E29" s="200"/>
      <c r="F29" s="200"/>
      <c r="G29" s="195"/>
    </row>
    <row r="30" spans="1:7" s="39" customFormat="1">
      <c r="A30" s="161" t="s">
        <v>2563</v>
      </c>
      <c r="B30" s="177"/>
      <c r="C30" s="177"/>
      <c r="D30" s="481" t="str">
        <f>IF(B$13&lt;&gt;"",IF(G30&lt;&gt;"",G30/(100%-'Deviseur EUROPE'!B$5),""),"")</f>
        <v/>
      </c>
      <c r="E30" s="64"/>
      <c r="F30" s="64"/>
      <c r="G30" s="435">
        <f>SUM(G141:G183)</f>
        <v>0</v>
      </c>
    </row>
    <row r="31" spans="1:7" s="39" customFormat="1">
      <c r="A31" s="161" t="s">
        <v>136</v>
      </c>
      <c r="B31" s="177"/>
      <c r="C31" s="179"/>
      <c r="D31" s="481" t="str">
        <f>IF(B$13&lt;&gt;"",IF(G31&lt;&gt;"",G31/(100%-'Deviseur EUROPE'!B$5),""),"")</f>
        <v/>
      </c>
      <c r="E31" s="64"/>
      <c r="F31" s="64"/>
      <c r="G31" s="435">
        <f>SUM(G185:G199)</f>
        <v>0</v>
      </c>
    </row>
    <row r="32" spans="1:7" s="163" customFormat="1">
      <c r="A32" s="161" t="s">
        <v>137</v>
      </c>
      <c r="B32" s="177"/>
      <c r="C32" s="179"/>
      <c r="D32" s="481" t="str">
        <f>IF(B$13&lt;&gt;"",IF(G32&lt;&gt;"",G32/(100%-'Deviseur EUROPE'!B$5),""),"")</f>
        <v/>
      </c>
      <c r="E32" s="64"/>
      <c r="F32" s="64"/>
      <c r="G32" s="435">
        <f>SUM(G213:G248)</f>
        <v>0</v>
      </c>
    </row>
    <row r="33" spans="1:7" s="613" customFormat="1">
      <c r="A33" s="161" t="s">
        <v>1056</v>
      </c>
      <c r="B33" s="177"/>
      <c r="C33" s="179"/>
      <c r="D33" s="481" t="str">
        <f>IF(B$13&lt;&gt;"",IF(G33&lt;&gt;"",G33/(100%-'Deviseur EUROPE'!B$5),""),"")</f>
        <v/>
      </c>
      <c r="E33" s="64"/>
      <c r="F33" s="64"/>
      <c r="G33" s="435">
        <f>SUM(G251:G268)</f>
        <v>0</v>
      </c>
    </row>
    <row r="34" spans="1:7" s="163" customFormat="1">
      <c r="A34" s="161" t="s">
        <v>1008</v>
      </c>
      <c r="B34" s="177"/>
      <c r="C34" s="179"/>
      <c r="D34" s="481" t="str">
        <f>IF(B$13&lt;&gt;"",IF(G34&lt;&gt;"",G34/(100%-'Deviseur EUROPE'!B$5),""),"")</f>
        <v/>
      </c>
      <c r="E34" s="64"/>
      <c r="F34" s="64"/>
      <c r="G34" s="435">
        <f>SUM(G202:G203)</f>
        <v>0</v>
      </c>
    </row>
    <row r="35" spans="1:7" s="613" customFormat="1">
      <c r="A35" s="161" t="s">
        <v>1024</v>
      </c>
      <c r="B35" s="177"/>
      <c r="C35" s="179"/>
      <c r="D35" s="481" t="str">
        <f>IF(B$13&lt;&gt;"",IF(G35&lt;&gt;"",G35/(100%-'Deviseur EUROPE'!B$5),""),"")</f>
        <v/>
      </c>
      <c r="E35" s="64"/>
      <c r="F35" s="64"/>
      <c r="G35" s="435">
        <f>SUM(G206:G210)</f>
        <v>0</v>
      </c>
    </row>
    <row r="36" spans="1:7" s="333" customFormat="1">
      <c r="A36" s="161" t="s">
        <v>1020</v>
      </c>
      <c r="B36" s="177"/>
      <c r="C36" s="179"/>
      <c r="D36" s="481" t="str">
        <f>IF(B$13&lt;&gt;"",IF(G36&lt;&gt;"",G36/(100%-'Deviseur EUROPE'!B$5),""),"")</f>
        <v/>
      </c>
      <c r="E36" s="64"/>
      <c r="F36" s="64"/>
      <c r="G36" s="435">
        <f>SUM(G271:G272)</f>
        <v>0</v>
      </c>
    </row>
    <row r="37" spans="1:7" s="613" customFormat="1">
      <c r="A37" s="161" t="s">
        <v>1021</v>
      </c>
      <c r="B37" s="177"/>
      <c r="C37" s="179"/>
      <c r="D37" s="481" t="str">
        <f>IF(B$13&lt;&gt;"",IF(G37&lt;&gt;"",G37/(100%-'Deviseur EUROPE'!B$5),""),"")</f>
        <v/>
      </c>
      <c r="E37" s="64"/>
      <c r="F37" s="64"/>
      <c r="G37" s="435">
        <f>SUM(G275:G278)</f>
        <v>0</v>
      </c>
    </row>
    <row r="38" spans="1:7" s="613" customFormat="1">
      <c r="A38" s="161" t="s">
        <v>703</v>
      </c>
      <c r="B38" s="177"/>
      <c r="C38" s="179"/>
      <c r="D38" s="481" t="str">
        <f>IF(B$13&lt;&gt;"",IF(G38&lt;&gt;"",G38/(100%-'Deviseur EUROPE'!B$5),""),"")</f>
        <v/>
      </c>
      <c r="E38" s="64"/>
      <c r="F38" s="64"/>
      <c r="G38" s="435">
        <f>SUM(G281:G284)</f>
        <v>0</v>
      </c>
    </row>
    <row r="39" spans="1:7" s="163" customFormat="1">
      <c r="A39" s="161" t="s">
        <v>30</v>
      </c>
      <c r="B39" s="177"/>
      <c r="C39" s="179"/>
      <c r="D39" s="481" t="str">
        <f>IF(B$13&lt;&gt;"",IF(G39&lt;&gt;"",G39/(100%-'Deviseur EUROPE'!B$5),""),"")</f>
        <v/>
      </c>
      <c r="E39" s="64"/>
      <c r="F39" s="64"/>
      <c r="G39" s="435" t="str">
        <f>G287</f>
        <v/>
      </c>
    </row>
    <row r="40" spans="1:7" s="39" customFormat="1">
      <c r="A40" s="161" t="s">
        <v>82</v>
      </c>
      <c r="B40" s="177"/>
      <c r="C40" s="179"/>
      <c r="D40" s="481" t="str">
        <f>IF(B$13&lt;&gt;"",IF(G40&lt;&gt;"",G40/(100%-'Deviseur EUROPE'!B$5),""),"")</f>
        <v/>
      </c>
      <c r="E40" s="64"/>
      <c r="F40" s="64"/>
      <c r="G40" s="435">
        <f>SUM(G290:G302)</f>
        <v>0</v>
      </c>
    </row>
    <row r="41" spans="1:7" s="613" customFormat="1">
      <c r="A41" s="1106" t="s">
        <v>1410</v>
      </c>
      <c r="B41" s="1107"/>
      <c r="C41" s="1108"/>
      <c r="D41" s="1109"/>
      <c r="E41" s="426"/>
      <c r="F41" s="426"/>
      <c r="G41" s="1110">
        <f>SUM(G304:G320)</f>
        <v>0</v>
      </c>
    </row>
    <row r="42" spans="1:7" s="613" customFormat="1">
      <c r="A42" s="1106" t="s">
        <v>1411</v>
      </c>
      <c r="B42" s="1107"/>
      <c r="C42" s="1108"/>
      <c r="D42" s="1109"/>
      <c r="E42" s="426"/>
      <c r="F42" s="426"/>
      <c r="G42" s="1110">
        <f>SUM(G322:G323)</f>
        <v>0</v>
      </c>
    </row>
    <row r="43" spans="1:7" s="163" customFormat="1">
      <c r="A43" s="161" t="s">
        <v>1172</v>
      </c>
      <c r="B43" s="177"/>
      <c r="C43" s="179"/>
      <c r="D43" s="481" t="str">
        <f>IF(B$13&lt;&gt;"",IF(G43&lt;&gt;"",G43/(100%-'Deviseur EUROPE'!B$5),""),"")</f>
        <v/>
      </c>
      <c r="E43" s="64"/>
      <c r="F43" s="64"/>
      <c r="G43" s="435">
        <f>SUM(G330:G389)</f>
        <v>0</v>
      </c>
    </row>
    <row r="44" spans="1:7" s="613" customFormat="1">
      <c r="A44" s="161" t="s">
        <v>1173</v>
      </c>
      <c r="B44" s="177"/>
      <c r="C44" s="179"/>
      <c r="D44" s="481"/>
      <c r="E44" s="64"/>
      <c r="F44" s="64"/>
      <c r="G44" s="435">
        <f>SUM(G390:G393)</f>
        <v>0</v>
      </c>
    </row>
    <row r="45" spans="1:7" s="333" customFormat="1">
      <c r="A45" s="161"/>
      <c r="B45" s="177"/>
      <c r="C45" s="179"/>
      <c r="D45" s="481"/>
      <c r="E45" s="64"/>
      <c r="F45" s="64"/>
      <c r="G45" s="435"/>
    </row>
    <row r="46" spans="1:7" s="39" customFormat="1">
      <c r="A46" s="185" t="s">
        <v>12</v>
      </c>
      <c r="B46" s="200"/>
      <c r="C46" s="200"/>
      <c r="D46" s="200"/>
      <c r="E46" s="200"/>
      <c r="F46" s="200"/>
      <c r="G46" s="438"/>
    </row>
    <row r="47" spans="1:7" s="39" customFormat="1">
      <c r="A47" s="161" t="s">
        <v>12</v>
      </c>
      <c r="B47" s="180"/>
      <c r="C47" s="239"/>
      <c r="D47" s="178" t="str">
        <f>IF('Deviseur EUROPE'!F571&lt;&gt;0%,'Deviseur EUROPE'!B571,"")</f>
        <v/>
      </c>
      <c r="E47" s="29"/>
      <c r="F47" s="29"/>
      <c r="G47" s="435" t="str">
        <f>G397</f>
        <v/>
      </c>
    </row>
    <row r="48" spans="1:7" s="39" customFormat="1">
      <c r="A48" s="194"/>
      <c r="B48" s="44"/>
      <c r="C48" s="44"/>
      <c r="D48" s="44"/>
      <c r="E48" s="44"/>
      <c r="F48" s="44"/>
      <c r="G48" s="439"/>
    </row>
    <row r="49" spans="1:7" s="163" customFormat="1">
      <c r="A49" s="241" t="s">
        <v>150</v>
      </c>
      <c r="B49" s="242"/>
      <c r="C49" s="242"/>
      <c r="D49" s="482">
        <f>SUM(D30:D48)</f>
        <v>0</v>
      </c>
      <c r="E49" s="242"/>
      <c r="F49" s="242"/>
      <c r="G49" s="440">
        <f>SUM(G30:G48)</f>
        <v>0</v>
      </c>
    </row>
    <row r="50" spans="1:7" s="163" customFormat="1">
      <c r="A50" s="83"/>
      <c r="B50" s="83"/>
      <c r="C50" s="83"/>
      <c r="G50" s="79"/>
    </row>
    <row r="51" spans="1:7" s="163" customFormat="1" ht="15.6" hidden="1">
      <c r="A51" s="2167"/>
      <c r="B51" s="2167"/>
      <c r="C51" s="2167"/>
      <c r="D51" s="899" t="str">
        <f>IF(B13&lt;&gt;"","Prix Public","")</f>
        <v/>
      </c>
      <c r="E51" s="898"/>
      <c r="F51" s="898"/>
      <c r="G51" s="899" t="str">
        <f>IF(B13&lt;&gt;"","Prix remisé","")</f>
        <v/>
      </c>
    </row>
    <row r="52" spans="1:7" s="163" customFormat="1" hidden="1">
      <c r="A52" s="895" t="str">
        <f>IF(D18&lt;&gt;"","Frais initiaux et de mise en service"," ")</f>
        <v xml:space="preserve"> </v>
      </c>
      <c r="B52" s="895"/>
      <c r="C52" s="895"/>
      <c r="D52" s="900" t="str">
        <f>IF(A13&lt;&gt;"",D24," ")</f>
        <v xml:space="preserve"> </v>
      </c>
      <c r="E52" s="895"/>
      <c r="F52" s="895"/>
      <c r="G52" s="900" t="str">
        <f>IF(A13&lt;&gt;"",G24,"")</f>
        <v/>
      </c>
    </row>
    <row r="53" spans="1:7" s="163" customFormat="1" hidden="1">
      <c r="A53" s="895" t="str">
        <f>IF(B13&lt;&gt;"","Consommation à l'usage par an","")</f>
        <v/>
      </c>
      <c r="B53" s="895"/>
      <c r="C53" s="895"/>
      <c r="D53" s="900" t="str">
        <f>IF(A51&lt;&gt;"",D49*12,"")</f>
        <v/>
      </c>
      <c r="E53" s="895"/>
      <c r="F53" s="895"/>
      <c r="G53" s="900" t="str">
        <f>IF(D51&lt;&gt;"",G49*12,"")</f>
        <v/>
      </c>
    </row>
    <row r="54" spans="1:7" s="163" customFormat="1" ht="15.6" hidden="1">
      <c r="A54" s="896" t="str">
        <f>IF(A13&lt;&gt;"",IF(A51="Coût sur une période de 1 an","Total sur 1 an",IF(A51="Coût sur une période de 2 ans","Total sur 2 ans",IF(A51="Coût sur une période de 3 ans","Total sur 3 ans",IF(A51="Coût sur une période de 5 ans","Total sur 5 ans")))),"")</f>
        <v/>
      </c>
      <c r="B54" s="897"/>
      <c r="C54" s="897"/>
      <c r="D54" s="901" t="str">
        <f>IF(A13&lt;&gt;"",IF(A51="Coût sur une période de 1 an",(D53*12)+D52,IF(A51="Coût sur une période de 2 ans",(D53*24)+D52,IF(A51="Coût sur une période de 3 ans",(D53*36)+D52,IF(A51="Coût sur une période de 5 ans",(D53*60)+D52)))),"")</f>
        <v/>
      </c>
      <c r="E54" s="902"/>
      <c r="F54" s="902"/>
      <c r="G54" s="901" t="str">
        <f>IF(A13&lt;&gt;"",IF(A51="Coût sur une période de 1 an",(G53*12)+G52,IF(A51="Coût sur une période de 2 ans",(G53*24)+G52,IF(A51="Coût sur une période de 3 ans",(G53*36)+G52,IF(A51="Coût sur une période de 5 ans",(G53*60)+G52)))),"")</f>
        <v/>
      </c>
    </row>
    <row r="55" spans="1:7" s="163" customFormat="1">
      <c r="A55" s="83"/>
      <c r="B55" s="83"/>
      <c r="C55" s="83"/>
      <c r="G55" s="79"/>
    </row>
    <row r="56" spans="1:7" s="39" customFormat="1" ht="17.399999999999999">
      <c r="A56" s="160" t="s">
        <v>255</v>
      </c>
      <c r="B56" s="83"/>
      <c r="C56" s="83"/>
      <c r="G56" s="79"/>
    </row>
    <row r="57" spans="1:7" s="39" customFormat="1">
      <c r="A57" s="83"/>
      <c r="B57" s="83"/>
      <c r="C57" s="83"/>
      <c r="G57" s="79"/>
    </row>
    <row r="58" spans="1:7" s="163" customFormat="1">
      <c r="A58" s="234" t="s">
        <v>288</v>
      </c>
      <c r="B58" s="235"/>
      <c r="C58" s="235"/>
      <c r="D58" s="205"/>
      <c r="E58" s="205"/>
      <c r="F58" s="265"/>
      <c r="G58" s="266"/>
    </row>
    <row r="59" spans="1:7" s="163" customFormat="1">
      <c r="A59" s="267" t="s">
        <v>289</v>
      </c>
      <c r="B59" s="264"/>
      <c r="C59" s="210"/>
      <c r="D59" s="210" t="s">
        <v>138</v>
      </c>
      <c r="E59" s="210"/>
      <c r="F59" s="210" t="s">
        <v>11</v>
      </c>
      <c r="G59" s="260" t="s">
        <v>40</v>
      </c>
    </row>
    <row r="60" spans="1:7" s="163" customFormat="1">
      <c r="A60" s="329" t="str">
        <f>IF('Deviseur EUROPE'!B80&lt;&gt;0,'Deviseur EUROPE'!A80,"")</f>
        <v/>
      </c>
      <c r="B60" s="429"/>
      <c r="C60" s="454"/>
      <c r="D60" s="455" t="str">
        <f>IF(A60&lt;&gt;"",'Deviseur EUROPE'!C80,"")</f>
        <v/>
      </c>
      <c r="E60" s="454"/>
      <c r="F60" s="448" t="str">
        <f>IF(A60&lt;&gt;"",'Deviseur EUROPE'!B80,"")</f>
        <v/>
      </c>
      <c r="G60" s="441" t="str">
        <f>IF(A60&lt;&gt;"",'Deviseur EUROPE'!G80,"")</f>
        <v/>
      </c>
    </row>
    <row r="61" spans="1:7" s="163" customFormat="1">
      <c r="A61" s="329" t="str">
        <f>IF('Deviseur EUROPE'!B81&lt;&gt;0,'Deviseur EUROPE'!A81,"")</f>
        <v/>
      </c>
      <c r="B61" s="429"/>
      <c r="C61" s="454"/>
      <c r="D61" s="455" t="str">
        <f>IF(A61&lt;&gt;"",'Deviseur EUROPE'!C81,"")</f>
        <v/>
      </c>
      <c r="E61" s="454"/>
      <c r="F61" s="448" t="str">
        <f>IF(A61&lt;&gt;"",'Deviseur EUROPE'!B81,"")</f>
        <v/>
      </c>
      <c r="G61" s="441" t="str">
        <f>IF(A61&lt;&gt;"",'Deviseur EUROPE'!G81,"")</f>
        <v/>
      </c>
    </row>
    <row r="62" spans="1:7" s="163" customFormat="1">
      <c r="A62" s="329" t="str">
        <f>IF('Deviseur EUROPE'!B82&lt;&gt;0,'Deviseur EUROPE'!A82,"")</f>
        <v/>
      </c>
      <c r="B62" s="429"/>
      <c r="C62" s="454"/>
      <c r="D62" s="455" t="str">
        <f>IF(A62&lt;&gt;"",'Deviseur EUROPE'!C82,"")</f>
        <v/>
      </c>
      <c r="E62" s="454"/>
      <c r="F62" s="448" t="str">
        <f>IF(A62&lt;&gt;"",'Deviseur EUROPE'!B82,"")</f>
        <v/>
      </c>
      <c r="G62" s="441" t="str">
        <f>IF(A62&lt;&gt;"",'Deviseur EUROPE'!G82,"")</f>
        <v/>
      </c>
    </row>
    <row r="63" spans="1:7" s="163" customFormat="1">
      <c r="A63" s="329" t="str">
        <f>IF('Deviseur EUROPE'!B83&lt;&gt;0,'Deviseur EUROPE'!A83,"")</f>
        <v/>
      </c>
      <c r="B63" s="429"/>
      <c r="C63" s="454"/>
      <c r="D63" s="455" t="str">
        <f>IF(A63&lt;&gt;"",'Deviseur EUROPE'!C83,"")</f>
        <v/>
      </c>
      <c r="E63" s="454"/>
      <c r="F63" s="448" t="str">
        <f>IF(A63&lt;&gt;"",'Deviseur EUROPE'!B83,"")</f>
        <v/>
      </c>
      <c r="G63" s="441" t="str">
        <f>IF(A63&lt;&gt;"",'Deviseur EUROPE'!G83,"")</f>
        <v/>
      </c>
    </row>
    <row r="64" spans="1:7" s="163" customFormat="1">
      <c r="A64" s="329" t="str">
        <f>IF('Deviseur EUROPE'!B84&lt;&gt;0,'Deviseur EUROPE'!A84,"")</f>
        <v/>
      </c>
      <c r="B64" s="429"/>
      <c r="C64" s="454"/>
      <c r="D64" s="879" t="str">
        <f>IF(A64&lt;&gt;"",'Deviseur EUROPE'!C84,"")</f>
        <v/>
      </c>
      <c r="E64" s="454"/>
      <c r="F64" s="448" t="str">
        <f>IF(A64&lt;&gt;"",'Deviseur EUROPE'!B84,"")</f>
        <v/>
      </c>
      <c r="G64" s="441" t="str">
        <f>IF(A64&lt;&gt;"",'Deviseur EUROPE'!G84,"")</f>
        <v/>
      </c>
    </row>
    <row r="65" spans="1:7" s="163" customFormat="1">
      <c r="A65" s="329" t="str">
        <f>IF('Deviseur EUROPE'!B85&lt;&gt;0,'Deviseur EUROPE'!A85,"")</f>
        <v/>
      </c>
      <c r="B65" s="429"/>
      <c r="C65" s="454"/>
      <c r="D65" s="455" t="str">
        <f>IF(A65&lt;&gt;"",'Deviseur EUROPE'!C85,"")</f>
        <v/>
      </c>
      <c r="E65" s="454"/>
      <c r="F65" s="448" t="str">
        <f>IF(A65&lt;&gt;"",'Deviseur EUROPE'!B85,"")</f>
        <v/>
      </c>
      <c r="G65" s="441" t="str">
        <f>IF(A65&lt;&gt;"",'Deviseur EUROPE'!G85,"")</f>
        <v/>
      </c>
    </row>
    <row r="66" spans="1:7" s="163" customFormat="1">
      <c r="A66" s="329" t="str">
        <f>IF('Deviseur EUROPE'!B86&lt;&gt;0,'Deviseur EUROPE'!A86,"")</f>
        <v/>
      </c>
      <c r="B66" s="429"/>
      <c r="C66" s="454"/>
      <c r="D66" s="455" t="str">
        <f>IF(A66&lt;&gt;"",'Deviseur EUROPE'!C86,"")</f>
        <v/>
      </c>
      <c r="E66" s="454"/>
      <c r="F66" s="448" t="str">
        <f>IF(A66&lt;&gt;"",'Deviseur EUROPE'!B86,"")</f>
        <v/>
      </c>
      <c r="G66" s="441" t="str">
        <f>IF(A66&lt;&gt;"",'Deviseur EUROPE'!G86,"")</f>
        <v/>
      </c>
    </row>
    <row r="67" spans="1:7" s="163" customFormat="1">
      <c r="A67" s="329" t="str">
        <f>IF('Deviseur EUROPE'!B87&lt;&gt;0,'Deviseur EUROPE'!A87,"")</f>
        <v/>
      </c>
      <c r="B67" s="429"/>
      <c r="C67" s="454"/>
      <c r="D67" s="455" t="str">
        <f>IF(A67&lt;&gt;"",'Deviseur EUROPE'!C87,"")</f>
        <v/>
      </c>
      <c r="E67" s="454"/>
      <c r="F67" s="448" t="str">
        <f>IF(A67&lt;&gt;"",'Deviseur EUROPE'!B87,"")</f>
        <v/>
      </c>
      <c r="G67" s="441" t="str">
        <f>IF(A67&lt;&gt;"",'Deviseur EUROPE'!G87,"")</f>
        <v/>
      </c>
    </row>
    <row r="68" spans="1:7" s="163" customFormat="1">
      <c r="A68" s="329" t="str">
        <f>IF('Deviseur EUROPE'!B88&lt;&gt;0,'Deviseur EUROPE'!A88,"")</f>
        <v/>
      </c>
      <c r="B68" s="429"/>
      <c r="C68" s="454"/>
      <c r="D68" s="455" t="str">
        <f>IF(A68&lt;&gt;"",'Deviseur EUROPE'!C88,"")</f>
        <v/>
      </c>
      <c r="E68" s="454"/>
      <c r="F68" s="448" t="str">
        <f>IF(A68&lt;&gt;"",'Deviseur EUROPE'!B88,"")</f>
        <v/>
      </c>
      <c r="G68" s="441" t="str">
        <f>IF(A68&lt;&gt;"",'Deviseur EUROPE'!G88,"")</f>
        <v/>
      </c>
    </row>
    <row r="69" spans="1:7" s="163" customFormat="1">
      <c r="A69" s="329" t="str">
        <f>IF('Deviseur EUROPE'!B89&lt;&gt;0,'Deviseur EUROPE'!A89,"")</f>
        <v/>
      </c>
      <c r="B69" s="429"/>
      <c r="C69" s="454"/>
      <c r="D69" s="455" t="str">
        <f>IF(A69&lt;&gt;"",'Deviseur EUROPE'!C89,"")</f>
        <v/>
      </c>
      <c r="E69" s="454"/>
      <c r="F69" s="448" t="str">
        <f>IF(A69&lt;&gt;"",'Deviseur EUROPE'!B89,"")</f>
        <v/>
      </c>
      <c r="G69" s="441" t="str">
        <f>IF(A69&lt;&gt;"",'Deviseur EUROPE'!G89,"")</f>
        <v/>
      </c>
    </row>
    <row r="70" spans="1:7" s="163" customFormat="1">
      <c r="A70" s="329" t="str">
        <f>IF('Deviseur EUROPE'!B90&lt;&gt;0,'Deviseur EUROPE'!A90,"")</f>
        <v/>
      </c>
      <c r="B70" s="429"/>
      <c r="C70" s="454"/>
      <c r="D70" s="455" t="str">
        <f>IF(A70&lt;&gt;"",'Deviseur EUROPE'!C90,"")</f>
        <v/>
      </c>
      <c r="E70" s="454"/>
      <c r="F70" s="448" t="str">
        <f>IF(A70&lt;&gt;"",'Deviseur EUROPE'!B90,"")</f>
        <v/>
      </c>
      <c r="G70" s="441" t="str">
        <f>IF(A70&lt;&gt;"",'Deviseur EUROPE'!G90,"")</f>
        <v/>
      </c>
    </row>
    <row r="71" spans="1:7" s="163" customFormat="1">
      <c r="A71" s="329" t="str">
        <f>IF('Deviseur EUROPE'!B91&lt;&gt;0,'Deviseur EUROPE'!A91,"")</f>
        <v/>
      </c>
      <c r="B71" s="429"/>
      <c r="C71" s="454"/>
      <c r="D71" s="455" t="str">
        <f>IF(A71&lt;&gt;"",'Deviseur EUROPE'!C91,"")</f>
        <v/>
      </c>
      <c r="E71" s="454"/>
      <c r="F71" s="448" t="str">
        <f>IF(A71&lt;&gt;"",'Deviseur EUROPE'!B91,"")</f>
        <v/>
      </c>
      <c r="G71" s="441" t="str">
        <f>IF(A71&lt;&gt;"",'Deviseur EUROPE'!G91,"")</f>
        <v/>
      </c>
    </row>
    <row r="72" spans="1:7" s="163" customFormat="1">
      <c r="A72" s="329" t="str">
        <f>IF('Deviseur EUROPE'!B92&lt;&gt;0,'Deviseur EUROPE'!A92,"")</f>
        <v/>
      </c>
      <c r="B72" s="429"/>
      <c r="C72" s="454"/>
      <c r="D72" s="455" t="str">
        <f>IF(A72&lt;&gt;"",'Deviseur EUROPE'!C92,"")</f>
        <v/>
      </c>
      <c r="E72" s="454"/>
      <c r="F72" s="448" t="str">
        <f>IF(A72&lt;&gt;"",'Deviseur EUROPE'!B92,"")</f>
        <v/>
      </c>
      <c r="G72" s="441" t="str">
        <f>IF(A72&lt;&gt;"",'Deviseur EUROPE'!G92,"")</f>
        <v/>
      </c>
    </row>
    <row r="73" spans="1:7" s="163" customFormat="1">
      <c r="A73" s="329" t="str">
        <f>IF('Deviseur EUROPE'!B93&lt;&gt;0,'Deviseur EUROPE'!A93,"")</f>
        <v/>
      </c>
      <c r="B73" s="429"/>
      <c r="C73" s="454"/>
      <c r="D73" s="455" t="str">
        <f>IF(A73&lt;&gt;"",'Deviseur EUROPE'!C93,"")</f>
        <v/>
      </c>
      <c r="E73" s="454"/>
      <c r="F73" s="448" t="str">
        <f>IF(A73&lt;&gt;"",'Deviseur EUROPE'!B93,"")</f>
        <v/>
      </c>
      <c r="G73" s="441" t="str">
        <f>IF(A73&lt;&gt;"",'Deviseur EUROPE'!G93,"")</f>
        <v/>
      </c>
    </row>
    <row r="74" spans="1:7" s="163" customFormat="1">
      <c r="A74" s="329" t="str">
        <f>IF('Deviseur EUROPE'!B94&lt;&gt;0,'Deviseur EUROPE'!A94,"")</f>
        <v/>
      </c>
      <c r="B74" s="429"/>
      <c r="C74" s="454"/>
      <c r="D74" s="455" t="str">
        <f>IF(A74&lt;&gt;"",'Deviseur EUROPE'!C94,"")</f>
        <v/>
      </c>
      <c r="E74" s="454"/>
      <c r="F74" s="448" t="str">
        <f>IF(A74&lt;&gt;"",'Deviseur EUROPE'!B94,"")</f>
        <v/>
      </c>
      <c r="G74" s="441" t="str">
        <f>IF(A74&lt;&gt;"",'Deviseur EUROPE'!G94,"")</f>
        <v/>
      </c>
    </row>
    <row r="75" spans="1:7" s="613" customFormat="1">
      <c r="A75" s="329" t="str">
        <f>IF('Deviseur EUROPE'!B95&lt;&gt;0,'Deviseur EUROPE'!A95,"")</f>
        <v/>
      </c>
      <c r="B75" s="803"/>
      <c r="C75" s="456"/>
      <c r="D75" s="455" t="str">
        <f>IF(A75&lt;&gt;"",'Deviseur EUROPE'!C95,"")</f>
        <v/>
      </c>
      <c r="E75" s="448"/>
      <c r="F75" s="448" t="str">
        <f>IF(A75&lt;&gt;"",'Deviseur EUROPE'!B95,"")</f>
        <v/>
      </c>
      <c r="G75" s="441" t="str">
        <f>IF(A75&lt;&gt;"",'Deviseur EUROPE'!G95,"")</f>
        <v/>
      </c>
    </row>
    <row r="76" spans="1:7" s="613" customFormat="1">
      <c r="A76" s="329" t="str">
        <f>IF('Deviseur EUROPE'!B96&lt;&gt;0,'Deviseur EUROPE'!A96,"")</f>
        <v/>
      </c>
      <c r="B76" s="803"/>
      <c r="C76" s="456"/>
      <c r="D76" s="455" t="str">
        <f>IF(A76&lt;&gt;"",'Deviseur EUROPE'!C96,"")</f>
        <v/>
      </c>
      <c r="E76" s="448"/>
      <c r="F76" s="448" t="str">
        <f>IF(A76&lt;&gt;"",'Deviseur EUROPE'!B96,"")</f>
        <v/>
      </c>
      <c r="G76" s="441" t="str">
        <f>IF(A76&lt;&gt;"",'Deviseur EUROPE'!G96,"")</f>
        <v/>
      </c>
    </row>
    <row r="77" spans="1:7" s="613" customFormat="1">
      <c r="A77" s="329" t="str">
        <f>IF('Deviseur EUROPE'!B97&lt;&gt;0,'Deviseur EUROPE'!A97,"")</f>
        <v/>
      </c>
      <c r="B77" s="803"/>
      <c r="C77" s="456"/>
      <c r="D77" s="455" t="str">
        <f>IF(A77&lt;&gt;"",'Deviseur EUROPE'!C97,"")</f>
        <v/>
      </c>
      <c r="E77" s="448"/>
      <c r="F77" s="448" t="str">
        <f>IF(A77&lt;&gt;"",'Deviseur EUROPE'!B97,"")</f>
        <v/>
      </c>
      <c r="G77" s="441" t="str">
        <f>IF(A77&lt;&gt;"",'Deviseur EUROPE'!G97,"")</f>
        <v/>
      </c>
    </row>
    <row r="78" spans="1:7" s="613" customFormat="1">
      <c r="A78" s="329" t="str">
        <f>IF('Deviseur EUROPE'!B124&lt;&gt;0,'Deviseur EUROPE'!A124,"")</f>
        <v/>
      </c>
      <c r="B78" s="872"/>
      <c r="C78" s="456"/>
      <c r="D78" s="455" t="str">
        <f>IF(A78&lt;&gt;"",'Deviseur EUROPE'!C124,"")</f>
        <v/>
      </c>
      <c r="E78" s="448"/>
      <c r="F78" s="448" t="str">
        <f>IF(A78&lt;&gt;"",'Deviseur EUROPE'!B124,"")</f>
        <v/>
      </c>
      <c r="G78" s="441" t="str">
        <f>IF(A78&lt;&gt;"",'Deviseur EUROPE'!G124,"")</f>
        <v/>
      </c>
    </row>
    <row r="79" spans="1:7" s="613" customFormat="1">
      <c r="A79" s="329" t="str">
        <f>IF('Deviseur EUROPE'!B125&lt;&gt;0,'Deviseur EUROPE'!A125,"")</f>
        <v/>
      </c>
      <c r="B79" s="905"/>
      <c r="C79" s="456"/>
      <c r="D79" s="455" t="str">
        <f>IF(A79&lt;&gt;"",'Deviseur EUROPE'!C125,"")</f>
        <v/>
      </c>
      <c r="E79" s="448"/>
      <c r="F79" s="448" t="str">
        <f>IF(A79&lt;&gt;"",'Deviseur EUROPE'!B125,"")</f>
        <v/>
      </c>
      <c r="G79" s="441" t="str">
        <f>IF(A79&lt;&gt;"",'Deviseur EUROPE'!G125,"")</f>
        <v/>
      </c>
    </row>
    <row r="80" spans="1:7" s="613" customFormat="1">
      <c r="A80" s="329" t="str">
        <f>IF('Deviseur EUROPE'!B126&lt;&gt;0,'Deviseur EUROPE'!A126,"")</f>
        <v/>
      </c>
      <c r="B80" s="905"/>
      <c r="C80" s="456"/>
      <c r="D80" s="455" t="str">
        <f>IF(A80&lt;&gt;"",'Deviseur EUROPE'!C126,"")</f>
        <v/>
      </c>
      <c r="E80" s="448"/>
      <c r="F80" s="448" t="str">
        <f>IF(A80&lt;&gt;"",'Deviseur EUROPE'!B126,"")</f>
        <v/>
      </c>
      <c r="G80" s="441" t="str">
        <f>IF(A80&lt;&gt;"",'Deviseur EUROPE'!G126,"")</f>
        <v/>
      </c>
    </row>
    <row r="81" spans="1:7" s="613" customFormat="1">
      <c r="A81" s="329" t="str">
        <f>IF('Deviseur EUROPE'!B127&lt;&gt;0,'Deviseur EUROPE'!A127,"")</f>
        <v/>
      </c>
      <c r="B81" s="905"/>
      <c r="C81" s="456"/>
      <c r="D81" s="455" t="str">
        <f>IF(A81&lt;&gt;"",'Deviseur EUROPE'!C127,"")</f>
        <v/>
      </c>
      <c r="E81" s="448"/>
      <c r="F81" s="448" t="str">
        <f>IF(A81&lt;&gt;"",'Deviseur EUROPE'!B127,"")</f>
        <v/>
      </c>
      <c r="G81" s="441" t="str">
        <f>IF(A81&lt;&gt;"",'Deviseur EUROPE'!G127,"")</f>
        <v/>
      </c>
    </row>
    <row r="82" spans="1:7" s="613" customFormat="1">
      <c r="A82" s="329" t="str">
        <f>IF('Deviseur EUROPE'!B128&lt;&gt;0,'Deviseur EUROPE'!A128,"")</f>
        <v/>
      </c>
      <c r="B82" s="872"/>
      <c r="C82" s="456"/>
      <c r="D82" s="455" t="str">
        <f>IF(A82&lt;&gt;"",'Deviseur EUROPE'!C128,"")</f>
        <v/>
      </c>
      <c r="E82" s="448"/>
      <c r="F82" s="448" t="str">
        <f>IF(A82&lt;&gt;"",'Deviseur EUROPE'!B128,"")</f>
        <v/>
      </c>
      <c r="G82" s="441" t="str">
        <f>IF(A82&lt;&gt;"",'Deviseur EUROPE'!G128,"")</f>
        <v/>
      </c>
    </row>
    <row r="83" spans="1:7" s="613" customFormat="1">
      <c r="A83" s="329" t="str">
        <f>IF('Deviseur EUROPE'!B132&lt;&gt;0,'Deviseur EUROPE'!A132,"")</f>
        <v/>
      </c>
      <c r="B83" s="872"/>
      <c r="C83" s="456"/>
      <c r="D83" s="455" t="str">
        <f>IF(A83&lt;&gt;"",'Deviseur EUROPE'!C132,"")</f>
        <v/>
      </c>
      <c r="E83" s="448"/>
      <c r="F83" s="448" t="str">
        <f>IF(A83&lt;&gt;"",'Deviseur EUROPE'!B132,"")</f>
        <v/>
      </c>
      <c r="G83" s="441" t="str">
        <f>IF(A83&lt;&gt;"",'Deviseur EUROPE'!G132,"")</f>
        <v/>
      </c>
    </row>
    <row r="84" spans="1:7" s="613" customFormat="1">
      <c r="A84" s="329" t="str">
        <f>IF('Deviseur EUROPE'!B133&lt;&gt;0,'Deviseur EUROPE'!A133,"")</f>
        <v/>
      </c>
      <c r="B84" s="872"/>
      <c r="C84" s="456"/>
      <c r="D84" s="455" t="str">
        <f>IF(A84&lt;&gt;"",'Deviseur EUROPE'!C133,"")</f>
        <v/>
      </c>
      <c r="E84" s="448"/>
      <c r="F84" s="448" t="str">
        <f>IF(A84&lt;&gt;"",'Deviseur EUROPE'!B133,"")</f>
        <v/>
      </c>
      <c r="G84" s="441" t="str">
        <f>IF(A84&lt;&gt;"",'Deviseur EUROPE'!G133,"")</f>
        <v/>
      </c>
    </row>
    <row r="85" spans="1:7" s="613" customFormat="1">
      <c r="A85" s="329" t="str">
        <f>IF('Deviseur EUROPE'!B137&lt;&gt;0,'Deviseur EUROPE'!A137,"")</f>
        <v/>
      </c>
      <c r="B85" s="872"/>
      <c r="C85" s="456"/>
      <c r="D85" s="455" t="str">
        <f>IF(A85&lt;&gt;"",'Deviseur EUROPE'!C137,"")</f>
        <v/>
      </c>
      <c r="E85" s="448"/>
      <c r="F85" s="448" t="str">
        <f>IF(A85&lt;&gt;"",'Deviseur EUROPE'!B137,"")</f>
        <v/>
      </c>
      <c r="G85" s="441" t="str">
        <f>IF(A85&lt;&gt;"",'Deviseur EUROPE'!G137,"")</f>
        <v/>
      </c>
    </row>
    <row r="86" spans="1:7" s="613" customFormat="1">
      <c r="A86" s="329" t="str">
        <f>IF('Deviseur EUROPE'!B138&lt;&gt;0,'Deviseur EUROPE'!A138,"")</f>
        <v/>
      </c>
      <c r="B86" s="923"/>
      <c r="C86" s="456"/>
      <c r="D86" s="455" t="str">
        <f>IF(A86&lt;&gt;"",'Deviseur EUROPE'!C138,"")</f>
        <v/>
      </c>
      <c r="E86" s="448"/>
      <c r="F86" s="448" t="str">
        <f>IF(A86&lt;&gt;"",'Deviseur EUROPE'!B138,"")</f>
        <v/>
      </c>
      <c r="G86" s="441" t="str">
        <f>IF(A86&lt;&gt;"",'Deviseur EUROPE'!G138,"")</f>
        <v/>
      </c>
    </row>
    <row r="87" spans="1:7" s="613" customFormat="1">
      <c r="A87" s="925" t="str">
        <f>IF('Deviseur EUROPE'!B445&lt;&gt;0,'Deviseur EUROPE'!A445,"")</f>
        <v/>
      </c>
      <c r="B87" s="926"/>
      <c r="C87" s="930"/>
      <c r="D87" s="931" t="str">
        <f>IF(A87&lt;&gt;"",'Deviseur EUROPE'!C445,"")</f>
        <v/>
      </c>
      <c r="E87" s="928"/>
      <c r="F87" s="928" t="str">
        <f>IF(A87&lt;&gt;"",'Deviseur EUROPE'!B445,"")</f>
        <v/>
      </c>
      <c r="G87" s="932" t="str">
        <f>IF(A87&lt;&gt;"",'Deviseur EUROPE'!E445,"")</f>
        <v/>
      </c>
    </row>
    <row r="88" spans="1:7" s="613" customFormat="1">
      <c r="A88" s="925" t="str">
        <f>IF('Deviseur EUROPE'!B446&lt;&gt;0,'Deviseur EUROPE'!A446,"")</f>
        <v/>
      </c>
      <c r="B88" s="926"/>
      <c r="C88" s="930"/>
      <c r="D88" s="931" t="str">
        <f>IF(A88&lt;&gt;"",'Deviseur EUROPE'!C446,"")</f>
        <v/>
      </c>
      <c r="E88" s="928"/>
      <c r="F88" s="928" t="str">
        <f>IF(A88&lt;&gt;"",'Deviseur EUROPE'!B446,"")</f>
        <v/>
      </c>
      <c r="G88" s="932" t="str">
        <f>IF(A88&lt;&gt;"",'Deviseur EUROPE'!E446,"")</f>
        <v/>
      </c>
    </row>
    <row r="89" spans="1:7" s="613" customFormat="1">
      <c r="A89" s="925" t="str">
        <f>IF('Deviseur EUROPE'!B447&lt;&gt;0,'Deviseur EUROPE'!A447,"")</f>
        <v/>
      </c>
      <c r="B89" s="926"/>
      <c r="C89" s="930"/>
      <c r="D89" s="931" t="str">
        <f>IF(A89&lt;&gt;"",'Deviseur EUROPE'!C447,"")</f>
        <v/>
      </c>
      <c r="E89" s="928"/>
      <c r="F89" s="928" t="str">
        <f>IF(A89&lt;&gt;"",'Deviseur EUROPE'!B447,"")</f>
        <v/>
      </c>
      <c r="G89" s="932" t="str">
        <f>IF(A89&lt;&gt;"",'Deviseur EUROPE'!E447,"")</f>
        <v/>
      </c>
    </row>
    <row r="90" spans="1:7" s="697" customFormat="1">
      <c r="A90" s="925" t="str">
        <f>IF('Deviseur EUROPE'!B448&lt;&gt;0,'Deviseur EUROPE'!A448,"")</f>
        <v/>
      </c>
      <c r="B90" s="926"/>
      <c r="C90" s="930"/>
      <c r="D90" s="931" t="str">
        <f>IF(A90&lt;&gt;"",'Deviseur EUROPE'!C448,"")</f>
        <v/>
      </c>
      <c r="E90" s="928"/>
      <c r="F90" s="928" t="str">
        <f>IF(A90&lt;&gt;"",'Deviseur EUROPE'!B448,"")</f>
        <v/>
      </c>
      <c r="G90" s="932" t="str">
        <f>IF(A90&lt;&gt;"",'Deviseur EUROPE'!E448,"")</f>
        <v/>
      </c>
    </row>
    <row r="91" spans="1:7" s="697" customFormat="1">
      <c r="A91" s="925"/>
      <c r="B91" s="926"/>
      <c r="C91" s="930"/>
      <c r="D91" s="931"/>
      <c r="E91" s="928"/>
      <c r="F91" s="928"/>
      <c r="G91" s="932"/>
    </row>
    <row r="92" spans="1:7" s="697" customFormat="1">
      <c r="A92" s="925" t="str">
        <f>IF('Deviseur EUROPE'!E327&lt;&gt;0,'Deviseur EUROPE'!#REF!,"")</f>
        <v/>
      </c>
      <c r="B92" s="1380"/>
      <c r="C92" s="930"/>
      <c r="D92" s="931" t="str">
        <f>IF(A92&lt;&gt;"",'Deviseur EUROPE'!#REF!,"")</f>
        <v/>
      </c>
      <c r="E92" s="928"/>
      <c r="F92" s="928" t="str">
        <f>IF(A92&lt;&gt;"",'Deviseur EUROPE'!E327,"")</f>
        <v/>
      </c>
      <c r="G92" s="932" t="str">
        <f>IF(A92&lt;&gt;"",'Deviseur EUROPE'!#REF!,"")</f>
        <v/>
      </c>
    </row>
    <row r="93" spans="1:7" s="697" customFormat="1">
      <c r="A93" s="925" t="str">
        <f>IF('Deviseur EUROPE'!E328&lt;&gt;0,'Deviseur EUROPE'!#REF!,"")</f>
        <v/>
      </c>
      <c r="B93" s="1380"/>
      <c r="C93" s="930"/>
      <c r="D93" s="931" t="str">
        <f>IF(A93&lt;&gt;"",'Deviseur EUROPE'!#REF!,"")</f>
        <v/>
      </c>
      <c r="E93" s="928"/>
      <c r="F93" s="928" t="str">
        <f>IF(A93&lt;&gt;"",'Deviseur EUROPE'!E328,"")</f>
        <v/>
      </c>
      <c r="G93" s="932" t="str">
        <f>IF(A93&lt;&gt;"",'Deviseur EUROPE'!#REF!,"")</f>
        <v/>
      </c>
    </row>
    <row r="94" spans="1:7" s="697" customFormat="1">
      <c r="A94" s="925" t="str">
        <f>IF('Deviseur EUROPE'!E329&lt;&gt;0,'Deviseur EUROPE'!#REF!,"")</f>
        <v/>
      </c>
      <c r="B94" s="1380"/>
      <c r="C94" s="930"/>
      <c r="D94" s="931" t="str">
        <f>IF(A94&lt;&gt;"",'Deviseur EUROPE'!#REF!,"")</f>
        <v/>
      </c>
      <c r="E94" s="928"/>
      <c r="F94" s="928" t="str">
        <f>IF(A94&lt;&gt;"",'Deviseur EUROPE'!E329,"")</f>
        <v/>
      </c>
      <c r="G94" s="932" t="str">
        <f>IF(A94&lt;&gt;"",'Deviseur EUROPE'!#REF!,"")</f>
        <v/>
      </c>
    </row>
    <row r="95" spans="1:7" s="613" customFormat="1">
      <c r="A95" s="329"/>
      <c r="B95" s="876"/>
      <c r="C95" s="456"/>
      <c r="D95" s="455"/>
      <c r="E95" s="448"/>
      <c r="F95" s="448"/>
      <c r="G95" s="441"/>
    </row>
    <row r="96" spans="1:7" s="613" customFormat="1">
      <c r="A96" s="267" t="s">
        <v>1055</v>
      </c>
      <c r="B96" s="264"/>
      <c r="C96" s="210"/>
      <c r="D96" s="210" t="s">
        <v>138</v>
      </c>
      <c r="E96" s="210"/>
      <c r="F96" s="210" t="s">
        <v>11</v>
      </c>
      <c r="G96" s="260" t="s">
        <v>40</v>
      </c>
    </row>
    <row r="97" spans="1:7" s="613" customFormat="1">
      <c r="A97" s="329" t="str">
        <f>IF('Deviseur EUROPE'!B102&lt;&gt;0,'Deviseur EUROPE'!A102,"")</f>
        <v/>
      </c>
      <c r="B97" s="876"/>
      <c r="C97" s="456"/>
      <c r="D97" s="455" t="str">
        <f>IF(A97&lt;&gt;"",'Deviseur EUROPE'!C102,"")</f>
        <v/>
      </c>
      <c r="E97" s="448"/>
      <c r="F97" s="448" t="str">
        <f>IF(A97&lt;&gt;"",'Deviseur EUROPE'!B102,"")</f>
        <v/>
      </c>
      <c r="G97" s="441" t="str">
        <f>IF(A97&lt;&gt;"",'Deviseur EUROPE'!G102,"")</f>
        <v/>
      </c>
    </row>
    <row r="98" spans="1:7" s="613" customFormat="1">
      <c r="A98" s="329" t="str">
        <f>IF('Deviseur EUROPE'!B103&lt;&gt;0,'Deviseur EUROPE'!A103,"")</f>
        <v/>
      </c>
      <c r="B98" s="876"/>
      <c r="C98" s="456"/>
      <c r="D98" s="455" t="str">
        <f>IF(A98&lt;&gt;"",'Deviseur EUROPE'!C103,"")</f>
        <v/>
      </c>
      <c r="E98" s="448"/>
      <c r="F98" s="448" t="str">
        <f>IF(A98&lt;&gt;"",'Deviseur EUROPE'!B103,"")</f>
        <v/>
      </c>
      <c r="G98" s="441" t="str">
        <f>IF(A98&lt;&gt;"",'Deviseur EUROPE'!G103,"")</f>
        <v/>
      </c>
    </row>
    <row r="99" spans="1:7" s="613" customFormat="1">
      <c r="A99" s="329" t="str">
        <f>IF('Deviseur EUROPE'!B104&lt;&gt;0,'Deviseur EUROPE'!A104,"")</f>
        <v/>
      </c>
      <c r="B99" s="876"/>
      <c r="C99" s="456"/>
      <c r="D99" s="455" t="str">
        <f>IF(A99&lt;&gt;"",'Deviseur EUROPE'!C104,"")</f>
        <v/>
      </c>
      <c r="E99" s="448"/>
      <c r="F99" s="448" t="str">
        <f>IF(A99&lt;&gt;"",'Deviseur EUROPE'!B104,"")</f>
        <v/>
      </c>
      <c r="G99" s="441" t="str">
        <f>IF(A99&lt;&gt;"",'Deviseur EUROPE'!G104,"")</f>
        <v/>
      </c>
    </row>
    <row r="100" spans="1:7" s="613" customFormat="1">
      <c r="A100" s="329" t="str">
        <f>IF('Deviseur EUROPE'!B105&lt;&gt;0,'Deviseur EUROPE'!A105,"")</f>
        <v/>
      </c>
      <c r="B100" s="876"/>
      <c r="C100" s="456"/>
      <c r="D100" s="455" t="str">
        <f>IF(A100&lt;&gt;"",'Deviseur EUROPE'!C105,"")</f>
        <v/>
      </c>
      <c r="E100" s="448"/>
      <c r="F100" s="448" t="str">
        <f>IF(A100&lt;&gt;"",'Deviseur EUROPE'!B105,"")</f>
        <v/>
      </c>
      <c r="G100" s="441" t="str">
        <f>IF(A100&lt;&gt;"",'Deviseur EUROPE'!G105,"")</f>
        <v/>
      </c>
    </row>
    <row r="101" spans="1:7" s="613" customFormat="1">
      <c r="A101" s="329" t="str">
        <f>IF('Deviseur EUROPE'!B106&lt;&gt;0,'Deviseur EUROPE'!A106,"")</f>
        <v/>
      </c>
      <c r="B101" s="876"/>
      <c r="C101" s="456"/>
      <c r="D101" s="879" t="str">
        <f>IF(A101&lt;&gt;"",'Deviseur EUROPE'!C106,"")</f>
        <v/>
      </c>
      <c r="E101" s="448"/>
      <c r="F101" s="448" t="str">
        <f>IF(A101&lt;&gt;"",'Deviseur EUROPE'!B106,"")</f>
        <v/>
      </c>
      <c r="G101" s="441" t="str">
        <f>IF(A101&lt;&gt;"",'Deviseur EUROPE'!G106,"")</f>
        <v/>
      </c>
    </row>
    <row r="102" spans="1:7" s="613" customFormat="1">
      <c r="A102" s="329" t="str">
        <f>IF('Deviseur EUROPE'!B107&lt;&gt;0,'Deviseur EUROPE'!A107,"")</f>
        <v/>
      </c>
      <c r="B102" s="876"/>
      <c r="C102" s="456"/>
      <c r="D102" s="455" t="str">
        <f>IF(A102&lt;&gt;"",'Deviseur EUROPE'!C107,"")</f>
        <v/>
      </c>
      <c r="E102" s="448"/>
      <c r="F102" s="448" t="str">
        <f>IF(A102&lt;&gt;"",'Deviseur EUROPE'!B107,"")</f>
        <v/>
      </c>
      <c r="G102" s="441" t="str">
        <f>IF(A102&lt;&gt;"",'Deviseur EUROPE'!G107,"")</f>
        <v/>
      </c>
    </row>
    <row r="103" spans="1:7" s="613" customFormat="1">
      <c r="A103" s="329" t="str">
        <f>IF('Deviseur EUROPE'!B108&lt;&gt;0,'Deviseur EUROPE'!A108,"")</f>
        <v/>
      </c>
      <c r="B103" s="876"/>
      <c r="C103" s="456"/>
      <c r="D103" s="455" t="str">
        <f>IF(A103&lt;&gt;"",'Deviseur EUROPE'!C108,"")</f>
        <v/>
      </c>
      <c r="E103" s="448"/>
      <c r="F103" s="448" t="str">
        <f>IF(A103&lt;&gt;"",'Deviseur EUROPE'!B108,"")</f>
        <v/>
      </c>
      <c r="G103" s="441" t="str">
        <f>IF(A103&lt;&gt;"",'Deviseur EUROPE'!G108,"")</f>
        <v/>
      </c>
    </row>
    <row r="104" spans="1:7" s="613" customFormat="1">
      <c r="A104" s="329" t="str">
        <f>IF('Deviseur EUROPE'!B109&lt;&gt;0,'Deviseur EUROPE'!A109,"")</f>
        <v/>
      </c>
      <c r="B104" s="876"/>
      <c r="C104" s="456"/>
      <c r="D104" s="455" t="str">
        <f>IF(A104&lt;&gt;"",'Deviseur EUROPE'!C109,"")</f>
        <v/>
      </c>
      <c r="E104" s="448"/>
      <c r="F104" s="448" t="str">
        <f>IF(A104&lt;&gt;"",'Deviseur EUROPE'!B109,"")</f>
        <v/>
      </c>
      <c r="G104" s="441" t="str">
        <f>IF(A104&lt;&gt;"",'Deviseur EUROPE'!G109,"")</f>
        <v/>
      </c>
    </row>
    <row r="105" spans="1:7" s="613" customFormat="1">
      <c r="A105" s="329" t="str">
        <f>IF('Deviseur EUROPE'!B110&lt;&gt;0,'Deviseur EUROPE'!A110,"")</f>
        <v/>
      </c>
      <c r="B105" s="876"/>
      <c r="C105" s="456"/>
      <c r="D105" s="455" t="str">
        <f>IF(A105&lt;&gt;"",'Deviseur EUROPE'!C110,"")</f>
        <v/>
      </c>
      <c r="E105" s="448"/>
      <c r="F105" s="448" t="str">
        <f>IF(A105&lt;&gt;"",'Deviseur EUROPE'!B110,"")</f>
        <v/>
      </c>
      <c r="G105" s="441" t="str">
        <f>IF(A105&lt;&gt;"",'Deviseur EUROPE'!G110,"")</f>
        <v/>
      </c>
    </row>
    <row r="106" spans="1:7" s="613" customFormat="1">
      <c r="A106" s="329" t="str">
        <f>IF('Deviseur EUROPE'!B111&lt;&gt;0,'Deviseur EUROPE'!A111,"")</f>
        <v/>
      </c>
      <c r="B106" s="876"/>
      <c r="C106" s="456"/>
      <c r="D106" s="455" t="str">
        <f>IF(A106&lt;&gt;"",'Deviseur EUROPE'!C111,"")</f>
        <v/>
      </c>
      <c r="E106" s="448"/>
      <c r="F106" s="448" t="str">
        <f>IF(A106&lt;&gt;"",'Deviseur EUROPE'!B111,"")</f>
        <v/>
      </c>
      <c r="G106" s="441" t="str">
        <f>IF(A106&lt;&gt;"",'Deviseur EUROPE'!G111,"")</f>
        <v/>
      </c>
    </row>
    <row r="107" spans="1:7" s="613" customFormat="1">
      <c r="A107" s="329" t="str">
        <f>IF('Deviseur EUROPE'!B112&lt;&gt;0,'Deviseur EUROPE'!A112,"")</f>
        <v/>
      </c>
      <c r="B107" s="876"/>
      <c r="C107" s="456"/>
      <c r="D107" s="455" t="str">
        <f>IF(A107&lt;&gt;"",'Deviseur EUROPE'!C112,"")</f>
        <v/>
      </c>
      <c r="E107" s="448"/>
      <c r="F107" s="448" t="str">
        <f>IF(A107&lt;&gt;"",'Deviseur EUROPE'!B112,"")</f>
        <v/>
      </c>
      <c r="G107" s="441" t="str">
        <f>IF(A107&lt;&gt;"",'Deviseur EUROPE'!G112,"")</f>
        <v/>
      </c>
    </row>
    <row r="108" spans="1:7" s="613" customFormat="1">
      <c r="A108" s="329" t="str">
        <f>IF('Deviseur EUROPE'!B113&lt;&gt;0,'Deviseur EUROPE'!A113,"")</f>
        <v/>
      </c>
      <c r="B108" s="876"/>
      <c r="C108" s="456"/>
      <c r="D108" s="455" t="str">
        <f>IF(A108&lt;&gt;"",'Deviseur EUROPE'!C113,"")</f>
        <v/>
      </c>
      <c r="E108" s="448"/>
      <c r="F108" s="448" t="str">
        <f>IF(A108&lt;&gt;"",'Deviseur EUROPE'!B113,"")</f>
        <v/>
      </c>
      <c r="G108" s="441" t="str">
        <f>IF(A108&lt;&gt;"",'Deviseur EUROPE'!G113,"")</f>
        <v/>
      </c>
    </row>
    <row r="109" spans="1:7" s="613" customFormat="1">
      <c r="A109" s="329" t="str">
        <f>IF('Deviseur EUROPE'!B114&lt;&gt;0,'Deviseur EUROPE'!A114,"")</f>
        <v/>
      </c>
      <c r="B109" s="876"/>
      <c r="C109" s="456"/>
      <c r="D109" s="455" t="str">
        <f>IF(A109&lt;&gt;"",'Deviseur EUROPE'!C114,"")</f>
        <v/>
      </c>
      <c r="E109" s="448"/>
      <c r="F109" s="448" t="str">
        <f>IF(A109&lt;&gt;"",'Deviseur EUROPE'!B114,"")</f>
        <v/>
      </c>
      <c r="G109" s="441" t="str">
        <f>IF(A109&lt;&gt;"",'Deviseur EUROPE'!G114,"")</f>
        <v/>
      </c>
    </row>
    <row r="110" spans="1:7" s="613" customFormat="1">
      <c r="A110" s="329" t="str">
        <f>IF('Deviseur EUROPE'!B115&lt;&gt;0,'Deviseur EUROPE'!A115,"")</f>
        <v/>
      </c>
      <c r="B110" s="876"/>
      <c r="C110" s="456"/>
      <c r="D110" s="455" t="str">
        <f>IF(A110&lt;&gt;"",'Deviseur EUROPE'!C115,"")</f>
        <v/>
      </c>
      <c r="E110" s="448"/>
      <c r="F110" s="448" t="str">
        <f>IF(A110&lt;&gt;"",'Deviseur EUROPE'!B115,"")</f>
        <v/>
      </c>
      <c r="G110" s="441" t="str">
        <f>IF(A110&lt;&gt;"",'Deviseur EUROPE'!G115,"")</f>
        <v/>
      </c>
    </row>
    <row r="111" spans="1:7" s="613" customFormat="1">
      <c r="A111" s="329" t="str">
        <f>IF('Deviseur EUROPE'!B116&lt;&gt;0,'Deviseur EUROPE'!A116,"")</f>
        <v/>
      </c>
      <c r="B111" s="876"/>
      <c r="C111" s="456"/>
      <c r="D111" s="455" t="str">
        <f>IF(A111&lt;&gt;"",'Deviseur EUROPE'!C116,"")</f>
        <v/>
      </c>
      <c r="E111" s="448"/>
      <c r="F111" s="448" t="str">
        <f>IF(A111&lt;&gt;"",'Deviseur EUROPE'!B116,"")</f>
        <v/>
      </c>
      <c r="G111" s="441" t="str">
        <f>IF(A111&lt;&gt;"",'Deviseur EUROPE'!G116,"")</f>
        <v/>
      </c>
    </row>
    <row r="112" spans="1:7" s="613" customFormat="1">
      <c r="A112" s="329" t="str">
        <f>IF('Deviseur EUROPE'!B117&lt;&gt;0,'Deviseur EUROPE'!A117,"")</f>
        <v/>
      </c>
      <c r="B112" s="876"/>
      <c r="C112" s="456"/>
      <c r="D112" s="455" t="str">
        <f>IF(A112&lt;&gt;"",'Deviseur EUROPE'!C117,"")</f>
        <v/>
      </c>
      <c r="E112" s="448"/>
      <c r="F112" s="448" t="str">
        <f>IF(A112&lt;&gt;"",'Deviseur EUROPE'!B117,"")</f>
        <v/>
      </c>
      <c r="G112" s="441" t="str">
        <f>IF(A112&lt;&gt;"",'Deviseur EUROPE'!G117,"")</f>
        <v/>
      </c>
    </row>
    <row r="113" spans="1:7" s="613" customFormat="1">
      <c r="A113" s="329" t="str">
        <f>IF('Deviseur EUROPE'!B118&lt;&gt;0,'Deviseur EUROPE'!A118,"")</f>
        <v/>
      </c>
      <c r="B113" s="876"/>
      <c r="C113" s="456"/>
      <c r="D113" s="455" t="str">
        <f>IF(A113&lt;&gt;"",'Deviseur EUROPE'!C118,"")</f>
        <v/>
      </c>
      <c r="E113" s="448"/>
      <c r="F113" s="448" t="str">
        <f>IF(A113&lt;&gt;"",'Deviseur EUROPE'!B118,"")</f>
        <v/>
      </c>
      <c r="G113" s="441" t="str">
        <f>IF(A113&lt;&gt;"",'Deviseur EUROPE'!G118,"")</f>
        <v/>
      </c>
    </row>
    <row r="114" spans="1:7" s="613" customFormat="1">
      <c r="A114" s="329" t="str">
        <f>IF('Deviseur EUROPE'!B119&lt;&gt;0,'Deviseur EUROPE'!A119,"")</f>
        <v/>
      </c>
      <c r="B114" s="876"/>
      <c r="C114" s="456"/>
      <c r="D114" s="455" t="str">
        <f>IF(A114&lt;&gt;"",'Deviseur EUROPE'!C119,"")</f>
        <v/>
      </c>
      <c r="E114" s="448"/>
      <c r="F114" s="448" t="str">
        <f>IF(A114&lt;&gt;"",'Deviseur EUROPE'!B119,"")</f>
        <v/>
      </c>
      <c r="G114" s="441" t="str">
        <f>IF(A114&lt;&gt;"",'Deviseur EUROPE'!G119,"")</f>
        <v/>
      </c>
    </row>
    <row r="115" spans="1:7" s="1185" customFormat="1">
      <c r="A115" s="329"/>
      <c r="B115" s="1379"/>
      <c r="C115" s="456"/>
      <c r="D115" s="455"/>
      <c r="E115" s="448"/>
      <c r="F115" s="448"/>
      <c r="G115" s="441"/>
    </row>
    <row r="116" spans="1:7" s="1185" customFormat="1">
      <c r="A116" s="329"/>
      <c r="B116" s="1379"/>
      <c r="C116" s="456"/>
      <c r="D116" s="455"/>
      <c r="E116" s="448"/>
      <c r="F116" s="448"/>
      <c r="G116" s="441"/>
    </row>
    <row r="117" spans="1:7" s="1185" customFormat="1">
      <c r="A117" s="329"/>
      <c r="B117" s="1379"/>
      <c r="C117" s="456"/>
      <c r="D117" s="455"/>
      <c r="E117" s="448"/>
      <c r="F117" s="448"/>
      <c r="G117" s="441"/>
    </row>
    <row r="118" spans="1:7" s="613" customFormat="1">
      <c r="A118" s="329"/>
      <c r="B118" s="1379"/>
      <c r="C118" s="456"/>
      <c r="D118" s="455"/>
      <c r="E118" s="448"/>
      <c r="F118" s="448"/>
      <c r="G118" s="441"/>
    </row>
    <row r="119" spans="1:7" s="163" customFormat="1">
      <c r="A119" s="267" t="s">
        <v>290</v>
      </c>
      <c r="B119" s="264"/>
      <c r="C119" s="210"/>
      <c r="D119" s="210" t="s">
        <v>92</v>
      </c>
      <c r="E119" s="210"/>
      <c r="F119" s="210"/>
      <c r="G119" s="277" t="s">
        <v>28</v>
      </c>
    </row>
    <row r="120" spans="1:7" s="163" customFormat="1">
      <c r="A120" s="329"/>
      <c r="B120" s="429"/>
      <c r="C120" s="455"/>
      <c r="D120" s="448"/>
      <c r="E120" s="448"/>
      <c r="F120" s="431"/>
      <c r="G120" s="441"/>
    </row>
    <row r="121" spans="1:7" s="163" customFormat="1">
      <c r="A121" s="338"/>
      <c r="B121" s="339"/>
      <c r="C121" s="456"/>
      <c r="D121" s="448"/>
      <c r="E121" s="448"/>
      <c r="F121" s="456"/>
      <c r="G121" s="442"/>
    </row>
    <row r="122" spans="1:7" s="613" customFormat="1">
      <c r="A122" s="802"/>
      <c r="B122" s="803"/>
      <c r="C122" s="456"/>
      <c r="D122" s="448"/>
      <c r="E122" s="448"/>
      <c r="F122" s="456"/>
      <c r="G122" s="442"/>
    </row>
    <row r="123" spans="1:7">
      <c r="A123" s="203" t="s">
        <v>77</v>
      </c>
      <c r="B123" s="204"/>
      <c r="C123" s="457"/>
      <c r="D123" s="458"/>
      <c r="E123" s="458"/>
      <c r="F123" s="459"/>
      <c r="G123" s="266"/>
    </row>
    <row r="124" spans="1:7" s="163" customFormat="1">
      <c r="A124" s="267" t="s">
        <v>63</v>
      </c>
      <c r="B124" s="264"/>
      <c r="C124" s="210"/>
      <c r="D124" s="210" t="s">
        <v>313</v>
      </c>
      <c r="E124" s="210"/>
      <c r="F124" s="210" t="s">
        <v>11</v>
      </c>
      <c r="G124" s="260" t="s">
        <v>40</v>
      </c>
    </row>
    <row r="125" spans="1:7" s="163" customFormat="1">
      <c r="A125" s="338" t="str">
        <f>IF('Deviseur EUROPE'!E279&lt;&gt;0,"FAS Connexion Directe","")</f>
        <v/>
      </c>
      <c r="B125" s="433"/>
      <c r="C125" s="456"/>
      <c r="D125" s="448" t="str">
        <f>IF(A125&lt;&gt;"",'Deviseur EUROPE'!C279,"")</f>
        <v/>
      </c>
      <c r="E125" s="454"/>
      <c r="F125" s="448" t="str">
        <f>IF(D125&lt;&gt;"",'Deviseur EUROPE'!B279,"")</f>
        <v/>
      </c>
      <c r="G125" s="443" t="str">
        <f>IF(A125&lt;&gt;"",'Deviseur EUROPE'!E279,"")</f>
        <v/>
      </c>
    </row>
    <row r="126" spans="1:7" s="163" customFormat="1">
      <c r="A126" s="338" t="str">
        <f>IF('Deviseur EUROPE'!B280&lt;&gt;0,"FAS Connexion Directe","")</f>
        <v/>
      </c>
      <c r="B126" s="339"/>
      <c r="C126" s="456"/>
      <c r="D126" s="448" t="str">
        <f>IF(A126&lt;&gt;"",'Deviseur EUROPE'!C280," ")</f>
        <v xml:space="preserve"> </v>
      </c>
      <c r="E126" s="454"/>
      <c r="F126" s="448" t="str">
        <f>IF(A126&lt;&gt;"",'Deviseur EUROPE'!B280,"")</f>
        <v/>
      </c>
      <c r="G126" s="443" t="str">
        <f>IF(A126&lt;&gt;"",'Deviseur EUROPE'!E280,"")</f>
        <v/>
      </c>
    </row>
    <row r="127" spans="1:7" s="613" customFormat="1">
      <c r="A127" s="1049" t="str">
        <f>IF('Deviseur EUROPE'!B284&lt;&gt;0,"FAS Connexion Directe","")</f>
        <v/>
      </c>
      <c r="B127" s="1048"/>
      <c r="C127" s="456"/>
      <c r="D127" s="448" t="str">
        <f>IF(A127&lt;&gt;"",'Deviseur EUROPE'!C284," ")</f>
        <v xml:space="preserve"> </v>
      </c>
      <c r="E127" s="454"/>
      <c r="F127" s="448" t="str">
        <f>IF(A127&lt;&gt;"",'Deviseur EUROPE'!B284,"")</f>
        <v/>
      </c>
      <c r="G127" s="443" t="str">
        <f>IF(A127&lt;&gt;"",'Deviseur EUROPE'!E284,"")</f>
        <v/>
      </c>
    </row>
    <row r="128" spans="1:7" s="613" customFormat="1">
      <c r="A128" s="1049" t="str">
        <f>IF('Deviseur EUROPE'!B285&lt;&gt;0,"FAS Connexion Directe","")</f>
        <v/>
      </c>
      <c r="B128" s="1048"/>
      <c r="C128" s="456"/>
      <c r="D128" s="448" t="str">
        <f>IF(A128&lt;&gt;"",'Deviseur EUROPE'!C285," ")</f>
        <v xml:space="preserve"> </v>
      </c>
      <c r="E128" s="454"/>
      <c r="F128" s="448" t="str">
        <f>IF(A128&lt;&gt;"",'Deviseur EUROPE'!B285,"")</f>
        <v/>
      </c>
      <c r="G128" s="443" t="str">
        <f>IF(A128&lt;&gt;"",'Deviseur EUROPE'!E285,"")</f>
        <v/>
      </c>
    </row>
    <row r="129" spans="1:7" s="163" customFormat="1">
      <c r="A129" s="329" t="str">
        <f>IF('Deviseur EUROPE'!D289&lt;&gt;0,'Deviseur EUROPE'!A288,"")</f>
        <v/>
      </c>
      <c r="B129" s="429"/>
      <c r="C129" s="456"/>
      <c r="D129" s="448"/>
      <c r="E129" s="454"/>
      <c r="F129" s="448" t="str">
        <f>IF(A129&lt;&gt;"",'Deviseur EUROPE'!B289+'Deviseur EUROPE'!B290&amp;" interventions","")</f>
        <v/>
      </c>
      <c r="G129" s="443" t="str">
        <f>IF(A129&lt;&gt;"",'Deviseur EUROPE'!C289+'Deviseur EUROPE'!C290,"")</f>
        <v/>
      </c>
    </row>
    <row r="130" spans="1:7">
      <c r="A130" s="473"/>
      <c r="B130" s="320"/>
      <c r="C130" s="320"/>
      <c r="D130" s="474"/>
      <c r="E130" s="474"/>
      <c r="F130" s="475"/>
      <c r="G130" s="476"/>
    </row>
    <row r="131" spans="1:7" s="163" customFormat="1">
      <c r="A131" s="233"/>
      <c r="B131" s="233"/>
      <c r="C131" s="233"/>
      <c r="D131" s="155"/>
      <c r="E131" s="155"/>
      <c r="F131" s="236"/>
      <c r="G131" s="253"/>
    </row>
    <row r="132" spans="1:7" s="39" customFormat="1">
      <c r="A132"/>
      <c r="B132"/>
      <c r="C132"/>
      <c r="D132"/>
      <c r="E132" s="2161" t="s">
        <v>50</v>
      </c>
      <c r="F132" s="2162"/>
      <c r="G132" s="252">
        <f>SUM(G60:G130)</f>
        <v>0</v>
      </c>
    </row>
    <row r="133" spans="1:7">
      <c r="E133" s="2163" t="s">
        <v>51</v>
      </c>
      <c r="F133" s="2164"/>
      <c r="G133" s="86">
        <f>G132*F135</f>
        <v>0</v>
      </c>
    </row>
    <row r="134" spans="1:7" s="39" customFormat="1">
      <c r="A134"/>
      <c r="B134"/>
      <c r="C134"/>
      <c r="D134"/>
      <c r="E134" s="2158" t="s">
        <v>52</v>
      </c>
      <c r="F134" s="2159"/>
      <c r="G134" s="87">
        <f>SUM(G132:G133)</f>
        <v>0</v>
      </c>
    </row>
    <row r="135" spans="1:7" s="3" customFormat="1">
      <c r="A135" s="2166"/>
      <c r="B135" s="2166"/>
      <c r="C135" s="79"/>
      <c r="D135" s="83"/>
      <c r="E135" s="324" t="s">
        <v>391</v>
      </c>
      <c r="F135" s="553">
        <v>0.2</v>
      </c>
      <c r="G135" s="83"/>
    </row>
    <row r="136" spans="1:7" s="39" customFormat="1">
      <c r="A136" s="153"/>
      <c r="B136" s="153"/>
      <c r="C136" s="79"/>
      <c r="D136" s="83"/>
      <c r="E136" s="326"/>
      <c r="F136" s="327" t="str">
        <f>IF('Deviseur EUROPE'!B5&lt;&gt;0%,"Remise appliquée de "&amp;'Deviseur EUROPE'!B5*100&amp;"% soit :","")</f>
        <v/>
      </c>
      <c r="G136" s="478" t="str">
        <f>IF('Deviseur EUROPE'!B5&lt;&gt;0%,ROUND(SUM(D18,D22)-SUM(G18,G22),2)&amp;" €","")</f>
        <v/>
      </c>
    </row>
    <row r="137" spans="1:7" s="163" customFormat="1" ht="17.399999999999999">
      <c r="A137" s="160" t="s">
        <v>154</v>
      </c>
      <c r="B137" s="83"/>
      <c r="C137" s="83"/>
      <c r="G137" s="79"/>
    </row>
    <row r="138" spans="1:7" s="163" customFormat="1" ht="17.399999999999999">
      <c r="A138" s="160"/>
      <c r="B138" s="83"/>
      <c r="C138" s="83"/>
      <c r="G138" s="79"/>
    </row>
    <row r="139" spans="1:7" s="39" customFormat="1">
      <c r="A139" s="268" t="s">
        <v>153</v>
      </c>
      <c r="B139" s="265"/>
      <c r="C139" s="265"/>
      <c r="D139" s="205"/>
      <c r="E139" s="205"/>
      <c r="F139" s="205"/>
      <c r="G139" s="207"/>
    </row>
    <row r="140" spans="1:7">
      <c r="A140" s="267" t="s">
        <v>2563</v>
      </c>
      <c r="B140" s="264"/>
      <c r="C140" s="264"/>
      <c r="D140" s="210"/>
      <c r="E140" s="210"/>
      <c r="F140" s="210" t="s">
        <v>11</v>
      </c>
      <c r="G140" s="277" t="s">
        <v>28</v>
      </c>
    </row>
    <row r="141" spans="1:7">
      <c r="A141" s="329" t="str">
        <f>IF('Deviseur EUROPE'!B206&lt;&gt;0,'Deviseur EUROPE'!A206,"")</f>
        <v/>
      </c>
      <c r="B141" s="429"/>
      <c r="C141" s="429"/>
      <c r="D141" s="448"/>
      <c r="E141" s="454"/>
      <c r="F141" s="450" t="str">
        <f>IF(A141&lt;&gt;"",IF('Deviseur EUROPE'!B206&lt;1000,'Deviseur EUROPE'!B206&amp;" Go",'Deviseur EUROPE'!B206&amp;" Go"),"")</f>
        <v/>
      </c>
      <c r="G141" s="441" t="str">
        <f>IF(A141&lt;&gt;"",'Deviseur EUROPE'!C206,"")</f>
        <v/>
      </c>
    </row>
    <row r="142" spans="1:7" s="613" customFormat="1">
      <c r="A142" s="329" t="str">
        <f>IF('Deviseur EUROPE'!B207&lt;&gt;0,'Deviseur EUROPE'!A207,"")</f>
        <v/>
      </c>
      <c r="B142" s="429"/>
      <c r="C142" s="429"/>
      <c r="D142" s="448"/>
      <c r="E142" s="454"/>
      <c r="F142" s="450" t="str">
        <f>IF(A142&lt;&gt;"",IF('Deviseur EUROPE'!B207&lt;1000,'Deviseur EUROPE'!B207&amp;" Go",'Deviseur EUROPE'!B207&amp;" Go"),"")</f>
        <v/>
      </c>
      <c r="G142" s="441" t="str">
        <f>IF(A142&lt;&gt;"",'Deviseur EUROPE'!C207,"")</f>
        <v/>
      </c>
    </row>
    <row r="143" spans="1:7" s="163" customFormat="1">
      <c r="A143" s="329" t="str">
        <f>IF('Deviseur EUROPE'!C212+'Deviseur EUROPE'!C213&lt;&gt;0,'Deviseur EUROPE'!A211,"")</f>
        <v/>
      </c>
      <c r="B143" s="429"/>
      <c r="C143" s="429"/>
      <c r="D143" s="448"/>
      <c r="E143" s="454"/>
      <c r="F143" s="450" t="str">
        <f>IF(A143&lt;&gt;"",'Deviseur EUROPE'!B212+'Deviseur EUROPE'!B213&amp;" tranches","")</f>
        <v/>
      </c>
      <c r="G143" s="441" t="str">
        <f>IF(A143&lt;&gt;"",'Deviseur EUROPE'!C212+'Deviseur EUROPE'!C213,"")</f>
        <v/>
      </c>
    </row>
    <row r="144" spans="1:7">
      <c r="A144" s="329" t="str">
        <f>IF('Deviseur EUROPE'!B155&lt;&gt;0,'Deviseur EUROPE'!A155,"")</f>
        <v/>
      </c>
      <c r="B144" s="429"/>
      <c r="C144" s="429"/>
      <c r="D144" s="448"/>
      <c r="E144" s="454"/>
      <c r="F144" s="450" t="str">
        <f>IF(A144&lt;&gt;"",'Deviseur EUROPE'!B155&amp;" Go","")</f>
        <v/>
      </c>
      <c r="G144" s="441" t="str">
        <f>IF(A144&lt;&gt;"",'Deviseur EUROPE'!C155,"")</f>
        <v/>
      </c>
    </row>
    <row r="145" spans="1:7" s="613" customFormat="1">
      <c r="A145" s="329" t="str">
        <f>IF('Deviseur EUROPE'!B156&lt;&gt;0,'Deviseur EUROPE'!A156,"")</f>
        <v/>
      </c>
      <c r="B145" s="429"/>
      <c r="C145" s="429"/>
      <c r="D145" s="448"/>
      <c r="E145" s="454"/>
      <c r="F145" s="450" t="str">
        <f>IF(A145&lt;&gt;"",'Deviseur EUROPE'!B156&amp;" Go","")</f>
        <v/>
      </c>
      <c r="G145" s="441" t="str">
        <f>IF(A145&lt;&gt;"",'Deviseur EUROPE'!C156,"")</f>
        <v/>
      </c>
    </row>
    <row r="146" spans="1:7">
      <c r="A146" s="329" t="str">
        <f>IF('Deviseur EUROPE'!B157&lt;&gt;0,'Deviseur EUROPE'!A157,"")</f>
        <v/>
      </c>
      <c r="B146" s="429"/>
      <c r="C146" s="429"/>
      <c r="D146" s="448"/>
      <c r="E146" s="454"/>
      <c r="F146" s="450" t="str">
        <f>IF(A146&lt;&gt;"",'Deviseur EUROPE'!B157&amp;" Go","")</f>
        <v/>
      </c>
      <c r="G146" s="441" t="str">
        <f>IF(A146&lt;&gt;"",'Deviseur EUROPE'!C157,"")</f>
        <v/>
      </c>
    </row>
    <row r="147" spans="1:7" s="613" customFormat="1">
      <c r="A147" s="329" t="str">
        <f>IF('Deviseur EUROPE'!B158&lt;&gt;0,'Deviseur EUROPE'!A158,"")</f>
        <v/>
      </c>
      <c r="B147" s="429"/>
      <c r="C147" s="429"/>
      <c r="D147" s="448"/>
      <c r="E147" s="454"/>
      <c r="F147" s="450" t="str">
        <f>IF(A147&lt;&gt;"",'Deviseur EUROPE'!B158&amp;" Go","")</f>
        <v/>
      </c>
      <c r="G147" s="441" t="str">
        <f>IF(A147&lt;&gt;"",'Deviseur EUROPE'!C158,"")</f>
        <v/>
      </c>
    </row>
    <row r="148" spans="1:7" s="1489" customFormat="1">
      <c r="A148" s="329" t="str">
        <f>IF('Deviseur EUROPE'!B159&lt;&gt;0,'Deviseur EUROPE'!A159,"")</f>
        <v/>
      </c>
      <c r="B148" s="429"/>
      <c r="C148" s="429"/>
      <c r="D148" s="448"/>
      <c r="E148" s="454"/>
      <c r="F148" s="450" t="str">
        <f>IF(A148&lt;&gt;"",'Deviseur EUROPE'!B159&amp;" Go","")</f>
        <v/>
      </c>
      <c r="G148" s="441" t="str">
        <f>IF(A148&lt;&gt;"",'Deviseur EUROPE'!C159,"")</f>
        <v/>
      </c>
    </row>
    <row r="149" spans="1:7" s="1489" customFormat="1">
      <c r="A149" s="329" t="str">
        <f>IF('Deviseur EUROPE'!B160&lt;&gt;0,'Deviseur EUROPE'!A160,"")</f>
        <v/>
      </c>
      <c r="B149" s="429"/>
      <c r="C149" s="429"/>
      <c r="D149" s="448"/>
      <c r="E149" s="454"/>
      <c r="F149" s="450" t="str">
        <f>IF(A149&lt;&gt;"",'Deviseur EUROPE'!B160&amp;" Go","")</f>
        <v/>
      </c>
      <c r="G149" s="441" t="str">
        <f>IF(A149&lt;&gt;"",'Deviseur EUROPE'!C160,"")</f>
        <v/>
      </c>
    </row>
    <row r="150" spans="1:7">
      <c r="A150" s="329" t="str">
        <f>IF('Deviseur EUROPE'!B163&lt;&gt;0,'Deviseur EUROPE'!A163,"")</f>
        <v/>
      </c>
      <c r="B150" s="429"/>
      <c r="C150" s="429"/>
      <c r="D150" s="448"/>
      <c r="E150" s="454"/>
      <c r="F150" s="450" t="str">
        <f>IF(A150&lt;&gt;"",'Deviseur EUROPE'!B163&amp;" Go","")</f>
        <v/>
      </c>
      <c r="G150" s="441" t="str">
        <f>IF(A150&lt;&gt;"",'Deviseur EUROPE'!C163,"")</f>
        <v/>
      </c>
    </row>
    <row r="151" spans="1:7" s="613" customFormat="1">
      <c r="A151" s="329" t="str">
        <f>IF('Deviseur EUROPE'!B164&lt;&gt;0,'Deviseur EUROPE'!A164,"")</f>
        <v/>
      </c>
      <c r="B151" s="429"/>
      <c r="C151" s="429"/>
      <c r="D151" s="448"/>
      <c r="E151" s="454"/>
      <c r="F151" s="450" t="str">
        <f>IF(A151&lt;&gt;"",'Deviseur EUROPE'!B164&amp;" Go","")</f>
        <v/>
      </c>
      <c r="G151" s="441" t="str">
        <f>IF(A151&lt;&gt;"",'Deviseur EUROPE'!C164,"")</f>
        <v/>
      </c>
    </row>
    <row r="152" spans="1:7" s="613" customFormat="1">
      <c r="A152" s="329" t="str">
        <f>IF('Deviseur EUROPE'!B165&lt;&gt;0,'Deviseur EUROPE'!A165,"")</f>
        <v/>
      </c>
      <c r="B152" s="429"/>
      <c r="C152" s="429"/>
      <c r="D152" s="448"/>
      <c r="E152" s="454"/>
      <c r="F152" s="450" t="str">
        <f>IF(A152&lt;&gt;"",'Deviseur EUROPE'!B165&amp;" Go","")</f>
        <v/>
      </c>
      <c r="G152" s="441" t="str">
        <f>IF(A152&lt;&gt;"",'Deviseur EUROPE'!C165,"")</f>
        <v/>
      </c>
    </row>
    <row r="153" spans="1:7" s="613" customFormat="1">
      <c r="A153" s="329" t="str">
        <f>IF('Deviseur EUROPE'!B168&lt;&gt;0,'Deviseur EUROPE'!A168,"")</f>
        <v/>
      </c>
      <c r="B153" s="429"/>
      <c r="C153" s="429"/>
      <c r="D153" s="327"/>
      <c r="E153" s="450" t="str">
        <f>IF(A153&lt;&gt;"",('Deviseur EUROPE'!B168)&amp;" serveurs","")</f>
        <v/>
      </c>
      <c r="F153" s="431"/>
      <c r="G153" s="442" t="str">
        <f>IF(A153&lt;&gt;"",'Deviseur EUROPE'!F168,"")</f>
        <v/>
      </c>
    </row>
    <row r="154" spans="1:7" s="613" customFormat="1">
      <c r="A154" s="329" t="str">
        <f>IF('Deviseur EUROPE'!B169&lt;&gt;0,'Deviseur EUROPE'!A169,"")</f>
        <v/>
      </c>
      <c r="B154" s="429"/>
      <c r="C154" s="429"/>
      <c r="D154" s="327"/>
      <c r="E154" s="450" t="str">
        <f>IF(A154&lt;&gt;"",('Deviseur EUROPE'!B169)&amp;" serveurs","")</f>
        <v/>
      </c>
      <c r="F154" s="431"/>
      <c r="G154" s="442" t="str">
        <f>IF(A154&lt;&gt;"",'Deviseur EUROPE'!F169,"")</f>
        <v/>
      </c>
    </row>
    <row r="155" spans="1:7" s="333" customFormat="1">
      <c r="A155" s="329" t="str">
        <f>IF('Deviseur EUROPE'!B201&lt;&gt;0,'Deviseur EUROPE'!A201,"")</f>
        <v/>
      </c>
      <c r="B155" s="429"/>
      <c r="C155" s="429"/>
      <c r="D155" s="448"/>
      <c r="E155" s="454"/>
      <c r="F155" s="450" t="str">
        <f>IF(A155&lt;&gt;"",('Deviseur EUROPE'!B201)&amp;" Go","")</f>
        <v/>
      </c>
      <c r="G155" s="442" t="str">
        <f>IF(A155&lt;&gt;"",'Deviseur EUROPE'!C201,"")</f>
        <v/>
      </c>
    </row>
    <row r="156" spans="1:7" s="613" customFormat="1">
      <c r="A156" s="329" t="str">
        <f>IF('Deviseur EUROPE'!B202&lt;&gt;0,'Deviseur EUROPE'!A202,"")</f>
        <v/>
      </c>
      <c r="B156" s="429"/>
      <c r="C156" s="429"/>
      <c r="D156" s="448"/>
      <c r="E156" s="454"/>
      <c r="F156" s="450" t="str">
        <f>IF(A156&lt;&gt;"",('Deviseur EUROPE'!B202)&amp;" Go","")</f>
        <v/>
      </c>
      <c r="G156" s="442" t="str">
        <f>IF(A156&lt;&gt;"",'Deviseur EUROPE'!C202,"")</f>
        <v/>
      </c>
    </row>
    <row r="157" spans="1:7" s="613" customFormat="1">
      <c r="A157" s="329" t="str">
        <f>IF('Deviseur EUROPE'!B203&lt;&gt;0,'Deviseur EUROPE'!A203,"")</f>
        <v/>
      </c>
      <c r="B157" s="429"/>
      <c r="C157" s="429"/>
      <c r="D157" s="448"/>
      <c r="E157" s="454"/>
      <c r="F157" s="450" t="str">
        <f>IF(A157&lt;&gt;"",('Deviseur EUROPE'!B203)&amp;" Go","")</f>
        <v/>
      </c>
      <c r="G157" s="442" t="str">
        <f>IF(A157&lt;&gt;"",'Deviseur EUROPE'!C203,"")</f>
        <v/>
      </c>
    </row>
    <row r="158" spans="1:7" s="1185" customFormat="1">
      <c r="A158" s="329" t="str">
        <f>IF('Deviseur EUROPE'!G179&lt;&gt;0,'Deviseur EUROPE'!A177,"")</f>
        <v/>
      </c>
      <c r="B158" s="429"/>
      <c r="C158" s="429"/>
      <c r="D158" s="448"/>
      <c r="E158" s="454"/>
      <c r="F158" s="450" t="str">
        <f>IF(A158&lt;&gt;"",('Deviseur EUROPE'!A179)&amp;" Go","")</f>
        <v/>
      </c>
      <c r="G158" s="442" t="str">
        <f>IF(A158&lt;&gt;"",'Deviseur EUROPE'!G179,"")</f>
        <v/>
      </c>
    </row>
    <row r="159" spans="1:7" s="333" customFormat="1">
      <c r="A159" s="329" t="str">
        <f>IF('Deviseur EUROPE'!H183&lt;&gt;0,'Deviseur EUROPE'!A181,"")</f>
        <v/>
      </c>
      <c r="B159" s="429"/>
      <c r="C159" s="429"/>
      <c r="D159" s="448"/>
      <c r="E159" s="454"/>
      <c r="F159" s="450" t="str">
        <f>IF(A159&lt;&gt;"",('Deviseur EUROPE'!A183)&amp;" Go","")</f>
        <v/>
      </c>
      <c r="G159" s="442" t="str">
        <f>IF(A159&lt;&gt;"",'Deviseur EUROPE'!H183,"")</f>
        <v/>
      </c>
    </row>
    <row r="160" spans="1:7" s="613" customFormat="1" hidden="1">
      <c r="A160" s="329" t="str">
        <f>IF('Deviseur EUROPE'!B174&lt;&gt;0,'Deviseur EUROPE'!A174,"")</f>
        <v/>
      </c>
      <c r="B160" s="429"/>
      <c r="C160" s="429"/>
      <c r="D160" s="448"/>
      <c r="E160" s="454"/>
      <c r="F160" s="450" t="str">
        <f>IF(A160&lt;&gt;"",('Deviseur EUROPE'!B174)&amp;" Go","")</f>
        <v/>
      </c>
      <c r="G160" s="442" t="str">
        <f>IF(A160&lt;&gt;"",'Deviseur EUROPE'!C174,"")</f>
        <v/>
      </c>
    </row>
    <row r="161" spans="1:7" s="333" customFormat="1">
      <c r="A161" s="329" t="str">
        <f>IF('Deviseur EUROPE'!B191&lt;&gt;0,'Deviseur EUROPE'!A191,"")</f>
        <v/>
      </c>
      <c r="B161" s="429"/>
      <c r="C161" s="429"/>
      <c r="D161" s="448"/>
      <c r="E161" s="454"/>
      <c r="F161" s="450" t="str">
        <f>IF(A161&lt;&gt;"",('Deviseur EUROPE'!B191)&amp;" VM","")</f>
        <v/>
      </c>
      <c r="G161" s="442" t="str">
        <f>IF(A161&lt;&gt;"",'Deviseur EUROPE'!C191,"")</f>
        <v/>
      </c>
    </row>
    <row r="162" spans="1:7" s="613" customFormat="1">
      <c r="A162" s="329" t="str">
        <f>IF('Deviseur EUROPE'!B195&lt;&gt;0,'Deviseur EUROPE'!A195,"")</f>
        <v/>
      </c>
      <c r="B162" s="429"/>
      <c r="C162" s="429"/>
      <c r="D162" s="448"/>
      <c r="E162" s="454"/>
      <c r="F162" s="450" t="str">
        <f>IF(A162&lt;&gt;"",('Deviseur EUROPE'!B195)&amp;" GB","")</f>
        <v/>
      </c>
      <c r="G162" s="442" t="str">
        <f>IF(A162&lt;&gt;"",'Deviseur EUROPE'!C195,"")</f>
        <v/>
      </c>
    </row>
    <row r="163" spans="1:7" s="613" customFormat="1">
      <c r="A163" s="329" t="str">
        <f>IF('Deviseur EUROPE'!B196&lt;&gt;0,'Deviseur EUROPE'!A196,"")</f>
        <v/>
      </c>
      <c r="B163" s="429"/>
      <c r="C163" s="429"/>
      <c r="D163" s="448"/>
      <c r="E163" s="454"/>
      <c r="F163" s="450" t="str">
        <f>IF(A163&lt;&gt;"",('Deviseur EUROPE'!B196)&amp;" VM","")</f>
        <v/>
      </c>
      <c r="G163" s="442" t="str">
        <f>IF(A163&lt;&gt;"",'Deviseur EUROPE'!C196,"")</f>
        <v/>
      </c>
    </row>
    <row r="164" spans="1:7" s="333" customFormat="1">
      <c r="A164" s="329" t="str">
        <f>IF('Deviseur EUROPE'!B208&lt;&gt;0,'Deviseur EUROPE'!A208,"")</f>
        <v/>
      </c>
      <c r="B164" s="429"/>
      <c r="C164" s="429"/>
      <c r="D164" s="448"/>
      <c r="E164" s="454"/>
      <c r="F164" s="450" t="str">
        <f>IF(A164&lt;&gt;"",('Deviseur EUROPE'!B208)&amp;" Go","")</f>
        <v/>
      </c>
      <c r="G164" s="442" t="str">
        <f>IF(A164&lt;&gt;"",'Deviseur EUROPE'!C208,"")</f>
        <v/>
      </c>
    </row>
    <row r="165" spans="1:7" s="333" customFormat="1">
      <c r="A165" s="329" t="str">
        <f>IF('Deviseur EUROPE'!B209&lt;&gt;0,'Deviseur EUROPE'!A209,"")</f>
        <v/>
      </c>
      <c r="B165" s="429"/>
      <c r="C165" s="429"/>
      <c r="D165" s="448"/>
      <c r="E165" s="454"/>
      <c r="F165" s="450" t="str">
        <f>IF(A165&lt;&gt;"",('Deviseur EUROPE'!B209)&amp;" Go","")</f>
        <v/>
      </c>
      <c r="G165" s="442" t="str">
        <f>IF(A165&lt;&gt;"",'Deviseur EUROPE'!C209,"")</f>
        <v/>
      </c>
    </row>
    <row r="166" spans="1:7" s="333" customFormat="1">
      <c r="A166" s="329" t="str">
        <f>IF('Deviseur EUROPE'!B214&lt;&gt;0,'Deviseur EUROPE'!A214,"")</f>
        <v/>
      </c>
      <c r="B166" s="429"/>
      <c r="C166" s="429"/>
      <c r="D166" s="448"/>
      <c r="E166" s="454"/>
      <c r="F166" s="450" t="str">
        <f>IF(A166&lt;&gt;"",('Deviseur EUROPE'!B214)&amp;" tranches","")</f>
        <v/>
      </c>
      <c r="G166" s="442" t="str">
        <f>IF(A166&lt;&gt;"",'Deviseur EUROPE'!C214,"")</f>
        <v/>
      </c>
    </row>
    <row r="167" spans="1:7" s="333" customFormat="1">
      <c r="A167" s="329" t="str">
        <f>IF('Deviseur EUROPE'!B215&lt;&gt;0,'Deviseur EUROPE'!A215,"")</f>
        <v/>
      </c>
      <c r="B167" s="429"/>
      <c r="C167" s="429"/>
      <c r="D167" s="448"/>
      <c r="E167" s="454"/>
      <c r="F167" s="450" t="str">
        <f>IF(A167&lt;&gt;"",('Deviseur EUROPE'!B215)&amp;" tranches","")</f>
        <v/>
      </c>
      <c r="G167" s="442" t="str">
        <f>IF(A167&lt;&gt;"",'Deviseur EUROPE'!C215,"")</f>
        <v/>
      </c>
    </row>
    <row r="168" spans="1:7" s="333" customFormat="1">
      <c r="A168" s="329" t="str">
        <f>IF('Deviseur EUROPE'!B216&lt;&gt;0,'Deviseur EUROPE'!A216,"")</f>
        <v/>
      </c>
      <c r="B168" s="429"/>
      <c r="C168" s="429"/>
      <c r="D168" s="448"/>
      <c r="E168" s="454"/>
      <c r="F168" s="450" t="str">
        <f>IF(A168&lt;&gt;"",('Deviseur EUROPE'!B216)&amp;" tranches","")</f>
        <v/>
      </c>
      <c r="G168" s="442" t="str">
        <f>IF(A168&lt;&gt;"",'Deviseur EUROPE'!C216,"")</f>
        <v/>
      </c>
    </row>
    <row r="169" spans="1:7" s="333" customFormat="1">
      <c r="A169" s="329" t="str">
        <f>IF('Deviseur EUROPE'!B217&lt;&gt;0,'Deviseur EUROPE'!A217,"")</f>
        <v/>
      </c>
      <c r="B169" s="429"/>
      <c r="C169" s="429"/>
      <c r="D169" s="448"/>
      <c r="E169" s="454"/>
      <c r="F169" s="450" t="str">
        <f>IF(A169&lt;&gt;"",('Deviseur EUROPE'!B217)&amp;" tranches","")</f>
        <v/>
      </c>
      <c r="G169" s="442" t="str">
        <f>IF(A169&lt;&gt;"",'Deviseur EUROPE'!C217,"")</f>
        <v/>
      </c>
    </row>
    <row r="170" spans="1:7" s="333" customFormat="1">
      <c r="A170" s="329" t="str">
        <f>IF('Deviseur EUROPE'!B218&lt;&gt;0,'Deviseur EUROPE'!A218,"")</f>
        <v/>
      </c>
      <c r="B170" s="429"/>
      <c r="C170" s="429"/>
      <c r="D170" s="448"/>
      <c r="E170" s="454"/>
      <c r="F170" s="450" t="str">
        <f>IF(A170&lt;&gt;"",('Deviseur EUROPE'!B218)&amp;" tranches","")</f>
        <v/>
      </c>
      <c r="G170" s="442" t="str">
        <f>IF(A170&lt;&gt;"",'Deviseur EUROPE'!C218,"")</f>
        <v/>
      </c>
    </row>
    <row r="171" spans="1:7" s="333" customFormat="1">
      <c r="A171" s="329" t="str">
        <f>IF('Deviseur EUROPE'!B223&lt;&gt;0,'Deviseur EUROPE'!A223,"")</f>
        <v/>
      </c>
      <c r="B171" s="429"/>
      <c r="C171" s="429"/>
      <c r="D171" s="448"/>
      <c r="E171" s="454"/>
      <c r="F171" s="450" t="str">
        <f>IF(A171&lt;&gt;"",('Deviseur EUROPE'!B223)&amp;" Go","")</f>
        <v/>
      </c>
      <c r="G171" s="442" t="str">
        <f>IF(A171&lt;&gt;"",'Deviseur EUROPE'!C223,"")</f>
        <v/>
      </c>
    </row>
    <row r="172" spans="1:7" s="163" customFormat="1">
      <c r="A172" s="329" t="str">
        <f>IF('Deviseur EUROPE'!B224&lt;&gt;0,'Deviseur EUROPE'!A224,"")</f>
        <v/>
      </c>
      <c r="B172" s="429"/>
      <c r="C172" s="429"/>
      <c r="D172" s="448"/>
      <c r="E172" s="454"/>
      <c r="F172" s="450" t="str">
        <f>IF(A172&lt;&gt;"",('Deviseur EUROPE'!B224)&amp;" Go","")</f>
        <v/>
      </c>
      <c r="G172" s="442" t="str">
        <f>IF(A172&lt;&gt;"",'Deviseur EUROPE'!C224,"")</f>
        <v/>
      </c>
    </row>
    <row r="173" spans="1:7" s="333" customFormat="1">
      <c r="A173" s="329" t="str">
        <f>IF('Deviseur EUROPE'!B225&lt;&gt;0,'Deviseur EUROPE'!A225,"")</f>
        <v/>
      </c>
      <c r="B173" s="429"/>
      <c r="C173" s="429"/>
      <c r="D173" s="448"/>
      <c r="E173" s="454"/>
      <c r="F173" s="450" t="str">
        <f>IF(A173&lt;&gt;"",('Deviseur EUROPE'!B225)&amp;" tranches","")</f>
        <v/>
      </c>
      <c r="G173" s="442" t="str">
        <f>IF(A173&lt;&gt;"",'Deviseur EUROPE'!C225,"")</f>
        <v/>
      </c>
    </row>
    <row r="174" spans="1:7" s="333" customFormat="1">
      <c r="A174" s="329" t="str">
        <f>IF('Deviseur EUROPE'!B226&lt;&gt;0,'Deviseur EUROPE'!A226,"")</f>
        <v/>
      </c>
      <c r="B174" s="429"/>
      <c r="C174" s="429"/>
      <c r="D174" s="448"/>
      <c r="E174" s="454"/>
      <c r="F174" s="450" t="str">
        <f>IF(A174&lt;&gt;"",('Deviseur EUROPE'!B226)&amp;" Go","")</f>
        <v/>
      </c>
      <c r="G174" s="442" t="str">
        <f>IF(A174&lt;&gt;"",'Deviseur EUROPE'!C226,"")</f>
        <v/>
      </c>
    </row>
    <row r="175" spans="1:7" s="333" customFormat="1">
      <c r="A175" s="329" t="str">
        <f>IF('Deviseur EUROPE'!B227&lt;&gt;0,'Deviseur EUROPE'!A227,"")</f>
        <v/>
      </c>
      <c r="B175" s="429"/>
      <c r="C175" s="429"/>
      <c r="D175" s="448"/>
      <c r="E175" s="454"/>
      <c r="F175" s="450" t="str">
        <f>IF(A175&lt;&gt;"",('Deviseur EUROPE'!B227)&amp;" tranches","")</f>
        <v/>
      </c>
      <c r="G175" s="442" t="str">
        <f>IF(A175&lt;&gt;"",'Deviseur EUROPE'!C227,"")</f>
        <v/>
      </c>
    </row>
    <row r="176" spans="1:7" s="333" customFormat="1">
      <c r="A176" s="329" t="str">
        <f>IF('Deviseur EUROPE'!B228&lt;&gt;0,'Deviseur EUROPE'!A228,"")</f>
        <v/>
      </c>
      <c r="B176" s="429"/>
      <c r="C176" s="429"/>
      <c r="D176" s="448"/>
      <c r="E176" s="454"/>
      <c r="F176" s="450" t="str">
        <f>IF(A176&lt;&gt;"",('Deviseur EUROPE'!B228)&amp;" Go","")</f>
        <v/>
      </c>
      <c r="G176" s="442" t="str">
        <f>IF(A176&lt;&gt;"",'Deviseur EUROPE'!C228,"")</f>
        <v/>
      </c>
    </row>
    <row r="177" spans="1:7" s="333" customFormat="1">
      <c r="A177" s="329" t="str">
        <f>IF('Deviseur EUROPE'!B229&lt;&gt;0,'Deviseur EUROPE'!A229,"")</f>
        <v/>
      </c>
      <c r="B177" s="429"/>
      <c r="C177" s="429"/>
      <c r="D177" s="448"/>
      <c r="E177" s="454"/>
      <c r="F177" s="450" t="str">
        <f>IF(A177&lt;&gt;"",('Deviseur EUROPE'!B229)&amp;" tranches","")</f>
        <v/>
      </c>
      <c r="G177" s="442" t="str">
        <f>IF(A177&lt;&gt;"",'Deviseur EUROPE'!C229,"")</f>
        <v/>
      </c>
    </row>
    <row r="178" spans="1:7" s="613" customFormat="1">
      <c r="A178" s="329" t="str">
        <f>IF('Deviseur EUROPE'!C233&lt;&gt;0,'Deviseur EUROPE'!A232,"")</f>
        <v/>
      </c>
      <c r="B178" s="429"/>
      <c r="C178" s="429"/>
      <c r="D178" s="448"/>
      <c r="E178" s="454"/>
      <c r="F178" s="450" t="str">
        <f>IF(A178&lt;&gt;"",('Deviseur EUROPE'!B233)&amp;" Go","")</f>
        <v/>
      </c>
      <c r="G178" s="442" t="str">
        <f>IF(A178&lt;&gt;"",'Deviseur EUROPE'!C233,"")</f>
        <v/>
      </c>
    </row>
    <row r="179" spans="1:7" s="613" customFormat="1">
      <c r="A179" s="329" t="str">
        <f>IF('Deviseur EUROPE'!C241&lt;&gt;0,'Deviseur EUROPE'!A236,"")</f>
        <v/>
      </c>
      <c r="B179" s="429"/>
      <c r="C179" s="429"/>
      <c r="D179" s="448"/>
      <c r="E179" s="454"/>
      <c r="F179" s="450"/>
      <c r="G179" s="442" t="str">
        <f>IF(A179&lt;&gt;"",'Deviseur EUROPE'!C241,"")</f>
        <v/>
      </c>
    </row>
    <row r="180" spans="1:7" s="1489" customFormat="1">
      <c r="A180" s="329" t="str">
        <f>IF('Deviseur EUROPE'!C249&lt;&gt;0,'Deviseur EUROPE'!A243,"")</f>
        <v/>
      </c>
      <c r="B180" s="429"/>
      <c r="C180" s="429"/>
      <c r="D180" s="448"/>
      <c r="E180" s="454"/>
      <c r="F180" s="450"/>
      <c r="G180" s="442" t="str">
        <f>IF(A180&lt;&gt;"",'Deviseur EUROPE'!C249,"")</f>
        <v/>
      </c>
    </row>
    <row r="181" spans="1:7" s="1489" customFormat="1">
      <c r="A181" s="329" t="str">
        <f>IF('Deviseur EUROPE'!C253&lt;&gt;0,'Deviseur EUROPE'!A251,"")</f>
        <v/>
      </c>
      <c r="B181" s="429"/>
      <c r="C181" s="429"/>
      <c r="D181" s="448"/>
      <c r="E181" s="454"/>
      <c r="F181" s="450"/>
      <c r="G181" s="442" t="str">
        <f>IF(A181&lt;&gt;"",'Deviseur EUROPE'!C253,"")</f>
        <v/>
      </c>
    </row>
    <row r="182" spans="1:7" s="1489" customFormat="1">
      <c r="A182" s="329" t="str">
        <f>IF('Deviseur EUROPE'!C257&lt;&gt;0,'Deviseur EUROPE'!A255,"")</f>
        <v/>
      </c>
      <c r="B182" s="429"/>
      <c r="C182" s="429"/>
      <c r="D182" s="448"/>
      <c r="E182" s="454" t="str">
        <f>IF(A182&lt;&gt;"",('Deviseur EUROPE'!B257)&amp;" heures","")</f>
        <v/>
      </c>
      <c r="F182" s="450"/>
      <c r="G182" s="442" t="str">
        <f>IF(A182&lt;&gt;"",'Deviseur EUROPE'!C257,"")</f>
        <v/>
      </c>
    </row>
    <row r="183" spans="1:7" s="1489" customFormat="1">
      <c r="A183" s="329" t="str">
        <f>IF('Deviseur EUROPE'!C261&lt;&gt;0,'Deviseur EUROPE'!A259,"")</f>
        <v/>
      </c>
      <c r="B183" s="429"/>
      <c r="C183" s="429"/>
      <c r="D183" s="448"/>
      <c r="E183" s="454" t="str">
        <f>IF(A183&lt;&gt;"","Edition "&amp;('Deviseur EUROPE'!A261),"")</f>
        <v/>
      </c>
      <c r="F183" s="450" t="str">
        <f>IF(A183&lt;&gt;"",('Deviseur EUROPE'!B261),"")</f>
        <v/>
      </c>
      <c r="G183" s="442" t="str">
        <f>IF(A183&lt;&gt;"",'Deviseur EUROPE'!C261,"")</f>
        <v/>
      </c>
    </row>
    <row r="184" spans="1:7">
      <c r="A184" s="267" t="s">
        <v>152</v>
      </c>
      <c r="B184" s="264"/>
      <c r="C184" s="182"/>
      <c r="D184" s="210" t="s">
        <v>8</v>
      </c>
      <c r="E184" s="453" t="s">
        <v>9</v>
      </c>
      <c r="F184" s="210" t="s">
        <v>11</v>
      </c>
      <c r="G184" s="277" t="s">
        <v>28</v>
      </c>
    </row>
    <row r="185" spans="1:7">
      <c r="A185" s="329" t="str">
        <f>IF('Deviseur EUROPE'!B19&lt;&gt;0,'Deviseur EUROPE'!A19,"")</f>
        <v/>
      </c>
      <c r="B185" s="429"/>
      <c r="C185" s="326"/>
      <c r="D185" s="448" t="str">
        <f>IF(A185&lt;&gt;"",'Deviseur EUROPE'!D19,"")</f>
        <v/>
      </c>
      <c r="E185" s="471" t="str">
        <f>IF(A185&lt;&gt;"",'Deviseur EUROPE'!C19,"")</f>
        <v/>
      </c>
      <c r="F185" s="448" t="str">
        <f>IF(A185&lt;&gt;"",'Deviseur EUROPE'!B19,"")</f>
        <v/>
      </c>
      <c r="G185" s="441" t="str">
        <f>IF(A185&lt;&gt;"",'Deviseur EUROPE'!F19,"")</f>
        <v/>
      </c>
    </row>
    <row r="186" spans="1:7">
      <c r="A186" s="329" t="str">
        <f>IF('Deviseur EUROPE'!B20&lt;&gt;0,'Deviseur EUROPE'!A20,"")</f>
        <v/>
      </c>
      <c r="B186" s="429"/>
      <c r="C186" s="326"/>
      <c r="D186" s="448" t="str">
        <f>IF(A186&lt;&gt;"",'Deviseur EUROPE'!D20,"")</f>
        <v/>
      </c>
      <c r="E186" s="471" t="str">
        <f>IF(A186&lt;&gt;"",'Deviseur EUROPE'!C20,"")</f>
        <v/>
      </c>
      <c r="F186" s="448" t="str">
        <f>IF(A186&lt;&gt;"",'Deviseur EUROPE'!B20,"")</f>
        <v/>
      </c>
      <c r="G186" s="441" t="str">
        <f>IF(A186&lt;&gt;"",'Deviseur EUROPE'!F20,"")</f>
        <v/>
      </c>
    </row>
    <row r="187" spans="1:7">
      <c r="A187" s="329" t="str">
        <f>IF('Deviseur EUROPE'!B21&lt;&gt;0,'Deviseur EUROPE'!A21,"")</f>
        <v/>
      </c>
      <c r="B187" s="429"/>
      <c r="C187" s="326"/>
      <c r="D187" s="448" t="str">
        <f>IF(A187&lt;&gt;"",'Deviseur EUROPE'!D21,"")</f>
        <v/>
      </c>
      <c r="E187" s="471" t="str">
        <f>IF(A187&lt;&gt;"",'Deviseur EUROPE'!C21,"")</f>
        <v/>
      </c>
      <c r="F187" s="448" t="str">
        <f>IF(A187&lt;&gt;"",'Deviseur EUROPE'!B21,"")</f>
        <v/>
      </c>
      <c r="G187" s="441" t="str">
        <f>IF(A187&lt;&gt;"",'Deviseur EUROPE'!F21,"")</f>
        <v/>
      </c>
    </row>
    <row r="188" spans="1:7" s="39" customFormat="1">
      <c r="A188" s="329" t="str">
        <f>IF('Deviseur EUROPE'!B22&lt;&gt;0,'Deviseur EUROPE'!A22,"")</f>
        <v/>
      </c>
      <c r="B188" s="429"/>
      <c r="C188" s="326"/>
      <c r="D188" s="448" t="str">
        <f>IF(A188&lt;&gt;"",'Deviseur EUROPE'!D22,"")</f>
        <v/>
      </c>
      <c r="E188" s="471" t="str">
        <f>IF(A188&lt;&gt;"",'Deviseur EUROPE'!C22,"")</f>
        <v/>
      </c>
      <c r="F188" s="448" t="str">
        <f>IF(A188&lt;&gt;"",'Deviseur EUROPE'!B22,"")</f>
        <v/>
      </c>
      <c r="G188" s="441" t="str">
        <f>IF(A188&lt;&gt;"",'Deviseur EUROPE'!F22,"")</f>
        <v/>
      </c>
    </row>
    <row r="189" spans="1:7" s="39" customFormat="1">
      <c r="A189" s="329" t="str">
        <f>IF('Deviseur EUROPE'!B23&lt;&gt;0,'Deviseur EUROPE'!A23,"")</f>
        <v/>
      </c>
      <c r="B189" s="429"/>
      <c r="C189" s="326"/>
      <c r="D189" s="448" t="str">
        <f>IF(A189&lt;&gt;"",'Deviseur EUROPE'!D23,"")</f>
        <v/>
      </c>
      <c r="E189" s="471" t="str">
        <f>IF(A189&lt;&gt;"",'Deviseur EUROPE'!C23,"")</f>
        <v/>
      </c>
      <c r="F189" s="448" t="str">
        <f>IF(A189&lt;&gt;"",'Deviseur EUROPE'!B23,"")</f>
        <v/>
      </c>
      <c r="G189" s="441" t="str">
        <f>IF(A189&lt;&gt;"",'Deviseur EUROPE'!F23,"")</f>
        <v/>
      </c>
    </row>
    <row r="190" spans="1:7" s="39" customFormat="1">
      <c r="A190" s="329" t="str">
        <f>IF('Deviseur EUROPE'!B25&lt;&gt;0,'Deviseur EUROPE'!A25,"")</f>
        <v/>
      </c>
      <c r="B190" s="429"/>
      <c r="C190" s="326"/>
      <c r="D190" s="448" t="str">
        <f>IF(A190&lt;&gt;"",'Deviseur EUROPE'!D25,"")</f>
        <v/>
      </c>
      <c r="E190" s="471" t="str">
        <f>IF(A190&lt;&gt;"",'Deviseur EUROPE'!C24,"")</f>
        <v/>
      </c>
      <c r="F190" s="448" t="str">
        <f>IF(A190&lt;&gt;"",'Deviseur EUROPE'!B25,"")</f>
        <v/>
      </c>
      <c r="G190" s="441" t="str">
        <f>IF(A190&lt;&gt;"",'Deviseur EUROPE'!F25,"")</f>
        <v/>
      </c>
    </row>
    <row r="191" spans="1:7" s="39" customFormat="1">
      <c r="A191" s="329" t="str">
        <f>IF('Deviseur EUROPE'!B26&lt;&gt;0,'Deviseur EUROPE'!A26,"")</f>
        <v/>
      </c>
      <c r="B191" s="429"/>
      <c r="C191" s="326"/>
      <c r="D191" s="448" t="str">
        <f>IF(A191&lt;&gt;"",'Deviseur EUROPE'!D26,"")</f>
        <v/>
      </c>
      <c r="E191" s="471" t="str">
        <f>IF(A191&lt;&gt;"",'Deviseur EUROPE'!C25,"")</f>
        <v/>
      </c>
      <c r="F191" s="448" t="str">
        <f>IF(A191&lt;&gt;"",'Deviseur EUROPE'!B26,"")</f>
        <v/>
      </c>
      <c r="G191" s="441" t="str">
        <f>IF(A191&lt;&gt;"",'Deviseur EUROPE'!F26,"")</f>
        <v/>
      </c>
    </row>
    <row r="192" spans="1:7">
      <c r="A192" s="329" t="str">
        <f>IF('Deviseur EUROPE'!B27&lt;&gt;0,'Deviseur EUROPE'!A27,"")</f>
        <v/>
      </c>
      <c r="B192" s="429"/>
      <c r="C192" s="326"/>
      <c r="D192" s="448" t="str">
        <f>IF(A192&lt;&gt;"",'Deviseur EUROPE'!D27,"")</f>
        <v/>
      </c>
      <c r="E192" s="471" t="str">
        <f>IF(A192&lt;&gt;"",'Deviseur EUROPE'!C26,"")</f>
        <v/>
      </c>
      <c r="F192" s="448" t="str">
        <f>IF(A192&lt;&gt;"",'Deviseur EUROPE'!B27,"")</f>
        <v/>
      </c>
      <c r="G192" s="441" t="str">
        <f>IF(A192&lt;&gt;"",'Deviseur EUROPE'!F27,"")</f>
        <v/>
      </c>
    </row>
    <row r="193" spans="1:7" s="39" customFormat="1">
      <c r="A193" s="329" t="str">
        <f>IF('Deviseur EUROPE'!B28&lt;&gt;0,'Deviseur EUROPE'!A28,"")</f>
        <v/>
      </c>
      <c r="B193" s="429"/>
      <c r="C193" s="326"/>
      <c r="D193" s="448" t="str">
        <f>IF(A193&lt;&gt;"",'Deviseur EUROPE'!D28,"")</f>
        <v/>
      </c>
      <c r="E193" s="471" t="str">
        <f>IF(A193&lt;&gt;"",'Deviseur EUROPE'!C27,"")</f>
        <v/>
      </c>
      <c r="F193" s="448" t="str">
        <f>IF(A193&lt;&gt;"",'Deviseur EUROPE'!B28,"")</f>
        <v/>
      </c>
      <c r="G193" s="441" t="str">
        <f>IF(A193&lt;&gt;"",'Deviseur EUROPE'!F28,"")</f>
        <v/>
      </c>
    </row>
    <row r="194" spans="1:7" s="39" customFormat="1">
      <c r="A194" s="329" t="str">
        <f>IF('Deviseur EUROPE'!B29&lt;&gt;0,'Deviseur EUROPE'!A29,"")</f>
        <v/>
      </c>
      <c r="B194" s="429"/>
      <c r="C194" s="326"/>
      <c r="D194" s="448" t="str">
        <f>IF(A194&lt;&gt;"",'Deviseur EUROPE'!D29,"")</f>
        <v/>
      </c>
      <c r="E194" s="471" t="str">
        <f>IF(A194&lt;&gt;"",'Deviseur EUROPE'!C28,"")</f>
        <v/>
      </c>
      <c r="F194" s="448" t="str">
        <f>IF(A194&lt;&gt;"",'Deviseur EUROPE'!B29,"")</f>
        <v/>
      </c>
      <c r="G194" s="441" t="str">
        <f>IF(A194&lt;&gt;"",'Deviseur EUROPE'!F29,"")</f>
        <v/>
      </c>
    </row>
    <row r="195" spans="1:7">
      <c r="A195" s="329" t="str">
        <f>IF('Deviseur EUROPE'!B30&lt;&gt;0,'Deviseur EUROPE'!A30,"")</f>
        <v/>
      </c>
      <c r="B195" s="429"/>
      <c r="C195" s="326"/>
      <c r="D195" s="448" t="str">
        <f>IF(A195&lt;&gt;"",'Deviseur EUROPE'!D30,"")</f>
        <v/>
      </c>
      <c r="E195" s="471" t="str">
        <f>IF(A195&lt;&gt;"",'Deviseur EUROPE'!C29,"")</f>
        <v/>
      </c>
      <c r="F195" s="448" t="str">
        <f>IF(A195&lt;&gt;"",'Deviseur EUROPE'!B30,"")</f>
        <v/>
      </c>
      <c r="G195" s="441" t="str">
        <f>IF(A195&lt;&gt;"",'Deviseur EUROPE'!F30,"")</f>
        <v/>
      </c>
    </row>
    <row r="196" spans="1:7">
      <c r="A196" s="329" t="str">
        <f>IF('Deviseur EUROPE'!B31&lt;&gt;0,'Deviseur EUROPE'!A31,"")</f>
        <v/>
      </c>
      <c r="B196" s="429"/>
      <c r="C196" s="326"/>
      <c r="D196" s="448" t="str">
        <f>IF(A196&lt;&gt;"",'Deviseur EUROPE'!D31,"")</f>
        <v/>
      </c>
      <c r="E196" s="471" t="str">
        <f>IF(A196&lt;&gt;"",'Deviseur EUROPE'!C30,"")</f>
        <v/>
      </c>
      <c r="F196" s="448" t="str">
        <f>IF(A196&lt;&gt;"",'Deviseur EUROPE'!B31,"")</f>
        <v/>
      </c>
      <c r="G196" s="441" t="str">
        <f>IF(A196&lt;&gt;"",'Deviseur EUROPE'!F31,"")</f>
        <v/>
      </c>
    </row>
    <row r="197" spans="1:7">
      <c r="A197" s="329" t="str">
        <f>IF('Deviseur EUROPE'!B32&lt;&gt;0,'Deviseur EUROPE'!A32,"")</f>
        <v/>
      </c>
      <c r="B197" s="429"/>
      <c r="C197" s="326"/>
      <c r="D197" s="448" t="str">
        <f>IF(A197&lt;&gt;"",'Deviseur EUROPE'!D32,"")</f>
        <v/>
      </c>
      <c r="E197" s="471" t="str">
        <f>IF(A197&lt;&gt;"",'Deviseur EUROPE'!C31,"")</f>
        <v/>
      </c>
      <c r="F197" s="448" t="str">
        <f>IF(A197&lt;&gt;"",'Deviseur EUROPE'!B32,"")</f>
        <v/>
      </c>
      <c r="G197" s="441" t="str">
        <f>IF(A197&lt;&gt;"",'Deviseur EUROPE'!F32,"")</f>
        <v/>
      </c>
    </row>
    <row r="198" spans="1:7">
      <c r="A198" s="329" t="str">
        <f>IF('Deviseur EUROPE'!B33&lt;&gt;0,'Deviseur EUROPE'!A33,"")</f>
        <v/>
      </c>
      <c r="B198" s="429"/>
      <c r="C198" s="326"/>
      <c r="D198" s="448" t="str">
        <f>IF(A198&lt;&gt;"",'Deviseur EUROPE'!D33,"")</f>
        <v/>
      </c>
      <c r="E198" s="471" t="str">
        <f>IF(A198&lt;&gt;"",'Deviseur EUROPE'!C32,"")</f>
        <v/>
      </c>
      <c r="F198" s="448" t="str">
        <f>IF(A198&lt;&gt;"",'Deviseur EUROPE'!B33,"")</f>
        <v/>
      </c>
      <c r="G198" s="441" t="str">
        <f>IF(A198&lt;&gt;"",'Deviseur EUROPE'!F33,"")</f>
        <v/>
      </c>
    </row>
    <row r="199" spans="1:7">
      <c r="A199" s="329" t="str">
        <f>IF('Deviseur EUROPE'!B34&lt;&gt;0,'Deviseur EUROPE'!A34,"")</f>
        <v/>
      </c>
      <c r="B199" s="429"/>
      <c r="C199" s="326"/>
      <c r="D199" s="448" t="str">
        <f>IF(A199&lt;&gt;"",'Deviseur EUROPE'!D34,"")</f>
        <v/>
      </c>
      <c r="E199" s="471" t="str">
        <f>IF(A199&lt;&gt;"",'Deviseur EUROPE'!C33,"")</f>
        <v/>
      </c>
      <c r="F199" s="448" t="str">
        <f>IF(A199&lt;&gt;"",'Deviseur EUROPE'!B34,"")</f>
        <v/>
      </c>
      <c r="G199" s="441" t="str">
        <f>IF(A199&lt;&gt;"",'Deviseur EUROPE'!F34,"")</f>
        <v/>
      </c>
    </row>
    <row r="200" spans="1:7" s="39" customFormat="1">
      <c r="A200" s="338"/>
      <c r="B200" s="339"/>
      <c r="C200" s="326"/>
      <c r="D200" s="448" t="str">
        <f>IF(A200&lt;&gt;"",IF('Deviseur EUROPE'!D35='Deviseur EUROPE'!$V$19,"Linux",IF('Deviseur EUROPE'!D35='Deviseur EUROPE'!$V$20,"Windows",IF('Deviseur EUROPE'!D35='Deviseur EUROPE'!$V$21,"Suse",IF('Deviseur EUROPE'!D35='Deviseur EUROPE'!$V$22,"Hadoop",IF('Deviseur EUROPE'!D35='Deviseur EUROPE'!$V$23,"RedHat","DBaaS MySQL"))))),"")</f>
        <v/>
      </c>
      <c r="E200" s="471" t="str">
        <f>IF(A200&lt;&gt;"",'Deviseur EUROPE'!C34,"")</f>
        <v/>
      </c>
      <c r="F200" s="448"/>
      <c r="G200" s="442"/>
    </row>
    <row r="201" spans="1:7" s="163" customFormat="1">
      <c r="A201" s="267" t="s">
        <v>1008</v>
      </c>
      <c r="B201" s="264"/>
      <c r="C201" s="182"/>
      <c r="D201" s="210" t="s">
        <v>8</v>
      </c>
      <c r="E201" s="210"/>
      <c r="F201" s="210" t="s">
        <v>11</v>
      </c>
      <c r="G201" s="277" t="s">
        <v>28</v>
      </c>
    </row>
    <row r="202" spans="1:7" s="163" customFormat="1">
      <c r="A202" s="462" t="str">
        <f>IF('Deviseur EUROPE'!F52&lt;&gt;0,'Deviseur EUROPE'!A52,"")</f>
        <v/>
      </c>
      <c r="B202" s="463"/>
      <c r="C202" s="430"/>
      <c r="D202" s="466" t="str">
        <f>IF(A202&lt;&gt;"",'Deviseur EUROPE'!D52,"")</f>
        <v/>
      </c>
      <c r="E202" s="454"/>
      <c r="F202" s="466" t="str">
        <f>IF(A202&lt;&gt;"",'Deviseur EUROPE'!B52,"")</f>
        <v/>
      </c>
      <c r="G202" s="461" t="str">
        <f>IF(A202&lt;&gt;"",'Deviseur EUROPE'!F52,"")</f>
        <v/>
      </c>
    </row>
    <row r="203" spans="1:7" s="163" customFormat="1">
      <c r="A203" s="462" t="str">
        <f>IF('Deviseur EUROPE'!F53&lt;&gt;0,'Deviseur EUROPE'!A53,"")</f>
        <v/>
      </c>
      <c r="B203" s="463"/>
      <c r="C203" s="430"/>
      <c r="D203" s="466" t="str">
        <f>IF(A203&lt;&gt;"",'Deviseur EUROPE'!D53,"")</f>
        <v/>
      </c>
      <c r="E203" s="454"/>
      <c r="F203" s="466" t="str">
        <f>IF(A203&lt;&gt;"",'Deviseur EUROPE'!B53,"")</f>
        <v/>
      </c>
      <c r="G203" s="461" t="str">
        <f>IF(A203&lt;&gt;"",'Deviseur EUROPE'!F53,"")</f>
        <v/>
      </c>
    </row>
    <row r="204" spans="1:7" s="613" customFormat="1">
      <c r="A204" s="462"/>
      <c r="B204" s="463"/>
      <c r="C204" s="430"/>
      <c r="D204" s="466"/>
      <c r="E204" s="454"/>
      <c r="F204" s="466"/>
      <c r="G204" s="461"/>
    </row>
    <row r="205" spans="1:7" s="613" customFormat="1">
      <c r="A205" s="267" t="s">
        <v>1024</v>
      </c>
      <c r="B205" s="264"/>
      <c r="C205" s="182"/>
      <c r="D205" s="210" t="s">
        <v>8</v>
      </c>
      <c r="E205" s="210"/>
      <c r="F205" s="210" t="s">
        <v>11</v>
      </c>
      <c r="G205" s="277" t="s">
        <v>28</v>
      </c>
    </row>
    <row r="206" spans="1:7" s="163" customFormat="1">
      <c r="A206" s="462" t="str">
        <f>IF('Deviseur EUROPE'!F124&lt;&gt;0,'Deviseur EUROPE'!A124,"")</f>
        <v/>
      </c>
      <c r="B206" s="468"/>
      <c r="C206" s="469"/>
      <c r="D206" s="466" t="str">
        <f>IF(A206&lt;&gt;"",'Deviseur EUROPE'!D124,"")</f>
        <v/>
      </c>
      <c r="E206" s="454"/>
      <c r="F206" s="466" t="str">
        <f>IF(A206&lt;&gt;"",'Deviseur EUROPE'!B124,"")</f>
        <v/>
      </c>
      <c r="G206" s="470" t="str">
        <f>IF(A206&lt;&gt;"",'Deviseur EUROPE'!F124,"")</f>
        <v/>
      </c>
    </row>
    <row r="207" spans="1:7" s="613" customFormat="1">
      <c r="A207" s="462" t="str">
        <f>IF('Deviseur EUROPE'!F125&lt;&gt;0,'Deviseur EUROPE'!A125,"")</f>
        <v/>
      </c>
      <c r="B207" s="468"/>
      <c r="C207" s="469"/>
      <c r="D207" s="466" t="str">
        <f>IF(A207&lt;&gt;"",'Deviseur EUROPE'!D125,"")</f>
        <v/>
      </c>
      <c r="E207" s="454"/>
      <c r="F207" s="466" t="str">
        <f>IF(A207&lt;&gt;"",'Deviseur EUROPE'!B125,"")</f>
        <v/>
      </c>
      <c r="G207" s="470" t="str">
        <f>IF(A207&lt;&gt;"",'Deviseur EUROPE'!F125,"")</f>
        <v/>
      </c>
    </row>
    <row r="208" spans="1:7" s="613" customFormat="1">
      <c r="A208" s="462" t="str">
        <f>IF('Deviseur EUROPE'!F126&lt;&gt;0,'Deviseur EUROPE'!A126,"")</f>
        <v/>
      </c>
      <c r="B208" s="468"/>
      <c r="C208" s="469"/>
      <c r="D208" s="466" t="str">
        <f>IF(A208&lt;&gt;"",'Deviseur EUROPE'!D126,"")</f>
        <v/>
      </c>
      <c r="E208" s="454"/>
      <c r="F208" s="466" t="str">
        <f>IF(A208&lt;&gt;"",'Deviseur EUROPE'!B126,"")</f>
        <v/>
      </c>
      <c r="G208" s="470" t="str">
        <f>IF(A208&lt;&gt;"",'Deviseur EUROPE'!F126,"")</f>
        <v/>
      </c>
    </row>
    <row r="209" spans="1:7" s="613" customFormat="1">
      <c r="A209" s="462" t="str">
        <f>IF('Deviseur EUROPE'!F127&lt;&gt;0,'Deviseur EUROPE'!A127,"")</f>
        <v/>
      </c>
      <c r="B209" s="468"/>
      <c r="C209" s="469"/>
      <c r="D209" s="466" t="str">
        <f>IF(A209&lt;&gt;"",'Deviseur EUROPE'!D127,"")</f>
        <v/>
      </c>
      <c r="E209" s="454"/>
      <c r="F209" s="466" t="str">
        <f>IF(A209&lt;&gt;"",'Deviseur EUROPE'!B127,"")</f>
        <v/>
      </c>
      <c r="G209" s="470" t="str">
        <f>IF(A209&lt;&gt;"",'Deviseur EUROPE'!F127,"")</f>
        <v/>
      </c>
    </row>
    <row r="210" spans="1:7" s="613" customFormat="1">
      <c r="A210" s="462" t="str">
        <f>IF('Deviseur EUROPE'!F128&lt;&gt;0,'Deviseur EUROPE'!A128,"")</f>
        <v/>
      </c>
      <c r="B210" s="468"/>
      <c r="C210" s="469"/>
      <c r="D210" s="466" t="str">
        <f>IF(A210&lt;&gt;"",'Deviseur EUROPE'!D128,"")</f>
        <v/>
      </c>
      <c r="E210" s="454"/>
      <c r="F210" s="466" t="str">
        <f>IF(A210&lt;&gt;"",'Deviseur EUROPE'!B128,"")</f>
        <v/>
      </c>
      <c r="G210" s="470" t="str">
        <f>IF(A210&lt;&gt;"",'Deviseur EUROPE'!F128,"")</f>
        <v/>
      </c>
    </row>
    <row r="211" spans="1:7" s="613" customFormat="1">
      <c r="A211" s="467"/>
      <c r="B211" s="468"/>
      <c r="C211" s="469"/>
      <c r="D211" s="466"/>
      <c r="E211" s="454"/>
      <c r="F211" s="466"/>
      <c r="G211" s="470"/>
    </row>
    <row r="212" spans="1:7" s="163" customFormat="1">
      <c r="A212" s="267" t="s">
        <v>151</v>
      </c>
      <c r="B212" s="264"/>
      <c r="C212" s="237"/>
      <c r="D212" s="210" t="s">
        <v>8</v>
      </c>
      <c r="E212" s="210"/>
      <c r="F212" s="210" t="s">
        <v>11</v>
      </c>
      <c r="G212" s="277" t="s">
        <v>28</v>
      </c>
    </row>
    <row r="213" spans="1:7" s="163" customFormat="1">
      <c r="A213" s="329" t="str">
        <f>IF('Deviseur EUROPE'!B80&lt;&gt;0,'Deviseur EUROPE'!A80,"")</f>
        <v/>
      </c>
      <c r="B213" s="429"/>
      <c r="C213" s="430"/>
      <c r="D213" s="448" t="str">
        <f>IF(A213&lt;&gt;"",'Deviseur EUROPE'!D80,"")</f>
        <v/>
      </c>
      <c r="E213" s="454"/>
      <c r="F213" s="448" t="str">
        <f>IF(A213&lt;&gt;"",'Deviseur EUROPE'!B80,"")</f>
        <v/>
      </c>
      <c r="G213" s="441" t="str">
        <f>IF(A213&lt;&gt;"",'Deviseur EUROPE'!F80,"")</f>
        <v/>
      </c>
    </row>
    <row r="214" spans="1:7" s="163" customFormat="1">
      <c r="A214" s="329" t="str">
        <f>IF('Deviseur EUROPE'!B81&lt;&gt;0,'Deviseur EUROPE'!A81,"")</f>
        <v/>
      </c>
      <c r="B214" s="429"/>
      <c r="C214" s="430"/>
      <c r="D214" s="448" t="str">
        <f>IF(A214&lt;&gt;"",'Deviseur EUROPE'!D81,"")</f>
        <v/>
      </c>
      <c r="E214" s="454"/>
      <c r="F214" s="448" t="str">
        <f>IF(A214&lt;&gt;"",'Deviseur EUROPE'!B81,"")</f>
        <v/>
      </c>
      <c r="G214" s="441" t="str">
        <f>IF(A214&lt;&gt;"",'Deviseur EUROPE'!F81,"")</f>
        <v/>
      </c>
    </row>
    <row r="215" spans="1:7" s="163" customFormat="1">
      <c r="A215" s="329" t="str">
        <f>IF('Deviseur EUROPE'!B82&lt;&gt;0,'Deviseur EUROPE'!A82,"")</f>
        <v/>
      </c>
      <c r="B215" s="429"/>
      <c r="C215" s="430"/>
      <c r="D215" s="448" t="str">
        <f>IF(A215&lt;&gt;"",'Deviseur EUROPE'!D82,"")</f>
        <v/>
      </c>
      <c r="E215" s="454"/>
      <c r="F215" s="448" t="str">
        <f>IF(A215&lt;&gt;"",'Deviseur EUROPE'!B82,"")</f>
        <v/>
      </c>
      <c r="G215" s="441" t="str">
        <f>IF(A215&lt;&gt;"",'Deviseur EUROPE'!F82,"")</f>
        <v/>
      </c>
    </row>
    <row r="216" spans="1:7" s="163" customFormat="1">
      <c r="A216" s="329" t="str">
        <f>IF('Deviseur EUROPE'!B83&lt;&gt;0,'Deviseur EUROPE'!A83,"")</f>
        <v/>
      </c>
      <c r="B216" s="429"/>
      <c r="C216" s="430"/>
      <c r="D216" s="448" t="str">
        <f>IF(A216&lt;&gt;"",'Deviseur EUROPE'!D83,"")</f>
        <v/>
      </c>
      <c r="E216" s="454"/>
      <c r="F216" s="448" t="str">
        <f>IF(A216&lt;&gt;"",'Deviseur EUROPE'!B83,"")</f>
        <v/>
      </c>
      <c r="G216" s="441" t="str">
        <f>IF(A216&lt;&gt;"",'Deviseur EUROPE'!F83,"")</f>
        <v/>
      </c>
    </row>
    <row r="217" spans="1:7" s="163" customFormat="1">
      <c r="A217" s="329" t="str">
        <f>IF('Deviseur EUROPE'!B84&lt;&gt;0,'Deviseur EUROPE'!A84,"")</f>
        <v/>
      </c>
      <c r="B217" s="429"/>
      <c r="C217" s="430"/>
      <c r="D217" s="448" t="str">
        <f>IF(A217&lt;&gt;"",'Deviseur EUROPE'!D84,"")</f>
        <v/>
      </c>
      <c r="E217" s="454"/>
      <c r="F217" s="448" t="str">
        <f>IF(A217&lt;&gt;"",'Deviseur EUROPE'!B84,"")</f>
        <v/>
      </c>
      <c r="G217" s="441" t="str">
        <f>IF(A217&lt;&gt;"",'Deviseur EUROPE'!F84,"")</f>
        <v/>
      </c>
    </row>
    <row r="218" spans="1:7" s="163" customFormat="1">
      <c r="A218" s="329" t="str">
        <f>IF('Deviseur EUROPE'!B85&lt;&gt;0,'Deviseur EUROPE'!A85,"")</f>
        <v/>
      </c>
      <c r="B218" s="429"/>
      <c r="C218" s="430"/>
      <c r="D218" s="448" t="str">
        <f>IF(A218&lt;&gt;"",'Deviseur EUROPE'!D85,"")</f>
        <v/>
      </c>
      <c r="E218" s="454"/>
      <c r="F218" s="448" t="str">
        <f>IF(A218&lt;&gt;"",'Deviseur EUROPE'!B85,"")</f>
        <v/>
      </c>
      <c r="G218" s="441" t="str">
        <f>IF(A218&lt;&gt;"",'Deviseur EUROPE'!F85,"")</f>
        <v/>
      </c>
    </row>
    <row r="219" spans="1:7" s="163" customFormat="1">
      <c r="A219" s="329" t="str">
        <f>IF('Deviseur EUROPE'!B86&lt;&gt;0,'Deviseur EUROPE'!A86,"")</f>
        <v/>
      </c>
      <c r="B219" s="429"/>
      <c r="C219" s="430"/>
      <c r="D219" s="448" t="str">
        <f>IF(A219&lt;&gt;"",'Deviseur EUROPE'!D86,"")</f>
        <v/>
      </c>
      <c r="E219" s="454"/>
      <c r="F219" s="448" t="str">
        <f>IF(A219&lt;&gt;"",'Deviseur EUROPE'!B86,"")</f>
        <v/>
      </c>
      <c r="G219" s="441" t="str">
        <f>IF(A219&lt;&gt;"",'Deviseur EUROPE'!F86,"")</f>
        <v/>
      </c>
    </row>
    <row r="220" spans="1:7" s="163" customFormat="1">
      <c r="A220" s="329" t="str">
        <f>IF('Deviseur EUROPE'!B87&lt;&gt;0,'Deviseur EUROPE'!A87,"")</f>
        <v/>
      </c>
      <c r="B220" s="429"/>
      <c r="C220" s="430"/>
      <c r="D220" s="448" t="str">
        <f>IF(A220&lt;&gt;"",'Deviseur EUROPE'!D87,"")</f>
        <v/>
      </c>
      <c r="E220" s="454"/>
      <c r="F220" s="448" t="str">
        <f>IF(A220&lt;&gt;"",'Deviseur EUROPE'!B87,"")</f>
        <v/>
      </c>
      <c r="G220" s="441" t="str">
        <f>IF(A220&lt;&gt;"",'Deviseur EUROPE'!F87,"")</f>
        <v/>
      </c>
    </row>
    <row r="221" spans="1:7" s="163" customFormat="1">
      <c r="A221" s="329" t="str">
        <f>IF('Deviseur EUROPE'!B88&lt;&gt;0,'Deviseur EUROPE'!A88,"")</f>
        <v/>
      </c>
      <c r="B221" s="429"/>
      <c r="C221" s="430"/>
      <c r="D221" s="448" t="str">
        <f>IF(A221&lt;&gt;"",'Deviseur EUROPE'!D88,"")</f>
        <v/>
      </c>
      <c r="E221" s="454"/>
      <c r="F221" s="448" t="str">
        <f>IF(A221&lt;&gt;"",'Deviseur EUROPE'!B88,"")</f>
        <v/>
      </c>
      <c r="G221" s="441" t="str">
        <f>IF(A221&lt;&gt;"",'Deviseur EUROPE'!F88,"")</f>
        <v/>
      </c>
    </row>
    <row r="222" spans="1:7" s="163" customFormat="1">
      <c r="A222" s="329" t="str">
        <f>IF('Deviseur EUROPE'!B89&lt;&gt;0,'Deviseur EUROPE'!A89,"")</f>
        <v/>
      </c>
      <c r="B222" s="429"/>
      <c r="C222" s="430"/>
      <c r="D222" s="448" t="str">
        <f>IF(A222&lt;&gt;"",'Deviseur EUROPE'!D89,"")</f>
        <v/>
      </c>
      <c r="E222" s="454"/>
      <c r="F222" s="448" t="str">
        <f>IF(A222&lt;&gt;"",'Deviseur EUROPE'!B89,"")</f>
        <v/>
      </c>
      <c r="G222" s="441" t="str">
        <f>IF(A222&lt;&gt;"",'Deviseur EUROPE'!F89,"")</f>
        <v/>
      </c>
    </row>
    <row r="223" spans="1:7" s="163" customFormat="1">
      <c r="A223" s="329" t="str">
        <f>IF('Deviseur EUROPE'!B90&lt;&gt;0,'Deviseur EUROPE'!A90,"")</f>
        <v/>
      </c>
      <c r="B223" s="429"/>
      <c r="C223" s="430"/>
      <c r="D223" s="448" t="str">
        <f>IF(A223&lt;&gt;"",'Deviseur EUROPE'!D90,"")</f>
        <v/>
      </c>
      <c r="E223" s="454"/>
      <c r="F223" s="448" t="str">
        <f>IF(A223&lt;&gt;"",'Deviseur EUROPE'!B90,"")</f>
        <v/>
      </c>
      <c r="G223" s="441" t="str">
        <f>IF(A223&lt;&gt;"",'Deviseur EUROPE'!F90,"")</f>
        <v/>
      </c>
    </row>
    <row r="224" spans="1:7" s="163" customFormat="1">
      <c r="A224" s="329" t="str">
        <f>IF('Deviseur EUROPE'!B91&lt;&gt;0,'Deviseur EUROPE'!A91,"")</f>
        <v/>
      </c>
      <c r="B224" s="429"/>
      <c r="C224" s="430"/>
      <c r="D224" s="448" t="str">
        <f>IF(A224&lt;&gt;"",'Deviseur EUROPE'!D91,"")</f>
        <v/>
      </c>
      <c r="E224" s="454"/>
      <c r="F224" s="448" t="str">
        <f>IF(A224&lt;&gt;"",'Deviseur EUROPE'!B91,"")</f>
        <v/>
      </c>
      <c r="G224" s="441" t="str">
        <f>IF(A224&lt;&gt;"",'Deviseur EUROPE'!F91,"")</f>
        <v/>
      </c>
    </row>
    <row r="225" spans="1:7" s="613" customFormat="1">
      <c r="A225" s="329" t="str">
        <f>IF('Deviseur EUROPE'!B92&lt;&gt;0,'Deviseur EUROPE'!A92,"")</f>
        <v/>
      </c>
      <c r="B225" s="429"/>
      <c r="C225" s="430"/>
      <c r="D225" s="448" t="str">
        <f>IF(A225&lt;&gt;"",'Deviseur EUROPE'!D92,"")</f>
        <v/>
      </c>
      <c r="E225" s="454"/>
      <c r="F225" s="448" t="str">
        <f>IF(A225&lt;&gt;"",'Deviseur EUROPE'!B92,"")</f>
        <v/>
      </c>
      <c r="G225" s="441" t="str">
        <f>IF(A225&lt;&gt;"",'Deviseur EUROPE'!F92,"")</f>
        <v/>
      </c>
    </row>
    <row r="226" spans="1:7" s="613" customFormat="1">
      <c r="A226" s="329" t="str">
        <f>IF('Deviseur EUROPE'!B93&lt;&gt;0,'Deviseur EUROPE'!A93,"")</f>
        <v/>
      </c>
      <c r="B226" s="429"/>
      <c r="C226" s="430"/>
      <c r="D226" s="448" t="str">
        <f>IF(A226&lt;&gt;"",'Deviseur EUROPE'!D93,"")</f>
        <v/>
      </c>
      <c r="E226" s="454"/>
      <c r="F226" s="448" t="str">
        <f>IF(A226&lt;&gt;"",'Deviseur EUROPE'!B93,"")</f>
        <v/>
      </c>
      <c r="G226" s="441" t="str">
        <f>IF(A226&lt;&gt;"",'Deviseur EUROPE'!F93,"")</f>
        <v/>
      </c>
    </row>
    <row r="227" spans="1:7" s="613" customFormat="1">
      <c r="A227" s="329" t="str">
        <f>IF('Deviseur EUROPE'!B94&lt;&gt;0,'Deviseur EUROPE'!A94,"")</f>
        <v/>
      </c>
      <c r="B227" s="429"/>
      <c r="C227" s="430"/>
      <c r="D227" s="448" t="str">
        <f>IF(A227&lt;&gt;"",'Deviseur EUROPE'!D94,"")</f>
        <v/>
      </c>
      <c r="E227" s="454"/>
      <c r="F227" s="448" t="str">
        <f>IF(A227&lt;&gt;"",'Deviseur EUROPE'!B94,"")</f>
        <v/>
      </c>
      <c r="G227" s="441" t="str">
        <f>IF(A227&lt;&gt;"",'Deviseur EUROPE'!F94,"")</f>
        <v/>
      </c>
    </row>
    <row r="228" spans="1:7" s="163" customFormat="1">
      <c r="A228" s="329" t="str">
        <f>IF('Deviseur EUROPE'!B95&lt;&gt;0,'Deviseur EUROPE'!A95,"")</f>
        <v/>
      </c>
      <c r="B228" s="429"/>
      <c r="C228" s="430"/>
      <c r="D228" s="448" t="str">
        <f>IF(A228&lt;&gt;"",'Deviseur EUROPE'!D95,"")</f>
        <v/>
      </c>
      <c r="E228" s="454"/>
      <c r="F228" s="448" t="str">
        <f>IF(A228&lt;&gt;"",'Deviseur EUROPE'!B95,"")</f>
        <v/>
      </c>
      <c r="G228" s="441" t="str">
        <f>IF(A228&lt;&gt;"",'Deviseur EUROPE'!F95,"")</f>
        <v/>
      </c>
    </row>
    <row r="229" spans="1:7" s="163" customFormat="1">
      <c r="A229" s="329" t="str">
        <f>IF('Deviseur EUROPE'!B96&lt;&gt;0,'Deviseur EUROPE'!A96,"")</f>
        <v/>
      </c>
      <c r="B229" s="429"/>
      <c r="C229" s="430"/>
      <c r="D229" s="448" t="str">
        <f>IF(A229&lt;&gt;"",'Deviseur EUROPE'!D96,"")</f>
        <v/>
      </c>
      <c r="E229" s="454"/>
      <c r="F229" s="448" t="str">
        <f>IF(A229&lt;&gt;"",'Deviseur EUROPE'!B96,"")</f>
        <v/>
      </c>
      <c r="G229" s="441" t="str">
        <f>IF(A229&lt;&gt;"",'Deviseur EUROPE'!F96,"")</f>
        <v/>
      </c>
    </row>
    <row r="230" spans="1:7" s="163" customFormat="1">
      <c r="A230" s="329" t="str">
        <f>IF('Deviseur EUROPE'!B97&lt;&gt;0,'Deviseur EUROPE'!A97,"")</f>
        <v/>
      </c>
      <c r="B230" s="429"/>
      <c r="C230" s="430"/>
      <c r="D230" s="448" t="str">
        <f>IF(A230&lt;&gt;"",'Deviseur EUROPE'!D97,"")</f>
        <v/>
      </c>
      <c r="E230" s="454"/>
      <c r="F230" s="448" t="str">
        <f>IF(A230&lt;&gt;"",'Deviseur EUROPE'!B97,"")</f>
        <v/>
      </c>
      <c r="G230" s="441" t="str">
        <f>IF(A230&lt;&gt;"",'Deviseur EUROPE'!F97,"")</f>
        <v/>
      </c>
    </row>
    <row r="231" spans="1:7" s="613" customFormat="1">
      <c r="A231" s="329" t="str">
        <f>IF('Deviseur EUROPE'!B57&lt;&gt;0,'Deviseur EUROPE'!A57,"")</f>
        <v/>
      </c>
      <c r="B231" s="429"/>
      <c r="C231" s="430"/>
      <c r="D231" s="448" t="str">
        <f>IF(A231&lt;&gt;"",'Deviseur EUROPE'!D57,"")</f>
        <v/>
      </c>
      <c r="E231" s="454"/>
      <c r="F231" s="448" t="str">
        <f>IF(A231&lt;&gt;"",'Deviseur EUROPE'!B57,"")</f>
        <v/>
      </c>
      <c r="G231" s="441" t="str">
        <f>IF(A231&lt;&gt;"",'Deviseur EUROPE'!F57,"")</f>
        <v/>
      </c>
    </row>
    <row r="232" spans="1:7" s="613" customFormat="1">
      <c r="A232" s="329" t="str">
        <f>IF('Deviseur EUROPE'!B58&lt;&gt;0,'Deviseur EUROPE'!A58,"")</f>
        <v/>
      </c>
      <c r="B232" s="429"/>
      <c r="C232" s="430"/>
      <c r="D232" s="448" t="str">
        <f>IF(A232&lt;&gt;"",'Deviseur EUROPE'!D58,"")</f>
        <v/>
      </c>
      <c r="E232" s="454"/>
      <c r="F232" s="448" t="str">
        <f>IF(A232&lt;&gt;"",'Deviseur EUROPE'!B58,"")</f>
        <v/>
      </c>
      <c r="G232" s="441" t="str">
        <f>IF(A232&lt;&gt;"",'Deviseur EUROPE'!F58,"")</f>
        <v/>
      </c>
    </row>
    <row r="233" spans="1:7" s="613" customFormat="1">
      <c r="A233" s="329" t="str">
        <f>IF('Deviseur EUROPE'!B59&lt;&gt;0,'Deviseur EUROPE'!A59,"")</f>
        <v/>
      </c>
      <c r="B233" s="429"/>
      <c r="C233" s="430"/>
      <c r="D233" s="448" t="str">
        <f>IF(A233&lt;&gt;"",'Deviseur EUROPE'!D59,"")</f>
        <v/>
      </c>
      <c r="E233" s="454"/>
      <c r="F233" s="448" t="str">
        <f>IF(A233&lt;&gt;"",'Deviseur EUROPE'!B59,"")</f>
        <v/>
      </c>
      <c r="G233" s="441" t="str">
        <f>IF(A233&lt;&gt;"",'Deviseur EUROPE'!F59,"")</f>
        <v/>
      </c>
    </row>
    <row r="234" spans="1:7" s="613" customFormat="1">
      <c r="A234" s="329" t="str">
        <f>IF('Deviseur EUROPE'!B60&lt;&gt;0,'Deviseur EUROPE'!A60,"")</f>
        <v/>
      </c>
      <c r="B234" s="429"/>
      <c r="C234" s="430"/>
      <c r="D234" s="448" t="str">
        <f>IF(A234&lt;&gt;"",'Deviseur EUROPE'!D60,"")</f>
        <v/>
      </c>
      <c r="E234" s="454"/>
      <c r="F234" s="448" t="str">
        <f>IF(A234&lt;&gt;"",'Deviseur EUROPE'!B60,"")</f>
        <v/>
      </c>
      <c r="G234" s="441" t="str">
        <f>IF(A234&lt;&gt;"",'Deviseur EUROPE'!F60,"")</f>
        <v/>
      </c>
    </row>
    <row r="235" spans="1:7" s="613" customFormat="1">
      <c r="A235" s="329" t="str">
        <f>IF('Deviseur EUROPE'!B61&lt;&gt;0,'Deviseur EUROPE'!A61,"")</f>
        <v/>
      </c>
      <c r="B235" s="429"/>
      <c r="C235" s="430"/>
      <c r="D235" s="448" t="str">
        <f>IF(A235&lt;&gt;"",'Deviseur EUROPE'!D61,"")</f>
        <v/>
      </c>
      <c r="E235" s="454"/>
      <c r="F235" s="448" t="str">
        <f>IF(A235&lt;&gt;"",'Deviseur EUROPE'!B61,"")</f>
        <v/>
      </c>
      <c r="G235" s="441" t="str">
        <f>IF(A235&lt;&gt;"",'Deviseur EUROPE'!F61,"")</f>
        <v/>
      </c>
    </row>
    <row r="236" spans="1:7" s="613" customFormat="1">
      <c r="A236" s="329" t="str">
        <f>IF('Deviseur EUROPE'!B62&lt;&gt;0,'Deviseur EUROPE'!A62,"")</f>
        <v/>
      </c>
      <c r="B236" s="429"/>
      <c r="C236" s="430"/>
      <c r="D236" s="448" t="str">
        <f>IF(A236&lt;&gt;"",'Deviseur EUROPE'!D62,"")</f>
        <v/>
      </c>
      <c r="E236" s="454"/>
      <c r="F236" s="448" t="str">
        <f>IF(A236&lt;&gt;"",'Deviseur EUROPE'!B62,"")</f>
        <v/>
      </c>
      <c r="G236" s="441" t="str">
        <f>IF(A236&lt;&gt;"",'Deviseur EUROPE'!F62,"")</f>
        <v/>
      </c>
    </row>
    <row r="237" spans="1:7" s="613" customFormat="1">
      <c r="A237" s="329" t="str">
        <f>IF('Deviseur EUROPE'!B63&lt;&gt;0,'Deviseur EUROPE'!A63,"")</f>
        <v/>
      </c>
      <c r="B237" s="429"/>
      <c r="C237" s="430"/>
      <c r="D237" s="448" t="str">
        <f>IF(A237&lt;&gt;"",'Deviseur EUROPE'!D63,"")</f>
        <v/>
      </c>
      <c r="E237" s="454"/>
      <c r="F237" s="448" t="str">
        <f>IF(A237&lt;&gt;"",'Deviseur EUROPE'!B63,"")</f>
        <v/>
      </c>
      <c r="G237" s="441" t="str">
        <f>IF(A237&lt;&gt;"",'Deviseur EUROPE'!F63,"")</f>
        <v/>
      </c>
    </row>
    <row r="238" spans="1:7" s="613" customFormat="1">
      <c r="A238" s="329" t="str">
        <f>IF('Deviseur EUROPE'!B64&lt;&gt;0,'Deviseur EUROPE'!A64,"")</f>
        <v/>
      </c>
      <c r="B238" s="429"/>
      <c r="C238" s="430"/>
      <c r="D238" s="448" t="str">
        <f>IF(A238&lt;&gt;"",'Deviseur EUROPE'!D64,"")</f>
        <v/>
      </c>
      <c r="E238" s="454"/>
      <c r="F238" s="448" t="str">
        <f>IF(A238&lt;&gt;"",'Deviseur EUROPE'!B64,"")</f>
        <v/>
      </c>
      <c r="G238" s="441" t="str">
        <f>IF(A238&lt;&gt;"",'Deviseur EUROPE'!F64,"")</f>
        <v/>
      </c>
    </row>
    <row r="239" spans="1:7" s="613" customFormat="1">
      <c r="A239" s="329" t="str">
        <f>IF('Deviseur EUROPE'!B65&lt;&gt;0,'Deviseur EUROPE'!A65,"")</f>
        <v/>
      </c>
      <c r="B239" s="429"/>
      <c r="C239" s="430"/>
      <c r="D239" s="448" t="str">
        <f>IF(A239&lt;&gt;"",'Deviseur EUROPE'!D65,"")</f>
        <v/>
      </c>
      <c r="E239" s="454"/>
      <c r="F239" s="448" t="str">
        <f>IF(A239&lt;&gt;"",'Deviseur EUROPE'!B65,"")</f>
        <v/>
      </c>
      <c r="G239" s="441" t="str">
        <f>IF(A239&lt;&gt;"",'Deviseur EUROPE'!F65,"")</f>
        <v/>
      </c>
    </row>
    <row r="240" spans="1:7" s="613" customFormat="1">
      <c r="A240" s="329" t="str">
        <f>IF('Deviseur EUROPE'!B66&lt;&gt;0,'Deviseur EUROPE'!A66,"")</f>
        <v/>
      </c>
      <c r="B240" s="429"/>
      <c r="C240" s="430"/>
      <c r="D240" s="448" t="str">
        <f>IF(A240&lt;&gt;"",'Deviseur EUROPE'!D66,"")</f>
        <v/>
      </c>
      <c r="E240" s="454"/>
      <c r="F240" s="448" t="str">
        <f>IF(A240&lt;&gt;"",'Deviseur EUROPE'!B66,"")</f>
        <v/>
      </c>
      <c r="G240" s="441" t="str">
        <f>IF(A240&lt;&gt;"",'Deviseur EUROPE'!F66,"")</f>
        <v/>
      </c>
    </row>
    <row r="241" spans="1:7" s="613" customFormat="1">
      <c r="A241" s="329" t="str">
        <f>IF('Deviseur EUROPE'!B67&lt;&gt;0,'Deviseur EUROPE'!A67,"")</f>
        <v/>
      </c>
      <c r="B241" s="429"/>
      <c r="C241" s="430"/>
      <c r="D241" s="448" t="str">
        <f>IF(A241&lt;&gt;"",'Deviseur EUROPE'!D67,"")</f>
        <v/>
      </c>
      <c r="E241" s="454"/>
      <c r="F241" s="448" t="str">
        <f>IF(A241&lt;&gt;"",'Deviseur EUROPE'!B67,"")</f>
        <v/>
      </c>
      <c r="G241" s="441" t="str">
        <f>IF(A241&lt;&gt;"",'Deviseur EUROPE'!F67,"")</f>
        <v/>
      </c>
    </row>
    <row r="242" spans="1:7" s="613" customFormat="1">
      <c r="A242" s="329" t="str">
        <f>IF('Deviseur EUROPE'!B68&lt;&gt;0,'Deviseur EUROPE'!A68,"")</f>
        <v/>
      </c>
      <c r="B242" s="429"/>
      <c r="C242" s="430"/>
      <c r="D242" s="448" t="str">
        <f>IF(A242&lt;&gt;"",'Deviseur EUROPE'!D68,"")</f>
        <v/>
      </c>
      <c r="E242" s="454"/>
      <c r="F242" s="448" t="str">
        <f>IF(A242&lt;&gt;"",'Deviseur EUROPE'!B68,"")</f>
        <v/>
      </c>
      <c r="G242" s="441" t="str">
        <f>IF(A242&lt;&gt;"",'Deviseur EUROPE'!F68,"")</f>
        <v/>
      </c>
    </row>
    <row r="243" spans="1:7" s="613" customFormat="1">
      <c r="A243" s="329" t="str">
        <f>IF('Deviseur EUROPE'!B69&lt;&gt;0,'Deviseur EUROPE'!A69,"")</f>
        <v/>
      </c>
      <c r="B243" s="429"/>
      <c r="C243" s="430"/>
      <c r="D243" s="448" t="str">
        <f>IF(A243&lt;&gt;"",'Deviseur EUROPE'!D69,"")</f>
        <v/>
      </c>
      <c r="E243" s="454"/>
      <c r="F243" s="448" t="str">
        <f>IF(A243&lt;&gt;"",'Deviseur EUROPE'!B69,"")</f>
        <v/>
      </c>
      <c r="G243" s="441" t="str">
        <f>IF(A243&lt;&gt;"",'Deviseur EUROPE'!F69,"")</f>
        <v/>
      </c>
    </row>
    <row r="244" spans="1:7" s="613" customFormat="1">
      <c r="A244" s="329" t="str">
        <f>IF('Deviseur EUROPE'!B70&lt;&gt;0,'Deviseur EUROPE'!A70,"")</f>
        <v/>
      </c>
      <c r="B244" s="429"/>
      <c r="C244" s="430"/>
      <c r="D244" s="448" t="str">
        <f>IF(A244&lt;&gt;"",'Deviseur EUROPE'!D70,"")</f>
        <v/>
      </c>
      <c r="E244" s="454"/>
      <c r="F244" s="448" t="str">
        <f>IF(A244&lt;&gt;"",'Deviseur EUROPE'!B70,"")</f>
        <v/>
      </c>
      <c r="G244" s="441" t="str">
        <f>IF(A244&lt;&gt;"",'Deviseur EUROPE'!F70,"")</f>
        <v/>
      </c>
    </row>
    <row r="245" spans="1:7" s="613" customFormat="1">
      <c r="A245" s="329" t="str">
        <f>IF('Deviseur EUROPE'!B71&lt;&gt;0,'Deviseur EUROPE'!A71,"")</f>
        <v/>
      </c>
      <c r="B245" s="429"/>
      <c r="C245" s="430"/>
      <c r="D245" s="448" t="str">
        <f>IF(A245&lt;&gt;"",'Deviseur EUROPE'!D71,"")</f>
        <v/>
      </c>
      <c r="E245" s="454"/>
      <c r="F245" s="448" t="str">
        <f>IF(A245&lt;&gt;"",'Deviseur EUROPE'!B71,"")</f>
        <v/>
      </c>
      <c r="G245" s="441" t="str">
        <f>IF(A245&lt;&gt;"",'Deviseur EUROPE'!F71,"")</f>
        <v/>
      </c>
    </row>
    <row r="246" spans="1:7" s="613" customFormat="1">
      <c r="A246" s="329" t="str">
        <f>IF('Deviseur EUROPE'!B72&lt;&gt;0,'Deviseur EUROPE'!A72,"")</f>
        <v/>
      </c>
      <c r="B246" s="429"/>
      <c r="C246" s="430"/>
      <c r="D246" s="448" t="str">
        <f>IF(A246&lt;&gt;"",'Deviseur EUROPE'!D72,"")</f>
        <v/>
      </c>
      <c r="E246" s="454"/>
      <c r="F246" s="448" t="str">
        <f>IF(A246&lt;&gt;"",'Deviseur EUROPE'!B72,"")</f>
        <v/>
      </c>
      <c r="G246" s="441" t="str">
        <f>IF(A246&lt;&gt;"",'Deviseur EUROPE'!F72,"")</f>
        <v/>
      </c>
    </row>
    <row r="247" spans="1:7" s="613" customFormat="1">
      <c r="A247" s="329" t="str">
        <f>IF('Deviseur EUROPE'!B73&lt;&gt;0,'Deviseur EUROPE'!A73,"")</f>
        <v/>
      </c>
      <c r="B247" s="429"/>
      <c r="C247" s="430"/>
      <c r="D247" s="448" t="str">
        <f>IF(A247&lt;&gt;"",'Deviseur EUROPE'!D73,"")</f>
        <v/>
      </c>
      <c r="E247" s="454"/>
      <c r="F247" s="448" t="str">
        <f>IF(A247&lt;&gt;"",'Deviseur EUROPE'!B73,"")</f>
        <v/>
      </c>
      <c r="G247" s="441" t="str">
        <f>IF(A247&lt;&gt;"",'Deviseur EUROPE'!F73,"")</f>
        <v/>
      </c>
    </row>
    <row r="248" spans="1:7" s="613" customFormat="1">
      <c r="A248" s="329" t="str">
        <f>IF('Deviseur EUROPE'!B74&lt;&gt;0,'Deviseur EUROPE'!A74,"")</f>
        <v/>
      </c>
      <c r="B248" s="429"/>
      <c r="C248" s="430"/>
      <c r="D248" s="448" t="str">
        <f>IF(A248&lt;&gt;"",'Deviseur EUROPE'!D74,"")</f>
        <v/>
      </c>
      <c r="E248" s="454"/>
      <c r="F248" s="448" t="str">
        <f>IF(A248&lt;&gt;"",'Deviseur EUROPE'!B74,"")</f>
        <v/>
      </c>
      <c r="G248" s="441" t="str">
        <f>IF(A248&lt;&gt;"",'Deviseur EUROPE'!F74,"")</f>
        <v/>
      </c>
    </row>
    <row r="249" spans="1:7" s="613" customFormat="1">
      <c r="A249" s="329"/>
      <c r="B249" s="429"/>
      <c r="C249" s="430"/>
      <c r="D249" s="448"/>
      <c r="E249" s="454"/>
      <c r="F249" s="448"/>
      <c r="G249" s="441"/>
    </row>
    <row r="250" spans="1:7" s="613" customFormat="1">
      <c r="A250" s="267" t="s">
        <v>1057</v>
      </c>
      <c r="B250" s="264"/>
      <c r="C250" s="875"/>
      <c r="D250" s="210" t="s">
        <v>8</v>
      </c>
      <c r="E250" s="210"/>
      <c r="F250" s="210" t="s">
        <v>11</v>
      </c>
      <c r="G250" s="277" t="s">
        <v>28</v>
      </c>
    </row>
    <row r="251" spans="1:7" s="613" customFormat="1">
      <c r="A251" s="329" t="str">
        <f>IF('Deviseur EUROPE'!B102&lt;&gt;0,'Deviseur EUROPE'!A102,"")</f>
        <v/>
      </c>
      <c r="B251" s="429"/>
      <c r="C251" s="430"/>
      <c r="D251" s="448" t="str">
        <f>IF(A251&lt;&gt;"",'Deviseur EUROPE'!D102,"")</f>
        <v/>
      </c>
      <c r="E251" s="454"/>
      <c r="F251" s="448" t="str">
        <f>IF(A251&lt;&gt;"",'Deviseur EUROPE'!B102,"")</f>
        <v/>
      </c>
      <c r="G251" s="441" t="str">
        <f>IF(A251&lt;&gt;"",'Deviseur EUROPE'!F102,"")</f>
        <v/>
      </c>
    </row>
    <row r="252" spans="1:7" s="613" customFormat="1">
      <c r="A252" s="329" t="str">
        <f>IF('Deviseur EUROPE'!B103&lt;&gt;0,'Deviseur EUROPE'!A103,"")</f>
        <v/>
      </c>
      <c r="B252" s="429"/>
      <c r="C252" s="430"/>
      <c r="D252" s="448" t="str">
        <f>IF(A252&lt;&gt;"",'Deviseur EUROPE'!D103,"")</f>
        <v/>
      </c>
      <c r="E252" s="454"/>
      <c r="F252" s="448" t="str">
        <f>IF(A252&lt;&gt;"",'Deviseur EUROPE'!B103,"")</f>
        <v/>
      </c>
      <c r="G252" s="441" t="str">
        <f>IF(A252&lt;&gt;"",'Deviseur EUROPE'!F103,"")</f>
        <v/>
      </c>
    </row>
    <row r="253" spans="1:7" s="613" customFormat="1">
      <c r="A253" s="329" t="str">
        <f>IF('Deviseur EUROPE'!B104&lt;&gt;0,'Deviseur EUROPE'!A104,"")</f>
        <v/>
      </c>
      <c r="B253" s="429"/>
      <c r="C253" s="430"/>
      <c r="D253" s="448" t="str">
        <f>IF(A253&lt;&gt;"",'Deviseur EUROPE'!D104,"")</f>
        <v/>
      </c>
      <c r="E253" s="454"/>
      <c r="F253" s="448" t="str">
        <f>IF(A253&lt;&gt;"",'Deviseur EUROPE'!B104,"")</f>
        <v/>
      </c>
      <c r="G253" s="441" t="str">
        <f>IF(A253&lt;&gt;"",'Deviseur EUROPE'!F104,"")</f>
        <v/>
      </c>
    </row>
    <row r="254" spans="1:7" s="613" customFormat="1">
      <c r="A254" s="329" t="str">
        <f>IF('Deviseur EUROPE'!B105&lt;&gt;0,'Deviseur EUROPE'!A105,"")</f>
        <v/>
      </c>
      <c r="B254" s="429"/>
      <c r="C254" s="430"/>
      <c r="D254" s="448" t="str">
        <f>IF(A254&lt;&gt;"",'Deviseur EUROPE'!D105,"")</f>
        <v/>
      </c>
      <c r="E254" s="454"/>
      <c r="F254" s="448" t="str">
        <f>IF(A254&lt;&gt;"",'Deviseur EUROPE'!B105,"")</f>
        <v/>
      </c>
      <c r="G254" s="441" t="str">
        <f>IF(A254&lt;&gt;"",'Deviseur EUROPE'!F105,"")</f>
        <v/>
      </c>
    </row>
    <row r="255" spans="1:7" s="613" customFormat="1">
      <c r="A255" s="329" t="str">
        <f>IF('Deviseur EUROPE'!B106&lt;&gt;0,'Deviseur EUROPE'!A106,"")</f>
        <v/>
      </c>
      <c r="B255" s="429"/>
      <c r="C255" s="430"/>
      <c r="D255" s="448" t="str">
        <f>IF(A255&lt;&gt;"",'Deviseur EUROPE'!D106,"")</f>
        <v/>
      </c>
      <c r="E255" s="454"/>
      <c r="F255" s="448" t="str">
        <f>IF(A255&lt;&gt;"",'Deviseur EUROPE'!B106,"")</f>
        <v/>
      </c>
      <c r="G255" s="441" t="str">
        <f>IF(A255&lt;&gt;"",'Deviseur EUROPE'!F106,"")</f>
        <v/>
      </c>
    </row>
    <row r="256" spans="1:7" s="613" customFormat="1">
      <c r="A256" s="329" t="str">
        <f>IF('Deviseur EUROPE'!B107&lt;&gt;0,'Deviseur EUROPE'!A107,"")</f>
        <v/>
      </c>
      <c r="B256" s="429"/>
      <c r="C256" s="430"/>
      <c r="D256" s="448" t="str">
        <f>IF(A256&lt;&gt;"",'Deviseur EUROPE'!D107,"")</f>
        <v/>
      </c>
      <c r="E256" s="454"/>
      <c r="F256" s="448" t="str">
        <f>IF(A256&lt;&gt;"",'Deviseur EUROPE'!B107,"")</f>
        <v/>
      </c>
      <c r="G256" s="441" t="str">
        <f>IF(A256&lt;&gt;"",'Deviseur EUROPE'!F107,"")</f>
        <v/>
      </c>
    </row>
    <row r="257" spans="1:7" s="613" customFormat="1">
      <c r="A257" s="329" t="str">
        <f>IF('Deviseur EUROPE'!B108&lt;&gt;0,'Deviseur EUROPE'!A108,"")</f>
        <v/>
      </c>
      <c r="B257" s="429"/>
      <c r="C257" s="430"/>
      <c r="D257" s="448" t="str">
        <f>IF(A257&lt;&gt;"",'Deviseur EUROPE'!D108,"")</f>
        <v/>
      </c>
      <c r="E257" s="454"/>
      <c r="F257" s="448" t="str">
        <f>IF(A257&lt;&gt;"",'Deviseur EUROPE'!B108,"")</f>
        <v/>
      </c>
      <c r="G257" s="441" t="str">
        <f>IF(A257&lt;&gt;"",'Deviseur EUROPE'!F108,"")</f>
        <v/>
      </c>
    </row>
    <row r="258" spans="1:7" s="613" customFormat="1">
      <c r="A258" s="329" t="str">
        <f>IF('Deviseur EUROPE'!B109&lt;&gt;0,'Deviseur EUROPE'!A109,"")</f>
        <v/>
      </c>
      <c r="B258" s="429"/>
      <c r="C258" s="430"/>
      <c r="D258" s="448" t="str">
        <f>IF(A258&lt;&gt;"",'Deviseur EUROPE'!D109,"")</f>
        <v/>
      </c>
      <c r="E258" s="454"/>
      <c r="F258" s="448" t="str">
        <f>IF(A258&lt;&gt;"",'Deviseur EUROPE'!B109,"")</f>
        <v/>
      </c>
      <c r="G258" s="441" t="str">
        <f>IF(A258&lt;&gt;"",'Deviseur EUROPE'!F109,"")</f>
        <v/>
      </c>
    </row>
    <row r="259" spans="1:7" s="613" customFormat="1">
      <c r="A259" s="329" t="str">
        <f>IF('Deviseur EUROPE'!B110&lt;&gt;0,'Deviseur EUROPE'!A110,"")</f>
        <v/>
      </c>
      <c r="B259" s="429"/>
      <c r="C259" s="430"/>
      <c r="D259" s="448" t="str">
        <f>IF(A259&lt;&gt;"",'Deviseur EUROPE'!D110,"")</f>
        <v/>
      </c>
      <c r="E259" s="454"/>
      <c r="F259" s="448" t="str">
        <f>IF(A259&lt;&gt;"",'Deviseur EUROPE'!B110,"")</f>
        <v/>
      </c>
      <c r="G259" s="441" t="str">
        <f>IF(A259&lt;&gt;"",'Deviseur EUROPE'!F110,"")</f>
        <v/>
      </c>
    </row>
    <row r="260" spans="1:7" s="613" customFormat="1">
      <c r="A260" s="329" t="str">
        <f>IF('Deviseur EUROPE'!B111&lt;&gt;0,'Deviseur EUROPE'!A111,"")</f>
        <v/>
      </c>
      <c r="B260" s="429"/>
      <c r="C260" s="430"/>
      <c r="D260" s="448" t="str">
        <f>IF(A260&lt;&gt;"",'Deviseur EUROPE'!D111,"")</f>
        <v/>
      </c>
      <c r="E260" s="454"/>
      <c r="F260" s="448" t="str">
        <f>IF(A260&lt;&gt;"",'Deviseur EUROPE'!B111,"")</f>
        <v/>
      </c>
      <c r="G260" s="441" t="str">
        <f>IF(A260&lt;&gt;"",'Deviseur EUROPE'!F111,"")</f>
        <v/>
      </c>
    </row>
    <row r="261" spans="1:7" s="613" customFormat="1">
      <c r="A261" s="329" t="str">
        <f>IF('Deviseur EUROPE'!B112&lt;&gt;0,'Deviseur EUROPE'!A112,"")</f>
        <v/>
      </c>
      <c r="B261" s="429"/>
      <c r="C261" s="430"/>
      <c r="D261" s="448" t="str">
        <f>IF(A261&lt;&gt;"",'Deviseur EUROPE'!D112,"")</f>
        <v/>
      </c>
      <c r="E261" s="454"/>
      <c r="F261" s="448" t="str">
        <f>IF(A261&lt;&gt;"",'Deviseur EUROPE'!B112,"")</f>
        <v/>
      </c>
      <c r="G261" s="441" t="str">
        <f>IF(A261&lt;&gt;"",'Deviseur EUROPE'!F112,"")</f>
        <v/>
      </c>
    </row>
    <row r="262" spans="1:7" s="613" customFormat="1">
      <c r="A262" s="329" t="str">
        <f>IF('Deviseur EUROPE'!B113&lt;&gt;0,'Deviseur EUROPE'!A113,"")</f>
        <v/>
      </c>
      <c r="B262" s="429"/>
      <c r="C262" s="430"/>
      <c r="D262" s="448" t="str">
        <f>IF(A262&lt;&gt;"",'Deviseur EUROPE'!D113,"")</f>
        <v/>
      </c>
      <c r="E262" s="454"/>
      <c r="F262" s="448" t="str">
        <f>IF(A262&lt;&gt;"",'Deviseur EUROPE'!B113,"")</f>
        <v/>
      </c>
      <c r="G262" s="441" t="str">
        <f>IF(A262&lt;&gt;"",'Deviseur EUROPE'!F113,"")</f>
        <v/>
      </c>
    </row>
    <row r="263" spans="1:7" s="613" customFormat="1">
      <c r="A263" s="329" t="str">
        <f>IF('Deviseur EUROPE'!B114&lt;&gt;0,'Deviseur EUROPE'!A114,"")</f>
        <v/>
      </c>
      <c r="B263" s="429"/>
      <c r="C263" s="430"/>
      <c r="D263" s="448" t="str">
        <f>IF(A263&lt;&gt;"",'Deviseur EUROPE'!D114,"")</f>
        <v/>
      </c>
      <c r="E263" s="454"/>
      <c r="F263" s="448" t="str">
        <f>IF(A263&lt;&gt;"",'Deviseur EUROPE'!B114,"")</f>
        <v/>
      </c>
      <c r="G263" s="441" t="str">
        <f>IF(A263&lt;&gt;"",'Deviseur EUROPE'!F114,"")</f>
        <v/>
      </c>
    </row>
    <row r="264" spans="1:7" s="613" customFormat="1">
      <c r="A264" s="329" t="str">
        <f>IF('Deviseur EUROPE'!B115&lt;&gt;0,'Deviseur EUROPE'!A115,"")</f>
        <v/>
      </c>
      <c r="B264" s="429"/>
      <c r="C264" s="430"/>
      <c r="D264" s="448" t="str">
        <f>IF(A264&lt;&gt;"",'Deviseur EUROPE'!D115,"")</f>
        <v/>
      </c>
      <c r="E264" s="454"/>
      <c r="F264" s="448" t="str">
        <f>IF(A264&lt;&gt;"",'Deviseur EUROPE'!B115,"")</f>
        <v/>
      </c>
      <c r="G264" s="441" t="str">
        <f>IF(A264&lt;&gt;"",'Deviseur EUROPE'!F115,"")</f>
        <v/>
      </c>
    </row>
    <row r="265" spans="1:7" s="613" customFormat="1">
      <c r="A265" s="329" t="str">
        <f>IF('Deviseur EUROPE'!B116&lt;&gt;0,'Deviseur EUROPE'!A116,"")</f>
        <v/>
      </c>
      <c r="B265" s="429"/>
      <c r="C265" s="430"/>
      <c r="D265" s="448" t="str">
        <f>IF(A265&lt;&gt;"",'Deviseur EUROPE'!D116,"")</f>
        <v/>
      </c>
      <c r="E265" s="454"/>
      <c r="F265" s="448" t="str">
        <f>IF(A265&lt;&gt;"",'Deviseur EUROPE'!B116,"")</f>
        <v/>
      </c>
      <c r="G265" s="441" t="str">
        <f>IF(A265&lt;&gt;"",'Deviseur EUROPE'!F116,"")</f>
        <v/>
      </c>
    </row>
    <row r="266" spans="1:7" s="613" customFormat="1">
      <c r="A266" s="329" t="str">
        <f>IF('Deviseur EUROPE'!B117&lt;&gt;0,'Deviseur EUROPE'!A117,"")</f>
        <v/>
      </c>
      <c r="B266" s="429"/>
      <c r="C266" s="430"/>
      <c r="D266" s="448" t="str">
        <f>IF(A266&lt;&gt;"",'Deviseur EUROPE'!D117,"")</f>
        <v/>
      </c>
      <c r="E266" s="454"/>
      <c r="F266" s="448" t="str">
        <f>IF(A266&lt;&gt;"",'Deviseur EUROPE'!B117,"")</f>
        <v/>
      </c>
      <c r="G266" s="441" t="str">
        <f>IF(A266&lt;&gt;"",'Deviseur EUROPE'!F117,"")</f>
        <v/>
      </c>
    </row>
    <row r="267" spans="1:7" s="613" customFormat="1">
      <c r="A267" s="329" t="str">
        <f>IF('Deviseur EUROPE'!B118&lt;&gt;0,'Deviseur EUROPE'!A118,"")</f>
        <v/>
      </c>
      <c r="B267" s="429"/>
      <c r="C267" s="430"/>
      <c r="D267" s="448" t="str">
        <f>IF(A267&lt;&gt;"",'Deviseur EUROPE'!D118,"")</f>
        <v/>
      </c>
      <c r="E267" s="454"/>
      <c r="F267" s="448" t="str">
        <f>IF(A267&lt;&gt;"",'Deviseur EUROPE'!B118,"")</f>
        <v/>
      </c>
      <c r="G267" s="441" t="str">
        <f>IF(A267&lt;&gt;"",'Deviseur EUROPE'!F118,"")</f>
        <v/>
      </c>
    </row>
    <row r="268" spans="1:7" s="613" customFormat="1">
      <c r="A268" s="329" t="str">
        <f>IF('Deviseur EUROPE'!B119&lt;&gt;0,'Deviseur EUROPE'!A119,"")</f>
        <v/>
      </c>
      <c r="B268" s="429"/>
      <c r="C268" s="430"/>
      <c r="D268" s="448" t="str">
        <f>IF(A268&lt;&gt;"",'Deviseur EUROPE'!D119,"")</f>
        <v/>
      </c>
      <c r="E268" s="454"/>
      <c r="F268" s="448" t="str">
        <f>IF(A268&lt;&gt;"",'Deviseur EUROPE'!B119,"")</f>
        <v/>
      </c>
      <c r="G268" s="441" t="str">
        <f>IF(A268&lt;&gt;"",'Deviseur EUROPE'!F119,"")</f>
        <v/>
      </c>
    </row>
    <row r="269" spans="1:7" s="163" customFormat="1">
      <c r="A269" s="338"/>
      <c r="B269" s="339"/>
      <c r="C269" s="430"/>
      <c r="D269" s="448"/>
      <c r="E269" s="454"/>
      <c r="F269" s="448"/>
      <c r="G269" s="442"/>
    </row>
    <row r="270" spans="1:7" s="333" customFormat="1">
      <c r="A270" s="267" t="s">
        <v>1018</v>
      </c>
      <c r="B270" s="264"/>
      <c r="C270" s="587"/>
      <c r="D270" s="210"/>
      <c r="E270" s="210"/>
      <c r="F270" s="210" t="s">
        <v>11</v>
      </c>
      <c r="G270" s="277" t="s">
        <v>28</v>
      </c>
    </row>
    <row r="271" spans="1:7" s="333" customFormat="1">
      <c r="A271" s="329" t="str">
        <f>IF('Deviseur EUROPE'!B47&lt;&gt;0,'Deviseur EUROPE'!A47,"")</f>
        <v/>
      </c>
      <c r="B271" s="589"/>
      <c r="C271" s="430"/>
      <c r="D271" s="448"/>
      <c r="E271" s="454"/>
      <c r="F271" s="448" t="str">
        <f>IF(A271&lt;&gt;"",'Deviseur EUROPE'!B47,"")</f>
        <v/>
      </c>
      <c r="G271" s="441" t="str">
        <f>IF(A271&lt;&gt;"",'Deviseur EUROPE'!F47,"")</f>
        <v/>
      </c>
    </row>
    <row r="272" spans="1:7" s="613" customFormat="1">
      <c r="A272" s="329" t="str">
        <f>IF('Deviseur EUROPE'!B48&lt;&gt;0,'Deviseur EUROPE'!A48,"")</f>
        <v/>
      </c>
      <c r="B272" s="803"/>
      <c r="C272" s="430"/>
      <c r="D272" s="448"/>
      <c r="E272" s="454"/>
      <c r="F272" s="448" t="str">
        <f>IF(A272&lt;&gt;"",'Deviseur EUROPE'!B48,"")</f>
        <v/>
      </c>
      <c r="G272" s="441" t="str">
        <f>IF(A272&lt;&gt;"",'Deviseur EUROPE'!F48,"")</f>
        <v/>
      </c>
    </row>
    <row r="273" spans="1:7" s="613" customFormat="1">
      <c r="A273" s="329"/>
      <c r="B273" s="872"/>
      <c r="C273" s="430"/>
      <c r="D273" s="448"/>
      <c r="E273" s="454"/>
      <c r="F273" s="448"/>
      <c r="G273" s="441"/>
    </row>
    <row r="274" spans="1:7" s="613" customFormat="1">
      <c r="A274" s="267" t="s">
        <v>1019</v>
      </c>
      <c r="B274" s="264"/>
      <c r="C274" s="871"/>
      <c r="D274" s="210"/>
      <c r="E274" s="210"/>
      <c r="F274" s="210" t="s">
        <v>11</v>
      </c>
      <c r="G274" s="277" t="s">
        <v>28</v>
      </c>
    </row>
    <row r="275" spans="1:7" s="613" customFormat="1">
      <c r="A275" s="329" t="str">
        <f>IF('Deviseur EUROPE'!B132&lt;&gt;0,'Deviseur EUROPE'!A132,"")</f>
        <v/>
      </c>
      <c r="B275" s="803"/>
      <c r="C275" s="430"/>
      <c r="D275" s="448"/>
      <c r="E275" s="454"/>
      <c r="F275" s="448" t="str">
        <f>IF(A275&lt;&gt;"",'Deviseur EUROPE'!B132,"")</f>
        <v/>
      </c>
      <c r="G275" s="441" t="str">
        <f>IF(A275&lt;&gt;"",'Deviseur EUROPE'!F132,"")</f>
        <v/>
      </c>
    </row>
    <row r="276" spans="1:7" s="613" customFormat="1">
      <c r="A276" s="329" t="str">
        <f>IF('Deviseur EUROPE'!B133&lt;&gt;0,'Deviseur EUROPE'!A133,"")</f>
        <v/>
      </c>
      <c r="B276" s="803"/>
      <c r="C276" s="430"/>
      <c r="D276" s="448"/>
      <c r="E276" s="454"/>
      <c r="F276" s="448" t="str">
        <f>IF(A276&lt;&gt;"",'Deviseur EUROPE'!B133,"")</f>
        <v/>
      </c>
      <c r="G276" s="441" t="str">
        <f>IF(A276&lt;&gt;"",'Deviseur EUROPE'!F133,"")</f>
        <v/>
      </c>
    </row>
    <row r="277" spans="1:7" s="333" customFormat="1">
      <c r="A277" s="329" t="str">
        <f>IF('Deviseur EUROPE'!B137&lt;&gt;0,'Deviseur EUROPE'!A137,"")</f>
        <v/>
      </c>
      <c r="B277" s="589"/>
      <c r="C277" s="430"/>
      <c r="D277" s="448"/>
      <c r="E277" s="454"/>
      <c r="F277" s="448" t="str">
        <f>IF(A277&lt;&gt;"",'Deviseur EUROPE'!B137,"")</f>
        <v/>
      </c>
      <c r="G277" s="441" t="str">
        <f>IF(A277&lt;&gt;"",'Deviseur EUROPE'!F137,"")</f>
        <v/>
      </c>
    </row>
    <row r="278" spans="1:7" s="333" customFormat="1">
      <c r="A278" s="329" t="str">
        <f>IF('Deviseur EUROPE'!B138&lt;&gt;0,'Deviseur EUROPE'!A138,"")</f>
        <v/>
      </c>
      <c r="B278" s="589"/>
      <c r="C278" s="430"/>
      <c r="D278" s="448"/>
      <c r="E278" s="454"/>
      <c r="F278" s="448" t="str">
        <f>IF(A278&lt;&gt;"",'Deviseur EUROPE'!B138,"")</f>
        <v/>
      </c>
      <c r="G278" s="441" t="str">
        <f>IF(A278&lt;&gt;"",'Deviseur EUROPE'!F138,"")</f>
        <v/>
      </c>
    </row>
    <row r="279" spans="1:7" s="163" customFormat="1">
      <c r="A279" s="338"/>
      <c r="B279" s="339"/>
      <c r="C279" s="430"/>
      <c r="D279" s="448" t="str">
        <f>IF(A279&lt;&gt;"",IF('Deviseur EUROPE'!G95='Deviseur EUROPE'!$V$19,"Linux",IF('Deviseur EUROPE'!G95='Deviseur EUROPE'!$V$20,"Windows",IF('Deviseur EUROPE'!G95='Deviseur EUROPE'!$V$21,"Suse",IF('Deviseur EUROPE'!G95='Deviseur EUROPE'!$V$22,"Hadoop",IF('Deviseur EUROPE'!G95='Deviseur EUROPE'!$V$23,"RedHat","DBaaS MySQL"))))),"")</f>
        <v/>
      </c>
      <c r="E279" s="454"/>
      <c r="F279" s="448"/>
      <c r="G279" s="442"/>
    </row>
    <row r="280" spans="1:7" s="613" customFormat="1">
      <c r="A280" s="267" t="s">
        <v>702</v>
      </c>
      <c r="B280" s="264"/>
      <c r="C280" s="741"/>
      <c r="D280" s="210"/>
      <c r="E280" s="210"/>
      <c r="F280" s="210" t="s">
        <v>11</v>
      </c>
      <c r="G280" s="277" t="s">
        <v>28</v>
      </c>
    </row>
    <row r="281" spans="1:7" s="613" customFormat="1">
      <c r="A281" s="742" t="str">
        <f>IF('Deviseur EUROPE'!B142&lt;&gt;0,'Deviseur EUROPE'!A142,"")</f>
        <v/>
      </c>
      <c r="B281" s="743"/>
      <c r="C281" s="430"/>
      <c r="D281" s="448"/>
      <c r="E281" s="454"/>
      <c r="F281" s="448" t="str">
        <f>IF(A281&lt;&gt;"",'Deviseur EUROPE'!B142,"")</f>
        <v/>
      </c>
      <c r="G281" s="442" t="str">
        <f>IF(A281&lt;&gt;"",'Deviseur EUROPE'!C142,"")</f>
        <v/>
      </c>
    </row>
    <row r="282" spans="1:7" s="613" customFormat="1">
      <c r="A282" s="742" t="str">
        <f>IF('Deviseur EUROPE'!B143&lt;&gt;0,'Deviseur EUROPE'!A143,"")</f>
        <v/>
      </c>
      <c r="B282" s="743"/>
      <c r="C282" s="430"/>
      <c r="D282" s="448"/>
      <c r="E282" s="454"/>
      <c r="F282" s="448" t="str">
        <f>IF(A282&lt;&gt;"",'Deviseur EUROPE'!B143,"")</f>
        <v/>
      </c>
      <c r="G282" s="442" t="str">
        <f>IF(A282&lt;&gt;"",'Deviseur EUROPE'!C143,"")</f>
        <v/>
      </c>
    </row>
    <row r="283" spans="1:7" s="613" customFormat="1">
      <c r="A283" s="742" t="str">
        <f>IF('Deviseur EUROPE'!B144&lt;&gt;0,'Deviseur EUROPE'!A144,"")</f>
        <v/>
      </c>
      <c r="B283" s="743"/>
      <c r="C283" s="430"/>
      <c r="D283" s="448"/>
      <c r="E283" s="454"/>
      <c r="F283" s="448" t="str">
        <f>IF(A283&lt;&gt;"",'Deviseur EUROPE'!B144,"")</f>
        <v/>
      </c>
      <c r="G283" s="442" t="str">
        <f>IF(A283&lt;&gt;"",'Deviseur EUROPE'!C144,"")</f>
        <v/>
      </c>
    </row>
    <row r="284" spans="1:7" s="613" customFormat="1">
      <c r="A284" s="742" t="str">
        <f>IF('Deviseur EUROPE'!B145&lt;&gt;0,'Deviseur EUROPE'!A145,"")</f>
        <v/>
      </c>
      <c r="B284" s="743"/>
      <c r="C284" s="430"/>
      <c r="D284" s="448"/>
      <c r="E284" s="454"/>
      <c r="F284" s="448" t="str">
        <f>IF(A284&lt;&gt;"",'Deviseur EUROPE'!B145,"")</f>
        <v/>
      </c>
      <c r="G284" s="442" t="str">
        <f>IF(A284&lt;&gt;"",'Deviseur EUROPE'!C145,"")</f>
        <v/>
      </c>
    </row>
    <row r="285" spans="1:7" s="613" customFormat="1">
      <c r="A285" s="742"/>
      <c r="B285" s="743"/>
      <c r="C285" s="430"/>
      <c r="D285" s="448"/>
      <c r="E285" s="454"/>
      <c r="F285" s="448"/>
      <c r="G285" s="442"/>
    </row>
    <row r="286" spans="1:7" s="163" customFormat="1">
      <c r="A286" s="267" t="s">
        <v>30</v>
      </c>
      <c r="B286" s="264"/>
      <c r="C286" s="182"/>
      <c r="D286" s="210"/>
      <c r="E286" s="210"/>
      <c r="F286" s="210" t="s">
        <v>11</v>
      </c>
      <c r="G286" s="277" t="s">
        <v>28</v>
      </c>
    </row>
    <row r="287" spans="1:7">
      <c r="A287" s="329" t="str">
        <f>IF('Deviseur EUROPE'!B16&lt;&gt;0,'Deviseur EUROPE'!A16,"")</f>
        <v/>
      </c>
      <c r="B287" s="429"/>
      <c r="C287" s="465"/>
      <c r="D287" s="448"/>
      <c r="E287" s="454"/>
      <c r="F287" s="448" t="str">
        <f>IF(A287&lt;&gt;"",'Deviseur EUROPE'!B16,"")</f>
        <v/>
      </c>
      <c r="G287" s="441" t="str">
        <f>IF(A287&lt;&gt;"",'Deviseur EUROPE'!C16,"")</f>
        <v/>
      </c>
    </row>
    <row r="288" spans="1:7" s="163" customFormat="1">
      <c r="A288" s="338"/>
      <c r="B288" s="339"/>
      <c r="C288" s="465"/>
      <c r="D288" s="448"/>
      <c r="E288" s="454"/>
      <c r="F288" s="448"/>
      <c r="G288" s="442"/>
    </row>
    <row r="289" spans="1:7">
      <c r="A289" s="225" t="s">
        <v>82</v>
      </c>
      <c r="B289" s="226"/>
      <c r="C289" s="226"/>
      <c r="D289" s="210" t="s">
        <v>68</v>
      </c>
      <c r="E289" s="210"/>
      <c r="F289" s="210" t="s">
        <v>11</v>
      </c>
      <c r="G289" s="277" t="s">
        <v>28</v>
      </c>
    </row>
    <row r="290" spans="1:7">
      <c r="A290" s="338" t="str">
        <f>IF('Deviseur EUROPE'!B279&lt;&gt;0,"Connexion Directe","")</f>
        <v/>
      </c>
      <c r="B290" s="429"/>
      <c r="C290" s="326"/>
      <c r="D290" s="448" t="str">
        <f>IF(A290&lt;&gt;"",'Deviseur EUROPE'!C279,"")</f>
        <v/>
      </c>
      <c r="E290" s="454"/>
      <c r="F290" s="448" t="str">
        <f>IF(A290&lt;&gt;"",'Deviseur EUROPE'!B279,"")</f>
        <v/>
      </c>
      <c r="G290" s="442" t="str">
        <f>IF(A290&lt;&gt;"",'Deviseur EUROPE'!D279,"")</f>
        <v/>
      </c>
    </row>
    <row r="291" spans="1:7">
      <c r="A291" s="338" t="str">
        <f>IF('Deviseur EUROPE'!C280&lt;&gt;0,"Connexion Directe","")</f>
        <v/>
      </c>
      <c r="B291" s="339"/>
      <c r="C291" s="460"/>
      <c r="D291" s="448" t="str">
        <f>IF(A291&lt;&gt;"",'Deviseur EUROPE'!C280,"")</f>
        <v/>
      </c>
      <c r="E291" s="454"/>
      <c r="F291" s="448" t="str">
        <f>IF(A291&lt;&gt;"",'Deviseur EUROPE'!B280,"")</f>
        <v/>
      </c>
      <c r="G291" s="442" t="str">
        <f>IF(A291&lt;&gt;"",'Deviseur EUROPE'!D280,"")</f>
        <v/>
      </c>
    </row>
    <row r="292" spans="1:7" s="613" customFormat="1">
      <c r="A292" s="1049" t="str">
        <f>IF('Deviseur EUROPE'!C284&lt;&gt;0,"Connexion Directe","")</f>
        <v/>
      </c>
      <c r="B292" s="1048"/>
      <c r="C292" s="460"/>
      <c r="D292" s="448" t="str">
        <f>IF(A292&lt;&gt;"",'Deviseur EUROPE'!C284,"")</f>
        <v/>
      </c>
      <c r="E292" s="454"/>
      <c r="F292" s="448" t="str">
        <f>IF(A292&lt;&gt;"",'Deviseur EUROPE'!B284,"")</f>
        <v/>
      </c>
      <c r="G292" s="442" t="str">
        <f>IF(A292&lt;&gt;"",'Deviseur EUROPE'!D284,"")</f>
        <v/>
      </c>
    </row>
    <row r="293" spans="1:7" s="613" customFormat="1">
      <c r="A293" s="1049" t="str">
        <f>IF('Deviseur EUROPE'!C285&lt;&gt;0,"Connexion Directe","")</f>
        <v/>
      </c>
      <c r="B293" s="1048"/>
      <c r="C293" s="460"/>
      <c r="D293" s="448" t="str">
        <f>IF(A293&lt;&gt;"",'Deviseur EUROPE'!C285,"")</f>
        <v/>
      </c>
      <c r="E293" s="454"/>
      <c r="F293" s="448" t="str">
        <f>IF(A293&lt;&gt;"",'Deviseur EUROPE'!B285,"")</f>
        <v/>
      </c>
      <c r="G293" s="442" t="str">
        <f>IF(A293&lt;&gt;"",'Deviseur EUROPE'!D285,"")</f>
        <v/>
      </c>
    </row>
    <row r="294" spans="1:7">
      <c r="A294" s="329" t="str">
        <f>IF('Deviseur EUROPE'!B276&lt;&gt;0,'Deviseur EUROPE'!A275,"")</f>
        <v/>
      </c>
      <c r="B294" s="429"/>
      <c r="C294" s="430"/>
      <c r="D294" s="448"/>
      <c r="E294" s="454"/>
      <c r="F294" s="448" t="str">
        <f>IF(A294&lt;&gt;"",'Deviseur EUROPE'!B276&amp;" membres","")</f>
        <v/>
      </c>
      <c r="G294" s="441" t="str">
        <f>IF(A294&lt;&gt;"",'Deviseur EUROPE'!C276,"")</f>
        <v/>
      </c>
    </row>
    <row r="295" spans="1:7">
      <c r="A295" s="462" t="str">
        <f>IF('Deviseur EUROPE'!B267&lt;&gt;0,'Deviseur EUROPE'!A266,"")</f>
        <v/>
      </c>
      <c r="B295" s="463"/>
      <c r="C295" s="463"/>
      <c r="D295" s="464"/>
      <c r="E295" s="454"/>
      <c r="F295" s="450" t="str">
        <f>IF(A295&lt;&gt;"",'Deviseur EUROPE'!B267&amp;" Go","")</f>
        <v/>
      </c>
      <c r="G295" s="461" t="str">
        <f>IF(A295&lt;&gt;"",'Deviseur EUROPE'!C267,"")</f>
        <v/>
      </c>
    </row>
    <row r="296" spans="1:7" s="163" customFormat="1">
      <c r="A296" s="462" t="str">
        <f>IF('Deviseur EUROPE'!B293&lt;&gt;0,'Deviseur EUROPE'!A292,"")</f>
        <v/>
      </c>
      <c r="B296" s="463"/>
      <c r="C296" s="463"/>
      <c r="D296" s="464"/>
      <c r="E296" s="454"/>
      <c r="F296" s="450" t="str">
        <f>IF(A296&lt;&gt;"",'Deviseur EUROPE'!B293&amp;" VPNs","")</f>
        <v/>
      </c>
      <c r="G296" s="461" t="str">
        <f>IF(A296&lt;&gt;"",'Deviseur EUROPE'!C293,"")</f>
        <v/>
      </c>
    </row>
    <row r="297" spans="1:7" s="613" customFormat="1">
      <c r="A297" s="462" t="str">
        <f>IF('Deviseur EUROPE'!C298&lt;&gt;0,'Deviseur EUROPE'!A295,"")</f>
        <v/>
      </c>
      <c r="B297" s="463"/>
      <c r="C297" s="463"/>
      <c r="D297" s="464"/>
      <c r="F297" s="450" t="str">
        <f>IF(A297&lt;&gt;"",'Deviseur EUROPE'!B301+'Deviseur EUROPE'!B302&amp;" NAT Gateaway","")</f>
        <v/>
      </c>
      <c r="G297" s="461" t="str">
        <f>IF(A297&lt;&gt;"",'Deviseur EUROPE'!C296,"")</f>
        <v/>
      </c>
    </row>
    <row r="298" spans="1:7" s="613" customFormat="1">
      <c r="A298" s="462" t="str">
        <f>IF('Deviseur EUROPE'!C303&lt;&gt;0,'Deviseur EUROPE'!A300,"")</f>
        <v/>
      </c>
      <c r="B298" s="463"/>
      <c r="C298" s="463"/>
      <c r="D298" s="464"/>
      <c r="F298" s="450" t="str">
        <f>IF(A298&lt;&gt;"",'Deviseur EUROPE'!B297+'Deviseur EUROPE'!B296&amp;" Private NAT Gateway","")</f>
        <v/>
      </c>
      <c r="G298" s="461" t="str">
        <f>IF(A298&lt;&gt;"",'Deviseur EUROPE'!C297,"")</f>
        <v/>
      </c>
    </row>
    <row r="299" spans="1:7" s="333" customFormat="1">
      <c r="A299" s="462" t="str">
        <f>IF('Deviseur EUROPE'!B306&lt;&gt;0,'Deviseur EUROPE'!A306,"")</f>
        <v/>
      </c>
      <c r="B299" s="463"/>
      <c r="C299" s="463"/>
      <c r="D299" s="464"/>
      <c r="E299" s="454"/>
      <c r="F299" s="450" t="str">
        <f>IF(A299&lt;&gt;"",'Deviseur EUROPE'!B306&amp;" Hosted Zones","")</f>
        <v/>
      </c>
      <c r="G299" s="461" t="str">
        <f>IF(A299&lt;&gt;"",'Deviseur EUROPE'!C306,"")</f>
        <v/>
      </c>
    </row>
    <row r="300" spans="1:7" s="613" customFormat="1">
      <c r="A300" s="462" t="str">
        <f>IF('Deviseur EUROPE'!B307&lt;&gt;0,'Deviseur EUROPE'!A307,"")</f>
        <v/>
      </c>
      <c r="B300" s="463"/>
      <c r="C300" s="463"/>
      <c r="D300" s="464"/>
      <c r="E300" s="454"/>
      <c r="F300" s="450" t="str">
        <f>IF(A300&lt;&gt;"",'Deviseur EUROPE'!B307&amp;" Tranches","")</f>
        <v/>
      </c>
      <c r="G300" s="461" t="str">
        <f>IF(A300&lt;&gt;"",'Deviseur EUROPE'!C307,"")</f>
        <v/>
      </c>
    </row>
    <row r="301" spans="1:7" s="1489" customFormat="1">
      <c r="A301" s="462" t="str">
        <f>IF('Deviseur EUROPE'!C270&lt;&gt;0,'Deviseur EUROPE'!A270,"")</f>
        <v/>
      </c>
      <c r="B301" s="463"/>
      <c r="C301" s="463"/>
      <c r="D301" s="464" t="str">
        <f>IF(A301&lt;&gt;"",'Deviseur EUROPE'!B270,"")</f>
        <v/>
      </c>
      <c r="E301" s="454"/>
      <c r="F301" s="450"/>
      <c r="G301" s="461" t="str">
        <f>IF(A301&lt;&gt;"",'Deviseur EUROPE'!C270,"")</f>
        <v/>
      </c>
    </row>
    <row r="302" spans="1:7" s="613" customFormat="1">
      <c r="A302" s="462"/>
      <c r="B302" s="463"/>
      <c r="C302" s="463"/>
      <c r="D302" s="464"/>
      <c r="E302" s="454"/>
      <c r="F302" s="450"/>
      <c r="G302" s="461"/>
    </row>
    <row r="303" spans="1:7" s="613" customFormat="1">
      <c r="A303" s="267" t="s">
        <v>1412</v>
      </c>
      <c r="B303" s="264"/>
      <c r="C303" s="182"/>
      <c r="D303" s="210"/>
      <c r="E303" s="210"/>
      <c r="F303" s="210" t="s">
        <v>11</v>
      </c>
      <c r="G303" s="277" t="s">
        <v>28</v>
      </c>
    </row>
    <row r="304" spans="1:7" s="613" customFormat="1">
      <c r="A304" s="925" t="str">
        <f>IF('Deviseur EUROPE'!G319&lt;&gt;0,'Deviseur EUROPE'!A319,"")</f>
        <v/>
      </c>
      <c r="B304" s="934"/>
      <c r="C304" s="934"/>
      <c r="D304" s="1104"/>
      <c r="E304" s="929"/>
      <c r="F304" s="1105" t="str">
        <f>IF(A304&lt;&gt;"",'Deviseur EUROPE'!C319,"")</f>
        <v/>
      </c>
      <c r="G304" s="932" t="str">
        <f>IF(A304&lt;&gt;"",'Deviseur EUROPE'!G319,"")</f>
        <v/>
      </c>
    </row>
    <row r="305" spans="1:7" s="613" customFormat="1">
      <c r="A305" s="925" t="str">
        <f>IF('Deviseur EUROPE'!G320&lt;&gt;0,'Deviseur EUROPE'!A320,"")</f>
        <v/>
      </c>
      <c r="B305" s="934"/>
      <c r="C305" s="934"/>
      <c r="D305" s="1104"/>
      <c r="E305" s="929"/>
      <c r="F305" s="1105" t="str">
        <f>IF(A305&lt;&gt;"",'Deviseur EUROPE'!C320,"")</f>
        <v/>
      </c>
      <c r="G305" s="932" t="str">
        <f>IF(A305&lt;&gt;"",'Deviseur EUROPE'!G320,"")</f>
        <v/>
      </c>
    </row>
    <row r="306" spans="1:7" s="613" customFormat="1">
      <c r="A306" s="925" t="str">
        <f>IF('Deviseur EUROPE'!G321&lt;&gt;0,'Deviseur EUROPE'!A321,"")</f>
        <v/>
      </c>
      <c r="B306" s="934"/>
      <c r="C306" s="934"/>
      <c r="D306" s="1104"/>
      <c r="E306" s="929"/>
      <c r="F306" s="1105" t="str">
        <f>IF(A306&lt;&gt;"",'Deviseur EUROPE'!C321,"")</f>
        <v/>
      </c>
      <c r="G306" s="932" t="str">
        <f>IF(A306&lt;&gt;"",'Deviseur EUROPE'!G321,"")</f>
        <v/>
      </c>
    </row>
    <row r="307" spans="1:7" s="613" customFormat="1">
      <c r="A307" s="925" t="str">
        <f>IF('Deviseur EUROPE'!G322&lt;&gt;0,'Deviseur EUROPE'!A322,"")</f>
        <v/>
      </c>
      <c r="B307" s="934"/>
      <c r="C307" s="934"/>
      <c r="D307" s="1104"/>
      <c r="E307" s="929"/>
      <c r="F307" s="1105" t="str">
        <f>IF(A307&lt;&gt;"",'Deviseur EUROPE'!C322,"")</f>
        <v/>
      </c>
      <c r="G307" s="932" t="str">
        <f>IF(A307&lt;&gt;"",'Deviseur EUROPE'!G322,"")</f>
        <v/>
      </c>
    </row>
    <row r="308" spans="1:7" s="613" customFormat="1">
      <c r="A308" s="462" t="str">
        <f>IF('Deviseur EUROPE'!B346&lt;&gt;0,'Deviseur EUROPE'!A344,"")</f>
        <v/>
      </c>
      <c r="B308" s="785"/>
      <c r="C308" s="430"/>
      <c r="D308" s="448"/>
      <c r="E308" s="454"/>
      <c r="F308" s="448" t="str">
        <f>IF(A308&lt;&gt;"",'Deviseur EUROPE'!A346&amp;" heures","")</f>
        <v/>
      </c>
      <c r="G308" s="461" t="str">
        <f>IF(A308&lt;&gt;"",'Deviseur EUROPE'!I346,"")</f>
        <v/>
      </c>
    </row>
    <row r="309" spans="1:7" s="613" customFormat="1">
      <c r="A309" s="462" t="str">
        <f>IF('Deviseur EUROPE'!D350&lt;&gt;0,'Deviseur EUROPE'!A348,"")</f>
        <v/>
      </c>
      <c r="B309" s="785"/>
      <c r="C309" s="430"/>
      <c r="D309" s="448"/>
      <c r="E309" s="454"/>
      <c r="F309" s="448" t="str">
        <f>IF(A309&lt;&gt;"",'Deviseur EUROPE'!A350&amp;" heures","")</f>
        <v/>
      </c>
      <c r="G309" s="461" t="str">
        <f>IF(A309&lt;&gt;"",'Deviseur EUROPE'!D350,"")</f>
        <v/>
      </c>
    </row>
    <row r="310" spans="1:7" s="1489" customFormat="1">
      <c r="A310" s="462" t="str">
        <f>IF('Deviseur EUROPE'!A539&lt;&gt;0,'Deviseur EUROPE'!A539,"")</f>
        <v/>
      </c>
      <c r="B310" s="1656"/>
      <c r="C310" s="430"/>
      <c r="D310" s="448"/>
      <c r="E310" s="454"/>
      <c r="F310" s="448" t="str">
        <f>IF(A310&lt;&gt;"",'Deviseur EUROPE'!B539,"")</f>
        <v/>
      </c>
      <c r="G310" s="461" t="str">
        <f>IF(A310&lt;&gt;"",'Deviseur EUROPE'!D539,"")</f>
        <v/>
      </c>
    </row>
    <row r="311" spans="1:7" s="1489" customFormat="1">
      <c r="A311" s="462" t="str">
        <f>IF('Deviseur EUROPE'!A540&lt;&gt;0,'Deviseur EUROPE'!A540,"")</f>
        <v/>
      </c>
      <c r="B311" s="1656"/>
      <c r="C311" s="430"/>
      <c r="D311" s="448"/>
      <c r="E311" s="454"/>
      <c r="F311" s="448" t="str">
        <f>IF(A311&lt;&gt;"",'Deviseur EUROPE'!B540,"")</f>
        <v/>
      </c>
      <c r="G311" s="461" t="str">
        <f>IF(A311&lt;&gt;"",'Deviseur EUROPE'!D540,"")</f>
        <v/>
      </c>
    </row>
    <row r="312" spans="1:7" s="1489" customFormat="1">
      <c r="A312" s="462" t="str">
        <f>IF('Deviseur EUROPE'!A541&lt;&gt;0,'Deviseur EUROPE'!A541,"")</f>
        <v/>
      </c>
      <c r="B312" s="1656"/>
      <c r="C312" s="430"/>
      <c r="D312" s="448"/>
      <c r="E312" s="454"/>
      <c r="F312" s="448" t="str">
        <f>IF(A312&lt;&gt;"",'Deviseur EUROPE'!B541,"")</f>
        <v/>
      </c>
      <c r="G312" s="461" t="str">
        <f>IF(A312&lt;&gt;"",'Deviseur EUROPE'!D541,"")</f>
        <v/>
      </c>
    </row>
    <row r="313" spans="1:7" s="1489" customFormat="1">
      <c r="A313" s="462" t="str">
        <f>IF('Deviseur EUROPE'!A542&lt;&gt;0,'Deviseur EUROPE'!A542,"")</f>
        <v/>
      </c>
      <c r="B313" s="1656"/>
      <c r="C313" s="430"/>
      <c r="D313" s="448"/>
      <c r="E313" s="454"/>
      <c r="F313" s="448" t="str">
        <f>IF(A313&lt;&gt;"",'Deviseur EUROPE'!B542,"")</f>
        <v/>
      </c>
      <c r="G313" s="461" t="str">
        <f>IF(A313&lt;&gt;"",'Deviseur EUROPE'!D542,"")</f>
        <v/>
      </c>
    </row>
    <row r="314" spans="1:7" s="1489" customFormat="1">
      <c r="A314" s="462" t="str">
        <f>IF('Deviseur EUROPE'!A543&lt;&gt;0,'Deviseur EUROPE'!A543,"")</f>
        <v/>
      </c>
      <c r="B314" s="1656"/>
      <c r="C314" s="430"/>
      <c r="D314" s="448"/>
      <c r="E314" s="454"/>
      <c r="F314" s="448" t="str">
        <f>IF(A314&lt;&gt;"",'Deviseur EUROPE'!B543,"")</f>
        <v/>
      </c>
      <c r="G314" s="461" t="str">
        <f>IF(A314&lt;&gt;"",'Deviseur EUROPE'!D543,"")</f>
        <v/>
      </c>
    </row>
    <row r="315" spans="1:7" s="1489" customFormat="1">
      <c r="A315" s="462" t="str">
        <f>IF('Deviseur EUROPE'!A544&lt;&gt;0,'Deviseur EUROPE'!A544,"")</f>
        <v/>
      </c>
      <c r="B315" s="1656"/>
      <c r="C315" s="430"/>
      <c r="D315" s="448"/>
      <c r="E315" s="454"/>
      <c r="F315" s="448" t="str">
        <f>IF(A315&lt;&gt;"",'Deviseur EUROPE'!B544,"")</f>
        <v/>
      </c>
      <c r="G315" s="461" t="str">
        <f>IF(A315&lt;&gt;"",'Deviseur EUROPE'!D544,"")</f>
        <v/>
      </c>
    </row>
    <row r="316" spans="1:7" s="1489" customFormat="1">
      <c r="A316" s="462" t="str">
        <f>IF('Deviseur EUROPE'!A545&lt;&gt;0,'Deviseur EUROPE'!A545,"")</f>
        <v/>
      </c>
      <c r="B316" s="1656"/>
      <c r="C316" s="430"/>
      <c r="D316" s="448"/>
      <c r="E316" s="454"/>
      <c r="F316" s="448" t="str">
        <f>IF(A316&lt;&gt;"",'Deviseur EUROPE'!B545,"")</f>
        <v/>
      </c>
      <c r="G316" s="461" t="str">
        <f>IF(A316&lt;&gt;"",'Deviseur EUROPE'!D545,"")</f>
        <v/>
      </c>
    </row>
    <row r="317" spans="1:7" s="1489" customFormat="1">
      <c r="A317" s="462" t="str">
        <f>IF('Deviseur EUROPE'!A546&lt;&gt;0,'Deviseur EUROPE'!A546,"")</f>
        <v/>
      </c>
      <c r="B317" s="1656"/>
      <c r="C317" s="430"/>
      <c r="D317" s="448"/>
      <c r="E317" s="454"/>
      <c r="F317" s="448" t="str">
        <f>IF(A317&lt;&gt;"",'Deviseur EUROPE'!B546,"")</f>
        <v/>
      </c>
      <c r="G317" s="461" t="str">
        <f>IF(A317&lt;&gt;"",'Deviseur EUROPE'!D546,"")</f>
        <v/>
      </c>
    </row>
    <row r="318" spans="1:7" s="1489" customFormat="1">
      <c r="A318" s="462" t="str">
        <f>IF('Deviseur EUROPE'!B550&lt;&gt;0,'Deviseur EUROPE'!B550,"")</f>
        <v/>
      </c>
      <c r="B318" s="1656"/>
      <c r="C318" s="430"/>
      <c r="D318" s="448"/>
      <c r="E318" s="454"/>
      <c r="F318" s="448" t="str">
        <f>IF(A318&lt;&gt;"",'Deviseur EUROPE'!C550&amp;"GB","")</f>
        <v/>
      </c>
      <c r="G318" s="461" t="str">
        <f>IF(A318&lt;&gt;"",'Deviseur EUROPE'!D550,"")</f>
        <v/>
      </c>
    </row>
    <row r="319" spans="1:7" s="1489" customFormat="1">
      <c r="A319" s="462" t="str">
        <f>IF('Deviseur EUROPE'!B551&lt;&gt;0,'Deviseur EUROPE'!B551,"")</f>
        <v/>
      </c>
      <c r="B319" s="1656"/>
      <c r="C319" s="430"/>
      <c r="D319" s="448"/>
      <c r="E319" s="454"/>
      <c r="F319" s="448" t="str">
        <f>IF(A319&lt;&gt;"",'Deviseur EUROPE'!C551&amp;"GB","")</f>
        <v/>
      </c>
      <c r="G319" s="461" t="str">
        <f>IF(A319&lt;&gt;"",'Deviseur EUROPE'!D551,"")</f>
        <v/>
      </c>
    </row>
    <row r="320" spans="1:7" s="613" customFormat="1">
      <c r="A320" s="462" t="str">
        <f>IF('Deviseur EUROPE'!C342&lt;&gt;0,'Deviseur EUROPE'!A339,"")</f>
        <v/>
      </c>
      <c r="B320" s="1900"/>
      <c r="C320" s="430"/>
      <c r="D320" s="448"/>
      <c r="E320" s="454"/>
      <c r="F320" s="448" t="str" cm="1">
        <f t="array" ref="F320">IF(A320&lt;&gt;"",SUM('Deviseur EUROPE'!B340:B341&amp;"hours"),"")</f>
        <v/>
      </c>
      <c r="G320" s="461" t="str">
        <f>IF(A320&lt;&gt;"",'Deviseur EUROPE'!C342,"")</f>
        <v/>
      </c>
    </row>
    <row r="321" spans="1:7" s="613" customFormat="1">
      <c r="A321" s="267" t="s">
        <v>1413</v>
      </c>
      <c r="B321" s="264"/>
      <c r="C321" s="182"/>
      <c r="D321" s="210"/>
      <c r="E321" s="210"/>
      <c r="F321" s="210" t="s">
        <v>11</v>
      </c>
      <c r="G321" s="277" t="s">
        <v>28</v>
      </c>
    </row>
    <row r="322" spans="1:7" s="613" customFormat="1">
      <c r="A322" s="925" t="str">
        <f>IF('Deviseur EUROPE'!G330&lt;&gt;0,'Deviseur EUROPE'!A325,"")</f>
        <v/>
      </c>
      <c r="B322" s="934"/>
      <c r="C322" s="934"/>
      <c r="D322" s="1104"/>
      <c r="E322" s="929"/>
      <c r="F322" s="1105" t="str">
        <f>IF(A322&lt;&gt;"",SUM('Deviseur EUROPE'!E326:E329),"")</f>
        <v/>
      </c>
      <c r="G322" s="932" t="str">
        <f>IF(A322&lt;&gt;"",'Deviseur EUROPE'!G330,"")</f>
        <v/>
      </c>
    </row>
    <row r="323" spans="1:7" s="613" customFormat="1">
      <c r="A323" s="925" t="str">
        <f>IF('Deviseur EUROPE'!I337&lt;&gt;0,'Deviseur EUROPE'!A332,"")</f>
        <v/>
      </c>
      <c r="B323" s="934"/>
      <c r="C323" s="934"/>
      <c r="D323" s="1104"/>
      <c r="E323" s="929"/>
      <c r="F323" s="1105" t="str">
        <f>IF(A323&lt;&gt;"",SUM('Deviseur EUROPE'!F333:F336),"")</f>
        <v/>
      </c>
      <c r="G323" s="932" t="str">
        <f>IF(A323&lt;&gt;"",'Deviseur EUROPE'!I337,"")</f>
        <v/>
      </c>
    </row>
    <row r="324" spans="1:7" s="1185" customFormat="1">
      <c r="A324" s="267" t="s">
        <v>1949</v>
      </c>
      <c r="B324" s="264"/>
      <c r="C324" s="182"/>
      <c r="D324" s="210"/>
      <c r="E324" s="210"/>
      <c r="F324" s="210" t="s">
        <v>11</v>
      </c>
      <c r="G324" s="277" t="s">
        <v>28</v>
      </c>
    </row>
    <row r="325" spans="1:7" s="1185" customFormat="1">
      <c r="A325" s="925"/>
      <c r="B325" s="934"/>
      <c r="C325" s="934"/>
      <c r="D325" s="1104"/>
      <c r="E325" s="929"/>
      <c r="F325" s="1105"/>
      <c r="G325" s="932"/>
    </row>
    <row r="326" spans="1:7" s="1185" customFormat="1">
      <c r="A326" s="925"/>
      <c r="B326" s="934"/>
      <c r="C326" s="934"/>
      <c r="D326" s="1104"/>
      <c r="E326" s="929"/>
      <c r="F326" s="1105"/>
      <c r="G326" s="932"/>
    </row>
    <row r="327" spans="1:7" s="1185" customFormat="1">
      <c r="A327" s="925"/>
      <c r="B327" s="934"/>
      <c r="C327" s="934"/>
      <c r="D327" s="1104"/>
      <c r="E327" s="929"/>
      <c r="F327" s="1105"/>
      <c r="G327" s="932"/>
    </row>
    <row r="328" spans="1:7" s="1185" customFormat="1">
      <c r="A328" s="925"/>
      <c r="B328" s="934"/>
      <c r="C328" s="934"/>
      <c r="D328" s="1104"/>
      <c r="E328" s="929"/>
      <c r="F328" s="1105"/>
      <c r="G328" s="932"/>
    </row>
    <row r="329" spans="1:7" s="333" customFormat="1">
      <c r="A329" s="267" t="s">
        <v>1172</v>
      </c>
      <c r="B329" s="264"/>
      <c r="C329" s="182"/>
      <c r="D329" s="210"/>
      <c r="E329" s="210"/>
      <c r="F329" s="210" t="s">
        <v>11</v>
      </c>
      <c r="G329" s="277" t="s">
        <v>28</v>
      </c>
    </row>
    <row r="330" spans="1:7" s="333" customFormat="1">
      <c r="A330" s="462" t="str">
        <f>IF('Deviseur EUROPE'!B356&lt;&gt;0,'Deviseur EUROPE'!A356,"")</f>
        <v/>
      </c>
      <c r="B330" s="463"/>
      <c r="C330" s="463"/>
      <c r="D330" s="464"/>
      <c r="E330" s="454"/>
      <c r="F330" s="450" t="str">
        <f>IF(A330&lt;&gt;"",'Deviseur EUROPE'!B356,"")</f>
        <v/>
      </c>
      <c r="G330" s="461" t="str">
        <f>IF(A330&lt;&gt;"",'Deviseur EUROPE'!C356,"")</f>
        <v/>
      </c>
    </row>
    <row r="331" spans="1:7" s="333" customFormat="1">
      <c r="A331" s="462" t="str">
        <f>IF('Deviseur EUROPE'!B357&lt;&gt;0,'Deviseur EUROPE'!A357,"")</f>
        <v/>
      </c>
      <c r="B331" s="463"/>
      <c r="C331" s="463"/>
      <c r="D331" s="464"/>
      <c r="E331" s="454"/>
      <c r="F331" s="450" t="str">
        <f>IF(A331&lt;&gt;"",'Deviseur EUROPE'!B357,"")</f>
        <v/>
      </c>
      <c r="G331" s="461" t="str">
        <f>IF(A331&lt;&gt;"",'Deviseur EUROPE'!C357,"")</f>
        <v/>
      </c>
    </row>
    <row r="332" spans="1:7" s="333" customFormat="1">
      <c r="A332" s="462" t="str">
        <f>IF('Deviseur EUROPE'!B358&lt;&gt;0,'Deviseur EUROPE'!A358,"")</f>
        <v/>
      </c>
      <c r="B332" s="463"/>
      <c r="C332" s="463"/>
      <c r="D332" s="464"/>
      <c r="E332" s="454"/>
      <c r="F332" s="450" t="str">
        <f>IF(A332&lt;&gt;"",'Deviseur EUROPE'!B358,"")</f>
        <v/>
      </c>
      <c r="G332" s="461" t="str">
        <f>IF(A332&lt;&gt;"",'Deviseur EUROPE'!C358,"")</f>
        <v/>
      </c>
    </row>
    <row r="333" spans="1:7" s="613" customFormat="1">
      <c r="A333" s="462" t="str">
        <f>IF('Deviseur EUROPE'!B359&lt;&gt;0,'Deviseur EUROPE'!A359,"")</f>
        <v/>
      </c>
      <c r="B333" s="463"/>
      <c r="C333" s="463"/>
      <c r="D333" s="464"/>
      <c r="E333" s="454"/>
      <c r="F333" s="450" t="str">
        <f>IF(A333&lt;&gt;"",'Deviseur EUROPE'!B359,"")</f>
        <v/>
      </c>
      <c r="G333" s="461" t="str">
        <f>IF(A333&lt;&gt;"",'Deviseur EUROPE'!C359,"")</f>
        <v/>
      </c>
    </row>
    <row r="334" spans="1:7" s="613" customFormat="1">
      <c r="A334" s="462" t="str">
        <f>IF('Deviseur EUROPE'!B362&lt;&gt;0,'Deviseur EUROPE'!A362,"")</f>
        <v/>
      </c>
      <c r="B334" s="463"/>
      <c r="C334" s="463"/>
      <c r="D334" s="464"/>
      <c r="E334" s="454"/>
      <c r="F334" s="450" t="str">
        <f>IF(A334&lt;&gt;"",'Deviseur EUROPE'!B362,"")</f>
        <v/>
      </c>
      <c r="G334" s="461" t="str">
        <f>IF(A334&lt;&gt;"",'Deviseur EUROPE'!C362,"")</f>
        <v/>
      </c>
    </row>
    <row r="335" spans="1:7" s="613" customFormat="1">
      <c r="A335" s="462" t="str">
        <f>IF('Deviseur EUROPE'!B363&lt;&gt;0,'Deviseur EUROPE'!A363,"")</f>
        <v/>
      </c>
      <c r="B335" s="463"/>
      <c r="C335" s="463"/>
      <c r="D335" s="464"/>
      <c r="E335" s="454"/>
      <c r="F335" s="450" t="str">
        <f>IF(A335&lt;&gt;"",'Deviseur EUROPE'!B363,"")</f>
        <v/>
      </c>
      <c r="G335" s="461" t="str">
        <f>IF(A335&lt;&gt;"",'Deviseur EUROPE'!C363,"")</f>
        <v/>
      </c>
    </row>
    <row r="336" spans="1:7" s="613" customFormat="1">
      <c r="A336" s="462" t="str">
        <f>IF('Deviseur EUROPE'!B468&lt;&gt;0,'Deviseur EUROPE'!A459,"")</f>
        <v/>
      </c>
      <c r="B336" s="463"/>
      <c r="C336" s="463"/>
      <c r="D336" s="464"/>
      <c r="E336" s="454"/>
      <c r="F336" s="450" t="str">
        <f>IF(A336&lt;&gt;"",'Deviseur EUROPE'!B461&amp;" heures","")</f>
        <v/>
      </c>
      <c r="G336" s="461" t="str">
        <f>IF(A336&lt;&gt;"",'Deviseur EUROPE'!B468,"")</f>
        <v/>
      </c>
    </row>
    <row r="337" spans="1:7" s="1489" customFormat="1">
      <c r="A337" s="462" t="str">
        <f>IF('Deviseur EUROPE'!G457&lt;&gt;0,'Deviseur EUROPE'!A451,"")</f>
        <v/>
      </c>
      <c r="B337" s="463"/>
      <c r="C337" s="463"/>
      <c r="D337" s="464"/>
      <c r="E337" s="454"/>
      <c r="F337" s="450" t="str">
        <f>IF(A337&lt;&gt;"",SUMPRODUCT('Deviseur EUROPE'!E452:E456,'Deviseur EUROPE'!F452:F456)&amp;" heures","")</f>
        <v/>
      </c>
      <c r="G337" s="461" t="str">
        <f>IF(A337&lt;&gt;"",'Deviseur EUROPE'!G457,"")</f>
        <v/>
      </c>
    </row>
    <row r="338" spans="1:7" s="1405" customFormat="1">
      <c r="A338" s="462" t="str">
        <f>IF('Deviseur EUROPE'!F399&lt;&gt;0,'Deviseur EUROPE'!A399,"")</f>
        <v/>
      </c>
      <c r="B338" s="463"/>
      <c r="C338" s="463"/>
      <c r="D338" s="464"/>
      <c r="E338" s="454"/>
      <c r="F338" s="450"/>
      <c r="G338" s="461" t="str">
        <f>IF(A338&lt;&gt;"",'Deviseur EUROPE'!F399,"")</f>
        <v/>
      </c>
    </row>
    <row r="339" spans="1:7" s="1405" customFormat="1">
      <c r="A339" s="462" t="str">
        <f>IF('Deviseur EUROPE'!F400&lt;&gt;0,'Deviseur EUROPE'!A400,"")</f>
        <v/>
      </c>
      <c r="B339" s="463"/>
      <c r="C339" s="463"/>
      <c r="D339" s="464"/>
      <c r="E339" s="454"/>
      <c r="F339" s="450"/>
      <c r="G339" s="461" t="str">
        <f>IF(A339&lt;&gt;"",'Deviseur EUROPE'!F400,"")</f>
        <v/>
      </c>
    </row>
    <row r="340" spans="1:7" s="1405" customFormat="1">
      <c r="A340" s="462" t="str">
        <f>IF('Deviseur EUROPE'!F401&lt;&gt;0,'Deviseur EUROPE'!A401,"")</f>
        <v/>
      </c>
      <c r="B340" s="463"/>
      <c r="C340" s="463"/>
      <c r="D340" s="464"/>
      <c r="E340" s="454"/>
      <c r="F340" s="450"/>
      <c r="G340" s="461" t="str">
        <f>IF(A340&lt;&gt;"",'Deviseur EUROPE'!F401,"")</f>
        <v/>
      </c>
    </row>
    <row r="341" spans="1:7" s="1405" customFormat="1">
      <c r="A341" s="462" t="str">
        <f>IF('Deviseur EUROPE'!F402&lt;&gt;0,'Deviseur EUROPE'!A402,"")</f>
        <v/>
      </c>
      <c r="B341" s="463"/>
      <c r="C341" s="463"/>
      <c r="D341" s="464"/>
      <c r="E341" s="454"/>
      <c r="F341" s="450"/>
      <c r="G341" s="461" t="str">
        <f>IF(A341&lt;&gt;"",'Deviseur EUROPE'!F402,"")</f>
        <v/>
      </c>
    </row>
    <row r="342" spans="1:7" s="333" customFormat="1">
      <c r="A342" s="462" t="str">
        <f>IF('Deviseur EUROPE'!B374&lt;&gt;0,'Deviseur EUROPE'!A374,"")</f>
        <v/>
      </c>
      <c r="B342" s="463"/>
      <c r="C342" s="463"/>
      <c r="D342" s="464"/>
      <c r="E342" s="454"/>
      <c r="F342" s="450" t="str">
        <f>IF(A344&lt;&gt;"",IF('Deviseur EUROPE'!D374='QuoteTool EUROPE'!$U$79,('Deviseur EUROPE'!B374&amp;" instances"),('Deviseur EUROPE'!B374*'Deviseur EUROPE'!C374&amp;" hours")),"")</f>
        <v/>
      </c>
      <c r="G342" s="461" t="str">
        <f>IF(A342&lt;&gt;"",'Deviseur EUROPE'!F374,"")</f>
        <v/>
      </c>
    </row>
    <row r="343" spans="1:7" s="333" customFormat="1">
      <c r="A343" s="462" t="str">
        <f>IF('Deviseur EUROPE'!B375&lt;&gt;0,'Deviseur EUROPE'!A375,"")</f>
        <v/>
      </c>
      <c r="B343" s="463"/>
      <c r="C343" s="463"/>
      <c r="D343" s="464"/>
      <c r="E343" s="454"/>
      <c r="F343" s="450" t="str">
        <f>IF(A345&lt;&gt;"",IF('Deviseur EUROPE'!D375='QuoteTool EUROPE'!$U$79,('Deviseur EUROPE'!B375&amp;" instances"),('Deviseur EUROPE'!B375*'Deviseur EUROPE'!C375&amp;" hours")),"")</f>
        <v/>
      </c>
      <c r="G343" s="461" t="str">
        <f>IF(A343&lt;&gt;"",'Deviseur EUROPE'!F375,"")</f>
        <v/>
      </c>
    </row>
    <row r="344" spans="1:7" s="333" customFormat="1">
      <c r="A344" s="462" t="str">
        <f>IF('Deviseur EUROPE'!B376&lt;&gt;0,'Deviseur EUROPE'!A376,"")</f>
        <v/>
      </c>
      <c r="B344" s="463"/>
      <c r="C344" s="463"/>
      <c r="D344" s="464"/>
      <c r="E344" s="454"/>
      <c r="F344" s="450" t="str">
        <f>IF(A346&lt;&gt;"",IF('Deviseur EUROPE'!D376='QuoteTool EUROPE'!$U$79,('Deviseur EUROPE'!B376&amp;" instances"),('Deviseur EUROPE'!B376*'Deviseur EUROPE'!C376&amp;" hours")),"")</f>
        <v/>
      </c>
      <c r="G344" s="461" t="str">
        <f>IF(A344&lt;&gt;"",'Deviseur EUROPE'!F376,"")</f>
        <v/>
      </c>
    </row>
    <row r="345" spans="1:7" s="333" customFormat="1">
      <c r="A345" s="462" t="str">
        <f>IF('Deviseur EUROPE'!B377&lt;&gt;0,'Deviseur EUROPE'!A377,"")</f>
        <v/>
      </c>
      <c r="B345" s="463"/>
      <c r="C345" s="463"/>
      <c r="D345" s="464"/>
      <c r="E345" s="454"/>
      <c r="F345" s="450" t="str">
        <f>IF(A345&lt;&gt;"",IF('Deviseur EUROPE'!D377='QuoteTool EUROPE'!$U$79,('Deviseur EUROPE'!B377&amp;" instances"),('Deviseur EUROPE'!B377*'Deviseur EUROPE'!C377&amp;" hours")),"")</f>
        <v/>
      </c>
      <c r="G345" s="461" t="str">
        <f>IF(A345&lt;&gt;"",'Deviseur EUROPE'!F377,"")</f>
        <v/>
      </c>
    </row>
    <row r="346" spans="1:7" s="163" customFormat="1">
      <c r="A346" s="462" t="str">
        <f>IF('Deviseur EUROPE'!B471&lt;&gt;0,'Deviseur EUROPE'!A471,"")</f>
        <v/>
      </c>
      <c r="B346" s="339"/>
      <c r="C346" s="430"/>
      <c r="D346" s="448"/>
      <c r="E346" s="454"/>
      <c r="F346" s="450" t="str">
        <f>IF(A346&lt;&gt;"",('Deviseur EUROPE'!C471*'Deviseur EUROPE'!B471)&amp;" Heures","")</f>
        <v/>
      </c>
      <c r="G346" s="461" t="str">
        <f>IF(A346&lt;&gt;"",'Deviseur EUROPE'!D471,"")</f>
        <v/>
      </c>
    </row>
    <row r="347" spans="1:7" s="613" customFormat="1">
      <c r="A347" s="462" t="str">
        <f>IF('Deviseur EUROPE'!B472&lt;&gt;0,'Deviseur EUROPE'!A472,"")</f>
        <v/>
      </c>
      <c r="B347" s="608"/>
      <c r="C347" s="430"/>
      <c r="D347" s="448"/>
      <c r="E347" s="454"/>
      <c r="F347" s="450" t="str">
        <f>IF(A347&lt;&gt;"",'Deviseur EUROPE'!B472&amp;" Tranches","")</f>
        <v/>
      </c>
      <c r="G347" s="461" t="str">
        <f>IF(A347&lt;&gt;"",'Deviseur EUROPE'!D472,"")</f>
        <v/>
      </c>
    </row>
    <row r="348" spans="1:7" s="613" customFormat="1">
      <c r="A348" s="462" t="str">
        <f>IF('Deviseur EUROPE'!B473&lt;&gt;0,'Deviseur EUROPE'!A473,"")</f>
        <v/>
      </c>
      <c r="B348" s="608"/>
      <c r="C348" s="430"/>
      <c r="D348" s="448"/>
      <c r="E348" s="454"/>
      <c r="F348" s="450" t="str">
        <f>IF(A348&lt;&gt;"",'Deviseur EUROPE'!B473&amp;" Go","")</f>
        <v/>
      </c>
      <c r="G348" s="461" t="str">
        <f>IF(A348&lt;&gt;"",'Deviseur EUROPE'!D473,"")</f>
        <v/>
      </c>
    </row>
    <row r="349" spans="1:7" s="613" customFormat="1">
      <c r="A349" s="462" t="str">
        <f>IF('Deviseur EUROPE'!B477&lt;&gt;0,'Deviseur EUROPE'!A477,"")</f>
        <v/>
      </c>
      <c r="B349" s="608"/>
      <c r="C349" s="430"/>
      <c r="D349" s="448"/>
      <c r="E349" s="454"/>
      <c r="F349" s="448" t="str">
        <f>IF(A349&lt;&gt;"",'Deviseur EUROPE'!B477&amp;" Partitions","")</f>
        <v/>
      </c>
      <c r="G349" s="461" t="str">
        <f>IF(A349&lt;&gt;"",'Deviseur EUROPE'!D477,"")</f>
        <v/>
      </c>
    </row>
    <row r="350" spans="1:7" s="613" customFormat="1">
      <c r="A350" s="462" t="str">
        <f>IF('Deviseur EUROPE'!D483&lt;&gt;0,'Deviseur EUROPE'!A479,"")</f>
        <v/>
      </c>
      <c r="B350" s="608"/>
      <c r="C350" s="430"/>
      <c r="D350" s="448"/>
      <c r="E350" s="454"/>
      <c r="F350" s="448"/>
      <c r="G350" s="461" t="str">
        <f>IF(A350&lt;&gt;"",'Deviseur EUROPE'!D483,"")</f>
        <v/>
      </c>
    </row>
    <row r="351" spans="1:7" s="613" customFormat="1">
      <c r="A351" s="462" t="str">
        <f>IF('Deviseur EUROPE'!B486&lt;&gt;0,'Deviseur EUROPE'!A486,"")</f>
        <v/>
      </c>
      <c r="B351" s="608"/>
      <c r="C351" s="430"/>
      <c r="D351" s="448"/>
      <c r="E351" s="448" t="str">
        <f>IF(A351&lt;&gt;"",'Deviseur EUROPE'!B486&amp;" Service","")</f>
        <v/>
      </c>
      <c r="F351" s="448" t="str">
        <f>IF(A351&lt;&gt;"",('Deviseur EUROPE'!B486*'Deviseur EUROPE'!C486)&amp;" Heures","")</f>
        <v/>
      </c>
      <c r="G351" s="461" t="str">
        <f>IF(A351&lt;&gt;"",'Deviseur EUROPE'!D486,"")</f>
        <v/>
      </c>
    </row>
    <row r="352" spans="1:7" s="613" customFormat="1">
      <c r="A352" s="462" t="str">
        <f>IF('Deviseur EUROPE'!B489&lt;&gt;0,'Deviseur EUROPE'!A489,"")</f>
        <v/>
      </c>
      <c r="B352" s="696"/>
      <c r="C352" s="430"/>
      <c r="D352" s="448"/>
      <c r="E352" s="448" t="str">
        <f>IF(A352&lt;&gt;"",'Deviseur EUROPE'!B489&amp;" SPU","")</f>
        <v/>
      </c>
      <c r="F352" s="448" t="str">
        <f>IF(A352&lt;&gt;"",('Deviseur EUROPE'!B489*'Deviseur EUROPE'!C489)&amp;" Heures","")</f>
        <v/>
      </c>
      <c r="G352" s="461" t="str">
        <f>IF(A352&lt;&gt;"",'Deviseur EUROPE'!D489,"")</f>
        <v/>
      </c>
    </row>
    <row r="353" spans="1:7" s="613" customFormat="1">
      <c r="A353" s="462" t="str">
        <f>IF('Deviseur EUROPE'!B406&lt;&gt;0,'Deviseur EUROPE'!A406,"")</f>
        <v/>
      </c>
      <c r="B353" s="734"/>
      <c r="C353" s="430"/>
      <c r="D353" s="448"/>
      <c r="E353" s="448"/>
      <c r="F353" s="448" t="str">
        <f>IF(A353&lt;&gt;"",'Deviseur EUROPE'!B406,"")</f>
        <v/>
      </c>
      <c r="G353" s="461" t="str">
        <f>IF(A353&lt;&gt;"",'Deviseur EUROPE'!C406,"")</f>
        <v/>
      </c>
    </row>
    <row r="354" spans="1:7" s="613" customFormat="1">
      <c r="A354" s="462" t="str">
        <f>IF('Deviseur EUROPE'!B407&lt;&gt;0,'Deviseur EUROPE'!A407,"")</f>
        <v/>
      </c>
      <c r="B354" s="734"/>
      <c r="C354" s="430"/>
      <c r="D354" s="448"/>
      <c r="E354" s="448"/>
      <c r="F354" s="448" t="str">
        <f>IF(A354&lt;&gt;"",'Deviseur EUROPE'!B407,"")</f>
        <v/>
      </c>
      <c r="G354" s="461" t="str">
        <f>IF(A354&lt;&gt;"",'Deviseur EUROPE'!C407,"")</f>
        <v/>
      </c>
    </row>
    <row r="355" spans="1:7" s="613" customFormat="1">
      <c r="A355" s="462" t="str">
        <f>IF('Deviseur EUROPE'!B408&lt;&gt;0,'Deviseur EUROPE'!A408,"")</f>
        <v/>
      </c>
      <c r="B355" s="639"/>
      <c r="C355" s="430"/>
      <c r="D355" s="448"/>
      <c r="E355" s="454"/>
      <c r="F355" s="448" t="str">
        <f>IF(A355&lt;&gt;"",'Deviseur EUROPE'!B408,"")</f>
        <v/>
      </c>
      <c r="G355" s="461" t="str">
        <f>IF(A355&lt;&gt;"",'Deviseur EUROPE'!C408,"")</f>
        <v/>
      </c>
    </row>
    <row r="356" spans="1:7" s="613" customFormat="1">
      <c r="A356" s="462" t="str">
        <f>IF('Deviseur EUROPE'!B412&lt;&gt;0,'Deviseur EUROPE'!A412,"")</f>
        <v/>
      </c>
      <c r="B356" s="688"/>
      <c r="C356" s="430"/>
      <c r="D356" s="448"/>
      <c r="E356" s="448" t="str">
        <f>IF(A356&lt;&gt;"",'Deviseur EUROPE'!B412&amp;" instances","")</f>
        <v/>
      </c>
      <c r="F356" s="448" t="str">
        <f>IF(A356&lt;&gt;"",'Deviseur EUROPE'!C412&amp;" heures","")</f>
        <v/>
      </c>
      <c r="G356" s="461" t="str">
        <f>IF(A356&lt;&gt;"",'Deviseur EUROPE'!E412,"")</f>
        <v/>
      </c>
    </row>
    <row r="357" spans="1:7" s="613" customFormat="1">
      <c r="A357" s="462" t="str">
        <f>IF('Deviseur EUROPE'!B413&lt;&gt;0,'Deviseur EUROPE'!A413,"")</f>
        <v/>
      </c>
      <c r="B357" s="688"/>
      <c r="C357" s="430"/>
      <c r="D357" s="448"/>
      <c r="E357" s="448" t="str">
        <f>IF(A357&lt;&gt;"",'Deviseur EUROPE'!B413&amp;" instances","")</f>
        <v/>
      </c>
      <c r="F357" s="448" t="str">
        <f>IF(A357&lt;&gt;"",'Deviseur EUROPE'!C413&amp;" heures","")</f>
        <v/>
      </c>
      <c r="G357" s="461" t="str">
        <f>IF(A357&lt;&gt;"",'Deviseur EUROPE'!E413,"")</f>
        <v/>
      </c>
    </row>
    <row r="358" spans="1:7" s="613" customFormat="1">
      <c r="A358" s="462" t="str">
        <f>IF('Deviseur EUROPE'!B414&lt;&gt;0,'Deviseur EUROPE'!A414,"")</f>
        <v/>
      </c>
      <c r="B358" s="688"/>
      <c r="C358" s="430"/>
      <c r="D358" s="448"/>
      <c r="E358" s="448" t="str">
        <f>IF(A358&lt;&gt;"",'Deviseur EUROPE'!B414&amp;" instances","")</f>
        <v/>
      </c>
      <c r="F358" s="448" t="str">
        <f>IF(A358&lt;&gt;"",'Deviseur EUROPE'!C414&amp;" heures","")</f>
        <v/>
      </c>
      <c r="G358" s="461" t="str">
        <f>IF(A358&lt;&gt;"",'Deviseur EUROPE'!E414,"")</f>
        <v/>
      </c>
    </row>
    <row r="359" spans="1:7" s="613" customFormat="1">
      <c r="A359" s="462" t="str">
        <f>IF('Deviseur EUROPE'!B415&lt;&gt;0,'Deviseur EUROPE'!A415,"")</f>
        <v/>
      </c>
      <c r="B359" s="688"/>
      <c r="C359" s="430"/>
      <c r="D359" s="448"/>
      <c r="E359" s="448" t="str">
        <f>IF(A359&lt;&gt;"",'Deviseur EUROPE'!B415&amp;" instances","")</f>
        <v/>
      </c>
      <c r="F359" s="448" t="str">
        <f>IF(A359&lt;&gt;"",'Deviseur EUROPE'!C415&amp;" heures","")</f>
        <v/>
      </c>
      <c r="G359" s="461" t="str">
        <f>IF(A359&lt;&gt;"",'Deviseur EUROPE'!E415,"")</f>
        <v/>
      </c>
    </row>
    <row r="360" spans="1:7" s="613" customFormat="1">
      <c r="A360" s="462" t="str">
        <f>IF('Deviseur EUROPE'!B419&lt;&gt;0,'Deviseur EUROPE'!A419,"")</f>
        <v/>
      </c>
      <c r="B360" s="1040"/>
      <c r="C360" s="430"/>
      <c r="D360" s="448"/>
      <c r="E360" s="448" t="str">
        <f>IF(A360&lt;&gt;"",'Deviseur EUROPE'!B419&amp;" instances","")</f>
        <v/>
      </c>
      <c r="F360" s="448" t="str">
        <f>IF(A360&lt;&gt;"",'Deviseur EUROPE'!C419&amp;" heures","")</f>
        <v/>
      </c>
      <c r="G360" s="461" t="str">
        <f>IF(A360&lt;&gt;"",'Deviseur EUROPE'!E419,"")</f>
        <v/>
      </c>
    </row>
    <row r="361" spans="1:7" s="613" customFormat="1">
      <c r="A361" s="462" t="str">
        <f>IF('Deviseur EUROPE'!B420&lt;&gt;0,'Deviseur EUROPE'!A420,"")</f>
        <v/>
      </c>
      <c r="B361" s="1040"/>
      <c r="C361" s="430"/>
      <c r="D361" s="448"/>
      <c r="E361" s="448" t="str">
        <f>IF(A361&lt;&gt;"",'Deviseur EUROPE'!B420&amp;" instances","")</f>
        <v/>
      </c>
      <c r="F361" s="448" t="str">
        <f>IF(A361&lt;&gt;"",'Deviseur EUROPE'!C420&amp;" heures","")</f>
        <v/>
      </c>
      <c r="G361" s="461" t="str">
        <f>IF(A361&lt;&gt;"",'Deviseur EUROPE'!E420,"")</f>
        <v/>
      </c>
    </row>
    <row r="362" spans="1:7" s="613" customFormat="1">
      <c r="A362" s="462" t="str">
        <f>IF('Deviseur EUROPE'!B421&lt;&gt;0,'Deviseur EUROPE'!A421,"")</f>
        <v/>
      </c>
      <c r="B362" s="1040"/>
      <c r="C362" s="430"/>
      <c r="D362" s="448"/>
      <c r="E362" s="448" t="str">
        <f>IF(A362&lt;&gt;"",'Deviseur EUROPE'!B421&amp;" instances","")</f>
        <v/>
      </c>
      <c r="F362" s="448" t="str">
        <f>IF(A362&lt;&gt;"",'Deviseur EUROPE'!C421&amp;" heures","")</f>
        <v/>
      </c>
      <c r="G362" s="461" t="str">
        <f>IF(A362&lt;&gt;"",'Deviseur EUROPE'!E421,"")</f>
        <v/>
      </c>
    </row>
    <row r="363" spans="1:7" s="613" customFormat="1">
      <c r="A363" s="462" t="str">
        <f>IF('Deviseur EUROPE'!B422&lt;&gt;0,'Deviseur EUROPE'!A422,"")</f>
        <v/>
      </c>
      <c r="B363" s="1040"/>
      <c r="C363" s="430"/>
      <c r="D363" s="448"/>
      <c r="E363" s="448" t="str">
        <f>IF(A363&lt;&gt;"",'Deviseur EUROPE'!B422&amp;" instances","")</f>
        <v/>
      </c>
      <c r="F363" s="448" t="str">
        <f>IF(A363&lt;&gt;"",'Deviseur EUROPE'!C422&amp;" heures","")</f>
        <v/>
      </c>
      <c r="G363" s="461" t="str">
        <f>IF(A363&lt;&gt;"",'Deviseur EUROPE'!E422,"")</f>
        <v/>
      </c>
    </row>
    <row r="364" spans="1:7" s="613" customFormat="1">
      <c r="A364" s="462" t="str">
        <f>IF('Deviseur EUROPE'!B426&lt;&gt;0,'Deviseur EUROPE'!A426,"")</f>
        <v/>
      </c>
      <c r="B364" s="1040"/>
      <c r="C364" s="430"/>
      <c r="D364" s="448"/>
      <c r="E364" s="448" t="str">
        <f>IF(A364&lt;&gt;"",'Deviseur EUROPE'!B426&amp;" instances","")</f>
        <v/>
      </c>
      <c r="F364" s="448" t="str">
        <f>IF(A364&lt;&gt;"",'Deviseur EUROPE'!C426&amp;" heures","")</f>
        <v/>
      </c>
      <c r="G364" s="461" t="str">
        <f>IF(A364&lt;&gt;"",'Deviseur EUROPE'!E426,"")</f>
        <v/>
      </c>
    </row>
    <row r="365" spans="1:7" s="613" customFormat="1">
      <c r="A365" s="462" t="str">
        <f>IF('Deviseur EUROPE'!B427&lt;&gt;0,'Deviseur EUROPE'!A427,"")</f>
        <v/>
      </c>
      <c r="B365" s="1040"/>
      <c r="C365" s="430"/>
      <c r="D365" s="448"/>
      <c r="E365" s="448" t="str">
        <f>IF(A365&lt;&gt;"",'Deviseur EUROPE'!B427&amp;" instances","")</f>
        <v/>
      </c>
      <c r="F365" s="448" t="str">
        <f>IF(A365&lt;&gt;"",'Deviseur EUROPE'!C427&amp;" heures","")</f>
        <v/>
      </c>
      <c r="G365" s="461" t="str">
        <f>IF(A365&lt;&gt;"",'Deviseur EUROPE'!E427,"")</f>
        <v/>
      </c>
    </row>
    <row r="366" spans="1:7" s="613" customFormat="1">
      <c r="A366" s="462" t="str">
        <f>IF('Deviseur EUROPE'!B428&lt;&gt;0,'Deviseur EUROPE'!A428,"")</f>
        <v/>
      </c>
      <c r="B366" s="1040"/>
      <c r="C366" s="430"/>
      <c r="D366" s="448"/>
      <c r="E366" s="448" t="str">
        <f>IF(A366&lt;&gt;"",'Deviseur EUROPE'!B428&amp;" instances","")</f>
        <v/>
      </c>
      <c r="F366" s="448" t="str">
        <f>IF(A366&lt;&gt;"",'Deviseur EUROPE'!C428&amp;" heures","")</f>
        <v/>
      </c>
      <c r="G366" s="461" t="str">
        <f>IF(A366&lt;&gt;"",'Deviseur EUROPE'!E428,"")</f>
        <v/>
      </c>
    </row>
    <row r="367" spans="1:7" s="613" customFormat="1">
      <c r="A367" s="462" t="str">
        <f>IF('Deviseur EUROPE'!B429&lt;&gt;0,'Deviseur EUROPE'!A429,"")</f>
        <v/>
      </c>
      <c r="B367" s="1040"/>
      <c r="C367" s="430"/>
      <c r="D367" s="448"/>
      <c r="E367" s="448" t="str">
        <f>IF(A367&lt;&gt;"",'Deviseur EUROPE'!B429&amp;" instances","")</f>
        <v/>
      </c>
      <c r="F367" s="448" t="str">
        <f>IF(A367&lt;&gt;"",'Deviseur EUROPE'!C429&amp;" heures","")</f>
        <v/>
      </c>
      <c r="G367" s="461" t="str">
        <f>IF(A367&lt;&gt;"",'Deviseur EUROPE'!E429,"")</f>
        <v/>
      </c>
    </row>
    <row r="368" spans="1:7" s="613" customFormat="1">
      <c r="A368" s="462" t="str">
        <f>IF('Deviseur EUROPE'!B433&lt;&gt;0,'Deviseur EUROPE'!A433,"")</f>
        <v/>
      </c>
      <c r="B368" s="644"/>
      <c r="C368" s="430"/>
      <c r="D368" s="448"/>
      <c r="E368" s="454"/>
      <c r="F368" s="448" t="str">
        <f>IF(A368&lt;&gt;"",'Deviseur EUROPE'!B433,"")</f>
        <v/>
      </c>
      <c r="G368" s="461" t="str">
        <f>IF(A368&lt;&gt;"",'Deviseur EUROPE'!C433,"")</f>
        <v/>
      </c>
    </row>
    <row r="369" spans="1:7" s="613" customFormat="1">
      <c r="A369" s="462" t="str">
        <f>IF('Deviseur EUROPE'!B434&lt;&gt;0,'Deviseur EUROPE'!A434,"")</f>
        <v/>
      </c>
      <c r="B369" s="644"/>
      <c r="C369" s="430"/>
      <c r="D369" s="448"/>
      <c r="E369" s="454"/>
      <c r="F369" s="448" t="str">
        <f>IF(A369&lt;&gt;"",'Deviseur EUROPE'!B434,"")</f>
        <v/>
      </c>
      <c r="G369" s="461" t="str">
        <f>IF(A369&lt;&gt;"",'Deviseur EUROPE'!C434,"")</f>
        <v/>
      </c>
    </row>
    <row r="370" spans="1:7" s="613" customFormat="1">
      <c r="A370" s="925" t="str">
        <f>IF('Deviseur EUROPE'!A438&lt;&gt;0,'Deviseur EUROPE'!A438,"")</f>
        <v/>
      </c>
      <c r="B370" s="926"/>
      <c r="C370" s="927"/>
      <c r="D370" s="928"/>
      <c r="E370" s="929"/>
      <c r="F370" s="448" t="str">
        <f>IF('Deviseur EUROPE'!B438&lt;&gt;"",'Deviseur EUROPE'!B438&amp;" instances","")</f>
        <v/>
      </c>
      <c r="G370" s="461" t="str">
        <f>IF(A370&lt;&gt;"",'Deviseur EUROPE'!C438,"")</f>
        <v/>
      </c>
    </row>
    <row r="371" spans="1:7" s="613" customFormat="1">
      <c r="A371" s="925" t="str">
        <f>IF('Deviseur EUROPE'!A439&lt;&gt;0,'Deviseur EUROPE'!A439,"")</f>
        <v/>
      </c>
      <c r="B371" s="926"/>
      <c r="C371" s="927"/>
      <c r="D371" s="928"/>
      <c r="E371" s="929"/>
      <c r="F371" s="448" t="str">
        <f>IF('Deviseur EUROPE'!B439&lt;&gt;"",'Deviseur EUROPE'!B439&amp;" instances","")</f>
        <v/>
      </c>
      <c r="G371" s="461" t="str">
        <f>IF(A371&lt;&gt;"",'Deviseur EUROPE'!C439,"")</f>
        <v/>
      </c>
    </row>
    <row r="372" spans="1:7" s="613" customFormat="1">
      <c r="A372" s="925" t="str">
        <f>IF('Deviseur EUROPE'!A440&lt;&gt;0,'Deviseur EUROPE'!A440,"")</f>
        <v/>
      </c>
      <c r="B372" s="926"/>
      <c r="C372" s="927"/>
      <c r="D372" s="928"/>
      <c r="E372" s="929"/>
      <c r="F372" s="448" t="str">
        <f>IF('Deviseur EUROPE'!B440&lt;&gt;"",'Deviseur EUROPE'!B440&amp;" instances","")</f>
        <v/>
      </c>
      <c r="G372" s="461" t="str">
        <f>IF(A372&lt;&gt;"",'Deviseur EUROPE'!C440,"")</f>
        <v/>
      </c>
    </row>
    <row r="373" spans="1:7" s="613" customFormat="1">
      <c r="A373" s="925" t="str">
        <f>IF('Deviseur EUROPE'!A441&lt;&gt;0,'Deviseur EUROPE'!A441,"")</f>
        <v/>
      </c>
      <c r="B373" s="926"/>
      <c r="C373" s="927"/>
      <c r="D373" s="928"/>
      <c r="E373" s="929"/>
      <c r="F373" s="448" t="str">
        <f>IF('Deviseur EUROPE'!B441&lt;&gt;"",'Deviseur EUROPE'!B441&amp;" instances","")</f>
        <v/>
      </c>
      <c r="G373" s="461" t="str">
        <f>IF(A373&lt;&gt;"",'Deviseur EUROPE'!C441,"")</f>
        <v/>
      </c>
    </row>
    <row r="374" spans="1:7" s="613" customFormat="1">
      <c r="A374" s="925" t="str">
        <f>IF('Deviseur EUROPE'!C151&lt;&gt;0,'Deviseur EUROPE'!A148,"")</f>
        <v/>
      </c>
      <c r="B374" s="926"/>
      <c r="C374" s="927"/>
      <c r="D374" s="928"/>
      <c r="E374" s="929"/>
      <c r="F374" s="448"/>
      <c r="G374" s="461" t="str">
        <f>IF(A374&lt;&gt;"",'Deviseur EUROPE'!C151,"")</f>
        <v/>
      </c>
    </row>
    <row r="375" spans="1:7" s="613" customFormat="1">
      <c r="A375" s="925" t="str">
        <f>IF('Deviseur EUROPE'!D492&lt;&gt;0,'Deviseur EUROPE'!A491,"")</f>
        <v/>
      </c>
      <c r="B375" s="926"/>
      <c r="C375" s="927"/>
      <c r="D375" s="928"/>
      <c r="E375" s="929"/>
      <c r="F375" s="448"/>
      <c r="G375" s="461" t="str">
        <f>IF(A375&lt;&gt;"",'Deviseur EUROPE'!D492,"")</f>
        <v/>
      </c>
    </row>
    <row r="376" spans="1:7" s="1489" customFormat="1">
      <c r="A376" s="925" t="str">
        <f>IF('Deviseur EUROPE'!A495&lt;&gt;"",'Deviseur EUROPE'!A494,"")</f>
        <v/>
      </c>
      <c r="B376" s="1380"/>
      <c r="C376" s="927"/>
      <c r="D376" s="928"/>
      <c r="E376" s="929"/>
      <c r="F376" s="448"/>
      <c r="G376" s="461" t="str">
        <f>IF(A376&lt;&gt;"",'Deviseur EUROPE'!B495,"")</f>
        <v/>
      </c>
    </row>
    <row r="377" spans="1:7" s="613" customFormat="1">
      <c r="A377" s="925" t="str">
        <f>IF('Deviseur EUROPE'!C516&lt;&gt;0,'Deviseur EUROPE'!A497,"")</f>
        <v/>
      </c>
      <c r="B377" s="926"/>
      <c r="C377" s="927"/>
      <c r="D377" s="928"/>
      <c r="E377" s="929"/>
      <c r="F377" s="448" t="str">
        <f>IF(A377&lt;&gt;"",SUM('Deviseur EUROPE'!B505:B515)&amp;" Heures","")</f>
        <v/>
      </c>
      <c r="G377" s="461" t="str">
        <f>IF(A377&lt;&gt;"",'Deviseur EUROPE'!C516,"")</f>
        <v/>
      </c>
    </row>
    <row r="378" spans="1:7" s="613" customFormat="1">
      <c r="A378" s="925" t="str">
        <f>IF('Deviseur EUROPE'!D523&lt;&gt;0,'Deviseur EUROPE'!A518,"")</f>
        <v/>
      </c>
      <c r="B378" s="1157"/>
      <c r="C378" s="927"/>
      <c r="D378" s="928"/>
      <c r="E378" s="929"/>
      <c r="F378" s="448"/>
      <c r="G378" s="461" t="str">
        <f>IF(A378&lt;&gt;"",'Deviseur EUROPE'!D523,"")</f>
        <v/>
      </c>
    </row>
    <row r="379" spans="1:7" s="1489" customFormat="1">
      <c r="A379" s="925" t="str">
        <f>IF('Deviseur EUROPE'!D530&lt;&gt;0,'Deviseur EUROPE'!A525,"")</f>
        <v/>
      </c>
      <c r="B379" s="1380"/>
      <c r="C379" s="927"/>
      <c r="D379" s="928"/>
      <c r="E379" s="929"/>
      <c r="F379" s="448"/>
      <c r="G379" s="461" t="str">
        <f>IF(A379&lt;&gt;"",'Deviseur EUROPE'!D530,"")</f>
        <v/>
      </c>
    </row>
    <row r="380" spans="1:7" s="1489" customFormat="1">
      <c r="A380" s="925" t="str">
        <f>IF('Deviseur EUROPE'!C364&lt;&gt;0,'Deviseur EUROPE'!A361,"")</f>
        <v/>
      </c>
      <c r="B380" s="1380"/>
      <c r="C380" s="927"/>
      <c r="D380" s="928"/>
      <c r="E380" s="929"/>
      <c r="F380" s="448"/>
      <c r="G380" s="461" t="str">
        <f>IF(A380&lt;&gt;"",'Deviseur EUROPE'!C364,"")</f>
        <v/>
      </c>
    </row>
    <row r="381" spans="1:7" s="1185" customFormat="1">
      <c r="A381" s="925" t="str">
        <f>IF('Deviseur EUROPE'!C371&lt;&gt;0,'Deviseur EUROPE'!A366,"")</f>
        <v/>
      </c>
      <c r="B381" s="1364"/>
      <c r="C381" s="927"/>
      <c r="D381" s="928"/>
      <c r="E381" s="929"/>
      <c r="F381" s="448"/>
      <c r="G381" s="461" t="str">
        <f>IF(A381&lt;&gt;"",'Deviseur EUROPE'!C371,"")</f>
        <v/>
      </c>
    </row>
    <row r="382" spans="1:7" s="1489" customFormat="1">
      <c r="A382" s="925" t="str">
        <f>IF('Deviseur EUROPE'!G555&lt;&gt;0,'Deviseur EUROPE'!$A$554,"")</f>
        <v/>
      </c>
      <c r="B382" s="1380"/>
      <c r="C382" s="927"/>
      <c r="D382" s="928"/>
      <c r="E382" s="929" t="str">
        <f>IF(A382&lt;&gt;"",'Deviseur EUROPE'!C555,"")</f>
        <v/>
      </c>
      <c r="F382" s="448"/>
      <c r="G382" s="461" t="str">
        <f>IF(A382&lt;&gt;"",'Deviseur EUROPE'!G555,"")</f>
        <v/>
      </c>
    </row>
    <row r="383" spans="1:7" s="1489" customFormat="1">
      <c r="A383" s="925" t="str">
        <f>IF('Deviseur EUROPE'!G556&lt;&gt;0,'Deviseur EUROPE'!$A$554,"")</f>
        <v/>
      </c>
      <c r="B383" s="1380"/>
      <c r="C383" s="927"/>
      <c r="D383" s="928"/>
      <c r="E383" s="929" t="str">
        <f>IF(A383&lt;&gt;"",'Deviseur EUROPE'!C556,"")</f>
        <v/>
      </c>
      <c r="F383" s="448"/>
      <c r="G383" s="461" t="str">
        <f>IF(A383&lt;&gt;"",'Deviseur EUROPE'!G556,"")</f>
        <v/>
      </c>
    </row>
    <row r="384" spans="1:7" s="1489" customFormat="1">
      <c r="A384" s="925" t="str">
        <f>IF('Deviseur EUROPE'!G557&lt;&gt;0,'Deviseur EUROPE'!$A$554,"")</f>
        <v/>
      </c>
      <c r="B384" s="1380"/>
      <c r="C384" s="927"/>
      <c r="D384" s="928"/>
      <c r="E384" s="929" t="str">
        <f>IF(A384&lt;&gt;"",'Deviseur EUROPE'!C557,"")</f>
        <v/>
      </c>
      <c r="F384" s="448"/>
      <c r="G384" s="461" t="str">
        <f>IF(A384&lt;&gt;"",'Deviseur EUROPE'!G557,"")</f>
        <v/>
      </c>
    </row>
    <row r="385" spans="1:7" s="1489" customFormat="1">
      <c r="A385" s="925" t="str">
        <f>IF('Deviseur EUROPE'!G558&lt;&gt;0,'Deviseur EUROPE'!$A$554,"")</f>
        <v/>
      </c>
      <c r="B385" s="1380"/>
      <c r="C385" s="927"/>
      <c r="D385" s="928"/>
      <c r="E385" s="929" t="str">
        <f>IF(A385&lt;&gt;"",'Deviseur EUROPE'!C558,"")</f>
        <v/>
      </c>
      <c r="F385" s="448"/>
      <c r="G385" s="461" t="str">
        <f>IF(A385&lt;&gt;"",'Deviseur EUROPE'!G558,"")</f>
        <v/>
      </c>
    </row>
    <row r="386" spans="1:7" s="1489" customFormat="1">
      <c r="A386" s="925" t="str">
        <f>IF('Deviseur EUROPE'!E468&lt;&gt;0,'Deviseur EUROPE'!A459,"")</f>
        <v/>
      </c>
      <c r="B386" s="1380"/>
      <c r="C386" s="927"/>
      <c r="D386" s="928"/>
      <c r="E386" s="929"/>
      <c r="F386" s="448"/>
      <c r="G386" s="461" t="str">
        <f>IF(A386&lt;&gt;"",'Deviseur EUROPE'!E468,"")</f>
        <v/>
      </c>
    </row>
    <row r="387" spans="1:7" s="1489" customFormat="1">
      <c r="A387" s="925" t="str">
        <f>IF('Deviseur EUROPE'!C561&lt;&gt;0,'Deviseur EUROPE'!A560,"")</f>
        <v/>
      </c>
      <c r="B387" s="1380"/>
      <c r="C387" s="927"/>
      <c r="D387" s="928"/>
      <c r="E387" s="929"/>
      <c r="F387" s="448"/>
      <c r="G387" s="461" t="str">
        <f>IF(A387&lt;&gt;"",'Deviseur EUROPE'!C561,"")</f>
        <v/>
      </c>
    </row>
    <row r="388" spans="1:7" s="1489" customFormat="1">
      <c r="A388" s="925" t="str">
        <f>IF('Deviseur EUROPE'!D567&lt;&gt;0,'Deviseur EUROPE'!A563,"")</f>
        <v/>
      </c>
      <c r="B388" s="1380"/>
      <c r="C388" s="927"/>
      <c r="D388" s="928"/>
      <c r="E388" s="929"/>
      <c r="F388" s="448"/>
      <c r="G388" s="461" t="str">
        <f>IF(A388&lt;&gt;"",'Deviseur EUROPE'!D567,"")</f>
        <v/>
      </c>
    </row>
    <row r="389" spans="1:7" s="613" customFormat="1">
      <c r="A389" s="267" t="s">
        <v>1173</v>
      </c>
      <c r="B389" s="264"/>
      <c r="C389" s="182"/>
      <c r="D389" s="210"/>
      <c r="E389" s="210"/>
      <c r="F389" s="210" t="s">
        <v>11</v>
      </c>
      <c r="G389" s="277" t="s">
        <v>28</v>
      </c>
    </row>
    <row r="390" spans="1:7" s="613" customFormat="1">
      <c r="A390" s="925" t="str">
        <f>IF('Deviseur EUROPE'!A445&lt;&gt;0,'Deviseur EUROPE'!A445,"")</f>
        <v/>
      </c>
      <c r="B390" s="926"/>
      <c r="C390" s="927"/>
      <c r="D390" s="928"/>
      <c r="E390" s="929"/>
      <c r="F390" s="448" t="str">
        <f>IF('Deviseur EUROPE'!B445&lt;&gt;"",'Deviseur EUROPE'!B445&amp;" instances","")</f>
        <v/>
      </c>
      <c r="G390" s="461" t="str">
        <f>IF(A390&lt;&gt;"",'Deviseur EUROPE'!D445,"")</f>
        <v/>
      </c>
    </row>
    <row r="391" spans="1:7" s="613" customFormat="1">
      <c r="A391" s="925" t="str">
        <f>IF('Deviseur EUROPE'!A446&lt;&gt;0,'Deviseur EUROPE'!A446,"")</f>
        <v/>
      </c>
      <c r="B391" s="926"/>
      <c r="C391" s="927"/>
      <c r="D391" s="928"/>
      <c r="E391" s="929"/>
      <c r="F391" s="448" t="str">
        <f>IF('Deviseur EUROPE'!B446&lt;&gt;"",'Deviseur EUROPE'!B446&amp;" instances","")</f>
        <v/>
      </c>
      <c r="G391" s="461" t="str">
        <f>IF(A391&lt;&gt;"",'Deviseur EUROPE'!D446,"")</f>
        <v/>
      </c>
    </row>
    <row r="392" spans="1:7" s="613" customFormat="1">
      <c r="A392" s="925" t="str">
        <f>IF('Deviseur EUROPE'!A447&lt;&gt;0,'Deviseur EUROPE'!A447,"")</f>
        <v/>
      </c>
      <c r="B392" s="926"/>
      <c r="C392" s="927"/>
      <c r="D392" s="928"/>
      <c r="E392" s="929"/>
      <c r="F392" s="448" t="str">
        <f>IF('Deviseur EUROPE'!B447&lt;&gt;"",'Deviseur EUROPE'!B447&amp;" instances","")</f>
        <v/>
      </c>
      <c r="G392" s="461" t="str">
        <f>IF(A392&lt;&gt;"",'Deviseur EUROPE'!D447,"")</f>
        <v/>
      </c>
    </row>
    <row r="393" spans="1:7" s="613" customFormat="1">
      <c r="A393" s="925" t="str">
        <f>IF('Deviseur EUROPE'!A448&lt;&gt;0,'Deviseur EUROPE'!A448,"")</f>
        <v/>
      </c>
      <c r="B393" s="926"/>
      <c r="C393" s="927"/>
      <c r="D393" s="928"/>
      <c r="E393" s="929"/>
      <c r="F393" s="448" t="str">
        <f>IF('Deviseur EUROPE'!B448&lt;&gt;"",'Deviseur EUROPE'!B448&amp;" instances","")</f>
        <v/>
      </c>
      <c r="G393" s="461" t="str">
        <f>IF(A393&lt;&gt;"",'Deviseur EUROPE'!D448,"")</f>
        <v/>
      </c>
    </row>
    <row r="394" spans="1:7" s="613" customFormat="1">
      <c r="A394" s="643"/>
      <c r="B394" s="644"/>
      <c r="C394" s="430"/>
      <c r="D394" s="448"/>
      <c r="E394" s="454"/>
      <c r="F394" s="448"/>
      <c r="G394" s="442"/>
    </row>
    <row r="395" spans="1:7" s="39" customFormat="1">
      <c r="A395" s="185" t="s">
        <v>12</v>
      </c>
      <c r="B395" s="200"/>
      <c r="C395" s="183"/>
      <c r="D395" s="259"/>
      <c r="E395" s="259"/>
      <c r="F395" s="259"/>
      <c r="G395" s="263"/>
    </row>
    <row r="396" spans="1:7" s="39" customFormat="1">
      <c r="A396" s="2156" t="s">
        <v>12</v>
      </c>
      <c r="B396" s="2157"/>
      <c r="C396" s="337"/>
      <c r="D396" s="210" t="s">
        <v>92</v>
      </c>
      <c r="E396" s="210"/>
      <c r="F396" s="210" t="s">
        <v>42</v>
      </c>
      <c r="G396" s="277" t="s">
        <v>28</v>
      </c>
    </row>
    <row r="397" spans="1:7" s="39" customFormat="1">
      <c r="A397" s="2160" t="str">
        <f>IF('Deviseur EUROPE'!C571=0,"",'Deviseur EUROPE'!A571)</f>
        <v/>
      </c>
      <c r="B397" s="2160"/>
      <c r="D397" s="254" t="str">
        <f>IF(A397&lt;&gt;"",'Deviseur EUROPE'!B571,"")</f>
        <v/>
      </c>
      <c r="E397" s="449"/>
      <c r="F397" s="552" t="str">
        <f>IF(A397&lt;&gt;"",'Deviseur EUROPE'!F571,"")</f>
        <v/>
      </c>
      <c r="G397" s="446" t="str">
        <f>IF(A397&lt;&gt;"",'Deviseur EUROPE'!I7,"")</f>
        <v/>
      </c>
    </row>
    <row r="398" spans="1:7" s="163" customFormat="1">
      <c r="A398" s="320"/>
      <c r="B398" s="318"/>
      <c r="C398" s="212"/>
      <c r="D398" s="214"/>
      <c r="E398" s="214"/>
      <c r="F398" s="269"/>
      <c r="G398" s="447"/>
    </row>
    <row r="399" spans="1:7" s="163" customFormat="1">
      <c r="A399" s="233"/>
      <c r="B399" s="233"/>
      <c r="C399" s="254"/>
      <c r="D399" s="255"/>
      <c r="E399" s="255"/>
      <c r="F399" s="236"/>
      <c r="G399" s="206"/>
    </row>
    <row r="400" spans="1:7" s="39" customFormat="1">
      <c r="B400" s="84"/>
      <c r="C400" s="84"/>
      <c r="D400" s="162"/>
      <c r="E400" s="270" t="s">
        <v>13</v>
      </c>
      <c r="F400" s="271"/>
      <c r="G400" s="252">
        <f>SUM(G141:G397)</f>
        <v>0</v>
      </c>
    </row>
    <row r="401" spans="1:7" s="39" customFormat="1">
      <c r="A401" s="196" t="s">
        <v>81</v>
      </c>
      <c r="B401" s="85"/>
      <c r="C401" s="85"/>
      <c r="D401" s="162"/>
      <c r="E401" s="272" t="s">
        <v>41</v>
      </c>
      <c r="F401" s="273"/>
      <c r="G401" s="86">
        <f>G400*F404</f>
        <v>0</v>
      </c>
    </row>
    <row r="402" spans="1:7" s="39" customFormat="1">
      <c r="A402" s="157"/>
      <c r="B402" s="84"/>
      <c r="C402" s="84"/>
      <c r="D402" s="162"/>
      <c r="E402" s="274" t="s">
        <v>14</v>
      </c>
      <c r="F402" s="275"/>
      <c r="G402" s="87">
        <f>SUM(G400:G401)</f>
        <v>0</v>
      </c>
    </row>
    <row r="403" spans="1:7">
      <c r="B403" s="79"/>
      <c r="C403" s="79"/>
      <c r="D403" s="79"/>
      <c r="E403" s="2158" t="s">
        <v>27</v>
      </c>
      <c r="F403" s="2159"/>
      <c r="G403" s="88">
        <f>G402*12</f>
        <v>0</v>
      </c>
    </row>
    <row r="404" spans="1:7">
      <c r="B404" s="79"/>
      <c r="C404" s="79"/>
      <c r="D404" s="79"/>
      <c r="E404" t="s">
        <v>391</v>
      </c>
      <c r="F404" s="170">
        <v>0.2</v>
      </c>
      <c r="G404" s="79"/>
    </row>
    <row r="405" spans="1:7">
      <c r="B405" s="79"/>
      <c r="C405" s="79"/>
      <c r="D405" s="79"/>
      <c r="E405" s="326"/>
      <c r="F405" s="327" t="str">
        <f>IF('Deviseur EUROPE'!B5&lt;&gt;0%,"Remise appliquée de "&amp;'Deviseur EUROPE'!B5*100&amp;"% soit :","")</f>
        <v/>
      </c>
      <c r="G405" s="478" t="str">
        <f>IF('Deviseur EUROPE'!B5&lt;&gt;0%,ROUND(SUM($D$30:$D$43)-SUM(G30:G43),2)&amp;" €","")</f>
        <v/>
      </c>
    </row>
    <row r="406" spans="1:7">
      <c r="G406" s="30"/>
    </row>
    <row r="407" spans="1:7">
      <c r="G407" s="30"/>
    </row>
  </sheetData>
  <sheetProtection algorithmName="SHA-512" hashValue="M7li/4A66gwadulQ3xv6MDFdv11ie9AKaJTQwUBZOiz+d9fdGHaBOGwhRn3s4M8F8Cico9lxoz6wqoibdX9xTA==" saltValue="S/QFXIOl11bGux9VgBO8Hg==" spinCount="100000" sheet="1" selectLockedCells="1"/>
  <dataConsolidate/>
  <mergeCells count="12">
    <mergeCell ref="F4:G4"/>
    <mergeCell ref="F5:G5"/>
    <mergeCell ref="F7:G7"/>
    <mergeCell ref="F6:G6"/>
    <mergeCell ref="A135:B135"/>
    <mergeCell ref="A51:C51"/>
    <mergeCell ref="A396:B396"/>
    <mergeCell ref="E403:F403"/>
    <mergeCell ref="A397:B397"/>
    <mergeCell ref="E132:F132"/>
    <mergeCell ref="E133:F133"/>
    <mergeCell ref="E134:F134"/>
  </mergeCells>
  <phoneticPr fontId="18" type="noConversion"/>
  <pageMargins left="0.59055118110236227" right="0.59055118110236227" top="0.74803149606299213" bottom="0.74803149606299213" header="0.31496062992125984" footer="0.31496062992125984"/>
  <pageSetup paperSize="9" scale="84" orientation="portrait" r:id="rId1"/>
  <headerFooter>
    <oddHeader>&amp;C&amp;"Arial,Normal"&amp;9Orange Business Services</oddHeader>
    <oddFooter>&amp;C&amp;"Arial,Normal"&amp;8 892 rue Yves Kermen - 92000 Boulogne-Billancourt - FRANCE  +33 (0)1 84 01 04 00
Orange Cloud for Business - S.A.S.U. au capital de 112.919.820,06 € - SIRET 50161528000036 - APE 6209Z - TVA FR74 501615280</oddFooter>
  </headerFooter>
  <rowBreaks count="3" manualBreakCount="3">
    <brk id="55" max="16383" man="1"/>
    <brk id="136" max="16383" man="1"/>
    <brk id="285" max="16383" man="1"/>
  </rowBreaks>
  <customProperties>
    <customPr name="Guid" r:id="rId2"/>
  </customPropertie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'Deviseur EUROPE'!$Q$7:$Q$11</xm:f>
          </x14:formula1>
          <xm:sqref>A51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1">
    <tabColor theme="9" tint="-0.249977111117893"/>
  </sheetPr>
  <dimension ref="A1:G397"/>
  <sheetViews>
    <sheetView showGridLines="0" view="pageBreakPreview" zoomScale="80" zoomScaleNormal="80" zoomScaleSheetLayoutView="80" zoomScalePageLayoutView="120" workbookViewId="0">
      <selection activeCell="C5" sqref="C5"/>
    </sheetView>
  </sheetViews>
  <sheetFormatPr baseColWidth="10" defaultColWidth="11.44140625" defaultRowHeight="14.4"/>
  <cols>
    <col min="1" max="1" width="8" style="163" bestFit="1" customWidth="1"/>
    <col min="2" max="2" width="20" style="163" customWidth="1"/>
    <col min="3" max="3" width="15.88671875" style="163" bestFit="1" customWidth="1"/>
    <col min="4" max="4" width="22.21875" style="163" customWidth="1"/>
    <col min="5" max="5" width="11.44140625" style="163" customWidth="1"/>
    <col min="6" max="6" width="9.77734375" style="163" customWidth="1"/>
    <col min="7" max="7" width="14.77734375" style="163" customWidth="1"/>
    <col min="8" max="13" width="11.21875" style="163" customWidth="1"/>
    <col min="14" max="16384" width="11.44140625" style="163"/>
  </cols>
  <sheetData>
    <row r="1" spans="1:7" ht="15" customHeight="1">
      <c r="A1" s="79"/>
      <c r="B1" s="79"/>
      <c r="C1" s="79"/>
      <c r="D1" s="80"/>
      <c r="E1" s="80"/>
      <c r="F1" s="79"/>
      <c r="G1" s="79"/>
    </row>
    <row r="2" spans="1:7" ht="34.5" customHeight="1">
      <c r="A2" s="79"/>
      <c r="B2" s="79"/>
      <c r="C2" s="80"/>
      <c r="D2" s="81"/>
      <c r="F2" s="79"/>
      <c r="G2" s="158" t="s">
        <v>385</v>
      </c>
    </row>
    <row r="3" spans="1:7" ht="34.5" customHeight="1">
      <c r="A3" s="79"/>
      <c r="B3" s="79"/>
      <c r="C3" s="80"/>
      <c r="D3" s="80"/>
      <c r="E3" s="81"/>
      <c r="F3" s="79"/>
      <c r="G3" s="79"/>
    </row>
    <row r="4" spans="1:7" ht="15" customHeight="1">
      <c r="A4" s="83"/>
      <c r="B4" s="149" t="s">
        <v>53</v>
      </c>
      <c r="C4" s="278">
        <f ca="1">TODAY()</f>
        <v>45261</v>
      </c>
      <c r="D4" s="79"/>
      <c r="E4" s="82" t="s">
        <v>203</v>
      </c>
      <c r="F4" s="2165"/>
      <c r="G4" s="2165"/>
    </row>
    <row r="5" spans="1:7">
      <c r="A5" s="102"/>
      <c r="B5" s="149" t="s">
        <v>200</v>
      </c>
      <c r="C5" s="279">
        <v>30</v>
      </c>
      <c r="D5" s="79"/>
      <c r="E5" s="82" t="s">
        <v>204</v>
      </c>
      <c r="F5" s="2165"/>
      <c r="G5" s="2165"/>
    </row>
    <row r="6" spans="1:7" ht="15" customHeight="1">
      <c r="A6" s="101"/>
      <c r="B6" s="149" t="s">
        <v>201</v>
      </c>
      <c r="C6" s="278">
        <f ca="1">C4+C5</f>
        <v>45291</v>
      </c>
      <c r="D6" s="79"/>
      <c r="E6" s="82" t="s">
        <v>205</v>
      </c>
      <c r="F6" s="2165"/>
      <c r="G6" s="2165"/>
    </row>
    <row r="7" spans="1:7">
      <c r="A7" s="79"/>
      <c r="B7" s="82" t="s">
        <v>202</v>
      </c>
      <c r="C7" s="148">
        <f ca="1">TODAY()</f>
        <v>45261</v>
      </c>
      <c r="D7" s="79"/>
      <c r="E7" s="82" t="s">
        <v>206</v>
      </c>
      <c r="F7" s="2165"/>
      <c r="G7" s="2165"/>
    </row>
    <row r="8" spans="1:7">
      <c r="A8" s="83"/>
      <c r="B8" s="83"/>
      <c r="C8" s="83"/>
      <c r="D8" s="83"/>
      <c r="E8" s="83"/>
      <c r="F8" s="83"/>
      <c r="G8" s="83"/>
    </row>
    <row r="9" spans="1:7">
      <c r="A9" s="83"/>
      <c r="B9" s="83"/>
      <c r="C9" s="83"/>
      <c r="D9" s="83"/>
      <c r="E9" s="83"/>
      <c r="F9" s="83"/>
      <c r="G9" s="83"/>
    </row>
    <row r="10" spans="1:7">
      <c r="A10" s="83"/>
      <c r="B10" s="83"/>
      <c r="C10" s="83"/>
      <c r="D10" s="83"/>
      <c r="E10" s="83"/>
      <c r="F10" s="83"/>
      <c r="G10" s="83"/>
    </row>
    <row r="11" spans="1:7" ht="17.399999999999999">
      <c r="A11" s="243" t="s">
        <v>386</v>
      </c>
      <c r="B11" s="188"/>
      <c r="C11" s="188"/>
      <c r="D11" s="184"/>
      <c r="E11" s="184"/>
      <c r="F11" s="184"/>
      <c r="G11" s="244"/>
    </row>
    <row r="12" spans="1:7">
      <c r="A12" s="189"/>
      <c r="B12" s="190"/>
      <c r="C12" s="213"/>
      <c r="D12" s="44"/>
      <c r="E12" s="44"/>
      <c r="F12" s="44"/>
      <c r="G12" s="193"/>
    </row>
    <row r="13" spans="1:7">
      <c r="A13" s="189" t="str">
        <f>IF(B13&lt;&gt;"","Discount","")</f>
        <v/>
      </c>
      <c r="B13" s="480" t="str">
        <f>IF('QuoteTool EUROPE'!B5&lt;&gt;0%,'QuoteTool EUROPE'!B5,"")</f>
        <v/>
      </c>
      <c r="C13" s="191"/>
      <c r="D13" s="44"/>
      <c r="E13" s="44"/>
      <c r="F13" s="44"/>
      <c r="G13" s="192"/>
    </row>
    <row r="14" spans="1:7">
      <c r="A14" s="189" t="str">
        <f>IF(B14&lt;&gt;"","Support","")</f>
        <v/>
      </c>
      <c r="B14" s="508" t="str">
        <f>IF('QuoteTool EUROPE'!F537&lt;&gt;0%,'QuoteTool EUROPE'!F537,"")</f>
        <v/>
      </c>
      <c r="C14" s="479" t="str">
        <f>IF('QuoteTool EUROPE'!F537&lt;&gt;0%,'QuoteTool EUROPE'!B537,"")</f>
        <v/>
      </c>
      <c r="D14" s="44"/>
      <c r="E14" s="44"/>
      <c r="F14" s="44"/>
      <c r="G14" s="193"/>
    </row>
    <row r="15" spans="1:7">
      <c r="A15" s="2169" t="str">
        <f>IF('QuoteTool EUROPE'!B5&lt;&gt;0%,"NB: support, OS licences as well as MRS and RDS services are not Discountable","")</f>
        <v/>
      </c>
      <c r="B15" s="2169"/>
      <c r="C15" s="2169"/>
      <c r="D15" s="2169"/>
      <c r="E15" s="2169"/>
      <c r="F15" s="2169"/>
      <c r="G15" s="2170"/>
    </row>
    <row r="16" spans="1:7" ht="15.6">
      <c r="A16" s="247" t="s">
        <v>284</v>
      </c>
      <c r="B16" s="248"/>
      <c r="C16" s="248"/>
      <c r="D16" s="249" t="str">
        <f>IF(B13&lt;&gt;"","Excl tax Price","")</f>
        <v/>
      </c>
      <c r="E16" s="248"/>
      <c r="F16" s="248"/>
      <c r="G16" s="250" t="str">
        <f>IF(B13&lt;&gt;"","Discounted Excl tax Price ","Excl tax Price")</f>
        <v>Excl tax Price</v>
      </c>
    </row>
    <row r="17" spans="1:7">
      <c r="A17" s="185" t="s">
        <v>285</v>
      </c>
      <c r="B17" s="200"/>
      <c r="C17" s="200"/>
      <c r="D17" s="181"/>
      <c r="E17" s="181"/>
      <c r="F17" s="262"/>
      <c r="G17" s="263"/>
    </row>
    <row r="18" spans="1:7">
      <c r="A18" s="186" t="s">
        <v>285</v>
      </c>
      <c r="B18" s="179"/>
      <c r="C18" s="179"/>
      <c r="D18" s="481" t="str">
        <f>IF(B$13&lt;&gt;"",IF(G18&lt;&gt;"",G18/(100%-'QuoteTool EUROPE'!B$5),""),"")</f>
        <v/>
      </c>
      <c r="E18" s="64"/>
      <c r="F18" s="64"/>
      <c r="G18" s="435">
        <f>SUM(G61:G115)</f>
        <v>0</v>
      </c>
    </row>
    <row r="19" spans="1:7">
      <c r="A19" s="186" t="str">
        <f>IF('QuoteTool EUROPE'!B7&lt;&gt;0,"1st month support reserved inst.","")</f>
        <v/>
      </c>
      <c r="B19" s="179"/>
      <c r="C19" s="179"/>
      <c r="D19" s="481"/>
      <c r="E19" s="64"/>
      <c r="F19" s="64"/>
      <c r="G19" s="435">
        <f>G121</f>
        <v>0</v>
      </c>
    </row>
    <row r="20" spans="1:7">
      <c r="A20" s="186"/>
      <c r="B20" s="179"/>
      <c r="C20" s="179"/>
      <c r="D20" s="481"/>
      <c r="E20" s="64"/>
      <c r="F20" s="64"/>
      <c r="G20" s="435"/>
    </row>
    <row r="21" spans="1:7">
      <c r="A21" s="185" t="s">
        <v>184</v>
      </c>
      <c r="B21" s="200"/>
      <c r="C21" s="200"/>
      <c r="D21" s="181"/>
      <c r="E21" s="181"/>
      <c r="F21" s="259"/>
      <c r="G21" s="436"/>
    </row>
    <row r="22" spans="1:7">
      <c r="A22" s="186" t="s">
        <v>189</v>
      </c>
      <c r="B22" s="179"/>
      <c r="C22" s="179"/>
      <c r="D22" s="481" t="str">
        <f>IF(B$13&lt;&gt;"",IF(G22&lt;&gt;"",G22/(100%-'QuoteTool EUROPE'!B$5),""),"")</f>
        <v/>
      </c>
      <c r="E22" s="64"/>
      <c r="F22" s="64"/>
      <c r="G22" s="435">
        <f>SUM(G125:G129)</f>
        <v>0</v>
      </c>
    </row>
    <row r="23" spans="1:7">
      <c r="A23" s="186"/>
      <c r="B23" s="179"/>
      <c r="C23" s="179"/>
      <c r="D23" s="481"/>
      <c r="E23" s="64"/>
      <c r="F23" s="64"/>
      <c r="G23" s="435"/>
    </row>
    <row r="24" spans="1:7">
      <c r="A24" s="246" t="s">
        <v>185</v>
      </c>
      <c r="B24" s="240"/>
      <c r="C24" s="240"/>
      <c r="D24" s="483">
        <f>SUM(D18:D23)</f>
        <v>0</v>
      </c>
      <c r="E24" s="240"/>
      <c r="F24" s="240"/>
      <c r="G24" s="890">
        <f>SUM(G18:G23)</f>
        <v>0</v>
      </c>
    </row>
    <row r="25" spans="1:7">
      <c r="A25" s="186"/>
      <c r="B25" s="179"/>
      <c r="C25" s="179"/>
      <c r="D25" s="178"/>
      <c r="E25" s="64"/>
      <c r="F25" s="64"/>
      <c r="G25" s="187"/>
    </row>
    <row r="26" spans="1:7">
      <c r="A26" s="186"/>
      <c r="B26" s="179"/>
      <c r="C26" s="179"/>
      <c r="D26" s="178"/>
      <c r="E26" s="64"/>
      <c r="F26" s="64"/>
      <c r="G26" s="187"/>
    </row>
    <row r="27" spans="1:7">
      <c r="A27" s="245"/>
      <c r="B27" s="191"/>
      <c r="C27" s="191"/>
      <c r="D27" s="44"/>
      <c r="E27" s="44"/>
      <c r="F27" s="44"/>
      <c r="G27" s="192"/>
    </row>
    <row r="28" spans="1:7" ht="15.6">
      <c r="A28" s="247" t="s">
        <v>183</v>
      </c>
      <c r="B28" s="249"/>
      <c r="C28" s="251"/>
      <c r="D28" s="249" t="str">
        <f>IF(B13&lt;&gt;"","Excl tax Price","")</f>
        <v/>
      </c>
      <c r="E28" s="248"/>
      <c r="F28" s="248"/>
      <c r="G28" s="250" t="str">
        <f>IF(B13&lt;&gt;"","Discounted Excl tax Price","Excl tax Price")</f>
        <v>Excl tax Price</v>
      </c>
    </row>
    <row r="29" spans="1:7">
      <c r="A29" s="185" t="s">
        <v>148</v>
      </c>
      <c r="B29" s="200"/>
      <c r="C29" s="200"/>
      <c r="D29" s="200"/>
      <c r="E29" s="200"/>
      <c r="F29" s="200"/>
      <c r="G29" s="195"/>
    </row>
    <row r="30" spans="1:7">
      <c r="A30" s="161" t="s">
        <v>2564</v>
      </c>
      <c r="B30" s="177"/>
      <c r="C30" s="177"/>
      <c r="D30" s="481" t="str">
        <f>IF(B$13&lt;&gt;"",IF(G30&lt;&gt;"",G30/(100%-'QuoteTool EUROPE'!B$5),""),"")</f>
        <v/>
      </c>
      <c r="E30" s="64"/>
      <c r="F30" s="64"/>
      <c r="G30" s="435">
        <f>SUM(G141:G184)</f>
        <v>0</v>
      </c>
    </row>
    <row r="31" spans="1:7">
      <c r="A31" s="161" t="s">
        <v>167</v>
      </c>
      <c r="B31" s="177"/>
      <c r="C31" s="179"/>
      <c r="D31" s="481" t="str">
        <f>IF(B$13&lt;&gt;"",IF(G31&lt;&gt;"",G31/(100%-'QuoteTool EUROPE'!B$5),""),"")</f>
        <v/>
      </c>
      <c r="E31" s="64"/>
      <c r="F31" s="64"/>
      <c r="G31" s="435">
        <f>SUM(G185:G202)</f>
        <v>0</v>
      </c>
    </row>
    <row r="32" spans="1:7">
      <c r="A32" s="161" t="s">
        <v>187</v>
      </c>
      <c r="B32" s="177"/>
      <c r="C32" s="179"/>
      <c r="D32" s="481" t="str">
        <f>IF(B$13&lt;&gt;"",IF(G32&lt;&gt;"",G32/(100%-'QuoteTool EUROPE'!B$5),""),"")</f>
        <v/>
      </c>
      <c r="E32" s="64"/>
      <c r="F32" s="64"/>
      <c r="G32" s="435">
        <f>SUM(G216:G251)</f>
        <v>0</v>
      </c>
    </row>
    <row r="33" spans="1:7" s="613" customFormat="1">
      <c r="A33" s="161" t="s">
        <v>1059</v>
      </c>
      <c r="B33" s="177"/>
      <c r="C33" s="179"/>
      <c r="D33" s="481" t="str">
        <f>IF(B$13&lt;&gt;"",IF(G33&lt;&gt;"",G33/(100%-'QuoteTool EUROPE'!B$5),""),"")</f>
        <v/>
      </c>
      <c r="E33" s="64"/>
      <c r="F33" s="64"/>
      <c r="G33" s="435">
        <f>SUM(G254:G271)</f>
        <v>0</v>
      </c>
    </row>
    <row r="34" spans="1:7">
      <c r="A34" s="161" t="s">
        <v>1025</v>
      </c>
      <c r="B34" s="177"/>
      <c r="C34" s="179"/>
      <c r="D34" s="481" t="str">
        <f>IF(B$13&lt;&gt;"",IF(G34&lt;&gt;"",G34/(100%-'QuoteTool EUROPE'!B$5),""),"")</f>
        <v/>
      </c>
      <c r="E34" s="64"/>
      <c r="F34" s="64"/>
      <c r="G34" s="435">
        <f>SUM(G205:G206)</f>
        <v>0</v>
      </c>
    </row>
    <row r="35" spans="1:7" s="613" customFormat="1">
      <c r="A35" s="161" t="s">
        <v>1026</v>
      </c>
      <c r="B35" s="177"/>
      <c r="C35" s="179"/>
      <c r="D35" s="481" t="str">
        <f>IF(B$13&lt;&gt;"",IF(G35&lt;&gt;"",G35/(100%-'QuoteTool EUROPE'!B$5),""),"")</f>
        <v/>
      </c>
      <c r="E35" s="64"/>
      <c r="F35" s="64"/>
      <c r="G35" s="435">
        <f>SUM(G209:G213)</f>
        <v>0</v>
      </c>
    </row>
    <row r="36" spans="1:7" s="333" customFormat="1">
      <c r="A36" s="161" t="s">
        <v>1022</v>
      </c>
      <c r="B36" s="177"/>
      <c r="C36" s="179"/>
      <c r="D36" s="481" t="str">
        <f>IF(B$13&lt;&gt;"",IF(G36&lt;&gt;"",G36/(100%-'QuoteTool EUROPE'!B$5),""),"")</f>
        <v/>
      </c>
      <c r="E36" s="64"/>
      <c r="F36" s="64"/>
      <c r="G36" s="435">
        <f>SUM(G274:G275)</f>
        <v>0</v>
      </c>
    </row>
    <row r="37" spans="1:7" s="613" customFormat="1">
      <c r="A37" s="161" t="s">
        <v>1023</v>
      </c>
      <c r="B37" s="177"/>
      <c r="C37" s="179"/>
      <c r="D37" s="481" t="str">
        <f>IF(B$13&lt;&gt;"",IF(G37&lt;&gt;"",G37/(100%-'QuoteTool EUROPE'!B$5),""),"")</f>
        <v/>
      </c>
      <c r="E37" s="64"/>
      <c r="F37" s="64"/>
      <c r="G37" s="435">
        <f>SUM(G278:G281)</f>
        <v>0</v>
      </c>
    </row>
    <row r="38" spans="1:7">
      <c r="A38" s="161" t="s">
        <v>168</v>
      </c>
      <c r="B38" s="177"/>
      <c r="C38" s="179"/>
      <c r="D38" s="481" t="str">
        <f>IF(B$13&lt;&gt;"",IF(G38&lt;&gt;"",G38/(100%-'QuoteTool EUROPE'!B$5),""),"")</f>
        <v/>
      </c>
      <c r="E38" s="64"/>
      <c r="F38" s="64"/>
      <c r="G38" s="435" t="str">
        <f>G290</f>
        <v/>
      </c>
    </row>
    <row r="39" spans="1:7">
      <c r="A39" s="161" t="s">
        <v>188</v>
      </c>
      <c r="B39" s="177"/>
      <c r="C39" s="179"/>
      <c r="D39" s="481" t="str">
        <f>IF(B$13&lt;&gt;"",IF(G39&lt;&gt;"",G39/(100%-'QuoteTool EUROPE'!B$5),""),"")</f>
        <v/>
      </c>
      <c r="E39" s="64"/>
      <c r="F39" s="64"/>
      <c r="G39" s="435">
        <f>SUM(G293:G305)</f>
        <v>0</v>
      </c>
    </row>
    <row r="40" spans="1:7" s="613" customFormat="1">
      <c r="A40" s="1106" t="s">
        <v>1417</v>
      </c>
      <c r="B40" s="1107"/>
      <c r="C40" s="1108"/>
      <c r="D40" s="1109"/>
      <c r="E40" s="426"/>
      <c r="F40" s="426"/>
      <c r="G40" s="1110">
        <f>SUM(G307:G315)</f>
        <v>0</v>
      </c>
    </row>
    <row r="41" spans="1:7" s="613" customFormat="1">
      <c r="A41" s="1106" t="s">
        <v>1418</v>
      </c>
      <c r="B41" s="1107"/>
      <c r="C41" s="1108"/>
      <c r="D41" s="1109"/>
      <c r="E41" s="426"/>
      <c r="F41" s="426"/>
      <c r="G41" s="435">
        <f>SUM(G317:G319)</f>
        <v>0</v>
      </c>
    </row>
    <row r="42" spans="1:7">
      <c r="A42" s="161" t="s">
        <v>1176</v>
      </c>
      <c r="B42" s="177"/>
      <c r="C42" s="179"/>
      <c r="D42" s="481" t="str">
        <f>IF(B$13&lt;&gt;"",IF(G42&lt;&gt;"",G42/(100%-'QuoteTool EUROPE'!B$5),""),"")</f>
        <v/>
      </c>
      <c r="E42" s="64"/>
      <c r="F42" s="64"/>
      <c r="G42" s="435">
        <f>SUM(G321:G378)</f>
        <v>0</v>
      </c>
    </row>
    <row r="43" spans="1:7" s="613" customFormat="1">
      <c r="A43" s="161" t="s">
        <v>1177</v>
      </c>
      <c r="B43" s="177"/>
      <c r="C43" s="179"/>
      <c r="D43" s="481"/>
      <c r="E43" s="64"/>
      <c r="F43" s="64"/>
      <c r="G43" s="435">
        <f>SUM(G380:G383)</f>
        <v>0</v>
      </c>
    </row>
    <row r="44" spans="1:7" s="333" customFormat="1">
      <c r="A44" s="161"/>
      <c r="B44" s="177"/>
      <c r="C44" s="179"/>
      <c r="D44" s="481"/>
      <c r="E44" s="64"/>
      <c r="F44" s="64"/>
      <c r="G44" s="435"/>
    </row>
    <row r="45" spans="1:7">
      <c r="A45" s="185" t="s">
        <v>12</v>
      </c>
      <c r="B45" s="200"/>
      <c r="C45" s="200"/>
      <c r="D45" s="200"/>
      <c r="E45" s="200"/>
      <c r="F45" s="200"/>
      <c r="G45" s="438"/>
    </row>
    <row r="46" spans="1:7">
      <c r="A46" s="161" t="s">
        <v>12</v>
      </c>
      <c r="B46" s="180"/>
      <c r="C46" s="239"/>
      <c r="D46" s="178" t="str">
        <f>IF('QuoteTool EUROPE'!F537&lt;&gt;0%,'QuoteTool EUROPE'!B537,"")</f>
        <v/>
      </c>
      <c r="E46" s="29"/>
      <c r="F46" s="29"/>
      <c r="G46" s="435" t="str">
        <f>G387</f>
        <v/>
      </c>
    </row>
    <row r="47" spans="1:7">
      <c r="A47" s="194"/>
      <c r="B47" s="44"/>
      <c r="C47" s="44"/>
      <c r="D47" s="44"/>
      <c r="E47" s="44"/>
      <c r="F47" s="44"/>
      <c r="G47" s="439"/>
    </row>
    <row r="48" spans="1:7">
      <c r="A48" s="246" t="s">
        <v>186</v>
      </c>
      <c r="B48" s="242"/>
      <c r="C48" s="242"/>
      <c r="D48" s="482">
        <f>SUM(D30:D47)</f>
        <v>0</v>
      </c>
      <c r="E48" s="242"/>
      <c r="F48" s="242"/>
      <c r="G48" s="440">
        <f>SUM(G30:G47)</f>
        <v>0</v>
      </c>
    </row>
    <row r="49" spans="1:7">
      <c r="A49" s="83"/>
      <c r="B49" s="83"/>
      <c r="C49" s="83"/>
      <c r="G49" s="79"/>
    </row>
    <row r="50" spans="1:7" ht="15.6" hidden="1">
      <c r="A50" s="2167"/>
      <c r="B50" s="2167"/>
      <c r="C50" s="2167"/>
      <c r="D50" s="899" t="str">
        <f>IF(B13&lt;&gt;"","Public Price","")</f>
        <v/>
      </c>
      <c r="E50" s="898"/>
      <c r="F50" s="898"/>
      <c r="G50" s="899" t="str">
        <f>IF(B13&lt;&gt;"","Discounted Price","")</f>
        <v/>
      </c>
    </row>
    <row r="51" spans="1:7" hidden="1">
      <c r="A51" s="895" t="str">
        <f>IF(D18&lt;&gt;"","Upfront and setup fees"," ")</f>
        <v xml:space="preserve"> </v>
      </c>
      <c r="B51" s="895"/>
      <c r="C51" s="895"/>
      <c r="D51" s="900" t="str">
        <f>IF(A13&lt;&gt;"",D24," ")</f>
        <v xml:space="preserve"> </v>
      </c>
      <c r="E51" s="895"/>
      <c r="F51" s="895"/>
      <c r="G51" s="900" t="str">
        <f>IF(A13&lt;&gt;"",G24,"")</f>
        <v/>
      </c>
    </row>
    <row r="52" spans="1:7" hidden="1">
      <c r="A52" s="895" t="str">
        <f>IF(B13&lt;&gt;"","Annual usage consumption","")</f>
        <v/>
      </c>
      <c r="B52" s="895"/>
      <c r="C52" s="895"/>
      <c r="D52" s="900" t="str">
        <f>IF(A50&lt;&gt;"",D48*12,"")</f>
        <v/>
      </c>
      <c r="E52" s="895"/>
      <c r="F52" s="895"/>
      <c r="G52" s="900" t="str">
        <f>IF(D50&lt;&gt;"",G48*12,"")</f>
        <v/>
      </c>
    </row>
    <row r="53" spans="1:7" ht="15.6" hidden="1">
      <c r="A53" s="896" t="str">
        <f>IF(A13&lt;&gt;"",IF(A50="Cost over 1 year","Total cost over a period of 1 year",IF(A50="Cost over 2 years","Total cost over a period of 2 years",IF(A50="Cost over 3 years","Total cost over a period of 3 years",IF(A50="Cost over 5 years","Total cost over a period of 5 years")))),"")</f>
        <v/>
      </c>
      <c r="B53" s="897"/>
      <c r="C53" s="897"/>
      <c r="D53" s="901" t="str">
        <f>IF(A13&lt;&gt;"",IF(A50="Cost over 1 year",(D52*12)+D51,IF(A50="Cost over 2 years",(D52*24)+D51,IF(A50="Cost over 3 years",(D52*36)+D51,IF(A50="Cost over 5 years",(D52*60)+D51)))),"")</f>
        <v/>
      </c>
      <c r="E53" s="902"/>
      <c r="F53" s="902"/>
      <c r="G53" s="901" t="str">
        <f>IF(A13&lt;&gt;"",IF(A50="Cost over 1 year",(G52*12)+G51,IF(A50="Cost over 2 years",(G52*24)+G51,IF(A50="Cost over 3 years",(G52*36)+G51,IF(A50="Cost over 5 years",(G52*60)+G51)))),"")</f>
        <v/>
      </c>
    </row>
    <row r="54" spans="1:7" hidden="1">
      <c r="A54" s="83"/>
      <c r="B54" s="83"/>
      <c r="C54" s="83"/>
      <c r="G54" s="79"/>
    </row>
    <row r="55" spans="1:7">
      <c r="A55" s="83"/>
      <c r="B55" s="83"/>
      <c r="C55" s="83"/>
      <c r="G55" s="79"/>
    </row>
    <row r="56" spans="1:7">
      <c r="A56" s="83"/>
      <c r="B56" s="83"/>
      <c r="C56" s="83"/>
      <c r="G56" s="79"/>
    </row>
    <row r="57" spans="1:7" ht="17.399999999999999">
      <c r="A57" s="160" t="s">
        <v>169</v>
      </c>
      <c r="B57" s="83"/>
      <c r="C57" s="83"/>
      <c r="G57" s="79"/>
    </row>
    <row r="58" spans="1:7">
      <c r="A58" s="83"/>
      <c r="B58" s="83"/>
      <c r="C58" s="83"/>
      <c r="G58" s="79"/>
    </row>
    <row r="59" spans="1:7">
      <c r="A59" s="234" t="s">
        <v>285</v>
      </c>
      <c r="B59" s="235"/>
      <c r="C59" s="235"/>
      <c r="D59" s="205"/>
      <c r="E59" s="205"/>
      <c r="F59" s="265"/>
      <c r="G59" s="266"/>
    </row>
    <row r="60" spans="1:7">
      <c r="A60" s="267" t="s">
        <v>286</v>
      </c>
      <c r="B60" s="264"/>
      <c r="C60" s="313" t="s">
        <v>287</v>
      </c>
      <c r="D60" s="210"/>
      <c r="E60" s="210" t="s">
        <v>178</v>
      </c>
      <c r="F60" s="210"/>
      <c r="G60" s="277" t="s">
        <v>182</v>
      </c>
    </row>
    <row r="61" spans="1:7">
      <c r="A61" s="329" t="str">
        <f>IF('QuoteTool EUROPE'!B59&lt;&gt;0,'QuoteTool EUROPE'!A59,"")</f>
        <v/>
      </c>
      <c r="B61" s="429"/>
      <c r="C61" s="430" t="str">
        <f>IF(A61&lt;&gt;"",'QuoteTool EUROPE'!C59,"")</f>
        <v/>
      </c>
      <c r="D61" s="448"/>
      <c r="E61" s="448" t="str">
        <f>IF(A61&lt;&gt;"",'QuoteTool EUROPE'!B59,"")</f>
        <v/>
      </c>
      <c r="F61" s="454"/>
      <c r="G61" s="487" t="str">
        <f>IF(A61&lt;&gt;"",'QuoteTool EUROPE'!G59,"")</f>
        <v/>
      </c>
    </row>
    <row r="62" spans="1:7">
      <c r="A62" s="329" t="str">
        <f>IF('QuoteTool EUROPE'!B60&lt;&gt;0,'QuoteTool EUROPE'!A60,"")</f>
        <v/>
      </c>
      <c r="B62" s="429"/>
      <c r="C62" s="430" t="str">
        <f>IF(A62&lt;&gt;"",'QuoteTool EUROPE'!C60,"")</f>
        <v/>
      </c>
      <c r="D62" s="448"/>
      <c r="E62" s="448" t="str">
        <f>IF(A62&lt;&gt;"",'QuoteTool EUROPE'!B60,"")</f>
        <v/>
      </c>
      <c r="F62" s="431"/>
      <c r="G62" s="487" t="str">
        <f>IF(A62&lt;&gt;"",'QuoteTool EUROPE'!G60,"")</f>
        <v/>
      </c>
    </row>
    <row r="63" spans="1:7">
      <c r="A63" s="329" t="str">
        <f>IF('QuoteTool EUROPE'!B61&lt;&gt;0,'QuoteTool EUROPE'!A61,"")</f>
        <v/>
      </c>
      <c r="B63" s="429"/>
      <c r="C63" s="430" t="str">
        <f>IF(A63&lt;&gt;"",'QuoteTool EUROPE'!C61,"")</f>
        <v/>
      </c>
      <c r="D63" s="448"/>
      <c r="E63" s="448" t="str">
        <f>IF(A63&lt;&gt;"",'QuoteTool EUROPE'!B61,"")</f>
        <v/>
      </c>
      <c r="F63" s="431"/>
      <c r="G63" s="487" t="str">
        <f>IF(A63&lt;&gt;"",'QuoteTool EUROPE'!G61,"")</f>
        <v/>
      </c>
    </row>
    <row r="64" spans="1:7">
      <c r="A64" s="329" t="str">
        <f>IF('QuoteTool EUROPE'!B62&lt;&gt;0,'QuoteTool EUROPE'!A62,"")</f>
        <v/>
      </c>
      <c r="B64" s="429"/>
      <c r="C64" s="430" t="str">
        <f>IF(A64&lt;&gt;"",'QuoteTool EUROPE'!C62,"")</f>
        <v/>
      </c>
      <c r="D64" s="448"/>
      <c r="E64" s="448" t="str">
        <f>IF(A64&lt;&gt;"",'QuoteTool EUROPE'!B62,"")</f>
        <v/>
      </c>
      <c r="F64" s="431"/>
      <c r="G64" s="487" t="str">
        <f>IF(A64&lt;&gt;"",'QuoteTool EUROPE'!G62,"")</f>
        <v/>
      </c>
    </row>
    <row r="65" spans="1:7">
      <c r="A65" s="329" t="str">
        <f>IF('QuoteTool EUROPE'!B63&lt;&gt;0,'QuoteTool EUROPE'!A63,"")</f>
        <v/>
      </c>
      <c r="B65" s="429"/>
      <c r="C65" s="430" t="str">
        <f>IF(A65&lt;&gt;"",'QuoteTool EUROPE'!C63,"")</f>
        <v/>
      </c>
      <c r="D65" s="448"/>
      <c r="E65" s="448" t="str">
        <f>IF(A65&lt;&gt;"",'QuoteTool EUROPE'!B63,"")</f>
        <v/>
      </c>
      <c r="F65" s="431"/>
      <c r="G65" s="487" t="str">
        <f>IF(A65&lt;&gt;"",'QuoteTool EUROPE'!G63,"")</f>
        <v/>
      </c>
    </row>
    <row r="66" spans="1:7">
      <c r="A66" s="329" t="str">
        <f>IF('QuoteTool EUROPE'!B64&lt;&gt;0,'QuoteTool EUROPE'!A64,"")</f>
        <v/>
      </c>
      <c r="B66" s="429"/>
      <c r="C66" s="430" t="str">
        <f>IF(A66&lt;&gt;"",'QuoteTool EUROPE'!C64,"")</f>
        <v/>
      </c>
      <c r="D66" s="448"/>
      <c r="E66" s="448" t="str">
        <f>IF(A66&lt;&gt;"",'QuoteTool EUROPE'!B64,"")</f>
        <v/>
      </c>
      <c r="F66" s="431"/>
      <c r="G66" s="487" t="str">
        <f>IF(A66&lt;&gt;"",'QuoteTool EUROPE'!G64,"")</f>
        <v/>
      </c>
    </row>
    <row r="67" spans="1:7">
      <c r="A67" s="329" t="str">
        <f>IF('QuoteTool EUROPE'!B65&lt;&gt;0,'QuoteTool EUROPE'!A65,"")</f>
        <v/>
      </c>
      <c r="B67" s="429"/>
      <c r="C67" s="430" t="str">
        <f>IF(A67&lt;&gt;"",'QuoteTool EUROPE'!C65,"")</f>
        <v/>
      </c>
      <c r="D67" s="448"/>
      <c r="E67" s="448" t="str">
        <f>IF(A67&lt;&gt;"",'QuoteTool EUROPE'!B65,"")</f>
        <v/>
      </c>
      <c r="F67" s="431"/>
      <c r="G67" s="487" t="str">
        <f>IF(A67&lt;&gt;"",'QuoteTool EUROPE'!G65,"")</f>
        <v/>
      </c>
    </row>
    <row r="68" spans="1:7">
      <c r="A68" s="329" t="str">
        <f>IF('QuoteTool EUROPE'!B66&lt;&gt;0,'QuoteTool EUROPE'!A66,"")</f>
        <v/>
      </c>
      <c r="B68" s="429"/>
      <c r="C68" s="430" t="str">
        <f>IF(A68&lt;&gt;"",'QuoteTool EUROPE'!C66,"")</f>
        <v/>
      </c>
      <c r="D68" s="448"/>
      <c r="E68" s="448" t="str">
        <f>IF(A68&lt;&gt;"",'QuoteTool EUROPE'!B66,"")</f>
        <v/>
      </c>
      <c r="F68" s="431"/>
      <c r="G68" s="487" t="str">
        <f>IF(A68&lt;&gt;"",'QuoteTool EUROPE'!G66,"")</f>
        <v/>
      </c>
    </row>
    <row r="69" spans="1:7">
      <c r="A69" s="329" t="str">
        <f>IF('QuoteTool EUROPE'!B67&lt;&gt;0,'QuoteTool EUROPE'!A67,"")</f>
        <v/>
      </c>
      <c r="B69" s="429"/>
      <c r="C69" s="430" t="str">
        <f>IF(A69&lt;&gt;"",'QuoteTool EUROPE'!C67,"")</f>
        <v/>
      </c>
      <c r="D69" s="448"/>
      <c r="E69" s="448" t="str">
        <f>IF(A69&lt;&gt;"",'QuoteTool EUROPE'!B67,"")</f>
        <v/>
      </c>
      <c r="F69" s="431"/>
      <c r="G69" s="487" t="str">
        <f>IF(A69&lt;&gt;"",'QuoteTool EUROPE'!G67,"")</f>
        <v/>
      </c>
    </row>
    <row r="70" spans="1:7">
      <c r="A70" s="329" t="str">
        <f>IF('QuoteTool EUROPE'!B68&lt;&gt;0,'QuoteTool EUROPE'!A68,"")</f>
        <v/>
      </c>
      <c r="B70" s="429"/>
      <c r="C70" s="430" t="str">
        <f>IF(A70&lt;&gt;"",'QuoteTool EUROPE'!C68,"")</f>
        <v/>
      </c>
      <c r="D70" s="448"/>
      <c r="E70" s="448" t="str">
        <f>IF(A70&lt;&gt;"",'QuoteTool EUROPE'!B68,"")</f>
        <v/>
      </c>
      <c r="F70" s="431"/>
      <c r="G70" s="487" t="str">
        <f>IF(A70&lt;&gt;"",'QuoteTool EUROPE'!G68,"")</f>
        <v/>
      </c>
    </row>
    <row r="71" spans="1:7">
      <c r="A71" s="329" t="str">
        <f>IF('QuoteTool EUROPE'!B69&lt;&gt;0,'QuoteTool EUROPE'!A69,"")</f>
        <v/>
      </c>
      <c r="B71" s="429"/>
      <c r="C71" s="430" t="str">
        <f>IF(A71&lt;&gt;"",'QuoteTool EUROPE'!C69,"")</f>
        <v/>
      </c>
      <c r="D71" s="448"/>
      <c r="E71" s="448" t="str">
        <f>IF(A71&lt;&gt;"",'QuoteTool EUROPE'!B69,"")</f>
        <v/>
      </c>
      <c r="F71" s="431"/>
      <c r="G71" s="487" t="str">
        <f>IF(A71&lt;&gt;"",'QuoteTool EUROPE'!G69,"")</f>
        <v/>
      </c>
    </row>
    <row r="72" spans="1:7">
      <c r="A72" s="329" t="str">
        <f>IF('QuoteTool EUROPE'!B70&lt;&gt;0,'QuoteTool EUROPE'!A70,"")</f>
        <v/>
      </c>
      <c r="B72" s="429"/>
      <c r="C72" s="430" t="str">
        <f>IF(A72&lt;&gt;"",'QuoteTool EUROPE'!C70,"")</f>
        <v/>
      </c>
      <c r="D72" s="448"/>
      <c r="E72" s="448" t="str">
        <f>IF(A72&lt;&gt;"",'QuoteTool EUROPE'!B70,"")</f>
        <v/>
      </c>
      <c r="F72" s="431"/>
      <c r="G72" s="487" t="str">
        <f>IF(A72&lt;&gt;"",'QuoteTool EUROPE'!G70,"")</f>
        <v/>
      </c>
    </row>
    <row r="73" spans="1:7">
      <c r="A73" s="329" t="str">
        <f>IF('QuoteTool EUROPE'!B71&lt;&gt;0,'QuoteTool EUROPE'!A71,"")</f>
        <v/>
      </c>
      <c r="B73" s="429"/>
      <c r="C73" s="430" t="str">
        <f>IF(A73&lt;&gt;"",'QuoteTool EUROPE'!C71,"")</f>
        <v/>
      </c>
      <c r="D73" s="448"/>
      <c r="E73" s="448" t="str">
        <f>IF(A73&lt;&gt;"",'QuoteTool EUROPE'!B71,"")</f>
        <v/>
      </c>
      <c r="F73" s="431"/>
      <c r="G73" s="487" t="str">
        <f>IF(A73&lt;&gt;"",'QuoteTool EUROPE'!G71,"")</f>
        <v/>
      </c>
    </row>
    <row r="74" spans="1:7">
      <c r="A74" s="329" t="str">
        <f>IF('QuoteTool EUROPE'!B72&lt;&gt;0,'QuoteTool EUROPE'!A72,"")</f>
        <v/>
      </c>
      <c r="B74" s="429"/>
      <c r="C74" s="430" t="str">
        <f>IF(A74&lt;&gt;"",'QuoteTool EUROPE'!C72,"")</f>
        <v/>
      </c>
      <c r="D74" s="448"/>
      <c r="E74" s="448" t="str">
        <f>IF(A74&lt;&gt;"",'QuoteTool EUROPE'!B72,"")</f>
        <v/>
      </c>
      <c r="F74" s="431"/>
      <c r="G74" s="487" t="str">
        <f>IF(A74&lt;&gt;"",'QuoteTool EUROPE'!G72,"")</f>
        <v/>
      </c>
    </row>
    <row r="75" spans="1:7">
      <c r="A75" s="329" t="str">
        <f>IF('QuoteTool EUROPE'!B73&lt;&gt;0,'QuoteTool EUROPE'!A73,"")</f>
        <v/>
      </c>
      <c r="B75" s="429"/>
      <c r="C75" s="430" t="str">
        <f>IF(A75&lt;&gt;"",'QuoteTool EUROPE'!C73,"")</f>
        <v/>
      </c>
      <c r="D75" s="448"/>
      <c r="E75" s="448" t="str">
        <f>IF(A75&lt;&gt;"",'QuoteTool EUROPE'!B73,"")</f>
        <v/>
      </c>
      <c r="F75" s="431"/>
      <c r="G75" s="487" t="str">
        <f>IF(A75&lt;&gt;"",'QuoteTool EUROPE'!G73,"")</f>
        <v/>
      </c>
    </row>
    <row r="76" spans="1:7" s="613" customFormat="1">
      <c r="A76" s="329" t="str">
        <f>IF('QuoteTool EUROPE'!B74&lt;&gt;0,'QuoteTool EUROPE'!A74,"")</f>
        <v/>
      </c>
      <c r="B76" s="429"/>
      <c r="C76" s="430" t="str">
        <f>IF(A76&lt;&gt;"",'QuoteTool EUROPE'!C74,"")</f>
        <v/>
      </c>
      <c r="D76" s="448"/>
      <c r="E76" s="448" t="str">
        <f>IF(A76&lt;&gt;"",'QuoteTool EUROPE'!B74,"")</f>
        <v/>
      </c>
      <c r="F76" s="431"/>
      <c r="G76" s="487" t="str">
        <f>IF(A76&lt;&gt;"",'QuoteTool EUROPE'!G74,"")</f>
        <v/>
      </c>
    </row>
    <row r="77" spans="1:7" s="613" customFormat="1">
      <c r="A77" s="329" t="str">
        <f>IF('QuoteTool EUROPE'!B75&lt;&gt;0,'QuoteTool EUROPE'!A75,"")</f>
        <v/>
      </c>
      <c r="B77" s="429"/>
      <c r="C77" s="430" t="str">
        <f>IF(A77&lt;&gt;"",'QuoteTool EUROPE'!C75,"")</f>
        <v/>
      </c>
      <c r="D77" s="448"/>
      <c r="E77" s="448" t="str">
        <f>IF(A77&lt;&gt;"",'QuoteTool EUROPE'!B75,"")</f>
        <v/>
      </c>
      <c r="F77" s="431"/>
      <c r="G77" s="487" t="str">
        <f>IF(A77&lt;&gt;"",'QuoteTool EUROPE'!G75,"")</f>
        <v/>
      </c>
    </row>
    <row r="78" spans="1:7" s="613" customFormat="1">
      <c r="A78" s="329" t="str">
        <f>IF('QuoteTool EUROPE'!B76&lt;&gt;0,'QuoteTool EUROPE'!A76,"")</f>
        <v/>
      </c>
      <c r="B78" s="429"/>
      <c r="C78" s="430" t="str">
        <f>IF(A78&lt;&gt;"",'QuoteTool EUROPE'!C76,"")</f>
        <v/>
      </c>
      <c r="D78" s="448"/>
      <c r="E78" s="448" t="str">
        <f>IF(A78&lt;&gt;"",'QuoteTool EUROPE'!B76,"")</f>
        <v/>
      </c>
      <c r="F78" s="431"/>
      <c r="G78" s="487" t="str">
        <f>IF(A78&lt;&gt;"",'QuoteTool EUROPE'!G76,"")</f>
        <v/>
      </c>
    </row>
    <row r="79" spans="1:7" s="613" customFormat="1">
      <c r="A79" s="329" t="str">
        <f>IF('QuoteTool EUROPE'!B104&lt;&gt;0,'QuoteTool EUROPE'!A104,"")</f>
        <v/>
      </c>
      <c r="B79" s="806"/>
      <c r="C79" s="430" t="str">
        <f>IF(A79&lt;&gt;"",'QuoteTool EUROPE'!C104,"")</f>
        <v/>
      </c>
      <c r="D79" s="448"/>
      <c r="E79" s="448" t="str">
        <f>IF(A79&lt;&gt;"",'QuoteTool EUROPE'!B104,"")</f>
        <v/>
      </c>
      <c r="F79" s="431"/>
      <c r="G79" s="487" t="str">
        <f>IF(A79&lt;&gt;"",'QuoteTool EUROPE'!G104,"")</f>
        <v/>
      </c>
    </row>
    <row r="80" spans="1:7" s="613" customFormat="1">
      <c r="A80" s="329" t="str">
        <f>IF('QuoteTool EUROPE'!B105&lt;&gt;0,'QuoteTool EUROPE'!A105,"")</f>
        <v/>
      </c>
      <c r="B80" s="905"/>
      <c r="C80" s="430" t="str">
        <f>IF(A80&lt;&gt;"",'QuoteTool EUROPE'!C105,"")</f>
        <v/>
      </c>
      <c r="D80" s="448"/>
      <c r="E80" s="448" t="str">
        <f>IF(A80&lt;&gt;"",'QuoteTool EUROPE'!B105,"")</f>
        <v/>
      </c>
      <c r="F80" s="431"/>
      <c r="G80" s="487" t="str">
        <f>IF(A80&lt;&gt;"",'QuoteTool EUROPE'!G105,"")</f>
        <v/>
      </c>
    </row>
    <row r="81" spans="1:7" s="613" customFormat="1">
      <c r="A81" s="329" t="str">
        <f>IF('QuoteTool EUROPE'!B106&lt;&gt;0,'QuoteTool EUROPE'!A106,"")</f>
        <v/>
      </c>
      <c r="B81" s="905"/>
      <c r="C81" s="430" t="str">
        <f>IF(A81&lt;&gt;"",'QuoteTool EUROPE'!C106,"")</f>
        <v/>
      </c>
      <c r="D81" s="448"/>
      <c r="E81" s="448" t="str">
        <f>IF(A81&lt;&gt;"",'QuoteTool EUROPE'!B106,"")</f>
        <v/>
      </c>
      <c r="F81" s="431"/>
      <c r="G81" s="487" t="str">
        <f>IF(A81&lt;&gt;"",'QuoteTool EUROPE'!G106,"")</f>
        <v/>
      </c>
    </row>
    <row r="82" spans="1:7" s="613" customFormat="1">
      <c r="A82" s="329" t="str">
        <f>IF('QuoteTool EUROPE'!B107&lt;&gt;0,'QuoteTool EUROPE'!A107,"")</f>
        <v/>
      </c>
      <c r="B82" s="905"/>
      <c r="C82" s="430" t="str">
        <f>IF(A82&lt;&gt;"",'QuoteTool EUROPE'!C107,"")</f>
        <v/>
      </c>
      <c r="D82" s="448"/>
      <c r="E82" s="448" t="str">
        <f>IF(A82&lt;&gt;"",'QuoteTool EUROPE'!B107,"")</f>
        <v/>
      </c>
      <c r="F82" s="431"/>
      <c r="G82" s="487" t="str">
        <f>IF(A82&lt;&gt;"",'QuoteTool EUROPE'!G107,"")</f>
        <v/>
      </c>
    </row>
    <row r="83" spans="1:7" s="613" customFormat="1">
      <c r="A83" s="329" t="str">
        <f>IF('QuoteTool EUROPE'!B108&lt;&gt;0,'QuoteTool EUROPE'!A108,"")</f>
        <v/>
      </c>
      <c r="B83" s="872"/>
      <c r="C83" s="430" t="str">
        <f>IF(A83&lt;&gt;"",'QuoteTool EUROPE'!C108,"")</f>
        <v/>
      </c>
      <c r="D83" s="448"/>
      <c r="E83" s="448" t="str">
        <f>IF(A83&lt;&gt;"",'QuoteTool EUROPE'!B108,"")</f>
        <v/>
      </c>
      <c r="F83" s="431"/>
      <c r="G83" s="487" t="str">
        <f>IF(A83&lt;&gt;"",'QuoteTool EUROPE'!G108,"")</f>
        <v/>
      </c>
    </row>
    <row r="84" spans="1:7" s="613" customFormat="1">
      <c r="A84" s="329" t="str">
        <f>IF('QuoteTool EUROPE'!B112&lt;&gt;0,'QuoteTool EUROPE'!A112,"")</f>
        <v/>
      </c>
      <c r="B84" s="872"/>
      <c r="C84" s="430" t="str">
        <f>IF(A84&lt;&gt;"",'QuoteTool EUROPE'!C112,"")</f>
        <v/>
      </c>
      <c r="D84" s="448"/>
      <c r="E84" s="448" t="str">
        <f>IF(A84&lt;&gt;"",'QuoteTool EUROPE'!B112,"")</f>
        <v/>
      </c>
      <c r="F84" s="431"/>
      <c r="G84" s="487" t="str">
        <f>IF(A84&lt;&gt;"",'QuoteTool EUROPE'!G112,"")</f>
        <v/>
      </c>
    </row>
    <row r="85" spans="1:7" s="613" customFormat="1">
      <c r="A85" s="329" t="str">
        <f>IF('QuoteTool EUROPE'!B113&lt;&gt;0,'QuoteTool EUROPE'!A113,"")</f>
        <v/>
      </c>
      <c r="B85" s="872"/>
      <c r="C85" s="430" t="str">
        <f>IF(A85&lt;&gt;"",'QuoteTool EUROPE'!C113,"")</f>
        <v/>
      </c>
      <c r="D85" s="448"/>
      <c r="E85" s="448" t="str">
        <f>IF(A85&lt;&gt;"",'QuoteTool EUROPE'!B113,"")</f>
        <v/>
      </c>
      <c r="F85" s="431"/>
      <c r="G85" s="487" t="str">
        <f>IF(A85&lt;&gt;"",'QuoteTool EUROPE'!G113,"")</f>
        <v/>
      </c>
    </row>
    <row r="86" spans="1:7" s="613" customFormat="1">
      <c r="A86" s="329" t="str">
        <f>IF('QuoteTool EUROPE'!B117&lt;&gt;0,'QuoteTool EUROPE'!A117,"")</f>
        <v/>
      </c>
      <c r="B86" s="872"/>
      <c r="C86" s="430" t="str">
        <f>IF(A86&lt;&gt;"",'QuoteTool EUROPE'!C117,"")</f>
        <v/>
      </c>
      <c r="D86" s="448"/>
      <c r="E86" s="448" t="str">
        <f>IF(A86&lt;&gt;"",'QuoteTool EUROPE'!B117,"")</f>
        <v/>
      </c>
      <c r="F86" s="431"/>
      <c r="G86" s="487" t="str">
        <f>IF(A86&lt;&gt;"",'QuoteTool EUROPE'!G117,"")</f>
        <v/>
      </c>
    </row>
    <row r="87" spans="1:7" s="613" customFormat="1">
      <c r="A87" s="329" t="str">
        <f>IF('QuoteTool EUROPE'!B118&lt;&gt;0,'QuoteTool EUROPE'!A118,"")</f>
        <v/>
      </c>
      <c r="B87" s="872"/>
      <c r="C87" s="430" t="str">
        <f>IF(A87&lt;&gt;"",'QuoteTool EUROPE'!C118,"")</f>
        <v/>
      </c>
      <c r="D87" s="448"/>
      <c r="E87" s="448" t="str">
        <f>IF(A87&lt;&gt;"",'QuoteTool EUROPE'!B118,"")</f>
        <v/>
      </c>
      <c r="F87" s="431"/>
      <c r="G87" s="487" t="str">
        <f>IF(A87&lt;&gt;"",'QuoteTool EUROPE'!G118,"")</f>
        <v/>
      </c>
    </row>
    <row r="88" spans="1:7" s="697" customFormat="1">
      <c r="A88" s="329" t="str">
        <f>IF('QuoteTool EUROPE'!B420&lt;&gt;0,'QuoteTool EUROPE'!A420,"")</f>
        <v/>
      </c>
      <c r="B88" s="926"/>
      <c r="C88" s="927"/>
      <c r="D88" s="928"/>
      <c r="E88" s="928" t="str">
        <f>IF(A88&lt;&gt;"",'QuoteTool EUROPE'!B420,"")</f>
        <v/>
      </c>
      <c r="F88" s="933"/>
      <c r="G88" s="487" t="str">
        <f>IF(A88&lt;&gt;"",'QuoteTool EUROPE'!E420,"")</f>
        <v/>
      </c>
    </row>
    <row r="89" spans="1:7" s="697" customFormat="1">
      <c r="A89" s="329" t="str">
        <f>IF('QuoteTool EUROPE'!B421&lt;&gt;0,'QuoteTool EUROPE'!A421,"")</f>
        <v/>
      </c>
      <c r="B89" s="926"/>
      <c r="C89" s="927"/>
      <c r="D89" s="928"/>
      <c r="E89" s="928" t="str">
        <f>IF(A89&lt;&gt;"",'QuoteTool EUROPE'!B421,"")</f>
        <v/>
      </c>
      <c r="F89" s="933"/>
      <c r="G89" s="487" t="str">
        <f>IF(A89&lt;&gt;"",'QuoteTool EUROPE'!E421,"")</f>
        <v/>
      </c>
    </row>
    <row r="90" spans="1:7" s="697" customFormat="1">
      <c r="A90" s="329" t="str">
        <f>IF('QuoteTool EUROPE'!B422&lt;&gt;0,'QuoteTool EUROPE'!A422,"")</f>
        <v/>
      </c>
      <c r="B90" s="926"/>
      <c r="C90" s="927"/>
      <c r="D90" s="928"/>
      <c r="E90" s="928" t="str">
        <f>IF(A90&lt;&gt;"",'QuoteTool EUROPE'!B422,"")</f>
        <v/>
      </c>
      <c r="F90" s="933"/>
      <c r="G90" s="487" t="str">
        <f>IF(A90&lt;&gt;"",'QuoteTool EUROPE'!E422,"")</f>
        <v/>
      </c>
    </row>
    <row r="91" spans="1:7" s="697" customFormat="1">
      <c r="A91" s="329" t="str">
        <f>IF('QuoteTool EUROPE'!B423&lt;&gt;0,'QuoteTool EUROPE'!A423,"")</f>
        <v/>
      </c>
      <c r="B91" s="926"/>
      <c r="C91" s="927"/>
      <c r="D91" s="928"/>
      <c r="E91" s="928" t="str">
        <f>IF(A91&lt;&gt;"",'QuoteTool EUROPE'!B423,"")</f>
        <v/>
      </c>
      <c r="F91" s="933"/>
      <c r="G91" s="487" t="str">
        <f>IF(A91&lt;&gt;"",'QuoteTool EUROPE'!E423,"")</f>
        <v/>
      </c>
    </row>
    <row r="92" spans="1:7" s="697" customFormat="1">
      <c r="A92" s="925">
        <f>IF('QuoteTool EUROPE'!C298&lt;&gt;0,'QuoteTool EUROPE'!A298,"")</f>
        <v>0</v>
      </c>
      <c r="B92" s="926"/>
      <c r="C92" s="927"/>
      <c r="D92" s="928"/>
      <c r="E92" s="928" t="str">
        <f>IF(A92&lt;&gt;"",'QuoteTool EUROPE'!C298,"")</f>
        <v/>
      </c>
      <c r="F92" s="933"/>
      <c r="G92" s="1114">
        <f>IF(A92&lt;&gt;"",'QuoteTool EUROPE'!H298,"")</f>
        <v>0</v>
      </c>
    </row>
    <row r="93" spans="1:7" s="697" customFormat="1">
      <c r="A93" s="925">
        <f>IF('QuoteTool EUROPE'!C299&lt;&gt;0,'QuoteTool EUROPE'!A299,"")</f>
        <v>0</v>
      </c>
      <c r="B93" s="926"/>
      <c r="C93" s="927"/>
      <c r="D93" s="928"/>
      <c r="E93" s="928" t="str">
        <f>IF(A93&lt;&gt;"",'QuoteTool EUROPE'!C299,"")</f>
        <v/>
      </c>
      <c r="F93" s="933"/>
      <c r="G93" s="1114">
        <f>IF(A93&lt;&gt;"",'QuoteTool EUROPE'!H299,"")</f>
        <v>0</v>
      </c>
    </row>
    <row r="94" spans="1:7" s="697" customFormat="1">
      <c r="A94" s="925">
        <f>IF('QuoteTool EUROPE'!C300&lt;&gt;0,'QuoteTool EUROPE'!A300,"")</f>
        <v>0</v>
      </c>
      <c r="B94" s="926"/>
      <c r="C94" s="927"/>
      <c r="D94" s="928"/>
      <c r="E94" s="928" t="str">
        <f>IF(A94&lt;&gt;"",'QuoteTool EUROPE'!C300,"")</f>
        <v/>
      </c>
      <c r="F94" s="933"/>
      <c r="G94" s="1114">
        <f>IF(A94&lt;&gt;"",'QuoteTool EUROPE'!H300,"")</f>
        <v>0</v>
      </c>
    </row>
    <row r="95" spans="1:7" s="697" customFormat="1">
      <c r="A95" s="925" t="str">
        <f>IF('QuoteTool EUROPE'!C301&lt;&gt;0,'QuoteTool EUROPE'!A301,"")</f>
        <v/>
      </c>
      <c r="B95" s="926"/>
      <c r="C95" s="927"/>
      <c r="D95" s="928"/>
      <c r="E95" s="928" t="str">
        <f>IF(A95&lt;&gt;"",'QuoteTool EUROPE'!C301,"")</f>
        <v/>
      </c>
      <c r="F95" s="933"/>
      <c r="G95" s="1114" t="str">
        <f>IF(A95&lt;&gt;"",'QuoteTool EUROPE'!H301,"")</f>
        <v/>
      </c>
    </row>
    <row r="96" spans="1:7" s="613" customFormat="1">
      <c r="A96" s="329"/>
      <c r="B96" s="876"/>
      <c r="C96" s="430"/>
      <c r="D96" s="448"/>
      <c r="E96" s="448"/>
      <c r="F96" s="431"/>
      <c r="G96" s="487"/>
    </row>
    <row r="97" spans="1:7" s="613" customFormat="1">
      <c r="A97" s="267" t="s">
        <v>1058</v>
      </c>
      <c r="B97" s="264"/>
      <c r="C97" s="875" t="s">
        <v>287</v>
      </c>
      <c r="D97" s="210"/>
      <c r="E97" s="210" t="s">
        <v>178</v>
      </c>
      <c r="F97" s="210"/>
      <c r="G97" s="277" t="s">
        <v>182</v>
      </c>
    </row>
    <row r="98" spans="1:7" s="613" customFormat="1">
      <c r="A98" s="329" t="str">
        <f>IF('QuoteTool EUROPE'!B81&lt;&gt;0,'QuoteTool EUROPE'!A81,"")</f>
        <v/>
      </c>
      <c r="B98" s="429"/>
      <c r="C98" s="430" t="str">
        <f>IF(A98&lt;&gt;"",'QuoteTool EUROPE'!C81,"")</f>
        <v/>
      </c>
      <c r="D98" s="448"/>
      <c r="E98" s="448" t="str">
        <f>IF(A98&lt;&gt;"",'QuoteTool EUROPE'!B81,"")</f>
        <v/>
      </c>
      <c r="F98" s="454"/>
      <c r="G98" s="487" t="str">
        <f>IF(A98&lt;&gt;"",'QuoteTool EUROPE'!G81,"")</f>
        <v/>
      </c>
    </row>
    <row r="99" spans="1:7" s="613" customFormat="1">
      <c r="A99" s="329" t="str">
        <f>IF('QuoteTool EUROPE'!B82&lt;&gt;0,'QuoteTool EUROPE'!A82,"")</f>
        <v/>
      </c>
      <c r="B99" s="429"/>
      <c r="C99" s="430" t="str">
        <f>IF(A99&lt;&gt;"",'QuoteTool EUROPE'!C82,"")</f>
        <v/>
      </c>
      <c r="D99" s="448"/>
      <c r="E99" s="448" t="str">
        <f>IF(A99&lt;&gt;"",'QuoteTool EUROPE'!B82,"")</f>
        <v/>
      </c>
      <c r="F99" s="454"/>
      <c r="G99" s="487" t="str">
        <f>IF(A99&lt;&gt;"",'QuoteTool EUROPE'!G82,"")</f>
        <v/>
      </c>
    </row>
    <row r="100" spans="1:7" s="613" customFormat="1">
      <c r="A100" s="329" t="str">
        <f>IF('QuoteTool EUROPE'!B83&lt;&gt;0,'QuoteTool EUROPE'!A83,"")</f>
        <v/>
      </c>
      <c r="B100" s="429"/>
      <c r="C100" s="430" t="str">
        <f>IF(A100&lt;&gt;"",'QuoteTool EUROPE'!C83,"")</f>
        <v/>
      </c>
      <c r="D100" s="448"/>
      <c r="E100" s="448" t="str">
        <f>IF(A100&lt;&gt;"",'QuoteTool EUROPE'!B83,"")</f>
        <v/>
      </c>
      <c r="F100" s="454"/>
      <c r="G100" s="487" t="str">
        <f>IF(A100&lt;&gt;"",'QuoteTool EUROPE'!G83,"")</f>
        <v/>
      </c>
    </row>
    <row r="101" spans="1:7" s="613" customFormat="1">
      <c r="A101" s="329" t="str">
        <f>IF('QuoteTool EUROPE'!B84&lt;&gt;0,'QuoteTool EUROPE'!A84,"")</f>
        <v/>
      </c>
      <c r="B101" s="429"/>
      <c r="C101" s="430" t="str">
        <f>IF(A101&lt;&gt;"",'QuoteTool EUROPE'!C84,"")</f>
        <v/>
      </c>
      <c r="D101" s="448"/>
      <c r="E101" s="448" t="str">
        <f>IF(A101&lt;&gt;"",'QuoteTool EUROPE'!B84,"")</f>
        <v/>
      </c>
      <c r="F101" s="454"/>
      <c r="G101" s="487" t="str">
        <f>IF(A101&lt;&gt;"",'QuoteTool EUROPE'!G84,"")</f>
        <v/>
      </c>
    </row>
    <row r="102" spans="1:7" s="613" customFormat="1">
      <c r="A102" s="329" t="str">
        <f>IF('QuoteTool EUROPE'!B85&lt;&gt;0,'QuoteTool EUROPE'!A85,"")</f>
        <v/>
      </c>
      <c r="B102" s="429"/>
      <c r="C102" s="430" t="str">
        <f>IF(A102&lt;&gt;"",'QuoteTool EUROPE'!C85,"")</f>
        <v/>
      </c>
      <c r="D102" s="448"/>
      <c r="E102" s="448" t="str">
        <f>IF(A102&lt;&gt;"",'QuoteTool EUROPE'!B85,"")</f>
        <v/>
      </c>
      <c r="F102" s="454"/>
      <c r="G102" s="487" t="str">
        <f>IF(A102&lt;&gt;"",'QuoteTool EUROPE'!G85,"")</f>
        <v/>
      </c>
    </row>
    <row r="103" spans="1:7" s="613" customFormat="1">
      <c r="A103" s="329" t="str">
        <f>IF('QuoteTool EUROPE'!B86&lt;&gt;0,'QuoteTool EUROPE'!A86,"")</f>
        <v/>
      </c>
      <c r="B103" s="429"/>
      <c r="C103" s="430" t="str">
        <f>IF(A103&lt;&gt;"",'QuoteTool EUROPE'!C86,"")</f>
        <v/>
      </c>
      <c r="D103" s="448"/>
      <c r="E103" s="448" t="str">
        <f>IF(A103&lt;&gt;"",'QuoteTool EUROPE'!B86,"")</f>
        <v/>
      </c>
      <c r="F103" s="454"/>
      <c r="G103" s="487" t="str">
        <f>IF(A103&lt;&gt;"",'QuoteTool EUROPE'!G86,"")</f>
        <v/>
      </c>
    </row>
    <row r="104" spans="1:7" s="613" customFormat="1">
      <c r="A104" s="329" t="str">
        <f>IF('QuoteTool EUROPE'!B87&lt;&gt;0,'QuoteTool EUROPE'!A87,"")</f>
        <v/>
      </c>
      <c r="B104" s="429"/>
      <c r="C104" s="430" t="str">
        <f>IF(A104&lt;&gt;"",'QuoteTool EUROPE'!C87,"")</f>
        <v/>
      </c>
      <c r="D104" s="448"/>
      <c r="E104" s="448" t="str">
        <f>IF(A104&lt;&gt;"",'QuoteTool EUROPE'!B87,"")</f>
        <v/>
      </c>
      <c r="F104" s="454"/>
      <c r="G104" s="487" t="str">
        <f>IF(A104&lt;&gt;"",'QuoteTool EUROPE'!G87,"")</f>
        <v/>
      </c>
    </row>
    <row r="105" spans="1:7" s="613" customFormat="1">
      <c r="A105" s="329" t="str">
        <f>IF('QuoteTool EUROPE'!B88&lt;&gt;0,'QuoteTool EUROPE'!A88,"")</f>
        <v/>
      </c>
      <c r="B105" s="429"/>
      <c r="C105" s="430" t="str">
        <f>IF(A105&lt;&gt;"",'QuoteTool EUROPE'!C88,"")</f>
        <v/>
      </c>
      <c r="D105" s="448"/>
      <c r="E105" s="448" t="str">
        <f>IF(A105&lt;&gt;"",'QuoteTool EUROPE'!B88,"")</f>
        <v/>
      </c>
      <c r="F105" s="454"/>
      <c r="G105" s="487" t="str">
        <f>IF(A105&lt;&gt;"",'QuoteTool EUROPE'!G88,"")</f>
        <v/>
      </c>
    </row>
    <row r="106" spans="1:7" s="613" customFormat="1">
      <c r="A106" s="329" t="str">
        <f>IF('QuoteTool EUROPE'!B89&lt;&gt;0,'QuoteTool EUROPE'!A89,"")</f>
        <v/>
      </c>
      <c r="B106" s="429"/>
      <c r="C106" s="430" t="str">
        <f>IF(A106&lt;&gt;"",'QuoteTool EUROPE'!C89,"")</f>
        <v/>
      </c>
      <c r="D106" s="448"/>
      <c r="E106" s="448" t="str">
        <f>IF(A106&lt;&gt;"",'QuoteTool EUROPE'!B89,"")</f>
        <v/>
      </c>
      <c r="F106" s="454"/>
      <c r="G106" s="487" t="str">
        <f>IF(A106&lt;&gt;"",'QuoteTool EUROPE'!G89,"")</f>
        <v/>
      </c>
    </row>
    <row r="107" spans="1:7" s="613" customFormat="1">
      <c r="A107" s="329" t="str">
        <f>IF('QuoteTool EUROPE'!B90&lt;&gt;0,'QuoteTool EUROPE'!A90,"")</f>
        <v/>
      </c>
      <c r="B107" s="429"/>
      <c r="C107" s="430" t="str">
        <f>IF(A107&lt;&gt;"",'QuoteTool EUROPE'!C90,"")</f>
        <v/>
      </c>
      <c r="D107" s="448"/>
      <c r="E107" s="448" t="str">
        <f>IF(A107&lt;&gt;"",'QuoteTool EUROPE'!B90,"")</f>
        <v/>
      </c>
      <c r="F107" s="454"/>
      <c r="G107" s="487" t="str">
        <f>IF(A107&lt;&gt;"",'QuoteTool EUROPE'!G90,"")</f>
        <v/>
      </c>
    </row>
    <row r="108" spans="1:7" s="613" customFormat="1">
      <c r="A108" s="329" t="str">
        <f>IF('QuoteTool EUROPE'!B91&lt;&gt;0,'QuoteTool EUROPE'!A91,"")</f>
        <v/>
      </c>
      <c r="B108" s="429"/>
      <c r="C108" s="430" t="str">
        <f>IF(A108&lt;&gt;"",'QuoteTool EUROPE'!C91,"")</f>
        <v/>
      </c>
      <c r="D108" s="448"/>
      <c r="E108" s="448" t="str">
        <f>IF(A108&lt;&gt;"",'QuoteTool EUROPE'!B91,"")</f>
        <v/>
      </c>
      <c r="F108" s="454"/>
      <c r="G108" s="487" t="str">
        <f>IF(A108&lt;&gt;"",'QuoteTool EUROPE'!G91,"")</f>
        <v/>
      </c>
    </row>
    <row r="109" spans="1:7" s="613" customFormat="1">
      <c r="A109" s="329" t="str">
        <f>IF('QuoteTool EUROPE'!B92&lt;&gt;0,'QuoteTool EUROPE'!A92,"")</f>
        <v/>
      </c>
      <c r="B109" s="429"/>
      <c r="C109" s="430" t="str">
        <f>IF(A109&lt;&gt;"",'QuoteTool EUROPE'!C92,"")</f>
        <v/>
      </c>
      <c r="D109" s="448"/>
      <c r="E109" s="448" t="str">
        <f>IF(A109&lt;&gt;"",'QuoteTool EUROPE'!B92,"")</f>
        <v/>
      </c>
      <c r="F109" s="454"/>
      <c r="G109" s="487" t="str">
        <f>IF(A109&lt;&gt;"",'QuoteTool EUROPE'!G92,"")</f>
        <v/>
      </c>
    </row>
    <row r="110" spans="1:7" s="613" customFormat="1">
      <c r="A110" s="329" t="str">
        <f>IF('QuoteTool EUROPE'!B93&lt;&gt;0,'QuoteTool EUROPE'!A93,"")</f>
        <v/>
      </c>
      <c r="B110" s="429"/>
      <c r="C110" s="430" t="str">
        <f>IF(A110&lt;&gt;"",'QuoteTool EUROPE'!C93,"")</f>
        <v/>
      </c>
      <c r="D110" s="448"/>
      <c r="E110" s="448" t="str">
        <f>IF(A110&lt;&gt;"",'QuoteTool EUROPE'!B93,"")</f>
        <v/>
      </c>
      <c r="F110" s="454"/>
      <c r="G110" s="487" t="str">
        <f>IF(A110&lt;&gt;"",'QuoteTool EUROPE'!G93,"")</f>
        <v/>
      </c>
    </row>
    <row r="111" spans="1:7" s="613" customFormat="1">
      <c r="A111" s="329" t="str">
        <f>IF('QuoteTool EUROPE'!B94&lt;&gt;0,'QuoteTool EUROPE'!A94,"")</f>
        <v/>
      </c>
      <c r="B111" s="429"/>
      <c r="C111" s="430" t="str">
        <f>IF(A111&lt;&gt;"",'QuoteTool EUROPE'!C94,"")</f>
        <v/>
      </c>
      <c r="D111" s="448"/>
      <c r="E111" s="448" t="str">
        <f>IF(A111&lt;&gt;"",'QuoteTool EUROPE'!B94,"")</f>
        <v/>
      </c>
      <c r="F111" s="454"/>
      <c r="G111" s="487" t="str">
        <f>IF(A111&lt;&gt;"",'QuoteTool EUROPE'!G94,"")</f>
        <v/>
      </c>
    </row>
    <row r="112" spans="1:7" s="613" customFormat="1">
      <c r="A112" s="329" t="str">
        <f>IF('QuoteTool EUROPE'!B95&lt;&gt;0,'QuoteTool EUROPE'!A95,"")</f>
        <v/>
      </c>
      <c r="B112" s="429"/>
      <c r="C112" s="430" t="str">
        <f>IF(A112&lt;&gt;"",'QuoteTool EUROPE'!C95,"")</f>
        <v/>
      </c>
      <c r="D112" s="448"/>
      <c r="E112" s="448" t="str">
        <f>IF(A112&lt;&gt;"",'QuoteTool EUROPE'!B95,"")</f>
        <v/>
      </c>
      <c r="F112" s="454"/>
      <c r="G112" s="487" t="str">
        <f>IF(A112&lt;&gt;"",'QuoteTool EUROPE'!G95,"")</f>
        <v/>
      </c>
    </row>
    <row r="113" spans="1:7" s="613" customFormat="1">
      <c r="A113" s="329" t="str">
        <f>IF('QuoteTool EUROPE'!B96&lt;&gt;0,'QuoteTool EUROPE'!A96,"")</f>
        <v/>
      </c>
      <c r="B113" s="429"/>
      <c r="C113" s="430" t="str">
        <f>IF(A113&lt;&gt;"",'QuoteTool EUROPE'!C96,"")</f>
        <v/>
      </c>
      <c r="D113" s="448"/>
      <c r="E113" s="448" t="str">
        <f>IF(A113&lt;&gt;"",'QuoteTool EUROPE'!B96,"")</f>
        <v/>
      </c>
      <c r="F113" s="454"/>
      <c r="G113" s="487" t="str">
        <f>IF(A113&lt;&gt;"",'QuoteTool EUROPE'!G96,"")</f>
        <v/>
      </c>
    </row>
    <row r="114" spans="1:7" s="613" customFormat="1">
      <c r="A114" s="329" t="str">
        <f>IF('QuoteTool EUROPE'!B97&lt;&gt;0,'QuoteTool EUROPE'!A97,"")</f>
        <v/>
      </c>
      <c r="B114" s="429"/>
      <c r="C114" s="430" t="str">
        <f>IF(A114&lt;&gt;"",'QuoteTool EUROPE'!C97,"")</f>
        <v/>
      </c>
      <c r="D114" s="448"/>
      <c r="E114" s="448" t="str">
        <f>IF(A114&lt;&gt;"",'QuoteTool EUROPE'!B97,"")</f>
        <v/>
      </c>
      <c r="F114" s="454"/>
      <c r="G114" s="487" t="str">
        <f>IF(A114&lt;&gt;"",'QuoteTool EUROPE'!G97,"")</f>
        <v/>
      </c>
    </row>
    <row r="115" spans="1:7" s="613" customFormat="1">
      <c r="A115" s="329" t="str">
        <f>IF('QuoteTool EUROPE'!B98&lt;&gt;0,'QuoteTool EUROPE'!A98,"")</f>
        <v/>
      </c>
      <c r="B115" s="429"/>
      <c r="C115" s="430" t="str">
        <f>IF(A115&lt;&gt;"",'QuoteTool EUROPE'!C98,"")</f>
        <v/>
      </c>
      <c r="D115" s="448"/>
      <c r="E115" s="448" t="str">
        <f>IF(A115&lt;&gt;"",'QuoteTool EUROPE'!B98,"")</f>
        <v/>
      </c>
      <c r="F115" s="454"/>
      <c r="G115" s="487" t="str">
        <f>IF(A115&lt;&gt;"",'QuoteTool EUROPE'!G98,"")</f>
        <v/>
      </c>
    </row>
    <row r="116" spans="1:7" s="1185" customFormat="1">
      <c r="A116" s="329" t="str">
        <f>IF('QuoteTool EUROPE'!H305&lt;&gt;0,'QuoteTool EUROPE'!A305,"")</f>
        <v/>
      </c>
      <c r="B116" s="429"/>
      <c r="C116" s="430" t="str">
        <f>IF(A116&lt;&gt;"",'QuoteTool EUROPE'!D305,"")</f>
        <v/>
      </c>
      <c r="D116" s="448"/>
      <c r="E116" s="448" t="str">
        <f>IF(A116&lt;&gt;"",'QuoteTool EUROPE'!C305,"")</f>
        <v/>
      </c>
      <c r="F116" s="454"/>
      <c r="G116" s="487" t="str">
        <f>IF(A116&lt;&gt;"",'QuoteTool EUROPE'!H305,"")</f>
        <v/>
      </c>
    </row>
    <row r="117" spans="1:7" s="1185" customFormat="1">
      <c r="A117" s="329" t="str">
        <f>IF('QuoteTool EUROPE'!H306&lt;&gt;0,'QuoteTool EUROPE'!A306,"")</f>
        <v/>
      </c>
      <c r="B117" s="429"/>
      <c r="C117" s="430" t="str">
        <f>IF(A117&lt;&gt;"",'QuoteTool EUROPE'!D306,"")</f>
        <v/>
      </c>
      <c r="D117" s="448"/>
      <c r="E117" s="448" t="str">
        <f>IF(A117&lt;&gt;"",'QuoteTool EUROPE'!C306,"")</f>
        <v/>
      </c>
      <c r="F117" s="454"/>
      <c r="G117" s="487" t="str">
        <f>IF(A117&lt;&gt;"",'QuoteTool EUROPE'!H306,"")</f>
        <v/>
      </c>
    </row>
    <row r="118" spans="1:7" s="1185" customFormat="1">
      <c r="A118" s="329" t="str">
        <f>IF('QuoteTool EUROPE'!H307&lt;&gt;0,'QuoteTool EUROPE'!A307,"")</f>
        <v/>
      </c>
      <c r="B118" s="429"/>
      <c r="C118" s="430" t="str">
        <f>IF(A118&lt;&gt;"",'QuoteTool EUROPE'!D307,"")</f>
        <v/>
      </c>
      <c r="D118" s="448"/>
      <c r="E118" s="448" t="str">
        <f>IF(A118&lt;&gt;"",'QuoteTool EUROPE'!C307,"")</f>
        <v/>
      </c>
      <c r="F118" s="454"/>
      <c r="G118" s="487" t="str">
        <f>IF(A118&lt;&gt;"",'QuoteTool EUROPE'!H307,"")</f>
        <v/>
      </c>
    </row>
    <row r="119" spans="1:7" s="613" customFormat="1">
      <c r="A119" s="329" t="str">
        <f>IF('QuoteTool EUROPE'!H308&lt;&gt;0,'QuoteTool EUROPE'!A308,"")</f>
        <v>For storage associated with the RDS service, please refer to the storage volume in the EVS Common I/O or EVS Ultra High I/O section.</v>
      </c>
      <c r="B119" s="429"/>
      <c r="C119" s="430">
        <f>IF(A119&lt;&gt;"",'QuoteTool EUROPE'!D308,"")</f>
        <v>0</v>
      </c>
      <c r="D119" s="448"/>
      <c r="E119" s="448">
        <f>IF(A119&lt;&gt;"",'QuoteTool EUROPE'!C308,"")</f>
        <v>0</v>
      </c>
      <c r="F119" s="454"/>
      <c r="G119" s="487" t="str">
        <f>IF(A119&lt;&gt;"",'QuoteTool EUROPE'!H308,"")</f>
        <v>Total price</v>
      </c>
    </row>
    <row r="120" spans="1:7">
      <c r="A120" s="267" t="s">
        <v>294</v>
      </c>
      <c r="B120" s="264"/>
      <c r="C120" s="317"/>
      <c r="D120" s="210" t="s">
        <v>179</v>
      </c>
      <c r="E120" s="210"/>
      <c r="F120" s="210"/>
      <c r="G120" s="277" t="s">
        <v>181</v>
      </c>
    </row>
    <row r="121" spans="1:7">
      <c r="A121" s="2171" t="str">
        <f>IF('QuoteTool EUROPE'!B7&lt;&gt;0,"1st month support reserved inst"," ")</f>
        <v xml:space="preserve"> </v>
      </c>
      <c r="B121" s="2168"/>
      <c r="C121" s="156"/>
      <c r="D121" s="452" t="str">
        <f>IF(A121&lt;&gt;"",'QuoteTool EUROPE'!B537,"")</f>
        <v>Basic</v>
      </c>
      <c r="E121" s="451"/>
      <c r="F121" s="261"/>
      <c r="G121" s="444">
        <f>IF(A121&lt;&gt;"",'QuoteTool EUROPE'!B9,"")</f>
        <v>0</v>
      </c>
    </row>
    <row r="122" spans="1:7">
      <c r="A122" s="315"/>
      <c r="B122" s="316"/>
      <c r="C122" s="44"/>
      <c r="D122" s="451"/>
      <c r="E122" s="451"/>
      <c r="F122" s="489"/>
      <c r="G122" s="445"/>
    </row>
    <row r="123" spans="1:7">
      <c r="A123" s="234" t="s">
        <v>184</v>
      </c>
      <c r="B123" s="235"/>
      <c r="C123" s="235"/>
      <c r="D123" s="458"/>
      <c r="E123" s="458"/>
      <c r="F123" s="459"/>
      <c r="G123" s="266"/>
    </row>
    <row r="124" spans="1:7">
      <c r="A124" s="267" t="s">
        <v>175</v>
      </c>
      <c r="B124" s="264"/>
      <c r="C124" s="182"/>
      <c r="D124" s="210" t="s">
        <v>314</v>
      </c>
      <c r="E124" s="210" t="s">
        <v>178</v>
      </c>
      <c r="F124" s="210"/>
      <c r="G124" s="277" t="s">
        <v>182</v>
      </c>
    </row>
    <row r="125" spans="1:7">
      <c r="A125" s="338" t="str">
        <f>IF('QuoteTool EUROPE'!E250&lt;&gt;0,"Setup fee Direct connect","")</f>
        <v/>
      </c>
      <c r="B125" s="433"/>
      <c r="C125" s="433"/>
      <c r="D125" s="448" t="str">
        <f>IF(A125&lt;&gt;"",'QuoteTool EUROPE'!C250,"")</f>
        <v/>
      </c>
      <c r="E125" s="448" t="str">
        <f>IF(D125&lt;&gt;"",'QuoteTool EUROPE'!B250,"")</f>
        <v/>
      </c>
      <c r="F125" s="456"/>
      <c r="G125" s="442" t="str">
        <f>IF(A125&lt;&gt;"",'QuoteTool EUROPE'!E250,"")</f>
        <v/>
      </c>
    </row>
    <row r="126" spans="1:7">
      <c r="A126" s="588" t="str">
        <f>IF('QuoteTool EUROPE'!B251&lt;&gt;0,"Setup fee Direct connect","")</f>
        <v/>
      </c>
      <c r="B126" s="433"/>
      <c r="C126" s="433"/>
      <c r="D126" s="448" t="str">
        <f>IF(A126&lt;&gt;"",'QuoteTool EUROPE'!C251,"")</f>
        <v/>
      </c>
      <c r="E126" s="448" t="str">
        <f>IF(D126&lt;&gt;"",'QuoteTool EUROPE'!B251,"")</f>
        <v/>
      </c>
      <c r="F126" s="456"/>
      <c r="G126" s="442" t="str">
        <f>IF(A126&lt;&gt;"",'QuoteTool EUROPE'!E251,"")</f>
        <v/>
      </c>
    </row>
    <row r="127" spans="1:7" s="613" customFormat="1">
      <c r="A127" s="1049" t="str">
        <f>IF('QuoteTool EUROPE'!B255&lt;&gt;0,"Setup fee Direct connect","")</f>
        <v/>
      </c>
      <c r="B127" s="433"/>
      <c r="C127" s="433"/>
      <c r="D127" s="448" t="str">
        <f>IF(A127&lt;&gt;"",'QuoteTool EUROPE'!C255,"")</f>
        <v/>
      </c>
      <c r="E127" s="448" t="str">
        <f>IF(D127&lt;&gt;"",'QuoteTool EUROPE'!B255,"")</f>
        <v/>
      </c>
      <c r="F127" s="456"/>
      <c r="G127" s="442" t="str">
        <f>IF(A127&lt;&gt;"",'QuoteTool EUROPE'!E255,"")</f>
        <v/>
      </c>
    </row>
    <row r="128" spans="1:7" s="613" customFormat="1">
      <c r="A128" s="1049" t="str">
        <f>IF('QuoteTool EUROPE'!B256&lt;&gt;0,"Setup fee Direct connect","")</f>
        <v/>
      </c>
      <c r="B128" s="433"/>
      <c r="C128" s="433"/>
      <c r="D128" s="448" t="str">
        <f>IF(A128&lt;&gt;"",'QuoteTool EUROPE'!C256,"")</f>
        <v/>
      </c>
      <c r="E128" s="448" t="str">
        <f>IF(D128&lt;&gt;"",'QuoteTool EUROPE'!B256,"")</f>
        <v/>
      </c>
      <c r="F128" s="456"/>
      <c r="G128" s="442" t="str">
        <f>IF(A128&lt;&gt;"",'QuoteTool EUROPE'!E256,"")</f>
        <v/>
      </c>
    </row>
    <row r="129" spans="1:7">
      <c r="A129" s="329" t="str">
        <f>IF('QuoteTool EUROPE'!D260&lt;&gt;0,'QuoteTool EUROPE'!A259,"")</f>
        <v/>
      </c>
      <c r="B129" s="429"/>
      <c r="C129" s="433"/>
      <c r="D129" s="327"/>
      <c r="E129" s="327" t="str">
        <f>IF(A129&lt;&gt;"",'QuoteTool EUROPE'!B260+'QuoteTool EUROPE'!B261&amp;" interventions","")</f>
        <v/>
      </c>
      <c r="F129" s="433"/>
      <c r="G129" s="442" t="str">
        <f>IF(A129&lt;&gt;"",'QuoteTool EUROPE'!C260+'QuoteTool EUROPE'!C261,"")</f>
        <v/>
      </c>
    </row>
    <row r="130" spans="1:7">
      <c r="A130" s="473"/>
      <c r="B130" s="320"/>
      <c r="C130" s="320"/>
      <c r="D130" s="474"/>
      <c r="E130" s="474"/>
      <c r="F130" s="475"/>
      <c r="G130" s="476"/>
    </row>
    <row r="131" spans="1:7">
      <c r="A131" s="316"/>
      <c r="B131" s="316"/>
      <c r="C131" s="316"/>
      <c r="D131" s="155"/>
      <c r="E131" s="155"/>
      <c r="F131" s="261"/>
      <c r="G131" s="253"/>
    </row>
    <row r="132" spans="1:7">
      <c r="E132" s="2172" t="s">
        <v>210</v>
      </c>
      <c r="F132" s="2173"/>
      <c r="G132" s="484">
        <f>SUM(F61:G130)</f>
        <v>0</v>
      </c>
    </row>
    <row r="133" spans="1:7">
      <c r="E133" s="2163" t="s">
        <v>211</v>
      </c>
      <c r="F133" s="2164"/>
      <c r="G133" s="485">
        <f>G132*F135</f>
        <v>0</v>
      </c>
    </row>
    <row r="134" spans="1:7">
      <c r="E134" s="2158" t="s">
        <v>212</v>
      </c>
      <c r="F134" s="2159"/>
      <c r="G134" s="486">
        <f>SUM(G132:G133)</f>
        <v>0</v>
      </c>
    </row>
    <row r="135" spans="1:7">
      <c r="A135" s="2166"/>
      <c r="B135" s="2166"/>
      <c r="C135" s="79"/>
      <c r="E135" s="163" t="s">
        <v>388</v>
      </c>
      <c r="F135" s="551">
        <v>0.2</v>
      </c>
      <c r="G135" s="323" t="str">
        <f>IF('QuoteTool EUROPE'!B5&lt;&gt;0%,ROUND(SUM(C17,C21)-SUM(F17,F21),2)&amp;" €","")</f>
        <v/>
      </c>
    </row>
    <row r="136" spans="1:7">
      <c r="A136" s="314"/>
      <c r="B136" s="314"/>
      <c r="C136" s="79"/>
      <c r="D136" s="83"/>
      <c r="E136" s="324"/>
      <c r="F136" s="325"/>
      <c r="G136" s="324"/>
    </row>
    <row r="137" spans="1:7" ht="17.399999999999999">
      <c r="A137" s="160" t="s">
        <v>183</v>
      </c>
      <c r="B137" s="83"/>
      <c r="C137" s="83"/>
      <c r="G137" s="79"/>
    </row>
    <row r="138" spans="1:7" ht="17.399999999999999">
      <c r="A138" s="160"/>
      <c r="B138" s="83"/>
      <c r="C138" s="83"/>
      <c r="G138" s="79"/>
    </row>
    <row r="139" spans="1:7">
      <c r="A139" s="268" t="s">
        <v>191</v>
      </c>
      <c r="B139" s="265"/>
      <c r="C139" s="265"/>
      <c r="D139" s="205"/>
      <c r="E139" s="205"/>
      <c r="F139" s="205"/>
      <c r="G139" s="207"/>
    </row>
    <row r="140" spans="1:7">
      <c r="A140" s="267" t="s">
        <v>2564</v>
      </c>
      <c r="B140" s="264"/>
      <c r="C140" s="264"/>
      <c r="D140" s="182"/>
      <c r="E140" s="210" t="s">
        <v>178</v>
      </c>
      <c r="F140" s="264"/>
      <c r="G140" s="277" t="s">
        <v>181</v>
      </c>
    </row>
    <row r="141" spans="1:7">
      <c r="A141" s="329" t="str">
        <f>IF('QuoteTool EUROPE'!B180&lt;&gt;0,'QuoteTool EUROPE'!A180,"")</f>
        <v/>
      </c>
      <c r="B141" s="429"/>
      <c r="C141" s="429"/>
      <c r="D141" s="327"/>
      <c r="E141" s="450" t="str">
        <f>IF(A141&lt;&gt;"",IF('QuoteTool EUROPE'!B180&lt;1000,'QuoteTool EUROPE'!B180&amp;" GB",'QuoteTool EUROPE'!B180&amp;" GB"),"")</f>
        <v/>
      </c>
      <c r="F141" s="432"/>
      <c r="G141" s="441" t="str">
        <f>IF(A141&lt;&gt;"",'QuoteTool EUROPE'!C180,"")</f>
        <v/>
      </c>
    </row>
    <row r="142" spans="1:7" s="613" customFormat="1">
      <c r="A142" s="329" t="str">
        <f>IF('QuoteTool EUROPE'!B181&lt;&gt;0,'QuoteTool EUROPE'!A181,"")</f>
        <v/>
      </c>
      <c r="B142" s="429"/>
      <c r="C142" s="429"/>
      <c r="D142" s="327"/>
      <c r="E142" s="450" t="str">
        <f>IF(A142&lt;&gt;"",IF('QuoteTool EUROPE'!B181&lt;1000,'QuoteTool EUROPE'!B181&amp;" GB",'QuoteTool EUROPE'!B181&amp;" GB"),"")</f>
        <v/>
      </c>
      <c r="F142" s="432"/>
      <c r="G142" s="441" t="str">
        <f>IF(A142&lt;&gt;"",'QuoteTool EUROPE'!C181,"")</f>
        <v/>
      </c>
    </row>
    <row r="143" spans="1:7">
      <c r="A143" s="329" t="str">
        <f>IF('QuoteTool EUROPE'!C186+'QuoteTool EUROPE'!C187&lt;&gt;0,'QuoteTool EUROPE'!A185,"")</f>
        <v/>
      </c>
      <c r="B143" s="429"/>
      <c r="C143" s="429"/>
      <c r="D143" s="327"/>
      <c r="E143" s="450" t="str">
        <f>IF(A143&lt;&gt;"",'QuoteTool EUROPE'!B186+'QuoteTool EUROPE'!B187&amp;" slices","")</f>
        <v/>
      </c>
      <c r="F143" s="432"/>
      <c r="G143" s="441" t="str">
        <f>IF(A143&lt;&gt;"",'QuoteTool EUROPE'!C186+'QuoteTool EUROPE'!C187,"")</f>
        <v/>
      </c>
    </row>
    <row r="144" spans="1:7">
      <c r="A144" s="329" t="str">
        <f>IF('QuoteTool EUROPE'!B135&lt;&gt;0,'QuoteTool EUROPE'!A135,"")</f>
        <v/>
      </c>
      <c r="B144" s="429"/>
      <c r="C144" s="429"/>
      <c r="D144" s="327"/>
      <c r="E144" s="450" t="str">
        <f>IF(A144&lt;&gt;"",'QuoteTool EUROPE'!B135&amp;" GB","")</f>
        <v/>
      </c>
      <c r="F144" s="432"/>
      <c r="G144" s="441" t="str">
        <f>IF(A144&lt;&gt;"",'QuoteTool EUROPE'!C135,"")</f>
        <v/>
      </c>
    </row>
    <row r="145" spans="1:7" s="613" customFormat="1">
      <c r="A145" s="329" t="str">
        <f>IF('QuoteTool EUROPE'!B136&lt;&gt;0,'QuoteTool EUROPE'!A136,"")</f>
        <v/>
      </c>
      <c r="B145" s="429"/>
      <c r="C145" s="429"/>
      <c r="D145" s="327"/>
      <c r="E145" s="450" t="str">
        <f>IF(A145&lt;&gt;"",'QuoteTool EUROPE'!B136&amp;" GB","")</f>
        <v/>
      </c>
      <c r="F145" s="432"/>
      <c r="G145" s="441" t="str">
        <f>IF(A145&lt;&gt;"",'QuoteTool EUROPE'!C136,"")</f>
        <v/>
      </c>
    </row>
    <row r="146" spans="1:7">
      <c r="A146" s="329" t="str">
        <f>IF('QuoteTool EUROPE'!B137&lt;&gt;0,'QuoteTool EUROPE'!A137,"")</f>
        <v/>
      </c>
      <c r="B146" s="429"/>
      <c r="C146" s="429"/>
      <c r="D146" s="327"/>
      <c r="E146" s="450" t="str">
        <f>IF(A146&lt;&gt;"",'QuoteTool EUROPE'!B137&amp;" GB","")</f>
        <v/>
      </c>
      <c r="F146" s="432"/>
      <c r="G146" s="441" t="str">
        <f>IF(A146&lt;&gt;"",'QuoteTool EUROPE'!C137,"")</f>
        <v/>
      </c>
    </row>
    <row r="147" spans="1:7" s="613" customFormat="1">
      <c r="A147" s="329" t="str">
        <f>IF('QuoteTool EUROPE'!B138&lt;&gt;0,'QuoteTool EUROPE'!A138,"")</f>
        <v/>
      </c>
      <c r="B147" s="429"/>
      <c r="C147" s="429"/>
      <c r="D147" s="327"/>
      <c r="E147" s="450" t="str">
        <f>IF(A147&lt;&gt;"",'QuoteTool EUROPE'!B138&amp;" GB","")</f>
        <v/>
      </c>
      <c r="F147" s="432"/>
      <c r="G147" s="441" t="str">
        <f>IF(A147&lt;&gt;"",'QuoteTool EUROPE'!C138,"")</f>
        <v/>
      </c>
    </row>
    <row r="148" spans="1:7" s="1489" customFormat="1">
      <c r="A148" s="329" t="str">
        <f>IF('QuoteTool EUROPE'!B139&lt;&gt;0,'QuoteTool EUROPE'!A139,"")</f>
        <v/>
      </c>
      <c r="B148" s="429"/>
      <c r="C148" s="429"/>
      <c r="D148" s="327"/>
      <c r="E148" s="450" t="str">
        <f>IF(A148&lt;&gt;"",'QuoteTool EUROPE'!B139&amp;" GB","")</f>
        <v/>
      </c>
      <c r="F148" s="432"/>
      <c r="G148" s="441" t="str">
        <f>IF(A148&lt;&gt;"",'QuoteTool EUROPE'!C139,"")</f>
        <v/>
      </c>
    </row>
    <row r="149" spans="1:7" s="1489" customFormat="1">
      <c r="A149" s="329" t="str">
        <f>IF('QuoteTool EUROPE'!B140&lt;&gt;0,'QuoteTool EUROPE'!A140,"")</f>
        <v/>
      </c>
      <c r="B149" s="429"/>
      <c r="C149" s="429"/>
      <c r="D149" s="327"/>
      <c r="E149" s="450" t="str">
        <f>IF(A149&lt;&gt;"",'QuoteTool EUROPE'!B140&amp;" GB","")</f>
        <v/>
      </c>
      <c r="F149" s="432"/>
      <c r="G149" s="441" t="str">
        <f>IF(A149&lt;&gt;"",'QuoteTool EUROPE'!C140,"")</f>
        <v/>
      </c>
    </row>
    <row r="150" spans="1:7">
      <c r="A150" s="329" t="str">
        <f>IF('QuoteTool EUROPE'!B143&lt;&gt;0,'QuoteTool EUROPE'!A143,"")</f>
        <v/>
      </c>
      <c r="B150" s="429"/>
      <c r="C150" s="429"/>
      <c r="D150" s="327"/>
      <c r="E150" s="450" t="str">
        <f>IF(A150&lt;&gt;"",'QuoteTool EUROPE'!B143&amp;" GB","")</f>
        <v/>
      </c>
      <c r="F150" s="432"/>
      <c r="G150" s="441" t="str">
        <f>IF(A150&lt;&gt;"",'QuoteTool EUROPE'!C143,"")</f>
        <v/>
      </c>
    </row>
    <row r="151" spans="1:7" s="613" customFormat="1">
      <c r="A151" s="329" t="str">
        <f>IF('QuoteTool EUROPE'!B144&lt;&gt;0,'QuoteTool EUROPE'!A144,"")</f>
        <v/>
      </c>
      <c r="B151" s="429"/>
      <c r="C151" s="429"/>
      <c r="D151" s="327"/>
      <c r="E151" s="450" t="str">
        <f>IF(A151&lt;&gt;"",'QuoteTool EUROPE'!B144&amp;" GB","")</f>
        <v/>
      </c>
      <c r="F151" s="432"/>
      <c r="G151" s="441" t="str">
        <f>IF(A151&lt;&gt;"",'QuoteTool EUROPE'!C144,"")</f>
        <v/>
      </c>
    </row>
    <row r="152" spans="1:7" s="613" customFormat="1">
      <c r="A152" s="329" t="str">
        <f>IF('QuoteTool EUROPE'!B145&lt;&gt;0,'QuoteTool EUROPE'!A145,"")</f>
        <v/>
      </c>
      <c r="B152" s="429"/>
      <c r="C152" s="429"/>
      <c r="D152" s="327"/>
      <c r="E152" s="450" t="str">
        <f>IF(A152&lt;&gt;"",'QuoteTool EUROPE'!B145&amp;" GB","")</f>
        <v/>
      </c>
      <c r="F152" s="432"/>
      <c r="G152" s="441" t="str">
        <f>IF(A152&lt;&gt;"",'QuoteTool EUROPE'!C145,"")</f>
        <v/>
      </c>
    </row>
    <row r="153" spans="1:7" s="613" customFormat="1">
      <c r="A153" s="329" t="str">
        <f>IF('QuoteTool EUROPE'!B148&lt;&gt;0,'QuoteTool EUROPE'!A148,"")</f>
        <v/>
      </c>
      <c r="B153" s="429"/>
      <c r="C153" s="429"/>
      <c r="D153" s="327"/>
      <c r="E153" s="450" t="str">
        <f>IF(A153&lt;&gt;"",('QuoteTool EUROPE'!B148)&amp;" servers","")</f>
        <v/>
      </c>
      <c r="F153" s="431"/>
      <c r="G153" s="442" t="str">
        <f>IF(A153&lt;&gt;"",'QuoteTool EUROPE'!F148,"")</f>
        <v/>
      </c>
    </row>
    <row r="154" spans="1:7" s="613" customFormat="1">
      <c r="A154" s="329" t="str">
        <f>IF('QuoteTool EUROPE'!B149&lt;&gt;0,'QuoteTool EUROPE'!A149,"")</f>
        <v/>
      </c>
      <c r="B154" s="429"/>
      <c r="C154" s="429"/>
      <c r="D154" s="327"/>
      <c r="E154" s="450" t="str">
        <f>IF(A154&lt;&gt;"",('QuoteTool EUROPE'!B149)&amp;" servers","")</f>
        <v/>
      </c>
      <c r="F154" s="431"/>
      <c r="G154" s="442" t="str">
        <f>IF(A154&lt;&gt;"",'QuoteTool EUROPE'!F149,"")</f>
        <v/>
      </c>
    </row>
    <row r="155" spans="1:7" s="333" customFormat="1">
      <c r="A155" s="329" t="str">
        <f>IF('QuoteTool EUROPE'!B175&lt;&gt;0,'QuoteTool EUROPE'!A175,"")</f>
        <v/>
      </c>
      <c r="B155" s="429"/>
      <c r="C155" s="429"/>
      <c r="D155" s="448"/>
      <c r="E155" s="450" t="str">
        <f>IF(A155&lt;&gt;"",('QuoteTool EUROPE'!B175)&amp;" GB","")</f>
        <v/>
      </c>
      <c r="F155" s="450"/>
      <c r="G155" s="442" t="str">
        <f>IF(A155&lt;&gt;"",'QuoteTool EUROPE'!C175,"")</f>
        <v/>
      </c>
    </row>
    <row r="156" spans="1:7" s="613" customFormat="1">
      <c r="A156" s="329" t="str">
        <f>IF('QuoteTool EUROPE'!B176&lt;&gt;0,'QuoteTool EUROPE'!A176,"")</f>
        <v/>
      </c>
      <c r="B156" s="429"/>
      <c r="C156" s="429"/>
      <c r="D156" s="448"/>
      <c r="E156" s="450" t="str">
        <f>IF(A156&lt;&gt;"",('QuoteTool EUROPE'!B176)&amp;" GB","")</f>
        <v/>
      </c>
      <c r="F156" s="450"/>
      <c r="G156" s="442" t="str">
        <f>IF(A156&lt;&gt;"",'QuoteTool EUROPE'!C176,"")</f>
        <v/>
      </c>
    </row>
    <row r="157" spans="1:7" s="613" customFormat="1">
      <c r="A157" s="329" t="str">
        <f>IF('QuoteTool EUROPE'!B177&lt;&gt;0,'QuoteTool EUROPE'!A177,"")</f>
        <v/>
      </c>
      <c r="B157" s="429"/>
      <c r="C157" s="429"/>
      <c r="D157" s="448"/>
      <c r="E157" s="450" t="str">
        <f>IF(A157&lt;&gt;"",('QuoteTool EUROPE'!B177)&amp;" GB","")</f>
        <v/>
      </c>
      <c r="F157" s="450"/>
      <c r="G157" s="442" t="str">
        <f>IF(A157&lt;&gt;"",'QuoteTool EUROPE'!C177,"")</f>
        <v/>
      </c>
    </row>
    <row r="158" spans="1:7" s="1185" customFormat="1">
      <c r="A158" s="329" t="str">
        <f>IF('QuoteTool EUROPE'!G154&lt;&gt;0,'QuoteTool EUROPE'!A152,"")</f>
        <v/>
      </c>
      <c r="B158" s="429"/>
      <c r="C158" s="429"/>
      <c r="D158" s="448"/>
      <c r="E158" s="450" t="str">
        <f>IF(A158&lt;&gt;"",('QuoteTool EUROPE'!A154)&amp;" GB","")</f>
        <v/>
      </c>
      <c r="F158" s="450"/>
      <c r="G158" s="442" t="str">
        <f>IF(A158&lt;&gt;"",'QuoteTool EUROPE'!G154,"")</f>
        <v/>
      </c>
    </row>
    <row r="159" spans="1:7" s="333" customFormat="1">
      <c r="A159" s="329" t="str">
        <f>IF('QuoteTool EUROPE'!H158&lt;&gt;0,'QuoteTool EUROPE'!A156,"")</f>
        <v/>
      </c>
      <c r="B159" s="429"/>
      <c r="C159" s="429"/>
      <c r="D159" s="448"/>
      <c r="E159" s="1273" t="str">
        <f>IF(A159&lt;&gt;"",('QuoteTool EUROPE'!A158)&amp;" GB","")</f>
        <v/>
      </c>
      <c r="F159" s="450"/>
      <c r="G159" s="442" t="str">
        <f>IF(A159&lt;&gt;"",'QuoteTool EUROPE'!H158,"")</f>
        <v/>
      </c>
    </row>
    <row r="160" spans="1:7" s="613" customFormat="1">
      <c r="A160" s="329" t="str">
        <f>IF('QuoteTool EUROPE'!B165&lt;&gt;0,'QuoteTool EUROPE'!A165,"")</f>
        <v/>
      </c>
      <c r="B160" s="429"/>
      <c r="C160" s="429"/>
      <c r="D160" s="448"/>
      <c r="E160" s="450" t="str">
        <f>IF(A160&lt;&gt;"",('QuoteTool EUROPE'!B165)&amp;" VM","")</f>
        <v/>
      </c>
      <c r="F160" s="450"/>
      <c r="G160" s="442" t="str">
        <f>IF(A160&lt;&gt;"",'QuoteTool EUROPE'!C165,"")</f>
        <v/>
      </c>
    </row>
    <row r="161" spans="1:7" s="613" customFormat="1">
      <c r="A161" s="329" t="str">
        <f>IF('QuoteTool EUROPE'!B169&lt;&gt;0,'QuoteTool EUROPE'!A169,"")</f>
        <v/>
      </c>
      <c r="B161" s="429"/>
      <c r="C161" s="429"/>
      <c r="D161" s="448"/>
      <c r="E161" s="450" t="str">
        <f>IF(A161&lt;&gt;"",('QuoteTool EUROPE'!B169)&amp;" GB","")</f>
        <v/>
      </c>
      <c r="F161" s="450"/>
      <c r="G161" s="442" t="str">
        <f>IF(A161&lt;&gt;"",'QuoteTool EUROPE'!C169,"")</f>
        <v/>
      </c>
    </row>
    <row r="162" spans="1:7" s="613" customFormat="1">
      <c r="A162" s="329" t="str">
        <f>IF('QuoteTool EUROPE'!B170&lt;&gt;0,'QuoteTool EUROPE'!A170,"")</f>
        <v/>
      </c>
      <c r="B162" s="429"/>
      <c r="C162" s="429"/>
      <c r="D162" s="448"/>
      <c r="E162" s="450" t="str">
        <f>IF(A162&lt;&gt;"",('QuoteTool EUROPE'!B170)&amp;" VM","")</f>
        <v/>
      </c>
      <c r="F162" s="450"/>
      <c r="G162" s="442" t="str">
        <f>IF(A162&lt;&gt;"",'QuoteTool EUROPE'!C170,"")</f>
        <v/>
      </c>
    </row>
    <row r="163" spans="1:7" s="613" customFormat="1">
      <c r="A163" s="329" t="str">
        <f>IF('QuoteTool EUROPE'!B167&lt;&gt;0,'QuoteTool EUROPE'!A167,"")</f>
        <v/>
      </c>
      <c r="B163" s="429"/>
      <c r="C163" s="429"/>
      <c r="D163" s="448"/>
      <c r="E163" s="450" t="str">
        <f>IF(A163&lt;&gt;"",('QuoteTool EUROPE'!B167)&amp;" VM","")</f>
        <v/>
      </c>
      <c r="F163" s="450"/>
      <c r="G163" s="442" t="str">
        <f>IF(A163&lt;&gt;"",'QuoteTool EUROPE'!C167,"")</f>
        <v/>
      </c>
    </row>
    <row r="164" spans="1:7" s="333" customFormat="1">
      <c r="A164" s="329" t="str">
        <f>IF('QuoteTool EUROPE'!B182&lt;&gt;0,'QuoteTool EUROPE'!A182,"")</f>
        <v/>
      </c>
      <c r="B164" s="429"/>
      <c r="C164" s="429"/>
      <c r="D164" s="448"/>
      <c r="E164" s="450" t="str">
        <f>IF(A164&lt;&gt;"",('QuoteTool EUROPE'!B182)&amp;" GB","")</f>
        <v/>
      </c>
      <c r="F164" s="450"/>
      <c r="G164" s="442" t="str">
        <f>IF(A164&lt;&gt;"",'QuoteTool EUROPE'!C182,"")</f>
        <v/>
      </c>
    </row>
    <row r="165" spans="1:7" s="333" customFormat="1">
      <c r="A165" s="329" t="str">
        <f>IF('QuoteTool EUROPE'!B183&lt;&gt;0,'QuoteTool EUROPE'!A183,"")</f>
        <v/>
      </c>
      <c r="B165" s="429"/>
      <c r="C165" s="429"/>
      <c r="D165" s="448"/>
      <c r="E165" s="450" t="str">
        <f>IF(A165&lt;&gt;"",('QuoteTool EUROPE'!B183)&amp;" GB","")</f>
        <v/>
      </c>
      <c r="F165" s="450"/>
      <c r="G165" s="442" t="str">
        <f>IF(A165&lt;&gt;"",'QuoteTool EUROPE'!C183,"")</f>
        <v/>
      </c>
    </row>
    <row r="166" spans="1:7">
      <c r="A166" s="329" t="str">
        <f>IF('QuoteTool EUROPE'!B188&lt;&gt;0,'QuoteTool EUROPE'!A188,"")</f>
        <v/>
      </c>
      <c r="B166" s="429"/>
      <c r="C166" s="429"/>
      <c r="D166" s="448"/>
      <c r="E166" s="450" t="str">
        <f>IF(A166&lt;&gt;"",('QuoteTool EUROPE'!B188)&amp;" Slices","")</f>
        <v/>
      </c>
      <c r="F166" s="450"/>
      <c r="G166" s="442" t="str">
        <f>IF(A166&lt;&gt;"",'QuoteTool EUROPE'!C188,"")</f>
        <v/>
      </c>
    </row>
    <row r="167" spans="1:7" s="333" customFormat="1">
      <c r="A167" s="329" t="str">
        <f>IF('QuoteTool EUROPE'!B189&lt;&gt;0,'QuoteTool EUROPE'!A189,"")</f>
        <v/>
      </c>
      <c r="B167" s="429"/>
      <c r="C167" s="429"/>
      <c r="D167" s="448"/>
      <c r="E167" s="450" t="str">
        <f>IF(A167&lt;&gt;"",('QuoteTool EUROPE'!B189)&amp;" Slices","")</f>
        <v/>
      </c>
      <c r="F167" s="450"/>
      <c r="G167" s="442" t="str">
        <f>IF(A167&lt;&gt;"",'QuoteTool EUROPE'!C189,"")</f>
        <v/>
      </c>
    </row>
    <row r="168" spans="1:7" s="333" customFormat="1">
      <c r="A168" s="329" t="str">
        <f>IF('QuoteTool EUROPE'!B190&lt;&gt;0,'QuoteTool EUROPE'!A190,"")</f>
        <v/>
      </c>
      <c r="B168" s="429"/>
      <c r="C168" s="429"/>
      <c r="D168" s="448"/>
      <c r="E168" s="450" t="str">
        <f>IF(A168&lt;&gt;"",('QuoteTool EUROPE'!B190)&amp;" Slices","")</f>
        <v/>
      </c>
      <c r="F168" s="450"/>
      <c r="G168" s="442" t="str">
        <f>IF(A168&lt;&gt;"",'QuoteTool EUROPE'!C190,"")</f>
        <v/>
      </c>
    </row>
    <row r="169" spans="1:7" s="333" customFormat="1">
      <c r="A169" s="329" t="str">
        <f>IF('QuoteTool EUROPE'!B191&lt;&gt;0,'QuoteTool EUROPE'!A191,"")</f>
        <v/>
      </c>
      <c r="B169" s="429"/>
      <c r="C169" s="429"/>
      <c r="D169" s="448"/>
      <c r="E169" s="450" t="str">
        <f>IF(A169&lt;&gt;"",('QuoteTool EUROPE'!B191)&amp;" Slices","")</f>
        <v/>
      </c>
      <c r="F169" s="450"/>
      <c r="G169" s="442" t="str">
        <f>IF(A169&lt;&gt;"",'QuoteTool EUROPE'!C191,"")</f>
        <v/>
      </c>
    </row>
    <row r="170" spans="1:7" s="333" customFormat="1">
      <c r="A170" s="329" t="str">
        <f>IF('QuoteTool EUROPE'!B192&lt;&gt;0,'QuoteTool EUROPE'!A192,"")</f>
        <v/>
      </c>
      <c r="B170" s="429"/>
      <c r="C170" s="429"/>
      <c r="D170" s="448"/>
      <c r="E170" s="450" t="str">
        <f>IF(A170&lt;&gt;"",('QuoteTool EUROPE'!B192)&amp;" Slices","")</f>
        <v/>
      </c>
      <c r="F170" s="450"/>
      <c r="G170" s="442" t="str">
        <f>IF(A170&lt;&gt;"",'QuoteTool EUROPE'!C192,"")</f>
        <v/>
      </c>
    </row>
    <row r="171" spans="1:7" s="333" customFormat="1">
      <c r="A171" s="329" t="str">
        <f>IF('QuoteTool EUROPE'!B197&lt;&gt;0,'QuoteTool EUROPE'!A197,"")</f>
        <v/>
      </c>
      <c r="B171" s="429"/>
      <c r="C171" s="429"/>
      <c r="D171" s="448"/>
      <c r="E171" s="450" t="str">
        <f>IF(A171&lt;&gt;"",('QuoteTool EUROPE'!B197)&amp;" GB","")</f>
        <v/>
      </c>
      <c r="F171" s="450"/>
      <c r="G171" s="442" t="str">
        <f>IF(A171&lt;&gt;"",'QuoteTool EUROPE'!C197,"")</f>
        <v/>
      </c>
    </row>
    <row r="172" spans="1:7" s="333" customFormat="1">
      <c r="A172" s="329" t="str">
        <f>IF('QuoteTool EUROPE'!B198&lt;&gt;0,'QuoteTool EUROPE'!A198,"")</f>
        <v/>
      </c>
      <c r="B172" s="429"/>
      <c r="C172" s="429"/>
      <c r="D172" s="448"/>
      <c r="E172" s="450" t="str">
        <f>IF(A172&lt;&gt;"",('QuoteTool EUROPE'!B198)&amp;" GB","")</f>
        <v/>
      </c>
      <c r="F172" s="450"/>
      <c r="G172" s="442" t="str">
        <f>IF(A172&lt;&gt;"",'QuoteTool EUROPE'!C198,"")</f>
        <v/>
      </c>
    </row>
    <row r="173" spans="1:7" s="333" customFormat="1">
      <c r="A173" s="329" t="str">
        <f>IF('QuoteTool EUROPE'!B199&lt;&gt;0,'QuoteTool EUROPE'!A199,"")</f>
        <v/>
      </c>
      <c r="B173" s="429"/>
      <c r="C173" s="429"/>
      <c r="D173" s="448"/>
      <c r="E173" s="450" t="str">
        <f>IF(A173&lt;&gt;"",('QuoteTool EUROPE'!B199)&amp;" Slices","")</f>
        <v/>
      </c>
      <c r="F173" s="450"/>
      <c r="G173" s="442" t="str">
        <f>IF(A173&lt;&gt;"",'QuoteTool EUROPE'!C199,"")</f>
        <v/>
      </c>
    </row>
    <row r="174" spans="1:7" s="333" customFormat="1">
      <c r="A174" s="329" t="str">
        <f>IF('QuoteTool EUROPE'!B200&lt;&gt;0,'QuoteTool EUROPE'!A200,"")</f>
        <v/>
      </c>
      <c r="B174" s="429"/>
      <c r="C174" s="429"/>
      <c r="D174" s="448"/>
      <c r="E174" s="450" t="str">
        <f>IF(A174&lt;&gt;"",('QuoteTool EUROPE'!B200)&amp;" GB","")</f>
        <v/>
      </c>
      <c r="F174" s="450"/>
      <c r="G174" s="442" t="str">
        <f>IF(A174&lt;&gt;"",'QuoteTool EUROPE'!C200,"")</f>
        <v/>
      </c>
    </row>
    <row r="175" spans="1:7" s="333" customFormat="1">
      <c r="A175" s="329" t="str">
        <f>IF('QuoteTool EUROPE'!B201&lt;&gt;0,'QuoteTool EUROPE'!A201,"")</f>
        <v/>
      </c>
      <c r="B175" s="429"/>
      <c r="C175" s="429"/>
      <c r="D175" s="448"/>
      <c r="E175" s="450" t="str">
        <f>IF(A175&lt;&gt;"",('QuoteTool EUROPE'!B201)&amp;" Slices","")</f>
        <v/>
      </c>
      <c r="F175" s="450"/>
      <c r="G175" s="442" t="str">
        <f>IF(A175&lt;&gt;"",'QuoteTool EUROPE'!C201,"")</f>
        <v/>
      </c>
    </row>
    <row r="176" spans="1:7" s="333" customFormat="1">
      <c r="A176" s="329" t="str">
        <f>IF('QuoteTool EUROPE'!B202&lt;&gt;0,'QuoteTool EUROPE'!A202,"")</f>
        <v/>
      </c>
      <c r="B176" s="429"/>
      <c r="C176" s="429"/>
      <c r="D176" s="448"/>
      <c r="E176" s="450" t="str">
        <f>IF(A176&lt;&gt;"",('QuoteTool EUROPE'!B202)&amp;" GB","")</f>
        <v/>
      </c>
      <c r="F176" s="450"/>
      <c r="G176" s="442" t="str">
        <f>IF(A176&lt;&gt;"",'QuoteTool EUROPE'!C202,"")</f>
        <v/>
      </c>
    </row>
    <row r="177" spans="1:7" s="333" customFormat="1">
      <c r="A177" s="329" t="str">
        <f>IF('QuoteTool EUROPE'!B203&lt;&gt;0,'QuoteTool EUROPE'!A203,"")</f>
        <v/>
      </c>
      <c r="B177" s="429"/>
      <c r="C177" s="429"/>
      <c r="D177" s="448"/>
      <c r="E177" s="450" t="str">
        <f>IF(A177&lt;&gt;"",('QuoteTool EUROPE'!B203)&amp;" Slices","")</f>
        <v/>
      </c>
      <c r="F177" s="450"/>
      <c r="G177" s="442" t="str">
        <f>IF(A177&lt;&gt;"",'QuoteTool EUROPE'!C203,"")</f>
        <v/>
      </c>
    </row>
    <row r="178" spans="1:7" s="613" customFormat="1">
      <c r="A178" s="329" t="str">
        <f>IF('QuoteTool EUROPE'!C214&lt;&gt;0,'QuoteTool EUROPE'!A209,"")</f>
        <v/>
      </c>
      <c r="B178" s="429"/>
      <c r="C178" s="429"/>
      <c r="D178" s="448"/>
      <c r="E178" s="450"/>
      <c r="F178" s="450"/>
      <c r="G178" s="442" t="str">
        <f>IF(A178&lt;&gt;"",'QuoteTool EUROPE'!C214,"")</f>
        <v/>
      </c>
    </row>
    <row r="179" spans="1:7" s="333" customFormat="1">
      <c r="A179" s="329" t="str">
        <f>IF('QuoteTool EUROPE'!C207&lt;&gt;0,'QuoteTool EUROPE'!A206,"")</f>
        <v/>
      </c>
      <c r="B179" s="589"/>
      <c r="C179" s="589"/>
      <c r="D179" s="327"/>
      <c r="E179" s="450"/>
      <c r="F179" s="434"/>
      <c r="G179" s="442" t="str">
        <f>IF(A179&lt;&gt;"",'QuoteTool EUROPE'!C207,"")</f>
        <v/>
      </c>
    </row>
    <row r="180" spans="1:7" s="1489" customFormat="1">
      <c r="A180" s="329" t="str">
        <f>IF('QuoteTool EUROPE'!C222&lt;&gt;0,'QuoteTool EUROPE'!A216,"")</f>
        <v/>
      </c>
      <c r="B180" s="1705"/>
      <c r="C180" s="1705"/>
      <c r="D180" s="327"/>
      <c r="E180" s="450"/>
      <c r="F180" s="434"/>
      <c r="G180" s="442" t="str">
        <f>IF(A180&lt;&gt;"",'QuoteTool EUROPE'!C222,"")</f>
        <v/>
      </c>
    </row>
    <row r="181" spans="1:7" s="1489" customFormat="1">
      <c r="A181" s="329" t="str">
        <f>IF('QuoteTool EUROPE'!C226&lt;&gt;0,'QuoteTool EUROPE'!A224,"")</f>
        <v/>
      </c>
      <c r="B181" s="1705"/>
      <c r="C181" s="1705"/>
      <c r="D181" s="327"/>
      <c r="E181" s="450"/>
      <c r="F181" s="434"/>
      <c r="G181" s="442" t="str">
        <f>IF(A181&lt;&gt;"",'QuoteTool EUROPE'!C226,"")</f>
        <v/>
      </c>
    </row>
    <row r="182" spans="1:7" s="1489" customFormat="1">
      <c r="A182" s="329" t="str">
        <f>IF('QuoteTool EUROPE'!C230&lt;&gt;0,'QuoteTool EUROPE'!A228,"")</f>
        <v/>
      </c>
      <c r="B182" s="429"/>
      <c r="C182" s="429"/>
      <c r="D182" s="448"/>
      <c r="E182" s="454" t="str">
        <f>IF(A182&lt;&gt;"",('QuoteTool EUROPE'!B230)&amp;" hours","")</f>
        <v/>
      </c>
      <c r="F182" s="450"/>
      <c r="G182" s="442" t="str">
        <f>IF(A182&lt;&gt;"",'QuoteTool EUROPE'!C230,"")</f>
        <v/>
      </c>
    </row>
    <row r="183" spans="1:7" s="1489" customFormat="1">
      <c r="A183" s="329" t="str">
        <f>IF('QuoteTool EUROPE'!C234&lt;&gt;0,'QuoteTool EUROPE'!A232,"")</f>
        <v/>
      </c>
      <c r="B183" s="429"/>
      <c r="C183" s="429"/>
      <c r="D183" s="448"/>
      <c r="E183" s="454" t="str">
        <f>IF(A183&lt;&gt;"","Edition "&amp;('QuoteTool EUROPE'!A234),"")</f>
        <v/>
      </c>
      <c r="F183" s="450" t="str">
        <f>IF(A183&lt;&gt;"",('QuoteTool EUROPE'!B234),"")</f>
        <v/>
      </c>
      <c r="G183" s="442" t="str">
        <f>IF(A183&lt;&gt;"",'QuoteTool EUROPE'!C234,"")</f>
        <v/>
      </c>
    </row>
    <row r="184" spans="1:7">
      <c r="A184" s="267" t="s">
        <v>167</v>
      </c>
      <c r="B184" s="264"/>
      <c r="C184" s="286" t="s">
        <v>180</v>
      </c>
      <c r="D184" s="210" t="s">
        <v>8</v>
      </c>
      <c r="E184" s="210" t="s">
        <v>178</v>
      </c>
      <c r="F184" s="264"/>
      <c r="G184" s="277" t="s">
        <v>181</v>
      </c>
    </row>
    <row r="185" spans="1:7">
      <c r="A185" s="329" t="str">
        <f>IF('QuoteTool EUROPE'!B19&lt;&gt;0,'QuoteTool EUROPE'!A19,"")</f>
        <v/>
      </c>
      <c r="B185" s="429"/>
      <c r="C185" s="472" t="str">
        <f>IF(A185&lt;&gt;"",'QuoteTool EUROPE'!C19,"")</f>
        <v/>
      </c>
      <c r="D185" s="448" t="str">
        <f>IF(A185&lt;&gt;"",'QuoteTool EUROPE'!D19,"")</f>
        <v/>
      </c>
      <c r="E185" s="448" t="str">
        <f>IF(A185&lt;&gt;"",'QuoteTool EUROPE'!B19,"")</f>
        <v/>
      </c>
      <c r="F185" s="432"/>
      <c r="G185" s="441" t="str">
        <f>IF(A185&lt;&gt;"",'QuoteTool EUROPE'!F19,"")</f>
        <v/>
      </c>
    </row>
    <row r="186" spans="1:7">
      <c r="A186" s="329" t="str">
        <f>IF('QuoteTool EUROPE'!B20&lt;&gt;0,'QuoteTool EUROPE'!A20,"")</f>
        <v/>
      </c>
      <c r="B186" s="429"/>
      <c r="C186" s="472" t="str">
        <f>IF(A186&lt;&gt;"",'QuoteTool EUROPE'!C20,"")</f>
        <v/>
      </c>
      <c r="D186" s="448" t="str">
        <f>IF(A186&lt;&gt;"",'QuoteTool EUROPE'!D20,"")</f>
        <v/>
      </c>
      <c r="E186" s="448" t="str">
        <f>IF(A186&lt;&gt;"",'QuoteTool EUROPE'!B20,"")</f>
        <v/>
      </c>
      <c r="F186" s="432"/>
      <c r="G186" s="441" t="str">
        <f>IF(A186&lt;&gt;"",'QuoteTool EUROPE'!F20,"")</f>
        <v/>
      </c>
    </row>
    <row r="187" spans="1:7">
      <c r="A187" s="329" t="str">
        <f>IF('QuoteTool EUROPE'!B21&lt;&gt;0,'QuoteTool EUROPE'!A21,"")</f>
        <v/>
      </c>
      <c r="B187" s="429"/>
      <c r="C187" s="472" t="str">
        <f>IF(A187&lt;&gt;"",'QuoteTool EUROPE'!C21,"")</f>
        <v/>
      </c>
      <c r="D187" s="448" t="str">
        <f>IF(A187&lt;&gt;"",'QuoteTool EUROPE'!D21,"")</f>
        <v/>
      </c>
      <c r="E187" s="448" t="str">
        <f>IF(A187&lt;&gt;"",'QuoteTool EUROPE'!B21,"")</f>
        <v/>
      </c>
      <c r="F187" s="432"/>
      <c r="G187" s="441" t="str">
        <f>IF(A187&lt;&gt;"",'QuoteTool EUROPE'!F21,"")</f>
        <v/>
      </c>
    </row>
    <row r="188" spans="1:7">
      <c r="A188" s="329" t="str">
        <f>IF('QuoteTool EUROPE'!B22&lt;&gt;0,'QuoteTool EUROPE'!A22,"")</f>
        <v/>
      </c>
      <c r="B188" s="429"/>
      <c r="C188" s="472" t="str">
        <f>IF(A188&lt;&gt;"",'QuoteTool EUROPE'!C22,"")</f>
        <v/>
      </c>
      <c r="D188" s="448" t="str">
        <f>IF(A188&lt;&gt;"",'QuoteTool EUROPE'!D22,"")</f>
        <v/>
      </c>
      <c r="E188" s="448" t="str">
        <f>IF(A188&lt;&gt;"",'QuoteTool EUROPE'!B22,"")</f>
        <v/>
      </c>
      <c r="F188" s="432"/>
      <c r="G188" s="441" t="str">
        <f>IF(A188&lt;&gt;"",'QuoteTool EUROPE'!F22,"")</f>
        <v/>
      </c>
    </row>
    <row r="189" spans="1:7">
      <c r="A189" s="329" t="str">
        <f>IF('QuoteTool EUROPE'!B23&lt;&gt;0,'QuoteTool EUROPE'!A23,"")</f>
        <v/>
      </c>
      <c r="B189" s="429"/>
      <c r="C189" s="472" t="str">
        <f>IF(A189&lt;&gt;"",'QuoteTool EUROPE'!C23,"")</f>
        <v/>
      </c>
      <c r="D189" s="448" t="str">
        <f>IF(A189&lt;&gt;"",'QuoteTool EUROPE'!D23,"")</f>
        <v/>
      </c>
      <c r="E189" s="448" t="str">
        <f>IF(A189&lt;&gt;"",'QuoteTool EUROPE'!B23,"")</f>
        <v/>
      </c>
      <c r="F189" s="432"/>
      <c r="G189" s="441" t="str">
        <f>IF(A189&lt;&gt;"",'QuoteTool EUROPE'!F23,"")</f>
        <v/>
      </c>
    </row>
    <row r="190" spans="1:7">
      <c r="A190" s="329" t="str">
        <f>IF('QuoteTool EUROPE'!B24&lt;&gt;0,'QuoteTool EUROPE'!A24,"")</f>
        <v/>
      </c>
      <c r="B190" s="429"/>
      <c r="C190" s="472" t="str">
        <f>IF(A190&lt;&gt;"",'QuoteTool EUROPE'!C24,"")</f>
        <v/>
      </c>
      <c r="D190" s="448" t="str">
        <f>IF(A190&lt;&gt;"",'QuoteTool EUROPE'!D24,"")</f>
        <v/>
      </c>
      <c r="E190" s="448" t="str">
        <f>IF(A190&lt;&gt;"",'QuoteTool EUROPE'!B24,"")</f>
        <v/>
      </c>
      <c r="F190" s="432"/>
      <c r="G190" s="441" t="str">
        <f>IF(A190&lt;&gt;"",'QuoteTool EUROPE'!F24,"")</f>
        <v/>
      </c>
    </row>
    <row r="191" spans="1:7" s="613" customFormat="1">
      <c r="A191" s="329" t="str">
        <f>IF('QuoteTool EUROPE'!B25&lt;&gt;0,'QuoteTool EUROPE'!A25,"")</f>
        <v/>
      </c>
      <c r="B191" s="429"/>
      <c r="C191" s="472" t="str">
        <f>IF(A191&lt;&gt;"",'QuoteTool EUROPE'!C25,"")</f>
        <v/>
      </c>
      <c r="D191" s="448" t="str">
        <f>IF(A191&lt;&gt;"",'QuoteTool EUROPE'!D25,"")</f>
        <v/>
      </c>
      <c r="E191" s="448" t="str">
        <f>IF(A191&lt;&gt;"",'QuoteTool EUROPE'!B25,"")</f>
        <v/>
      </c>
      <c r="F191" s="432"/>
      <c r="G191" s="441" t="str">
        <f>IF(A191&lt;&gt;"",'QuoteTool EUROPE'!F25,"")</f>
        <v/>
      </c>
    </row>
    <row r="192" spans="1:7" s="613" customFormat="1">
      <c r="A192" s="329" t="str">
        <f>IF('QuoteTool EUROPE'!B26&lt;&gt;0,'QuoteTool EUROPE'!A26,"")</f>
        <v/>
      </c>
      <c r="B192" s="429"/>
      <c r="C192" s="472" t="str">
        <f>IF(A192&lt;&gt;"",'QuoteTool EUROPE'!C26,"")</f>
        <v/>
      </c>
      <c r="D192" s="448" t="str">
        <f>IF(A192&lt;&gt;"",'QuoteTool EUROPE'!D26,"")</f>
        <v/>
      </c>
      <c r="E192" s="448" t="str">
        <f>IF(A192&lt;&gt;"",'QuoteTool EUROPE'!B26,"")</f>
        <v/>
      </c>
      <c r="F192" s="432"/>
      <c r="G192" s="441" t="str">
        <f>IF(A192&lt;&gt;"",'QuoteTool EUROPE'!F26,"")</f>
        <v/>
      </c>
    </row>
    <row r="193" spans="1:7" s="613" customFormat="1">
      <c r="A193" s="329" t="str">
        <f>IF('QuoteTool EUROPE'!B27&lt;&gt;0,'QuoteTool EUROPE'!A27,"")</f>
        <v/>
      </c>
      <c r="B193" s="429"/>
      <c r="C193" s="472" t="str">
        <f>IF(A193&lt;&gt;"",'QuoteTool EUROPE'!C27,"")</f>
        <v/>
      </c>
      <c r="D193" s="448" t="str">
        <f>IF(A193&lt;&gt;"",'QuoteTool EUROPE'!D27,"")</f>
        <v/>
      </c>
      <c r="E193" s="448" t="str">
        <f>IF(A193&lt;&gt;"",'QuoteTool EUROPE'!B27,"")</f>
        <v/>
      </c>
      <c r="F193" s="432"/>
      <c r="G193" s="441" t="str">
        <f>IF(A193&lt;&gt;"",'QuoteTool EUROPE'!F27,"")</f>
        <v/>
      </c>
    </row>
    <row r="194" spans="1:7">
      <c r="A194" s="329" t="str">
        <f>IF('QuoteTool EUROPE'!B28&lt;&gt;0,'QuoteTool EUROPE'!A28,"")</f>
        <v/>
      </c>
      <c r="B194" s="429"/>
      <c r="C194" s="472" t="str">
        <f>IF(A194&lt;&gt;"",'QuoteTool EUROPE'!C28,"")</f>
        <v/>
      </c>
      <c r="D194" s="448" t="str">
        <f>IF(A194&lt;&gt;"",'QuoteTool EUROPE'!D28,"")</f>
        <v/>
      </c>
      <c r="E194" s="448" t="str">
        <f>IF(A194&lt;&gt;"",'QuoteTool EUROPE'!B28,"")</f>
        <v/>
      </c>
      <c r="F194" s="432"/>
      <c r="G194" s="441" t="str">
        <f>IF(A194&lt;&gt;"",'QuoteTool EUROPE'!F28,"")</f>
        <v/>
      </c>
    </row>
    <row r="195" spans="1:7">
      <c r="A195" s="329" t="str">
        <f>IF('QuoteTool EUROPE'!B29&lt;&gt;0,'QuoteTool EUROPE'!A29,"")</f>
        <v/>
      </c>
      <c r="B195" s="429"/>
      <c r="C195" s="472" t="str">
        <f>IF(A195&lt;&gt;"",'QuoteTool EUROPE'!C29,"")</f>
        <v/>
      </c>
      <c r="D195" s="448" t="str">
        <f>IF(A195&lt;&gt;"",'QuoteTool EUROPE'!D29,"")</f>
        <v/>
      </c>
      <c r="E195" s="448" t="str">
        <f>IF(A195&lt;&gt;"",'QuoteTool EUROPE'!B29,"")</f>
        <v/>
      </c>
      <c r="F195" s="432"/>
      <c r="G195" s="441" t="str">
        <f>IF(A195&lt;&gt;"",'QuoteTool EUROPE'!F29,"")</f>
        <v/>
      </c>
    </row>
    <row r="196" spans="1:7">
      <c r="A196" s="329" t="str">
        <f>IF('QuoteTool EUROPE'!B30&lt;&gt;0,'QuoteTool EUROPE'!A30,"")</f>
        <v/>
      </c>
      <c r="B196" s="429"/>
      <c r="C196" s="472" t="str">
        <f>IF(A196&lt;&gt;"",'QuoteTool EUROPE'!C30,"")</f>
        <v/>
      </c>
      <c r="D196" s="448" t="str">
        <f>IF(A196&lt;&gt;"",'QuoteTool EUROPE'!D30,"")</f>
        <v/>
      </c>
      <c r="E196" s="448" t="str">
        <f>IF(A196&lt;&gt;"",'QuoteTool EUROPE'!B30,"")</f>
        <v/>
      </c>
      <c r="F196" s="432"/>
      <c r="G196" s="441" t="str">
        <f>IF(A196&lt;&gt;"",'QuoteTool EUROPE'!F30,"")</f>
        <v/>
      </c>
    </row>
    <row r="197" spans="1:7">
      <c r="A197" s="329" t="str">
        <f>IF('QuoteTool EUROPE'!B31&lt;&gt;0,'QuoteTool EUROPE'!A31,"")</f>
        <v/>
      </c>
      <c r="B197" s="429"/>
      <c r="C197" s="472" t="str">
        <f>IF(A197&lt;&gt;"",'QuoteTool EUROPE'!C31,"")</f>
        <v/>
      </c>
      <c r="D197" s="448" t="str">
        <f>IF(A197&lt;&gt;"",'QuoteTool EUROPE'!D31,"")</f>
        <v/>
      </c>
      <c r="E197" s="448" t="str">
        <f>IF(A197&lt;&gt;"",'QuoteTool EUROPE'!B31,"")</f>
        <v/>
      </c>
      <c r="F197" s="432"/>
      <c r="G197" s="441" t="str">
        <f>IF(A197&lt;&gt;"",'QuoteTool EUROPE'!F31,"")</f>
        <v/>
      </c>
    </row>
    <row r="198" spans="1:7">
      <c r="A198" s="329" t="str">
        <f>IF('QuoteTool EUROPE'!B32&lt;&gt;0,'QuoteTool EUROPE'!A32,"")</f>
        <v/>
      </c>
      <c r="B198" s="429"/>
      <c r="C198" s="472" t="str">
        <f>IF(A198&lt;&gt;"",'QuoteTool EUROPE'!C32,"")</f>
        <v/>
      </c>
      <c r="D198" s="448" t="str">
        <f>IF(A198&lt;&gt;"",'QuoteTool EUROPE'!D32,"")</f>
        <v/>
      </c>
      <c r="E198" s="448" t="str">
        <f>IF(A198&lt;&gt;"",'QuoteTool EUROPE'!B32,"")</f>
        <v/>
      </c>
      <c r="F198" s="432"/>
      <c r="G198" s="441" t="str">
        <f>IF(A198&lt;&gt;"",'QuoteTool EUROPE'!F32,"")</f>
        <v/>
      </c>
    </row>
    <row r="199" spans="1:7">
      <c r="A199" s="329" t="str">
        <f>IF('QuoteTool EUROPE'!B33&lt;&gt;0,'QuoteTool EUROPE'!A33,"")</f>
        <v/>
      </c>
      <c r="B199" s="429"/>
      <c r="C199" s="472" t="str">
        <f>IF(A199&lt;&gt;"",'QuoteTool EUROPE'!C33,"")</f>
        <v/>
      </c>
      <c r="D199" s="448" t="str">
        <f>IF(A199&lt;&gt;"",'QuoteTool EUROPE'!D33,"")</f>
        <v/>
      </c>
      <c r="E199" s="448" t="str">
        <f>IF(A199&lt;&gt;"",'QuoteTool EUROPE'!B33,"")</f>
        <v/>
      </c>
      <c r="F199" s="432"/>
      <c r="G199" s="441" t="str">
        <f>IF(A199&lt;&gt;"",'QuoteTool EUROPE'!F33,"")</f>
        <v/>
      </c>
    </row>
    <row r="200" spans="1:7">
      <c r="A200" s="329" t="str">
        <f>IF('QuoteTool EUROPE'!B34&lt;&gt;0,'QuoteTool EUROPE'!A34,"")</f>
        <v/>
      </c>
      <c r="B200" s="429"/>
      <c r="C200" s="472" t="str">
        <f>IF(A200&lt;&gt;"",'QuoteTool EUROPE'!C34,"")</f>
        <v/>
      </c>
      <c r="D200" s="448" t="str">
        <f>IF(A200&lt;&gt;"",'QuoteTool EUROPE'!D34,"")</f>
        <v/>
      </c>
      <c r="E200" s="448" t="str">
        <f>IF(A200&lt;&gt;"",'QuoteTool EUROPE'!B34,"")</f>
        <v/>
      </c>
      <c r="F200" s="432"/>
      <c r="G200" s="441" t="str">
        <f>IF(A200&lt;&gt;"",'QuoteTool EUROPE'!F34,"")</f>
        <v/>
      </c>
    </row>
    <row r="201" spans="1:7">
      <c r="A201" s="329" t="str">
        <f>IF('QuoteTool EUROPE'!B35&lt;&gt;0,'QuoteTool EUROPE'!A35,"")</f>
        <v/>
      </c>
      <c r="B201" s="429"/>
      <c r="C201" s="472" t="str">
        <f>IF(A201&lt;&gt;"",'QuoteTool EUROPE'!C35,"")</f>
        <v/>
      </c>
      <c r="D201" s="448" t="str">
        <f>IF(A201&lt;&gt;"",'QuoteTool EUROPE'!D35,"")</f>
        <v/>
      </c>
      <c r="E201" s="448" t="str">
        <f>IF(A201&lt;&gt;"",'QuoteTool EUROPE'!B35,"")</f>
        <v/>
      </c>
      <c r="F201" s="432"/>
      <c r="G201" s="441" t="str">
        <f>IF(A201&lt;&gt;"",'QuoteTool EUROPE'!F35,"")</f>
        <v/>
      </c>
    </row>
    <row r="202" spans="1:7">
      <c r="A202" s="329" t="str">
        <f>IF('QuoteTool EUROPE'!B36&lt;&gt;0,'QuoteTool EUROPE'!A36,"")</f>
        <v/>
      </c>
      <c r="B202" s="429"/>
      <c r="C202" s="472" t="str">
        <f>IF(A202&lt;&gt;"",'QuoteTool EUROPE'!C36,"")</f>
        <v/>
      </c>
      <c r="D202" s="448" t="str">
        <f>IF(A202&lt;&gt;"",'QuoteTool EUROPE'!D36,"")</f>
        <v/>
      </c>
      <c r="E202" s="448" t="str">
        <f>IF(A202&lt;&gt;"",'QuoteTool EUROPE'!B36,"")</f>
        <v/>
      </c>
      <c r="F202" s="432"/>
      <c r="G202" s="441" t="str">
        <f>IF(A202&lt;&gt;"",'QuoteTool EUROPE'!F36,"")</f>
        <v/>
      </c>
    </row>
    <row r="203" spans="1:7">
      <c r="A203" s="338"/>
      <c r="B203" s="339"/>
      <c r="C203" s="430"/>
      <c r="D203" s="448" t="str">
        <f>IF(A203&lt;&gt;"",IF('QuoteTool EUROPE'!D37='QuoteTool EUROPE'!$U$19,"Linux",IF('QuoteTool EUROPE'!D37='QuoteTool EUROPE'!$U$20,"Windows",IF('QuoteTool EUROPE'!D37='QuoteTool EUROPE'!$U$21,"Suse",IF('QuoteTool EUROPE'!D37='QuoteTool EUROPE'!$U$22,"Hadoop",IF('QuoteTool EUROPE'!D37='QuoteTool EUROPE'!$U$23,"RedHat","DBaaS MySQL"))))),"")</f>
        <v/>
      </c>
      <c r="E203" s="448"/>
      <c r="F203" s="431"/>
      <c r="G203" s="442"/>
    </row>
    <row r="204" spans="1:7">
      <c r="A204" s="267" t="s">
        <v>1025</v>
      </c>
      <c r="B204" s="264"/>
      <c r="C204" s="182"/>
      <c r="D204" s="210" t="s">
        <v>8</v>
      </c>
      <c r="E204" s="210" t="s">
        <v>178</v>
      </c>
      <c r="F204" s="264"/>
      <c r="G204" s="277" t="s">
        <v>181</v>
      </c>
    </row>
    <row r="205" spans="1:7">
      <c r="A205" s="462" t="str">
        <f>IF('QuoteTool EUROPE'!F53&lt;&gt;0,'QuoteTool EUROPE'!A53,"")</f>
        <v/>
      </c>
      <c r="B205" s="463"/>
      <c r="C205" s="430"/>
      <c r="D205" s="448" t="str">
        <f>IF(A205&lt;&gt;"",'QuoteTool EUROPE'!D53,"")</f>
        <v/>
      </c>
      <c r="E205" s="466" t="str">
        <f>IF(A205&lt;&gt;"",'QuoteTool EUROPE'!B53,"")</f>
        <v/>
      </c>
      <c r="F205" s="497"/>
      <c r="G205" s="461" t="str">
        <f>IF(A205&lt;&gt;"",'QuoteTool EUROPE'!F53,"")</f>
        <v/>
      </c>
    </row>
    <row r="206" spans="1:7">
      <c r="A206" s="462" t="str">
        <f>IF('QuoteTool EUROPE'!F54&lt;&gt;0,'QuoteTool EUROPE'!A54,"")</f>
        <v/>
      </c>
      <c r="B206" s="463"/>
      <c r="C206" s="430"/>
      <c r="D206" s="448" t="str">
        <f>IF(A206&lt;&gt;"",'QuoteTool EUROPE'!D54,"")</f>
        <v/>
      </c>
      <c r="E206" s="466" t="str">
        <f>IF(A206&lt;&gt;"",'QuoteTool EUROPE'!B54,"")</f>
        <v/>
      </c>
      <c r="F206" s="497"/>
      <c r="G206" s="461" t="str">
        <f>IF(A206&lt;&gt;"",'QuoteTool EUROPE'!F54,"")</f>
        <v/>
      </c>
    </row>
    <row r="207" spans="1:7">
      <c r="A207" s="326"/>
      <c r="B207" s="468"/>
      <c r="C207" s="469"/>
      <c r="D207" s="466"/>
      <c r="E207" s="466"/>
      <c r="F207" s="498"/>
      <c r="G207" s="470"/>
    </row>
    <row r="208" spans="1:7" s="613" customFormat="1">
      <c r="A208" s="267" t="s">
        <v>1026</v>
      </c>
      <c r="B208" s="264"/>
      <c r="C208" s="182"/>
      <c r="D208" s="210" t="s">
        <v>8</v>
      </c>
      <c r="E208" s="210" t="s">
        <v>178</v>
      </c>
      <c r="F208" s="264"/>
      <c r="G208" s="277" t="s">
        <v>181</v>
      </c>
    </row>
    <row r="209" spans="1:7" s="613" customFormat="1">
      <c r="A209" s="326" t="str">
        <f>IF('QuoteTool EUROPE'!F104&lt;&gt;0,'QuoteTool EUROPE'!A104,"")</f>
        <v/>
      </c>
      <c r="B209" s="468"/>
      <c r="C209" s="469"/>
      <c r="D209" s="466" t="str">
        <f>IF(A209&lt;&gt;"",'QuoteTool EUROPE'!D104,"")</f>
        <v/>
      </c>
      <c r="E209" s="466" t="str">
        <f>IF(A209&lt;&gt;"",'QuoteTool EUROPE'!B104,"")</f>
        <v/>
      </c>
      <c r="F209" s="498"/>
      <c r="G209" s="470" t="str">
        <f>IF(A209&lt;&gt;"",'QuoteTool EUROPE'!F104,"")</f>
        <v/>
      </c>
    </row>
    <row r="210" spans="1:7" s="613" customFormat="1">
      <c r="A210" s="326" t="str">
        <f>IF('QuoteTool EUROPE'!F105&lt;&gt;0,'QuoteTool EUROPE'!A105,"")</f>
        <v/>
      </c>
      <c r="B210" s="468"/>
      <c r="C210" s="469"/>
      <c r="D210" s="466" t="str">
        <f>IF(A210&lt;&gt;"",'QuoteTool EUROPE'!D105,"")</f>
        <v/>
      </c>
      <c r="E210" s="466" t="str">
        <f>IF(A210&lt;&gt;"",'QuoteTool EUROPE'!B105,"")</f>
        <v/>
      </c>
      <c r="F210" s="498"/>
      <c r="G210" s="470" t="str">
        <f>IF(A210&lt;&gt;"",'QuoteTool EUROPE'!F105,"")</f>
        <v/>
      </c>
    </row>
    <row r="211" spans="1:7" s="613" customFormat="1">
      <c r="A211" s="326" t="str">
        <f>IF('QuoteTool EUROPE'!F106&lt;&gt;0,'QuoteTool EUROPE'!A106,"")</f>
        <v/>
      </c>
      <c r="B211" s="468"/>
      <c r="C211" s="469"/>
      <c r="D211" s="466" t="str">
        <f>IF(A211&lt;&gt;"",'QuoteTool EUROPE'!D106,"")</f>
        <v/>
      </c>
      <c r="E211" s="466" t="str">
        <f>IF(A211&lt;&gt;"",'QuoteTool EUROPE'!B106,"")</f>
        <v/>
      </c>
      <c r="F211" s="498"/>
      <c r="G211" s="470" t="str">
        <f>IF(A211&lt;&gt;"",'QuoteTool EUROPE'!F106,"")</f>
        <v/>
      </c>
    </row>
    <row r="212" spans="1:7" s="613" customFormat="1">
      <c r="A212" s="326" t="str">
        <f>IF('QuoteTool EUROPE'!F107&lt;&gt;0,'QuoteTool EUROPE'!A107,"")</f>
        <v/>
      </c>
      <c r="B212" s="468"/>
      <c r="C212" s="469"/>
      <c r="D212" s="466" t="str">
        <f>IF(A212&lt;&gt;"",'QuoteTool EUROPE'!D107,"")</f>
        <v/>
      </c>
      <c r="E212" s="466" t="str">
        <f>IF(A212&lt;&gt;"",'QuoteTool EUROPE'!B107,"")</f>
        <v/>
      </c>
      <c r="F212" s="498"/>
      <c r="G212" s="470" t="str">
        <f>IF(A212&lt;&gt;"",'QuoteTool EUROPE'!F107,"")</f>
        <v/>
      </c>
    </row>
    <row r="213" spans="1:7" s="613" customFormat="1">
      <c r="A213" s="326" t="str">
        <f>IF('QuoteTool EUROPE'!F108&lt;&gt;0,'QuoteTool EUROPE'!A108,"")</f>
        <v/>
      </c>
      <c r="B213" s="468"/>
      <c r="C213" s="469"/>
      <c r="D213" s="466" t="str">
        <f>IF(A213&lt;&gt;"",'QuoteTool EUROPE'!D108,"")</f>
        <v/>
      </c>
      <c r="E213" s="466" t="str">
        <f>IF(A213&lt;&gt;"",'QuoteTool EUROPE'!B108,"")</f>
        <v/>
      </c>
      <c r="F213" s="498"/>
      <c r="G213" s="470" t="str">
        <f>IF(A213&lt;&gt;"",'QuoteTool EUROPE'!F108,"")</f>
        <v/>
      </c>
    </row>
    <row r="214" spans="1:7" s="613" customFormat="1">
      <c r="A214" s="326"/>
      <c r="B214" s="468"/>
      <c r="C214" s="469"/>
      <c r="D214" s="466"/>
      <c r="E214" s="466"/>
      <c r="F214" s="498"/>
      <c r="G214" s="470"/>
    </row>
    <row r="215" spans="1:7">
      <c r="A215" s="267" t="s">
        <v>187</v>
      </c>
      <c r="B215" s="264"/>
      <c r="C215" s="313"/>
      <c r="D215" s="210" t="s">
        <v>8</v>
      </c>
      <c r="E215" s="210" t="s">
        <v>178</v>
      </c>
      <c r="F215" s="264"/>
      <c r="G215" s="277" t="s">
        <v>181</v>
      </c>
    </row>
    <row r="216" spans="1:7">
      <c r="A216" s="329" t="str">
        <f>IF('QuoteTool EUROPE'!B59&lt;&gt;0,'QuoteTool EUROPE'!A59,"")</f>
        <v/>
      </c>
      <c r="B216" s="429"/>
      <c r="C216" s="430"/>
      <c r="D216" s="448" t="str">
        <f>IF(A216&lt;&gt;"",'QuoteTool EUROPE'!D59,"")</f>
        <v/>
      </c>
      <c r="E216" s="448" t="str">
        <f>IF(A216&lt;&gt;"",'QuoteTool EUROPE'!B59,"")</f>
        <v/>
      </c>
      <c r="F216" s="432"/>
      <c r="G216" s="441" t="str">
        <f>IF(A216&lt;&gt;"",'QuoteTool EUROPE'!F59,"")</f>
        <v/>
      </c>
    </row>
    <row r="217" spans="1:7">
      <c r="A217" s="329" t="str">
        <f>IF('QuoteTool EUROPE'!B60&lt;&gt;0,'QuoteTool EUROPE'!A60,"")</f>
        <v/>
      </c>
      <c r="B217" s="429"/>
      <c r="C217" s="430"/>
      <c r="D217" s="448" t="str">
        <f>IF(A217&lt;&gt;"",'QuoteTool EUROPE'!D60,"")</f>
        <v/>
      </c>
      <c r="E217" s="448" t="str">
        <f>IF(A217&lt;&gt;"",'QuoteTool EUROPE'!B60,"")</f>
        <v/>
      </c>
      <c r="F217" s="432"/>
      <c r="G217" s="441" t="str">
        <f>IF(A217&lt;&gt;"",'QuoteTool EUROPE'!F60,"")</f>
        <v/>
      </c>
    </row>
    <row r="218" spans="1:7">
      <c r="A218" s="329" t="str">
        <f>IF('QuoteTool EUROPE'!B61&lt;&gt;0,'QuoteTool EUROPE'!A61,"")</f>
        <v/>
      </c>
      <c r="B218" s="429"/>
      <c r="C218" s="430"/>
      <c r="D218" s="448" t="str">
        <f>IF(A218&lt;&gt;"",'QuoteTool EUROPE'!D61,"")</f>
        <v/>
      </c>
      <c r="E218" s="448" t="str">
        <f>IF(A218&lt;&gt;"",'QuoteTool EUROPE'!B61,"")</f>
        <v/>
      </c>
      <c r="F218" s="432"/>
      <c r="G218" s="441" t="str">
        <f>IF(A218&lt;&gt;"",'QuoteTool EUROPE'!F61,"")</f>
        <v/>
      </c>
    </row>
    <row r="219" spans="1:7">
      <c r="A219" s="329" t="str">
        <f>IF('QuoteTool EUROPE'!B62&lt;&gt;0,'QuoteTool EUROPE'!A62,"")</f>
        <v/>
      </c>
      <c r="B219" s="429"/>
      <c r="C219" s="430"/>
      <c r="D219" s="448" t="str">
        <f>IF(A219&lt;&gt;"",'QuoteTool EUROPE'!D62,"")</f>
        <v/>
      </c>
      <c r="E219" s="448" t="str">
        <f>IF(A219&lt;&gt;"",'QuoteTool EUROPE'!B62,"")</f>
        <v/>
      </c>
      <c r="F219" s="432"/>
      <c r="G219" s="441" t="str">
        <f>IF(A219&lt;&gt;"",'QuoteTool EUROPE'!F62,"")</f>
        <v/>
      </c>
    </row>
    <row r="220" spans="1:7">
      <c r="A220" s="329" t="str">
        <f>IF('QuoteTool EUROPE'!B63&lt;&gt;0,'QuoteTool EUROPE'!A63,"")</f>
        <v/>
      </c>
      <c r="B220" s="429"/>
      <c r="C220" s="430"/>
      <c r="D220" s="448" t="str">
        <f>IF(A220&lt;&gt;"",'QuoteTool EUROPE'!D63,"")</f>
        <v/>
      </c>
      <c r="E220" s="448" t="str">
        <f>IF(A220&lt;&gt;"",'QuoteTool EUROPE'!B63,"")</f>
        <v/>
      </c>
      <c r="F220" s="432"/>
      <c r="G220" s="441" t="str">
        <f>IF(A220&lt;&gt;"",'QuoteTool EUROPE'!F63,"")</f>
        <v/>
      </c>
    </row>
    <row r="221" spans="1:7">
      <c r="A221" s="329" t="str">
        <f>IF('QuoteTool EUROPE'!B64&lt;&gt;0,'QuoteTool EUROPE'!A64,"")</f>
        <v/>
      </c>
      <c r="B221" s="429"/>
      <c r="C221" s="430"/>
      <c r="D221" s="448" t="str">
        <f>IF(A221&lt;&gt;"",'QuoteTool EUROPE'!D64,"")</f>
        <v/>
      </c>
      <c r="E221" s="448" t="str">
        <f>IF(A221&lt;&gt;"",'QuoteTool EUROPE'!B64,"")</f>
        <v/>
      </c>
      <c r="F221" s="432"/>
      <c r="G221" s="441" t="str">
        <f>IF(A221&lt;&gt;"",'QuoteTool EUROPE'!F64,"")</f>
        <v/>
      </c>
    </row>
    <row r="222" spans="1:7">
      <c r="A222" s="329" t="str">
        <f>IF('QuoteTool EUROPE'!B65&lt;&gt;0,'QuoteTool EUROPE'!A65,"")</f>
        <v/>
      </c>
      <c r="B222" s="429"/>
      <c r="C222" s="430"/>
      <c r="D222" s="448" t="str">
        <f>IF(A222&lt;&gt;"",'QuoteTool EUROPE'!D65,"")</f>
        <v/>
      </c>
      <c r="E222" s="448" t="str">
        <f>IF(A222&lt;&gt;"",'QuoteTool EUROPE'!B65,"")</f>
        <v/>
      </c>
      <c r="F222" s="432"/>
      <c r="G222" s="441" t="str">
        <f>IF(A222&lt;&gt;"",'QuoteTool EUROPE'!F65,"")</f>
        <v/>
      </c>
    </row>
    <row r="223" spans="1:7">
      <c r="A223" s="329" t="str">
        <f>IF('QuoteTool EUROPE'!B66&lt;&gt;0,'QuoteTool EUROPE'!A66,"")</f>
        <v/>
      </c>
      <c r="B223" s="429"/>
      <c r="C223" s="430"/>
      <c r="D223" s="448" t="str">
        <f>IF(A223&lt;&gt;"",'QuoteTool EUROPE'!D66,"")</f>
        <v/>
      </c>
      <c r="E223" s="448" t="str">
        <f>IF(A223&lt;&gt;"",'QuoteTool EUROPE'!B66,"")</f>
        <v/>
      </c>
      <c r="F223" s="432"/>
      <c r="G223" s="441" t="str">
        <f>IF(A223&lt;&gt;"",'QuoteTool EUROPE'!F66,"")</f>
        <v/>
      </c>
    </row>
    <row r="224" spans="1:7">
      <c r="A224" s="329" t="str">
        <f>IF('QuoteTool EUROPE'!B67&lt;&gt;0,'QuoteTool EUROPE'!A67,"")</f>
        <v/>
      </c>
      <c r="B224" s="429"/>
      <c r="C224" s="430"/>
      <c r="D224" s="448" t="str">
        <f>IF(A224&lt;&gt;"",'QuoteTool EUROPE'!D67,"")</f>
        <v/>
      </c>
      <c r="E224" s="448" t="str">
        <f>IF(A224&lt;&gt;"",'QuoteTool EUROPE'!B67,"")</f>
        <v/>
      </c>
      <c r="F224" s="432"/>
      <c r="G224" s="441" t="str">
        <f>IF(A224&lt;&gt;"",'QuoteTool EUROPE'!F67,"")</f>
        <v/>
      </c>
    </row>
    <row r="225" spans="1:7">
      <c r="A225" s="329" t="str">
        <f>IF('QuoteTool EUROPE'!B68&lt;&gt;0,'QuoteTool EUROPE'!A68,"")</f>
        <v/>
      </c>
      <c r="B225" s="429"/>
      <c r="C225" s="430"/>
      <c r="D225" s="448" t="str">
        <f>IF(A225&lt;&gt;"",'QuoteTool EUROPE'!D68,"")</f>
        <v/>
      </c>
      <c r="E225" s="448" t="str">
        <f>IF(A225&lt;&gt;"",'QuoteTool EUROPE'!B68,"")</f>
        <v/>
      </c>
      <c r="F225" s="432"/>
      <c r="G225" s="441" t="str">
        <f>IF(A225&lt;&gt;"",'QuoteTool EUROPE'!F68,"")</f>
        <v/>
      </c>
    </row>
    <row r="226" spans="1:7">
      <c r="A226" s="329" t="str">
        <f>IF('QuoteTool EUROPE'!B69&lt;&gt;0,'QuoteTool EUROPE'!A69,"")</f>
        <v/>
      </c>
      <c r="B226" s="429"/>
      <c r="C226" s="430"/>
      <c r="D226" s="448" t="str">
        <f>IF(A226&lt;&gt;"",'QuoteTool EUROPE'!D69,"")</f>
        <v/>
      </c>
      <c r="E226" s="448" t="str">
        <f>IF(A226&lt;&gt;"",'QuoteTool EUROPE'!B69,"")</f>
        <v/>
      </c>
      <c r="F226" s="432"/>
      <c r="G226" s="441" t="str">
        <f>IF(A226&lt;&gt;"",'QuoteTool EUROPE'!F69,"")</f>
        <v/>
      </c>
    </row>
    <row r="227" spans="1:7">
      <c r="A227" s="329" t="str">
        <f>IF('QuoteTool EUROPE'!B70&lt;&gt;0,'QuoteTool EUROPE'!A70,"")</f>
        <v/>
      </c>
      <c r="B227" s="429"/>
      <c r="C227" s="430"/>
      <c r="D227" s="448" t="str">
        <f>IF(A227&lt;&gt;"",'QuoteTool EUROPE'!D70,"")</f>
        <v/>
      </c>
      <c r="E227" s="448" t="str">
        <f>IF(A227&lt;&gt;"",'QuoteTool EUROPE'!B70,"")</f>
        <v/>
      </c>
      <c r="F227" s="432"/>
      <c r="G227" s="441" t="str">
        <f>IF(A227&lt;&gt;"",'QuoteTool EUROPE'!F70,"")</f>
        <v/>
      </c>
    </row>
    <row r="228" spans="1:7" s="613" customFormat="1">
      <c r="A228" s="329" t="str">
        <f>IF('QuoteTool EUROPE'!B71&lt;&gt;0,'QuoteTool EUROPE'!A71,"")</f>
        <v/>
      </c>
      <c r="B228" s="429"/>
      <c r="C228" s="430"/>
      <c r="D228" s="448" t="str">
        <f>IF(A228&lt;&gt;"",'QuoteTool EUROPE'!D71,"")</f>
        <v/>
      </c>
      <c r="E228" s="448" t="str">
        <f>IF(A228&lt;&gt;"",'QuoteTool EUROPE'!B71,"")</f>
        <v/>
      </c>
      <c r="F228" s="432"/>
      <c r="G228" s="441" t="str">
        <f>IF(A228&lt;&gt;"",'QuoteTool EUROPE'!F71,"")</f>
        <v/>
      </c>
    </row>
    <row r="229" spans="1:7" s="613" customFormat="1">
      <c r="A229" s="329" t="str">
        <f>IF('QuoteTool EUROPE'!B72&lt;&gt;0,'QuoteTool EUROPE'!A72,"")</f>
        <v/>
      </c>
      <c r="B229" s="429"/>
      <c r="C229" s="430"/>
      <c r="D229" s="448" t="str">
        <f>IF(A229&lt;&gt;"",'QuoteTool EUROPE'!D72,"")</f>
        <v/>
      </c>
      <c r="E229" s="448" t="str">
        <f>IF(A229&lt;&gt;"",'QuoteTool EUROPE'!B72,"")</f>
        <v/>
      </c>
      <c r="F229" s="432"/>
      <c r="G229" s="441" t="str">
        <f>IF(A229&lt;&gt;"",'QuoteTool EUROPE'!F72,"")</f>
        <v/>
      </c>
    </row>
    <row r="230" spans="1:7" s="613" customFormat="1">
      <c r="A230" s="329" t="str">
        <f>IF('QuoteTool EUROPE'!B73&lt;&gt;0,'QuoteTool EUROPE'!A73,"")</f>
        <v/>
      </c>
      <c r="B230" s="429"/>
      <c r="C230" s="430"/>
      <c r="D230" s="448" t="str">
        <f>IF(A230&lt;&gt;"",'QuoteTool EUROPE'!D73,"")</f>
        <v/>
      </c>
      <c r="E230" s="448" t="str">
        <f>IF(A230&lt;&gt;"",'QuoteTool EUROPE'!B73,"")</f>
        <v/>
      </c>
      <c r="F230" s="432"/>
      <c r="G230" s="441" t="str">
        <f>IF(A230&lt;&gt;"",'QuoteTool EUROPE'!F73,"")</f>
        <v/>
      </c>
    </row>
    <row r="231" spans="1:7">
      <c r="A231" s="329" t="str">
        <f>IF('QuoteTool EUROPE'!B74&lt;&gt;0,'QuoteTool EUROPE'!A74,"")</f>
        <v/>
      </c>
      <c r="B231" s="429"/>
      <c r="C231" s="430"/>
      <c r="D231" s="448" t="str">
        <f>IF(A231&lt;&gt;"",'QuoteTool EUROPE'!D74,"")</f>
        <v/>
      </c>
      <c r="E231" s="448" t="str">
        <f>IF(A231&lt;&gt;"",'QuoteTool EUROPE'!B74,"")</f>
        <v/>
      </c>
      <c r="F231" s="432"/>
      <c r="G231" s="441" t="str">
        <f>IF(A231&lt;&gt;"",'QuoteTool EUROPE'!F74,"")</f>
        <v/>
      </c>
    </row>
    <row r="232" spans="1:7">
      <c r="A232" s="329" t="str">
        <f>IF('QuoteTool EUROPE'!B75&lt;&gt;0,'QuoteTool EUROPE'!A75,"")</f>
        <v/>
      </c>
      <c r="B232" s="429"/>
      <c r="C232" s="430"/>
      <c r="D232" s="448" t="str">
        <f>IF(A232&lt;&gt;"",'QuoteTool EUROPE'!D75,"")</f>
        <v/>
      </c>
      <c r="E232" s="448" t="str">
        <f>IF(A232&lt;&gt;"",'QuoteTool EUROPE'!B75,"")</f>
        <v/>
      </c>
      <c r="F232" s="432"/>
      <c r="G232" s="441" t="str">
        <f>IF(A232&lt;&gt;"",'QuoteTool EUROPE'!F75,"")</f>
        <v/>
      </c>
    </row>
    <row r="233" spans="1:7">
      <c r="A233" s="329" t="str">
        <f>IF('QuoteTool EUROPE'!B76&lt;&gt;0,'QuoteTool EUROPE'!A76,"")</f>
        <v/>
      </c>
      <c r="B233" s="429"/>
      <c r="C233" s="430"/>
      <c r="D233" s="448" t="str">
        <f>IF(A233&lt;&gt;"",'QuoteTool EUROPE'!D76,"")</f>
        <v/>
      </c>
      <c r="E233" s="448" t="str">
        <f>IF(A233&lt;&gt;"",'QuoteTool EUROPE'!B76,"")</f>
        <v/>
      </c>
      <c r="F233" s="432"/>
      <c r="G233" s="441" t="str">
        <f>IF(A233&lt;&gt;"",'QuoteTool EUROPE'!F76,"")</f>
        <v/>
      </c>
    </row>
    <row r="234" spans="1:7" s="613" customFormat="1">
      <c r="A234" s="329"/>
      <c r="B234" s="429"/>
      <c r="C234" s="430"/>
      <c r="D234" s="448"/>
      <c r="E234" s="448"/>
      <c r="F234" s="432"/>
      <c r="G234" s="441"/>
    </row>
    <row r="235" spans="1:7" s="613" customFormat="1">
      <c r="A235" s="329"/>
      <c r="B235" s="429"/>
      <c r="C235" s="430"/>
      <c r="D235" s="448"/>
      <c r="E235" s="448"/>
      <c r="F235" s="432"/>
      <c r="G235" s="441"/>
    </row>
    <row r="236" spans="1:7" s="613" customFormat="1">
      <c r="A236" s="329"/>
      <c r="B236" s="429"/>
      <c r="C236" s="430"/>
      <c r="D236" s="448"/>
      <c r="E236" s="448"/>
      <c r="F236" s="432"/>
      <c r="G236" s="441"/>
    </row>
    <row r="237" spans="1:7" s="613" customFormat="1">
      <c r="A237" s="329"/>
      <c r="B237" s="429"/>
      <c r="C237" s="430"/>
      <c r="D237" s="448"/>
      <c r="E237" s="448"/>
      <c r="F237" s="432"/>
      <c r="G237" s="441"/>
    </row>
    <row r="238" spans="1:7" s="613" customFormat="1">
      <c r="A238" s="329"/>
      <c r="B238" s="429"/>
      <c r="C238" s="430"/>
      <c r="D238" s="448"/>
      <c r="E238" s="448"/>
      <c r="F238" s="432"/>
      <c r="G238" s="441"/>
    </row>
    <row r="239" spans="1:7" s="613" customFormat="1">
      <c r="A239" s="329"/>
      <c r="B239" s="429"/>
      <c r="C239" s="430"/>
      <c r="D239" s="448"/>
      <c r="E239" s="448"/>
      <c r="F239" s="432"/>
      <c r="G239" s="441"/>
    </row>
    <row r="240" spans="1:7" s="613" customFormat="1">
      <c r="A240" s="329"/>
      <c r="B240" s="429"/>
      <c r="C240" s="430"/>
      <c r="D240" s="448"/>
      <c r="E240" s="448"/>
      <c r="F240" s="432"/>
      <c r="G240" s="441"/>
    </row>
    <row r="241" spans="1:7" s="613" customFormat="1">
      <c r="A241" s="329"/>
      <c r="B241" s="429"/>
      <c r="C241" s="430"/>
      <c r="D241" s="448"/>
      <c r="E241" s="448"/>
      <c r="F241" s="432"/>
      <c r="G241" s="441"/>
    </row>
    <row r="242" spans="1:7" s="613" customFormat="1">
      <c r="A242" s="329"/>
      <c r="B242" s="429"/>
      <c r="C242" s="430"/>
      <c r="D242" s="448"/>
      <c r="E242" s="448"/>
      <c r="F242" s="432"/>
      <c r="G242" s="441"/>
    </row>
    <row r="243" spans="1:7" s="613" customFormat="1">
      <c r="A243" s="329"/>
      <c r="B243" s="429"/>
      <c r="C243" s="430"/>
      <c r="D243" s="448"/>
      <c r="E243" s="448"/>
      <c r="F243" s="432"/>
      <c r="G243" s="441"/>
    </row>
    <row r="244" spans="1:7" s="613" customFormat="1">
      <c r="A244" s="329"/>
      <c r="B244" s="429"/>
      <c r="C244" s="430"/>
      <c r="D244" s="448"/>
      <c r="E244" s="448"/>
      <c r="F244" s="432"/>
      <c r="G244" s="441"/>
    </row>
    <row r="245" spans="1:7" s="613" customFormat="1">
      <c r="A245" s="329"/>
      <c r="B245" s="429"/>
      <c r="C245" s="430"/>
      <c r="D245" s="448"/>
      <c r="E245" s="448"/>
      <c r="F245" s="432"/>
      <c r="G245" s="441"/>
    </row>
    <row r="246" spans="1:7" s="613" customFormat="1">
      <c r="A246" s="329"/>
      <c r="B246" s="429"/>
      <c r="C246" s="430"/>
      <c r="D246" s="448"/>
      <c r="E246" s="448"/>
      <c r="F246" s="432"/>
      <c r="G246" s="441"/>
    </row>
    <row r="247" spans="1:7" s="613" customFormat="1">
      <c r="A247" s="329"/>
      <c r="B247" s="429"/>
      <c r="C247" s="430"/>
      <c r="D247" s="448"/>
      <c r="E247" s="448"/>
      <c r="F247" s="432"/>
      <c r="G247" s="441"/>
    </row>
    <row r="248" spans="1:7" s="613" customFormat="1">
      <c r="A248" s="329"/>
      <c r="B248" s="429"/>
      <c r="C248" s="430"/>
      <c r="D248" s="448"/>
      <c r="E248" s="448"/>
      <c r="F248" s="432"/>
      <c r="G248" s="441"/>
    </row>
    <row r="249" spans="1:7" s="613" customFormat="1">
      <c r="A249" s="329"/>
      <c r="B249" s="429"/>
      <c r="C249" s="430"/>
      <c r="D249" s="448"/>
      <c r="E249" s="448"/>
      <c r="F249" s="432"/>
      <c r="G249" s="441"/>
    </row>
    <row r="250" spans="1:7" s="613" customFormat="1">
      <c r="A250" s="329"/>
      <c r="B250" s="429"/>
      <c r="C250" s="430"/>
      <c r="D250" s="448"/>
      <c r="E250" s="448"/>
      <c r="F250" s="432"/>
      <c r="G250" s="441"/>
    </row>
    <row r="251" spans="1:7" s="613" customFormat="1">
      <c r="A251" s="329"/>
      <c r="B251" s="429"/>
      <c r="C251" s="430"/>
      <c r="D251" s="448"/>
      <c r="E251" s="448"/>
      <c r="F251" s="432"/>
      <c r="G251" s="441"/>
    </row>
    <row r="252" spans="1:7" s="613" customFormat="1">
      <c r="A252" s="329"/>
      <c r="B252" s="429"/>
      <c r="C252" s="430"/>
      <c r="D252" s="448"/>
      <c r="E252" s="448"/>
      <c r="F252" s="432"/>
      <c r="G252" s="441"/>
    </row>
    <row r="253" spans="1:7" s="613" customFormat="1">
      <c r="A253" s="267" t="s">
        <v>1059</v>
      </c>
      <c r="B253" s="264"/>
      <c r="C253" s="875"/>
      <c r="D253" s="210" t="s">
        <v>8</v>
      </c>
      <c r="E253" s="210" t="s">
        <v>178</v>
      </c>
      <c r="F253" s="264"/>
      <c r="G253" s="277" t="s">
        <v>181</v>
      </c>
    </row>
    <row r="254" spans="1:7" s="613" customFormat="1">
      <c r="A254" s="329" t="str">
        <f>IF('QuoteTool EUROPE'!B81&lt;&gt;0,'QuoteTool EUROPE'!A81,"")</f>
        <v/>
      </c>
      <c r="B254" s="429"/>
      <c r="C254" s="430"/>
      <c r="D254" s="448" t="str">
        <f>IF(A254&lt;&gt;"",'QuoteTool EUROPE'!D81,"")</f>
        <v/>
      </c>
      <c r="E254" s="448" t="str">
        <f>IF(A254&lt;&gt;"",'QuoteTool EUROPE'!B81,"")</f>
        <v/>
      </c>
      <c r="F254" s="432"/>
      <c r="G254" s="441" t="str">
        <f>IF(A254&lt;&gt;"",'QuoteTool EUROPE'!F81,"")</f>
        <v/>
      </c>
    </row>
    <row r="255" spans="1:7" s="613" customFormat="1">
      <c r="A255" s="329" t="str">
        <f>IF('QuoteTool EUROPE'!B82&lt;&gt;0,'QuoteTool EUROPE'!A82,"")</f>
        <v/>
      </c>
      <c r="B255" s="429"/>
      <c r="C255" s="430"/>
      <c r="D255" s="448" t="str">
        <f>IF(A255&lt;&gt;"",'QuoteTool EUROPE'!D82,"")</f>
        <v/>
      </c>
      <c r="E255" s="448" t="str">
        <f>IF(A255&lt;&gt;"",'QuoteTool EUROPE'!B82,"")</f>
        <v/>
      </c>
      <c r="F255" s="432"/>
      <c r="G255" s="441" t="str">
        <f>IF(A255&lt;&gt;"",'QuoteTool EUROPE'!F82,"")</f>
        <v/>
      </c>
    </row>
    <row r="256" spans="1:7" s="613" customFormat="1">
      <c r="A256" s="329" t="str">
        <f>IF('QuoteTool EUROPE'!B83&lt;&gt;0,'QuoteTool EUROPE'!A83,"")</f>
        <v/>
      </c>
      <c r="B256" s="429"/>
      <c r="C256" s="430"/>
      <c r="D256" s="448" t="str">
        <f>IF(A256&lt;&gt;"",'QuoteTool EUROPE'!D83,"")</f>
        <v/>
      </c>
      <c r="E256" s="448" t="str">
        <f>IF(A256&lt;&gt;"",'QuoteTool EUROPE'!B83,"")</f>
        <v/>
      </c>
      <c r="F256" s="432"/>
      <c r="G256" s="441" t="str">
        <f>IF(A256&lt;&gt;"",'QuoteTool EUROPE'!F83,"")</f>
        <v/>
      </c>
    </row>
    <row r="257" spans="1:7" s="613" customFormat="1">
      <c r="A257" s="329" t="str">
        <f>IF('QuoteTool EUROPE'!B84&lt;&gt;0,'QuoteTool EUROPE'!A84,"")</f>
        <v/>
      </c>
      <c r="B257" s="429"/>
      <c r="C257" s="430"/>
      <c r="D257" s="448" t="str">
        <f>IF(A257&lt;&gt;"",'QuoteTool EUROPE'!D84,"")</f>
        <v/>
      </c>
      <c r="E257" s="448" t="str">
        <f>IF(A257&lt;&gt;"",'QuoteTool EUROPE'!B84,"")</f>
        <v/>
      </c>
      <c r="F257" s="432"/>
      <c r="G257" s="441" t="str">
        <f>IF(A257&lt;&gt;"",'QuoteTool EUROPE'!F84,"")</f>
        <v/>
      </c>
    </row>
    <row r="258" spans="1:7" s="613" customFormat="1">
      <c r="A258" s="329" t="str">
        <f>IF('QuoteTool EUROPE'!B85&lt;&gt;0,'QuoteTool EUROPE'!A85,"")</f>
        <v/>
      </c>
      <c r="B258" s="429"/>
      <c r="C258" s="430"/>
      <c r="D258" s="448" t="str">
        <f>IF(A258&lt;&gt;"",'QuoteTool EUROPE'!D85,"")</f>
        <v/>
      </c>
      <c r="E258" s="448" t="str">
        <f>IF(A258&lt;&gt;"",'QuoteTool EUROPE'!B85,"")</f>
        <v/>
      </c>
      <c r="F258" s="432"/>
      <c r="G258" s="441" t="str">
        <f>IF(A258&lt;&gt;"",'QuoteTool EUROPE'!F85,"")</f>
        <v/>
      </c>
    </row>
    <row r="259" spans="1:7" s="613" customFormat="1">
      <c r="A259" s="329" t="str">
        <f>IF('QuoteTool EUROPE'!B86&lt;&gt;0,'QuoteTool EUROPE'!A86,"")</f>
        <v/>
      </c>
      <c r="B259" s="429"/>
      <c r="C259" s="430"/>
      <c r="D259" s="448" t="str">
        <f>IF(A259&lt;&gt;"",'QuoteTool EUROPE'!D86,"")</f>
        <v/>
      </c>
      <c r="E259" s="448" t="str">
        <f>IF(A259&lt;&gt;"",'QuoteTool EUROPE'!B86,"")</f>
        <v/>
      </c>
      <c r="F259" s="432"/>
      <c r="G259" s="441" t="str">
        <f>IF(A259&lt;&gt;"",'QuoteTool EUROPE'!F86,"")</f>
        <v/>
      </c>
    </row>
    <row r="260" spans="1:7" s="613" customFormat="1">
      <c r="A260" s="329" t="str">
        <f>IF('QuoteTool EUROPE'!B87&lt;&gt;0,'QuoteTool EUROPE'!A87,"")</f>
        <v/>
      </c>
      <c r="B260" s="429"/>
      <c r="C260" s="430"/>
      <c r="D260" s="448" t="str">
        <f>IF(A260&lt;&gt;"",'QuoteTool EUROPE'!D87,"")</f>
        <v/>
      </c>
      <c r="E260" s="448" t="str">
        <f>IF(A260&lt;&gt;"",'QuoteTool EUROPE'!B87,"")</f>
        <v/>
      </c>
      <c r="F260" s="432"/>
      <c r="G260" s="441" t="str">
        <f>IF(A260&lt;&gt;"",'QuoteTool EUROPE'!F87,"")</f>
        <v/>
      </c>
    </row>
    <row r="261" spans="1:7" s="613" customFormat="1">
      <c r="A261" s="329" t="str">
        <f>IF('QuoteTool EUROPE'!B88&lt;&gt;0,'QuoteTool EUROPE'!A88,"")</f>
        <v/>
      </c>
      <c r="B261" s="429"/>
      <c r="C261" s="430"/>
      <c r="D261" s="448" t="str">
        <f>IF(A261&lt;&gt;"",'QuoteTool EUROPE'!D88,"")</f>
        <v/>
      </c>
      <c r="E261" s="448" t="str">
        <f>IF(A261&lt;&gt;"",'QuoteTool EUROPE'!B88,"")</f>
        <v/>
      </c>
      <c r="F261" s="432"/>
      <c r="G261" s="441" t="str">
        <f>IF(A261&lt;&gt;"",'QuoteTool EUROPE'!F88,"")</f>
        <v/>
      </c>
    </row>
    <row r="262" spans="1:7" s="613" customFormat="1">
      <c r="A262" s="329" t="str">
        <f>IF('QuoteTool EUROPE'!B89&lt;&gt;0,'QuoteTool EUROPE'!A89,"")</f>
        <v/>
      </c>
      <c r="B262" s="429"/>
      <c r="C262" s="430"/>
      <c r="D262" s="448" t="str">
        <f>IF(A262&lt;&gt;"",'QuoteTool EUROPE'!D89,"")</f>
        <v/>
      </c>
      <c r="E262" s="448" t="str">
        <f>IF(A262&lt;&gt;"",'QuoteTool EUROPE'!B89,"")</f>
        <v/>
      </c>
      <c r="F262" s="432"/>
      <c r="G262" s="441" t="str">
        <f>IF(A262&lt;&gt;"",'QuoteTool EUROPE'!F89,"")</f>
        <v/>
      </c>
    </row>
    <row r="263" spans="1:7" s="613" customFormat="1">
      <c r="A263" s="329" t="str">
        <f>IF('QuoteTool EUROPE'!B90&lt;&gt;0,'QuoteTool EUROPE'!A90,"")</f>
        <v/>
      </c>
      <c r="B263" s="429"/>
      <c r="C263" s="430"/>
      <c r="D263" s="448" t="str">
        <f>IF(A263&lt;&gt;"",'QuoteTool EUROPE'!D90,"")</f>
        <v/>
      </c>
      <c r="E263" s="448" t="str">
        <f>IF(A263&lt;&gt;"",'QuoteTool EUROPE'!B90,"")</f>
        <v/>
      </c>
      <c r="F263" s="432"/>
      <c r="G263" s="441" t="str">
        <f>IF(A263&lt;&gt;"",'QuoteTool EUROPE'!F90,"")</f>
        <v/>
      </c>
    </row>
    <row r="264" spans="1:7" s="613" customFormat="1">
      <c r="A264" s="329" t="str">
        <f>IF('QuoteTool EUROPE'!B91&lt;&gt;0,'QuoteTool EUROPE'!A91,"")</f>
        <v/>
      </c>
      <c r="B264" s="429"/>
      <c r="C264" s="430"/>
      <c r="D264" s="448" t="str">
        <f>IF(A264&lt;&gt;"",'QuoteTool EUROPE'!D91,"")</f>
        <v/>
      </c>
      <c r="E264" s="448" t="str">
        <f>IF(A264&lt;&gt;"",'QuoteTool EUROPE'!B91,"")</f>
        <v/>
      </c>
      <c r="F264" s="432"/>
      <c r="G264" s="441" t="str">
        <f>IF(A264&lt;&gt;"",'QuoteTool EUROPE'!F91,"")</f>
        <v/>
      </c>
    </row>
    <row r="265" spans="1:7" s="613" customFormat="1">
      <c r="A265" s="329" t="str">
        <f>IF('QuoteTool EUROPE'!B92&lt;&gt;0,'QuoteTool EUROPE'!A92,"")</f>
        <v/>
      </c>
      <c r="B265" s="429"/>
      <c r="C265" s="430"/>
      <c r="D265" s="448" t="str">
        <f>IF(A265&lt;&gt;"",'QuoteTool EUROPE'!D92,"")</f>
        <v/>
      </c>
      <c r="E265" s="448" t="str">
        <f>IF(A265&lt;&gt;"",'QuoteTool EUROPE'!B92,"")</f>
        <v/>
      </c>
      <c r="F265" s="432"/>
      <c r="G265" s="441" t="str">
        <f>IF(A265&lt;&gt;"",'QuoteTool EUROPE'!F92,"")</f>
        <v/>
      </c>
    </row>
    <row r="266" spans="1:7" s="613" customFormat="1">
      <c r="A266" s="329" t="str">
        <f>IF('QuoteTool EUROPE'!B93&lt;&gt;0,'QuoteTool EUROPE'!A93,"")</f>
        <v/>
      </c>
      <c r="B266" s="429"/>
      <c r="C266" s="430"/>
      <c r="D266" s="448" t="str">
        <f>IF(A266&lt;&gt;"",'QuoteTool EUROPE'!D93,"")</f>
        <v/>
      </c>
      <c r="E266" s="448" t="str">
        <f>IF(A266&lt;&gt;"",'QuoteTool EUROPE'!B93,"")</f>
        <v/>
      </c>
      <c r="F266" s="432"/>
      <c r="G266" s="441" t="str">
        <f>IF(A266&lt;&gt;"",'QuoteTool EUROPE'!F93,"")</f>
        <v/>
      </c>
    </row>
    <row r="267" spans="1:7" s="613" customFormat="1">
      <c r="A267" s="329" t="str">
        <f>IF('QuoteTool EUROPE'!B94&lt;&gt;0,'QuoteTool EUROPE'!A94,"")</f>
        <v/>
      </c>
      <c r="B267" s="429"/>
      <c r="C267" s="430"/>
      <c r="D267" s="448" t="str">
        <f>IF(A267&lt;&gt;"",'QuoteTool EUROPE'!D94,"")</f>
        <v/>
      </c>
      <c r="E267" s="448" t="str">
        <f>IF(A267&lt;&gt;"",'QuoteTool EUROPE'!B94,"")</f>
        <v/>
      </c>
      <c r="F267" s="432"/>
      <c r="G267" s="441" t="str">
        <f>IF(A267&lt;&gt;"",'QuoteTool EUROPE'!F94,"")</f>
        <v/>
      </c>
    </row>
    <row r="268" spans="1:7" s="613" customFormat="1">
      <c r="A268" s="329" t="str">
        <f>IF('QuoteTool EUROPE'!B95&lt;&gt;0,'QuoteTool EUROPE'!A95,"")</f>
        <v/>
      </c>
      <c r="B268" s="429"/>
      <c r="C268" s="430"/>
      <c r="D268" s="448" t="str">
        <f>IF(A268&lt;&gt;"",'QuoteTool EUROPE'!D95,"")</f>
        <v/>
      </c>
      <c r="E268" s="448" t="str">
        <f>IF(A268&lt;&gt;"",'QuoteTool EUROPE'!B95,"")</f>
        <v/>
      </c>
      <c r="F268" s="432"/>
      <c r="G268" s="441" t="str">
        <f>IF(A268&lt;&gt;"",'QuoteTool EUROPE'!F95,"")</f>
        <v/>
      </c>
    </row>
    <row r="269" spans="1:7" s="613" customFormat="1">
      <c r="A269" s="329" t="str">
        <f>IF('QuoteTool EUROPE'!B96&lt;&gt;0,'QuoteTool EUROPE'!A96,"")</f>
        <v/>
      </c>
      <c r="B269" s="429"/>
      <c r="C269" s="430"/>
      <c r="D269" s="448" t="str">
        <f>IF(A269&lt;&gt;"",'QuoteTool EUROPE'!D96,"")</f>
        <v/>
      </c>
      <c r="E269" s="448" t="str">
        <f>IF(A269&lt;&gt;"",'QuoteTool EUROPE'!B96,"")</f>
        <v/>
      </c>
      <c r="F269" s="432"/>
      <c r="G269" s="441" t="str">
        <f>IF(A269&lt;&gt;"",'QuoteTool EUROPE'!F96,"")</f>
        <v/>
      </c>
    </row>
    <row r="270" spans="1:7" s="613" customFormat="1">
      <c r="A270" s="329" t="str">
        <f>IF('QuoteTool EUROPE'!B97&lt;&gt;0,'QuoteTool EUROPE'!A97,"")</f>
        <v/>
      </c>
      <c r="B270" s="429"/>
      <c r="C270" s="430"/>
      <c r="D270" s="448" t="str">
        <f>IF(A270&lt;&gt;"",'QuoteTool EUROPE'!D97,"")</f>
        <v/>
      </c>
      <c r="E270" s="448" t="str">
        <f>IF(A270&lt;&gt;"",'QuoteTool EUROPE'!B97,"")</f>
        <v/>
      </c>
      <c r="F270" s="432"/>
      <c r="G270" s="441" t="str">
        <f>IF(A270&lt;&gt;"",'QuoteTool EUROPE'!F97,"")</f>
        <v/>
      </c>
    </row>
    <row r="271" spans="1:7" s="613" customFormat="1">
      <c r="A271" s="329" t="str">
        <f>IF('QuoteTool EUROPE'!B98&lt;&gt;0,'QuoteTool EUROPE'!A98,"")</f>
        <v/>
      </c>
      <c r="B271" s="429"/>
      <c r="C271" s="430"/>
      <c r="D271" s="448" t="str">
        <f>IF(A271&lt;&gt;"",'QuoteTool EUROPE'!D98,"")</f>
        <v/>
      </c>
      <c r="E271" s="448" t="str">
        <f>IF(A271&lt;&gt;"",'QuoteTool EUROPE'!B98,"")</f>
        <v/>
      </c>
      <c r="F271" s="432"/>
      <c r="G271" s="441" t="str">
        <f>IF(A271&lt;&gt;"",'QuoteTool EUROPE'!F98,"")</f>
        <v/>
      </c>
    </row>
    <row r="272" spans="1:7">
      <c r="A272" s="329"/>
      <c r="B272" s="339"/>
      <c r="C272" s="430"/>
      <c r="D272" s="448"/>
      <c r="E272" s="448"/>
      <c r="F272" s="431"/>
      <c r="G272" s="442"/>
    </row>
    <row r="273" spans="1:7" s="333" customFormat="1">
      <c r="A273" s="267" t="s">
        <v>1022</v>
      </c>
      <c r="B273" s="264"/>
      <c r="C273" s="587"/>
      <c r="D273" s="210"/>
      <c r="E273" s="210" t="s">
        <v>178</v>
      </c>
      <c r="F273" s="264"/>
      <c r="G273" s="277" t="s">
        <v>181</v>
      </c>
    </row>
    <row r="274" spans="1:7" s="333" customFormat="1">
      <c r="A274" s="329" t="str">
        <f>IF('QuoteTool EUROPE'!B48&lt;&gt;0,'QuoteTool EUROPE'!A48,"")</f>
        <v/>
      </c>
      <c r="B274" s="589"/>
      <c r="C274" s="430"/>
      <c r="D274" s="448"/>
      <c r="E274" s="448" t="str">
        <f>IF(A274&lt;&gt;"",'QuoteTool EUROPE'!B48,"")</f>
        <v/>
      </c>
      <c r="F274" s="432"/>
      <c r="G274" s="441" t="str">
        <f>IF(A274&lt;&gt;"",'QuoteTool EUROPE'!F48,"")</f>
        <v/>
      </c>
    </row>
    <row r="275" spans="1:7" s="613" customFormat="1">
      <c r="A275" s="329" t="str">
        <f>IF('QuoteTool EUROPE'!B49&lt;&gt;0,'QuoteTool EUROPE'!A49,"")</f>
        <v/>
      </c>
      <c r="B275" s="806"/>
      <c r="C275" s="430"/>
      <c r="D275" s="448"/>
      <c r="E275" s="448" t="str">
        <f>IF(A275&lt;&gt;"",'QuoteTool EUROPE'!B49,"")</f>
        <v/>
      </c>
      <c r="F275" s="432"/>
      <c r="G275" s="441" t="str">
        <f>IF(A275&lt;&gt;"",'QuoteTool EUROPE'!F49,"")</f>
        <v/>
      </c>
    </row>
    <row r="276" spans="1:7" s="613" customFormat="1">
      <c r="A276" s="329"/>
      <c r="B276" s="872"/>
      <c r="C276" s="430"/>
      <c r="D276" s="448"/>
      <c r="E276" s="448"/>
      <c r="F276" s="432"/>
      <c r="G276" s="441"/>
    </row>
    <row r="277" spans="1:7" s="613" customFormat="1">
      <c r="A277" s="267" t="s">
        <v>1023</v>
      </c>
      <c r="B277" s="264"/>
      <c r="C277" s="871"/>
      <c r="D277" s="210"/>
      <c r="E277" s="210" t="s">
        <v>178</v>
      </c>
      <c r="F277" s="264"/>
      <c r="G277" s="277" t="s">
        <v>181</v>
      </c>
    </row>
    <row r="278" spans="1:7" s="613" customFormat="1">
      <c r="A278" s="329" t="str">
        <f>IF('QuoteTool EUROPE'!B112&lt;&gt;0,'QuoteTool EUROPE'!A112,"")</f>
        <v/>
      </c>
      <c r="B278" s="806"/>
      <c r="C278" s="430"/>
      <c r="D278" s="448"/>
      <c r="E278" s="448" t="str">
        <f>IF(A278&lt;&gt;"",'QuoteTool EUROPE'!B112,"")</f>
        <v/>
      </c>
      <c r="F278" s="432"/>
      <c r="G278" s="441" t="str">
        <f>IF(A278&lt;&gt;"",'QuoteTool EUROPE'!F112,"")</f>
        <v/>
      </c>
    </row>
    <row r="279" spans="1:7" s="613" customFormat="1">
      <c r="A279" s="329" t="str">
        <f>IF('QuoteTool EUROPE'!B113&lt;&gt;0,'QuoteTool EUROPE'!A113,"")</f>
        <v/>
      </c>
      <c r="B279" s="806"/>
      <c r="C279" s="430"/>
      <c r="D279" s="448"/>
      <c r="E279" s="448" t="str">
        <f>IF(A279&lt;&gt;"",'QuoteTool EUROPE'!B113,"")</f>
        <v/>
      </c>
      <c r="F279" s="432"/>
      <c r="G279" s="441" t="str">
        <f>IF(A279&lt;&gt;"",'QuoteTool EUROPE'!F113,"")</f>
        <v/>
      </c>
    </row>
    <row r="280" spans="1:7" s="333" customFormat="1">
      <c r="A280" s="329" t="str">
        <f>IF('QuoteTool EUROPE'!B117&lt;&gt;0,'QuoteTool EUROPE'!A117,"")</f>
        <v/>
      </c>
      <c r="B280" s="589"/>
      <c r="C280" s="430"/>
      <c r="D280" s="448"/>
      <c r="E280" s="448" t="str">
        <f>IF(A280&lt;&gt;"",'QuoteTool EUROPE'!B117,"")</f>
        <v/>
      </c>
      <c r="F280" s="431"/>
      <c r="G280" s="441" t="str">
        <f>IF(A280&lt;&gt;"",'QuoteTool EUROPE'!F117,"")</f>
        <v/>
      </c>
    </row>
    <row r="281" spans="1:7" s="333" customFormat="1">
      <c r="A281" s="329" t="str">
        <f>IF('QuoteTool EUROPE'!B118&lt;&gt;0,'QuoteTool EUROPE'!A118,"")</f>
        <v/>
      </c>
      <c r="B281" s="589"/>
      <c r="C281" s="430"/>
      <c r="D281" s="448"/>
      <c r="E281" s="448" t="str">
        <f>IF(A281&lt;&gt;"",'QuoteTool EUROPE'!B118,"")</f>
        <v/>
      </c>
      <c r="F281" s="431"/>
      <c r="G281" s="441" t="str">
        <f>IF(A281&lt;&gt;"",'QuoteTool EUROPE'!F118,"")</f>
        <v/>
      </c>
    </row>
    <row r="282" spans="1:7" s="613" customFormat="1">
      <c r="A282" s="329"/>
      <c r="B282" s="747"/>
      <c r="C282" s="430"/>
      <c r="D282" s="448"/>
      <c r="E282" s="448"/>
      <c r="F282" s="431"/>
      <c r="G282" s="441"/>
    </row>
    <row r="283" spans="1:7" s="613" customFormat="1">
      <c r="A283" s="267" t="s">
        <v>702</v>
      </c>
      <c r="B283" s="264"/>
      <c r="C283" s="182"/>
      <c r="D283" s="210"/>
      <c r="E283" s="210" t="s">
        <v>178</v>
      </c>
      <c r="F283" s="264"/>
      <c r="G283" s="277" t="s">
        <v>181</v>
      </c>
    </row>
    <row r="284" spans="1:7" s="613" customFormat="1">
      <c r="A284" s="746" t="str">
        <f>IF('QuoteTool EUROPE'!B122&lt;&gt;0,'QuoteTool EUROPE'!A122,"")</f>
        <v/>
      </c>
      <c r="B284" s="747"/>
      <c r="C284" s="430"/>
      <c r="D284" s="448"/>
      <c r="E284" s="454" t="str">
        <f>IF(A284&lt;&gt;"",'QuoteTool EUROPE'!B122,"")</f>
        <v/>
      </c>
      <c r="F284" s="448"/>
      <c r="G284" s="442" t="str">
        <f>IF('QuoteTool EUROPE'!B122&lt;&gt;"",'QuoteTool EUROPE'!C122,"")</f>
        <v/>
      </c>
    </row>
    <row r="285" spans="1:7" s="613" customFormat="1">
      <c r="A285" s="746" t="str">
        <f>IF('QuoteTool EUROPE'!B123&lt;&gt;0,'QuoteTool EUROPE'!A123,"")</f>
        <v/>
      </c>
      <c r="B285" s="747"/>
      <c r="C285" s="430"/>
      <c r="D285" s="448"/>
      <c r="E285" s="454"/>
      <c r="F285" s="448" t="str">
        <f>IF(A285&lt;&gt;"",'QuoteTool EUROPE'!B123,"")</f>
        <v/>
      </c>
      <c r="G285" s="442" t="str">
        <f>IF('QuoteTool EUROPE'!B123&lt;&gt;"",'QuoteTool EUROPE'!C123,"")</f>
        <v/>
      </c>
    </row>
    <row r="286" spans="1:7" s="613" customFormat="1">
      <c r="A286" s="746" t="str">
        <f>IF('QuoteTool EUROPE'!B124&lt;&gt;0,'QuoteTool EUROPE'!A124,"")</f>
        <v/>
      </c>
      <c r="B286" s="747"/>
      <c r="C286" s="430"/>
      <c r="D286" s="448"/>
      <c r="E286" s="454"/>
      <c r="F286" s="448" t="str">
        <f>IF(A286&lt;&gt;"",'QuoteTool EUROPE'!B124,"")</f>
        <v/>
      </c>
      <c r="G286" s="442" t="str">
        <f>IF('QuoteTool EUROPE'!B124&lt;&gt;"",'QuoteTool EUROPE'!C124,"")</f>
        <v/>
      </c>
    </row>
    <row r="287" spans="1:7" s="613" customFormat="1">
      <c r="A287" s="746" t="str">
        <f>IF('QuoteTool EUROPE'!B125&lt;&gt;0,'QuoteTool EUROPE'!A125,"")</f>
        <v/>
      </c>
      <c r="B287" s="747"/>
      <c r="C287" s="430"/>
      <c r="D287" s="448"/>
      <c r="E287" s="454"/>
      <c r="F287" s="448" t="str">
        <f>IF(A287&lt;&gt;"",'QuoteTool EUROPE'!B125,"")</f>
        <v/>
      </c>
      <c r="G287" s="442" t="str">
        <f>IF('QuoteTool EUROPE'!B125&lt;&gt;"",'QuoteTool EUROPE'!C125,"")</f>
        <v/>
      </c>
    </row>
    <row r="288" spans="1:7">
      <c r="A288" s="329"/>
      <c r="B288" s="339"/>
      <c r="C288" s="430"/>
      <c r="D288" s="448" t="str">
        <f>IF(A288&lt;&gt;"",IF('QuoteTool EUROPE'!G74='QuoteTool EUROPE'!$U$19,"Linux",IF('QuoteTool EUROPE'!G74='QuoteTool EUROPE'!$U$20,"Windows",IF('QuoteTool EUROPE'!G74='QuoteTool EUROPE'!$U$21,"Suse",IF('QuoteTool EUROPE'!G74='QuoteTool EUROPE'!$U$22,"Hadoop",IF('QuoteTool EUROPE'!G74='QuoteTool EUROPE'!$U$23,"RedHat","DBaaS MySQL"))))),"")</f>
        <v/>
      </c>
      <c r="E288" s="448"/>
      <c r="F288" s="431"/>
      <c r="G288" s="442"/>
    </row>
    <row r="289" spans="1:7">
      <c r="A289" s="267" t="s">
        <v>168</v>
      </c>
      <c r="B289" s="264"/>
      <c r="C289" s="182"/>
      <c r="D289" s="210"/>
      <c r="E289" s="210" t="s">
        <v>178</v>
      </c>
      <c r="F289" s="264"/>
      <c r="G289" s="277" t="s">
        <v>181</v>
      </c>
    </row>
    <row r="290" spans="1:7">
      <c r="A290" s="338" t="str">
        <f>IF('QuoteTool EUROPE'!B16&lt;&gt;0,'QuoteTool EUROPE'!A16,"")</f>
        <v/>
      </c>
      <c r="B290" s="429"/>
      <c r="C290" s="465"/>
      <c r="D290" s="448"/>
      <c r="E290" s="448" t="str">
        <f>IF(A290&lt;&gt;"",'QuoteTool EUROPE'!B16,"")</f>
        <v/>
      </c>
      <c r="F290" s="432"/>
      <c r="G290" s="441" t="str">
        <f>IF(A290&lt;&gt;"",'QuoteTool EUROPE'!C16,"")</f>
        <v/>
      </c>
    </row>
    <row r="291" spans="1:7">
      <c r="A291" s="326"/>
      <c r="B291" s="339"/>
      <c r="C291" s="465"/>
      <c r="D291" s="448"/>
      <c r="E291" s="448"/>
      <c r="F291" s="431"/>
      <c r="G291" s="442"/>
    </row>
    <row r="292" spans="1:7" ht="15.75" customHeight="1">
      <c r="A292" s="312" t="s">
        <v>188</v>
      </c>
      <c r="B292" s="313"/>
      <c r="C292" s="313"/>
      <c r="D292" s="210" t="s">
        <v>314</v>
      </c>
      <c r="E292" s="210" t="s">
        <v>178</v>
      </c>
      <c r="F292" s="264"/>
      <c r="G292" s="277" t="s">
        <v>181</v>
      </c>
    </row>
    <row r="293" spans="1:7">
      <c r="A293" s="329" t="str">
        <f>IF('QuoteTool EUROPE'!D250&lt;&gt;0,'QuoteTool EUROPE'!A250,"")</f>
        <v/>
      </c>
      <c r="B293" s="429"/>
      <c r="C293" s="326"/>
      <c r="D293" s="448" t="str">
        <f>IF(A293&lt;&gt;"",'QuoteTool EUROPE'!C250,"")</f>
        <v/>
      </c>
      <c r="E293" s="448" t="str">
        <f>IF(A293&lt;&gt;"",'QuoteTool EUROPE'!B250,"")</f>
        <v/>
      </c>
      <c r="F293" s="432"/>
      <c r="G293" s="441" t="str">
        <f>IF(A293&lt;&gt;"",'QuoteTool EUROPE'!D250,"")</f>
        <v/>
      </c>
    </row>
    <row r="294" spans="1:7">
      <c r="A294" s="338" t="str">
        <f>IF('QuoteTool EUROPE'!D251&lt;&gt;0,'QuoteTool EUROPE'!A251,"")</f>
        <v/>
      </c>
      <c r="B294" s="339"/>
      <c r="C294" s="460"/>
      <c r="D294" s="448" t="str">
        <f>IF(A294&lt;&gt;"",'QuoteTool EUROPE'!C251,"")</f>
        <v/>
      </c>
      <c r="E294" s="448" t="str">
        <f>IF(A294&lt;&gt;"",'QuoteTool EUROPE'!B251,"")</f>
        <v/>
      </c>
      <c r="F294" s="433"/>
      <c r="G294" s="442" t="str">
        <f>IF(A294&lt;&gt;"",'QuoteTool EUROPE'!D251,"")</f>
        <v/>
      </c>
    </row>
    <row r="295" spans="1:7" s="613" customFormat="1">
      <c r="A295" s="1049" t="str">
        <f>IF('QuoteTool EUROPE'!D255&lt;&gt;0,'QuoteTool EUROPE'!A255,"")</f>
        <v/>
      </c>
      <c r="B295" s="1048"/>
      <c r="C295" s="460"/>
      <c r="D295" s="448" t="str">
        <f>IF(A295&lt;&gt;"",'QuoteTool EUROPE'!C255,"")</f>
        <v/>
      </c>
      <c r="E295" s="448" t="str">
        <f>IF(A295&lt;&gt;"",'QuoteTool EUROPE'!B255,"")</f>
        <v/>
      </c>
      <c r="F295" s="433"/>
      <c r="G295" s="442" t="str">
        <f>IF(A295&lt;&gt;"",'QuoteTool EUROPE'!D255,"")</f>
        <v/>
      </c>
    </row>
    <row r="296" spans="1:7" s="613" customFormat="1">
      <c r="A296" s="1049" t="str">
        <f>IF('QuoteTool EUROPE'!D257&lt;&gt;0,'QuoteTool EUROPE'!A256,"")</f>
        <v/>
      </c>
      <c r="B296" s="1048"/>
      <c r="C296" s="460"/>
      <c r="D296" s="448" t="str">
        <f>IF(A296&lt;&gt;"",'QuoteTool EUROPE'!C256,"")</f>
        <v/>
      </c>
      <c r="E296" s="448" t="str">
        <f>IF(A296&lt;&gt;"",'QuoteTool EUROPE'!B256,"")</f>
        <v/>
      </c>
      <c r="F296" s="433"/>
      <c r="G296" s="442" t="str">
        <f>IF(A296&lt;&gt;"",'QuoteTool EUROPE'!D256,"")</f>
        <v/>
      </c>
    </row>
    <row r="297" spans="1:7">
      <c r="A297" s="329" t="str">
        <f>IF('QuoteTool EUROPE'!B247&lt;&gt;0,'QuoteTool EUROPE'!A246,"")</f>
        <v/>
      </c>
      <c r="B297" s="429"/>
      <c r="C297" s="430"/>
      <c r="D297" s="448"/>
      <c r="E297" s="448" t="str">
        <f>IF(A297&lt;&gt;"",'QuoteTool EUROPE'!B247&amp;" membres","")</f>
        <v/>
      </c>
      <c r="F297" s="432"/>
      <c r="G297" s="441" t="str">
        <f>IF(A297&lt;&gt;"",'QuoteTool EUROPE'!C247,"")</f>
        <v/>
      </c>
    </row>
    <row r="298" spans="1:7">
      <c r="A298" s="462" t="str">
        <f>IF('QuoteTool EUROPE'!B239&lt;&gt;0,'QuoteTool EUROPE'!A238,"")</f>
        <v/>
      </c>
      <c r="B298" s="463"/>
      <c r="C298" s="463"/>
      <c r="D298" s="464"/>
      <c r="E298" s="450" t="str">
        <f>IF(A298&lt;&gt;"",'QuoteTool EUROPE'!B239&amp;" GB","")</f>
        <v/>
      </c>
      <c r="F298" s="497"/>
      <c r="G298" s="461" t="str">
        <f>IF(A298&lt;&gt;"",'QuoteTool EUROPE'!C239,"")</f>
        <v/>
      </c>
    </row>
    <row r="299" spans="1:7">
      <c r="A299" s="462" t="str">
        <f>IF('QuoteTool EUROPE'!B264&lt;&gt;0,'QuoteTool EUROPE'!A263,"")</f>
        <v/>
      </c>
      <c r="B299" s="463"/>
      <c r="C299" s="463"/>
      <c r="D299" s="464"/>
      <c r="E299" s="450" t="str">
        <f>IF(A299&lt;&gt;"",'QuoteTool EUROPE'!B264&amp;" VPNs","")</f>
        <v/>
      </c>
      <c r="F299" s="497"/>
      <c r="G299" s="461" t="str">
        <f>IF(A299&lt;&gt;"",'QuoteTool EUROPE'!C264,"")</f>
        <v/>
      </c>
    </row>
    <row r="300" spans="1:7" s="613" customFormat="1">
      <c r="A300" s="462" t="str">
        <f>IF('QuoteTool EUROPE'!C269&lt;&gt;0,'QuoteTool EUROPE'!A266,"")</f>
        <v/>
      </c>
      <c r="B300" s="463"/>
      <c r="C300" s="463"/>
      <c r="D300" s="464"/>
      <c r="E300" s="450" t="str">
        <f>IF(A300&lt;&gt;"",'QuoteTool EUROPE'!B267+'QuoteTool EUROPE'!B268&amp;" NAT Gateway","")</f>
        <v/>
      </c>
      <c r="F300" s="497"/>
      <c r="G300" s="461" t="str">
        <f>IF(A300&lt;&gt;"",'QuoteTool EUROPE'!C269,"")</f>
        <v/>
      </c>
    </row>
    <row r="301" spans="1:7" s="613" customFormat="1">
      <c r="A301" s="462" t="str">
        <f>IF('QuoteTool EUROPE'!C274&lt;&gt;0,'QuoteTool EUROPE'!A271,"")</f>
        <v/>
      </c>
      <c r="B301" s="463"/>
      <c r="C301" s="463"/>
      <c r="D301" s="464"/>
      <c r="E301" s="450" t="str">
        <f>IF(A301&lt;&gt;"",'QuoteTool EUROPE'!B272+'QuoteTool EUROPE'!B273&amp;" Private NAT Gateway","")</f>
        <v/>
      </c>
      <c r="F301" s="497"/>
      <c r="G301" s="461" t="str">
        <f>IF(A301&lt;&gt;"",'QuoteTool EUROPE'!C274,"")</f>
        <v/>
      </c>
    </row>
    <row r="302" spans="1:7">
      <c r="A302" s="462" t="str">
        <f>IF('QuoteTool EUROPE'!B277&lt;&gt;0,'QuoteTool EUROPE'!A277,"")</f>
        <v/>
      </c>
      <c r="B302" s="1043"/>
      <c r="C302" s="463"/>
      <c r="D302" s="464"/>
      <c r="E302" s="450" t="str">
        <f>IF(A302&lt;&gt;"",'QuoteTool EUROPE'!B277&amp;" Hosted Zones","")</f>
        <v/>
      </c>
      <c r="G302" s="461" t="str">
        <f>IF(A302&lt;&gt;"",'QuoteTool EUROPE'!C277,"")</f>
        <v/>
      </c>
    </row>
    <row r="303" spans="1:7" s="613" customFormat="1">
      <c r="A303" s="462" t="str">
        <f>IF('QuoteTool EUROPE'!B278&lt;&gt;0,'QuoteTool EUROPE'!A278,"")</f>
        <v/>
      </c>
      <c r="B303" s="1043"/>
      <c r="C303" s="463"/>
      <c r="D303" s="464"/>
      <c r="E303" s="450" t="str">
        <f>IF(A303&lt;&gt;"",'QuoteTool EUROPE'!B278&amp;" Slices","")</f>
        <v/>
      </c>
      <c r="G303" s="461" t="str">
        <f>IF(A303&lt;&gt;"",'QuoteTool EUROPE'!C278,"")</f>
        <v/>
      </c>
    </row>
    <row r="304" spans="1:7" s="1489" customFormat="1">
      <c r="A304" s="462" t="str">
        <f>IF('QuoteTool EUROPE'!C244&lt;&gt;0,'QuoteTool EUROPE'!A244,"")</f>
        <v/>
      </c>
      <c r="B304" s="1043"/>
      <c r="C304" s="463"/>
      <c r="D304" s="592" t="str">
        <f>IF(A304&lt;&gt;"",'QuoteTool EUROPE'!B244&amp;" Mbps","")</f>
        <v/>
      </c>
      <c r="E304" s="450"/>
      <c r="G304" s="461" t="str">
        <f>IF(A304&lt;&gt;"",'QuoteTool EUROPE'!C244,"")</f>
        <v/>
      </c>
    </row>
    <row r="305" spans="1:7" s="613" customFormat="1">
      <c r="A305" s="462"/>
      <c r="B305" s="1043"/>
      <c r="C305" s="463"/>
      <c r="D305" s="464"/>
      <c r="E305" s="450"/>
      <c r="G305" s="461"/>
    </row>
    <row r="306" spans="1:7" s="613" customFormat="1">
      <c r="A306" s="267" t="s">
        <v>1417</v>
      </c>
      <c r="B306" s="264"/>
      <c r="C306" s="182"/>
      <c r="D306" s="210"/>
      <c r="E306" s="210" t="s">
        <v>178</v>
      </c>
      <c r="F306" s="264"/>
      <c r="G306" s="277" t="s">
        <v>181</v>
      </c>
    </row>
    <row r="307" spans="1:7" s="613" customFormat="1">
      <c r="A307" s="925" t="str">
        <f>IF('QuoteTool EUROPE'!G290&lt;&gt;0,_xlfn.CONCAT('QuoteTool EUROPE'!$A$289," ",'QuoteTool EUROPE'!A290),"")</f>
        <v/>
      </c>
      <c r="B307" s="1113"/>
      <c r="C307" s="934"/>
      <c r="D307" s="1104"/>
      <c r="E307" s="1105" t="str">
        <f>IF(A307&lt;&gt;"",'QuoteTool EUROPE'!C290,"")</f>
        <v/>
      </c>
      <c r="F307" s="593"/>
      <c r="G307" s="932" t="str">
        <f>IF(A307&lt;&gt;"",'QuoteTool EUROPE'!G290,"")</f>
        <v/>
      </c>
    </row>
    <row r="308" spans="1:7" s="613" customFormat="1">
      <c r="A308" s="925" t="str">
        <f>IF('QuoteTool EUROPE'!G291&lt;&gt;0,_xlfn.CONCAT('QuoteTool EUROPE'!$A$289," ",'QuoteTool EUROPE'!A291),"")</f>
        <v/>
      </c>
      <c r="B308" s="1113"/>
      <c r="C308" s="934"/>
      <c r="D308" s="1104"/>
      <c r="E308" s="1105" t="str">
        <f>IF(A308&lt;&gt;"",'QuoteTool EUROPE'!C291,"")</f>
        <v/>
      </c>
      <c r="F308" s="593"/>
      <c r="G308" s="932" t="str">
        <f>IF(A308&lt;&gt;"",'QuoteTool EUROPE'!G291,"")</f>
        <v/>
      </c>
    </row>
    <row r="309" spans="1:7" s="613" customFormat="1">
      <c r="A309" s="925" t="str">
        <f>IF('QuoteTool EUROPE'!G292&lt;&gt;0,_xlfn.CONCAT('QuoteTool EUROPE'!$A$289," ",'QuoteTool EUROPE'!A292),"")</f>
        <v/>
      </c>
      <c r="B309" s="1113"/>
      <c r="C309" s="934"/>
      <c r="D309" s="1104"/>
      <c r="E309" s="1105" t="str">
        <f>IF(A309&lt;&gt;"",'QuoteTool EUROPE'!C292,"")</f>
        <v/>
      </c>
      <c r="F309" s="593"/>
      <c r="G309" s="932" t="str">
        <f>IF(A309&lt;&gt;"",'QuoteTool EUROPE'!G292,"")</f>
        <v/>
      </c>
    </row>
    <row r="310" spans="1:7" s="613" customFormat="1">
      <c r="A310" s="925" t="str">
        <f>IF('QuoteTool EUROPE'!G293&lt;&gt;0,_xlfn.CONCAT('QuoteTool EUROPE'!$A$289," ",'QuoteTool EUROPE'!A293),"")</f>
        <v/>
      </c>
      <c r="B310" s="1113"/>
      <c r="C310" s="934"/>
      <c r="D310" s="1104"/>
      <c r="E310" s="1105" t="str">
        <f>IF(A310&lt;&gt;"",'QuoteTool EUROPE'!C293,"")</f>
        <v/>
      </c>
      <c r="F310" s="593"/>
      <c r="G310" s="932" t="str">
        <f>IF(A310&lt;&gt;"",'QuoteTool EUROPE'!G293,"")</f>
        <v/>
      </c>
    </row>
    <row r="311" spans="1:7" s="613" customFormat="1">
      <c r="A311" s="925" t="str">
        <f>IF('QuoteTool EUROPE'!B317&lt;&gt;0,'QuoteTool EUROPE'!A315,"")</f>
        <v/>
      </c>
      <c r="B311" s="926"/>
      <c r="C311" s="927"/>
      <c r="D311" s="928"/>
      <c r="E311" s="928" t="str">
        <f>IF('QuoteTool EUROPE'!A317&lt;&gt;"",'QuoteTool EUROPE'!A317&amp;" hours","")</f>
        <v/>
      </c>
      <c r="F311" s="593"/>
      <c r="G311" s="932" t="str">
        <f>IF(A311&lt;&gt;"",'QuoteTool EUROPE'!H317,"")</f>
        <v/>
      </c>
    </row>
    <row r="312" spans="1:7" s="613" customFormat="1">
      <c r="A312" s="462" t="str">
        <f>IF('QuoteTool EUROPE'!D321&lt;&gt;0,'QuoteTool EUROPE'!A319,"")</f>
        <v/>
      </c>
      <c r="B312" s="789"/>
      <c r="C312" s="430"/>
      <c r="D312" s="448"/>
      <c r="E312" s="448" t="str">
        <f>IF('QuoteTool EUROPE'!A321&lt;&gt;"",'QuoteTool EUROPE'!A321&amp;" hours","")</f>
        <v/>
      </c>
      <c r="G312" s="461" t="str">
        <f>IF(A312&lt;&gt;"",'QuoteTool EUROPE'!D321,"")</f>
        <v/>
      </c>
    </row>
    <row r="313" spans="1:7" s="1489" customFormat="1">
      <c r="A313" s="462" t="str">
        <f>IF('QuoteTool EUROPE'!D513&lt;&gt;0,'QuoteTool EUROPE'!A504,"")</f>
        <v/>
      </c>
      <c r="B313" s="1661"/>
      <c r="C313" s="430"/>
      <c r="D313" s="448"/>
      <c r="E313" s="448" t="str">
        <f>IF(A313&lt;&gt;"",SUM('QuoteTool EUROPE'!B505:B512),"")</f>
        <v/>
      </c>
      <c r="G313" s="461" t="str">
        <f>IF(A313&lt;&gt;"",'QuoteTool EUROPE'!D513,"")</f>
        <v/>
      </c>
    </row>
    <row r="314" spans="1:7" s="1489" customFormat="1">
      <c r="A314" s="462" t="str">
        <f>IF('QuoteTool EUROPE'!D518&lt;&gt;0,'QuoteTool EUROPE'!A515,"")</f>
        <v/>
      </c>
      <c r="B314" s="1661"/>
      <c r="C314" s="430"/>
      <c r="D314" s="448"/>
      <c r="E314" s="448"/>
      <c r="G314" s="461" t="str">
        <f>IF(A314&lt;&gt;"",'QuoteTool EUROPE'!D518,"")</f>
        <v/>
      </c>
    </row>
    <row r="315" spans="1:7" s="1805" customFormat="1">
      <c r="A315" s="925" t="str">
        <f>IF('QuoteTool EUROPE'!C313&lt;&gt;0,'QuoteTool EUROPE'!A310,"")</f>
        <v/>
      </c>
      <c r="B315" s="1113"/>
      <c r="C315" s="934"/>
      <c r="D315" s="1104"/>
      <c r="E315" s="1105" t="str">
        <f>IF('QuoteTool EUROPE'!C313&lt;&gt;0,SUM('QuoteTool EUROPE'!B311:B312)&amp;" hours","")</f>
        <v/>
      </c>
      <c r="F315" s="1486"/>
      <c r="G315" s="932" t="str">
        <f>IF(A315&lt;&gt;"",'QuoteTool EUROPE'!C313,"")</f>
        <v/>
      </c>
    </row>
    <row r="316" spans="1:7" s="1805" customFormat="1">
      <c r="A316" s="267" t="s">
        <v>1418</v>
      </c>
      <c r="B316" s="264"/>
      <c r="C316" s="182"/>
      <c r="D316" s="210"/>
      <c r="E316" s="210" t="s">
        <v>178</v>
      </c>
      <c r="F316" s="264"/>
      <c r="G316" s="277" t="s">
        <v>181</v>
      </c>
    </row>
    <row r="317" spans="1:7" s="1805" customFormat="1">
      <c r="A317" s="925" t="str">
        <f>IF('QuoteTool EUROPE'!G301&lt;&gt;0,'QuoteTool EUROPE'!$A$296,"")</f>
        <v/>
      </c>
      <c r="B317" s="1113"/>
      <c r="C317" s="934"/>
      <c r="D317" s="1104"/>
      <c r="E317" s="1105" t="str">
        <f>IF(A317&lt;&gt;"",SUM('QuoteTool EUROPE'!$E$297,'QuoteTool EUROPE'!$E$298,'QuoteTool EUROPE'!$E$299,'QuoteTool EUROPE'!$E$300),"")</f>
        <v/>
      </c>
      <c r="F317" s="1486"/>
      <c r="G317" s="932" t="str">
        <f>IF(A317&lt;&gt;"",'QuoteTool EUROPE'!$G$301,"")</f>
        <v/>
      </c>
    </row>
    <row r="318" spans="1:7" s="1805" customFormat="1">
      <c r="A318" s="925" t="str">
        <f>IF('QuoteTool EUROPE'!I308&lt;&gt;0,'QuoteTool EUROPE'!A303,"")</f>
        <v/>
      </c>
      <c r="B318" s="1113"/>
      <c r="C318" s="934"/>
      <c r="D318" s="1104"/>
      <c r="E318" s="1105" t="str">
        <f>IF(A318&lt;&gt;"",SUM('QuoteTool EUROPE'!F304:F307),"")</f>
        <v/>
      </c>
      <c r="F318" s="1486"/>
      <c r="G318" s="932" t="str">
        <f>IF(A318&lt;&gt;"",'QuoteTool EUROPE'!I308,"")</f>
        <v/>
      </c>
    </row>
    <row r="319" spans="1:7" s="613" customFormat="1">
      <c r="A319" s="607"/>
      <c r="B319" s="608"/>
      <c r="C319" s="430"/>
      <c r="D319" s="448"/>
      <c r="E319" s="448"/>
      <c r="F319" s="431"/>
      <c r="G319" s="442"/>
    </row>
    <row r="320" spans="1:7" s="333" customFormat="1">
      <c r="A320" s="267" t="s">
        <v>1176</v>
      </c>
      <c r="B320" s="264"/>
      <c r="C320" s="182"/>
      <c r="D320" s="210" t="s">
        <v>434</v>
      </c>
      <c r="E320" s="210" t="s">
        <v>178</v>
      </c>
      <c r="F320" s="264"/>
      <c r="G320" s="277" t="s">
        <v>181</v>
      </c>
    </row>
    <row r="321" spans="1:7" s="333" customFormat="1">
      <c r="A321" s="462" t="str">
        <f>IF('QuoteTool EUROPE'!B327&lt;&gt;0,"SMN requests slices of 1 million","")</f>
        <v/>
      </c>
      <c r="B321" s="463"/>
      <c r="C321" s="463"/>
      <c r="D321" s="464"/>
      <c r="E321" s="450" t="str">
        <f>IF(A321&lt;&gt;"",'QuoteTool EUROPE'!B327,"")</f>
        <v/>
      </c>
      <c r="G321" s="461" t="str">
        <f>IF(A321&lt;&gt;"",'QuoteTool EUROPE'!C327,"")</f>
        <v/>
      </c>
    </row>
    <row r="322" spans="1:7" s="333" customFormat="1">
      <c r="A322" s="462" t="str">
        <f>IF('QuoteTool EUROPE'!B328&lt;&gt;0,"HTTP/HTTPS notification slices of 100 000","")</f>
        <v/>
      </c>
      <c r="B322" s="463"/>
      <c r="C322" s="463"/>
      <c r="D322" s="464"/>
      <c r="E322" s="450" t="str">
        <f>IF(A322&lt;&gt;"",'QuoteTool EUROPE'!B328,"")</f>
        <v/>
      </c>
      <c r="G322" s="461" t="str">
        <f>IF(A322&lt;&gt;"",'QuoteTool EUROPE'!C328,"")</f>
        <v/>
      </c>
    </row>
    <row r="323" spans="1:7" s="333" customFormat="1">
      <c r="A323" s="462" t="str">
        <f>IF('QuoteTool EUROPE'!B329&lt;&gt;0,"Email notification slices of 1 000","")</f>
        <v/>
      </c>
      <c r="B323" s="463"/>
      <c r="C323" s="463"/>
      <c r="D323" s="464"/>
      <c r="E323" s="450" t="str">
        <f>IF(A323&lt;&gt;"",'QuoteTool EUROPE'!B329,"")</f>
        <v/>
      </c>
      <c r="G323" s="461" t="str">
        <f>IF(A323&lt;&gt;"",'QuoteTool EUROPE'!C329,"")</f>
        <v/>
      </c>
    </row>
    <row r="324" spans="1:7" s="613" customFormat="1">
      <c r="A324" s="462" t="str">
        <f>IF('QuoteTool EUROPE'!B330&lt;&gt;0,'QuoteTool EUROPE'!A330,"")</f>
        <v/>
      </c>
      <c r="B324" s="463"/>
      <c r="C324" s="463"/>
      <c r="D324" s="464"/>
      <c r="E324" s="450" t="str">
        <f>IF(A324&lt;&gt;"",'QuoteTool EUROPE'!B330,"")</f>
        <v/>
      </c>
      <c r="G324" s="461" t="str">
        <f>IF(A324&lt;&gt;"",'QuoteTool EUROPE'!C330,"")</f>
        <v/>
      </c>
    </row>
    <row r="325" spans="1:7" s="613" customFormat="1">
      <c r="A325" s="462" t="str">
        <f>IF('QuoteTool EUROPE'!B333&lt;&gt;0,_xlfn.CONCAT('QuoteTool EUROPE'!$A$332," ",'QuoteTool EUROPE'!A333),"")</f>
        <v/>
      </c>
      <c r="B325" s="463"/>
      <c r="C325" s="463"/>
      <c r="D325" s="464"/>
      <c r="E325" s="450" t="str">
        <f>IF(A325&lt;&gt;"",'QuoteTool EUROPE'!B333&amp;" requests","")</f>
        <v/>
      </c>
      <c r="G325" s="461" t="str">
        <f>IF(A325&lt;&gt;"",'QuoteTool EUROPE'!C333,"")</f>
        <v/>
      </c>
    </row>
    <row r="326" spans="1:7" s="613" customFormat="1">
      <c r="A326" s="462" t="str">
        <f>IF('QuoteTool EUROPE'!B334&lt;&gt;0,_xlfn.CONCAT('QuoteTool EUROPE'!$A$332," ",'QuoteTool EUROPE'!A334),"")</f>
        <v/>
      </c>
      <c r="B326" s="463"/>
      <c r="C326" s="463"/>
      <c r="D326" s="464"/>
      <c r="E326" s="450" t="str">
        <f>IF(A326&lt;&gt;"",'QuoteTool EUROPE'!B334&amp;" GB","")</f>
        <v/>
      </c>
      <c r="G326" s="461" t="str">
        <f>IF(A326&lt;&gt;"",'QuoteTool EUROPE'!C334,"")</f>
        <v/>
      </c>
    </row>
    <row r="327" spans="1:7" s="1489" customFormat="1">
      <c r="A327" s="462" t="str">
        <f>IF('QuoteTool EUROPE'!C342&lt;&gt;0,'QuoteTool EUROPE'!A337,"")</f>
        <v/>
      </c>
      <c r="B327" s="463"/>
      <c r="C327" s="463"/>
      <c r="D327" s="464"/>
      <c r="E327" s="450"/>
      <c r="G327" s="461" t="str">
        <f>IF(A327&lt;&gt;"",'QuoteTool EUROPE'!C342,"")</f>
        <v/>
      </c>
    </row>
    <row r="328" spans="1:7" s="613" customFormat="1">
      <c r="A328" s="462" t="str">
        <f>IF('QuoteTool EUROPE'!B429&lt;&gt;0,'QuoteTool EUROPE'!A426,"")</f>
        <v/>
      </c>
      <c r="B328" s="463"/>
      <c r="C328" s="463"/>
      <c r="D328" s="464"/>
      <c r="E328" s="450" t="str">
        <f>IF(A328&lt;&gt;"",'QuoteTool EUROPE'!B428&amp;" Hours","")</f>
        <v/>
      </c>
      <c r="G328" s="461" t="str">
        <f>IF(A328&lt;&gt;"",'QuoteTool EUROPE'!B429,"")</f>
        <v/>
      </c>
    </row>
    <row r="329" spans="1:7" s="1489" customFormat="1">
      <c r="A329" s="462" t="str">
        <f>IF('QuoteTool EUROPE'!G437&lt;&gt;0,'QuoteTool EUROPE'!A431,"")</f>
        <v/>
      </c>
      <c r="B329" s="463"/>
      <c r="C329" s="463"/>
      <c r="D329" s="464"/>
      <c r="E329" s="450"/>
      <c r="G329" s="461" t="str">
        <f>IF(A329&lt;&gt;"",'QuoteTool EUROPE'!G437,"")</f>
        <v/>
      </c>
    </row>
    <row r="330" spans="1:7" s="1489" customFormat="1">
      <c r="A330" s="462" t="str">
        <f>IF('QuoteTool EUROPE'!E448&lt;&gt;0,'QuoteTool EUROPE'!A439,"")</f>
        <v/>
      </c>
      <c r="B330" s="463"/>
      <c r="C330" s="463"/>
      <c r="D330" s="464"/>
      <c r="E330" s="450"/>
      <c r="G330" s="461" t="str">
        <f>IF(A330&lt;&gt;"",'QuoteTool EUROPE'!E448,"")</f>
        <v/>
      </c>
    </row>
    <row r="331" spans="1:7" s="1405" customFormat="1">
      <c r="A331" s="462" t="str">
        <f>IF('QuoteTool EUROPE'!F368&lt;&gt;0,'QuoteTool EUROPE'!A368,"")</f>
        <v/>
      </c>
      <c r="B331" s="463"/>
      <c r="C331" s="463"/>
      <c r="D331" s="592" t="str">
        <f>IF(A331&lt;&gt;"",'QuoteTool EUROPE'!B368,"")</f>
        <v/>
      </c>
      <c r="E331" s="450" t="str">
        <f>IF(A331&lt;&gt;"",IF('QuoteTool EUROPE'!D368='QuoteTool EUROPE'!$U$79,('QuoteTool EUROPE'!B345&amp;" instances"),('QuoteTool EUROPE'!B368*'QuoteTool EUROPE'!C345&amp;" hours")),"")</f>
        <v/>
      </c>
      <c r="G331" s="461" t="str">
        <f>IF(A331&lt;&gt;"",'QuoteTool EUROPE'!F368,"")</f>
        <v/>
      </c>
    </row>
    <row r="332" spans="1:7" s="1405" customFormat="1">
      <c r="A332" s="462" t="str">
        <f>IF('QuoteTool EUROPE'!F369&lt;&gt;0,'QuoteTool EUROPE'!A369,"")</f>
        <v/>
      </c>
      <c r="B332" s="463"/>
      <c r="C332" s="463"/>
      <c r="D332" s="592" t="str">
        <f>IF(A332&lt;&gt;"",'QuoteTool EUROPE'!B369,"")</f>
        <v/>
      </c>
      <c r="E332" s="450" t="str">
        <f>IF(A332&lt;&gt;"",IF('QuoteTool EUROPE'!D369='QuoteTool EUROPE'!$U$79,('QuoteTool EUROPE'!B346&amp;" instances"),('QuoteTool EUROPE'!B369*'QuoteTool EUROPE'!C346&amp;" hours")),"")</f>
        <v/>
      </c>
      <c r="G332" s="461" t="str">
        <f>IF(A332&lt;&gt;"",'QuoteTool EUROPE'!F369,"")</f>
        <v/>
      </c>
    </row>
    <row r="333" spans="1:7" s="1405" customFormat="1">
      <c r="A333" s="462" t="str">
        <f>IF('QuoteTool EUROPE'!F370&lt;&gt;0,'QuoteTool EUROPE'!A370,"")</f>
        <v/>
      </c>
      <c r="B333" s="463"/>
      <c r="C333" s="463"/>
      <c r="D333" s="592" t="str">
        <f>IF(A333&lt;&gt;"",'QuoteTool EUROPE'!B370,"")</f>
        <v/>
      </c>
      <c r="E333" s="450" t="str">
        <f>IF(A333&lt;&gt;"",IF('QuoteTool EUROPE'!D370='QuoteTool EUROPE'!$U$79,('QuoteTool EUROPE'!B347&amp;" instances"),('QuoteTool EUROPE'!B370*'QuoteTool EUROPE'!C347&amp;" hours")),"")</f>
        <v/>
      </c>
      <c r="G333" s="461" t="str">
        <f>IF(A333&lt;&gt;"",'QuoteTool EUROPE'!F370,"")</f>
        <v/>
      </c>
    </row>
    <row r="334" spans="1:7" s="1405" customFormat="1">
      <c r="A334" s="462" t="str">
        <f>IF('QuoteTool EUROPE'!F371&lt;&gt;0,'QuoteTool EUROPE'!A371,"")</f>
        <v/>
      </c>
      <c r="B334" s="463"/>
      <c r="C334" s="463"/>
      <c r="D334" s="592" t="str">
        <f>IF(A334&lt;&gt;"",'QuoteTool EUROPE'!B371,"")</f>
        <v/>
      </c>
      <c r="E334" s="450" t="str">
        <f>IF(A334&lt;&gt;"",IF('QuoteTool EUROPE'!D371='QuoteTool EUROPE'!$U$79,('QuoteTool EUROPE'!B348&amp;" instances"),('QuoteTool EUROPE'!B371*'QuoteTool EUROPE'!C348&amp;" hours")),"")</f>
        <v/>
      </c>
      <c r="G334" s="461" t="str">
        <f>IF(A334&lt;&gt;"",'QuoteTool EUROPE'!F371,"")</f>
        <v/>
      </c>
    </row>
    <row r="335" spans="1:7" s="333" customFormat="1">
      <c r="A335" s="462" t="str">
        <f>IF('QuoteTool EUROPE'!B345&lt;&gt;0,'QuoteTool EUROPE'!A345,"")</f>
        <v/>
      </c>
      <c r="B335" s="463"/>
      <c r="C335" s="463"/>
      <c r="D335" s="592" t="str">
        <f>IF(A335&lt;&gt;"",'QuoteTool EUROPE'!D345,"")</f>
        <v/>
      </c>
      <c r="E335" s="450" t="str">
        <f>IF(A335&lt;&gt;"",IF('QuoteTool EUROPE'!D345='QuoteTool EUROPE'!$U$79,('QuoteTool EUROPE'!B345&amp;" instances"),('QuoteTool EUROPE'!B345*'QuoteTool EUROPE'!C345&amp;" hours")),"")</f>
        <v/>
      </c>
      <c r="G335" s="461" t="str">
        <f>IF(A335&lt;&gt;"",'QuoteTool EUROPE'!F345,"")</f>
        <v/>
      </c>
    </row>
    <row r="336" spans="1:7" s="333" customFormat="1">
      <c r="A336" s="462" t="str">
        <f>IF('QuoteTool EUROPE'!B346&lt;&gt;0,'QuoteTool EUROPE'!A346,"")</f>
        <v/>
      </c>
      <c r="B336" s="463"/>
      <c r="C336" s="463"/>
      <c r="D336" s="592" t="str">
        <f>IF(A336&lt;&gt;"",'QuoteTool EUROPE'!D346,"")</f>
        <v/>
      </c>
      <c r="E336" s="450" t="str">
        <f>IF(A336&lt;&gt;"",IF('QuoteTool EUROPE'!D346='QuoteTool EUROPE'!$U$79,('QuoteTool EUROPE'!B346&amp;" instances"),('QuoteTool EUROPE'!B346*'QuoteTool EUROPE'!C346&amp;" hours")),"")</f>
        <v/>
      </c>
      <c r="G336" s="461" t="str">
        <f>IF(A336&lt;&gt;"",'QuoteTool EUROPE'!F346,"")</f>
        <v/>
      </c>
    </row>
    <row r="337" spans="1:7" s="333" customFormat="1">
      <c r="A337" s="462" t="str">
        <f>IF('QuoteTool EUROPE'!B347&lt;&gt;0,'QuoteTool EUROPE'!A347,"")</f>
        <v/>
      </c>
      <c r="B337" s="463"/>
      <c r="C337" s="463"/>
      <c r="D337" s="592" t="str">
        <f>IF(A337&lt;&gt;"",'QuoteTool EUROPE'!D347,"")</f>
        <v/>
      </c>
      <c r="E337" s="450" t="str">
        <f>IF(A337&lt;&gt;"",IF('QuoteTool EUROPE'!D347='QuoteTool EUROPE'!$U$79,('QuoteTool EUROPE'!B347&amp;" instances"),('QuoteTool EUROPE'!B347*'QuoteTool EUROPE'!C347&amp;" hours")),"")</f>
        <v/>
      </c>
      <c r="G337" s="461" t="str">
        <f>IF(A337&lt;&gt;"",'QuoteTool EUROPE'!F347,"")</f>
        <v/>
      </c>
    </row>
    <row r="338" spans="1:7" s="333" customFormat="1">
      <c r="A338" s="462" t="str">
        <f>IF('QuoteTool EUROPE'!B348&lt;&gt;0,'QuoteTool EUROPE'!A348,"")</f>
        <v/>
      </c>
      <c r="B338" s="463"/>
      <c r="C338" s="463"/>
      <c r="D338" s="592" t="str">
        <f>IF(A338&lt;&gt;"",'QuoteTool EUROPE'!D348,"")</f>
        <v/>
      </c>
      <c r="E338" s="450" t="str">
        <f>IF(A338&lt;&gt;"",IF('QuoteTool EUROPE'!D348='QuoteTool EUROPE'!$U$79,('QuoteTool EUROPE'!B348&amp;" instances"),('QuoteTool EUROPE'!B348*'QuoteTool EUROPE'!C348&amp;" hours")),"")</f>
        <v/>
      </c>
      <c r="G338" s="461" t="str">
        <f>IF(A338&lt;&gt;"",'QuoteTool EUROPE'!F348,"")</f>
        <v/>
      </c>
    </row>
    <row r="339" spans="1:7" s="333" customFormat="1">
      <c r="A339" s="462" t="str">
        <f>IF('QuoteTool EUROPE'!B407&lt;&gt;0,'QuoteTool EUROPE'!A407,"")</f>
        <v/>
      </c>
      <c r="B339" s="608"/>
      <c r="C339" s="430"/>
      <c r="D339" s="448"/>
      <c r="E339" s="450" t="str">
        <f>IF(A339&lt;&gt;"",('QuoteTool EUROPE'!C407*'QuoteTool EUROPE'!B407)&amp;" Hours","")</f>
        <v/>
      </c>
      <c r="G339" s="461" t="str">
        <f>IF(A339&lt;&gt;"",'QuoteTool EUROPE'!D407,"")</f>
        <v/>
      </c>
    </row>
    <row r="340" spans="1:7" s="613" customFormat="1">
      <c r="A340" s="462" t="str">
        <f>IF('QuoteTool EUROPE'!B408&lt;&gt;0,'QuoteTool EUROPE'!A408,"")</f>
        <v/>
      </c>
      <c r="B340" s="608"/>
      <c r="C340" s="430"/>
      <c r="D340" s="448"/>
      <c r="E340" s="450" t="str">
        <f>IF(A340&lt;&gt;"",'QuoteTool EUROPE'!B408&amp;" Slices","")</f>
        <v/>
      </c>
      <c r="G340" s="461" t="str">
        <f>IF(A340&lt;&gt;"",'QuoteTool EUROPE'!D408,"")</f>
        <v/>
      </c>
    </row>
    <row r="341" spans="1:7" s="613" customFormat="1">
      <c r="A341" s="462" t="str">
        <f>IF('QuoteTool EUROPE'!B409&lt;&gt;0,'QuoteTool EUROPE'!A409,"")</f>
        <v/>
      </c>
      <c r="B341" s="608"/>
      <c r="C341" s="430"/>
      <c r="D341" s="448"/>
      <c r="E341" s="450" t="str">
        <f>IF(A341&lt;&gt;"",'QuoteTool EUROPE'!B409&amp;" Gb","")</f>
        <v/>
      </c>
      <c r="G341" s="461" t="str">
        <f>IF(A341&lt;&gt;"",'QuoteTool EUROPE'!D409,"")</f>
        <v/>
      </c>
    </row>
    <row r="342" spans="1:7" s="613" customFormat="1">
      <c r="A342" s="462" t="str">
        <f>IF('QuoteTool EUROPE'!B451&lt;&gt;0,'QuoteTool EUROPE'!A451,"")</f>
        <v/>
      </c>
      <c r="B342" s="608"/>
      <c r="C342" s="430"/>
      <c r="D342" s="448"/>
      <c r="E342" s="448" t="str">
        <f>IF(A342&lt;&gt;"",'QuoteTool EUROPE'!B451&amp;" Partitions","")</f>
        <v/>
      </c>
      <c r="G342" s="461" t="str">
        <f>IF(A342&lt;&gt;"",'QuoteTool EUROPE'!D451,"")</f>
        <v/>
      </c>
    </row>
    <row r="343" spans="1:7" s="613" customFormat="1">
      <c r="A343" s="462" t="str">
        <f>IF('QuoteTool EUROPE'!D457&lt;&gt;0,'QuoteTool EUROPE'!A453,"")</f>
        <v/>
      </c>
      <c r="B343" s="608"/>
      <c r="C343" s="430"/>
      <c r="D343" s="448"/>
      <c r="E343" s="448"/>
      <c r="G343" s="461" t="str">
        <f>IF(A343&lt;&gt;"",'QuoteTool EUROPE'!D457,"")</f>
        <v/>
      </c>
    </row>
    <row r="344" spans="1:7" s="613" customFormat="1">
      <c r="A344" s="462" t="str">
        <f>IF('QuoteTool EUROPE'!B460&lt;&gt;0,'QuoteTool EUROPE'!A460,"")</f>
        <v/>
      </c>
      <c r="B344" s="608"/>
      <c r="C344" s="430"/>
      <c r="D344" s="448"/>
      <c r="E344" s="448" t="str">
        <f>IF(A344&lt;&gt;"",'QuoteTool EUROPE'!B460&amp;" services","")</f>
        <v/>
      </c>
      <c r="F344" s="449" t="str">
        <f>IF(A344&lt;&gt;"",('QuoteTool EUROPE'!B460*'QuoteTool EUROPE'!C460)&amp;" hours","")</f>
        <v/>
      </c>
      <c r="G344" s="461" t="str">
        <f>IF(A344&lt;&gt;"",'QuoteTool EUROPE'!D460,"")</f>
        <v/>
      </c>
    </row>
    <row r="345" spans="1:7" s="613" customFormat="1">
      <c r="A345" s="462" t="str">
        <f>IF('QuoteTool EUROPE'!B463&lt;&gt;0,'QuoteTool EUROPE'!A463,"")</f>
        <v/>
      </c>
      <c r="B345" s="696"/>
      <c r="C345" s="430"/>
      <c r="D345" s="448"/>
      <c r="E345" s="448" t="str">
        <f>IF(A345&lt;&gt;"",'QuoteTool EUROPE'!B463&amp;" SPU","")</f>
        <v/>
      </c>
      <c r="F345" s="448" t="str">
        <f>IF(A345&lt;&gt;"",('QuoteTool EUROPE'!B463*'QuoteTool EUROPE'!C463)&amp;" hours","")</f>
        <v/>
      </c>
      <c r="G345" s="461" t="str">
        <f>IF(A345&lt;&gt;"",'QuoteTool EUROPE'!D463,"")</f>
        <v/>
      </c>
    </row>
    <row r="346" spans="1:7" s="613" customFormat="1">
      <c r="A346" s="462" t="str">
        <f>IF('QuoteTool EUROPE'!B375&lt;&gt;0,'QuoteTool EUROPE'!A375,"")</f>
        <v/>
      </c>
      <c r="B346" s="734"/>
      <c r="C346" s="430"/>
      <c r="D346" s="448"/>
      <c r="E346" s="448"/>
      <c r="F346" s="448" t="str">
        <f>IF(A346&lt;&gt;"",'QuoteTool EUROPE'!B375,"")</f>
        <v/>
      </c>
      <c r="G346" s="461" t="str">
        <f>IF(A346&lt;&gt;"",'QuoteTool EUROPE'!C375,"")</f>
        <v/>
      </c>
    </row>
    <row r="347" spans="1:7" s="613" customFormat="1">
      <c r="A347" s="462" t="str">
        <f>IF('QuoteTool EUROPE'!B376&lt;&gt;0,'QuoteTool EUROPE'!A376,"")</f>
        <v/>
      </c>
      <c r="B347" s="734"/>
      <c r="C347" s="430"/>
      <c r="D347" s="448"/>
      <c r="E347" s="448"/>
      <c r="F347" s="448" t="str">
        <f>IF(A347&lt;&gt;"",'QuoteTool EUROPE'!B376,"")</f>
        <v/>
      </c>
      <c r="G347" s="461" t="str">
        <f>IF(A347&lt;&gt;"",'QuoteTool EUROPE'!C376,"")</f>
        <v/>
      </c>
    </row>
    <row r="348" spans="1:7" s="613" customFormat="1">
      <c r="A348" s="462" t="str">
        <f>IF('QuoteTool EUROPE'!B377&lt;&gt;0,'QuoteTool EUROPE'!A377,"")</f>
        <v/>
      </c>
      <c r="B348" s="639"/>
      <c r="C348" s="430"/>
      <c r="D348" s="448"/>
      <c r="E348" s="454"/>
      <c r="F348" s="448" t="str">
        <f>IF(A348&lt;&gt;"",'QuoteTool EUROPE'!B377,"")</f>
        <v/>
      </c>
      <c r="G348" s="461" t="str">
        <f>IF(A348&lt;&gt;"",'QuoteTool EUROPE'!C377,"")</f>
        <v/>
      </c>
    </row>
    <row r="349" spans="1:7" s="613" customFormat="1">
      <c r="A349" s="462" t="str">
        <f>IF('QuoteTool EUROPE'!B381&lt;&gt;0,'QuoteTool EUROPE'!A381,"")</f>
        <v/>
      </c>
      <c r="B349" s="688"/>
      <c r="C349" s="430"/>
      <c r="D349" s="448"/>
      <c r="E349" s="448" t="str">
        <f>IF(A349&lt;&gt;"",'QuoteTool EUROPE'!B381&amp;" instances","")</f>
        <v/>
      </c>
      <c r="F349" s="448" t="str">
        <f>IF(A349&lt;&gt;"",'QuoteTool EUROPE'!C381&amp;" heures","")</f>
        <v/>
      </c>
      <c r="G349" s="461" t="str">
        <f>IF(A349&lt;&gt;"",'QuoteTool EUROPE'!E381,"")</f>
        <v/>
      </c>
    </row>
    <row r="350" spans="1:7" s="613" customFormat="1">
      <c r="A350" s="462" t="str">
        <f>IF('QuoteTool EUROPE'!B382&lt;&gt;0,'QuoteTool EUROPE'!A382,"")</f>
        <v/>
      </c>
      <c r="B350" s="688"/>
      <c r="C350" s="430"/>
      <c r="D350" s="448"/>
      <c r="E350" s="448" t="str">
        <f>IF(A350&lt;&gt;"",'QuoteTool EUROPE'!B382&amp;" instances","")</f>
        <v/>
      </c>
      <c r="F350" s="448" t="str">
        <f>IF(A350&lt;&gt;"",'QuoteTool EUROPE'!C382&amp;" heures","")</f>
        <v/>
      </c>
      <c r="G350" s="461" t="str">
        <f>IF(A350&lt;&gt;"",'QuoteTool EUROPE'!E382,"")</f>
        <v/>
      </c>
    </row>
    <row r="351" spans="1:7" s="613" customFormat="1">
      <c r="A351" s="462" t="str">
        <f>IF('QuoteTool EUROPE'!B383&lt;&gt;0,'QuoteTool EUROPE'!A383,"")</f>
        <v/>
      </c>
      <c r="B351" s="688"/>
      <c r="C351" s="430"/>
      <c r="D351" s="448"/>
      <c r="E351" s="448" t="str">
        <f>IF(A351&lt;&gt;"",'QuoteTool EUROPE'!B383&amp;" instances","")</f>
        <v/>
      </c>
      <c r="F351" s="448" t="str">
        <f>IF(A351&lt;&gt;"",'QuoteTool EUROPE'!C383&amp;" heures","")</f>
        <v/>
      </c>
      <c r="G351" s="461" t="str">
        <f>IF(A351&lt;&gt;"",'QuoteTool EUROPE'!E383,"")</f>
        <v/>
      </c>
    </row>
    <row r="352" spans="1:7" s="613" customFormat="1">
      <c r="A352" s="462" t="str">
        <f>IF('QuoteTool EUROPE'!B384&lt;&gt;0,'QuoteTool EUROPE'!A384,"")</f>
        <v/>
      </c>
      <c r="B352" s="688"/>
      <c r="C352" s="430"/>
      <c r="D352" s="448"/>
      <c r="E352" s="448" t="str">
        <f>IF(A352&lt;&gt;"",'QuoteTool EUROPE'!B384&amp;" instances","")</f>
        <v/>
      </c>
      <c r="F352" s="448" t="str">
        <f>IF(A352&lt;&gt;"",'QuoteTool EUROPE'!C384&amp;" heures","")</f>
        <v/>
      </c>
      <c r="G352" s="461" t="str">
        <f>IF(A352&lt;&gt;"",'QuoteTool EUROPE'!E384,"")</f>
        <v/>
      </c>
    </row>
    <row r="353" spans="1:7" s="613" customFormat="1">
      <c r="A353" s="462" t="str">
        <f>IF('QuoteTool EUROPE'!B388&lt;&gt;0,'QuoteTool EUROPE'!A388,"")</f>
        <v/>
      </c>
      <c r="B353" s="1040"/>
      <c r="C353" s="430"/>
      <c r="D353" s="448"/>
      <c r="E353" s="448" t="str">
        <f>IF(A353&lt;&gt;"",'QuoteTool EUROPE'!B388&amp;" instances","")</f>
        <v/>
      </c>
      <c r="F353" s="448" t="str">
        <f>IF(A353&lt;&gt;"",'QuoteTool EUROPE'!C388&amp;" heures","")</f>
        <v/>
      </c>
      <c r="G353" s="461" t="str">
        <f>IF(A353&lt;&gt;"",'QuoteTool EUROPE'!E388,"")</f>
        <v/>
      </c>
    </row>
    <row r="354" spans="1:7" s="613" customFormat="1">
      <c r="A354" s="462" t="str">
        <f>IF('QuoteTool EUROPE'!B389&lt;&gt;0,'QuoteTool EUROPE'!A389,"")</f>
        <v/>
      </c>
      <c r="B354" s="1040"/>
      <c r="C354" s="430"/>
      <c r="D354" s="448"/>
      <c r="E354" s="448" t="str">
        <f>IF(A354&lt;&gt;"",'QuoteTool EUROPE'!B389&amp;" instances","")</f>
        <v/>
      </c>
      <c r="F354" s="448" t="str">
        <f>IF(A354&lt;&gt;"",'QuoteTool EUROPE'!C389&amp;" heures","")</f>
        <v/>
      </c>
      <c r="G354" s="461" t="str">
        <f>IF(A354&lt;&gt;"",'QuoteTool EUROPE'!E389,"")</f>
        <v/>
      </c>
    </row>
    <row r="355" spans="1:7" s="613" customFormat="1">
      <c r="A355" s="462" t="str">
        <f>IF('QuoteTool EUROPE'!B390&lt;&gt;0,'QuoteTool EUROPE'!A390,"")</f>
        <v/>
      </c>
      <c r="B355" s="1040"/>
      <c r="C355" s="430"/>
      <c r="D355" s="448"/>
      <c r="E355" s="448" t="str">
        <f>IF(A355&lt;&gt;"",'QuoteTool EUROPE'!B390&amp;" instances","")</f>
        <v/>
      </c>
      <c r="F355" s="448" t="str">
        <f>IF(A355&lt;&gt;"",'QuoteTool EUROPE'!C390&amp;" heures","")</f>
        <v/>
      </c>
      <c r="G355" s="461" t="str">
        <f>IF(A355&lt;&gt;"",'QuoteTool EUROPE'!E390,"")</f>
        <v/>
      </c>
    </row>
    <row r="356" spans="1:7" s="613" customFormat="1">
      <c r="A356" s="462" t="str">
        <f>IF('QuoteTool EUROPE'!B391&lt;&gt;0,'QuoteTool EUROPE'!A391,"")</f>
        <v/>
      </c>
      <c r="B356" s="1040"/>
      <c r="C356" s="430"/>
      <c r="D356" s="448"/>
      <c r="E356" s="448" t="str">
        <f>IF(A356&lt;&gt;"",'QuoteTool EUROPE'!B391&amp;" instances","")</f>
        <v/>
      </c>
      <c r="F356" s="448" t="str">
        <f>IF(A356&lt;&gt;"",'QuoteTool EUROPE'!C391&amp;" heures","")</f>
        <v/>
      </c>
      <c r="G356" s="461" t="str">
        <f>IF(A356&lt;&gt;"",'QuoteTool EUROPE'!E391,"")</f>
        <v/>
      </c>
    </row>
    <row r="357" spans="1:7" s="613" customFormat="1">
      <c r="A357" s="462" t="str">
        <f>IF('QuoteTool EUROPE'!B395&lt;&gt;0,'QuoteTool EUROPE'!A395,"")</f>
        <v/>
      </c>
      <c r="B357" s="1040"/>
      <c r="C357" s="430"/>
      <c r="D357" s="448"/>
      <c r="E357" s="448" t="str">
        <f>IF(A357&lt;&gt;"",'QuoteTool EUROPE'!B395&amp;" instances","")</f>
        <v/>
      </c>
      <c r="F357" s="448" t="str">
        <f>IF(A357&lt;&gt;"",'QuoteTool EUROPE'!C395&amp;" heures","")</f>
        <v/>
      </c>
      <c r="G357" s="461" t="str">
        <f>IF(A357&lt;&gt;"",'QuoteTool EUROPE'!E395,"")</f>
        <v/>
      </c>
    </row>
    <row r="358" spans="1:7" s="613" customFormat="1">
      <c r="A358" s="462" t="str">
        <f>IF('QuoteTool EUROPE'!B396&lt;&gt;0,'QuoteTool EUROPE'!A396,"")</f>
        <v/>
      </c>
      <c r="B358" s="1040"/>
      <c r="C358" s="430"/>
      <c r="D358" s="448"/>
      <c r="E358" s="448" t="str">
        <f>IF(A358&lt;&gt;"",'QuoteTool EUROPE'!B396&amp;" instances","")</f>
        <v/>
      </c>
      <c r="F358" s="448" t="str">
        <f>IF(A358&lt;&gt;"",'QuoteTool EUROPE'!C396&amp;" heures","")</f>
        <v/>
      </c>
      <c r="G358" s="461" t="str">
        <f>IF(A358&lt;&gt;"",'QuoteTool EUROPE'!E396,"")</f>
        <v/>
      </c>
    </row>
    <row r="359" spans="1:7" s="613" customFormat="1">
      <c r="A359" s="462" t="str">
        <f>IF('QuoteTool EUROPE'!B397&lt;&gt;0,'QuoteTool EUROPE'!A397,"")</f>
        <v/>
      </c>
      <c r="B359" s="1040"/>
      <c r="C359" s="430"/>
      <c r="D359" s="448"/>
      <c r="E359" s="448" t="str">
        <f>IF(A359&lt;&gt;"",'QuoteTool EUROPE'!B397&amp;" instances","")</f>
        <v/>
      </c>
      <c r="F359" s="448" t="str">
        <f>IF(A359&lt;&gt;"",'QuoteTool EUROPE'!C397&amp;" heures","")</f>
        <v/>
      </c>
      <c r="G359" s="461" t="str">
        <f>IF(A359&lt;&gt;"",'QuoteTool EUROPE'!E397,"")</f>
        <v/>
      </c>
    </row>
    <row r="360" spans="1:7" s="613" customFormat="1">
      <c r="A360" s="462" t="str">
        <f>IF('QuoteTool EUROPE'!B398&lt;&gt;0,'QuoteTool EUROPE'!A398,"")</f>
        <v/>
      </c>
      <c r="B360" s="1040"/>
      <c r="C360" s="430"/>
      <c r="D360" s="448"/>
      <c r="E360" s="448" t="str">
        <f>IF(A360&lt;&gt;"",'QuoteTool EUROPE'!B398&amp;" instances","")</f>
        <v/>
      </c>
      <c r="F360" s="448" t="str">
        <f>IF(A360&lt;&gt;"",'QuoteTool EUROPE'!C398&amp;" heures","")</f>
        <v/>
      </c>
      <c r="G360" s="461" t="str">
        <f>IF(A360&lt;&gt;"",'QuoteTool EUROPE'!E398,"")</f>
        <v/>
      </c>
    </row>
    <row r="361" spans="1:7" s="613" customFormat="1">
      <c r="A361" s="462" t="str">
        <f>IF('QuoteTool EUROPE'!B402&lt;&gt;0,'QuoteTool EUROPE'!A402,"")</f>
        <v/>
      </c>
      <c r="B361" s="644"/>
      <c r="C361" s="430"/>
      <c r="D361" s="448"/>
      <c r="E361" s="454"/>
      <c r="F361" s="448" t="str">
        <f>IF(A361&lt;&gt;"",'QuoteTool EUROPE'!B402,"")</f>
        <v/>
      </c>
      <c r="G361" s="461" t="str">
        <f>IF(A361&lt;&gt;"",'QuoteTool EUROPE'!C402,"")</f>
        <v/>
      </c>
    </row>
    <row r="362" spans="1:7" s="613" customFormat="1">
      <c r="A362" s="462" t="str">
        <f>IF('QuoteTool EUROPE'!B403&lt;&gt;0,'QuoteTool EUROPE'!A403,"")</f>
        <v/>
      </c>
      <c r="B362" s="644"/>
      <c r="C362" s="430"/>
      <c r="D362" s="448"/>
      <c r="E362" s="454"/>
      <c r="F362" s="448" t="str">
        <f>IF(A362&lt;&gt;"",'QuoteTool EUROPE'!B403,"")</f>
        <v/>
      </c>
      <c r="G362" s="461" t="str">
        <f>IF(A362&lt;&gt;"",'QuoteTool EUROPE'!C403,"")</f>
        <v/>
      </c>
    </row>
    <row r="363" spans="1:7" s="613" customFormat="1">
      <c r="A363" s="925" t="str">
        <f>IF('QuoteTool EUROPE'!B413&lt;&gt;0,'QuoteTool EUROPE'!A413,"")</f>
        <v/>
      </c>
      <c r="B363" s="926"/>
      <c r="C363" s="927"/>
      <c r="D363" s="928"/>
      <c r="E363" s="929" t="str">
        <f>IF('QuoteTool EUROPE'!B413&lt;&gt;0,'QuoteTool EUROPE'!B413&amp;" instances","")</f>
        <v/>
      </c>
      <c r="F363" s="928"/>
      <c r="G363" s="932" t="str">
        <f>IF(A363&lt;&gt;"",'QuoteTool EUROPE'!C413,"")</f>
        <v/>
      </c>
    </row>
    <row r="364" spans="1:7" s="613" customFormat="1">
      <c r="A364" s="925" t="str">
        <f>IF('QuoteTool EUROPE'!B414&lt;&gt;0,'QuoteTool EUROPE'!A414,"")</f>
        <v/>
      </c>
      <c r="B364" s="926"/>
      <c r="C364" s="927"/>
      <c r="D364" s="928"/>
      <c r="E364" s="929" t="str">
        <f>IF('QuoteTool EUROPE'!B414&lt;&gt;0,'QuoteTool EUROPE'!B414&amp;" instances","")</f>
        <v/>
      </c>
      <c r="F364" s="928"/>
      <c r="G364" s="932" t="str">
        <f>IF(A364&lt;&gt;"",'QuoteTool EUROPE'!C414,"")</f>
        <v/>
      </c>
    </row>
    <row r="365" spans="1:7" s="613" customFormat="1">
      <c r="A365" s="925" t="str">
        <f>IF('QuoteTool EUROPE'!B415&lt;&gt;0,'QuoteTool EUROPE'!A415,"")</f>
        <v/>
      </c>
      <c r="B365" s="926"/>
      <c r="C365" s="927"/>
      <c r="D365" s="928"/>
      <c r="E365" s="929" t="str">
        <f>IF('QuoteTool EUROPE'!B415&lt;&gt;0,'QuoteTool EUROPE'!B415&amp;" instances","")</f>
        <v/>
      </c>
      <c r="F365" s="928"/>
      <c r="G365" s="932" t="str">
        <f>IF(A365&lt;&gt;"",'QuoteTool EUROPE'!C415,"")</f>
        <v/>
      </c>
    </row>
    <row r="366" spans="1:7" s="613" customFormat="1">
      <c r="A366" s="925" t="str">
        <f>IF('QuoteTool EUROPE'!B416&lt;&gt;0,'QuoteTool EUROPE'!A416,"")</f>
        <v/>
      </c>
      <c r="B366" s="926"/>
      <c r="C366" s="927"/>
      <c r="D366" s="928"/>
      <c r="E366" s="929" t="str">
        <f>IF('QuoteTool EUROPE'!B416&lt;&gt;0,'QuoteTool EUROPE'!B416&amp;" instances","")</f>
        <v/>
      </c>
      <c r="F366" s="928"/>
      <c r="G366" s="932" t="str">
        <f>IF(A366&lt;&gt;"",'QuoteTool EUROPE'!C416,"")</f>
        <v/>
      </c>
    </row>
    <row r="367" spans="1:7" s="613" customFormat="1">
      <c r="A367" s="925" t="str">
        <f>IF('QuoteTool EUROPE'!C131&lt;&gt;0,'QuoteTool EUROPE'!A128,"")</f>
        <v/>
      </c>
      <c r="B367" s="926"/>
      <c r="C367" s="927"/>
      <c r="D367" s="928"/>
      <c r="E367" s="929"/>
      <c r="F367" s="928"/>
      <c r="G367" s="932" t="str">
        <f>IF(A367&lt;&gt;"",'QuoteTool EUROPE'!C131,"")</f>
        <v/>
      </c>
    </row>
    <row r="368" spans="1:7" s="613" customFormat="1">
      <c r="A368" s="925" t="str">
        <f>IF('QuoteTool EUROPE'!D466&lt;&gt;0,'QuoteTool EUROPE'!A465,"")</f>
        <v/>
      </c>
      <c r="B368" s="926"/>
      <c r="C368" s="927"/>
      <c r="D368" s="928"/>
      <c r="E368" s="929"/>
      <c r="F368" s="928"/>
      <c r="G368" s="932" t="str">
        <f>IF(A368&lt;&gt;"",'QuoteTool EUROPE'!D466,"")</f>
        <v/>
      </c>
    </row>
    <row r="369" spans="1:7" s="1489" customFormat="1">
      <c r="A369" s="925" t="str">
        <f>IF('QuoteTool EUROPE'!B469&lt;&gt;0,'QuoteTool EUROPE'!A468,"")</f>
        <v/>
      </c>
      <c r="B369" s="1380"/>
      <c r="C369" s="927"/>
      <c r="D369" s="928"/>
      <c r="E369" s="929"/>
      <c r="F369" s="928"/>
      <c r="G369" s="932" t="str">
        <f>IF(A369&lt;&gt;"",'QuoteTool EUROPE'!B469,"")</f>
        <v/>
      </c>
    </row>
    <row r="370" spans="1:7" s="613" customFormat="1">
      <c r="A370" s="925" t="str">
        <f>IF('QuoteTool EUROPE'!C488&lt;&gt;0,'QuoteTool EUROPE'!A471,"")</f>
        <v/>
      </c>
      <c r="B370" s="926"/>
      <c r="C370" s="927"/>
      <c r="D370" s="928"/>
      <c r="E370" s="929"/>
      <c r="F370" s="928"/>
      <c r="G370" s="932" t="str">
        <f>IF(A370&lt;&gt;"",'QuoteTool EUROPE'!C488,"")</f>
        <v/>
      </c>
    </row>
    <row r="371" spans="1:7" s="1185" customFormat="1">
      <c r="A371" s="925" t="str">
        <f>IF('QuoteTool EUROPE'!D495&lt;&gt;0,'QuoteTool EUROPE'!A490,"")</f>
        <v/>
      </c>
      <c r="B371" s="1364"/>
      <c r="C371" s="927"/>
      <c r="D371" s="928"/>
      <c r="E371" s="929"/>
      <c r="F371" s="928"/>
      <c r="G371" s="932" t="str">
        <f>IF(A371&lt;&gt;"",'QuoteTool EUROPE'!D495,"")</f>
        <v/>
      </c>
    </row>
    <row r="372" spans="1:7" s="1185" customFormat="1">
      <c r="A372" s="925" t="str">
        <f>IF('QuoteTool EUROPE'!D502&lt;&gt;0,'QuoteTool EUROPE'!A497,"")</f>
        <v/>
      </c>
      <c r="B372" s="1364"/>
      <c r="C372" s="927"/>
      <c r="D372" s="928"/>
      <c r="E372" s="929"/>
      <c r="F372" s="928"/>
      <c r="G372" s="932" t="str">
        <f>IF(A372&lt;&gt;"",'QuoteTool EUROPE'!D502,"")</f>
        <v/>
      </c>
    </row>
    <row r="373" spans="1:7" s="1489" customFormat="1">
      <c r="A373" s="925" t="str">
        <f>IF('QuoteTool EUROPE'!G521&lt;&gt;0,'QuoteTool EUROPE'!$A$520,"")</f>
        <v/>
      </c>
      <c r="B373" s="1380"/>
      <c r="C373" s="927"/>
      <c r="D373" s="928"/>
      <c r="E373" s="929" t="str">
        <f>IF(A373&lt;&gt;"",'QuoteTool EUROPE'!C521,"")</f>
        <v/>
      </c>
      <c r="F373" s="928"/>
      <c r="G373" s="932" t="str">
        <f>IF(A373&lt;&gt;"",'QuoteTool EUROPE'!G521,"")</f>
        <v/>
      </c>
    </row>
    <row r="374" spans="1:7" s="1489" customFormat="1">
      <c r="A374" s="925" t="str">
        <f>IF('QuoteTool EUROPE'!G522&lt;&gt;0,'QuoteTool EUROPE'!$A$520,"")</f>
        <v/>
      </c>
      <c r="B374" s="1380"/>
      <c r="C374" s="927"/>
      <c r="D374" s="928"/>
      <c r="E374" s="929" t="str">
        <f>IF(A374&lt;&gt;"",'QuoteTool EUROPE'!C522,"")</f>
        <v/>
      </c>
      <c r="F374" s="928"/>
      <c r="G374" s="932" t="str">
        <f>IF(A374&lt;&gt;"",'QuoteTool EUROPE'!G522,"")</f>
        <v/>
      </c>
    </row>
    <row r="375" spans="1:7" s="1489" customFormat="1">
      <c r="A375" s="925" t="str">
        <f>IF('QuoteTool EUROPE'!G523&lt;&gt;0,'QuoteTool EUROPE'!$A$520,"")</f>
        <v/>
      </c>
      <c r="B375" s="1380"/>
      <c r="C375" s="927"/>
      <c r="D375" s="928"/>
      <c r="E375" s="929" t="str">
        <f>IF(A375&lt;&gt;"",'QuoteTool EUROPE'!C523,"")</f>
        <v/>
      </c>
      <c r="F375" s="928"/>
      <c r="G375" s="932" t="str">
        <f>IF(A375&lt;&gt;"",'QuoteTool EUROPE'!G523,"")</f>
        <v/>
      </c>
    </row>
    <row r="376" spans="1:7" s="1489" customFormat="1">
      <c r="A376" s="925" t="str">
        <f>IF('QuoteTool EUROPE'!G524&lt;&gt;0,'QuoteTool EUROPE'!$A$520,"")</f>
        <v/>
      </c>
      <c r="B376" s="1380"/>
      <c r="C376" s="927"/>
      <c r="D376" s="928"/>
      <c r="E376" s="929" t="str">
        <f>IF(A376&lt;&gt;"",'QuoteTool EUROPE'!C524,"")</f>
        <v/>
      </c>
      <c r="F376" s="928"/>
      <c r="G376" s="932" t="str">
        <f>IF(A376&lt;&gt;"",'QuoteTool EUROPE'!G524,"")</f>
        <v/>
      </c>
    </row>
    <row r="377" spans="1:7" s="1489" customFormat="1">
      <c r="A377" s="925" t="str">
        <f>IF('QuoteTool EUROPE'!C527&lt;&gt;0,'QuoteTool EUROPE'!A526,"")</f>
        <v/>
      </c>
      <c r="B377" s="1380"/>
      <c r="C377" s="927"/>
      <c r="D377" s="928"/>
      <c r="E377" s="929"/>
      <c r="F377" s="928"/>
      <c r="G377" s="932" t="str">
        <f>IF(A377&lt;&gt;"",'QuoteTool EUROPE'!C527,"")</f>
        <v/>
      </c>
    </row>
    <row r="378" spans="1:7" s="1489" customFormat="1">
      <c r="A378" s="925" t="str">
        <f>IF('QuoteTool EUROPE'!D533&lt;&gt;0,'QuoteTool EUROPE'!A529,"")</f>
        <v/>
      </c>
      <c r="B378" s="1380"/>
      <c r="C378" s="927"/>
      <c r="D378" s="928"/>
      <c r="E378" s="929"/>
      <c r="F378" s="928"/>
      <c r="G378" s="932" t="str">
        <f>IF(A378&lt;&gt;"",'QuoteTool EUROPE'!D533,"")</f>
        <v/>
      </c>
    </row>
    <row r="379" spans="1:7" s="613" customFormat="1">
      <c r="A379" s="267" t="s">
        <v>1177</v>
      </c>
      <c r="B379" s="264"/>
      <c r="C379" s="182"/>
      <c r="D379" s="210" t="s">
        <v>434</v>
      </c>
      <c r="E379" s="210" t="s">
        <v>178</v>
      </c>
      <c r="F379" s="264"/>
      <c r="G379" s="277" t="s">
        <v>181</v>
      </c>
    </row>
    <row r="380" spans="1:7" s="613" customFormat="1">
      <c r="A380" s="925" t="str">
        <f>IF('QuoteTool EUROPE'!B420&lt;&gt;0,'QuoteTool EUROPE'!A420,"")</f>
        <v/>
      </c>
      <c r="B380" s="926"/>
      <c r="C380" s="927"/>
      <c r="D380" s="934" t="str">
        <f>IF('QuoteTool EUROPE'!B420&lt;&gt;0,'QuoteTool EUROPE'!C420,"")</f>
        <v/>
      </c>
      <c r="E380" s="929" t="str">
        <f>IF('QuoteTool EUROPE'!B420&lt;&gt;0,'QuoteTool EUROPE'!B420&amp;" instances","")</f>
        <v/>
      </c>
      <c r="F380" s="928"/>
      <c r="G380" s="932" t="str">
        <f>IF(A380&lt;&gt;"",'QuoteTool EUROPE'!D420,"")</f>
        <v/>
      </c>
    </row>
    <row r="381" spans="1:7" s="613" customFormat="1">
      <c r="A381" s="925" t="str">
        <f>IF('QuoteTool EUROPE'!B421&lt;&gt;0,'QuoteTool EUROPE'!A421,"")</f>
        <v/>
      </c>
      <c r="B381" s="926"/>
      <c r="C381" s="927"/>
      <c r="D381" s="934" t="str">
        <f>IF('QuoteTool EUROPE'!B421&lt;&gt;0,'QuoteTool EUROPE'!C421,"")</f>
        <v/>
      </c>
      <c r="E381" s="929" t="str">
        <f>IF('QuoteTool EUROPE'!B421&lt;&gt;0,'QuoteTool EUROPE'!B421&amp;" instances","")</f>
        <v/>
      </c>
      <c r="F381" s="928"/>
      <c r="G381" s="932" t="str">
        <f>IF(A381&lt;&gt;"",'QuoteTool EUROPE'!D421,"")</f>
        <v/>
      </c>
    </row>
    <row r="382" spans="1:7" s="613" customFormat="1">
      <c r="A382" s="925" t="str">
        <f>IF('QuoteTool EUROPE'!B422&lt;&gt;0,'QuoteTool EUROPE'!A422,"")</f>
        <v/>
      </c>
      <c r="B382" s="926"/>
      <c r="C382" s="927"/>
      <c r="D382" s="934" t="str">
        <f>IF('QuoteTool EUROPE'!B422&lt;&gt;0,'QuoteTool EUROPE'!C422,"")</f>
        <v/>
      </c>
      <c r="E382" s="929" t="str">
        <f>IF('QuoteTool EUROPE'!B422&lt;&gt;0,'QuoteTool EUROPE'!B422&amp;" instances","")</f>
        <v/>
      </c>
      <c r="F382" s="928"/>
      <c r="G382" s="932" t="str">
        <f>IF(A382&lt;&gt;"",'QuoteTool EUROPE'!D422,"")</f>
        <v/>
      </c>
    </row>
    <row r="383" spans="1:7" s="613" customFormat="1">
      <c r="A383" s="925" t="str">
        <f>IF('QuoteTool EUROPE'!B423&lt;&gt;0,'QuoteTool EUROPE'!A423,"")</f>
        <v/>
      </c>
      <c r="B383" s="608"/>
      <c r="C383" s="430"/>
      <c r="D383" s="934" t="str">
        <f>IF('QuoteTool EUROPE'!B423&lt;&gt;0,'QuoteTool EUROPE'!C423,"")</f>
        <v/>
      </c>
      <c r="E383" s="929" t="str">
        <f>IF('QuoteTool EUROPE'!B423&lt;&gt;0,'QuoteTool EUROPE'!B423&amp;" instances","")</f>
        <v/>
      </c>
      <c r="F383" s="431"/>
      <c r="G383" s="932" t="str">
        <f>IF(A383&lt;&gt;"",'QuoteTool EUROPE'!D423,"")</f>
        <v/>
      </c>
    </row>
    <row r="384" spans="1:7" s="613" customFormat="1">
      <c r="A384" s="924"/>
      <c r="B384" s="923"/>
      <c r="C384" s="430"/>
      <c r="D384" s="448"/>
      <c r="E384" s="448"/>
      <c r="F384" s="431"/>
      <c r="G384" s="442"/>
    </row>
    <row r="385" spans="1:7">
      <c r="A385" s="185" t="s">
        <v>12</v>
      </c>
      <c r="B385" s="200"/>
      <c r="C385" s="183"/>
      <c r="D385" s="200"/>
      <c r="E385" s="183"/>
      <c r="F385" s="262"/>
      <c r="G385" s="263"/>
    </row>
    <row r="386" spans="1:7">
      <c r="A386" s="2156" t="s">
        <v>12</v>
      </c>
      <c r="B386" s="2157"/>
      <c r="C386" s="337"/>
      <c r="D386" s="210" t="s">
        <v>179</v>
      </c>
      <c r="E386" s="313" t="s">
        <v>180</v>
      </c>
      <c r="F386" s="264"/>
      <c r="G386" s="277" t="s">
        <v>181</v>
      </c>
    </row>
    <row r="387" spans="1:7">
      <c r="A387" s="2168" t="str">
        <f>IF('QuoteTool EUROPE'!C537=0,"",'QuoteTool EUROPE'!A537)</f>
        <v/>
      </c>
      <c r="B387" s="2168"/>
      <c r="C387" s="326"/>
      <c r="D387" s="490" t="str">
        <f>IF(A387&lt;&gt;"",'QuoteTool EUROPE'!B537,"")</f>
        <v/>
      </c>
      <c r="E387" s="491" t="str">
        <f>IF(A387&lt;&gt;"",'QuoteTool EUROPE'!F537,"")</f>
        <v/>
      </c>
      <c r="F387" s="432"/>
      <c r="G387" s="492" t="str">
        <f>IF(A387&lt;&gt;"",'QuoteTool EUROPE'!F7,"")</f>
        <v/>
      </c>
    </row>
    <row r="388" spans="1:7">
      <c r="A388" s="320"/>
      <c r="B388" s="320"/>
      <c r="C388" s="493"/>
      <c r="D388" s="494"/>
      <c r="E388" s="494"/>
      <c r="F388" s="495"/>
      <c r="G388" s="496"/>
    </row>
    <row r="389" spans="1:7">
      <c r="A389" s="316"/>
      <c r="B389" s="316"/>
      <c r="C389" s="254"/>
      <c r="D389" s="255"/>
      <c r="E389" s="255"/>
      <c r="F389" s="261"/>
      <c r="G389" s="206"/>
    </row>
    <row r="390" spans="1:7">
      <c r="B390" s="84"/>
      <c r="C390" s="84"/>
      <c r="D390" s="162"/>
      <c r="E390" s="270" t="s">
        <v>195</v>
      </c>
      <c r="F390" s="271"/>
      <c r="G390" s="484">
        <f>SUM(G141:G388)</f>
        <v>0</v>
      </c>
    </row>
    <row r="391" spans="1:7">
      <c r="A391" s="196" t="s">
        <v>196</v>
      </c>
      <c r="B391" s="85"/>
      <c r="C391" s="85"/>
      <c r="D391" s="162"/>
      <c r="E391" s="272" t="s">
        <v>193</v>
      </c>
      <c r="F391" s="273"/>
      <c r="G391" s="485">
        <f>G390*F394</f>
        <v>0</v>
      </c>
    </row>
    <row r="392" spans="1:7">
      <c r="A392" s="157"/>
      <c r="B392" s="84"/>
      <c r="C392" s="84"/>
      <c r="D392" s="162"/>
      <c r="E392" s="274" t="s">
        <v>194</v>
      </c>
      <c r="F392" s="275"/>
      <c r="G392" s="486">
        <f>SUM(G390:G391)</f>
        <v>0</v>
      </c>
    </row>
    <row r="393" spans="1:7">
      <c r="B393" s="79"/>
      <c r="C393" s="79"/>
      <c r="D393" s="79"/>
      <c r="E393" s="2158" t="s">
        <v>390</v>
      </c>
      <c r="F393" s="2159"/>
      <c r="G393" s="488">
        <f>G392*12</f>
        <v>0</v>
      </c>
    </row>
    <row r="394" spans="1:7">
      <c r="B394" s="79"/>
      <c r="C394" s="79"/>
      <c r="D394" s="79"/>
      <c r="E394" s="333" t="s">
        <v>388</v>
      </c>
      <c r="F394" s="170">
        <v>0.2</v>
      </c>
      <c r="G394" s="79"/>
    </row>
    <row r="395" spans="1:7">
      <c r="B395" s="79"/>
      <c r="C395" s="79"/>
      <c r="D395" s="79"/>
      <c r="E395" s="326"/>
      <c r="F395" s="327" t="str">
        <f>IF('QuoteTool EUROPE'!B5&lt;&gt;0%,"Discount "&amp;'QuoteTool EUROPE'!B5*100&amp;"% =","")</f>
        <v/>
      </c>
      <c r="G395" s="499" t="str">
        <f>IF('QuoteTool EUROPE'!B5&lt;&gt;0%,ROUND(SUM($D$30:$D$42)-SUM(G30:G42),2)&amp;" €","")</f>
        <v/>
      </c>
    </row>
    <row r="396" spans="1:7">
      <c r="G396" s="30"/>
    </row>
    <row r="397" spans="1:7">
      <c r="G397" s="30"/>
    </row>
  </sheetData>
  <sheetProtection algorithmName="SHA-512" hashValue="H95suRnO6ksPKIIPAUYYStw26ZqBXmZdZYdKN9Av3bacUO282Bq5iwGZh0kDWejx3T+wzO8X0hPDHvi5I1xp1Q==" saltValue="vALox+qjIwc9vQe+4kGTwA==" spinCount="100000" sheet="1" selectLockedCells="1"/>
  <dataConsolidate/>
  <mergeCells count="14">
    <mergeCell ref="E393:F393"/>
    <mergeCell ref="F4:G4"/>
    <mergeCell ref="F5:G5"/>
    <mergeCell ref="F6:G6"/>
    <mergeCell ref="F7:G7"/>
    <mergeCell ref="E133:F133"/>
    <mergeCell ref="E134:F134"/>
    <mergeCell ref="E132:F132"/>
    <mergeCell ref="A135:B135"/>
    <mergeCell ref="A386:B386"/>
    <mergeCell ref="A387:B387"/>
    <mergeCell ref="A15:G15"/>
    <mergeCell ref="A121:B121"/>
    <mergeCell ref="A50:C50"/>
  </mergeCells>
  <pageMargins left="0.59055118110236227" right="0.59055118110236227" top="0.74803149606299213" bottom="0.74803149606299213" header="0.31496062992125984" footer="0.31496062992125984"/>
  <pageSetup paperSize="9" scale="88" orientation="portrait" r:id="rId1"/>
  <headerFooter>
    <oddHeader>&amp;C&amp;"Arial,Normal"&amp;9Orange Business Services</oddHeader>
    <oddFooter>&amp;C&amp;"Arial,Normal"&amp;8 892 rue Yves Kermen - 92000 Boulogne-Billancourt - FRANCE  +33 (0)1 84 01 04 00
Orange Cloud for Business - S.A.S.U. au capital de 112.919.820,06 € - SIRET 50161528000036 - APE 6209Z - TVA FR74 501615280</oddFooter>
  </headerFooter>
  <rowBreaks count="4" manualBreakCount="4">
    <brk id="56" max="16383" man="1"/>
    <brk id="136" max="16383" man="1"/>
    <brk id="203" max="16383" man="1"/>
    <brk id="288" max="16383" man="1"/>
  </rowBreaks>
  <customProperties>
    <customPr name="Guid" r:id="rId2"/>
  </customPropertie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'QuoteTool EUROPE'!$Q$6:$Q$10</xm:f>
          </x14:formula1>
          <xm:sqref>A50:C50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M427"/>
  <sheetViews>
    <sheetView zoomScale="80" zoomScaleNormal="80" workbookViewId="0">
      <pane ySplit="3" topLeftCell="A406" activePane="bottomLeft" state="frozen"/>
      <selection activeCell="I1" sqref="A1:I1048576"/>
      <selection pane="bottomLeft" sqref="A1:M1048576"/>
    </sheetView>
  </sheetViews>
  <sheetFormatPr baseColWidth="10" defaultRowHeight="14.4"/>
  <cols>
    <col min="1" max="1" width="14.5546875" hidden="1" customWidth="1"/>
    <col min="2" max="2" width="12.21875" hidden="1" customWidth="1"/>
    <col min="3" max="3" width="126.33203125" hidden="1" customWidth="1"/>
    <col min="4" max="13" width="11.44140625" hidden="1" customWidth="1"/>
    <col min="14" max="14" width="11.44140625" customWidth="1"/>
    <col min="15" max="29" width="10.88671875" customWidth="1"/>
  </cols>
  <sheetData>
    <row r="1" spans="1:11">
      <c r="A1" s="716" t="s">
        <v>748</v>
      </c>
      <c r="B1" s="729" t="s">
        <v>750</v>
      </c>
      <c r="C1" s="717" t="s">
        <v>749</v>
      </c>
      <c r="D1" s="1185"/>
      <c r="E1" s="1185"/>
      <c r="F1" s="1185"/>
      <c r="G1" s="1185"/>
      <c r="H1" s="1185"/>
      <c r="I1" s="1185"/>
      <c r="J1" s="1185"/>
      <c r="K1" s="1185"/>
    </row>
    <row r="2" spans="1:11">
      <c r="A2" s="1185"/>
      <c r="B2" s="1185"/>
      <c r="C2" s="1185"/>
      <c r="D2" s="1185"/>
      <c r="E2" s="1185"/>
      <c r="F2" s="1185"/>
      <c r="G2" s="1185"/>
      <c r="H2" s="1185"/>
      <c r="I2" s="1185"/>
      <c r="J2" s="1185"/>
      <c r="K2" s="1185"/>
    </row>
    <row r="3" spans="1:11">
      <c r="A3" s="775" t="s">
        <v>146</v>
      </c>
      <c r="B3" s="775" t="s">
        <v>156</v>
      </c>
      <c r="C3" s="775" t="s">
        <v>155</v>
      </c>
      <c r="D3" s="775" t="s">
        <v>751</v>
      </c>
      <c r="E3" s="775" t="s">
        <v>752</v>
      </c>
      <c r="F3" s="775" t="s">
        <v>753</v>
      </c>
      <c r="G3" s="775" t="s">
        <v>754</v>
      </c>
      <c r="H3" s="775" t="s">
        <v>755</v>
      </c>
      <c r="I3" s="775" t="s">
        <v>756</v>
      </c>
      <c r="J3" s="775" t="s">
        <v>689</v>
      </c>
      <c r="K3" s="775" t="s">
        <v>757</v>
      </c>
    </row>
    <row r="4" spans="1:11">
      <c r="A4" s="1347"/>
      <c r="B4" s="1348"/>
      <c r="C4" s="1348"/>
      <c r="D4" s="1348"/>
      <c r="E4" s="1348"/>
      <c r="F4" s="1348"/>
      <c r="G4" s="1348"/>
      <c r="H4" s="1348"/>
      <c r="I4" s="1348"/>
      <c r="J4" s="1348"/>
      <c r="K4" s="1349"/>
    </row>
    <row r="5" spans="1:11">
      <c r="A5" s="2174" t="s">
        <v>760</v>
      </c>
      <c r="B5" s="2175"/>
      <c r="C5" s="2175"/>
      <c r="D5" s="2175"/>
      <c r="E5" s="2175"/>
      <c r="F5" s="2175"/>
      <c r="G5" s="2175"/>
      <c r="H5" s="2175"/>
      <c r="I5" s="2175"/>
      <c r="J5" s="2175"/>
      <c r="K5" s="2176"/>
    </row>
    <row r="6" spans="1:11">
      <c r="A6" s="776"/>
      <c r="B6" s="777">
        <v>43628</v>
      </c>
      <c r="C6" s="534" t="s">
        <v>761</v>
      </c>
      <c r="D6" s="534" t="s">
        <v>762</v>
      </c>
      <c r="E6" s="534" t="s">
        <v>763</v>
      </c>
      <c r="F6" s="534" t="s">
        <v>764</v>
      </c>
      <c r="G6" s="534" t="s">
        <v>764</v>
      </c>
      <c r="H6" s="534" t="s">
        <v>764</v>
      </c>
      <c r="I6" s="534" t="s">
        <v>764</v>
      </c>
      <c r="J6" s="534"/>
      <c r="K6" s="534" t="s">
        <v>690</v>
      </c>
    </row>
    <row r="7" spans="1:11">
      <c r="A7" s="686" t="s">
        <v>775</v>
      </c>
      <c r="B7" s="534"/>
      <c r="C7" s="534"/>
      <c r="D7" s="534"/>
      <c r="E7" s="534"/>
      <c r="F7" s="534"/>
      <c r="G7" s="534"/>
      <c r="H7" s="534"/>
      <c r="I7" s="534"/>
      <c r="J7" s="534"/>
      <c r="K7" s="534"/>
    </row>
    <row r="8" spans="1:11">
      <c r="A8" s="739"/>
      <c r="B8" s="777">
        <v>43633</v>
      </c>
      <c r="C8" s="534" t="s">
        <v>769</v>
      </c>
      <c r="D8" s="534" t="s">
        <v>766</v>
      </c>
      <c r="E8" s="534"/>
      <c r="F8" s="534" t="s">
        <v>764</v>
      </c>
      <c r="G8" s="534" t="s">
        <v>764</v>
      </c>
      <c r="H8" s="534"/>
      <c r="I8" s="534"/>
      <c r="J8" s="534"/>
      <c r="K8" s="534" t="s">
        <v>773</v>
      </c>
    </row>
    <row r="9" spans="1:11">
      <c r="A9" s="739"/>
      <c r="B9" s="777">
        <v>43633</v>
      </c>
      <c r="C9" s="534" t="s">
        <v>770</v>
      </c>
      <c r="D9" s="534" t="s">
        <v>766</v>
      </c>
      <c r="E9" s="534"/>
      <c r="F9" s="534" t="s">
        <v>764</v>
      </c>
      <c r="G9" s="534" t="s">
        <v>764</v>
      </c>
      <c r="H9" s="1185"/>
      <c r="I9" s="534"/>
      <c r="J9" s="534"/>
      <c r="K9" s="534" t="s">
        <v>773</v>
      </c>
    </row>
    <row r="10" spans="1:11">
      <c r="A10" s="739"/>
      <c r="B10" s="777">
        <v>43633</v>
      </c>
      <c r="C10" s="534" t="s">
        <v>784</v>
      </c>
      <c r="D10" s="534" t="s">
        <v>766</v>
      </c>
      <c r="E10" s="534"/>
      <c r="F10" s="534" t="s">
        <v>764</v>
      </c>
      <c r="G10" s="534" t="s">
        <v>764</v>
      </c>
      <c r="H10" s="780" t="s">
        <v>788</v>
      </c>
      <c r="I10" s="780" t="s">
        <v>788</v>
      </c>
      <c r="J10" s="534"/>
      <c r="K10" s="534" t="s">
        <v>773</v>
      </c>
    </row>
    <row r="11" spans="1:11">
      <c r="A11" s="739"/>
      <c r="B11" s="777">
        <v>43633</v>
      </c>
      <c r="C11" s="534" t="s">
        <v>785</v>
      </c>
      <c r="D11" s="534" t="s">
        <v>766</v>
      </c>
      <c r="E11" s="534"/>
      <c r="F11" s="534" t="s">
        <v>764</v>
      </c>
      <c r="G11" s="534" t="s">
        <v>764</v>
      </c>
      <c r="H11" s="780" t="s">
        <v>788</v>
      </c>
      <c r="I11" s="780" t="s">
        <v>788</v>
      </c>
      <c r="J11" s="534"/>
      <c r="K11" s="534" t="s">
        <v>773</v>
      </c>
    </row>
    <row r="12" spans="1:11">
      <c r="A12" s="739"/>
      <c r="B12" s="777">
        <v>43633</v>
      </c>
      <c r="C12" s="534" t="s">
        <v>771</v>
      </c>
      <c r="D12" s="534" t="s">
        <v>766</v>
      </c>
      <c r="E12" s="534"/>
      <c r="F12" s="534" t="s">
        <v>764</v>
      </c>
      <c r="G12" s="534" t="s">
        <v>764</v>
      </c>
      <c r="H12" s="780" t="s">
        <v>788</v>
      </c>
      <c r="I12" s="780" t="s">
        <v>788</v>
      </c>
      <c r="J12" s="534"/>
      <c r="K12" s="534" t="s">
        <v>773</v>
      </c>
    </row>
    <row r="13" spans="1:11">
      <c r="A13" s="739"/>
      <c r="B13" s="777">
        <v>43633</v>
      </c>
      <c r="C13" s="534" t="s">
        <v>778</v>
      </c>
      <c r="D13" s="534" t="s">
        <v>768</v>
      </c>
      <c r="E13" s="534"/>
      <c r="F13" s="534" t="s">
        <v>764</v>
      </c>
      <c r="G13" s="534" t="s">
        <v>764</v>
      </c>
      <c r="H13" s="534"/>
      <c r="I13" s="1185"/>
      <c r="J13" s="534"/>
      <c r="K13" s="534" t="s">
        <v>773</v>
      </c>
    </row>
    <row r="14" spans="1:11">
      <c r="A14" s="739"/>
      <c r="B14" s="777">
        <v>43633</v>
      </c>
      <c r="C14" s="534" t="s">
        <v>779</v>
      </c>
      <c r="D14" s="534" t="s">
        <v>768</v>
      </c>
      <c r="E14" s="534"/>
      <c r="F14" s="534" t="s">
        <v>764</v>
      </c>
      <c r="G14" s="534" t="s">
        <v>764</v>
      </c>
      <c r="H14" s="534"/>
      <c r="I14" s="534"/>
      <c r="J14" s="534"/>
      <c r="K14" s="534" t="s">
        <v>773</v>
      </c>
    </row>
    <row r="15" spans="1:11">
      <c r="A15" s="739"/>
      <c r="B15" s="777">
        <v>43633</v>
      </c>
      <c r="C15" s="534" t="s">
        <v>778</v>
      </c>
      <c r="D15" s="534" t="s">
        <v>765</v>
      </c>
      <c r="E15" s="534"/>
      <c r="F15" s="534" t="s">
        <v>764</v>
      </c>
      <c r="G15" s="534" t="s">
        <v>764</v>
      </c>
      <c r="H15" s="534"/>
      <c r="I15" s="534"/>
      <c r="J15" s="534"/>
      <c r="K15" s="534" t="s">
        <v>773</v>
      </c>
    </row>
    <row r="16" spans="1:11">
      <c r="A16" s="739"/>
      <c r="B16" s="777">
        <v>43633</v>
      </c>
      <c r="C16" s="534" t="s">
        <v>779</v>
      </c>
      <c r="D16" s="534" t="s">
        <v>765</v>
      </c>
      <c r="E16" s="534"/>
      <c r="F16" s="534" t="s">
        <v>764</v>
      </c>
      <c r="G16" s="534" t="s">
        <v>764</v>
      </c>
      <c r="H16" s="534"/>
      <c r="I16" s="534"/>
      <c r="J16" s="534"/>
      <c r="K16" s="534" t="s">
        <v>773</v>
      </c>
    </row>
    <row r="17" spans="1:11">
      <c r="A17" s="778"/>
      <c r="B17" s="777">
        <v>43633</v>
      </c>
      <c r="C17" s="534" t="s">
        <v>782</v>
      </c>
      <c r="D17" s="534" t="s">
        <v>765</v>
      </c>
      <c r="E17" s="534"/>
      <c r="F17" s="534" t="s">
        <v>764</v>
      </c>
      <c r="G17" s="534" t="s">
        <v>764</v>
      </c>
      <c r="H17" s="534"/>
      <c r="I17" s="534"/>
      <c r="J17" s="534"/>
      <c r="K17" s="534" t="s">
        <v>773</v>
      </c>
    </row>
    <row r="18" spans="1:11">
      <c r="A18" s="739"/>
      <c r="B18" s="777">
        <v>43633</v>
      </c>
      <c r="C18" s="534" t="s">
        <v>783</v>
      </c>
      <c r="D18" s="534" t="s">
        <v>767</v>
      </c>
      <c r="E18" s="534"/>
      <c r="F18" s="534" t="s">
        <v>764</v>
      </c>
      <c r="G18" s="534" t="s">
        <v>764</v>
      </c>
      <c r="H18" s="534"/>
      <c r="I18" s="534"/>
      <c r="J18" s="534"/>
      <c r="K18" s="534" t="s">
        <v>773</v>
      </c>
    </row>
    <row r="19" spans="1:11">
      <c r="A19" s="779"/>
      <c r="B19" s="777">
        <v>43633</v>
      </c>
      <c r="C19" s="534" t="s">
        <v>772</v>
      </c>
      <c r="D19" s="534" t="s">
        <v>767</v>
      </c>
      <c r="E19" s="534"/>
      <c r="F19" s="534" t="s">
        <v>764</v>
      </c>
      <c r="G19" s="534" t="s">
        <v>764</v>
      </c>
      <c r="H19" s="780" t="s">
        <v>790</v>
      </c>
      <c r="I19" s="780" t="s">
        <v>790</v>
      </c>
      <c r="J19" s="534"/>
      <c r="K19" s="534" t="s">
        <v>773</v>
      </c>
    </row>
    <row r="20" spans="1:11">
      <c r="A20" s="779"/>
      <c r="B20" s="777">
        <v>43633</v>
      </c>
      <c r="C20" s="534" t="s">
        <v>786</v>
      </c>
      <c r="D20" s="534" t="s">
        <v>767</v>
      </c>
      <c r="E20" s="534"/>
      <c r="F20" s="534" t="s">
        <v>764</v>
      </c>
      <c r="G20" s="534" t="s">
        <v>764</v>
      </c>
      <c r="H20" s="534" t="s">
        <v>764</v>
      </c>
      <c r="I20" s="534" t="s">
        <v>764</v>
      </c>
      <c r="J20" s="534"/>
      <c r="K20" s="534" t="s">
        <v>773</v>
      </c>
    </row>
    <row r="21" spans="1:11">
      <c r="A21" s="779"/>
      <c r="B21" s="777">
        <v>43633</v>
      </c>
      <c r="C21" s="534" t="s">
        <v>787</v>
      </c>
      <c r="D21" s="534" t="s">
        <v>767</v>
      </c>
      <c r="E21" s="534"/>
      <c r="F21" s="534" t="s">
        <v>764</v>
      </c>
      <c r="G21" s="534" t="s">
        <v>764</v>
      </c>
      <c r="H21" s="534" t="s">
        <v>764</v>
      </c>
      <c r="I21" s="534" t="s">
        <v>764</v>
      </c>
      <c r="J21" s="534"/>
      <c r="K21" s="534" t="s">
        <v>773</v>
      </c>
    </row>
    <row r="22" spans="1:11">
      <c r="A22" s="1343"/>
      <c r="B22" s="777">
        <v>43634</v>
      </c>
      <c r="C22" s="593" t="s">
        <v>774</v>
      </c>
      <c r="D22" s="534" t="s">
        <v>768</v>
      </c>
      <c r="E22" s="534"/>
      <c r="F22" s="534" t="s">
        <v>764</v>
      </c>
      <c r="G22" s="534" t="s">
        <v>764</v>
      </c>
      <c r="H22" s="534" t="s">
        <v>764</v>
      </c>
      <c r="I22" s="534" t="s">
        <v>764</v>
      </c>
      <c r="J22" s="534"/>
      <c r="K22" s="534" t="s">
        <v>773</v>
      </c>
    </row>
    <row r="23" spans="1:11">
      <c r="A23" s="1343"/>
      <c r="B23" s="777">
        <v>43634</v>
      </c>
      <c r="C23" s="534" t="s">
        <v>789</v>
      </c>
      <c r="D23" s="534" t="s">
        <v>767</v>
      </c>
      <c r="E23" s="534"/>
      <c r="F23" s="534" t="s">
        <v>764</v>
      </c>
      <c r="G23" s="534" t="s">
        <v>764</v>
      </c>
      <c r="H23" s="534" t="s">
        <v>764</v>
      </c>
      <c r="I23" s="534" t="s">
        <v>764</v>
      </c>
      <c r="J23" s="534"/>
      <c r="K23" s="534" t="s">
        <v>773</v>
      </c>
    </row>
    <row r="24" spans="1:11">
      <c r="A24" s="779"/>
      <c r="B24" s="777">
        <v>43635</v>
      </c>
      <c r="C24" s="534" t="s">
        <v>1031</v>
      </c>
      <c r="D24" s="534" t="s">
        <v>765</v>
      </c>
      <c r="E24" s="534"/>
      <c r="F24" s="534" t="s">
        <v>764</v>
      </c>
      <c r="G24" s="534" t="s">
        <v>764</v>
      </c>
      <c r="H24" s="534"/>
      <c r="I24" s="534"/>
      <c r="J24" s="534"/>
      <c r="K24" s="534" t="s">
        <v>773</v>
      </c>
    </row>
    <row r="25" spans="1:11">
      <c r="A25" s="2174" t="s">
        <v>794</v>
      </c>
      <c r="B25" s="2175"/>
      <c r="C25" s="2175"/>
      <c r="D25" s="2175"/>
      <c r="E25" s="2175"/>
      <c r="F25" s="2175"/>
      <c r="G25" s="2175"/>
      <c r="H25" s="2175"/>
      <c r="I25" s="2175"/>
      <c r="J25" s="2175"/>
      <c r="K25" s="2176"/>
    </row>
    <row r="26" spans="1:11">
      <c r="A26" s="1343"/>
      <c r="B26" s="777">
        <v>43643</v>
      </c>
      <c r="C26" s="534" t="s">
        <v>793</v>
      </c>
      <c r="D26" s="534" t="s">
        <v>765</v>
      </c>
      <c r="E26" s="534" t="s">
        <v>758</v>
      </c>
      <c r="F26" s="534" t="s">
        <v>764</v>
      </c>
      <c r="G26" s="534" t="s">
        <v>764</v>
      </c>
      <c r="H26" s="534" t="s">
        <v>764</v>
      </c>
      <c r="I26" s="534" t="s">
        <v>764</v>
      </c>
      <c r="J26" s="534"/>
      <c r="K26" s="534" t="s">
        <v>773</v>
      </c>
    </row>
    <row r="27" spans="1:11">
      <c r="A27" s="779"/>
      <c r="B27" s="777">
        <v>43643</v>
      </c>
      <c r="C27" s="534" t="s">
        <v>818</v>
      </c>
      <c r="D27" s="534" t="s">
        <v>765</v>
      </c>
      <c r="E27" s="534"/>
      <c r="F27" s="534" t="s">
        <v>764</v>
      </c>
      <c r="G27" s="534" t="s">
        <v>764</v>
      </c>
      <c r="H27" s="534" t="s">
        <v>764</v>
      </c>
      <c r="I27" s="534" t="s">
        <v>764</v>
      </c>
      <c r="J27" s="534"/>
      <c r="K27" s="534" t="s">
        <v>773</v>
      </c>
    </row>
    <row r="28" spans="1:11">
      <c r="A28" s="779"/>
      <c r="B28" s="777">
        <v>43651</v>
      </c>
      <c r="C28" s="534" t="s">
        <v>795</v>
      </c>
      <c r="D28" s="534" t="s">
        <v>765</v>
      </c>
      <c r="E28" s="534" t="s">
        <v>758</v>
      </c>
      <c r="F28" s="534" t="s">
        <v>764</v>
      </c>
      <c r="G28" s="534" t="s">
        <v>764</v>
      </c>
      <c r="H28" s="534" t="s">
        <v>764</v>
      </c>
      <c r="I28" s="534" t="s">
        <v>764</v>
      </c>
      <c r="J28" s="534"/>
      <c r="K28" s="534" t="s">
        <v>773</v>
      </c>
    </row>
    <row r="29" spans="1:11">
      <c r="A29" s="779"/>
      <c r="B29" s="781">
        <v>43656</v>
      </c>
      <c r="C29" s="683" t="s">
        <v>797</v>
      </c>
      <c r="D29" s="782" t="s">
        <v>765</v>
      </c>
      <c r="E29" s="782"/>
      <c r="F29" s="782" t="s">
        <v>764</v>
      </c>
      <c r="G29" s="782" t="s">
        <v>764</v>
      </c>
      <c r="H29" s="782" t="s">
        <v>764</v>
      </c>
      <c r="I29" s="782" t="s">
        <v>764</v>
      </c>
      <c r="J29" s="782"/>
      <c r="K29" s="782" t="s">
        <v>773</v>
      </c>
    </row>
    <row r="30" spans="1:11">
      <c r="A30" s="779"/>
      <c r="B30" s="777">
        <v>43656</v>
      </c>
      <c r="C30" s="534" t="s">
        <v>798</v>
      </c>
      <c r="D30" s="534" t="s">
        <v>768</v>
      </c>
      <c r="E30" s="534"/>
      <c r="F30" s="534" t="s">
        <v>764</v>
      </c>
      <c r="G30" s="534" t="s">
        <v>764</v>
      </c>
      <c r="H30" s="534" t="s">
        <v>764</v>
      </c>
      <c r="I30" s="534" t="s">
        <v>764</v>
      </c>
      <c r="J30" s="534"/>
      <c r="K30" s="782" t="s">
        <v>773</v>
      </c>
    </row>
    <row r="31" spans="1:11">
      <c r="A31" s="779"/>
      <c r="B31" s="777">
        <v>43656</v>
      </c>
      <c r="C31" s="534" t="s">
        <v>799</v>
      </c>
      <c r="D31" s="534" t="s">
        <v>768</v>
      </c>
      <c r="E31" s="534"/>
      <c r="F31" s="534" t="s">
        <v>764</v>
      </c>
      <c r="G31" s="534" t="s">
        <v>764</v>
      </c>
      <c r="H31" s="534" t="s">
        <v>764</v>
      </c>
      <c r="I31" s="534" t="s">
        <v>764</v>
      </c>
      <c r="J31" s="534"/>
      <c r="K31" s="782" t="s">
        <v>773</v>
      </c>
    </row>
    <row r="32" spans="1:11">
      <c r="A32" s="779"/>
      <c r="B32" s="777">
        <v>43656</v>
      </c>
      <c r="C32" s="534" t="s">
        <v>798</v>
      </c>
      <c r="D32" s="534" t="s">
        <v>765</v>
      </c>
      <c r="E32" s="534"/>
      <c r="F32" s="534" t="s">
        <v>764</v>
      </c>
      <c r="G32" s="534" t="s">
        <v>764</v>
      </c>
      <c r="H32" s="534" t="s">
        <v>764</v>
      </c>
      <c r="I32" s="534" t="s">
        <v>764</v>
      </c>
      <c r="J32" s="534"/>
      <c r="K32" s="782" t="s">
        <v>773</v>
      </c>
    </row>
    <row r="33" spans="1:11">
      <c r="A33" s="779"/>
      <c r="B33" s="777">
        <v>43656</v>
      </c>
      <c r="C33" s="534" t="s">
        <v>799</v>
      </c>
      <c r="D33" s="534" t="s">
        <v>765</v>
      </c>
      <c r="E33" s="534"/>
      <c r="F33" s="534" t="s">
        <v>764</v>
      </c>
      <c r="G33" s="534" t="s">
        <v>764</v>
      </c>
      <c r="H33" s="534" t="s">
        <v>764</v>
      </c>
      <c r="I33" s="534" t="s">
        <v>764</v>
      </c>
      <c r="J33" s="534"/>
      <c r="K33" s="782" t="s">
        <v>773</v>
      </c>
    </row>
    <row r="34" spans="1:11">
      <c r="A34" s="779"/>
      <c r="B34" s="777">
        <v>43656</v>
      </c>
      <c r="C34" s="534" t="s">
        <v>798</v>
      </c>
      <c r="D34" s="534" t="s">
        <v>766</v>
      </c>
      <c r="E34" s="534"/>
      <c r="F34" s="534" t="s">
        <v>764</v>
      </c>
      <c r="G34" s="534" t="s">
        <v>764</v>
      </c>
      <c r="H34" s="534" t="s">
        <v>764</v>
      </c>
      <c r="I34" s="534" t="s">
        <v>764</v>
      </c>
      <c r="J34" s="534"/>
      <c r="K34" s="782" t="s">
        <v>773</v>
      </c>
    </row>
    <row r="35" spans="1:11">
      <c r="A35" s="779"/>
      <c r="B35" s="777">
        <v>43656</v>
      </c>
      <c r="C35" s="534" t="s">
        <v>799</v>
      </c>
      <c r="D35" s="534" t="s">
        <v>766</v>
      </c>
      <c r="E35" s="534"/>
      <c r="F35" s="534" t="s">
        <v>764</v>
      </c>
      <c r="G35" s="534" t="s">
        <v>764</v>
      </c>
      <c r="H35" s="534" t="s">
        <v>764</v>
      </c>
      <c r="I35" s="534" t="s">
        <v>764</v>
      </c>
      <c r="J35" s="534"/>
      <c r="K35" s="782" t="s">
        <v>773</v>
      </c>
    </row>
    <row r="36" spans="1:11">
      <c r="A36" s="779"/>
      <c r="B36" s="795">
        <v>43657</v>
      </c>
      <c r="C36" s="796" t="s">
        <v>852</v>
      </c>
      <c r="D36" s="797" t="s">
        <v>808</v>
      </c>
      <c r="E36" s="797"/>
      <c r="F36" s="797" t="s">
        <v>764</v>
      </c>
      <c r="G36" s="797" t="s">
        <v>764</v>
      </c>
      <c r="H36" s="797" t="s">
        <v>407</v>
      </c>
      <c r="I36" s="797" t="s">
        <v>407</v>
      </c>
      <c r="J36" s="797"/>
      <c r="K36" s="797" t="s">
        <v>773</v>
      </c>
    </row>
    <row r="37" spans="1:11">
      <c r="A37" s="779"/>
      <c r="B37" s="777">
        <v>43657</v>
      </c>
      <c r="C37" s="534" t="s">
        <v>809</v>
      </c>
      <c r="D37" s="534" t="s">
        <v>808</v>
      </c>
      <c r="E37" s="534"/>
      <c r="F37" s="534" t="s">
        <v>764</v>
      </c>
      <c r="G37" s="534" t="s">
        <v>764</v>
      </c>
      <c r="H37" s="534" t="s">
        <v>764</v>
      </c>
      <c r="I37" s="534" t="s">
        <v>764</v>
      </c>
      <c r="J37" s="534"/>
      <c r="K37" s="534" t="s">
        <v>773</v>
      </c>
    </row>
    <row r="38" spans="1:11">
      <c r="A38" s="1343"/>
      <c r="B38" s="777">
        <v>43658</v>
      </c>
      <c r="C38" s="534" t="s">
        <v>812</v>
      </c>
      <c r="D38" s="534" t="s">
        <v>768</v>
      </c>
      <c r="E38" s="534"/>
      <c r="F38" s="534" t="s">
        <v>764</v>
      </c>
      <c r="G38" s="534" t="s">
        <v>764</v>
      </c>
      <c r="H38" s="534" t="s">
        <v>764</v>
      </c>
      <c r="I38" s="534" t="s">
        <v>764</v>
      </c>
      <c r="J38" s="534"/>
      <c r="K38" s="534" t="s">
        <v>773</v>
      </c>
    </row>
    <row r="39" spans="1:11">
      <c r="A39" s="1343"/>
      <c r="B39" s="777">
        <v>43658</v>
      </c>
      <c r="C39" s="534" t="s">
        <v>812</v>
      </c>
      <c r="D39" s="534" t="s">
        <v>765</v>
      </c>
      <c r="E39" s="534"/>
      <c r="F39" s="534" t="s">
        <v>764</v>
      </c>
      <c r="G39" s="534" t="s">
        <v>764</v>
      </c>
      <c r="H39" s="534" t="s">
        <v>764</v>
      </c>
      <c r="I39" s="534" t="s">
        <v>764</v>
      </c>
      <c r="J39" s="534"/>
      <c r="K39" s="534" t="s">
        <v>773</v>
      </c>
    </row>
    <row r="40" spans="1:11">
      <c r="A40" s="1343"/>
      <c r="B40" s="777">
        <v>43658</v>
      </c>
      <c r="C40" s="534" t="s">
        <v>812</v>
      </c>
      <c r="D40" s="534" t="s">
        <v>767</v>
      </c>
      <c r="E40" s="534"/>
      <c r="F40" s="534" t="s">
        <v>764</v>
      </c>
      <c r="G40" s="534" t="s">
        <v>764</v>
      </c>
      <c r="H40" s="534" t="s">
        <v>764</v>
      </c>
      <c r="I40" s="534" t="s">
        <v>764</v>
      </c>
      <c r="J40" s="534"/>
      <c r="K40" s="534" t="s">
        <v>773</v>
      </c>
    </row>
    <row r="41" spans="1:11">
      <c r="A41" s="1343"/>
      <c r="B41" s="777">
        <v>43658</v>
      </c>
      <c r="C41" s="534" t="s">
        <v>813</v>
      </c>
      <c r="D41" s="534" t="s">
        <v>768</v>
      </c>
      <c r="E41" s="534"/>
      <c r="F41" s="534" t="s">
        <v>764</v>
      </c>
      <c r="G41" s="534" t="s">
        <v>764</v>
      </c>
      <c r="H41" s="534" t="s">
        <v>764</v>
      </c>
      <c r="I41" s="534" t="s">
        <v>764</v>
      </c>
      <c r="J41" s="534"/>
      <c r="K41" s="534" t="s">
        <v>773</v>
      </c>
    </row>
    <row r="42" spans="1:11">
      <c r="A42" s="1343"/>
      <c r="B42" s="777">
        <v>43658</v>
      </c>
      <c r="C42" s="534" t="s">
        <v>813</v>
      </c>
      <c r="D42" s="534" t="s">
        <v>765</v>
      </c>
      <c r="E42" s="534"/>
      <c r="F42" s="534" t="s">
        <v>764</v>
      </c>
      <c r="G42" s="534" t="s">
        <v>764</v>
      </c>
      <c r="H42" s="534" t="s">
        <v>764</v>
      </c>
      <c r="I42" s="534" t="s">
        <v>764</v>
      </c>
      <c r="J42" s="534"/>
      <c r="K42" s="534" t="s">
        <v>773</v>
      </c>
    </row>
    <row r="43" spans="1:11">
      <c r="A43" s="1343"/>
      <c r="B43" s="777">
        <v>43658</v>
      </c>
      <c r="C43" s="534" t="s">
        <v>813</v>
      </c>
      <c r="D43" s="534" t="s">
        <v>767</v>
      </c>
      <c r="E43" s="534"/>
      <c r="F43" s="534" t="s">
        <v>764</v>
      </c>
      <c r="G43" s="534" t="s">
        <v>764</v>
      </c>
      <c r="H43" s="534" t="s">
        <v>764</v>
      </c>
      <c r="I43" s="534" t="s">
        <v>764</v>
      </c>
      <c r="J43" s="534"/>
      <c r="K43" s="534" t="s">
        <v>773</v>
      </c>
    </row>
    <row r="44" spans="1:11">
      <c r="A44" s="1343"/>
      <c r="B44" s="777">
        <v>43658</v>
      </c>
      <c r="C44" s="534" t="s">
        <v>814</v>
      </c>
      <c r="D44" s="534" t="s">
        <v>768</v>
      </c>
      <c r="E44" s="534"/>
      <c r="F44" s="534" t="s">
        <v>764</v>
      </c>
      <c r="G44" s="534" t="s">
        <v>764</v>
      </c>
      <c r="H44" s="534" t="s">
        <v>764</v>
      </c>
      <c r="I44" s="534" t="s">
        <v>764</v>
      </c>
      <c r="J44" s="534"/>
      <c r="K44" s="534" t="s">
        <v>773</v>
      </c>
    </row>
    <row r="45" spans="1:11">
      <c r="A45" s="1343"/>
      <c r="B45" s="777">
        <v>43658</v>
      </c>
      <c r="C45" s="534" t="s">
        <v>814</v>
      </c>
      <c r="D45" s="534" t="s">
        <v>765</v>
      </c>
      <c r="E45" s="534"/>
      <c r="F45" s="534" t="s">
        <v>764</v>
      </c>
      <c r="G45" s="534" t="s">
        <v>764</v>
      </c>
      <c r="H45" s="534" t="s">
        <v>764</v>
      </c>
      <c r="I45" s="534" t="s">
        <v>764</v>
      </c>
      <c r="J45" s="534"/>
      <c r="K45" s="534" t="s">
        <v>773</v>
      </c>
    </row>
    <row r="46" spans="1:11">
      <c r="A46" s="1343"/>
      <c r="B46" s="777">
        <v>43658</v>
      </c>
      <c r="C46" s="534" t="s">
        <v>814</v>
      </c>
      <c r="D46" s="534" t="s">
        <v>767</v>
      </c>
      <c r="E46" s="534"/>
      <c r="F46" s="534" t="s">
        <v>764</v>
      </c>
      <c r="G46" s="534" t="s">
        <v>764</v>
      </c>
      <c r="H46" s="534" t="s">
        <v>764</v>
      </c>
      <c r="I46" s="534" t="s">
        <v>764</v>
      </c>
      <c r="J46" s="534"/>
      <c r="K46" s="534" t="s">
        <v>773</v>
      </c>
    </row>
    <row r="47" spans="1:11">
      <c r="A47" s="779"/>
      <c r="B47" s="781">
        <v>43663</v>
      </c>
      <c r="C47" s="683" t="s">
        <v>883</v>
      </c>
      <c r="D47" s="782" t="s">
        <v>768</v>
      </c>
      <c r="E47" s="782"/>
      <c r="F47" s="782" t="s">
        <v>764</v>
      </c>
      <c r="G47" s="782" t="s">
        <v>407</v>
      </c>
      <c r="H47" s="782" t="s">
        <v>764</v>
      </c>
      <c r="I47" s="782" t="s">
        <v>764</v>
      </c>
      <c r="J47" s="782"/>
      <c r="K47" s="534" t="s">
        <v>773</v>
      </c>
    </row>
    <row r="48" spans="1:11">
      <c r="A48" s="779"/>
      <c r="B48" s="781">
        <v>43663</v>
      </c>
      <c r="C48" s="683" t="s">
        <v>883</v>
      </c>
      <c r="D48" s="782" t="s">
        <v>765</v>
      </c>
      <c r="E48" s="782"/>
      <c r="F48" s="782" t="s">
        <v>764</v>
      </c>
      <c r="G48" s="782" t="s">
        <v>407</v>
      </c>
      <c r="H48" s="782" t="s">
        <v>764</v>
      </c>
      <c r="I48" s="782" t="s">
        <v>764</v>
      </c>
      <c r="J48" s="782"/>
      <c r="K48" s="534" t="s">
        <v>773</v>
      </c>
    </row>
    <row r="49" spans="1:11">
      <c r="A49" s="779"/>
      <c r="B49" s="781">
        <v>43663</v>
      </c>
      <c r="C49" s="683" t="s">
        <v>883</v>
      </c>
      <c r="D49" s="782" t="s">
        <v>767</v>
      </c>
      <c r="E49" s="782"/>
      <c r="F49" s="782" t="s">
        <v>764</v>
      </c>
      <c r="G49" s="782" t="s">
        <v>407</v>
      </c>
      <c r="H49" s="782" t="s">
        <v>764</v>
      </c>
      <c r="I49" s="782" t="s">
        <v>764</v>
      </c>
      <c r="J49" s="782"/>
      <c r="K49" s="534" t="s">
        <v>773</v>
      </c>
    </row>
    <row r="50" spans="1:11">
      <c r="A50" s="779"/>
      <c r="B50" s="781">
        <v>43663</v>
      </c>
      <c r="C50" s="683" t="s">
        <v>883</v>
      </c>
      <c r="D50" s="782" t="s">
        <v>766</v>
      </c>
      <c r="E50" s="782"/>
      <c r="F50" s="782" t="s">
        <v>764</v>
      </c>
      <c r="G50" s="782" t="s">
        <v>407</v>
      </c>
      <c r="H50" s="782" t="s">
        <v>764</v>
      </c>
      <c r="I50" s="782" t="s">
        <v>764</v>
      </c>
      <c r="J50" s="782"/>
      <c r="K50" s="534" t="s">
        <v>773</v>
      </c>
    </row>
    <row r="51" spans="1:11">
      <c r="A51" s="1344"/>
      <c r="B51" s="781">
        <v>43663</v>
      </c>
      <c r="C51" s="683" t="s">
        <v>817</v>
      </c>
      <c r="D51" s="782" t="s">
        <v>768</v>
      </c>
      <c r="E51" s="782"/>
      <c r="F51" s="782" t="s">
        <v>764</v>
      </c>
      <c r="G51" s="782" t="s">
        <v>764</v>
      </c>
      <c r="H51" s="782" t="s">
        <v>764</v>
      </c>
      <c r="I51" s="782" t="s">
        <v>764</v>
      </c>
      <c r="J51" s="782"/>
      <c r="K51" s="782" t="s">
        <v>773</v>
      </c>
    </row>
    <row r="52" spans="1:11">
      <c r="A52" s="1344"/>
      <c r="B52" s="781">
        <v>43663</v>
      </c>
      <c r="C52" s="683" t="s">
        <v>816</v>
      </c>
      <c r="D52" s="534" t="s">
        <v>765</v>
      </c>
      <c r="E52" s="534"/>
      <c r="F52" s="534" t="s">
        <v>764</v>
      </c>
      <c r="G52" s="534" t="s">
        <v>764</v>
      </c>
      <c r="H52" s="534" t="s">
        <v>764</v>
      </c>
      <c r="I52" s="534" t="s">
        <v>764</v>
      </c>
      <c r="J52" s="534"/>
      <c r="K52" s="782" t="s">
        <v>773</v>
      </c>
    </row>
    <row r="53" spans="1:11">
      <c r="A53" s="779"/>
      <c r="B53" s="781">
        <v>43663</v>
      </c>
      <c r="C53" s="683" t="s">
        <v>820</v>
      </c>
      <c r="D53" s="534" t="s">
        <v>768</v>
      </c>
      <c r="E53" s="534"/>
      <c r="F53" s="534" t="s">
        <v>764</v>
      </c>
      <c r="G53" s="534" t="s">
        <v>407</v>
      </c>
      <c r="H53" s="534" t="s">
        <v>407</v>
      </c>
      <c r="I53" s="534" t="s">
        <v>407</v>
      </c>
      <c r="J53" s="534"/>
      <c r="K53" s="782" t="s">
        <v>773</v>
      </c>
    </row>
    <row r="54" spans="1:11">
      <c r="A54" s="779"/>
      <c r="B54" s="781">
        <v>43663</v>
      </c>
      <c r="C54" s="683" t="s">
        <v>820</v>
      </c>
      <c r="D54" s="534" t="s">
        <v>765</v>
      </c>
      <c r="E54" s="534"/>
      <c r="F54" s="534" t="s">
        <v>764</v>
      </c>
      <c r="G54" s="534" t="s">
        <v>407</v>
      </c>
      <c r="H54" s="534" t="s">
        <v>407</v>
      </c>
      <c r="I54" s="534" t="s">
        <v>407</v>
      </c>
      <c r="J54" s="534"/>
      <c r="K54" s="782" t="s">
        <v>773</v>
      </c>
    </row>
    <row r="55" spans="1:11">
      <c r="A55" s="779"/>
      <c r="B55" s="781">
        <v>43663</v>
      </c>
      <c r="C55" s="683" t="s">
        <v>820</v>
      </c>
      <c r="D55" s="534" t="s">
        <v>767</v>
      </c>
      <c r="E55" s="534"/>
      <c r="F55" s="534" t="s">
        <v>764</v>
      </c>
      <c r="G55" s="534" t="s">
        <v>407</v>
      </c>
      <c r="H55" s="534" t="s">
        <v>407</v>
      </c>
      <c r="I55" s="534" t="s">
        <v>407</v>
      </c>
      <c r="J55" s="534"/>
      <c r="K55" s="782" t="s">
        <v>773</v>
      </c>
    </row>
    <row r="56" spans="1:11">
      <c r="A56" s="779"/>
      <c r="B56" s="781">
        <v>43663</v>
      </c>
      <c r="C56" s="683" t="s">
        <v>820</v>
      </c>
      <c r="D56" s="534" t="s">
        <v>766</v>
      </c>
      <c r="E56" s="534"/>
      <c r="F56" s="534" t="s">
        <v>764</v>
      </c>
      <c r="G56" s="534" t="s">
        <v>407</v>
      </c>
      <c r="H56" s="534" t="s">
        <v>407</v>
      </c>
      <c r="I56" s="534" t="s">
        <v>407</v>
      </c>
      <c r="J56" s="534"/>
      <c r="K56" s="782" t="s">
        <v>773</v>
      </c>
    </row>
    <row r="57" spans="1:11">
      <c r="A57" s="779"/>
      <c r="B57" s="781">
        <v>43663</v>
      </c>
      <c r="C57" s="683" t="s">
        <v>863</v>
      </c>
      <c r="D57" s="534" t="s">
        <v>768</v>
      </c>
      <c r="E57" s="534" t="s">
        <v>763</v>
      </c>
      <c r="F57" s="534" t="s">
        <v>764</v>
      </c>
      <c r="G57" s="534" t="s">
        <v>764</v>
      </c>
      <c r="H57" s="534" t="s">
        <v>764</v>
      </c>
      <c r="I57" s="534" t="s">
        <v>764</v>
      </c>
      <c r="J57" s="534"/>
      <c r="K57" s="782" t="s">
        <v>773</v>
      </c>
    </row>
    <row r="58" spans="1:11">
      <c r="A58" s="779"/>
      <c r="B58" s="781">
        <v>43663</v>
      </c>
      <c r="C58" s="683" t="s">
        <v>822</v>
      </c>
      <c r="D58" s="534" t="s">
        <v>768</v>
      </c>
      <c r="E58" s="534" t="s">
        <v>758</v>
      </c>
      <c r="F58" s="534" t="s">
        <v>764</v>
      </c>
      <c r="G58" s="534" t="s">
        <v>407</v>
      </c>
      <c r="H58" s="534" t="s">
        <v>407</v>
      </c>
      <c r="I58" s="534" t="s">
        <v>407</v>
      </c>
      <c r="J58" s="534"/>
      <c r="K58" s="782" t="s">
        <v>773</v>
      </c>
    </row>
    <row r="59" spans="1:11">
      <c r="A59" s="779"/>
      <c r="B59" s="781">
        <v>43663</v>
      </c>
      <c r="C59" s="683" t="s">
        <v>829</v>
      </c>
      <c r="D59" s="534" t="s">
        <v>768</v>
      </c>
      <c r="E59" s="534" t="s">
        <v>763</v>
      </c>
      <c r="F59" s="534" t="s">
        <v>764</v>
      </c>
      <c r="G59" s="534" t="s">
        <v>764</v>
      </c>
      <c r="H59" s="534" t="s">
        <v>764</v>
      </c>
      <c r="I59" s="534" t="s">
        <v>764</v>
      </c>
      <c r="J59" s="534"/>
      <c r="K59" s="782" t="s">
        <v>773</v>
      </c>
    </row>
    <row r="60" spans="1:11">
      <c r="A60" s="779"/>
      <c r="B60" s="781">
        <v>43668</v>
      </c>
      <c r="C60" s="683" t="s">
        <v>864</v>
      </c>
      <c r="D60" s="534" t="s">
        <v>768</v>
      </c>
      <c r="E60" s="534"/>
      <c r="F60" s="534" t="s">
        <v>764</v>
      </c>
      <c r="G60" s="534" t="s">
        <v>764</v>
      </c>
      <c r="H60" s="534" t="s">
        <v>764</v>
      </c>
      <c r="I60" s="534" t="s">
        <v>764</v>
      </c>
      <c r="J60" s="534"/>
      <c r="K60" s="782" t="s">
        <v>773</v>
      </c>
    </row>
    <row r="61" spans="1:11">
      <c r="A61" s="1185"/>
      <c r="B61" s="1185"/>
      <c r="C61" s="1185"/>
      <c r="D61" s="1185"/>
      <c r="E61" s="1185"/>
      <c r="F61" s="1185"/>
      <c r="G61" s="1185"/>
      <c r="H61" s="1185"/>
      <c r="I61" s="1185"/>
      <c r="J61" s="1185"/>
      <c r="K61" s="1185"/>
    </row>
    <row r="62" spans="1:11">
      <c r="A62" s="2174" t="s">
        <v>880</v>
      </c>
      <c r="B62" s="2175"/>
      <c r="C62" s="2175"/>
      <c r="D62" s="2175"/>
      <c r="E62" s="2175"/>
      <c r="F62" s="2175"/>
      <c r="G62" s="2175"/>
      <c r="H62" s="2175"/>
      <c r="I62" s="2175"/>
      <c r="J62" s="2175"/>
      <c r="K62" s="2176"/>
    </row>
    <row r="63" spans="1:11">
      <c r="A63" s="779"/>
      <c r="B63" s="777">
        <v>43685</v>
      </c>
      <c r="C63" s="1163" t="s">
        <v>805</v>
      </c>
      <c r="D63" s="534" t="s">
        <v>768</v>
      </c>
      <c r="E63" s="534" t="s">
        <v>759</v>
      </c>
      <c r="F63" s="534" t="s">
        <v>764</v>
      </c>
      <c r="G63" s="534" t="s">
        <v>764</v>
      </c>
      <c r="H63" s="534"/>
      <c r="I63" s="534"/>
      <c r="J63" s="534"/>
      <c r="K63" s="534" t="s">
        <v>773</v>
      </c>
    </row>
    <row r="64" spans="1:11">
      <c r="A64" s="779"/>
      <c r="B64" s="777">
        <v>43685</v>
      </c>
      <c r="C64" s="1163" t="s">
        <v>805</v>
      </c>
      <c r="D64" s="534" t="s">
        <v>765</v>
      </c>
      <c r="E64" s="534" t="s">
        <v>759</v>
      </c>
      <c r="F64" s="534" t="s">
        <v>764</v>
      </c>
      <c r="G64" s="534" t="s">
        <v>764</v>
      </c>
      <c r="H64" s="534"/>
      <c r="I64" s="534"/>
      <c r="J64" s="534"/>
      <c r="K64" s="534" t="s">
        <v>773</v>
      </c>
    </row>
    <row r="65" spans="1:11">
      <c r="A65" s="779"/>
      <c r="B65" s="777">
        <v>43685</v>
      </c>
      <c r="C65" s="1163" t="s">
        <v>805</v>
      </c>
      <c r="D65" s="534" t="s">
        <v>767</v>
      </c>
      <c r="E65" s="534" t="s">
        <v>759</v>
      </c>
      <c r="F65" s="534" t="s">
        <v>764</v>
      </c>
      <c r="G65" s="534" t="s">
        <v>764</v>
      </c>
      <c r="H65" s="534"/>
      <c r="I65" s="534"/>
      <c r="J65" s="534"/>
      <c r="K65" s="534" t="s">
        <v>773</v>
      </c>
    </row>
    <row r="66" spans="1:11">
      <c r="A66" s="776"/>
      <c r="B66" s="777">
        <v>43689</v>
      </c>
      <c r="C66" s="1163" t="s">
        <v>882</v>
      </c>
      <c r="D66" s="534" t="s">
        <v>808</v>
      </c>
      <c r="E66" s="534"/>
      <c r="F66" s="534" t="s">
        <v>764</v>
      </c>
      <c r="G66" s="534" t="s">
        <v>764</v>
      </c>
      <c r="H66" s="534" t="s">
        <v>407</v>
      </c>
      <c r="I66" s="534" t="s">
        <v>407</v>
      </c>
      <c r="J66" s="534"/>
      <c r="K66" s="534" t="s">
        <v>773</v>
      </c>
    </row>
    <row r="67" spans="1:11">
      <c r="A67" s="1185"/>
      <c r="B67" s="1185"/>
      <c r="C67" s="1185"/>
      <c r="D67" s="1185"/>
      <c r="E67" s="1185"/>
      <c r="F67" s="1185"/>
      <c r="G67" s="1185"/>
      <c r="H67" s="1185"/>
      <c r="I67" s="1185"/>
      <c r="J67" s="1185"/>
      <c r="K67" s="1185"/>
    </row>
    <row r="68" spans="1:11">
      <c r="A68" s="1185"/>
      <c r="B68" s="1185"/>
      <c r="C68" s="1185"/>
      <c r="D68" s="1185"/>
      <c r="E68" s="1185"/>
      <c r="F68" s="1185"/>
      <c r="G68" s="1185"/>
      <c r="H68" s="1185"/>
      <c r="I68" s="1185"/>
      <c r="J68" s="1185"/>
      <c r="K68" s="1185"/>
    </row>
    <row r="69" spans="1:11">
      <c r="A69" s="2174" t="s">
        <v>888</v>
      </c>
      <c r="B69" s="2175"/>
      <c r="C69" s="2175"/>
      <c r="D69" s="2175"/>
      <c r="E69" s="2175"/>
      <c r="F69" s="2175"/>
      <c r="G69" s="2175"/>
      <c r="H69" s="2175"/>
      <c r="I69" s="2175"/>
      <c r="J69" s="2175"/>
      <c r="K69" s="2176"/>
    </row>
    <row r="70" spans="1:11">
      <c r="A70" s="779"/>
      <c r="B70" s="777">
        <v>43726</v>
      </c>
      <c r="C70" s="1163" t="s">
        <v>889</v>
      </c>
      <c r="D70" s="534" t="s">
        <v>768</v>
      </c>
      <c r="E70" s="534"/>
      <c r="F70" s="534" t="s">
        <v>764</v>
      </c>
      <c r="G70" s="534" t="s">
        <v>764</v>
      </c>
      <c r="H70" s="534"/>
      <c r="I70" s="534"/>
      <c r="J70" s="534"/>
      <c r="K70" s="534" t="s">
        <v>773</v>
      </c>
    </row>
    <row r="71" spans="1:11">
      <c r="A71" s="779"/>
      <c r="B71" s="777">
        <v>43726</v>
      </c>
      <c r="C71" s="1163" t="s">
        <v>890</v>
      </c>
      <c r="D71" s="534" t="s">
        <v>765</v>
      </c>
      <c r="E71" s="534"/>
      <c r="F71" s="534" t="s">
        <v>764</v>
      </c>
      <c r="G71" s="534" t="s">
        <v>764</v>
      </c>
      <c r="H71" s="534"/>
      <c r="I71" s="534"/>
      <c r="J71" s="534"/>
      <c r="K71" s="534" t="s">
        <v>773</v>
      </c>
    </row>
    <row r="72" spans="1:11">
      <c r="A72" s="779"/>
      <c r="B72" s="777">
        <v>43726</v>
      </c>
      <c r="C72" s="1163" t="s">
        <v>891</v>
      </c>
      <c r="D72" s="534" t="s">
        <v>767</v>
      </c>
      <c r="E72" s="534"/>
      <c r="F72" s="534" t="s">
        <v>764</v>
      </c>
      <c r="G72" s="534" t="s">
        <v>764</v>
      </c>
      <c r="H72" s="534"/>
      <c r="I72" s="534"/>
      <c r="J72" s="534"/>
      <c r="K72" s="534" t="s">
        <v>773</v>
      </c>
    </row>
    <row r="73" spans="1:11">
      <c r="A73" s="779"/>
      <c r="B73" s="777">
        <v>43726</v>
      </c>
      <c r="C73" s="1163" t="s">
        <v>892</v>
      </c>
      <c r="D73" s="534" t="s">
        <v>768</v>
      </c>
      <c r="E73" s="534"/>
      <c r="F73" s="534"/>
      <c r="G73" s="534"/>
      <c r="H73" s="534"/>
      <c r="I73" s="534"/>
      <c r="J73" s="534"/>
      <c r="K73" s="534" t="s">
        <v>773</v>
      </c>
    </row>
    <row r="74" spans="1:11">
      <c r="A74" s="779"/>
      <c r="B74" s="777">
        <v>43726</v>
      </c>
      <c r="C74" s="1163" t="s">
        <v>892</v>
      </c>
      <c r="D74" s="534" t="s">
        <v>765</v>
      </c>
      <c r="E74" s="534"/>
      <c r="F74" s="534"/>
      <c r="G74" s="534"/>
      <c r="H74" s="534"/>
      <c r="I74" s="534"/>
      <c r="J74" s="534"/>
      <c r="K74" s="534" t="s">
        <v>773</v>
      </c>
    </row>
    <row r="75" spans="1:11">
      <c r="A75" s="779"/>
      <c r="B75" s="777">
        <v>43726</v>
      </c>
      <c r="C75" s="1163" t="s">
        <v>892</v>
      </c>
      <c r="D75" s="534" t="s">
        <v>767</v>
      </c>
      <c r="E75" s="534"/>
      <c r="F75" s="534"/>
      <c r="G75" s="534"/>
      <c r="H75" s="534"/>
      <c r="I75" s="534"/>
      <c r="J75" s="534"/>
      <c r="K75" s="534" t="s">
        <v>773</v>
      </c>
    </row>
    <row r="76" spans="1:11">
      <c r="A76" s="1185"/>
      <c r="B76" s="1185"/>
      <c r="C76" s="1185"/>
      <c r="D76" s="1185"/>
      <c r="E76" s="1185"/>
      <c r="F76" s="1185"/>
      <c r="G76" s="1185"/>
      <c r="H76" s="1185"/>
      <c r="I76" s="1185"/>
      <c r="J76" s="1185"/>
      <c r="K76" s="1185"/>
    </row>
    <row r="77" spans="1:11">
      <c r="A77" s="1185"/>
      <c r="B77" s="1185"/>
      <c r="C77" s="1185"/>
      <c r="D77" s="1185"/>
      <c r="E77" s="1185"/>
      <c r="F77" s="1185"/>
      <c r="G77" s="1185"/>
      <c r="H77" s="1185"/>
      <c r="I77" s="1185"/>
      <c r="J77" s="1185"/>
      <c r="K77" s="1185"/>
    </row>
    <row r="78" spans="1:11">
      <c r="A78" s="2174" t="s">
        <v>897</v>
      </c>
      <c r="B78" s="2175"/>
      <c r="C78" s="2175"/>
      <c r="D78" s="2175"/>
      <c r="E78" s="2175"/>
      <c r="F78" s="2175"/>
      <c r="G78" s="2175"/>
      <c r="H78" s="2175"/>
      <c r="I78" s="2175"/>
      <c r="J78" s="2175"/>
      <c r="K78" s="2176"/>
    </row>
    <row r="79" spans="1:11">
      <c r="A79" s="776"/>
      <c r="B79" s="777">
        <v>43749</v>
      </c>
      <c r="C79" s="1163" t="s">
        <v>898</v>
      </c>
      <c r="D79" s="534" t="s">
        <v>768</v>
      </c>
      <c r="E79" s="534"/>
      <c r="F79" s="534" t="s">
        <v>764</v>
      </c>
      <c r="G79" s="534" t="s">
        <v>764</v>
      </c>
      <c r="H79" s="832" t="s">
        <v>407</v>
      </c>
      <c r="I79" s="832" t="s">
        <v>407</v>
      </c>
      <c r="J79" s="534"/>
      <c r="K79" s="534" t="s">
        <v>773</v>
      </c>
    </row>
    <row r="80" spans="1:11">
      <c r="A80" s="776"/>
      <c r="B80" s="777">
        <v>43749</v>
      </c>
      <c r="C80" s="1163" t="s">
        <v>899</v>
      </c>
      <c r="D80" s="534" t="s">
        <v>768</v>
      </c>
      <c r="E80" s="534"/>
      <c r="F80" s="534" t="s">
        <v>764</v>
      </c>
      <c r="G80" s="534" t="s">
        <v>764</v>
      </c>
      <c r="H80" s="832" t="s">
        <v>407</v>
      </c>
      <c r="I80" s="832" t="s">
        <v>407</v>
      </c>
      <c r="J80" s="534"/>
      <c r="K80" s="534" t="s">
        <v>773</v>
      </c>
    </row>
    <row r="81" spans="1:11">
      <c r="A81" s="776"/>
      <c r="B81" s="777">
        <v>43749</v>
      </c>
      <c r="C81" s="1163" t="s">
        <v>906</v>
      </c>
      <c r="D81" s="534" t="s">
        <v>768</v>
      </c>
      <c r="E81" s="534"/>
      <c r="F81" s="534" t="s">
        <v>764</v>
      </c>
      <c r="G81" s="534" t="s">
        <v>764</v>
      </c>
      <c r="H81" s="534" t="s">
        <v>764</v>
      </c>
      <c r="I81" s="534" t="s">
        <v>764</v>
      </c>
      <c r="J81" s="534"/>
      <c r="K81" s="534" t="s">
        <v>773</v>
      </c>
    </row>
    <row r="82" spans="1:11">
      <c r="A82" s="776"/>
      <c r="B82" s="777">
        <v>43749</v>
      </c>
      <c r="C82" s="1163" t="s">
        <v>907</v>
      </c>
      <c r="D82" s="534" t="s">
        <v>768</v>
      </c>
      <c r="E82" s="534"/>
      <c r="F82" s="534" t="s">
        <v>764</v>
      </c>
      <c r="G82" s="534" t="s">
        <v>764</v>
      </c>
      <c r="H82" s="534"/>
      <c r="I82" s="534"/>
      <c r="J82" s="534"/>
      <c r="K82" s="534" t="s">
        <v>773</v>
      </c>
    </row>
    <row r="83" spans="1:11">
      <c r="A83" s="776"/>
      <c r="B83" s="777">
        <v>43749</v>
      </c>
      <c r="C83" s="1163" t="s">
        <v>907</v>
      </c>
      <c r="D83" s="534" t="s">
        <v>765</v>
      </c>
      <c r="E83" s="534"/>
      <c r="F83" s="534" t="s">
        <v>764</v>
      </c>
      <c r="G83" s="534" t="s">
        <v>764</v>
      </c>
      <c r="H83" s="534"/>
      <c r="I83" s="534"/>
      <c r="J83" s="534"/>
      <c r="K83" s="534" t="s">
        <v>773</v>
      </c>
    </row>
    <row r="84" spans="1:11">
      <c r="A84" s="779"/>
      <c r="B84" s="777">
        <v>43755</v>
      </c>
      <c r="C84" s="1163" t="s">
        <v>908</v>
      </c>
      <c r="D84" s="534" t="s">
        <v>768</v>
      </c>
      <c r="E84" s="534"/>
      <c r="F84" s="534" t="s">
        <v>764</v>
      </c>
      <c r="G84" s="534" t="s">
        <v>407</v>
      </c>
      <c r="H84" s="534" t="s">
        <v>764</v>
      </c>
      <c r="I84" s="534" t="s">
        <v>764</v>
      </c>
      <c r="J84" s="534"/>
      <c r="K84" s="534" t="s">
        <v>773</v>
      </c>
    </row>
    <row r="85" spans="1:11">
      <c r="A85" s="779"/>
      <c r="B85" s="777">
        <v>43755</v>
      </c>
      <c r="C85" s="1163" t="s">
        <v>909</v>
      </c>
      <c r="D85" s="534" t="s">
        <v>768</v>
      </c>
      <c r="E85" s="534"/>
      <c r="F85" s="534" t="s">
        <v>764</v>
      </c>
      <c r="G85" s="534" t="s">
        <v>407</v>
      </c>
      <c r="H85" s="534" t="s">
        <v>764</v>
      </c>
      <c r="I85" s="534" t="s">
        <v>764</v>
      </c>
      <c r="J85" s="534"/>
      <c r="K85" s="534" t="s">
        <v>773</v>
      </c>
    </row>
    <row r="86" spans="1:11">
      <c r="A86" s="779"/>
      <c r="B86" s="777">
        <v>43755</v>
      </c>
      <c r="C86" s="1163" t="s">
        <v>910</v>
      </c>
      <c r="D86" s="534" t="s">
        <v>768</v>
      </c>
      <c r="E86" s="534"/>
      <c r="F86" s="534" t="s">
        <v>764</v>
      </c>
      <c r="G86" s="534" t="s">
        <v>407</v>
      </c>
      <c r="H86" s="534" t="s">
        <v>764</v>
      </c>
      <c r="I86" s="534" t="s">
        <v>764</v>
      </c>
      <c r="J86" s="534"/>
      <c r="K86" s="534" t="s">
        <v>773</v>
      </c>
    </row>
    <row r="87" spans="1:11">
      <c r="A87" s="779"/>
      <c r="B87" s="777">
        <v>43755</v>
      </c>
      <c r="C87" s="1163" t="s">
        <v>911</v>
      </c>
      <c r="D87" s="534" t="s">
        <v>768</v>
      </c>
      <c r="E87" s="534"/>
      <c r="F87" s="534" t="s">
        <v>764</v>
      </c>
      <c r="G87" s="534" t="s">
        <v>407</v>
      </c>
      <c r="H87" s="534" t="s">
        <v>764</v>
      </c>
      <c r="I87" s="534" t="s">
        <v>764</v>
      </c>
      <c r="J87" s="534"/>
      <c r="K87" s="534" t="s">
        <v>773</v>
      </c>
    </row>
    <row r="88" spans="1:11">
      <c r="A88" s="779"/>
      <c r="B88" s="777">
        <v>43755</v>
      </c>
      <c r="C88" s="1163" t="s">
        <v>912</v>
      </c>
      <c r="D88" s="534" t="s">
        <v>768</v>
      </c>
      <c r="E88" s="534"/>
      <c r="F88" s="534" t="s">
        <v>764</v>
      </c>
      <c r="G88" s="534" t="s">
        <v>407</v>
      </c>
      <c r="H88" s="534" t="s">
        <v>764</v>
      </c>
      <c r="I88" s="534" t="s">
        <v>764</v>
      </c>
      <c r="J88" s="534"/>
      <c r="K88" s="534" t="s">
        <v>773</v>
      </c>
    </row>
    <row r="89" spans="1:11">
      <c r="A89" s="779"/>
      <c r="B89" s="777">
        <v>43755</v>
      </c>
      <c r="C89" s="1163" t="s">
        <v>913</v>
      </c>
      <c r="D89" s="534" t="s">
        <v>768</v>
      </c>
      <c r="E89" s="534"/>
      <c r="F89" s="534" t="s">
        <v>764</v>
      </c>
      <c r="G89" s="534" t="s">
        <v>407</v>
      </c>
      <c r="H89" s="534" t="s">
        <v>764</v>
      </c>
      <c r="I89" s="534" t="s">
        <v>764</v>
      </c>
      <c r="J89" s="534"/>
      <c r="K89" s="534" t="s">
        <v>773</v>
      </c>
    </row>
    <row r="90" spans="1:11">
      <c r="A90" s="779"/>
      <c r="B90" s="777">
        <v>43755</v>
      </c>
      <c r="C90" s="1163" t="s">
        <v>914</v>
      </c>
      <c r="D90" s="534" t="s">
        <v>768</v>
      </c>
      <c r="E90" s="534"/>
      <c r="F90" s="534" t="s">
        <v>764</v>
      </c>
      <c r="G90" s="534" t="s">
        <v>764</v>
      </c>
      <c r="H90" s="534" t="s">
        <v>764</v>
      </c>
      <c r="I90" s="534" t="s">
        <v>764</v>
      </c>
      <c r="J90" s="534"/>
      <c r="K90" s="534" t="s">
        <v>773</v>
      </c>
    </row>
    <row r="91" spans="1:11">
      <c r="A91" s="779"/>
      <c r="B91" s="777">
        <v>43755</v>
      </c>
      <c r="C91" s="1163" t="s">
        <v>915</v>
      </c>
      <c r="D91" s="534" t="s">
        <v>767</v>
      </c>
      <c r="E91" s="534"/>
      <c r="F91" s="534" t="s">
        <v>764</v>
      </c>
      <c r="G91" s="534" t="s">
        <v>407</v>
      </c>
      <c r="H91" s="534" t="s">
        <v>764</v>
      </c>
      <c r="I91" s="534" t="s">
        <v>764</v>
      </c>
      <c r="J91" s="534"/>
      <c r="K91" s="534" t="s">
        <v>773</v>
      </c>
    </row>
    <row r="92" spans="1:11">
      <c r="A92" s="776"/>
      <c r="B92" s="777">
        <v>43755</v>
      </c>
      <c r="C92" s="1163" t="s">
        <v>916</v>
      </c>
      <c r="D92" s="534" t="s">
        <v>765</v>
      </c>
      <c r="E92" s="534"/>
      <c r="F92" s="534" t="s">
        <v>764</v>
      </c>
      <c r="G92" s="534" t="s">
        <v>764</v>
      </c>
      <c r="H92" s="534" t="s">
        <v>764</v>
      </c>
      <c r="I92" s="534" t="s">
        <v>764</v>
      </c>
      <c r="J92" s="534"/>
      <c r="K92" s="534" t="s">
        <v>773</v>
      </c>
    </row>
    <row r="93" spans="1:11">
      <c r="A93" s="776"/>
      <c r="B93" s="777">
        <v>43755</v>
      </c>
      <c r="C93" s="1163" t="s">
        <v>917</v>
      </c>
      <c r="D93" s="534" t="s">
        <v>768</v>
      </c>
      <c r="E93" s="534"/>
      <c r="F93" s="534" t="s">
        <v>764</v>
      </c>
      <c r="G93" s="534" t="s">
        <v>764</v>
      </c>
      <c r="H93" s="534" t="s">
        <v>764</v>
      </c>
      <c r="I93" s="534" t="s">
        <v>764</v>
      </c>
      <c r="J93" s="534"/>
      <c r="K93" s="534" t="s">
        <v>773</v>
      </c>
    </row>
    <row r="94" spans="1:11">
      <c r="A94" s="779"/>
      <c r="B94" s="777">
        <v>43760</v>
      </c>
      <c r="C94" s="1163" t="s">
        <v>922</v>
      </c>
      <c r="D94" s="534" t="s">
        <v>768</v>
      </c>
      <c r="E94" s="534"/>
      <c r="F94" s="534" t="s">
        <v>764</v>
      </c>
      <c r="G94" s="832" t="s">
        <v>407</v>
      </c>
      <c r="H94" s="832" t="s">
        <v>407</v>
      </c>
      <c r="I94" s="832" t="s">
        <v>407</v>
      </c>
      <c r="J94" s="534"/>
      <c r="K94" s="534" t="s">
        <v>773</v>
      </c>
    </row>
    <row r="95" spans="1:11">
      <c r="A95" s="779"/>
      <c r="B95" s="777">
        <v>43760</v>
      </c>
      <c r="C95" s="1163" t="s">
        <v>920</v>
      </c>
      <c r="D95" s="534" t="s">
        <v>765</v>
      </c>
      <c r="E95" s="534"/>
      <c r="F95" s="534" t="s">
        <v>764</v>
      </c>
      <c r="G95" s="832" t="s">
        <v>407</v>
      </c>
      <c r="H95" s="832" t="s">
        <v>407</v>
      </c>
      <c r="I95" s="832" t="s">
        <v>407</v>
      </c>
      <c r="J95" s="534"/>
      <c r="K95" s="534" t="s">
        <v>773</v>
      </c>
    </row>
    <row r="96" spans="1:11">
      <c r="A96" s="779"/>
      <c r="B96" s="777">
        <v>43760</v>
      </c>
      <c r="C96" s="1163" t="s">
        <v>920</v>
      </c>
      <c r="D96" s="534" t="s">
        <v>767</v>
      </c>
      <c r="E96" s="534"/>
      <c r="F96" s="534" t="s">
        <v>764</v>
      </c>
      <c r="G96" s="832" t="s">
        <v>407</v>
      </c>
      <c r="H96" s="832" t="s">
        <v>407</v>
      </c>
      <c r="I96" s="832" t="s">
        <v>407</v>
      </c>
      <c r="J96" s="534"/>
      <c r="K96" s="534" t="s">
        <v>773</v>
      </c>
    </row>
    <row r="97" spans="1:11">
      <c r="A97" s="779"/>
      <c r="B97" s="777">
        <v>43760</v>
      </c>
      <c r="C97" s="1163" t="s">
        <v>921</v>
      </c>
      <c r="D97" s="534" t="s">
        <v>768</v>
      </c>
      <c r="E97" s="534"/>
      <c r="F97" s="832" t="s">
        <v>407</v>
      </c>
      <c r="G97" s="832" t="s">
        <v>407</v>
      </c>
      <c r="H97" s="832" t="s">
        <v>764</v>
      </c>
      <c r="I97" s="832" t="s">
        <v>407</v>
      </c>
      <c r="J97" s="534"/>
      <c r="K97" s="534" t="s">
        <v>773</v>
      </c>
    </row>
    <row r="98" spans="1:11">
      <c r="A98" s="779"/>
      <c r="B98" s="777">
        <v>43760</v>
      </c>
      <c r="C98" s="1163" t="s">
        <v>921</v>
      </c>
      <c r="D98" s="534" t="s">
        <v>765</v>
      </c>
      <c r="E98" s="534"/>
      <c r="F98" s="832" t="s">
        <v>407</v>
      </c>
      <c r="G98" s="832" t="s">
        <v>407</v>
      </c>
      <c r="H98" s="832" t="s">
        <v>764</v>
      </c>
      <c r="I98" s="832" t="s">
        <v>407</v>
      </c>
      <c r="J98" s="534"/>
      <c r="K98" s="534" t="s">
        <v>773</v>
      </c>
    </row>
    <row r="99" spans="1:11">
      <c r="A99" s="779"/>
      <c r="B99" s="777">
        <v>43760</v>
      </c>
      <c r="C99" s="1163" t="s">
        <v>921</v>
      </c>
      <c r="D99" s="534" t="s">
        <v>767</v>
      </c>
      <c r="E99" s="534"/>
      <c r="F99" s="832" t="s">
        <v>407</v>
      </c>
      <c r="G99" s="832" t="s">
        <v>407</v>
      </c>
      <c r="H99" s="832" t="s">
        <v>764</v>
      </c>
      <c r="I99" s="832" t="s">
        <v>407</v>
      </c>
      <c r="J99" s="534"/>
      <c r="K99" s="534" t="s">
        <v>773</v>
      </c>
    </row>
    <row r="100" spans="1:11">
      <c r="A100" s="779"/>
      <c r="B100" s="777">
        <v>43760</v>
      </c>
      <c r="C100" s="1163" t="s">
        <v>925</v>
      </c>
      <c r="D100" s="534" t="s">
        <v>768</v>
      </c>
      <c r="E100" s="534"/>
      <c r="F100" s="534" t="s">
        <v>764</v>
      </c>
      <c r="G100" s="534" t="s">
        <v>764</v>
      </c>
      <c r="H100" s="534" t="s">
        <v>764</v>
      </c>
      <c r="I100" s="534" t="s">
        <v>764</v>
      </c>
      <c r="J100" s="534"/>
      <c r="K100" s="534" t="s">
        <v>773</v>
      </c>
    </row>
    <row r="101" spans="1:11">
      <c r="A101" s="1185"/>
      <c r="B101" s="1185"/>
      <c r="C101" s="1185"/>
      <c r="D101" s="1185"/>
      <c r="E101" s="1185"/>
      <c r="F101" s="1185"/>
      <c r="G101" s="1185"/>
      <c r="H101" s="1185"/>
      <c r="I101" s="1185"/>
      <c r="J101" s="1185"/>
      <c r="K101" s="1185"/>
    </row>
    <row r="102" spans="1:11">
      <c r="A102" s="1185"/>
      <c r="B102" s="1185"/>
      <c r="C102" s="1185"/>
      <c r="D102" s="1185"/>
      <c r="E102" s="1185"/>
      <c r="F102" s="1185"/>
      <c r="G102" s="1185"/>
      <c r="H102" s="1185"/>
      <c r="I102" s="1185"/>
      <c r="J102" s="1185"/>
      <c r="K102" s="1185"/>
    </row>
    <row r="103" spans="1:11">
      <c r="A103" s="2174" t="s">
        <v>950</v>
      </c>
      <c r="B103" s="2175"/>
      <c r="C103" s="2175"/>
      <c r="D103" s="2175"/>
      <c r="E103" s="2175"/>
      <c r="F103" s="2175"/>
      <c r="G103" s="2175"/>
      <c r="H103" s="2175"/>
      <c r="I103" s="2175"/>
      <c r="J103" s="2175"/>
      <c r="K103" s="2176"/>
    </row>
    <row r="104" spans="1:11">
      <c r="A104" s="779"/>
      <c r="B104" s="777">
        <v>43788</v>
      </c>
      <c r="C104" s="1163" t="s">
        <v>954</v>
      </c>
      <c r="D104" s="534" t="s">
        <v>768</v>
      </c>
      <c r="E104" s="534"/>
      <c r="F104" s="534" t="s">
        <v>764</v>
      </c>
      <c r="G104" s="534" t="s">
        <v>407</v>
      </c>
      <c r="H104" s="832" t="s">
        <v>764</v>
      </c>
      <c r="I104" s="832" t="s">
        <v>764</v>
      </c>
      <c r="J104" s="534"/>
      <c r="K104" s="534" t="s">
        <v>773</v>
      </c>
    </row>
    <row r="105" spans="1:11">
      <c r="A105" s="779"/>
      <c r="B105" s="777">
        <v>43788</v>
      </c>
      <c r="C105" s="1163" t="s">
        <v>953</v>
      </c>
      <c r="D105" s="534" t="s">
        <v>768</v>
      </c>
      <c r="E105" s="534"/>
      <c r="F105" s="534" t="s">
        <v>764</v>
      </c>
      <c r="G105" s="534" t="s">
        <v>407</v>
      </c>
      <c r="H105" s="832" t="s">
        <v>764</v>
      </c>
      <c r="I105" s="832" t="s">
        <v>764</v>
      </c>
      <c r="J105" s="534"/>
      <c r="K105" s="534" t="s">
        <v>773</v>
      </c>
    </row>
    <row r="106" spans="1:11">
      <c r="A106" s="779"/>
      <c r="B106" s="777">
        <v>43788</v>
      </c>
      <c r="C106" s="778" t="s">
        <v>970</v>
      </c>
      <c r="D106" s="534" t="s">
        <v>768</v>
      </c>
      <c r="E106" s="534"/>
      <c r="F106" s="534" t="s">
        <v>764</v>
      </c>
      <c r="G106" s="534" t="s">
        <v>407</v>
      </c>
      <c r="H106" s="832" t="s">
        <v>764</v>
      </c>
      <c r="I106" s="832" t="s">
        <v>764</v>
      </c>
      <c r="J106" s="534"/>
      <c r="K106" s="534" t="s">
        <v>773</v>
      </c>
    </row>
    <row r="107" spans="1:11">
      <c r="A107" s="779"/>
      <c r="B107" s="777">
        <v>43788</v>
      </c>
      <c r="C107" s="1163" t="s">
        <v>952</v>
      </c>
      <c r="D107" s="534" t="s">
        <v>768</v>
      </c>
      <c r="E107" s="534"/>
      <c r="F107" s="534" t="s">
        <v>764</v>
      </c>
      <c r="G107" s="534" t="s">
        <v>407</v>
      </c>
      <c r="H107" s="832" t="s">
        <v>764</v>
      </c>
      <c r="I107" s="832" t="s">
        <v>764</v>
      </c>
      <c r="J107" s="534"/>
      <c r="K107" s="534" t="s">
        <v>773</v>
      </c>
    </row>
    <row r="108" spans="1:11">
      <c r="A108" s="779"/>
      <c r="B108" s="777">
        <v>43788</v>
      </c>
      <c r="C108" s="1163" t="s">
        <v>951</v>
      </c>
      <c r="D108" s="534" t="s">
        <v>768</v>
      </c>
      <c r="E108" s="534"/>
      <c r="F108" s="534" t="s">
        <v>764</v>
      </c>
      <c r="G108" s="534" t="s">
        <v>407</v>
      </c>
      <c r="H108" s="832" t="s">
        <v>764</v>
      </c>
      <c r="I108" s="832" t="s">
        <v>764</v>
      </c>
      <c r="J108" s="534"/>
      <c r="K108" s="534" t="s">
        <v>773</v>
      </c>
    </row>
    <row r="109" spans="1:11">
      <c r="A109" s="779"/>
      <c r="B109" s="777">
        <v>43788</v>
      </c>
      <c r="C109" s="778" t="s">
        <v>971</v>
      </c>
      <c r="D109" s="534" t="s">
        <v>768</v>
      </c>
      <c r="E109" s="534"/>
      <c r="F109" s="534" t="s">
        <v>764</v>
      </c>
      <c r="G109" s="534" t="s">
        <v>407</v>
      </c>
      <c r="H109" s="832" t="s">
        <v>764</v>
      </c>
      <c r="I109" s="832" t="s">
        <v>764</v>
      </c>
      <c r="J109" s="534"/>
      <c r="K109" s="534" t="s">
        <v>773</v>
      </c>
    </row>
    <row r="110" spans="1:11">
      <c r="A110" s="776"/>
      <c r="B110" s="777">
        <v>43788</v>
      </c>
      <c r="C110" s="1163" t="s">
        <v>955</v>
      </c>
      <c r="D110" s="534" t="s">
        <v>768</v>
      </c>
      <c r="E110" s="534"/>
      <c r="F110" s="534" t="s">
        <v>764</v>
      </c>
      <c r="G110" s="534" t="s">
        <v>407</v>
      </c>
      <c r="H110" s="534" t="s">
        <v>407</v>
      </c>
      <c r="I110" s="534" t="s">
        <v>407</v>
      </c>
      <c r="J110" s="534"/>
      <c r="K110" s="534" t="s">
        <v>773</v>
      </c>
    </row>
    <row r="111" spans="1:11">
      <c r="A111" s="779"/>
      <c r="B111" s="777">
        <v>43788</v>
      </c>
      <c r="C111" s="1163" t="s">
        <v>956</v>
      </c>
      <c r="D111" s="534" t="s">
        <v>768</v>
      </c>
      <c r="E111" s="534"/>
      <c r="F111" s="534" t="s">
        <v>764</v>
      </c>
      <c r="G111" s="534" t="s">
        <v>764</v>
      </c>
      <c r="H111" s="832" t="s">
        <v>764</v>
      </c>
      <c r="I111" s="832" t="s">
        <v>764</v>
      </c>
      <c r="J111" s="534"/>
      <c r="K111" s="534" t="s">
        <v>773</v>
      </c>
    </row>
    <row r="112" spans="1:11">
      <c r="A112" s="779"/>
      <c r="B112" s="777">
        <v>43767</v>
      </c>
      <c r="C112" s="1163" t="s">
        <v>948</v>
      </c>
      <c r="D112" s="534" t="s">
        <v>768</v>
      </c>
      <c r="E112" s="534"/>
      <c r="F112" s="534" t="s">
        <v>764</v>
      </c>
      <c r="G112" s="534" t="s">
        <v>764</v>
      </c>
      <c r="H112" s="534" t="s">
        <v>764</v>
      </c>
      <c r="I112" s="534" t="s">
        <v>764</v>
      </c>
      <c r="J112" s="534"/>
      <c r="K112" s="534" t="s">
        <v>773</v>
      </c>
    </row>
    <row r="113" spans="1:11">
      <c r="A113" s="779"/>
      <c r="B113" s="777">
        <v>43788</v>
      </c>
      <c r="C113" s="1163" t="s">
        <v>957</v>
      </c>
      <c r="D113" s="534" t="s">
        <v>768</v>
      </c>
      <c r="E113" s="534"/>
      <c r="F113" s="534" t="s">
        <v>764</v>
      </c>
      <c r="G113" s="534" t="s">
        <v>764</v>
      </c>
      <c r="H113" s="832" t="s">
        <v>764</v>
      </c>
      <c r="I113" s="832" t="s">
        <v>764</v>
      </c>
      <c r="J113" s="534"/>
      <c r="K113" s="534" t="s">
        <v>773</v>
      </c>
    </row>
    <row r="114" spans="1:11">
      <c r="A114" s="779"/>
      <c r="B114" s="777">
        <v>43788</v>
      </c>
      <c r="C114" s="1163" t="s">
        <v>958</v>
      </c>
      <c r="D114" s="534" t="s">
        <v>768</v>
      </c>
      <c r="E114" s="534"/>
      <c r="F114" s="534" t="s">
        <v>764</v>
      </c>
      <c r="G114" s="534" t="s">
        <v>764</v>
      </c>
      <c r="H114" s="832" t="s">
        <v>764</v>
      </c>
      <c r="I114" s="832" t="s">
        <v>764</v>
      </c>
      <c r="J114" s="534"/>
      <c r="K114" s="534" t="s">
        <v>773</v>
      </c>
    </row>
    <row r="115" spans="1:11">
      <c r="A115" s="779"/>
      <c r="B115" s="777">
        <v>43788</v>
      </c>
      <c r="C115" s="778" t="s">
        <v>972</v>
      </c>
      <c r="D115" s="534" t="s">
        <v>768</v>
      </c>
      <c r="E115" s="534"/>
      <c r="F115" s="534" t="s">
        <v>764</v>
      </c>
      <c r="G115" s="534" t="s">
        <v>764</v>
      </c>
      <c r="H115" s="832" t="s">
        <v>764</v>
      </c>
      <c r="I115" s="832" t="s">
        <v>764</v>
      </c>
      <c r="J115" s="534"/>
      <c r="K115" s="534" t="s">
        <v>773</v>
      </c>
    </row>
    <row r="116" spans="1:11">
      <c r="A116" s="779"/>
      <c r="B116" s="777">
        <v>43788</v>
      </c>
      <c r="C116" s="1163" t="s">
        <v>959</v>
      </c>
      <c r="D116" s="534" t="s">
        <v>768</v>
      </c>
      <c r="E116" s="534"/>
      <c r="F116" s="534" t="s">
        <v>764</v>
      </c>
      <c r="G116" s="534" t="s">
        <v>764</v>
      </c>
      <c r="H116" s="534" t="s">
        <v>764</v>
      </c>
      <c r="I116" s="534" t="s">
        <v>764</v>
      </c>
      <c r="J116" s="534"/>
      <c r="K116" s="534" t="s">
        <v>773</v>
      </c>
    </row>
    <row r="117" spans="1:11">
      <c r="A117" s="776"/>
      <c r="B117" s="777">
        <v>43767</v>
      </c>
      <c r="C117" s="1163" t="s">
        <v>947</v>
      </c>
      <c r="D117" s="534" t="s">
        <v>768</v>
      </c>
      <c r="E117" s="534"/>
      <c r="F117" s="534" t="s">
        <v>764</v>
      </c>
      <c r="G117" s="534" t="s">
        <v>764</v>
      </c>
      <c r="H117" s="534" t="s">
        <v>764</v>
      </c>
      <c r="I117" s="534" t="s">
        <v>764</v>
      </c>
      <c r="J117" s="534"/>
      <c r="K117" s="534" t="s">
        <v>773</v>
      </c>
    </row>
    <row r="118" spans="1:11">
      <c r="A118" s="779"/>
      <c r="B118" s="777">
        <v>43789</v>
      </c>
      <c r="C118" s="1163" t="s">
        <v>966</v>
      </c>
      <c r="D118" s="534" t="s">
        <v>768</v>
      </c>
      <c r="E118" s="534"/>
      <c r="F118" s="534" t="s">
        <v>764</v>
      </c>
      <c r="G118" s="534" t="s">
        <v>764</v>
      </c>
      <c r="H118" s="832"/>
      <c r="I118" s="832"/>
      <c r="J118" s="534"/>
      <c r="K118" s="534" t="s">
        <v>773</v>
      </c>
    </row>
    <row r="119" spans="1:11">
      <c r="A119" s="779"/>
      <c r="B119" s="777">
        <v>43789</v>
      </c>
      <c r="C119" s="1163" t="s">
        <v>966</v>
      </c>
      <c r="D119" s="534" t="s">
        <v>765</v>
      </c>
      <c r="E119" s="534"/>
      <c r="F119" s="534" t="s">
        <v>764</v>
      </c>
      <c r="G119" s="534" t="s">
        <v>764</v>
      </c>
      <c r="H119" s="832"/>
      <c r="I119" s="832"/>
      <c r="J119" s="534"/>
      <c r="K119" s="534" t="s">
        <v>773</v>
      </c>
    </row>
    <row r="120" spans="1:11">
      <c r="A120" s="779"/>
      <c r="B120" s="777">
        <v>43803</v>
      </c>
      <c r="C120" s="1163" t="s">
        <v>967</v>
      </c>
      <c r="D120" s="534" t="s">
        <v>768</v>
      </c>
      <c r="E120" s="534"/>
      <c r="F120" s="1163" t="s">
        <v>764</v>
      </c>
      <c r="G120" s="832" t="s">
        <v>407</v>
      </c>
      <c r="H120" s="832"/>
      <c r="I120" s="832"/>
      <c r="J120" s="534"/>
      <c r="K120" s="534" t="s">
        <v>773</v>
      </c>
    </row>
    <row r="121" spans="1:11">
      <c r="A121" s="779"/>
      <c r="B121" s="777">
        <v>43801</v>
      </c>
      <c r="C121" s="1163" t="s">
        <v>996</v>
      </c>
      <c r="D121" s="534" t="s">
        <v>768</v>
      </c>
      <c r="E121" s="534"/>
      <c r="F121" s="1163" t="s">
        <v>764</v>
      </c>
      <c r="G121" s="832" t="s">
        <v>407</v>
      </c>
      <c r="H121" s="832" t="s">
        <v>764</v>
      </c>
      <c r="I121" s="832" t="s">
        <v>764</v>
      </c>
      <c r="J121" s="534"/>
      <c r="K121" s="534" t="s">
        <v>773</v>
      </c>
    </row>
    <row r="122" spans="1:11">
      <c r="A122" s="1185"/>
      <c r="B122" s="1185"/>
      <c r="C122" s="873"/>
      <c r="D122" s="1185"/>
      <c r="E122" s="1185"/>
      <c r="F122" s="1185"/>
      <c r="G122" s="1185"/>
      <c r="H122" s="1185"/>
      <c r="I122" s="1185"/>
      <c r="J122" s="1185"/>
      <c r="K122" s="1185"/>
    </row>
    <row r="123" spans="1:11">
      <c r="A123" s="2174" t="s">
        <v>1029</v>
      </c>
      <c r="B123" s="2175"/>
      <c r="C123" s="2175"/>
      <c r="D123" s="2175"/>
      <c r="E123" s="2175"/>
      <c r="F123" s="2175"/>
      <c r="G123" s="2175"/>
      <c r="H123" s="2175"/>
      <c r="I123" s="2175"/>
      <c r="J123" s="2175"/>
      <c r="K123" s="2176"/>
    </row>
    <row r="124" spans="1:11">
      <c r="A124" s="779"/>
      <c r="B124" s="777">
        <v>43817</v>
      </c>
      <c r="C124" s="1163" t="s">
        <v>1037</v>
      </c>
      <c r="D124" s="534" t="s">
        <v>768</v>
      </c>
      <c r="E124" s="534"/>
      <c r="F124" s="832" t="s">
        <v>764</v>
      </c>
      <c r="G124" s="832" t="s">
        <v>407</v>
      </c>
      <c r="H124" s="832"/>
      <c r="I124" s="832"/>
      <c r="J124" s="534"/>
      <c r="K124" s="534" t="s">
        <v>773</v>
      </c>
    </row>
    <row r="125" spans="1:11">
      <c r="A125" s="779"/>
      <c r="B125" s="777">
        <v>43817</v>
      </c>
      <c r="C125" s="1163" t="s">
        <v>1037</v>
      </c>
      <c r="D125" s="534" t="s">
        <v>765</v>
      </c>
      <c r="E125" s="534"/>
      <c r="F125" s="832" t="s">
        <v>764</v>
      </c>
      <c r="G125" s="832" t="s">
        <v>407</v>
      </c>
      <c r="H125" s="832"/>
      <c r="I125" s="832"/>
      <c r="J125" s="534"/>
      <c r="K125" s="534" t="s">
        <v>773</v>
      </c>
    </row>
    <row r="126" spans="1:11">
      <c r="A126" s="1345"/>
      <c r="B126" s="777">
        <v>43817</v>
      </c>
      <c r="C126" s="1163" t="s">
        <v>1030</v>
      </c>
      <c r="D126" s="534" t="s">
        <v>765</v>
      </c>
      <c r="E126" s="534"/>
      <c r="F126" s="832" t="s">
        <v>764</v>
      </c>
      <c r="G126" s="534" t="s">
        <v>1040</v>
      </c>
      <c r="H126" s="832" t="s">
        <v>764</v>
      </c>
      <c r="I126" s="832" t="s">
        <v>764</v>
      </c>
      <c r="J126" s="534"/>
      <c r="K126" s="534" t="s">
        <v>773</v>
      </c>
    </row>
    <row r="127" spans="1:11">
      <c r="A127" s="779"/>
      <c r="B127" s="777">
        <v>43817</v>
      </c>
      <c r="C127" s="1163" t="s">
        <v>1036</v>
      </c>
      <c r="D127" s="534" t="s">
        <v>768</v>
      </c>
      <c r="E127" s="534"/>
      <c r="F127" s="832" t="s">
        <v>764</v>
      </c>
      <c r="G127" s="534" t="s">
        <v>1040</v>
      </c>
      <c r="H127" s="832" t="s">
        <v>764</v>
      </c>
      <c r="I127" s="832" t="s">
        <v>764</v>
      </c>
      <c r="J127" s="534"/>
      <c r="K127" s="534" t="s">
        <v>773</v>
      </c>
    </row>
    <row r="128" spans="1:11">
      <c r="A128" s="1155"/>
      <c r="B128" s="777">
        <v>43818</v>
      </c>
      <c r="C128" s="1163" t="s">
        <v>1032</v>
      </c>
      <c r="D128" s="534" t="s">
        <v>768</v>
      </c>
      <c r="E128" s="534"/>
      <c r="F128" s="832" t="s">
        <v>764</v>
      </c>
      <c r="G128" s="534" t="s">
        <v>1040</v>
      </c>
      <c r="H128" s="832" t="s">
        <v>764</v>
      </c>
      <c r="I128" s="832" t="s">
        <v>764</v>
      </c>
      <c r="J128" s="534"/>
      <c r="K128" s="534" t="s">
        <v>773</v>
      </c>
    </row>
    <row r="129" spans="1:11">
      <c r="A129" s="779"/>
      <c r="B129" s="777">
        <v>43818</v>
      </c>
      <c r="C129" s="1163" t="s">
        <v>1039</v>
      </c>
      <c r="D129" s="534" t="s">
        <v>768</v>
      </c>
      <c r="E129" s="534"/>
      <c r="F129" s="832" t="s">
        <v>764</v>
      </c>
      <c r="G129" s="832" t="s">
        <v>1040</v>
      </c>
      <c r="H129" s="832" t="s">
        <v>764</v>
      </c>
      <c r="I129" s="832" t="s">
        <v>764</v>
      </c>
      <c r="J129" s="534"/>
      <c r="K129" s="534" t="s">
        <v>773</v>
      </c>
    </row>
    <row r="130" spans="1:11">
      <c r="A130" s="779"/>
      <c r="B130" s="777">
        <v>43818</v>
      </c>
      <c r="C130" s="1163" t="s">
        <v>1035</v>
      </c>
      <c r="D130" s="534" t="s">
        <v>765</v>
      </c>
      <c r="E130" s="534"/>
      <c r="F130" s="832" t="s">
        <v>764</v>
      </c>
      <c r="G130" s="832" t="s">
        <v>407</v>
      </c>
      <c r="H130" s="832" t="s">
        <v>764</v>
      </c>
      <c r="I130" s="832" t="s">
        <v>764</v>
      </c>
      <c r="J130" s="534"/>
      <c r="K130" s="534" t="s">
        <v>773</v>
      </c>
    </row>
    <row r="131" spans="1:11">
      <c r="A131" s="1155"/>
      <c r="B131" s="777">
        <v>43818</v>
      </c>
      <c r="C131" s="1163" t="s">
        <v>1038</v>
      </c>
      <c r="D131" s="534" t="s">
        <v>765</v>
      </c>
      <c r="E131" s="534"/>
      <c r="F131" s="832" t="s">
        <v>764</v>
      </c>
      <c r="G131" s="534" t="s">
        <v>1040</v>
      </c>
      <c r="H131" s="832" t="s">
        <v>764</v>
      </c>
      <c r="I131" s="832" t="s">
        <v>764</v>
      </c>
      <c r="J131" s="534"/>
      <c r="K131" s="534" t="s">
        <v>773</v>
      </c>
    </row>
    <row r="132" spans="1:11">
      <c r="A132" s="1185"/>
      <c r="B132" s="1185"/>
      <c r="C132" s="1185"/>
      <c r="D132" s="1185"/>
      <c r="E132" s="1185"/>
      <c r="F132" s="1185"/>
      <c r="G132" s="1185"/>
      <c r="H132" s="1185"/>
      <c r="I132" s="1185"/>
      <c r="J132" s="1185"/>
      <c r="K132" s="1185"/>
    </row>
    <row r="133" spans="1:11">
      <c r="A133" s="2174" t="s">
        <v>1064</v>
      </c>
      <c r="B133" s="2175"/>
      <c r="C133" s="2175"/>
      <c r="D133" s="2175"/>
      <c r="E133" s="2175"/>
      <c r="F133" s="2175"/>
      <c r="G133" s="2175"/>
      <c r="H133" s="2175"/>
      <c r="I133" s="2175"/>
      <c r="J133" s="2175"/>
      <c r="K133" s="2176"/>
    </row>
    <row r="134" spans="1:11">
      <c r="A134" s="779"/>
      <c r="B134" s="777">
        <v>43840</v>
      </c>
      <c r="C134" s="1163" t="s">
        <v>1065</v>
      </c>
      <c r="D134" s="534" t="s">
        <v>768</v>
      </c>
      <c r="E134" s="534"/>
      <c r="F134" s="832" t="s">
        <v>764</v>
      </c>
      <c r="G134" s="832" t="s">
        <v>1040</v>
      </c>
      <c r="H134" s="832"/>
      <c r="I134" s="832"/>
      <c r="J134" s="534"/>
      <c r="K134" s="534" t="s">
        <v>773</v>
      </c>
    </row>
    <row r="135" spans="1:11">
      <c r="A135" s="1345"/>
      <c r="B135" s="777">
        <v>43840</v>
      </c>
      <c r="C135" s="1163" t="s">
        <v>1066</v>
      </c>
      <c r="D135" s="534" t="s">
        <v>768</v>
      </c>
      <c r="E135" s="534"/>
      <c r="F135" s="832" t="s">
        <v>764</v>
      </c>
      <c r="G135" s="832" t="s">
        <v>1040</v>
      </c>
      <c r="H135" s="832"/>
      <c r="I135" s="832"/>
      <c r="J135" s="534"/>
      <c r="K135" s="534" t="s">
        <v>773</v>
      </c>
    </row>
    <row r="136" spans="1:11">
      <c r="A136" s="1155"/>
      <c r="B136" s="777">
        <v>43840</v>
      </c>
      <c r="C136" s="1163" t="s">
        <v>1067</v>
      </c>
      <c r="D136" s="534" t="s">
        <v>768</v>
      </c>
      <c r="E136" s="534"/>
      <c r="F136" s="832" t="s">
        <v>764</v>
      </c>
      <c r="G136" s="832" t="s">
        <v>1040</v>
      </c>
      <c r="H136" s="832"/>
      <c r="I136" s="832"/>
      <c r="J136" s="534"/>
      <c r="K136" s="534" t="s">
        <v>773</v>
      </c>
    </row>
    <row r="137" spans="1:11" ht="28.8">
      <c r="A137" s="1155"/>
      <c r="B137" s="781">
        <v>43850</v>
      </c>
      <c r="C137" s="894" t="s">
        <v>1082</v>
      </c>
      <c r="D137" s="534" t="s">
        <v>808</v>
      </c>
      <c r="E137" s="534"/>
      <c r="F137" s="832" t="s">
        <v>764</v>
      </c>
      <c r="G137" s="832" t="s">
        <v>407</v>
      </c>
      <c r="H137" s="832" t="s">
        <v>764</v>
      </c>
      <c r="I137" s="832" t="s">
        <v>764</v>
      </c>
      <c r="J137" s="534"/>
      <c r="K137" s="534" t="s">
        <v>773</v>
      </c>
    </row>
    <row r="138" spans="1:11" ht="28.8">
      <c r="A138" s="1155"/>
      <c r="B138" s="781">
        <v>43850</v>
      </c>
      <c r="C138" s="894" t="s">
        <v>1083</v>
      </c>
      <c r="D138" s="534" t="s">
        <v>808</v>
      </c>
      <c r="E138" s="534"/>
      <c r="F138" s="832" t="s">
        <v>764</v>
      </c>
      <c r="G138" s="832" t="s">
        <v>407</v>
      </c>
      <c r="H138" s="832" t="s">
        <v>764</v>
      </c>
      <c r="I138" s="832" t="s">
        <v>764</v>
      </c>
      <c r="J138" s="534"/>
      <c r="K138" s="534" t="s">
        <v>773</v>
      </c>
    </row>
    <row r="139" spans="1:11">
      <c r="A139" s="1155"/>
      <c r="B139" s="777">
        <v>43850</v>
      </c>
      <c r="C139" s="1163" t="s">
        <v>1070</v>
      </c>
      <c r="D139" s="534" t="s">
        <v>808</v>
      </c>
      <c r="E139" s="534"/>
      <c r="F139" s="832" t="s">
        <v>764</v>
      </c>
      <c r="G139" s="832" t="s">
        <v>407</v>
      </c>
      <c r="H139" s="832" t="s">
        <v>764</v>
      </c>
      <c r="I139" s="832" t="s">
        <v>764</v>
      </c>
      <c r="J139" s="534"/>
      <c r="K139" s="534" t="s">
        <v>773</v>
      </c>
    </row>
    <row r="140" spans="1:11">
      <c r="A140" s="1155"/>
      <c r="B140" s="777">
        <v>43850</v>
      </c>
      <c r="C140" s="1163" t="s">
        <v>1071</v>
      </c>
      <c r="D140" s="534" t="s">
        <v>808</v>
      </c>
      <c r="E140" s="534"/>
      <c r="F140" s="832" t="s">
        <v>764</v>
      </c>
      <c r="G140" s="832" t="s">
        <v>407</v>
      </c>
      <c r="H140" s="832" t="s">
        <v>764</v>
      </c>
      <c r="I140" s="832" t="s">
        <v>764</v>
      </c>
      <c r="J140" s="534"/>
      <c r="K140" s="534" t="s">
        <v>773</v>
      </c>
    </row>
    <row r="141" spans="1:11" ht="28.8">
      <c r="A141" s="1155"/>
      <c r="B141" s="777">
        <v>43850</v>
      </c>
      <c r="C141" s="894" t="s">
        <v>1079</v>
      </c>
      <c r="D141" s="534" t="s">
        <v>808</v>
      </c>
      <c r="E141" s="534"/>
      <c r="F141" s="832" t="s">
        <v>764</v>
      </c>
      <c r="G141" s="832" t="s">
        <v>407</v>
      </c>
      <c r="H141" s="832"/>
      <c r="I141" s="832"/>
      <c r="J141" s="534"/>
      <c r="K141" s="534" t="s">
        <v>773</v>
      </c>
    </row>
    <row r="142" spans="1:11">
      <c r="A142" s="1155"/>
      <c r="B142" s="777">
        <v>43850</v>
      </c>
      <c r="C142" s="1163" t="s">
        <v>1084</v>
      </c>
      <c r="D142" s="534" t="s">
        <v>808</v>
      </c>
      <c r="E142" s="534"/>
      <c r="F142" s="832" t="s">
        <v>764</v>
      </c>
      <c r="G142" s="832" t="s">
        <v>407</v>
      </c>
      <c r="H142" s="832" t="s">
        <v>764</v>
      </c>
      <c r="I142" s="832" t="s">
        <v>764</v>
      </c>
      <c r="J142" s="534"/>
      <c r="K142" s="534" t="s">
        <v>773</v>
      </c>
    </row>
    <row r="143" spans="1:11">
      <c r="A143" s="1155"/>
      <c r="B143" s="777">
        <v>43850</v>
      </c>
      <c r="C143" s="1163" t="s">
        <v>1085</v>
      </c>
      <c r="D143" s="534" t="s">
        <v>808</v>
      </c>
      <c r="E143" s="534"/>
      <c r="F143" s="832" t="s">
        <v>764</v>
      </c>
      <c r="G143" s="832" t="s">
        <v>407</v>
      </c>
      <c r="H143" s="832" t="s">
        <v>764</v>
      </c>
      <c r="I143" s="832" t="s">
        <v>764</v>
      </c>
      <c r="J143" s="534"/>
      <c r="K143" s="534" t="s">
        <v>773</v>
      </c>
    </row>
    <row r="144" spans="1:11">
      <c r="A144" s="1155"/>
      <c r="B144" s="777">
        <v>43850</v>
      </c>
      <c r="C144" s="1163" t="s">
        <v>1086</v>
      </c>
      <c r="D144" s="534" t="s">
        <v>808</v>
      </c>
      <c r="E144" s="534"/>
      <c r="F144" s="832" t="s">
        <v>764</v>
      </c>
      <c r="G144" s="832" t="s">
        <v>407</v>
      </c>
      <c r="H144" s="832"/>
      <c r="I144" s="832"/>
      <c r="J144" s="534"/>
      <c r="K144" s="534" t="s">
        <v>773</v>
      </c>
    </row>
    <row r="145" spans="1:11">
      <c r="A145" s="779"/>
      <c r="B145" s="777">
        <v>43851</v>
      </c>
      <c r="C145" s="1163" t="s">
        <v>1098</v>
      </c>
      <c r="D145" s="534" t="s">
        <v>768</v>
      </c>
      <c r="E145" s="534" t="s">
        <v>763</v>
      </c>
      <c r="F145" s="832" t="s">
        <v>764</v>
      </c>
      <c r="G145" s="832" t="s">
        <v>1097</v>
      </c>
      <c r="H145" s="832"/>
      <c r="I145" s="832"/>
      <c r="J145" s="534"/>
      <c r="K145" s="534" t="s">
        <v>773</v>
      </c>
    </row>
    <row r="146" spans="1:11">
      <c r="A146" s="779"/>
      <c r="B146" s="777">
        <v>43851</v>
      </c>
      <c r="C146" s="1163" t="s">
        <v>1088</v>
      </c>
      <c r="D146" s="534" t="s">
        <v>768</v>
      </c>
      <c r="E146" s="534" t="s">
        <v>758</v>
      </c>
      <c r="F146" s="832" t="s">
        <v>764</v>
      </c>
      <c r="G146" s="832" t="s">
        <v>407</v>
      </c>
      <c r="H146" s="832" t="s">
        <v>764</v>
      </c>
      <c r="I146" s="832" t="s">
        <v>764</v>
      </c>
      <c r="J146" s="534"/>
      <c r="K146" s="534" t="s">
        <v>773</v>
      </c>
    </row>
    <row r="147" spans="1:11">
      <c r="A147" s="1185"/>
      <c r="B147" s="1185"/>
      <c r="C147" s="1185"/>
      <c r="D147" s="1185"/>
      <c r="E147" s="1185"/>
      <c r="F147" s="1185"/>
      <c r="G147" s="1185"/>
      <c r="H147" s="1185"/>
      <c r="I147" s="1185"/>
      <c r="J147" s="1185"/>
      <c r="K147" s="1185"/>
    </row>
    <row r="148" spans="1:11">
      <c r="A148" s="2174" t="s">
        <v>1103</v>
      </c>
      <c r="B148" s="2175"/>
      <c r="C148" s="2175"/>
      <c r="D148" s="2175"/>
      <c r="E148" s="2175"/>
      <c r="F148" s="2175"/>
      <c r="G148" s="2175"/>
      <c r="H148" s="2175"/>
      <c r="I148" s="2175"/>
      <c r="J148" s="2175"/>
      <c r="K148" s="2176"/>
    </row>
    <row r="149" spans="1:11">
      <c r="A149" s="1155"/>
      <c r="B149" s="777">
        <v>43879</v>
      </c>
      <c r="C149" s="1163" t="s">
        <v>1136</v>
      </c>
      <c r="D149" s="534" t="s">
        <v>768</v>
      </c>
      <c r="E149" s="534"/>
      <c r="F149" s="832" t="s">
        <v>764</v>
      </c>
      <c r="G149" s="832" t="s">
        <v>1097</v>
      </c>
      <c r="H149" s="832" t="s">
        <v>764</v>
      </c>
      <c r="I149" s="832" t="s">
        <v>764</v>
      </c>
      <c r="J149" s="534"/>
      <c r="K149" s="534" t="s">
        <v>773</v>
      </c>
    </row>
    <row r="150" spans="1:11">
      <c r="A150" s="1185"/>
      <c r="B150" s="1185"/>
      <c r="C150" s="1185"/>
      <c r="D150" s="1185"/>
      <c r="E150" s="1185"/>
      <c r="F150" s="1185"/>
      <c r="G150" s="1185"/>
      <c r="H150" s="1185"/>
      <c r="I150" s="1185"/>
      <c r="J150" s="1185"/>
      <c r="K150" s="1185"/>
    </row>
    <row r="151" spans="1:11">
      <c r="A151" s="2174" t="s">
        <v>1133</v>
      </c>
      <c r="B151" s="2175"/>
      <c r="C151" s="2175"/>
      <c r="D151" s="2175"/>
      <c r="E151" s="2175"/>
      <c r="F151" s="2175"/>
      <c r="G151" s="2175"/>
      <c r="H151" s="2175"/>
      <c r="I151" s="2175"/>
      <c r="J151" s="2175"/>
      <c r="K151" s="2176"/>
    </row>
    <row r="152" spans="1:11">
      <c r="A152" s="779"/>
      <c r="B152" s="777">
        <v>43908</v>
      </c>
      <c r="C152" s="1163" t="s">
        <v>1134</v>
      </c>
      <c r="D152" s="534" t="s">
        <v>765</v>
      </c>
      <c r="E152" s="534"/>
      <c r="F152" s="832" t="s">
        <v>764</v>
      </c>
      <c r="G152" s="832" t="s">
        <v>1040</v>
      </c>
      <c r="H152" s="832" t="s">
        <v>764</v>
      </c>
      <c r="I152" s="832" t="s">
        <v>764</v>
      </c>
      <c r="J152" s="534"/>
      <c r="K152" s="534" t="s">
        <v>773</v>
      </c>
    </row>
    <row r="153" spans="1:11">
      <c r="A153" s="1155"/>
      <c r="B153" s="777">
        <v>43914</v>
      </c>
      <c r="C153" s="1163" t="s">
        <v>1135</v>
      </c>
      <c r="D153" s="534" t="s">
        <v>767</v>
      </c>
      <c r="E153" s="534"/>
      <c r="F153" s="832" t="s">
        <v>764</v>
      </c>
      <c r="G153" s="832" t="s">
        <v>1040</v>
      </c>
      <c r="H153" s="832" t="s">
        <v>764</v>
      </c>
      <c r="I153" s="832" t="s">
        <v>764</v>
      </c>
      <c r="J153" s="534"/>
      <c r="K153" s="534" t="s">
        <v>773</v>
      </c>
    </row>
    <row r="154" spans="1:11">
      <c r="A154" s="779"/>
      <c r="B154" s="777">
        <v>43931</v>
      </c>
      <c r="C154" s="1163" t="s">
        <v>1137</v>
      </c>
      <c r="D154" s="534" t="s">
        <v>765</v>
      </c>
      <c r="E154" s="534"/>
      <c r="F154" s="832" t="s">
        <v>764</v>
      </c>
      <c r="G154" s="832" t="s">
        <v>1040</v>
      </c>
      <c r="H154" s="832" t="s">
        <v>764</v>
      </c>
      <c r="I154" s="832" t="s">
        <v>764</v>
      </c>
      <c r="J154" s="534"/>
      <c r="K154" s="534" t="s">
        <v>773</v>
      </c>
    </row>
    <row r="155" spans="1:11">
      <c r="A155" s="1185"/>
      <c r="B155" s="1185"/>
      <c r="C155" s="1185"/>
      <c r="D155" s="1185"/>
      <c r="E155" s="1185"/>
      <c r="F155" s="1185"/>
      <c r="G155" s="1185"/>
      <c r="H155" s="1185"/>
      <c r="I155" s="1185"/>
      <c r="J155" s="1185"/>
      <c r="K155" s="1185"/>
    </row>
    <row r="156" spans="1:11">
      <c r="A156" s="2174" t="s">
        <v>506</v>
      </c>
      <c r="B156" s="2175"/>
      <c r="C156" s="2175"/>
      <c r="D156" s="2175"/>
      <c r="E156" s="2175"/>
      <c r="F156" s="2175"/>
      <c r="G156" s="2175"/>
      <c r="H156" s="2175"/>
      <c r="I156" s="2175"/>
      <c r="J156" s="2175"/>
      <c r="K156" s="2176"/>
    </row>
    <row r="157" spans="1:11">
      <c r="A157" s="779"/>
      <c r="B157" s="777">
        <v>43942</v>
      </c>
      <c r="C157" s="1163" t="s">
        <v>1138</v>
      </c>
      <c r="D157" s="534" t="s">
        <v>768</v>
      </c>
      <c r="E157" s="534"/>
      <c r="F157" s="832" t="s">
        <v>764</v>
      </c>
      <c r="G157" s="832"/>
      <c r="H157" s="832" t="s">
        <v>764</v>
      </c>
      <c r="I157" s="832" t="s">
        <v>764</v>
      </c>
      <c r="J157" s="534"/>
      <c r="K157" s="534" t="s">
        <v>773</v>
      </c>
    </row>
    <row r="158" spans="1:11">
      <c r="A158" s="779"/>
      <c r="B158" s="777">
        <v>43942</v>
      </c>
      <c r="C158" s="1163" t="s">
        <v>1138</v>
      </c>
      <c r="D158" s="534" t="s">
        <v>767</v>
      </c>
      <c r="E158" s="534"/>
      <c r="F158" s="832" t="s">
        <v>764</v>
      </c>
      <c r="G158" s="832"/>
      <c r="H158" s="832" t="s">
        <v>764</v>
      </c>
      <c r="I158" s="832" t="s">
        <v>764</v>
      </c>
      <c r="J158" s="534"/>
      <c r="K158" s="534" t="s">
        <v>773</v>
      </c>
    </row>
    <row r="159" spans="1:11">
      <c r="A159" s="1155"/>
      <c r="B159" s="777">
        <v>43942</v>
      </c>
      <c r="C159" s="1163" t="s">
        <v>1139</v>
      </c>
      <c r="D159" s="534" t="s">
        <v>767</v>
      </c>
      <c r="E159" s="534"/>
      <c r="F159" s="832" t="s">
        <v>764</v>
      </c>
      <c r="G159" s="832"/>
      <c r="H159" s="832" t="s">
        <v>764</v>
      </c>
      <c r="I159" s="832" t="s">
        <v>764</v>
      </c>
      <c r="J159" s="534"/>
      <c r="K159" s="534" t="s">
        <v>773</v>
      </c>
    </row>
    <row r="160" spans="1:11">
      <c r="A160" s="1185"/>
      <c r="B160" s="1185"/>
      <c r="C160" s="1185"/>
      <c r="D160" s="1185"/>
      <c r="E160" s="1185"/>
      <c r="F160" s="1185"/>
      <c r="G160" s="1185"/>
      <c r="H160" s="1185"/>
      <c r="I160" s="1185"/>
      <c r="J160" s="1185"/>
      <c r="K160" s="1185"/>
    </row>
    <row r="161" spans="1:11">
      <c r="A161" s="2174" t="s">
        <v>1144</v>
      </c>
      <c r="B161" s="2175"/>
      <c r="C161" s="2175"/>
      <c r="D161" s="2175"/>
      <c r="E161" s="2175"/>
      <c r="F161" s="2175"/>
      <c r="G161" s="2175"/>
      <c r="H161" s="2175"/>
      <c r="I161" s="2175"/>
      <c r="J161" s="2175"/>
      <c r="K161" s="2176"/>
    </row>
    <row r="162" spans="1:11">
      <c r="A162" s="779"/>
      <c r="B162" s="777">
        <v>43970</v>
      </c>
      <c r="C162" s="1163" t="s">
        <v>1146</v>
      </c>
      <c r="D162" s="534" t="s">
        <v>767</v>
      </c>
      <c r="E162" s="534"/>
      <c r="F162" s="832" t="s">
        <v>764</v>
      </c>
      <c r="G162" s="832" t="s">
        <v>764</v>
      </c>
      <c r="H162" s="832" t="s">
        <v>764</v>
      </c>
      <c r="I162" s="832" t="s">
        <v>764</v>
      </c>
      <c r="J162" s="534"/>
      <c r="K162" s="534" t="s">
        <v>773</v>
      </c>
    </row>
    <row r="163" spans="1:11">
      <c r="A163" s="779"/>
      <c r="B163" s="777">
        <v>43970</v>
      </c>
      <c r="C163" s="1163" t="s">
        <v>1145</v>
      </c>
      <c r="D163" s="534" t="s">
        <v>767</v>
      </c>
      <c r="E163" s="534"/>
      <c r="F163" s="832" t="s">
        <v>764</v>
      </c>
      <c r="G163" s="832" t="s">
        <v>764</v>
      </c>
      <c r="H163" s="832" t="s">
        <v>764</v>
      </c>
      <c r="I163" s="832" t="s">
        <v>764</v>
      </c>
      <c r="J163" s="534"/>
      <c r="K163" s="534" t="s">
        <v>773</v>
      </c>
    </row>
    <row r="164" spans="1:11">
      <c r="A164" s="1155"/>
      <c r="B164" s="777">
        <v>43970</v>
      </c>
      <c r="C164" s="1163" t="s">
        <v>1147</v>
      </c>
      <c r="D164" s="534" t="s">
        <v>768</v>
      </c>
      <c r="E164" s="534"/>
      <c r="F164" s="832" t="s">
        <v>764</v>
      </c>
      <c r="G164" s="832" t="s">
        <v>71</v>
      </c>
      <c r="H164" s="832" t="s">
        <v>764</v>
      </c>
      <c r="I164" s="832" t="s">
        <v>764</v>
      </c>
      <c r="J164" s="534"/>
      <c r="K164" s="534" t="s">
        <v>773</v>
      </c>
    </row>
    <row r="165" spans="1:11">
      <c r="A165" s="779"/>
      <c r="B165" s="777">
        <v>43970</v>
      </c>
      <c r="C165" s="1163" t="s">
        <v>1148</v>
      </c>
      <c r="D165" s="534" t="s">
        <v>768</v>
      </c>
      <c r="E165" s="534"/>
      <c r="F165" s="832" t="s">
        <v>764</v>
      </c>
      <c r="G165" s="832" t="s">
        <v>71</v>
      </c>
      <c r="H165" s="832" t="s">
        <v>764</v>
      </c>
      <c r="I165" s="832" t="s">
        <v>764</v>
      </c>
      <c r="J165" s="534"/>
      <c r="K165" s="534" t="s">
        <v>773</v>
      </c>
    </row>
    <row r="166" spans="1:11">
      <c r="A166" s="779"/>
      <c r="B166" s="777">
        <v>43970</v>
      </c>
      <c r="C166" s="1163" t="s">
        <v>1149</v>
      </c>
      <c r="D166" s="534" t="s">
        <v>768</v>
      </c>
      <c r="E166" s="534"/>
      <c r="F166" s="832" t="s">
        <v>764</v>
      </c>
      <c r="G166" s="832" t="s">
        <v>764</v>
      </c>
      <c r="H166" s="832" t="s">
        <v>764</v>
      </c>
      <c r="I166" s="832" t="s">
        <v>764</v>
      </c>
      <c r="J166" s="534"/>
      <c r="K166" s="534" t="s">
        <v>773</v>
      </c>
    </row>
    <row r="167" spans="1:11">
      <c r="A167" s="779"/>
      <c r="B167" s="777">
        <v>43970</v>
      </c>
      <c r="C167" s="1163" t="s">
        <v>1178</v>
      </c>
      <c r="D167" s="534" t="s">
        <v>768</v>
      </c>
      <c r="E167" s="534"/>
      <c r="F167" s="832" t="s">
        <v>764</v>
      </c>
      <c r="G167" s="832" t="s">
        <v>764</v>
      </c>
      <c r="H167" s="832" t="s">
        <v>764</v>
      </c>
      <c r="I167" s="832" t="s">
        <v>764</v>
      </c>
      <c r="J167" s="534"/>
      <c r="K167" s="534" t="s">
        <v>773</v>
      </c>
    </row>
    <row r="168" spans="1:11">
      <c r="A168" s="1185"/>
      <c r="B168" s="1185"/>
      <c r="C168" s="1185"/>
      <c r="D168" s="1185"/>
      <c r="E168" s="1185"/>
      <c r="F168" s="1185"/>
      <c r="G168" s="1185"/>
      <c r="H168" s="1185"/>
      <c r="I168" s="1185"/>
      <c r="J168" s="1185"/>
      <c r="K168" s="1185"/>
    </row>
    <row r="169" spans="1:11">
      <c r="A169" s="2174" t="s">
        <v>1179</v>
      </c>
      <c r="B169" s="2175"/>
      <c r="C169" s="2175"/>
      <c r="D169" s="2175"/>
      <c r="E169" s="2175"/>
      <c r="F169" s="2175"/>
      <c r="G169" s="2175"/>
      <c r="H169" s="2175"/>
      <c r="I169" s="2175"/>
      <c r="J169" s="2175"/>
      <c r="K169" s="2176"/>
    </row>
    <row r="170" spans="1:11">
      <c r="A170" s="1155"/>
      <c r="B170" s="777">
        <v>43998</v>
      </c>
      <c r="C170" s="1163" t="s">
        <v>1181</v>
      </c>
      <c r="D170" s="534" t="s">
        <v>768</v>
      </c>
      <c r="E170" s="534"/>
      <c r="F170" s="832" t="s">
        <v>764</v>
      </c>
      <c r="G170" s="832"/>
      <c r="H170" s="832" t="s">
        <v>764</v>
      </c>
      <c r="I170" s="832" t="s">
        <v>764</v>
      </c>
      <c r="J170" s="534"/>
      <c r="K170" s="534" t="s">
        <v>773</v>
      </c>
    </row>
    <row r="171" spans="1:11">
      <c r="A171" s="779"/>
      <c r="B171" s="777">
        <v>43998</v>
      </c>
      <c r="C171" s="1163" t="s">
        <v>1180</v>
      </c>
      <c r="D171" s="534" t="s">
        <v>808</v>
      </c>
      <c r="E171" s="534"/>
      <c r="F171" s="832" t="s">
        <v>764</v>
      </c>
      <c r="G171" s="1037" t="s">
        <v>764</v>
      </c>
      <c r="H171" s="832" t="s">
        <v>764</v>
      </c>
      <c r="I171" s="832" t="s">
        <v>764</v>
      </c>
      <c r="J171" s="534"/>
      <c r="K171" s="534" t="s">
        <v>773</v>
      </c>
    </row>
    <row r="172" spans="1:11">
      <c r="A172" s="1155"/>
      <c r="B172" s="777">
        <v>43998</v>
      </c>
      <c r="C172" s="1163" t="s">
        <v>1206</v>
      </c>
      <c r="D172" s="534" t="s">
        <v>765</v>
      </c>
      <c r="E172" s="534"/>
      <c r="F172" s="832" t="s">
        <v>764</v>
      </c>
      <c r="G172" s="832" t="s">
        <v>764</v>
      </c>
      <c r="H172" s="832" t="s">
        <v>764</v>
      </c>
      <c r="I172" s="832" t="s">
        <v>764</v>
      </c>
      <c r="J172" s="534"/>
      <c r="K172" s="534" t="s">
        <v>773</v>
      </c>
    </row>
    <row r="173" spans="1:11">
      <c r="A173" s="779"/>
      <c r="B173" s="777">
        <v>43998</v>
      </c>
      <c r="C173" s="1163" t="s">
        <v>1207</v>
      </c>
      <c r="D173" s="534" t="s">
        <v>768</v>
      </c>
      <c r="E173" s="534"/>
      <c r="F173" s="832" t="s">
        <v>764</v>
      </c>
      <c r="G173" s="832" t="s">
        <v>764</v>
      </c>
      <c r="H173" s="832" t="s">
        <v>764</v>
      </c>
      <c r="I173" s="832" t="s">
        <v>764</v>
      </c>
      <c r="J173" s="534"/>
      <c r="K173" s="534" t="s">
        <v>773</v>
      </c>
    </row>
    <row r="174" spans="1:11">
      <c r="A174" s="779"/>
      <c r="B174" s="777">
        <v>43998</v>
      </c>
      <c r="C174" s="1163" t="s">
        <v>1208</v>
      </c>
      <c r="D174" s="534" t="s">
        <v>768</v>
      </c>
      <c r="E174" s="534"/>
      <c r="F174" s="832" t="s">
        <v>764</v>
      </c>
      <c r="G174" s="832"/>
      <c r="H174" s="832" t="s">
        <v>764</v>
      </c>
      <c r="I174" s="832" t="s">
        <v>764</v>
      </c>
      <c r="J174" s="534"/>
      <c r="K174" s="534" t="s">
        <v>773</v>
      </c>
    </row>
    <row r="175" spans="1:11">
      <c r="A175" s="779"/>
      <c r="B175" s="777">
        <v>44007</v>
      </c>
      <c r="C175" s="1163" t="s">
        <v>1248</v>
      </c>
      <c r="D175" s="534" t="s">
        <v>768</v>
      </c>
      <c r="E175" s="534"/>
      <c r="F175" s="832" t="s">
        <v>764</v>
      </c>
      <c r="G175" s="832" t="s">
        <v>764</v>
      </c>
      <c r="H175" s="832" t="s">
        <v>764</v>
      </c>
      <c r="I175" s="832" t="s">
        <v>764</v>
      </c>
      <c r="J175" s="534"/>
      <c r="K175" s="534" t="s">
        <v>773</v>
      </c>
    </row>
    <row r="176" spans="1:11">
      <c r="A176" s="779"/>
      <c r="B176" s="777">
        <v>44013</v>
      </c>
      <c r="C176" s="1163" t="s">
        <v>1257</v>
      </c>
      <c r="D176" s="534" t="s">
        <v>768</v>
      </c>
      <c r="E176" s="534"/>
      <c r="F176" s="832" t="s">
        <v>634</v>
      </c>
      <c r="G176" s="832" t="s">
        <v>764</v>
      </c>
      <c r="H176" s="832" t="s">
        <v>634</v>
      </c>
      <c r="I176" s="832" t="s">
        <v>634</v>
      </c>
      <c r="J176" s="534"/>
      <c r="K176" s="534" t="s">
        <v>773</v>
      </c>
    </row>
    <row r="177" spans="1:11">
      <c r="A177" s="779"/>
      <c r="B177" s="777">
        <v>44013</v>
      </c>
      <c r="C177" s="1163" t="s">
        <v>1260</v>
      </c>
      <c r="D177" s="534" t="s">
        <v>767</v>
      </c>
      <c r="E177" s="534"/>
      <c r="F177" s="832" t="s">
        <v>634</v>
      </c>
      <c r="G177" s="832" t="s">
        <v>634</v>
      </c>
      <c r="H177" s="832" t="s">
        <v>764</v>
      </c>
      <c r="I177" s="832" t="s">
        <v>764</v>
      </c>
      <c r="J177" s="534"/>
      <c r="K177" s="534" t="s">
        <v>773</v>
      </c>
    </row>
    <row r="178" spans="1:11">
      <c r="A178" s="779"/>
      <c r="B178" s="777">
        <v>44013</v>
      </c>
      <c r="C178" s="1163" t="s">
        <v>1261</v>
      </c>
      <c r="D178" s="534" t="s">
        <v>808</v>
      </c>
      <c r="E178" s="534"/>
      <c r="F178" s="832" t="s">
        <v>634</v>
      </c>
      <c r="G178" s="832" t="s">
        <v>634</v>
      </c>
      <c r="H178" s="832" t="s">
        <v>764</v>
      </c>
      <c r="I178" s="832" t="s">
        <v>764</v>
      </c>
      <c r="J178" s="534"/>
      <c r="K178" s="534" t="s">
        <v>773</v>
      </c>
    </row>
    <row r="179" spans="1:11">
      <c r="A179" s="1185"/>
      <c r="B179" s="1185"/>
      <c r="C179" s="1185"/>
      <c r="D179" s="1185"/>
      <c r="E179" s="1185"/>
      <c r="F179" s="1185"/>
      <c r="G179" s="1185"/>
      <c r="H179" s="1185"/>
      <c r="I179" s="1185"/>
      <c r="J179" s="1185"/>
      <c r="K179" s="1185"/>
    </row>
    <row r="180" spans="1:11">
      <c r="A180" s="2174" t="s">
        <v>1265</v>
      </c>
      <c r="B180" s="2175"/>
      <c r="C180" s="2175"/>
      <c r="D180" s="2175"/>
      <c r="E180" s="2175"/>
      <c r="F180" s="2175"/>
      <c r="G180" s="2175"/>
      <c r="H180" s="2175"/>
      <c r="I180" s="2175"/>
      <c r="J180" s="2175"/>
      <c r="K180" s="2176"/>
    </row>
    <row r="181" spans="1:11">
      <c r="A181" s="1155"/>
      <c r="B181" s="777">
        <v>44053</v>
      </c>
      <c r="C181" s="1163" t="s">
        <v>1266</v>
      </c>
      <c r="D181" s="534" t="s">
        <v>767</v>
      </c>
      <c r="E181" s="534"/>
      <c r="F181" s="832" t="s">
        <v>764</v>
      </c>
      <c r="G181" s="832" t="s">
        <v>764</v>
      </c>
      <c r="H181" s="832" t="s">
        <v>764</v>
      </c>
      <c r="I181" s="832" t="s">
        <v>764</v>
      </c>
      <c r="J181" s="534"/>
      <c r="K181" s="534" t="s">
        <v>1267</v>
      </c>
    </row>
    <row r="182" spans="1:11">
      <c r="A182" s="779"/>
      <c r="B182" s="777">
        <v>44061</v>
      </c>
      <c r="C182" s="1163" t="s">
        <v>1268</v>
      </c>
      <c r="D182" s="534" t="s">
        <v>768</v>
      </c>
      <c r="E182" s="534"/>
      <c r="F182" s="832"/>
      <c r="G182" s="1037"/>
      <c r="H182" s="832"/>
      <c r="I182" s="832"/>
      <c r="J182" s="534"/>
      <c r="K182" s="534" t="s">
        <v>1267</v>
      </c>
    </row>
    <row r="183" spans="1:11">
      <c r="A183" s="779"/>
      <c r="B183" s="777">
        <v>44062</v>
      </c>
      <c r="C183" s="1163" t="s">
        <v>1269</v>
      </c>
      <c r="D183" s="534" t="s">
        <v>768</v>
      </c>
      <c r="E183" s="534"/>
      <c r="F183" s="832" t="s">
        <v>764</v>
      </c>
      <c r="G183" s="1037" t="s">
        <v>764</v>
      </c>
      <c r="H183" s="832" t="s">
        <v>764</v>
      </c>
      <c r="I183" s="832" t="s">
        <v>764</v>
      </c>
      <c r="J183" s="534"/>
      <c r="K183" s="534" t="s">
        <v>1267</v>
      </c>
    </row>
    <row r="184" spans="1:11">
      <c r="A184" s="1155"/>
      <c r="B184" s="777">
        <v>44068</v>
      </c>
      <c r="C184" s="1163" t="s">
        <v>1270</v>
      </c>
      <c r="D184" s="534" t="s">
        <v>765</v>
      </c>
      <c r="E184" s="534"/>
      <c r="F184" s="832" t="s">
        <v>764</v>
      </c>
      <c r="G184" s="832" t="s">
        <v>764</v>
      </c>
      <c r="H184" s="832" t="s">
        <v>764</v>
      </c>
      <c r="I184" s="832" t="s">
        <v>764</v>
      </c>
      <c r="J184" s="534"/>
      <c r="K184" s="534" t="s">
        <v>773</v>
      </c>
    </row>
    <row r="185" spans="1:11">
      <c r="A185" s="1155"/>
      <c r="B185" s="777">
        <v>44077</v>
      </c>
      <c r="C185" s="1163" t="s">
        <v>1276</v>
      </c>
      <c r="D185" s="534" t="s">
        <v>808</v>
      </c>
      <c r="E185" s="534"/>
      <c r="F185" s="832" t="s">
        <v>634</v>
      </c>
      <c r="G185" s="832" t="s">
        <v>634</v>
      </c>
      <c r="H185" s="832" t="s">
        <v>764</v>
      </c>
      <c r="I185" s="832" t="s">
        <v>764</v>
      </c>
      <c r="J185" s="534"/>
      <c r="K185" s="534" t="s">
        <v>773</v>
      </c>
    </row>
    <row r="186" spans="1:11">
      <c r="A186" s="1185"/>
      <c r="B186" s="1185"/>
      <c r="C186" s="1185"/>
      <c r="D186" s="1185"/>
      <c r="E186" s="1185"/>
      <c r="F186" s="1185"/>
      <c r="G186" s="1185"/>
      <c r="H186" s="1185"/>
      <c r="I186" s="1185"/>
      <c r="J186" s="1185"/>
      <c r="K186" s="1185"/>
    </row>
    <row r="187" spans="1:11">
      <c r="A187" s="2174" t="s">
        <v>1277</v>
      </c>
      <c r="B187" s="2175"/>
      <c r="C187" s="2175"/>
      <c r="D187" s="2175"/>
      <c r="E187" s="2175"/>
      <c r="F187" s="2175"/>
      <c r="G187" s="2175"/>
      <c r="H187" s="2175"/>
      <c r="I187" s="2175"/>
      <c r="J187" s="2175"/>
      <c r="K187" s="2176"/>
    </row>
    <row r="188" spans="1:11">
      <c r="A188" s="779"/>
      <c r="B188" s="777">
        <v>44092</v>
      </c>
      <c r="C188" s="1163" t="s">
        <v>1283</v>
      </c>
      <c r="D188" s="534" t="s">
        <v>768</v>
      </c>
      <c r="E188" s="534" t="s">
        <v>758</v>
      </c>
      <c r="F188" s="832" t="s">
        <v>764</v>
      </c>
      <c r="G188" s="1037" t="s">
        <v>634</v>
      </c>
      <c r="H188" s="832" t="s">
        <v>634</v>
      </c>
      <c r="I188" s="832" t="s">
        <v>634</v>
      </c>
      <c r="J188" s="534"/>
      <c r="K188" s="534" t="s">
        <v>773</v>
      </c>
    </row>
    <row r="189" spans="1:11">
      <c r="A189" s="779"/>
      <c r="B189" s="777">
        <v>44092</v>
      </c>
      <c r="C189" s="1163" t="s">
        <v>1278</v>
      </c>
      <c r="D189" s="534" t="s">
        <v>765</v>
      </c>
      <c r="E189" s="534"/>
      <c r="F189" s="832" t="s">
        <v>764</v>
      </c>
      <c r="G189" s="1037" t="s">
        <v>764</v>
      </c>
      <c r="H189" s="832" t="s">
        <v>764</v>
      </c>
      <c r="I189" s="832" t="s">
        <v>764</v>
      </c>
      <c r="J189" s="534"/>
      <c r="K189" s="534" t="s">
        <v>773</v>
      </c>
    </row>
    <row r="190" spans="1:11">
      <c r="A190" s="779"/>
      <c r="B190" s="777">
        <v>44092</v>
      </c>
      <c r="C190" s="1163" t="s">
        <v>1279</v>
      </c>
      <c r="D190" s="534" t="s">
        <v>765</v>
      </c>
      <c r="E190" s="534" t="s">
        <v>758</v>
      </c>
      <c r="F190" s="832" t="s">
        <v>764</v>
      </c>
      <c r="G190" s="1037" t="s">
        <v>1293</v>
      </c>
      <c r="H190" s="1037" t="s">
        <v>1293</v>
      </c>
      <c r="I190" s="1037" t="s">
        <v>1293</v>
      </c>
      <c r="J190" s="534"/>
      <c r="K190" s="534" t="s">
        <v>773</v>
      </c>
    </row>
    <row r="191" spans="1:11">
      <c r="A191" s="779"/>
      <c r="B191" s="777">
        <v>44092</v>
      </c>
      <c r="C191" s="1163" t="s">
        <v>1280</v>
      </c>
      <c r="D191" s="534" t="s">
        <v>808</v>
      </c>
      <c r="E191" s="534" t="s">
        <v>758</v>
      </c>
      <c r="F191" s="832" t="s">
        <v>764</v>
      </c>
      <c r="G191" s="1037" t="s">
        <v>634</v>
      </c>
      <c r="H191" s="832" t="s">
        <v>764</v>
      </c>
      <c r="I191" s="832" t="s">
        <v>764</v>
      </c>
      <c r="J191" s="534"/>
      <c r="K191" s="534" t="s">
        <v>773</v>
      </c>
    </row>
    <row r="192" spans="1:11">
      <c r="A192" s="779"/>
      <c r="B192" s="777">
        <v>44092</v>
      </c>
      <c r="C192" s="1163" t="s">
        <v>1291</v>
      </c>
      <c r="D192" s="534" t="s">
        <v>768</v>
      </c>
      <c r="E192" s="534"/>
      <c r="F192" s="1066" t="s">
        <v>1293</v>
      </c>
      <c r="G192" s="1066" t="s">
        <v>1293</v>
      </c>
      <c r="H192" s="1066" t="s">
        <v>1293</v>
      </c>
      <c r="I192" s="1066" t="s">
        <v>1293</v>
      </c>
      <c r="J192" s="534"/>
      <c r="K192" s="534" t="s">
        <v>773</v>
      </c>
    </row>
    <row r="193" spans="1:11">
      <c r="A193" s="779"/>
      <c r="B193" s="777">
        <v>44092</v>
      </c>
      <c r="C193" s="1163" t="s">
        <v>1292</v>
      </c>
      <c r="D193" s="534" t="s">
        <v>765</v>
      </c>
      <c r="E193" s="534"/>
      <c r="F193" s="1066" t="s">
        <v>1293</v>
      </c>
      <c r="G193" s="1066" t="s">
        <v>1293</v>
      </c>
      <c r="H193" s="1066" t="s">
        <v>1293</v>
      </c>
      <c r="I193" s="1066" t="s">
        <v>1293</v>
      </c>
      <c r="J193" s="534"/>
      <c r="K193" s="534" t="s">
        <v>773</v>
      </c>
    </row>
    <row r="194" spans="1:11">
      <c r="A194" s="779"/>
      <c r="B194" s="777">
        <v>44092</v>
      </c>
      <c r="C194" s="1163" t="s">
        <v>1281</v>
      </c>
      <c r="D194" s="534" t="s">
        <v>1294</v>
      </c>
      <c r="E194" s="534"/>
      <c r="F194" s="832" t="s">
        <v>764</v>
      </c>
      <c r="G194" s="1066" t="s">
        <v>1293</v>
      </c>
      <c r="H194" s="1066" t="s">
        <v>1293</v>
      </c>
      <c r="I194" s="1066" t="s">
        <v>1293</v>
      </c>
      <c r="J194" s="534"/>
      <c r="K194" s="534" t="s">
        <v>773</v>
      </c>
    </row>
    <row r="195" spans="1:11">
      <c r="A195" s="779"/>
      <c r="B195" s="777">
        <v>44092</v>
      </c>
      <c r="C195" s="1163" t="s">
        <v>1282</v>
      </c>
      <c r="D195" s="534" t="s">
        <v>768</v>
      </c>
      <c r="E195" s="534"/>
      <c r="F195" s="832" t="s">
        <v>764</v>
      </c>
      <c r="G195" s="1037" t="s">
        <v>634</v>
      </c>
      <c r="H195" s="1037" t="s">
        <v>634</v>
      </c>
      <c r="I195" s="1037" t="s">
        <v>634</v>
      </c>
      <c r="J195" s="534"/>
      <c r="K195" s="534" t="s">
        <v>773</v>
      </c>
    </row>
    <row r="196" spans="1:11">
      <c r="A196" s="779"/>
      <c r="B196" s="777">
        <v>44092</v>
      </c>
      <c r="C196" s="1163" t="s">
        <v>1282</v>
      </c>
      <c r="D196" s="534" t="s">
        <v>765</v>
      </c>
      <c r="E196" s="534"/>
      <c r="F196" s="832" t="s">
        <v>764</v>
      </c>
      <c r="G196" s="1037" t="s">
        <v>634</v>
      </c>
      <c r="H196" s="1037" t="s">
        <v>634</v>
      </c>
      <c r="I196" s="1037" t="s">
        <v>634</v>
      </c>
      <c r="J196" s="534"/>
      <c r="K196" s="534" t="s">
        <v>773</v>
      </c>
    </row>
    <row r="197" spans="1:11">
      <c r="A197" s="779"/>
      <c r="B197" s="777">
        <v>44092</v>
      </c>
      <c r="C197" s="1163" t="s">
        <v>1282</v>
      </c>
      <c r="D197" s="534" t="s">
        <v>767</v>
      </c>
      <c r="E197" s="534"/>
      <c r="F197" s="832" t="s">
        <v>764</v>
      </c>
      <c r="G197" s="1037" t="s">
        <v>634</v>
      </c>
      <c r="H197" s="1037" t="s">
        <v>634</v>
      </c>
      <c r="I197" s="1037" t="s">
        <v>634</v>
      </c>
      <c r="J197" s="534"/>
      <c r="K197" s="534" t="s">
        <v>773</v>
      </c>
    </row>
    <row r="198" spans="1:11">
      <c r="A198" s="1155"/>
      <c r="B198" s="777">
        <v>44092</v>
      </c>
      <c r="C198" s="1163" t="s">
        <v>1206</v>
      </c>
      <c r="D198" s="534" t="s">
        <v>765</v>
      </c>
      <c r="E198" s="534"/>
      <c r="F198" s="832" t="s">
        <v>764</v>
      </c>
      <c r="G198" s="832" t="s">
        <v>764</v>
      </c>
      <c r="H198" s="832" t="s">
        <v>764</v>
      </c>
      <c r="I198" s="832" t="s">
        <v>764</v>
      </c>
      <c r="J198" s="534"/>
      <c r="K198" s="534" t="s">
        <v>773</v>
      </c>
    </row>
    <row r="199" spans="1:11">
      <c r="A199" s="1155"/>
      <c r="B199" s="777">
        <v>44092</v>
      </c>
      <c r="C199" s="1163" t="s">
        <v>1206</v>
      </c>
      <c r="D199" s="534" t="s">
        <v>767</v>
      </c>
      <c r="E199" s="534"/>
      <c r="F199" s="832" t="s">
        <v>764</v>
      </c>
      <c r="G199" s="832" t="s">
        <v>764</v>
      </c>
      <c r="H199" s="832" t="s">
        <v>764</v>
      </c>
      <c r="I199" s="832" t="s">
        <v>764</v>
      </c>
      <c r="J199" s="534"/>
      <c r="K199" s="534" t="s">
        <v>773</v>
      </c>
    </row>
    <row r="200" spans="1:11">
      <c r="A200" s="779"/>
      <c r="B200" s="777">
        <v>44111</v>
      </c>
      <c r="C200" s="1163" t="s">
        <v>1300</v>
      </c>
      <c r="D200" s="534" t="s">
        <v>768</v>
      </c>
      <c r="E200" s="534"/>
      <c r="F200" s="832" t="s">
        <v>764</v>
      </c>
      <c r="G200" s="1037" t="s">
        <v>764</v>
      </c>
      <c r="H200" s="1037" t="s">
        <v>764</v>
      </c>
      <c r="I200" s="1037" t="s">
        <v>764</v>
      </c>
      <c r="J200" s="534"/>
      <c r="K200" s="534" t="s">
        <v>773</v>
      </c>
    </row>
    <row r="201" spans="1:11">
      <c r="A201" s="779"/>
      <c r="B201" s="777">
        <v>44111</v>
      </c>
      <c r="C201" s="1163" t="s">
        <v>1301</v>
      </c>
      <c r="D201" s="534" t="s">
        <v>765</v>
      </c>
      <c r="E201" s="534"/>
      <c r="F201" s="832" t="s">
        <v>764</v>
      </c>
      <c r="G201" s="1037" t="s">
        <v>764</v>
      </c>
      <c r="H201" s="1037" t="s">
        <v>764</v>
      </c>
      <c r="I201" s="1037" t="s">
        <v>764</v>
      </c>
      <c r="J201" s="534"/>
      <c r="K201" s="534" t="s">
        <v>773</v>
      </c>
    </row>
    <row r="202" spans="1:11">
      <c r="A202" s="1185"/>
      <c r="B202" s="1185"/>
      <c r="C202" s="1185"/>
      <c r="D202" s="1185"/>
      <c r="E202" s="1185"/>
      <c r="F202" s="1185"/>
      <c r="G202" s="1185"/>
      <c r="H202" s="1185"/>
      <c r="I202" s="1185"/>
      <c r="J202" s="1185"/>
      <c r="K202" s="1185"/>
    </row>
    <row r="203" spans="1:11">
      <c r="A203" s="2174" t="s">
        <v>1302</v>
      </c>
      <c r="B203" s="2175"/>
      <c r="C203" s="2175"/>
      <c r="D203" s="2175"/>
      <c r="E203" s="2175"/>
      <c r="F203" s="2175"/>
      <c r="G203" s="2175"/>
      <c r="H203" s="2175"/>
      <c r="I203" s="2175"/>
      <c r="J203" s="2175"/>
      <c r="K203" s="2176"/>
    </row>
    <row r="204" spans="1:11">
      <c r="A204" s="779"/>
      <c r="B204" s="777">
        <v>44125</v>
      </c>
      <c r="C204" s="1163" t="s">
        <v>1308</v>
      </c>
      <c r="D204" s="534" t="s">
        <v>768</v>
      </c>
      <c r="E204" s="534" t="s">
        <v>758</v>
      </c>
      <c r="F204" s="832" t="s">
        <v>764</v>
      </c>
      <c r="G204" s="1037" t="s">
        <v>634</v>
      </c>
      <c r="H204" s="832" t="s">
        <v>764</v>
      </c>
      <c r="I204" s="832" t="s">
        <v>764</v>
      </c>
      <c r="J204" s="534"/>
      <c r="K204" s="534" t="s">
        <v>773</v>
      </c>
    </row>
    <row r="205" spans="1:11">
      <c r="A205" s="1155"/>
      <c r="B205" s="777">
        <v>44125</v>
      </c>
      <c r="C205" s="1163" t="s">
        <v>1309</v>
      </c>
      <c r="D205" s="534" t="s">
        <v>768</v>
      </c>
      <c r="E205" s="534" t="s">
        <v>758</v>
      </c>
      <c r="F205" s="832" t="s">
        <v>764</v>
      </c>
      <c r="G205" s="1037" t="s">
        <v>634</v>
      </c>
      <c r="H205" s="832" t="s">
        <v>764</v>
      </c>
      <c r="I205" s="832" t="s">
        <v>764</v>
      </c>
      <c r="J205" s="534"/>
      <c r="K205" s="534" t="s">
        <v>773</v>
      </c>
    </row>
    <row r="206" spans="1:11">
      <c r="A206" s="779"/>
      <c r="B206" s="777">
        <v>44125</v>
      </c>
      <c r="C206" s="1163" t="s">
        <v>1310</v>
      </c>
      <c r="D206" s="534" t="s">
        <v>768</v>
      </c>
      <c r="E206" s="534"/>
      <c r="F206" s="832" t="s">
        <v>764</v>
      </c>
      <c r="G206" s="1037" t="s">
        <v>764</v>
      </c>
      <c r="H206" s="832" t="s">
        <v>764</v>
      </c>
      <c r="I206" s="832" t="s">
        <v>764</v>
      </c>
      <c r="J206" s="534"/>
      <c r="K206" s="534" t="s">
        <v>773</v>
      </c>
    </row>
    <row r="207" spans="1:11">
      <c r="A207" s="779"/>
      <c r="B207" s="777">
        <v>44125</v>
      </c>
      <c r="C207" s="1163" t="s">
        <v>1311</v>
      </c>
      <c r="D207" s="534" t="s">
        <v>767</v>
      </c>
      <c r="E207" s="534"/>
      <c r="F207" s="832" t="s">
        <v>764</v>
      </c>
      <c r="G207" s="1037" t="s">
        <v>764</v>
      </c>
      <c r="H207" s="832" t="s">
        <v>764</v>
      </c>
      <c r="I207" s="832" t="s">
        <v>764</v>
      </c>
      <c r="J207" s="534"/>
      <c r="K207" s="534" t="s">
        <v>773</v>
      </c>
    </row>
    <row r="208" spans="1:11">
      <c r="A208" s="1155"/>
      <c r="B208" s="777">
        <v>44125</v>
      </c>
      <c r="C208" s="1163" t="s">
        <v>1312</v>
      </c>
      <c r="D208" s="534" t="s">
        <v>768</v>
      </c>
      <c r="E208" s="534"/>
      <c r="F208" s="832" t="s">
        <v>764</v>
      </c>
      <c r="G208" s="1037" t="s">
        <v>764</v>
      </c>
      <c r="H208" s="832" t="s">
        <v>764</v>
      </c>
      <c r="I208" s="832" t="s">
        <v>764</v>
      </c>
      <c r="J208" s="534"/>
      <c r="K208" s="534" t="s">
        <v>773</v>
      </c>
    </row>
    <row r="209" spans="1:11">
      <c r="A209" s="779"/>
      <c r="B209" s="777">
        <v>44125</v>
      </c>
      <c r="C209" s="1163" t="s">
        <v>1313</v>
      </c>
      <c r="D209" s="534" t="s">
        <v>768</v>
      </c>
      <c r="E209" s="534"/>
      <c r="F209" s="832" t="s">
        <v>764</v>
      </c>
      <c r="G209" s="1037" t="s">
        <v>764</v>
      </c>
      <c r="H209" s="832" t="s">
        <v>764</v>
      </c>
      <c r="I209" s="832" t="s">
        <v>764</v>
      </c>
      <c r="J209" s="534"/>
      <c r="K209" s="534" t="s">
        <v>773</v>
      </c>
    </row>
    <row r="210" spans="1:11">
      <c r="A210" s="779"/>
      <c r="B210" s="777">
        <v>44125</v>
      </c>
      <c r="C210" s="1163" t="s">
        <v>1314</v>
      </c>
      <c r="D210" s="534" t="s">
        <v>768</v>
      </c>
      <c r="E210" s="534"/>
      <c r="F210" s="832" t="s">
        <v>764</v>
      </c>
      <c r="G210" s="1037" t="s">
        <v>764</v>
      </c>
      <c r="H210" s="832" t="s">
        <v>764</v>
      </c>
      <c r="I210" s="832" t="s">
        <v>764</v>
      </c>
      <c r="J210" s="534"/>
      <c r="K210" s="534" t="s">
        <v>773</v>
      </c>
    </row>
    <row r="211" spans="1:11">
      <c r="A211" s="779"/>
      <c r="B211" s="777">
        <v>44125</v>
      </c>
      <c r="C211" s="1163" t="s">
        <v>1315</v>
      </c>
      <c r="D211" s="534" t="s">
        <v>768</v>
      </c>
      <c r="E211" s="534"/>
      <c r="F211" s="832" t="s">
        <v>764</v>
      </c>
      <c r="G211" s="1037" t="s">
        <v>764</v>
      </c>
      <c r="H211" s="832" t="s">
        <v>764</v>
      </c>
      <c r="I211" s="832" t="s">
        <v>764</v>
      </c>
      <c r="J211" s="534"/>
      <c r="K211" s="534" t="s">
        <v>773</v>
      </c>
    </row>
    <row r="212" spans="1:11">
      <c r="A212" s="779"/>
      <c r="B212" s="777">
        <v>44125</v>
      </c>
      <c r="C212" s="1163" t="s">
        <v>1313</v>
      </c>
      <c r="D212" s="534" t="s">
        <v>767</v>
      </c>
      <c r="E212" s="534"/>
      <c r="F212" s="832" t="s">
        <v>764</v>
      </c>
      <c r="G212" s="1037" t="s">
        <v>764</v>
      </c>
      <c r="H212" s="832" t="s">
        <v>764</v>
      </c>
      <c r="I212" s="832" t="s">
        <v>764</v>
      </c>
      <c r="J212" s="534"/>
      <c r="K212" s="534" t="s">
        <v>773</v>
      </c>
    </row>
    <row r="213" spans="1:11">
      <c r="A213" s="1155"/>
      <c r="B213" s="777">
        <v>44125</v>
      </c>
      <c r="C213" s="1163" t="s">
        <v>1316</v>
      </c>
      <c r="D213" s="534" t="s">
        <v>1294</v>
      </c>
      <c r="E213" s="534"/>
      <c r="F213" s="832" t="s">
        <v>764</v>
      </c>
      <c r="G213" s="1037" t="s">
        <v>764</v>
      </c>
      <c r="H213" s="832" t="s">
        <v>764</v>
      </c>
      <c r="I213" s="832" t="s">
        <v>764</v>
      </c>
      <c r="J213" s="534"/>
      <c r="K213" s="534" t="s">
        <v>773</v>
      </c>
    </row>
    <row r="214" spans="1:11">
      <c r="A214" s="1155"/>
      <c r="B214" s="777">
        <v>44125</v>
      </c>
      <c r="C214" s="1163" t="s">
        <v>1316</v>
      </c>
      <c r="D214" s="534" t="s">
        <v>767</v>
      </c>
      <c r="E214" s="534"/>
      <c r="F214" s="832" t="s">
        <v>764</v>
      </c>
      <c r="G214" s="1037" t="s">
        <v>764</v>
      </c>
      <c r="H214" s="832" t="s">
        <v>764</v>
      </c>
      <c r="I214" s="832" t="s">
        <v>764</v>
      </c>
      <c r="J214" s="534"/>
      <c r="K214" s="534" t="s">
        <v>773</v>
      </c>
    </row>
    <row r="215" spans="1:11">
      <c r="A215" s="1185"/>
      <c r="B215" s="1185"/>
      <c r="C215" s="1185"/>
      <c r="D215" s="1185"/>
      <c r="E215" s="1185"/>
      <c r="F215" s="1185"/>
      <c r="G215" s="1185"/>
      <c r="H215" s="1185"/>
      <c r="I215" s="1185"/>
      <c r="J215" s="1185"/>
      <c r="K215" s="1185"/>
    </row>
    <row r="216" spans="1:11">
      <c r="A216" s="2174" t="s">
        <v>1318</v>
      </c>
      <c r="B216" s="2175"/>
      <c r="C216" s="2175"/>
      <c r="D216" s="2175"/>
      <c r="E216" s="2175"/>
      <c r="F216" s="2175"/>
      <c r="G216" s="2175"/>
      <c r="H216" s="2175"/>
      <c r="I216" s="2175"/>
      <c r="J216" s="2175"/>
      <c r="K216" s="2176"/>
    </row>
    <row r="217" spans="1:11">
      <c r="A217" s="779"/>
      <c r="B217" s="777">
        <v>44155</v>
      </c>
      <c r="C217" s="1163" t="s">
        <v>1303</v>
      </c>
      <c r="D217" s="534" t="s">
        <v>768</v>
      </c>
      <c r="E217" s="534" t="s">
        <v>758</v>
      </c>
      <c r="F217" s="832" t="s">
        <v>764</v>
      </c>
      <c r="G217" s="1037" t="s">
        <v>634</v>
      </c>
      <c r="H217" s="832" t="s">
        <v>764</v>
      </c>
      <c r="I217" s="832" t="s">
        <v>764</v>
      </c>
      <c r="J217" s="534"/>
      <c r="K217" s="534" t="s">
        <v>773</v>
      </c>
    </row>
    <row r="218" spans="1:11">
      <c r="A218" s="1155"/>
      <c r="B218" s="777">
        <v>44155</v>
      </c>
      <c r="C218" s="1163" t="s">
        <v>1319</v>
      </c>
      <c r="D218" s="534" t="s">
        <v>768</v>
      </c>
      <c r="E218" s="534"/>
      <c r="F218" s="832" t="s">
        <v>764</v>
      </c>
      <c r="G218" s="1037" t="s">
        <v>764</v>
      </c>
      <c r="H218" s="832" t="s">
        <v>764</v>
      </c>
      <c r="I218" s="832" t="s">
        <v>764</v>
      </c>
      <c r="J218" s="534"/>
      <c r="K218" s="534" t="s">
        <v>773</v>
      </c>
    </row>
    <row r="219" spans="1:11">
      <c r="A219" s="1155"/>
      <c r="B219" s="777">
        <v>44155</v>
      </c>
      <c r="C219" s="1163" t="s">
        <v>1320</v>
      </c>
      <c r="D219" s="534" t="s">
        <v>768</v>
      </c>
      <c r="E219" s="534"/>
      <c r="F219" s="832" t="s">
        <v>764</v>
      </c>
      <c r="G219" s="1037" t="s">
        <v>764</v>
      </c>
      <c r="H219" s="832" t="s">
        <v>764</v>
      </c>
      <c r="I219" s="832" t="s">
        <v>764</v>
      </c>
      <c r="J219" s="534"/>
      <c r="K219" s="534" t="s">
        <v>773</v>
      </c>
    </row>
    <row r="220" spans="1:11">
      <c r="A220" s="1155"/>
      <c r="B220" s="777">
        <v>44155</v>
      </c>
      <c r="C220" s="1163" t="s">
        <v>1321</v>
      </c>
      <c r="D220" s="534" t="s">
        <v>808</v>
      </c>
      <c r="E220" s="534"/>
      <c r="F220" s="832" t="s">
        <v>764</v>
      </c>
      <c r="G220" s="1037" t="s">
        <v>764</v>
      </c>
      <c r="H220" s="832" t="s">
        <v>764</v>
      </c>
      <c r="I220" s="832" t="s">
        <v>764</v>
      </c>
      <c r="J220" s="534"/>
      <c r="K220" s="534" t="s">
        <v>773</v>
      </c>
    </row>
    <row r="221" spans="1:11">
      <c r="A221" s="779"/>
      <c r="B221" s="777">
        <v>44155</v>
      </c>
      <c r="C221" s="1163" t="s">
        <v>1322</v>
      </c>
      <c r="D221" s="534" t="s">
        <v>768</v>
      </c>
      <c r="E221" s="534"/>
      <c r="F221" s="832" t="s">
        <v>764</v>
      </c>
      <c r="G221" s="1037" t="s">
        <v>764</v>
      </c>
      <c r="H221" s="832" t="s">
        <v>764</v>
      </c>
      <c r="I221" s="832" t="s">
        <v>764</v>
      </c>
      <c r="J221" s="534"/>
      <c r="K221" s="534" t="s">
        <v>773</v>
      </c>
    </row>
    <row r="222" spans="1:11">
      <c r="A222" s="779"/>
      <c r="B222" s="777">
        <v>44155</v>
      </c>
      <c r="C222" s="1163" t="s">
        <v>1322</v>
      </c>
      <c r="D222" s="534" t="s">
        <v>765</v>
      </c>
      <c r="E222" s="534"/>
      <c r="F222" s="832" t="s">
        <v>764</v>
      </c>
      <c r="G222" s="1037" t="s">
        <v>764</v>
      </c>
      <c r="H222" s="832" t="s">
        <v>764</v>
      </c>
      <c r="I222" s="832" t="s">
        <v>764</v>
      </c>
      <c r="J222" s="534"/>
      <c r="K222" s="534" t="s">
        <v>773</v>
      </c>
    </row>
    <row r="223" spans="1:11">
      <c r="A223" s="1185"/>
      <c r="B223" s="1185"/>
      <c r="C223" s="1185"/>
      <c r="D223" s="1185"/>
      <c r="E223" s="1185"/>
      <c r="F223" s="1185"/>
      <c r="G223" s="1185"/>
      <c r="H223" s="1185"/>
      <c r="I223" s="1185"/>
      <c r="J223" s="1185"/>
      <c r="K223" s="1185"/>
    </row>
    <row r="224" spans="1:11">
      <c r="A224" s="1185"/>
      <c r="B224" s="1185"/>
      <c r="C224" s="295" t="s">
        <v>1339</v>
      </c>
      <c r="D224" s="1185" t="s">
        <v>764</v>
      </c>
      <c r="E224" s="1185"/>
      <c r="F224" s="1185"/>
      <c r="G224" s="1185"/>
      <c r="H224" s="1185"/>
      <c r="I224" s="1185"/>
      <c r="J224" s="1185"/>
      <c r="K224" s="1185"/>
    </row>
    <row r="225" spans="1:11">
      <c r="A225" s="1185"/>
      <c r="B225" s="1185"/>
      <c r="C225" s="295" t="s">
        <v>1340</v>
      </c>
      <c r="D225" s="1185" t="s">
        <v>764</v>
      </c>
      <c r="E225" s="1185"/>
      <c r="F225" s="1185"/>
      <c r="G225" s="1185"/>
      <c r="H225" s="1185"/>
      <c r="I225" s="1185"/>
      <c r="J225" s="1185"/>
      <c r="K225" s="1185"/>
    </row>
    <row r="226" spans="1:11">
      <c r="A226" s="1185"/>
      <c r="B226" s="1185"/>
      <c r="C226" s="295" t="s">
        <v>1341</v>
      </c>
      <c r="D226" s="1185" t="s">
        <v>764</v>
      </c>
      <c r="E226" s="1185"/>
      <c r="F226" s="1185"/>
      <c r="G226" s="1185"/>
      <c r="H226" s="1185"/>
      <c r="I226" s="1185"/>
      <c r="J226" s="1185"/>
      <c r="K226" s="1185"/>
    </row>
    <row r="227" spans="1:11">
      <c r="A227" s="1185"/>
      <c r="B227" s="1185"/>
      <c r="C227" s="295" t="s">
        <v>1342</v>
      </c>
      <c r="D227" s="1185" t="s">
        <v>1349</v>
      </c>
      <c r="E227" s="1185"/>
      <c r="F227" s="1185"/>
      <c r="G227" s="1185"/>
      <c r="H227" s="1185"/>
      <c r="I227" s="1185"/>
      <c r="J227" s="1185"/>
      <c r="K227" s="1185"/>
    </row>
    <row r="228" spans="1:11">
      <c r="A228" s="1185"/>
      <c r="B228" s="1185"/>
      <c r="C228" s="1185"/>
      <c r="D228" s="1185"/>
      <c r="E228" s="1185"/>
      <c r="F228" s="1185"/>
      <c r="G228" s="1185"/>
      <c r="H228" s="1185"/>
      <c r="I228" s="1185"/>
      <c r="J228" s="1185"/>
      <c r="K228" s="1185"/>
    </row>
    <row r="229" spans="1:11">
      <c r="A229" s="1185"/>
      <c r="B229" s="1185"/>
      <c r="C229" s="1185"/>
      <c r="D229" s="1185"/>
      <c r="E229" s="1185"/>
      <c r="F229" s="1185"/>
      <c r="G229" s="1185"/>
      <c r="H229" s="1185"/>
      <c r="I229" s="1185"/>
      <c r="J229" s="1185"/>
      <c r="K229" s="1185"/>
    </row>
    <row r="230" spans="1:11">
      <c r="A230" s="2174" t="s">
        <v>1352</v>
      </c>
      <c r="B230" s="2175"/>
      <c r="C230" s="2175"/>
      <c r="D230" s="2175"/>
      <c r="E230" s="2175"/>
      <c r="F230" s="2175"/>
      <c r="G230" s="2175"/>
      <c r="H230" s="2175"/>
      <c r="I230" s="2175"/>
      <c r="J230" s="2175"/>
      <c r="K230" s="2176"/>
    </row>
    <row r="231" spans="1:11">
      <c r="A231" s="1346"/>
      <c r="B231" s="1081">
        <v>44180</v>
      </c>
      <c r="C231" s="1082" t="s">
        <v>1353</v>
      </c>
      <c r="D231" s="1083" t="s">
        <v>768</v>
      </c>
      <c r="E231" s="1083" t="s">
        <v>758</v>
      </c>
      <c r="F231" s="1084" t="s">
        <v>764</v>
      </c>
      <c r="G231" s="1085"/>
      <c r="H231" s="1084"/>
      <c r="I231" s="1084"/>
      <c r="J231" s="1083"/>
      <c r="K231" s="1083" t="s">
        <v>773</v>
      </c>
    </row>
    <row r="232" spans="1:11">
      <c r="A232" s="1185"/>
      <c r="B232" s="1185"/>
      <c r="C232" s="1185"/>
      <c r="D232" s="1185"/>
      <c r="E232" s="1185"/>
      <c r="F232" s="1185"/>
      <c r="G232" s="1185"/>
      <c r="H232" s="1185"/>
      <c r="I232" s="1185"/>
      <c r="J232" s="1185"/>
      <c r="K232" s="1185"/>
    </row>
    <row r="233" spans="1:11">
      <c r="A233" s="2174" t="s">
        <v>1355</v>
      </c>
      <c r="B233" s="2175"/>
      <c r="C233" s="2175"/>
      <c r="D233" s="2175"/>
      <c r="E233" s="2175"/>
      <c r="F233" s="2175"/>
      <c r="G233" s="2175"/>
      <c r="H233" s="2175"/>
      <c r="I233" s="2175"/>
      <c r="J233" s="2175"/>
      <c r="K233" s="2176"/>
    </row>
    <row r="234" spans="1:11">
      <c r="A234" s="779"/>
      <c r="B234" s="777">
        <v>44217</v>
      </c>
      <c r="C234" s="1163" t="s">
        <v>1353</v>
      </c>
      <c r="D234" s="534" t="s">
        <v>768</v>
      </c>
      <c r="E234" s="534" t="s">
        <v>758</v>
      </c>
      <c r="F234" s="832" t="s">
        <v>764</v>
      </c>
      <c r="G234" s="1037" t="s">
        <v>634</v>
      </c>
      <c r="H234" s="832" t="s">
        <v>764</v>
      </c>
      <c r="I234" s="832"/>
      <c r="J234" s="534"/>
      <c r="K234" s="534" t="s">
        <v>773</v>
      </c>
    </row>
    <row r="235" spans="1:11">
      <c r="A235" s="1155"/>
      <c r="B235" s="777">
        <v>44217</v>
      </c>
      <c r="C235" s="1163" t="s">
        <v>1366</v>
      </c>
      <c r="D235" s="534" t="s">
        <v>768</v>
      </c>
      <c r="E235" s="534" t="s">
        <v>758</v>
      </c>
      <c r="F235" s="832" t="s">
        <v>764</v>
      </c>
      <c r="G235" s="1037" t="s">
        <v>634</v>
      </c>
      <c r="H235" s="832" t="s">
        <v>764</v>
      </c>
      <c r="I235" s="832"/>
      <c r="J235" s="534"/>
      <c r="K235" s="534" t="s">
        <v>773</v>
      </c>
    </row>
    <row r="236" spans="1:11">
      <c r="A236" s="1155"/>
      <c r="B236" s="777">
        <v>44217</v>
      </c>
      <c r="C236" s="1163" t="s">
        <v>1364</v>
      </c>
      <c r="D236" s="534" t="s">
        <v>768</v>
      </c>
      <c r="E236" s="534"/>
      <c r="F236" s="832" t="s">
        <v>764</v>
      </c>
      <c r="G236" s="1037" t="s">
        <v>764</v>
      </c>
      <c r="H236" s="832" t="s">
        <v>764</v>
      </c>
      <c r="I236" s="832"/>
      <c r="J236" s="534"/>
      <c r="K236" s="534" t="s">
        <v>773</v>
      </c>
    </row>
    <row r="237" spans="1:11">
      <c r="A237" s="1155"/>
      <c r="B237" s="777">
        <v>44217</v>
      </c>
      <c r="C237" s="1163" t="s">
        <v>1364</v>
      </c>
      <c r="D237" s="534" t="s">
        <v>765</v>
      </c>
      <c r="E237" s="534"/>
      <c r="F237" s="832" t="s">
        <v>764</v>
      </c>
      <c r="G237" s="1037" t="s">
        <v>764</v>
      </c>
      <c r="H237" s="832" t="s">
        <v>764</v>
      </c>
      <c r="I237" s="832"/>
      <c r="J237" s="534"/>
      <c r="K237" s="534" t="s">
        <v>773</v>
      </c>
    </row>
    <row r="238" spans="1:11">
      <c r="A238" s="1155"/>
      <c r="B238" s="777">
        <v>44217</v>
      </c>
      <c r="C238" s="1163" t="s">
        <v>1365</v>
      </c>
      <c r="D238" s="534" t="s">
        <v>768</v>
      </c>
      <c r="E238" s="534"/>
      <c r="F238" s="832" t="s">
        <v>764</v>
      </c>
      <c r="G238" s="1037" t="s">
        <v>764</v>
      </c>
      <c r="H238" s="832" t="s">
        <v>764</v>
      </c>
      <c r="I238" s="832"/>
      <c r="J238" s="534"/>
      <c r="K238" s="534" t="s">
        <v>773</v>
      </c>
    </row>
    <row r="239" spans="1:11">
      <c r="A239" s="779"/>
      <c r="B239" s="777">
        <v>44217</v>
      </c>
      <c r="C239" s="1163" t="s">
        <v>1356</v>
      </c>
      <c r="D239" s="534" t="s">
        <v>768</v>
      </c>
      <c r="E239" s="534"/>
      <c r="F239" s="832" t="s">
        <v>764</v>
      </c>
      <c r="G239" s="1037" t="s">
        <v>764</v>
      </c>
      <c r="H239" s="832" t="s">
        <v>764</v>
      </c>
      <c r="I239" s="832"/>
      <c r="J239" s="534"/>
      <c r="K239" s="534" t="s">
        <v>773</v>
      </c>
    </row>
    <row r="240" spans="1:11">
      <c r="A240" s="779"/>
      <c r="B240" s="777">
        <v>44217</v>
      </c>
      <c r="C240" s="1163" t="s">
        <v>1362</v>
      </c>
      <c r="D240" s="534" t="s">
        <v>768</v>
      </c>
      <c r="E240" s="534"/>
      <c r="F240" s="832" t="s">
        <v>764</v>
      </c>
      <c r="G240" s="1037" t="s">
        <v>764</v>
      </c>
      <c r="H240" s="832" t="s">
        <v>764</v>
      </c>
      <c r="I240" s="832"/>
      <c r="J240" s="534"/>
      <c r="K240" s="534" t="s">
        <v>773</v>
      </c>
    </row>
    <row r="241" spans="1:11">
      <c r="A241" s="1185"/>
      <c r="B241" s="1185"/>
      <c r="C241" s="1185"/>
      <c r="D241" s="1185"/>
      <c r="E241" s="1185"/>
      <c r="F241" s="1185"/>
      <c r="G241" s="1185"/>
      <c r="H241" s="1185"/>
      <c r="I241" s="1185"/>
      <c r="J241" s="1185"/>
      <c r="K241" s="1185"/>
    </row>
    <row r="242" spans="1:11">
      <c r="A242" s="1185"/>
      <c r="B242" s="1185"/>
      <c r="C242" s="1185"/>
      <c r="D242" s="1185"/>
      <c r="E242" s="1185"/>
      <c r="F242" s="1185"/>
      <c r="G242" s="1185"/>
      <c r="H242" s="1185"/>
      <c r="I242" s="1185"/>
      <c r="J242" s="1185"/>
      <c r="K242" s="1185"/>
    </row>
    <row r="243" spans="1:11">
      <c r="A243" s="2174" t="s">
        <v>387</v>
      </c>
      <c r="B243" s="2175"/>
      <c r="C243" s="2175"/>
      <c r="D243" s="2175"/>
      <c r="E243" s="2175"/>
      <c r="F243" s="2175"/>
      <c r="G243" s="2175"/>
      <c r="H243" s="2175"/>
      <c r="I243" s="2175"/>
      <c r="J243" s="2175"/>
      <c r="K243" s="2176"/>
    </row>
    <row r="244" spans="1:11">
      <c r="A244" s="779"/>
      <c r="B244" s="777">
        <v>44253</v>
      </c>
      <c r="C244" s="1163" t="s">
        <v>1374</v>
      </c>
      <c r="D244" s="534" t="s">
        <v>768</v>
      </c>
      <c r="E244" s="534"/>
      <c r="F244" s="1128" t="s">
        <v>764</v>
      </c>
      <c r="G244" s="1130" t="s">
        <v>764</v>
      </c>
      <c r="H244" s="1128" t="s">
        <v>764</v>
      </c>
      <c r="I244" s="1128" t="s">
        <v>764</v>
      </c>
      <c r="J244" s="1128" t="s">
        <v>764</v>
      </c>
      <c r="K244" s="534" t="s">
        <v>773</v>
      </c>
    </row>
    <row r="245" spans="1:11">
      <c r="A245" s="1155"/>
      <c r="B245" s="777">
        <v>44254</v>
      </c>
      <c r="C245" s="1163" t="s">
        <v>1488</v>
      </c>
      <c r="D245" s="534" t="s">
        <v>768</v>
      </c>
      <c r="E245" s="534"/>
      <c r="F245" s="1128" t="s">
        <v>764</v>
      </c>
      <c r="G245" s="1130" t="s">
        <v>764</v>
      </c>
      <c r="H245" s="1128" t="s">
        <v>764</v>
      </c>
      <c r="I245" s="1128" t="s">
        <v>764</v>
      </c>
      <c r="J245" s="1128" t="s">
        <v>764</v>
      </c>
      <c r="K245" s="534" t="s">
        <v>1489</v>
      </c>
    </row>
    <row r="246" spans="1:11">
      <c r="A246" s="1155"/>
      <c r="B246" s="777">
        <f>B245</f>
        <v>44254</v>
      </c>
      <c r="C246" s="1163" t="s">
        <v>1488</v>
      </c>
      <c r="D246" s="534" t="s">
        <v>765</v>
      </c>
      <c r="E246" s="534"/>
      <c r="F246" s="1128" t="s">
        <v>764</v>
      </c>
      <c r="G246" s="1130" t="s">
        <v>764</v>
      </c>
      <c r="H246" s="1128" t="s">
        <v>764</v>
      </c>
      <c r="I246" s="1128" t="s">
        <v>764</v>
      </c>
      <c r="J246" s="1128" t="s">
        <v>764</v>
      </c>
      <c r="K246" s="534" t="s">
        <v>1489</v>
      </c>
    </row>
    <row r="247" spans="1:11">
      <c r="A247" s="1155"/>
      <c r="B247" s="777">
        <f>B246</f>
        <v>44254</v>
      </c>
      <c r="C247" s="1163" t="s">
        <v>1488</v>
      </c>
      <c r="D247" s="534" t="s">
        <v>767</v>
      </c>
      <c r="E247" s="534"/>
      <c r="F247" s="1128" t="s">
        <v>764</v>
      </c>
      <c r="G247" s="1130" t="s">
        <v>764</v>
      </c>
      <c r="H247" s="1128" t="s">
        <v>764</v>
      </c>
      <c r="I247" s="1128" t="s">
        <v>764</v>
      </c>
      <c r="J247" s="1128" t="s">
        <v>764</v>
      </c>
      <c r="K247" s="534" t="s">
        <v>1489</v>
      </c>
    </row>
    <row r="248" spans="1:11">
      <c r="A248" s="779"/>
      <c r="B248" s="777">
        <f>B247</f>
        <v>44254</v>
      </c>
      <c r="C248" s="1163" t="s">
        <v>1490</v>
      </c>
      <c r="D248" s="534" t="s">
        <v>768</v>
      </c>
      <c r="E248" s="534"/>
      <c r="F248" s="1128" t="s">
        <v>764</v>
      </c>
      <c r="G248" s="1130" t="s">
        <v>764</v>
      </c>
      <c r="H248" s="1128" t="s">
        <v>764</v>
      </c>
      <c r="I248" s="1128" t="s">
        <v>764</v>
      </c>
      <c r="J248" s="1128" t="s">
        <v>764</v>
      </c>
      <c r="K248" s="534" t="s">
        <v>1489</v>
      </c>
    </row>
    <row r="249" spans="1:11">
      <c r="A249" s="779"/>
      <c r="B249" s="777">
        <f>B248</f>
        <v>44254</v>
      </c>
      <c r="C249" s="1163" t="s">
        <v>1490</v>
      </c>
      <c r="D249" s="534" t="s">
        <v>765</v>
      </c>
      <c r="E249" s="534"/>
      <c r="F249" s="1128" t="s">
        <v>764</v>
      </c>
      <c r="G249" s="1130" t="s">
        <v>764</v>
      </c>
      <c r="H249" s="1128" t="s">
        <v>764</v>
      </c>
      <c r="I249" s="1128" t="s">
        <v>764</v>
      </c>
      <c r="J249" s="1128" t="s">
        <v>764</v>
      </c>
      <c r="K249" s="534" t="s">
        <v>1489</v>
      </c>
    </row>
    <row r="250" spans="1:11">
      <c r="A250" s="779"/>
      <c r="B250" s="777">
        <f>B249</f>
        <v>44254</v>
      </c>
      <c r="C250" s="1163" t="s">
        <v>1491</v>
      </c>
      <c r="D250" s="534" t="s">
        <v>768</v>
      </c>
      <c r="E250" s="534"/>
      <c r="F250" s="1128" t="s">
        <v>764</v>
      </c>
      <c r="G250" s="1130" t="s">
        <v>764</v>
      </c>
      <c r="H250" s="1128" t="s">
        <v>764</v>
      </c>
      <c r="I250" s="1128" t="s">
        <v>764</v>
      </c>
      <c r="J250" s="1128" t="s">
        <v>764</v>
      </c>
      <c r="K250" s="534" t="s">
        <v>1489</v>
      </c>
    </row>
    <row r="251" spans="1:11">
      <c r="A251" s="1185"/>
      <c r="B251" s="1185"/>
      <c r="C251" s="1185"/>
      <c r="D251" s="1185"/>
      <c r="E251" s="1185"/>
      <c r="F251" s="1185"/>
      <c r="G251" s="1129"/>
      <c r="H251" s="1185"/>
      <c r="I251" s="1185"/>
      <c r="J251" s="1185"/>
      <c r="K251" s="1185"/>
    </row>
    <row r="252" spans="1:11">
      <c r="A252" s="2174" t="s">
        <v>399</v>
      </c>
      <c r="B252" s="2175"/>
      <c r="C252" s="2175"/>
      <c r="D252" s="2175"/>
      <c r="E252" s="2175"/>
      <c r="F252" s="2175"/>
      <c r="G252" s="2175"/>
      <c r="H252" s="2175"/>
      <c r="I252" s="2175"/>
      <c r="J252" s="2175"/>
      <c r="K252" s="2176"/>
    </row>
    <row r="253" spans="1:11">
      <c r="A253" s="779"/>
      <c r="B253" s="777">
        <v>44260</v>
      </c>
      <c r="C253" s="1163" t="s">
        <v>1492</v>
      </c>
      <c r="D253" s="534" t="s">
        <v>768</v>
      </c>
      <c r="E253" s="534"/>
      <c r="F253" s="1137" t="s">
        <v>764</v>
      </c>
      <c r="G253" s="1137" t="s">
        <v>764</v>
      </c>
      <c r="H253" s="1137" t="s">
        <v>764</v>
      </c>
      <c r="I253" s="1137" t="s">
        <v>764</v>
      </c>
      <c r="J253" s="1137"/>
      <c r="K253" s="534" t="s">
        <v>1489</v>
      </c>
    </row>
    <row r="254" spans="1:11">
      <c r="A254" s="779"/>
      <c r="B254" s="777">
        <v>44260</v>
      </c>
      <c r="C254" s="1163" t="s">
        <v>1492</v>
      </c>
      <c r="D254" s="534" t="s">
        <v>765</v>
      </c>
      <c r="E254" s="534"/>
      <c r="F254" s="1137" t="s">
        <v>764</v>
      </c>
      <c r="G254" s="1137" t="s">
        <v>764</v>
      </c>
      <c r="H254" s="1137" t="s">
        <v>764</v>
      </c>
      <c r="I254" s="1137" t="s">
        <v>764</v>
      </c>
      <c r="J254" s="1137"/>
      <c r="K254" s="534" t="s">
        <v>1489</v>
      </c>
    </row>
    <row r="255" spans="1:11">
      <c r="A255" s="779"/>
      <c r="B255" s="777">
        <v>44271</v>
      </c>
      <c r="C255" s="1163" t="s">
        <v>1520</v>
      </c>
      <c r="D255" s="534" t="s">
        <v>765</v>
      </c>
      <c r="E255" s="534"/>
      <c r="F255" s="1137" t="s">
        <v>764</v>
      </c>
      <c r="G255" s="1137" t="s">
        <v>764</v>
      </c>
      <c r="H255" s="1137" t="s">
        <v>764</v>
      </c>
      <c r="I255" s="1137" t="s">
        <v>764</v>
      </c>
      <c r="J255" s="534"/>
      <c r="K255" s="534" t="s">
        <v>1489</v>
      </c>
    </row>
    <row r="256" spans="1:11">
      <c r="A256" s="779"/>
      <c r="B256" s="777">
        <v>44271</v>
      </c>
      <c r="C256" s="1163" t="s">
        <v>1507</v>
      </c>
      <c r="D256" s="534" t="s">
        <v>765</v>
      </c>
      <c r="E256" s="534"/>
      <c r="F256" s="1137" t="s">
        <v>764</v>
      </c>
      <c r="G256" s="1137" t="s">
        <v>764</v>
      </c>
      <c r="H256" s="1137" t="s">
        <v>764</v>
      </c>
      <c r="I256" s="1137" t="s">
        <v>764</v>
      </c>
      <c r="J256" s="534"/>
      <c r="K256" s="534" t="s">
        <v>1489</v>
      </c>
    </row>
    <row r="257" spans="1:11">
      <c r="A257" s="779"/>
      <c r="B257" s="777">
        <v>44271</v>
      </c>
      <c r="C257" s="1163" t="s">
        <v>1506</v>
      </c>
      <c r="D257" s="534" t="s">
        <v>765</v>
      </c>
      <c r="E257" s="534"/>
      <c r="F257" s="1137" t="s">
        <v>764</v>
      </c>
      <c r="G257" s="1137" t="s">
        <v>764</v>
      </c>
      <c r="H257" s="1137" t="s">
        <v>764</v>
      </c>
      <c r="I257" s="1137" t="s">
        <v>764</v>
      </c>
      <c r="J257" s="534"/>
      <c r="K257" s="534" t="s">
        <v>1489</v>
      </c>
    </row>
    <row r="258" spans="1:11">
      <c r="A258" s="779"/>
      <c r="B258" s="777">
        <v>44295</v>
      </c>
      <c r="C258" s="1163" t="s">
        <v>1541</v>
      </c>
      <c r="D258" s="534" t="s">
        <v>768</v>
      </c>
      <c r="E258" s="534"/>
      <c r="F258" s="1137" t="s">
        <v>764</v>
      </c>
      <c r="G258" s="1137" t="s">
        <v>764</v>
      </c>
      <c r="H258" s="1137" t="s">
        <v>764</v>
      </c>
      <c r="I258" s="1137" t="s">
        <v>764</v>
      </c>
      <c r="J258" s="534"/>
      <c r="K258" s="534" t="s">
        <v>1489</v>
      </c>
    </row>
    <row r="259" spans="1:11">
      <c r="A259" s="779"/>
      <c r="B259" s="777">
        <v>44295</v>
      </c>
      <c r="C259" s="1163" t="s">
        <v>1541</v>
      </c>
      <c r="D259" s="534" t="s">
        <v>765</v>
      </c>
      <c r="E259" s="534"/>
      <c r="F259" s="1137" t="s">
        <v>764</v>
      </c>
      <c r="G259" s="1137" t="s">
        <v>764</v>
      </c>
      <c r="H259" s="1137" t="s">
        <v>764</v>
      </c>
      <c r="I259" s="1137" t="s">
        <v>764</v>
      </c>
      <c r="J259" s="534"/>
      <c r="K259" s="534" t="s">
        <v>1489</v>
      </c>
    </row>
    <row r="260" spans="1:11">
      <c r="A260" s="1185"/>
      <c r="B260" s="1185"/>
      <c r="C260" s="1185"/>
      <c r="D260" s="1185"/>
      <c r="E260" s="1185"/>
      <c r="F260" s="1185"/>
      <c r="G260" s="1185"/>
      <c r="H260" s="1185"/>
      <c r="I260" s="1185"/>
      <c r="J260" s="1185"/>
      <c r="K260" s="1185"/>
    </row>
    <row r="261" spans="1:11">
      <c r="A261" s="682" t="s">
        <v>506</v>
      </c>
      <c r="B261" s="1185"/>
      <c r="C261" s="1185"/>
      <c r="D261" s="1185"/>
      <c r="E261" s="1185"/>
      <c r="F261" s="1185"/>
      <c r="G261" s="1185"/>
      <c r="H261" s="1185"/>
      <c r="I261" s="1185"/>
      <c r="J261" s="1185"/>
      <c r="K261" s="1185"/>
    </row>
    <row r="262" spans="1:11">
      <c r="A262" s="1155"/>
      <c r="B262" s="777">
        <v>44302</v>
      </c>
      <c r="C262" s="1163" t="s">
        <v>1547</v>
      </c>
      <c r="D262" s="534" t="s">
        <v>768</v>
      </c>
      <c r="E262" s="534"/>
      <c r="F262" s="1137" t="s">
        <v>764</v>
      </c>
      <c r="G262" s="1137" t="s">
        <v>764</v>
      </c>
      <c r="H262" s="1137" t="s">
        <v>764</v>
      </c>
      <c r="I262" s="1137" t="s">
        <v>764</v>
      </c>
      <c r="J262" s="1137" t="s">
        <v>764</v>
      </c>
      <c r="K262" s="534" t="s">
        <v>1489</v>
      </c>
    </row>
    <row r="263" spans="1:11">
      <c r="A263" s="1155"/>
      <c r="B263" s="777">
        <v>44302</v>
      </c>
      <c r="C263" s="1163" t="s">
        <v>1547</v>
      </c>
      <c r="D263" s="534" t="s">
        <v>765</v>
      </c>
      <c r="E263" s="534"/>
      <c r="F263" s="1137" t="s">
        <v>764</v>
      </c>
      <c r="G263" s="1137" t="s">
        <v>764</v>
      </c>
      <c r="H263" s="1137" t="s">
        <v>764</v>
      </c>
      <c r="I263" s="1137" t="s">
        <v>764</v>
      </c>
      <c r="J263" s="1137" t="s">
        <v>764</v>
      </c>
      <c r="K263" s="534" t="s">
        <v>1489</v>
      </c>
    </row>
    <row r="264" spans="1:11">
      <c r="A264" s="1155"/>
      <c r="B264" s="777">
        <v>44302</v>
      </c>
      <c r="C264" s="1163" t="s">
        <v>1547</v>
      </c>
      <c r="D264" s="534" t="s">
        <v>767</v>
      </c>
      <c r="E264" s="534"/>
      <c r="F264" s="1137" t="s">
        <v>764</v>
      </c>
      <c r="G264" s="1137" t="s">
        <v>764</v>
      </c>
      <c r="H264" s="1137" t="s">
        <v>764</v>
      </c>
      <c r="I264" s="1137" t="s">
        <v>764</v>
      </c>
      <c r="J264" s="1137" t="s">
        <v>764</v>
      </c>
      <c r="K264" s="534" t="s">
        <v>1489</v>
      </c>
    </row>
    <row r="265" spans="1:11">
      <c r="A265" s="1155"/>
      <c r="B265" s="1156">
        <v>44302</v>
      </c>
      <c r="C265" s="534" t="s">
        <v>682</v>
      </c>
      <c r="D265" s="534" t="s">
        <v>768</v>
      </c>
      <c r="E265" s="534"/>
      <c r="F265" s="1137" t="s">
        <v>764</v>
      </c>
      <c r="G265" s="1137" t="s">
        <v>764</v>
      </c>
      <c r="H265" s="1137" t="s">
        <v>764</v>
      </c>
      <c r="I265" s="1137" t="s">
        <v>764</v>
      </c>
      <c r="J265" s="1137" t="s">
        <v>764</v>
      </c>
      <c r="K265" s="534" t="s">
        <v>1489</v>
      </c>
    </row>
    <row r="266" spans="1:11">
      <c r="A266" s="1155"/>
      <c r="B266" s="1156">
        <v>44302</v>
      </c>
      <c r="C266" s="534" t="s">
        <v>682</v>
      </c>
      <c r="D266" s="817" t="s">
        <v>765</v>
      </c>
      <c r="E266" s="534"/>
      <c r="F266" s="1137" t="s">
        <v>764</v>
      </c>
      <c r="G266" s="1137" t="s">
        <v>764</v>
      </c>
      <c r="H266" s="1137" t="s">
        <v>764</v>
      </c>
      <c r="I266" s="1137" t="s">
        <v>764</v>
      </c>
      <c r="J266" s="1137" t="s">
        <v>764</v>
      </c>
      <c r="K266" s="534" t="s">
        <v>1489</v>
      </c>
    </row>
    <row r="267" spans="1:11">
      <c r="A267" s="1155"/>
      <c r="B267" s="1156">
        <v>44302</v>
      </c>
      <c r="C267" s="1163" t="s">
        <v>781</v>
      </c>
      <c r="D267" s="817" t="s">
        <v>768</v>
      </c>
      <c r="E267" s="534"/>
      <c r="F267" s="1137" t="s">
        <v>764</v>
      </c>
      <c r="G267" s="1137" t="s">
        <v>764</v>
      </c>
      <c r="H267" s="1137" t="s">
        <v>764</v>
      </c>
      <c r="I267" s="1137" t="s">
        <v>764</v>
      </c>
      <c r="J267" s="1137" t="s">
        <v>764</v>
      </c>
      <c r="K267" s="534" t="s">
        <v>1489</v>
      </c>
    </row>
    <row r="268" spans="1:11">
      <c r="A268" s="1155"/>
      <c r="B268" s="1156">
        <v>44312</v>
      </c>
      <c r="C268" s="1163" t="s">
        <v>781</v>
      </c>
      <c r="D268" s="817" t="s">
        <v>765</v>
      </c>
      <c r="E268" s="534"/>
      <c r="F268" s="1137" t="s">
        <v>764</v>
      </c>
      <c r="G268" s="1137" t="s">
        <v>764</v>
      </c>
      <c r="H268" s="1137" t="s">
        <v>764</v>
      </c>
      <c r="I268" s="1137" t="s">
        <v>764</v>
      </c>
      <c r="J268" s="1137" t="s">
        <v>764</v>
      </c>
      <c r="K268" s="534" t="s">
        <v>1489</v>
      </c>
    </row>
    <row r="269" spans="1:11">
      <c r="A269" s="739"/>
      <c r="B269" s="777">
        <v>44312</v>
      </c>
      <c r="C269" s="534" t="s">
        <v>1548</v>
      </c>
      <c r="D269" s="534" t="s">
        <v>768</v>
      </c>
      <c r="E269" s="534"/>
      <c r="F269" s="1137" t="s">
        <v>764</v>
      </c>
      <c r="G269" s="1137" t="s">
        <v>764</v>
      </c>
      <c r="H269" s="1137" t="s">
        <v>764</v>
      </c>
      <c r="I269" s="1137" t="s">
        <v>764</v>
      </c>
      <c r="J269" s="1137" t="s">
        <v>764</v>
      </c>
      <c r="K269" s="534" t="s">
        <v>1489</v>
      </c>
    </row>
    <row r="270" spans="1:11">
      <c r="A270" s="739"/>
      <c r="B270" s="777">
        <v>44312</v>
      </c>
      <c r="C270" s="817" t="s">
        <v>1803</v>
      </c>
      <c r="D270" s="817" t="s">
        <v>765</v>
      </c>
      <c r="E270" s="534"/>
      <c r="F270" s="1137" t="s">
        <v>764</v>
      </c>
      <c r="G270" s="1137" t="s">
        <v>1804</v>
      </c>
      <c r="H270" s="1137" t="s">
        <v>764</v>
      </c>
      <c r="I270" s="1137" t="s">
        <v>764</v>
      </c>
      <c r="J270" s="1137" t="s">
        <v>764</v>
      </c>
      <c r="K270" s="534"/>
    </row>
    <row r="271" spans="1:11">
      <c r="A271" s="1185"/>
      <c r="B271" s="1185"/>
      <c r="C271" s="1185"/>
      <c r="D271" s="1185"/>
      <c r="E271" s="1185"/>
      <c r="F271" s="1185"/>
      <c r="G271" s="1185"/>
      <c r="H271" s="1185"/>
      <c r="I271" s="1185"/>
      <c r="J271" s="1185"/>
      <c r="K271" s="1185"/>
    </row>
    <row r="272" spans="1:11">
      <c r="A272" s="682" t="s">
        <v>1144</v>
      </c>
      <c r="B272" s="1185"/>
      <c r="C272" s="1185"/>
      <c r="D272" s="1185"/>
      <c r="E272" s="1185"/>
      <c r="F272" s="1185"/>
      <c r="G272" s="1185"/>
      <c r="H272" s="1185"/>
      <c r="I272" s="1185"/>
      <c r="J272" s="1185"/>
      <c r="K272" s="1185"/>
    </row>
    <row r="273" spans="1:11">
      <c r="A273" s="739"/>
      <c r="B273" s="777">
        <v>44334</v>
      </c>
      <c r="C273" s="1163" t="s">
        <v>1555</v>
      </c>
      <c r="D273" s="534" t="s">
        <v>765</v>
      </c>
      <c r="E273" s="534"/>
      <c r="F273" s="1137" t="s">
        <v>764</v>
      </c>
      <c r="G273" s="1137" t="s">
        <v>764</v>
      </c>
      <c r="H273" s="1137" t="s">
        <v>764</v>
      </c>
      <c r="I273" s="1137" t="s">
        <v>764</v>
      </c>
      <c r="J273" s="1137" t="s">
        <v>764</v>
      </c>
      <c r="K273" s="534" t="s">
        <v>1489</v>
      </c>
    </row>
    <row r="274" spans="1:11">
      <c r="A274" s="739"/>
      <c r="B274" s="777">
        <v>44334</v>
      </c>
      <c r="C274" s="1163" t="s">
        <v>1556</v>
      </c>
      <c r="D274" s="534" t="s">
        <v>765</v>
      </c>
      <c r="E274" s="534"/>
      <c r="F274" s="1137" t="s">
        <v>764</v>
      </c>
      <c r="G274" s="1137" t="s">
        <v>764</v>
      </c>
      <c r="H274" s="1137" t="s">
        <v>764</v>
      </c>
      <c r="I274" s="1137" t="s">
        <v>764</v>
      </c>
      <c r="J274" s="1137" t="s">
        <v>764</v>
      </c>
      <c r="K274" s="534" t="s">
        <v>1489</v>
      </c>
    </row>
    <row r="275" spans="1:11">
      <c r="A275" s="739"/>
      <c r="B275" s="777">
        <v>44334</v>
      </c>
      <c r="C275" s="1163" t="s">
        <v>1557</v>
      </c>
      <c r="D275" s="534" t="s">
        <v>765</v>
      </c>
      <c r="E275" s="534"/>
      <c r="F275" s="1137" t="s">
        <v>764</v>
      </c>
      <c r="G275" s="1137" t="s">
        <v>764</v>
      </c>
      <c r="H275" s="1137" t="s">
        <v>764</v>
      </c>
      <c r="I275" s="1137" t="s">
        <v>764</v>
      </c>
      <c r="J275" s="1137" t="s">
        <v>764</v>
      </c>
      <c r="K275" s="534" t="s">
        <v>1489</v>
      </c>
    </row>
    <row r="276" spans="1:11">
      <c r="A276" s="739"/>
      <c r="B276" s="777">
        <v>44334</v>
      </c>
      <c r="C276" s="1163" t="s">
        <v>1558</v>
      </c>
      <c r="D276" s="534" t="s">
        <v>765</v>
      </c>
      <c r="E276" s="534"/>
      <c r="F276" s="1137" t="s">
        <v>764</v>
      </c>
      <c r="G276" s="1137" t="s">
        <v>764</v>
      </c>
      <c r="H276" s="1137" t="s">
        <v>764</v>
      </c>
      <c r="I276" s="1137" t="s">
        <v>764</v>
      </c>
      <c r="J276" s="1137" t="s">
        <v>764</v>
      </c>
      <c r="K276" s="534" t="s">
        <v>1489</v>
      </c>
    </row>
    <row r="277" spans="1:11">
      <c r="A277" s="739"/>
      <c r="B277" s="777">
        <v>44334</v>
      </c>
      <c r="C277" s="1163" t="s">
        <v>1565</v>
      </c>
      <c r="D277" s="534" t="s">
        <v>768</v>
      </c>
      <c r="E277" s="534"/>
      <c r="F277" s="1137" t="s">
        <v>764</v>
      </c>
      <c r="G277" s="1137" t="s">
        <v>764</v>
      </c>
      <c r="H277" s="1137" t="s">
        <v>764</v>
      </c>
      <c r="I277" s="1137" t="s">
        <v>764</v>
      </c>
      <c r="J277" s="1137" t="s">
        <v>764</v>
      </c>
      <c r="K277" s="534" t="s">
        <v>1489</v>
      </c>
    </row>
    <row r="278" spans="1:11">
      <c r="A278" s="739"/>
      <c r="B278" s="777">
        <v>44334</v>
      </c>
      <c r="C278" s="1163" t="s">
        <v>1565</v>
      </c>
      <c r="D278" s="534" t="s">
        <v>765</v>
      </c>
      <c r="E278" s="534"/>
      <c r="F278" s="1137" t="s">
        <v>764</v>
      </c>
      <c r="G278" s="1137" t="s">
        <v>764</v>
      </c>
      <c r="H278" s="1137" t="s">
        <v>764</v>
      </c>
      <c r="I278" s="1137" t="s">
        <v>764</v>
      </c>
      <c r="J278" s="1137" t="s">
        <v>764</v>
      </c>
      <c r="K278" s="534" t="s">
        <v>1489</v>
      </c>
    </row>
    <row r="279" spans="1:11">
      <c r="A279" s="739"/>
      <c r="B279" s="777">
        <v>44334</v>
      </c>
      <c r="C279" s="1163" t="s">
        <v>1566</v>
      </c>
      <c r="D279" s="534" t="s">
        <v>767</v>
      </c>
      <c r="E279" s="534"/>
      <c r="F279" s="1137" t="s">
        <v>764</v>
      </c>
      <c r="G279" s="1137" t="s">
        <v>764</v>
      </c>
      <c r="H279" s="1137" t="s">
        <v>764</v>
      </c>
      <c r="I279" s="1137" t="s">
        <v>764</v>
      </c>
      <c r="J279" s="1137" t="s">
        <v>764</v>
      </c>
      <c r="K279" s="534" t="s">
        <v>1489</v>
      </c>
    </row>
    <row r="280" spans="1:11">
      <c r="A280" s="739"/>
      <c r="B280" s="777">
        <v>44334</v>
      </c>
      <c r="C280" s="1163" t="s">
        <v>1559</v>
      </c>
      <c r="D280" s="534" t="s">
        <v>765</v>
      </c>
      <c r="E280" s="534"/>
      <c r="F280" s="1137" t="s">
        <v>764</v>
      </c>
      <c r="G280" s="1137" t="s">
        <v>764</v>
      </c>
      <c r="H280" s="1137" t="s">
        <v>764</v>
      </c>
      <c r="I280" s="1137" t="s">
        <v>764</v>
      </c>
      <c r="J280" s="1137" t="s">
        <v>764</v>
      </c>
      <c r="K280" s="534" t="s">
        <v>1489</v>
      </c>
    </row>
    <row r="281" spans="1:11">
      <c r="A281" s="739"/>
      <c r="B281" s="777">
        <v>44334</v>
      </c>
      <c r="C281" s="1163" t="s">
        <v>1560</v>
      </c>
      <c r="D281" s="534" t="s">
        <v>765</v>
      </c>
      <c r="E281" s="534"/>
      <c r="F281" s="1137" t="s">
        <v>764</v>
      </c>
      <c r="G281" s="1137" t="s">
        <v>764</v>
      </c>
      <c r="H281" s="1137" t="s">
        <v>764</v>
      </c>
      <c r="I281" s="1137" t="s">
        <v>764</v>
      </c>
      <c r="J281" s="1137" t="s">
        <v>764</v>
      </c>
      <c r="K281" s="534" t="s">
        <v>1489</v>
      </c>
    </row>
    <row r="282" spans="1:11">
      <c r="A282" s="739"/>
      <c r="B282" s="777">
        <v>44334</v>
      </c>
      <c r="C282" s="1163" t="s">
        <v>1561</v>
      </c>
      <c r="D282" s="534" t="s">
        <v>765</v>
      </c>
      <c r="E282" s="534"/>
      <c r="F282" s="1137" t="s">
        <v>764</v>
      </c>
      <c r="G282" s="1137" t="s">
        <v>764</v>
      </c>
      <c r="H282" s="1137" t="s">
        <v>764</v>
      </c>
      <c r="I282" s="1137" t="s">
        <v>764</v>
      </c>
      <c r="J282" s="1137" t="s">
        <v>764</v>
      </c>
      <c r="K282" s="534" t="s">
        <v>1489</v>
      </c>
    </row>
    <row r="283" spans="1:11">
      <c r="A283" s="739"/>
      <c r="B283" s="777">
        <v>44334</v>
      </c>
      <c r="C283" s="1163" t="s">
        <v>1562</v>
      </c>
      <c r="D283" s="534" t="s">
        <v>765</v>
      </c>
      <c r="E283" s="534"/>
      <c r="F283" s="1137" t="s">
        <v>764</v>
      </c>
      <c r="G283" s="1137" t="s">
        <v>764</v>
      </c>
      <c r="H283" s="1137" t="s">
        <v>764</v>
      </c>
      <c r="I283" s="1137" t="s">
        <v>764</v>
      </c>
      <c r="J283" s="1137" t="s">
        <v>764</v>
      </c>
      <c r="K283" s="534" t="s">
        <v>1489</v>
      </c>
    </row>
    <row r="284" spans="1:11">
      <c r="A284" s="739"/>
      <c r="B284" s="777">
        <v>44334</v>
      </c>
      <c r="C284" s="1163" t="s">
        <v>1563</v>
      </c>
      <c r="D284" s="534" t="s">
        <v>765</v>
      </c>
      <c r="E284" s="534"/>
      <c r="F284" s="1137" t="s">
        <v>764</v>
      </c>
      <c r="G284" s="1137" t="s">
        <v>764</v>
      </c>
      <c r="H284" s="1137" t="s">
        <v>764</v>
      </c>
      <c r="I284" s="1137" t="s">
        <v>764</v>
      </c>
      <c r="J284" s="1137" t="s">
        <v>764</v>
      </c>
      <c r="K284" s="534" t="s">
        <v>1489</v>
      </c>
    </row>
    <row r="285" spans="1:11">
      <c r="A285" s="739"/>
      <c r="B285" s="777">
        <v>44334</v>
      </c>
      <c r="C285" s="1163" t="s">
        <v>1564</v>
      </c>
      <c r="D285" s="534" t="s">
        <v>765</v>
      </c>
      <c r="E285" s="534"/>
      <c r="F285" s="1137" t="s">
        <v>764</v>
      </c>
      <c r="G285" s="1137" t="s">
        <v>764</v>
      </c>
      <c r="H285" s="1137" t="s">
        <v>764</v>
      </c>
      <c r="I285" s="1137" t="s">
        <v>764</v>
      </c>
      <c r="J285" s="1137" t="s">
        <v>764</v>
      </c>
      <c r="K285" s="534" t="s">
        <v>1489</v>
      </c>
    </row>
    <row r="286" spans="1:11">
      <c r="A286" s="1185"/>
      <c r="B286" s="1185"/>
      <c r="C286" s="1185"/>
      <c r="D286" s="1185"/>
      <c r="E286" s="1185"/>
      <c r="F286" s="1185"/>
      <c r="G286" s="1185"/>
      <c r="H286" s="1185"/>
      <c r="I286" s="1185"/>
      <c r="J286" s="1185"/>
      <c r="K286" s="1185"/>
    </row>
    <row r="287" spans="1:11">
      <c r="A287" s="1350" t="s">
        <v>760</v>
      </c>
      <c r="B287" s="818"/>
      <c r="C287" s="818"/>
      <c r="D287" s="818"/>
      <c r="E287" s="1185"/>
      <c r="F287" s="1185"/>
      <c r="G287" s="1185"/>
      <c r="H287" s="1185"/>
      <c r="I287" s="1185"/>
      <c r="J287" s="1185"/>
      <c r="K287" s="1185"/>
    </row>
    <row r="288" spans="1:11">
      <c r="A288" s="776"/>
      <c r="B288" s="777">
        <v>44362</v>
      </c>
      <c r="C288" s="1163" t="s">
        <v>1796</v>
      </c>
      <c r="D288" s="534" t="s">
        <v>767</v>
      </c>
      <c r="E288" s="534"/>
      <c r="F288" s="1137" t="s">
        <v>764</v>
      </c>
      <c r="G288" s="1137" t="s">
        <v>764</v>
      </c>
      <c r="H288" s="1137" t="s">
        <v>764</v>
      </c>
      <c r="I288" s="1137" t="s">
        <v>764</v>
      </c>
      <c r="J288" s="1137" t="s">
        <v>764</v>
      </c>
      <c r="K288" s="534" t="s">
        <v>1489</v>
      </c>
    </row>
    <row r="289" spans="1:11">
      <c r="A289" s="778"/>
      <c r="B289" s="777">
        <v>44362</v>
      </c>
      <c r="C289" s="1163" t="s">
        <v>1797</v>
      </c>
      <c r="D289" s="534" t="s">
        <v>767</v>
      </c>
      <c r="E289" s="534"/>
      <c r="F289" s="1137" t="s">
        <v>764</v>
      </c>
      <c r="G289" s="1137" t="s">
        <v>764</v>
      </c>
      <c r="H289" s="1137" t="s">
        <v>764</v>
      </c>
      <c r="I289" s="1137" t="s">
        <v>764</v>
      </c>
      <c r="J289" s="1137" t="s">
        <v>764</v>
      </c>
      <c r="K289" s="534" t="s">
        <v>1489</v>
      </c>
    </row>
    <row r="290" spans="1:11">
      <c r="A290" s="739"/>
      <c r="B290" s="777">
        <v>44362</v>
      </c>
      <c r="C290" s="1163" t="s">
        <v>1799</v>
      </c>
      <c r="D290" s="534" t="s">
        <v>1798</v>
      </c>
      <c r="E290" s="534"/>
      <c r="F290" s="1137" t="s">
        <v>764</v>
      </c>
      <c r="G290" s="1137" t="s">
        <v>764</v>
      </c>
      <c r="H290" s="1137" t="s">
        <v>764</v>
      </c>
      <c r="I290" s="1137" t="s">
        <v>764</v>
      </c>
      <c r="J290" s="1137" t="s">
        <v>764</v>
      </c>
      <c r="K290" s="534" t="s">
        <v>1489</v>
      </c>
    </row>
    <row r="291" spans="1:11">
      <c r="A291" s="739"/>
      <c r="B291" s="777">
        <v>44362</v>
      </c>
      <c r="C291" s="1163" t="s">
        <v>1800</v>
      </c>
      <c r="D291" s="534" t="s">
        <v>1798</v>
      </c>
      <c r="E291" s="534"/>
      <c r="F291" s="1137" t="s">
        <v>764</v>
      </c>
      <c r="G291" s="1137" t="s">
        <v>764</v>
      </c>
      <c r="H291" s="1137" t="s">
        <v>764</v>
      </c>
      <c r="I291" s="1137" t="s">
        <v>764</v>
      </c>
      <c r="J291" s="1137" t="s">
        <v>764</v>
      </c>
      <c r="K291" s="534" t="s">
        <v>1489</v>
      </c>
    </row>
    <row r="292" spans="1:11">
      <c r="A292" s="739"/>
      <c r="B292" s="777">
        <v>44362</v>
      </c>
      <c r="C292" s="1163" t="s">
        <v>1801</v>
      </c>
      <c r="D292" s="534" t="s">
        <v>1798</v>
      </c>
      <c r="E292" s="534"/>
      <c r="F292" s="1137" t="s">
        <v>764</v>
      </c>
      <c r="G292" s="1137" t="s">
        <v>764</v>
      </c>
      <c r="H292" s="1137" t="s">
        <v>764</v>
      </c>
      <c r="I292" s="1137" t="s">
        <v>764</v>
      </c>
      <c r="J292" s="1137" t="s">
        <v>764</v>
      </c>
      <c r="K292" s="534" t="s">
        <v>1489</v>
      </c>
    </row>
    <row r="293" spans="1:11">
      <c r="A293" s="1185"/>
      <c r="B293" s="1185"/>
      <c r="C293" s="1185"/>
      <c r="D293" s="1185"/>
      <c r="E293" s="1185"/>
      <c r="F293" s="1185"/>
      <c r="G293" s="1185"/>
      <c r="H293" s="1185"/>
      <c r="I293" s="1185"/>
      <c r="J293" s="1185"/>
      <c r="K293" s="1185"/>
    </row>
    <row r="294" spans="1:11">
      <c r="A294" s="682" t="s">
        <v>794</v>
      </c>
      <c r="B294" s="1185"/>
      <c r="C294" s="1185"/>
      <c r="D294" s="1185"/>
      <c r="E294" s="1185"/>
      <c r="F294" s="1185"/>
      <c r="G294" s="1185"/>
      <c r="H294" s="1185"/>
      <c r="I294" s="1185"/>
      <c r="J294" s="1185"/>
      <c r="K294" s="1185"/>
    </row>
    <row r="295" spans="1:11">
      <c r="A295" s="776"/>
      <c r="B295" s="777">
        <v>44392</v>
      </c>
      <c r="C295" s="1163" t="s">
        <v>1802</v>
      </c>
      <c r="D295" s="534" t="s">
        <v>768</v>
      </c>
      <c r="E295" s="534"/>
      <c r="F295" s="1137" t="s">
        <v>764</v>
      </c>
      <c r="G295" s="534" t="s">
        <v>1822</v>
      </c>
      <c r="H295" s="1137" t="s">
        <v>764</v>
      </c>
      <c r="I295" s="1137" t="s">
        <v>764</v>
      </c>
      <c r="J295" s="1137" t="s">
        <v>764</v>
      </c>
      <c r="K295" s="534" t="s">
        <v>1489</v>
      </c>
    </row>
    <row r="296" spans="1:11">
      <c r="A296" s="739"/>
      <c r="B296" s="534"/>
      <c r="C296" s="534" t="s">
        <v>1810</v>
      </c>
      <c r="D296" s="534" t="s">
        <v>768</v>
      </c>
      <c r="E296" s="534"/>
      <c r="F296" s="1137" t="s">
        <v>764</v>
      </c>
      <c r="G296" s="1137" t="s">
        <v>764</v>
      </c>
      <c r="H296" s="1137" t="s">
        <v>764</v>
      </c>
      <c r="I296" s="1137" t="s">
        <v>764</v>
      </c>
      <c r="J296" s="1137" t="s">
        <v>764</v>
      </c>
      <c r="K296" s="534" t="s">
        <v>1489</v>
      </c>
    </row>
    <row r="297" spans="1:11">
      <c r="A297" s="739"/>
      <c r="B297" s="534"/>
      <c r="C297" s="534" t="s">
        <v>1811</v>
      </c>
      <c r="D297" s="534" t="s">
        <v>768</v>
      </c>
      <c r="E297" s="534"/>
      <c r="F297" s="1137" t="s">
        <v>764</v>
      </c>
      <c r="G297" s="534" t="s">
        <v>1820</v>
      </c>
      <c r="H297" s="1137" t="s">
        <v>764</v>
      </c>
      <c r="I297" s="1137" t="s">
        <v>764</v>
      </c>
      <c r="J297" s="1137" t="s">
        <v>764</v>
      </c>
      <c r="K297" s="534" t="s">
        <v>1489</v>
      </c>
    </row>
    <row r="298" spans="1:11">
      <c r="A298" s="739"/>
      <c r="B298" s="534"/>
      <c r="C298" s="534" t="s">
        <v>1817</v>
      </c>
      <c r="D298" s="534" t="s">
        <v>768</v>
      </c>
      <c r="E298" s="534"/>
      <c r="F298" s="1137" t="s">
        <v>764</v>
      </c>
      <c r="G298" s="534" t="s">
        <v>1821</v>
      </c>
      <c r="H298" s="1137" t="s">
        <v>764</v>
      </c>
      <c r="I298" s="1137" t="s">
        <v>764</v>
      </c>
      <c r="J298" s="1137" t="s">
        <v>764</v>
      </c>
      <c r="K298" s="534" t="s">
        <v>1489</v>
      </c>
    </row>
    <row r="299" spans="1:11">
      <c r="A299" s="295"/>
      <c r="B299" s="295"/>
      <c r="C299" s="295"/>
      <c r="D299" s="295"/>
      <c r="E299" s="295"/>
      <c r="F299" s="295"/>
      <c r="G299" s="295"/>
      <c r="H299" s="295"/>
      <c r="I299" s="295"/>
      <c r="J299" s="295"/>
      <c r="K299" s="295"/>
    </row>
    <row r="300" spans="1:11">
      <c r="A300" s="295"/>
      <c r="B300" s="295"/>
      <c r="C300" s="295"/>
      <c r="D300" s="295"/>
      <c r="E300" s="295"/>
      <c r="F300" s="295"/>
      <c r="G300" s="295"/>
      <c r="H300" s="295"/>
      <c r="I300" s="295"/>
      <c r="J300" s="295"/>
      <c r="K300" s="295"/>
    </row>
    <row r="301" spans="1:11">
      <c r="A301" s="1361" t="s">
        <v>880</v>
      </c>
      <c r="B301" s="1362"/>
      <c r="C301" s="256" t="s">
        <v>1955</v>
      </c>
      <c r="D301" s="818"/>
      <c r="E301" s="818"/>
      <c r="F301" s="818"/>
      <c r="G301" s="818"/>
      <c r="H301" s="818"/>
      <c r="I301" s="818"/>
      <c r="J301" s="818"/>
      <c r="K301" s="818"/>
    </row>
    <row r="302" spans="1:11">
      <c r="A302" s="778"/>
      <c r="B302" s="534"/>
      <c r="C302" s="1163" t="s">
        <v>1823</v>
      </c>
      <c r="D302" s="1163" t="s">
        <v>768</v>
      </c>
      <c r="E302" s="1163"/>
      <c r="F302" s="1163"/>
      <c r="G302" s="1163"/>
      <c r="H302" s="1163"/>
      <c r="I302" s="1163"/>
      <c r="J302" s="1163"/>
      <c r="K302" s="1163"/>
    </row>
    <row r="303" spans="1:11">
      <c r="A303" s="1185"/>
      <c r="B303" s="1185"/>
      <c r="C303" s="1185"/>
      <c r="D303" s="1185"/>
      <c r="E303" s="1185"/>
      <c r="F303" s="1185"/>
      <c r="G303" s="1185"/>
      <c r="H303" s="1185"/>
      <c r="I303" s="1185"/>
      <c r="J303" s="1185"/>
      <c r="K303" s="1185"/>
    </row>
    <row r="304" spans="1:11">
      <c r="A304" s="682" t="s">
        <v>888</v>
      </c>
      <c r="B304" s="1185"/>
      <c r="C304" s="1185"/>
      <c r="D304" s="1185"/>
      <c r="E304" s="1185"/>
      <c r="F304" s="1185"/>
      <c r="G304" s="1185"/>
      <c r="H304" s="1185"/>
      <c r="I304" s="1185"/>
      <c r="J304" s="1185"/>
      <c r="K304" s="1185"/>
    </row>
    <row r="305" spans="1:11">
      <c r="A305" s="739"/>
      <c r="B305" s="534"/>
      <c r="C305" s="534" t="s">
        <v>1956</v>
      </c>
      <c r="D305" s="534" t="s">
        <v>1798</v>
      </c>
      <c r="E305" s="534"/>
      <c r="F305" s="534"/>
      <c r="G305" s="534"/>
      <c r="H305" s="534"/>
      <c r="I305" s="534"/>
      <c r="J305" s="534"/>
      <c r="K305" s="534"/>
    </row>
    <row r="306" spans="1:11">
      <c r="A306" s="295"/>
      <c r="B306" s="295"/>
      <c r="C306" s="295"/>
      <c r="D306" s="295"/>
      <c r="E306" s="295"/>
      <c r="F306" s="295"/>
      <c r="G306" s="295"/>
      <c r="H306" s="295"/>
      <c r="I306" s="295"/>
      <c r="J306" s="295"/>
      <c r="K306" s="295"/>
    </row>
    <row r="307" spans="1:11">
      <c r="A307" s="682" t="s">
        <v>897</v>
      </c>
      <c r="B307" s="295"/>
      <c r="C307" s="295"/>
      <c r="D307" s="295"/>
      <c r="E307" s="295"/>
      <c r="F307" s="295"/>
      <c r="G307" s="295"/>
      <c r="H307" s="295"/>
      <c r="I307" s="295"/>
      <c r="J307" s="295"/>
      <c r="K307" s="295"/>
    </row>
    <row r="308" spans="1:11">
      <c r="A308" s="1163"/>
      <c r="B308" s="534"/>
      <c r="C308" s="1163"/>
      <c r="D308" s="1163"/>
      <c r="E308" s="534"/>
      <c r="F308" s="534"/>
      <c r="G308" s="534"/>
      <c r="H308" s="534"/>
      <c r="I308" s="534"/>
      <c r="J308" s="534"/>
      <c r="K308" s="534"/>
    </row>
    <row r="309" spans="1:11">
      <c r="A309" s="534"/>
      <c r="B309" s="534"/>
      <c r="C309" s="1163"/>
      <c r="D309" s="1163"/>
      <c r="E309" s="534"/>
      <c r="F309" s="534"/>
      <c r="G309" s="534"/>
      <c r="H309" s="534"/>
      <c r="I309" s="534"/>
      <c r="J309" s="534"/>
      <c r="K309" s="534"/>
    </row>
    <row r="310" spans="1:11">
      <c r="C310" s="1185"/>
      <c r="D310" s="1185"/>
      <c r="E310" s="1185"/>
    </row>
    <row r="311" spans="1:11">
      <c r="A311" s="682" t="s">
        <v>950</v>
      </c>
      <c r="B311" s="1185"/>
      <c r="C311" s="1185"/>
      <c r="D311" s="1185"/>
      <c r="E311" s="1185"/>
    </row>
    <row r="312" spans="1:11" s="1405" customFormat="1">
      <c r="A312" s="739"/>
      <c r="B312" s="534"/>
      <c r="C312" s="1406" t="s">
        <v>1959</v>
      </c>
      <c r="D312" s="1406" t="s">
        <v>765</v>
      </c>
      <c r="E312" s="534"/>
      <c r="F312" s="534" t="s">
        <v>1995</v>
      </c>
      <c r="G312" s="534" t="s">
        <v>1995</v>
      </c>
      <c r="H312" s="534" t="s">
        <v>1995</v>
      </c>
      <c r="I312" s="534" t="s">
        <v>1995</v>
      </c>
      <c r="J312" s="534"/>
      <c r="K312" s="534"/>
    </row>
    <row r="313" spans="1:11">
      <c r="A313" s="739"/>
      <c r="B313" s="534"/>
      <c r="C313" s="1163" t="s">
        <v>1959</v>
      </c>
      <c r="D313" s="1163" t="s">
        <v>768</v>
      </c>
      <c r="E313" s="534"/>
      <c r="F313" s="534" t="s">
        <v>1995</v>
      </c>
      <c r="G313" s="534" t="s">
        <v>1995</v>
      </c>
      <c r="H313" s="534" t="s">
        <v>1995</v>
      </c>
      <c r="I313" s="534" t="s">
        <v>1995</v>
      </c>
      <c r="J313" s="534"/>
      <c r="K313" s="534"/>
    </row>
    <row r="314" spans="1:11">
      <c r="A314" s="739"/>
      <c r="B314" s="534"/>
      <c r="C314" s="1163" t="s">
        <v>1961</v>
      </c>
      <c r="D314" s="1163"/>
      <c r="E314" s="534"/>
      <c r="F314" s="534" t="s">
        <v>1995</v>
      </c>
      <c r="G314" s="534" t="s">
        <v>1995</v>
      </c>
      <c r="H314" s="534" t="s">
        <v>1995</v>
      </c>
      <c r="I314" s="534" t="s">
        <v>1995</v>
      </c>
      <c r="J314" s="534"/>
      <c r="K314" s="534"/>
    </row>
    <row r="315" spans="1:11">
      <c r="A315" s="739"/>
      <c r="B315" s="534"/>
      <c r="C315" s="1163" t="s">
        <v>1960</v>
      </c>
      <c r="D315" s="1163" t="s">
        <v>768</v>
      </c>
      <c r="E315" s="534"/>
      <c r="F315" s="534" t="s">
        <v>1995</v>
      </c>
      <c r="G315" s="534" t="s">
        <v>1995</v>
      </c>
      <c r="H315" s="534" t="s">
        <v>1995</v>
      </c>
      <c r="I315" s="534" t="s">
        <v>1995</v>
      </c>
      <c r="J315" s="534"/>
      <c r="K315" s="534"/>
    </row>
    <row r="316" spans="1:11">
      <c r="A316" s="739"/>
      <c r="B316" s="534"/>
      <c r="C316" s="1406" t="s">
        <v>1994</v>
      </c>
      <c r="D316" s="1406" t="s">
        <v>768</v>
      </c>
      <c r="E316" s="534"/>
      <c r="F316" s="534" t="s">
        <v>1995</v>
      </c>
      <c r="G316" s="534" t="s">
        <v>1995</v>
      </c>
      <c r="H316" s="534" t="s">
        <v>1995</v>
      </c>
      <c r="I316" s="534" t="s">
        <v>1995</v>
      </c>
      <c r="J316" s="534"/>
      <c r="K316" s="534"/>
    </row>
    <row r="317" spans="1:11">
      <c r="A317" s="295"/>
      <c r="B317" s="295"/>
      <c r="C317" s="295"/>
      <c r="D317" s="295"/>
      <c r="E317" s="295"/>
      <c r="F317" s="295"/>
      <c r="G317" s="295"/>
      <c r="H317" s="295"/>
      <c r="I317" s="295"/>
      <c r="J317" s="295"/>
      <c r="K317" s="295"/>
    </row>
    <row r="318" spans="1:11">
      <c r="A318" s="1412" t="s">
        <v>1352</v>
      </c>
      <c r="B318" s="295"/>
      <c r="C318" s="295"/>
      <c r="D318" s="295"/>
      <c r="E318" s="295"/>
      <c r="F318" s="295"/>
      <c r="G318" s="295"/>
      <c r="H318" s="295"/>
      <c r="I318" s="295"/>
      <c r="J318" s="295"/>
      <c r="K318" s="295"/>
    </row>
    <row r="319" spans="1:11">
      <c r="A319" s="739"/>
      <c r="B319" s="534"/>
      <c r="C319" s="1406" t="s">
        <v>2014</v>
      </c>
      <c r="D319" s="1406"/>
      <c r="E319" s="534"/>
      <c r="F319" s="534" t="s">
        <v>1995</v>
      </c>
      <c r="G319" s="534" t="s">
        <v>1995</v>
      </c>
      <c r="H319" s="534" t="s">
        <v>1995</v>
      </c>
      <c r="I319" s="534" t="s">
        <v>1995</v>
      </c>
      <c r="J319" s="534" t="s">
        <v>1995</v>
      </c>
      <c r="K319" s="534"/>
    </row>
    <row r="320" spans="1:11">
      <c r="A320" s="739"/>
      <c r="B320" s="534"/>
      <c r="C320" s="1406" t="s">
        <v>2015</v>
      </c>
      <c r="D320" s="1406"/>
      <c r="E320" s="534"/>
      <c r="F320" s="534" t="s">
        <v>1995</v>
      </c>
      <c r="G320" s="534" t="s">
        <v>1995</v>
      </c>
      <c r="H320" s="534" t="s">
        <v>1995</v>
      </c>
      <c r="I320" s="534" t="s">
        <v>1995</v>
      </c>
      <c r="J320" s="534" t="s">
        <v>1995</v>
      </c>
      <c r="K320" s="534"/>
    </row>
    <row r="321" spans="1:11">
      <c r="A321" s="739"/>
      <c r="B321" s="534"/>
      <c r="C321" s="1406" t="s">
        <v>701</v>
      </c>
      <c r="D321" s="1406"/>
      <c r="E321" s="534"/>
      <c r="F321" s="534" t="s">
        <v>1995</v>
      </c>
      <c r="G321" s="534" t="s">
        <v>1995</v>
      </c>
      <c r="H321" s="534" t="s">
        <v>1995</v>
      </c>
      <c r="I321" s="534" t="s">
        <v>1995</v>
      </c>
      <c r="J321" s="534" t="s">
        <v>1995</v>
      </c>
      <c r="K321" s="534"/>
    </row>
    <row r="322" spans="1:11">
      <c r="A322" s="739"/>
      <c r="B322" s="534"/>
      <c r="C322" s="1406" t="s">
        <v>847</v>
      </c>
      <c r="D322" s="1406"/>
      <c r="E322" s="534"/>
      <c r="F322" s="534" t="s">
        <v>1995</v>
      </c>
      <c r="G322" s="534" t="s">
        <v>1995</v>
      </c>
      <c r="H322" s="534" t="s">
        <v>1995</v>
      </c>
      <c r="I322" s="534" t="s">
        <v>1995</v>
      </c>
      <c r="J322" s="534" t="s">
        <v>1995</v>
      </c>
      <c r="K322" s="534"/>
    </row>
    <row r="323" spans="1:11">
      <c r="A323" s="739"/>
      <c r="B323" s="534"/>
      <c r="C323" s="1406" t="s">
        <v>2016</v>
      </c>
      <c r="D323" s="1406"/>
      <c r="E323" s="534"/>
      <c r="F323" s="534" t="s">
        <v>1995</v>
      </c>
      <c r="G323" s="534" t="s">
        <v>1995</v>
      </c>
      <c r="H323" s="534" t="s">
        <v>1995</v>
      </c>
      <c r="I323" s="534" t="s">
        <v>1995</v>
      </c>
      <c r="J323" s="534" t="s">
        <v>1995</v>
      </c>
      <c r="K323" s="534"/>
    </row>
    <row r="324" spans="1:11">
      <c r="A324" s="739"/>
      <c r="B324" s="534"/>
      <c r="C324" s="1406"/>
      <c r="D324" s="1406"/>
      <c r="E324" s="534"/>
      <c r="F324" s="534"/>
      <c r="G324" s="534"/>
      <c r="H324" s="534"/>
      <c r="I324" s="534"/>
      <c r="J324" s="534"/>
      <c r="K324" s="534"/>
    </row>
    <row r="326" spans="1:11">
      <c r="A326" s="1412" t="s">
        <v>1355</v>
      </c>
      <c r="B326" s="295"/>
      <c r="C326" s="295"/>
      <c r="D326" s="295"/>
      <c r="E326" s="295"/>
      <c r="F326" s="295"/>
      <c r="G326" s="295"/>
      <c r="H326" s="295"/>
      <c r="I326" s="295"/>
      <c r="J326" s="295"/>
      <c r="K326" s="295"/>
    </row>
    <row r="327" spans="1:11">
      <c r="A327" s="739"/>
      <c r="B327" s="534"/>
      <c r="C327" s="1406" t="s">
        <v>2020</v>
      </c>
      <c r="D327" s="1406"/>
      <c r="E327" s="534"/>
      <c r="F327" s="534"/>
      <c r="G327" s="534"/>
      <c r="H327" s="534"/>
      <c r="I327" s="534"/>
      <c r="J327" s="534"/>
      <c r="K327" s="534"/>
    </row>
    <row r="328" spans="1:11">
      <c r="A328" s="739"/>
      <c r="B328" s="534"/>
      <c r="C328" s="1406" t="s">
        <v>2021</v>
      </c>
      <c r="D328" s="1406"/>
      <c r="E328" s="534"/>
      <c r="F328" s="534"/>
      <c r="G328" s="534"/>
      <c r="H328" s="534"/>
      <c r="I328" s="534"/>
      <c r="J328" s="534"/>
      <c r="K328" s="534"/>
    </row>
    <row r="330" spans="1:11">
      <c r="A330" s="1412" t="s">
        <v>1103</v>
      </c>
    </row>
    <row r="331" spans="1:11">
      <c r="A331" s="739"/>
      <c r="B331" s="534"/>
      <c r="C331" s="534" t="s">
        <v>2062</v>
      </c>
      <c r="D331" s="534"/>
      <c r="E331" s="534"/>
      <c r="F331" s="534" t="s">
        <v>1995</v>
      </c>
      <c r="G331" s="534" t="s">
        <v>1995</v>
      </c>
      <c r="H331" s="534" t="s">
        <v>1995</v>
      </c>
      <c r="I331" s="534" t="s">
        <v>1995</v>
      </c>
      <c r="J331" s="534" t="s">
        <v>1995</v>
      </c>
      <c r="K331" s="534"/>
    </row>
    <row r="332" spans="1:11" s="1405" customFormat="1">
      <c r="A332" s="1433"/>
      <c r="B332" s="534"/>
      <c r="C332" s="817" t="s">
        <v>2065</v>
      </c>
      <c r="D332" s="534"/>
      <c r="E332" s="534"/>
      <c r="F332" s="534"/>
      <c r="G332" s="534"/>
      <c r="H332" s="534"/>
      <c r="I332" s="534"/>
      <c r="J332" s="534"/>
      <c r="K332" s="534"/>
    </row>
    <row r="334" spans="1:11">
      <c r="A334" s="682" t="s">
        <v>399</v>
      </c>
    </row>
    <row r="335" spans="1:11">
      <c r="A335" s="776"/>
      <c r="B335" s="534"/>
      <c r="C335" s="534" t="s">
        <v>2063</v>
      </c>
      <c r="D335" s="534"/>
      <c r="E335" s="534"/>
      <c r="F335" s="534" t="s">
        <v>1995</v>
      </c>
      <c r="G335" s="534" t="s">
        <v>1995</v>
      </c>
      <c r="H335" s="534" t="s">
        <v>1995</v>
      </c>
      <c r="I335" s="534" t="s">
        <v>1995</v>
      </c>
      <c r="J335" s="534" t="s">
        <v>1995</v>
      </c>
      <c r="K335" s="534"/>
    </row>
    <row r="336" spans="1:11">
      <c r="A336" s="739"/>
      <c r="B336" s="534"/>
      <c r="C336" s="534" t="s">
        <v>2064</v>
      </c>
      <c r="D336" s="534"/>
      <c r="E336" s="534"/>
      <c r="F336" s="534" t="s">
        <v>1995</v>
      </c>
      <c r="G336" s="534" t="s">
        <v>1995</v>
      </c>
      <c r="H336" s="534" t="s">
        <v>1995</v>
      </c>
      <c r="I336" s="534" t="s">
        <v>1995</v>
      </c>
      <c r="J336" s="534" t="s">
        <v>1995</v>
      </c>
      <c r="K336" s="534"/>
    </row>
    <row r="337" spans="1:11">
      <c r="A337" s="739"/>
      <c r="B337" s="534"/>
      <c r="C337" s="534" t="s">
        <v>2066</v>
      </c>
      <c r="D337" s="534"/>
      <c r="E337" s="534"/>
      <c r="F337" s="534" t="s">
        <v>1995</v>
      </c>
      <c r="G337" s="534" t="s">
        <v>1995</v>
      </c>
      <c r="H337" s="534" t="s">
        <v>1995</v>
      </c>
      <c r="I337" s="534" t="s">
        <v>1995</v>
      </c>
      <c r="J337" s="534" t="s">
        <v>1995</v>
      </c>
      <c r="K337" s="534"/>
    </row>
    <row r="339" spans="1:11">
      <c r="A339" s="682" t="s">
        <v>506</v>
      </c>
    </row>
    <row r="340" spans="1:11">
      <c r="A340" s="739"/>
      <c r="B340" s="534"/>
      <c r="C340" s="534" t="s">
        <v>2078</v>
      </c>
      <c r="D340" s="534"/>
      <c r="E340" s="534"/>
      <c r="F340" s="534"/>
      <c r="G340" s="534"/>
      <c r="H340" s="534"/>
      <c r="I340" s="534"/>
      <c r="J340" s="534"/>
      <c r="K340" s="534"/>
    </row>
    <row r="341" spans="1:11">
      <c r="A341" s="776"/>
      <c r="B341" s="534"/>
      <c r="C341" s="534" t="s">
        <v>2079</v>
      </c>
      <c r="D341" s="534"/>
      <c r="E341" s="534"/>
      <c r="F341" s="534"/>
      <c r="G341" s="534"/>
      <c r="H341" s="534"/>
      <c r="I341" s="534"/>
      <c r="J341" s="534"/>
      <c r="K341" s="534"/>
    </row>
    <row r="342" spans="1:11">
      <c r="A342" s="739"/>
      <c r="B342" s="534"/>
      <c r="C342" s="534" t="s">
        <v>2080</v>
      </c>
      <c r="D342" s="534"/>
      <c r="E342" s="534"/>
      <c r="F342" s="534"/>
      <c r="G342" s="534"/>
      <c r="H342" s="534"/>
      <c r="I342" s="534"/>
      <c r="J342" s="534"/>
      <c r="K342" s="534"/>
    </row>
    <row r="343" spans="1:11" s="1405" customFormat="1">
      <c r="A343" s="739"/>
      <c r="B343" s="534"/>
      <c r="C343" s="817" t="s">
        <v>2088</v>
      </c>
      <c r="D343" s="534"/>
      <c r="E343" s="534"/>
      <c r="F343" s="534"/>
      <c r="G343" s="534"/>
      <c r="H343" s="534"/>
      <c r="I343" s="534"/>
      <c r="J343" s="534"/>
      <c r="K343" s="534"/>
    </row>
    <row r="345" spans="1:11">
      <c r="A345" s="682" t="s">
        <v>2081</v>
      </c>
    </row>
    <row r="346" spans="1:11">
      <c r="A346" s="739"/>
      <c r="B346" s="534"/>
      <c r="C346" s="534" t="s">
        <v>2082</v>
      </c>
      <c r="D346" s="534"/>
      <c r="E346" s="534"/>
      <c r="F346" s="534"/>
      <c r="G346" s="534"/>
      <c r="H346" s="534"/>
      <c r="I346" s="534"/>
      <c r="J346" s="534"/>
      <c r="K346" s="534"/>
    </row>
    <row r="348" spans="1:11">
      <c r="A348" s="682" t="s">
        <v>2083</v>
      </c>
    </row>
    <row r="349" spans="1:11">
      <c r="A349" s="1413"/>
      <c r="B349" s="534"/>
      <c r="C349" s="534" t="s">
        <v>2084</v>
      </c>
      <c r="D349" s="534"/>
      <c r="E349" s="534"/>
      <c r="F349" s="534"/>
      <c r="G349" s="534"/>
      <c r="H349" s="534"/>
      <c r="I349" s="534"/>
      <c r="J349" s="534"/>
      <c r="K349" s="534"/>
    </row>
    <row r="350" spans="1:11">
      <c r="A350" s="1413"/>
      <c r="B350" s="534"/>
      <c r="C350" s="534" t="s">
        <v>2085</v>
      </c>
      <c r="D350" s="534"/>
      <c r="E350" s="534"/>
      <c r="F350" s="534"/>
      <c r="G350" s="534"/>
      <c r="H350" s="534"/>
      <c r="I350" s="534"/>
      <c r="J350" s="534"/>
      <c r="K350" s="534"/>
    </row>
    <row r="351" spans="1:11">
      <c r="A351" s="1413"/>
      <c r="B351" s="534"/>
      <c r="C351" s="534" t="s">
        <v>2092</v>
      </c>
      <c r="D351" s="534"/>
      <c r="E351" s="534"/>
      <c r="F351" s="534"/>
      <c r="G351" s="534"/>
      <c r="H351" s="534"/>
      <c r="I351" s="534"/>
      <c r="J351" s="534"/>
      <c r="K351" s="534"/>
    </row>
    <row r="352" spans="1:11">
      <c r="C352" s="256" t="s">
        <v>2105</v>
      </c>
    </row>
    <row r="354" spans="1:11">
      <c r="A354" s="1623" t="s">
        <v>2317</v>
      </c>
      <c r="B354" s="935"/>
      <c r="C354" s="935"/>
      <c r="D354" s="935"/>
      <c r="E354" s="935"/>
      <c r="F354" s="935"/>
      <c r="G354" s="935"/>
      <c r="H354" s="935"/>
      <c r="I354" s="935"/>
      <c r="J354" s="935"/>
      <c r="K354" s="935"/>
    </row>
    <row r="355" spans="1:11">
      <c r="A355" s="682" t="s">
        <v>2312</v>
      </c>
    </row>
    <row r="356" spans="1:11">
      <c r="A356" s="1413"/>
      <c r="B356" s="777">
        <v>44986</v>
      </c>
      <c r="C356" s="534" t="s">
        <v>2316</v>
      </c>
      <c r="D356" s="534"/>
      <c r="E356" s="534"/>
      <c r="F356" s="534"/>
      <c r="G356" s="534"/>
      <c r="H356" s="534"/>
      <c r="I356" s="534"/>
      <c r="J356" s="534"/>
      <c r="K356" s="534"/>
    </row>
    <row r="357" spans="1:11">
      <c r="A357" s="1413"/>
      <c r="B357" s="777"/>
      <c r="C357" s="534" t="s">
        <v>2315</v>
      </c>
      <c r="D357" s="534"/>
      <c r="E357" s="534"/>
      <c r="F357" s="534"/>
      <c r="G357" s="534"/>
      <c r="H357" s="534"/>
      <c r="I357" s="534"/>
      <c r="J357" s="534"/>
      <c r="K357" s="534"/>
    </row>
    <row r="358" spans="1:11">
      <c r="A358" s="1413"/>
      <c r="B358" s="777"/>
      <c r="C358" s="534" t="s">
        <v>2314</v>
      </c>
      <c r="D358" s="534"/>
      <c r="E358" s="534"/>
      <c r="F358" s="534"/>
      <c r="G358" s="534"/>
      <c r="H358" s="534"/>
      <c r="I358" s="534"/>
      <c r="J358" s="534"/>
      <c r="K358" s="534"/>
    </row>
    <row r="359" spans="1:11">
      <c r="A359" s="1413"/>
      <c r="B359" s="777"/>
      <c r="C359" s="534" t="s">
        <v>2313</v>
      </c>
      <c r="D359" s="534"/>
      <c r="E359" s="534"/>
      <c r="F359" s="534"/>
      <c r="G359" s="534"/>
      <c r="H359" s="534"/>
      <c r="I359" s="534"/>
      <c r="J359" s="534"/>
      <c r="K359" s="534"/>
    </row>
    <row r="360" spans="1:11">
      <c r="A360" s="776"/>
      <c r="B360" s="777">
        <v>44987</v>
      </c>
      <c r="C360" s="534" t="s">
        <v>2324</v>
      </c>
      <c r="D360" s="534"/>
      <c r="E360" s="534"/>
      <c r="F360" s="534"/>
      <c r="G360" s="534"/>
      <c r="H360" s="534"/>
      <c r="I360" s="534"/>
      <c r="J360" s="534"/>
      <c r="K360" s="534"/>
    </row>
    <row r="361" spans="1:11">
      <c r="A361" s="776"/>
      <c r="B361" s="777">
        <v>44991</v>
      </c>
      <c r="C361" s="534" t="s">
        <v>2325</v>
      </c>
      <c r="D361" s="534"/>
      <c r="E361" s="534"/>
      <c r="F361" s="534"/>
      <c r="G361" s="534"/>
      <c r="H361" s="534"/>
      <c r="I361" s="534"/>
      <c r="J361" s="534"/>
      <c r="K361" s="534"/>
    </row>
    <row r="362" spans="1:11" s="1489" customFormat="1">
      <c r="A362" s="1640"/>
      <c r="B362" s="1640"/>
      <c r="C362" s="818"/>
      <c r="D362" s="818"/>
      <c r="E362" s="818"/>
      <c r="F362" s="818"/>
      <c r="G362" s="818"/>
      <c r="H362" s="818"/>
      <c r="I362" s="818"/>
      <c r="J362" s="818"/>
      <c r="K362" s="818"/>
    </row>
    <row r="363" spans="1:11">
      <c r="A363" s="682" t="s">
        <v>2339</v>
      </c>
    </row>
    <row r="364" spans="1:11">
      <c r="A364" s="739"/>
      <c r="B364" s="777">
        <v>44998</v>
      </c>
      <c r="C364" s="534" t="s">
        <v>2340</v>
      </c>
      <c r="D364" s="534"/>
      <c r="E364" s="534"/>
      <c r="F364" s="534"/>
      <c r="G364" s="534"/>
      <c r="H364" s="534"/>
      <c r="I364" s="534"/>
      <c r="J364" s="534"/>
      <c r="K364" s="534"/>
    </row>
    <row r="365" spans="1:11">
      <c r="A365" s="776"/>
      <c r="B365" s="777">
        <v>44998</v>
      </c>
      <c r="C365" s="534" t="s">
        <v>2342</v>
      </c>
      <c r="D365" s="534"/>
      <c r="E365" s="534"/>
      <c r="F365" s="534"/>
      <c r="G365" s="534"/>
      <c r="H365" s="534"/>
      <c r="I365" s="534"/>
      <c r="J365" s="534"/>
      <c r="K365" s="534"/>
    </row>
    <row r="366" spans="1:11">
      <c r="A366" s="739"/>
      <c r="B366" s="777">
        <v>44998</v>
      </c>
      <c r="C366" s="534" t="s">
        <v>2344</v>
      </c>
      <c r="D366" s="534"/>
      <c r="E366" s="534"/>
      <c r="F366" s="534"/>
      <c r="G366" s="534"/>
      <c r="H366" s="534"/>
      <c r="I366" s="534"/>
      <c r="J366" s="534"/>
      <c r="K366" s="534"/>
    </row>
    <row r="367" spans="1:11">
      <c r="A367" s="776"/>
      <c r="B367" s="777">
        <v>45014</v>
      </c>
      <c r="C367" s="534" t="s">
        <v>2346</v>
      </c>
      <c r="D367" s="534"/>
      <c r="E367" s="534"/>
      <c r="F367" s="534"/>
      <c r="G367" s="534"/>
      <c r="H367" s="534"/>
      <c r="I367" s="534"/>
      <c r="J367" s="534"/>
      <c r="K367" s="534"/>
    </row>
    <row r="368" spans="1:11">
      <c r="A368" s="1639"/>
      <c r="B368" s="777">
        <v>45014</v>
      </c>
      <c r="C368" s="534" t="s">
        <v>2347</v>
      </c>
      <c r="D368" s="534"/>
      <c r="E368" s="534"/>
      <c r="F368" s="534"/>
      <c r="G368" s="534"/>
      <c r="H368" s="534"/>
      <c r="I368" s="534"/>
      <c r="J368" s="534"/>
      <c r="K368" s="534"/>
    </row>
    <row r="369" spans="1:11">
      <c r="A369" s="1647"/>
      <c r="B369" s="777">
        <v>45014</v>
      </c>
      <c r="C369" s="534" t="s">
        <v>2350</v>
      </c>
      <c r="D369" s="534"/>
      <c r="E369" s="534"/>
      <c r="F369" s="534"/>
      <c r="G369" s="534"/>
      <c r="H369" s="534"/>
      <c r="I369" s="534"/>
      <c r="J369" s="534"/>
      <c r="K369" s="534"/>
    </row>
    <row r="370" spans="1:11">
      <c r="A370" s="1647"/>
      <c r="B370" s="777">
        <v>45014</v>
      </c>
      <c r="C370" s="534" t="s">
        <v>2352</v>
      </c>
      <c r="D370" s="534"/>
      <c r="E370" s="534"/>
      <c r="F370" s="534"/>
      <c r="G370" s="534"/>
      <c r="H370" s="534"/>
      <c r="I370" s="534"/>
      <c r="J370" s="534"/>
      <c r="K370" s="534"/>
    </row>
    <row r="371" spans="1:11">
      <c r="A371" s="1639"/>
      <c r="B371" s="777">
        <v>45027</v>
      </c>
      <c r="C371" s="534" t="s">
        <v>2416</v>
      </c>
      <c r="D371" s="534"/>
      <c r="E371" s="534"/>
      <c r="F371" s="534"/>
      <c r="G371" s="534"/>
      <c r="H371" s="534"/>
      <c r="I371" s="534"/>
      <c r="J371" s="534"/>
      <c r="K371" s="534"/>
    </row>
    <row r="372" spans="1:11">
      <c r="A372" s="1639"/>
      <c r="B372" s="777">
        <v>45027</v>
      </c>
      <c r="C372" s="534" t="s">
        <v>2417</v>
      </c>
      <c r="D372" s="534"/>
      <c r="E372" s="534"/>
      <c r="F372" s="534"/>
      <c r="G372" s="534"/>
      <c r="H372" s="534"/>
      <c r="I372" s="534"/>
      <c r="J372" s="534"/>
      <c r="K372" s="534"/>
    </row>
    <row r="373" spans="1:11">
      <c r="B373" s="1489"/>
      <c r="C373" s="1489"/>
      <c r="D373" s="1489"/>
    </row>
    <row r="374" spans="1:11">
      <c r="A374" s="682" t="s">
        <v>2421</v>
      </c>
    </row>
    <row r="375" spans="1:11">
      <c r="A375" s="739"/>
      <c r="B375" s="777">
        <v>45043</v>
      </c>
      <c r="C375" s="534" t="s">
        <v>2460</v>
      </c>
    </row>
    <row r="376" spans="1:11">
      <c r="A376" s="739"/>
      <c r="B376" s="777">
        <v>45043</v>
      </c>
      <c r="C376" s="534" t="s">
        <v>2461</v>
      </c>
    </row>
    <row r="377" spans="1:11">
      <c r="A377" s="739"/>
      <c r="B377" s="777">
        <v>45043</v>
      </c>
      <c r="C377" s="534" t="s">
        <v>2463</v>
      </c>
    </row>
    <row r="378" spans="1:11">
      <c r="A378" s="739"/>
      <c r="B378" s="777">
        <v>45043</v>
      </c>
      <c r="C378" s="534" t="s">
        <v>2433</v>
      </c>
    </row>
    <row r="379" spans="1:11">
      <c r="A379" s="739"/>
      <c r="B379" s="777">
        <v>45043</v>
      </c>
      <c r="C379" s="534" t="s">
        <v>2435</v>
      </c>
    </row>
    <row r="380" spans="1:11">
      <c r="A380" s="739"/>
      <c r="B380" s="777">
        <v>45043</v>
      </c>
      <c r="C380" s="534" t="s">
        <v>2437</v>
      </c>
    </row>
    <row r="381" spans="1:11">
      <c r="A381" s="739"/>
      <c r="B381" s="777">
        <v>45043</v>
      </c>
      <c r="C381" s="534" t="s">
        <v>2439</v>
      </c>
    </row>
    <row r="382" spans="1:11">
      <c r="A382" s="776"/>
      <c r="B382" s="777">
        <v>45043</v>
      </c>
      <c r="C382" s="534" t="s">
        <v>2448</v>
      </c>
    </row>
    <row r="383" spans="1:11">
      <c r="A383" s="739"/>
      <c r="B383" s="777">
        <v>45043</v>
      </c>
      <c r="C383" s="534" t="s">
        <v>2446</v>
      </c>
    </row>
    <row r="384" spans="1:11">
      <c r="A384" s="739"/>
      <c r="B384" s="777">
        <v>45043</v>
      </c>
      <c r="C384" s="534" t="s">
        <v>2459</v>
      </c>
    </row>
    <row r="385" spans="1:3">
      <c r="A385" s="739"/>
      <c r="B385" s="777">
        <v>45044</v>
      </c>
      <c r="C385" s="534" t="s">
        <v>2462</v>
      </c>
    </row>
    <row r="386" spans="1:3">
      <c r="A386" s="739"/>
      <c r="B386" s="777">
        <v>45049</v>
      </c>
      <c r="C386" s="534" t="s">
        <v>2489</v>
      </c>
    </row>
    <row r="388" spans="1:3">
      <c r="A388" s="682" t="s">
        <v>2491</v>
      </c>
      <c r="B388" s="1489"/>
      <c r="C388" s="1489"/>
    </row>
    <row r="389" spans="1:3">
      <c r="A389" s="739"/>
      <c r="B389" s="777">
        <v>45076</v>
      </c>
      <c r="C389" s="534" t="s">
        <v>2492</v>
      </c>
    </row>
    <row r="390" spans="1:3">
      <c r="A390" s="739"/>
      <c r="B390" s="777">
        <v>45076</v>
      </c>
      <c r="C390" s="534" t="s">
        <v>2503</v>
      </c>
    </row>
    <row r="391" spans="1:3">
      <c r="A391" s="1489"/>
      <c r="B391" s="1489"/>
      <c r="C391" s="1489"/>
    </row>
    <row r="392" spans="1:3">
      <c r="A392" s="1489"/>
      <c r="B392" s="1489"/>
      <c r="C392" s="1489"/>
    </row>
    <row r="393" spans="1:3">
      <c r="A393" s="682" t="s">
        <v>2525</v>
      </c>
      <c r="B393" s="1489"/>
      <c r="C393" s="1489"/>
    </row>
    <row r="394" spans="1:3">
      <c r="A394" s="778"/>
      <c r="B394" s="777">
        <v>45104</v>
      </c>
      <c r="C394" s="534" t="s">
        <v>2502</v>
      </c>
    </row>
    <row r="395" spans="1:3">
      <c r="A395" s="739"/>
      <c r="B395" s="777">
        <v>45104</v>
      </c>
      <c r="C395" s="534" t="s">
        <v>2504</v>
      </c>
    </row>
    <row r="396" spans="1:3">
      <c r="A396" s="739"/>
      <c r="B396" s="777">
        <v>45104</v>
      </c>
      <c r="C396" s="534" t="s">
        <v>2505</v>
      </c>
    </row>
    <row r="397" spans="1:3">
      <c r="A397" s="776"/>
      <c r="B397" s="777">
        <v>45107</v>
      </c>
      <c r="C397" s="534" t="s">
        <v>2509</v>
      </c>
    </row>
    <row r="398" spans="1:3">
      <c r="A398" s="1489"/>
      <c r="B398" s="1489"/>
      <c r="C398" s="1489"/>
    </row>
    <row r="399" spans="1:3">
      <c r="A399" s="1489"/>
      <c r="B399" s="1489"/>
      <c r="C399" s="1489"/>
    </row>
    <row r="400" spans="1:3">
      <c r="A400" s="682" t="s">
        <v>2526</v>
      </c>
      <c r="B400" s="1489"/>
      <c r="C400" s="1489"/>
    </row>
    <row r="401" spans="1:3">
      <c r="A401" s="739"/>
      <c r="B401" s="777">
        <v>45132</v>
      </c>
      <c r="C401" s="534" t="s">
        <v>2527</v>
      </c>
    </row>
    <row r="402" spans="1:3">
      <c r="A402" s="739"/>
      <c r="B402" s="777">
        <v>45132</v>
      </c>
      <c r="C402" s="534" t="s">
        <v>2547</v>
      </c>
    </row>
    <row r="403" spans="1:3">
      <c r="A403" s="776"/>
      <c r="B403" s="777">
        <v>45132</v>
      </c>
      <c r="C403" s="534" t="s">
        <v>2548</v>
      </c>
    </row>
    <row r="406" spans="1:3">
      <c r="A406" s="682" t="s">
        <v>2553</v>
      </c>
      <c r="B406" s="1489"/>
      <c r="C406" s="1489"/>
    </row>
    <row r="407" spans="1:3">
      <c r="A407" s="776"/>
      <c r="B407" s="777">
        <v>45195</v>
      </c>
      <c r="C407" s="534" t="s">
        <v>2565</v>
      </c>
    </row>
    <row r="408" spans="1:3">
      <c r="A408" s="739"/>
      <c r="B408" s="777">
        <v>45195</v>
      </c>
      <c r="C408" s="534" t="s">
        <v>2554</v>
      </c>
    </row>
    <row r="409" spans="1:3">
      <c r="A409" s="739"/>
      <c r="B409" s="777">
        <v>45195</v>
      </c>
      <c r="C409" s="534" t="s">
        <v>2566</v>
      </c>
    </row>
    <row r="410" spans="1:3">
      <c r="A410" s="739"/>
      <c r="B410" s="777">
        <v>45195</v>
      </c>
      <c r="C410" s="534" t="s">
        <v>2570</v>
      </c>
    </row>
    <row r="411" spans="1:3">
      <c r="A411" s="739"/>
      <c r="B411" s="777">
        <v>45196</v>
      </c>
      <c r="C411" s="534" t="s">
        <v>2588</v>
      </c>
    </row>
    <row r="412" spans="1:3" s="1489" customFormat="1">
      <c r="A412" s="739"/>
      <c r="B412" s="777">
        <v>45196</v>
      </c>
      <c r="C412" s="534" t="s">
        <v>2591</v>
      </c>
    </row>
    <row r="413" spans="1:3">
      <c r="A413" s="776"/>
      <c r="B413" s="777">
        <v>45196</v>
      </c>
      <c r="C413" s="534" t="s">
        <v>2589</v>
      </c>
    </row>
    <row r="414" spans="1:3">
      <c r="A414" s="776"/>
      <c r="B414" s="777">
        <v>45196</v>
      </c>
      <c r="C414" s="534" t="s">
        <v>2590</v>
      </c>
    </row>
    <row r="417" spans="1:3">
      <c r="A417" s="682" t="s">
        <v>2592</v>
      </c>
    </row>
    <row r="418" spans="1:3">
      <c r="A418" s="1839"/>
      <c r="B418" s="777">
        <v>45223</v>
      </c>
      <c r="C418" s="534" t="s">
        <v>2802</v>
      </c>
    </row>
    <row r="419" spans="1:3">
      <c r="A419" s="717"/>
      <c r="B419" s="777">
        <v>45223</v>
      </c>
      <c r="C419" s="534" t="s">
        <v>2803</v>
      </c>
    </row>
    <row r="420" spans="1:3">
      <c r="A420" s="1840"/>
      <c r="B420" s="777">
        <v>45223</v>
      </c>
      <c r="C420" s="534" t="s">
        <v>2804</v>
      </c>
    </row>
    <row r="421" spans="1:3">
      <c r="A421" s="1840"/>
      <c r="B421" s="777">
        <v>45223</v>
      </c>
      <c r="C421" s="534" t="s">
        <v>2812</v>
      </c>
    </row>
    <row r="422" spans="1:3">
      <c r="A422" s="1840"/>
      <c r="B422" s="777">
        <v>45225</v>
      </c>
      <c r="C422" s="534" t="s">
        <v>2815</v>
      </c>
    </row>
    <row r="423" spans="1:3">
      <c r="A423" s="1840"/>
      <c r="B423" s="777">
        <v>45225</v>
      </c>
      <c r="C423" s="534" t="s">
        <v>2817</v>
      </c>
    </row>
    <row r="425" spans="1:3">
      <c r="A425" s="682" t="s">
        <v>2873</v>
      </c>
      <c r="B425" s="1805"/>
      <c r="C425" s="1805"/>
    </row>
    <row r="426" spans="1:3">
      <c r="A426" s="739"/>
      <c r="B426" s="777">
        <v>45260</v>
      </c>
      <c r="C426" s="534" t="s">
        <v>2874</v>
      </c>
    </row>
    <row r="427" spans="1:3">
      <c r="A427" s="1839"/>
      <c r="B427" s="777">
        <v>45260</v>
      </c>
      <c r="C427" s="534" t="s">
        <v>2896</v>
      </c>
    </row>
  </sheetData>
  <sheetProtection algorithmName="SHA-512" hashValue="BN/07qrrdBpX2LxcjP5M3Flg3r1K0eoL6vq+ylr79VEgo3TL3Zir+pFuyg7KIeq+Oa9Ng/YH2Aa1FL004o8FAg==" saltValue="3siAE//OjBXafMlQ9p3PlA==" spinCount="100000" sheet="1" selectLockedCells="1" selectUnlockedCells="1"/>
  <mergeCells count="21">
    <mergeCell ref="A233:K233"/>
    <mergeCell ref="A243:K243"/>
    <mergeCell ref="A252:K252"/>
    <mergeCell ref="A169:K169"/>
    <mergeCell ref="A180:K180"/>
    <mergeCell ref="A187:K187"/>
    <mergeCell ref="A203:K203"/>
    <mergeCell ref="A216:K216"/>
    <mergeCell ref="A230:K230"/>
    <mergeCell ref="A161:K161"/>
    <mergeCell ref="A5:K5"/>
    <mergeCell ref="A25:K25"/>
    <mergeCell ref="A62:K62"/>
    <mergeCell ref="A69:K69"/>
    <mergeCell ref="A78:K78"/>
    <mergeCell ref="A103:K103"/>
    <mergeCell ref="A123:K123"/>
    <mergeCell ref="A133:K133"/>
    <mergeCell ref="A148:K148"/>
    <mergeCell ref="A151:K151"/>
    <mergeCell ref="A156:K156"/>
  </mergeCells>
  <phoneticPr fontId="18" type="noConversion"/>
  <pageMargins left="0.7" right="0.7" top="0.75" bottom="0.75" header="0.3" footer="0.3"/>
  <pageSetup paperSize="9" orientation="portrait" r:id="rId1"/>
  <headerFooter>
    <oddFooter>&amp;C_x000D_&amp;1#&amp;"Helvetica 75 Bold"&amp;8&amp;KED7D31 Orange Restricted</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53"/>
  <sheetViews>
    <sheetView topLeftCell="N1" zoomScale="80" zoomScaleNormal="80" workbookViewId="0">
      <selection activeCell="I1" sqref="A1:I1048576"/>
    </sheetView>
  </sheetViews>
  <sheetFormatPr baseColWidth="10" defaultColWidth="9.21875" defaultRowHeight="13.2"/>
  <cols>
    <col min="1" max="1" width="3.77734375" style="1276" hidden="1" customWidth="1"/>
    <col min="2" max="2" width="28.5546875" style="1276" hidden="1" customWidth="1"/>
    <col min="3" max="3" width="20.77734375" style="1276" hidden="1" customWidth="1"/>
    <col min="4" max="4" width="16.77734375" style="1276" hidden="1" customWidth="1"/>
    <col min="5" max="5" width="19.5546875" style="1276" hidden="1" customWidth="1"/>
    <col min="6" max="6" width="17.21875" style="1276" hidden="1" customWidth="1"/>
    <col min="7" max="13" width="9.21875" style="1276" hidden="1" customWidth="1"/>
    <col min="14" max="16" width="9.21875" style="1276" customWidth="1"/>
    <col min="17" max="16384" width="9.21875" style="1276"/>
  </cols>
  <sheetData>
    <row r="1" spans="2:12">
      <c r="B1" s="2180" t="s">
        <v>1740</v>
      </c>
      <c r="C1" s="2181"/>
      <c r="D1" s="2181"/>
      <c r="E1" s="2181"/>
      <c r="F1" s="2182"/>
    </row>
    <row r="2" spans="2:12" ht="6.45" customHeight="1">
      <c r="B2" s="1312"/>
      <c r="C2" s="1311"/>
      <c r="D2" s="1311"/>
      <c r="E2" s="1311"/>
      <c r="F2" s="1310"/>
    </row>
    <row r="3" spans="2:12">
      <c r="B3" s="2183" t="s">
        <v>1739</v>
      </c>
      <c r="C3" s="2184"/>
      <c r="D3" s="2184"/>
      <c r="E3" s="2184"/>
      <c r="F3" s="2185"/>
    </row>
    <row r="4" spans="2:12" ht="16.2" thickBot="1">
      <c r="B4" s="2186">
        <v>1</v>
      </c>
      <c r="C4" s="2187"/>
      <c r="D4" s="2187"/>
      <c r="E4" s="2187"/>
      <c r="F4" s="2188"/>
    </row>
    <row r="5" spans="2:12" ht="13.8" thickBot="1">
      <c r="B5" s="2180" t="s">
        <v>1738</v>
      </c>
      <c r="C5" s="2181"/>
      <c r="D5" s="2181"/>
      <c r="E5" s="2181"/>
      <c r="F5" s="2182"/>
    </row>
    <row r="6" spans="2:12" ht="26.4">
      <c r="B6" s="2189" t="s">
        <v>1735</v>
      </c>
      <c r="C6" s="2190"/>
      <c r="D6" s="2191"/>
      <c r="E6" s="1322" t="s">
        <v>1734</v>
      </c>
      <c r="F6" s="1321" t="s">
        <v>1706</v>
      </c>
    </row>
    <row r="7" spans="2:12" ht="18.75" customHeight="1" thickBot="1">
      <c r="B7" s="2177" t="s">
        <v>1737</v>
      </c>
      <c r="C7" s="2178"/>
      <c r="D7" s="2179"/>
      <c r="E7" s="1319">
        <v>5</v>
      </c>
      <c r="F7" s="1296">
        <f>('FE STACK PRICES'!C30*'FE STACK'!E7)/'FE STACK PRICES'!B40</f>
        <v>85918.75</v>
      </c>
    </row>
    <row r="8" spans="2:12" ht="13.8" thickBot="1">
      <c r="B8" s="1312"/>
      <c r="C8" s="1311"/>
      <c r="D8" s="1311"/>
      <c r="E8" s="1311"/>
      <c r="F8" s="1310"/>
    </row>
    <row r="9" spans="2:12" ht="13.8" thickBot="1">
      <c r="B9" s="2192" t="s">
        <v>1736</v>
      </c>
      <c r="C9" s="2193"/>
      <c r="D9" s="2193"/>
      <c r="E9" s="2193"/>
      <c r="F9" s="2194"/>
    </row>
    <row r="10" spans="2:12" ht="26.4">
      <c r="B10" s="2195" t="s">
        <v>1735</v>
      </c>
      <c r="C10" s="2196"/>
      <c r="D10" s="2197"/>
      <c r="E10" s="1302" t="s">
        <v>1734</v>
      </c>
      <c r="F10" s="1300" t="s">
        <v>1706</v>
      </c>
      <c r="G10" s="2198" t="s">
        <v>1733</v>
      </c>
      <c r="H10" s="2199"/>
      <c r="I10" s="2199"/>
      <c r="J10" s="2199"/>
      <c r="K10" s="2199"/>
      <c r="L10" s="2200"/>
    </row>
    <row r="11" spans="2:12" ht="15.6">
      <c r="B11" s="2207" t="s">
        <v>1732</v>
      </c>
      <c r="C11" s="2208"/>
      <c r="D11" s="2209"/>
      <c r="E11" s="1320">
        <v>2</v>
      </c>
      <c r="F11" s="2210">
        <f>(200000)/'FE STACK PRICES'!B40</f>
        <v>250000</v>
      </c>
      <c r="G11" s="2201"/>
      <c r="H11" s="2202"/>
      <c r="I11" s="2202"/>
      <c r="J11" s="2202"/>
      <c r="K11" s="2202"/>
      <c r="L11" s="2203"/>
    </row>
    <row r="12" spans="2:12" ht="15.6">
      <c r="B12" s="2207" t="s">
        <v>1699</v>
      </c>
      <c r="C12" s="2208"/>
      <c r="D12" s="2209"/>
      <c r="E12" s="1320">
        <v>2</v>
      </c>
      <c r="F12" s="2211"/>
      <c r="G12" s="2201"/>
      <c r="H12" s="2202"/>
      <c r="I12" s="2202"/>
      <c r="J12" s="2202"/>
      <c r="K12" s="2202"/>
      <c r="L12" s="2203"/>
    </row>
    <row r="13" spans="2:12" ht="15.6">
      <c r="B13" s="2207" t="s">
        <v>1731</v>
      </c>
      <c r="C13" s="2208"/>
      <c r="D13" s="2209"/>
      <c r="E13" s="1320">
        <v>2</v>
      </c>
      <c r="F13" s="2211"/>
      <c r="G13" s="2201"/>
      <c r="H13" s="2202"/>
      <c r="I13" s="2202"/>
      <c r="J13" s="2202"/>
      <c r="K13" s="2202"/>
      <c r="L13" s="2203"/>
    </row>
    <row r="14" spans="2:12" ht="15.6">
      <c r="B14" s="2207" t="s">
        <v>1730</v>
      </c>
      <c r="C14" s="2208"/>
      <c r="D14" s="2209"/>
      <c r="E14" s="1320">
        <v>2</v>
      </c>
      <c r="F14" s="2211"/>
      <c r="G14" s="2201"/>
      <c r="H14" s="2202"/>
      <c r="I14" s="2202"/>
      <c r="J14" s="2202"/>
      <c r="K14" s="2202"/>
      <c r="L14" s="2203"/>
    </row>
    <row r="15" spans="2:12" ht="15.6">
      <c r="B15" s="2207" t="s">
        <v>1729</v>
      </c>
      <c r="C15" s="2208"/>
      <c r="D15" s="2209"/>
      <c r="E15" s="1320">
        <v>2</v>
      </c>
      <c r="F15" s="2211"/>
      <c r="G15" s="2201"/>
      <c r="H15" s="2202"/>
      <c r="I15" s="2202"/>
      <c r="J15" s="2202"/>
      <c r="K15" s="2202"/>
      <c r="L15" s="2203"/>
    </row>
    <row r="16" spans="2:12" ht="15.6">
      <c r="B16" s="2207" t="s">
        <v>1728</v>
      </c>
      <c r="C16" s="2208"/>
      <c r="D16" s="2209"/>
      <c r="E16" s="1320">
        <v>2</v>
      </c>
      <c r="F16" s="2211"/>
      <c r="G16" s="2201"/>
      <c r="H16" s="2202"/>
      <c r="I16" s="2202"/>
      <c r="J16" s="2202"/>
      <c r="K16" s="2202"/>
      <c r="L16" s="2203"/>
    </row>
    <row r="17" spans="2:12" ht="15.6">
      <c r="B17" s="2207" t="s">
        <v>1727</v>
      </c>
      <c r="C17" s="2208"/>
      <c r="D17" s="2209"/>
      <c r="E17" s="1320">
        <v>1</v>
      </c>
      <c r="F17" s="2211"/>
      <c r="G17" s="2201"/>
      <c r="H17" s="2202"/>
      <c r="I17" s="2202"/>
      <c r="J17" s="2202"/>
      <c r="K17" s="2202"/>
      <c r="L17" s="2203"/>
    </row>
    <row r="18" spans="2:12" ht="15.6">
      <c r="B18" s="2207" t="s">
        <v>1726</v>
      </c>
      <c r="C18" s="2208"/>
      <c r="D18" s="2209"/>
      <c r="E18" s="1320">
        <v>1</v>
      </c>
      <c r="F18" s="2211"/>
      <c r="G18" s="2201"/>
      <c r="H18" s="2202"/>
      <c r="I18" s="2202"/>
      <c r="J18" s="2202"/>
      <c r="K18" s="2202"/>
      <c r="L18" s="2203"/>
    </row>
    <row r="19" spans="2:12" ht="15.6">
      <c r="B19" s="2207" t="s">
        <v>1725</v>
      </c>
      <c r="C19" s="2208"/>
      <c r="D19" s="2209"/>
      <c r="E19" s="1320">
        <f>IF(ROUNDUP(SUM(D24:D30)/24,0)&lt;2, 2, SUM(D24:D30)/24)</f>
        <v>2</v>
      </c>
      <c r="F19" s="2211"/>
      <c r="G19" s="2201"/>
      <c r="H19" s="2202"/>
      <c r="I19" s="2202"/>
      <c r="J19" s="2202"/>
      <c r="K19" s="2202"/>
      <c r="L19" s="2203"/>
    </row>
    <row r="20" spans="2:12" ht="16.2" thickBot="1">
      <c r="B20" s="2207" t="s">
        <v>1724</v>
      </c>
      <c r="C20" s="2208"/>
      <c r="D20" s="2209"/>
      <c r="E20" s="1319">
        <f>IF(ROUNDUP(SUM(D34:D35)/24,0)&lt;2, 2, SUM(D34:D35)/24)</f>
        <v>2</v>
      </c>
      <c r="F20" s="2212"/>
      <c r="G20" s="2204"/>
      <c r="H20" s="2205"/>
      <c r="I20" s="2205"/>
      <c r="J20" s="2205"/>
      <c r="K20" s="2205"/>
      <c r="L20" s="2206"/>
    </row>
    <row r="21" spans="2:12" ht="13.8" thickBot="1">
      <c r="B21" s="1312"/>
      <c r="C21" s="1311"/>
      <c r="D21" s="1311"/>
      <c r="E21" s="1311"/>
      <c r="F21" s="1310"/>
    </row>
    <row r="22" spans="2:12">
      <c r="B22" s="2180" t="s">
        <v>1723</v>
      </c>
      <c r="C22" s="2181"/>
      <c r="D22" s="2181"/>
      <c r="E22" s="2181"/>
      <c r="F22" s="2182"/>
    </row>
    <row r="23" spans="2:12" ht="26.4">
      <c r="B23" s="1309" t="s">
        <v>1722</v>
      </c>
      <c r="C23" s="1318" t="s">
        <v>1721</v>
      </c>
      <c r="D23" s="1302" t="s">
        <v>1709</v>
      </c>
      <c r="E23" s="1302" t="s">
        <v>1720</v>
      </c>
      <c r="F23" s="1300" t="s">
        <v>1706</v>
      </c>
    </row>
    <row r="24" spans="2:12">
      <c r="B24" s="1299" t="s">
        <v>1719</v>
      </c>
      <c r="C24" s="1317">
        <v>1000</v>
      </c>
      <c r="D24" s="1317">
        <f>IF(C24=0, 0, IF(C24&lt;800, 4, ROUNDUP(C24/'FE STACK PRICES'!E2,0)))</f>
        <v>4</v>
      </c>
      <c r="E24" s="1317">
        <f>D24*'FE STACK PRICES'!E2</f>
        <v>1056</v>
      </c>
      <c r="F24" s="1296">
        <f>('FE STACK PRICES'!G2*'FE STACK'!D24)/('FE STACK PRICES'!B40)</f>
        <v>85455</v>
      </c>
    </row>
    <row r="25" spans="2:12">
      <c r="B25" s="1299" t="s">
        <v>1718</v>
      </c>
      <c r="C25" s="1317">
        <v>0</v>
      </c>
      <c r="D25" s="1317">
        <f>IF(C25=0, 0, IF(C25&lt;296, 4, ROUNDUP(C25/'FE STACK PRICES'!E3,0)))</f>
        <v>0</v>
      </c>
      <c r="E25" s="1317">
        <f>'FE STACK PRICES'!E3*'FE STACK'!D25</f>
        <v>0</v>
      </c>
      <c r="F25" s="1296">
        <f>('FE STACK PRICES'!G3*'FE STACK'!D25)/('FE STACK PRICES'!B40)</f>
        <v>0</v>
      </c>
    </row>
    <row r="26" spans="2:12">
      <c r="B26" s="1299"/>
      <c r="C26" s="1317"/>
      <c r="D26" s="1317"/>
      <c r="E26" s="1317"/>
      <c r="F26" s="1316"/>
    </row>
    <row r="27" spans="2:12">
      <c r="B27" s="1299"/>
      <c r="C27" s="1317"/>
      <c r="D27" s="1317"/>
      <c r="E27" s="1317"/>
      <c r="F27" s="1316"/>
    </row>
    <row r="28" spans="2:12">
      <c r="B28" s="1299"/>
      <c r="C28" s="1317"/>
      <c r="D28" s="1317"/>
      <c r="E28" s="1317"/>
      <c r="F28" s="1316"/>
    </row>
    <row r="29" spans="2:12">
      <c r="B29" s="1299"/>
      <c r="C29" s="1317"/>
      <c r="D29" s="1317"/>
      <c r="E29" s="1317"/>
      <c r="F29" s="1316"/>
    </row>
    <row r="30" spans="2:12" ht="13.8" thickBot="1">
      <c r="B30" s="1315"/>
      <c r="C30" s="1314"/>
      <c r="D30" s="1314"/>
      <c r="E30" s="1314"/>
      <c r="F30" s="1313"/>
    </row>
    <row r="31" spans="2:12" ht="13.8" thickBot="1">
      <c r="B31" s="1312"/>
      <c r="C31" s="1311"/>
      <c r="D31" s="1311"/>
      <c r="E31" s="1311"/>
      <c r="F31" s="1310"/>
    </row>
    <row r="32" spans="2:12">
      <c r="B32" s="2180" t="s">
        <v>1717</v>
      </c>
      <c r="C32" s="2181"/>
      <c r="D32" s="2181"/>
      <c r="E32" s="2181"/>
      <c r="F32" s="2182"/>
    </row>
    <row r="33" spans="2:6" ht="26.4">
      <c r="B33" s="1309" t="s">
        <v>1716</v>
      </c>
      <c r="C33" s="1308" t="s">
        <v>1715</v>
      </c>
      <c r="D33" s="1302" t="s">
        <v>1709</v>
      </c>
      <c r="E33" s="1301" t="s">
        <v>1714</v>
      </c>
      <c r="F33" s="1300" t="s">
        <v>1706</v>
      </c>
    </row>
    <row r="34" spans="2:6">
      <c r="B34" s="1299" t="s">
        <v>1713</v>
      </c>
      <c r="C34" s="1298">
        <v>50</v>
      </c>
      <c r="D34" s="1298">
        <f>IF(C34=0, 0, IF(C34&lt;50, 4, ROUNDUP((C34/1.173+3)/12,0)))</f>
        <v>4</v>
      </c>
      <c r="E34" s="1298">
        <f>(D34*12-3)*4*0.88/3</f>
        <v>52.800000000000004</v>
      </c>
      <c r="F34" s="1296">
        <f>'FE STACK PRICES'!D10*'FE STACK'!D34</f>
        <v>30320</v>
      </c>
    </row>
    <row r="35" spans="2:6">
      <c r="B35" s="1299" t="s">
        <v>1712</v>
      </c>
      <c r="C35" s="1298">
        <v>0</v>
      </c>
      <c r="D35" s="1298">
        <f>IF(C35=0,0,IF(C35&lt;15,4,ROUNDUP(C35/3.84,0)))</f>
        <v>0</v>
      </c>
      <c r="E35" s="1307">
        <f>D35*4*3.2*0.9/3</f>
        <v>0</v>
      </c>
      <c r="F35" s="1296">
        <f>'FE STACK PRICES'!D12*'FE STACK'!D35</f>
        <v>0</v>
      </c>
    </row>
    <row r="36" spans="2:6" ht="13.8" thickBot="1">
      <c r="B36" s="1306"/>
      <c r="C36" s="1305"/>
      <c r="D36" s="1305"/>
      <c r="E36" s="1305"/>
      <c r="F36" s="1304"/>
    </row>
    <row r="37" spans="2:6">
      <c r="B37" s="2180" t="s">
        <v>1711</v>
      </c>
      <c r="C37" s="2181"/>
      <c r="D37" s="2181"/>
      <c r="E37" s="2181"/>
      <c r="F37" s="2182"/>
    </row>
    <row r="38" spans="2:6" ht="26.4">
      <c r="B38" s="1303" t="s">
        <v>1710</v>
      </c>
      <c r="C38" s="1302" t="s">
        <v>1709</v>
      </c>
      <c r="D38" s="1302" t="s">
        <v>1708</v>
      </c>
      <c r="E38" s="1301" t="s">
        <v>1707</v>
      </c>
      <c r="F38" s="1300" t="s">
        <v>1706</v>
      </c>
    </row>
    <row r="39" spans="2:6">
      <c r="B39" s="1299">
        <v>70</v>
      </c>
      <c r="C39" s="1298">
        <f>IF(B39&lt;53, 3, IF(B39&gt;472, ROUNDUP(B39/31.4496,0), ROUNDUP(B39/26.221104, 0)))</f>
        <v>3</v>
      </c>
      <c r="D39" s="1298">
        <f>LOOKUP(C39,{0,10,16,26,32,42},{2,3,5,6,8,8})</f>
        <v>2</v>
      </c>
      <c r="E39" s="1297">
        <f>IF(C39&gt;18, 12*4*C39*0.8*0.9*0.91, 12*4*C39*0.667*0.9*0.91)</f>
        <v>78.663312000000005</v>
      </c>
      <c r="F39" s="1296">
        <f>('FE STACK PRICES'!D14*'FE STACK'!C39+'FE STACK PRICES'!D15*'FE STACK'!D39)/('FE STACK PRICES'!B40)</f>
        <v>46851.25</v>
      </c>
    </row>
    <row r="40" spans="2:6">
      <c r="B40" s="1295"/>
      <c r="C40" s="1294"/>
      <c r="D40" s="1294"/>
      <c r="E40" s="1294"/>
      <c r="F40" s="1293"/>
    </row>
    <row r="41" spans="2:6">
      <c r="B41" s="2217" t="s">
        <v>1705</v>
      </c>
      <c r="C41" s="2218"/>
      <c r="D41" s="2218"/>
      <c r="E41" s="2218"/>
      <c r="F41" s="2219"/>
    </row>
    <row r="42" spans="2:6">
      <c r="B42" s="1281"/>
      <c r="C42" s="1292"/>
      <c r="D42" s="1292"/>
      <c r="E42" s="1292"/>
      <c r="F42" s="1291"/>
    </row>
    <row r="43" spans="2:6" ht="13.8" thickBot="1">
      <c r="B43" s="1290"/>
      <c r="F43" s="1289"/>
    </row>
    <row r="44" spans="2:6" ht="13.8" thickBot="1">
      <c r="B44" s="2220" t="s">
        <v>1704</v>
      </c>
      <c r="C44" s="2221"/>
      <c r="D44" s="2222"/>
      <c r="E44" s="2223" t="s">
        <v>1703</v>
      </c>
      <c r="F44" s="2194"/>
    </row>
    <row r="45" spans="2:6">
      <c r="B45" s="1288" t="s">
        <v>1702</v>
      </c>
      <c r="C45" s="2224">
        <f>F7+F11</f>
        <v>335918.75</v>
      </c>
      <c r="D45" s="2225"/>
      <c r="E45" s="1286" t="s">
        <v>1701</v>
      </c>
      <c r="F45" s="1287">
        <f>E7+E11+SUM(D24:D30)+SUM(D34:D35)+D39+C39</f>
        <v>20</v>
      </c>
    </row>
    <row r="46" spans="2:6">
      <c r="B46" s="1281" t="s">
        <v>1700</v>
      </c>
      <c r="C46" s="2226">
        <f>SUM(F24:F30)+SUM(F34:F35)+F39</f>
        <v>162626.25</v>
      </c>
      <c r="D46" s="2227"/>
      <c r="E46" s="1286" t="s">
        <v>1699</v>
      </c>
      <c r="F46" s="1284">
        <f>E12</f>
        <v>2</v>
      </c>
    </row>
    <row r="47" spans="2:6">
      <c r="B47" s="1281" t="s">
        <v>1698</v>
      </c>
      <c r="C47" s="2213">
        <f>SUM(C45:D46)*0.05</f>
        <v>24927.25</v>
      </c>
      <c r="D47" s="2214"/>
      <c r="E47" s="1286" t="s">
        <v>1697</v>
      </c>
      <c r="F47" s="1284">
        <f>E13+E14+E15+E18+E19+E20</f>
        <v>11</v>
      </c>
    </row>
    <row r="48" spans="2:6">
      <c r="B48" s="1281" t="s">
        <v>1696</v>
      </c>
      <c r="C48" s="2213">
        <f>SUM(C45:D46)*0.05</f>
        <v>24927.25</v>
      </c>
      <c r="D48" s="2214"/>
      <c r="E48" s="1286" t="s">
        <v>1695</v>
      </c>
      <c r="F48" s="1284">
        <f>E17</f>
        <v>1</v>
      </c>
    </row>
    <row r="49" spans="2:6">
      <c r="B49" s="1281" t="s">
        <v>1694</v>
      </c>
      <c r="C49" s="2228">
        <f>SUM(C45:D48)</f>
        <v>548399.5</v>
      </c>
      <c r="D49" s="2229"/>
      <c r="E49" s="1285" t="s">
        <v>1693</v>
      </c>
      <c r="F49" s="1284">
        <f>E17</f>
        <v>1</v>
      </c>
    </row>
    <row r="50" spans="2:6" ht="13.8" thickBot="1">
      <c r="B50" s="1281" t="s">
        <v>1692</v>
      </c>
      <c r="C50" s="2213">
        <f>C49*C52</f>
        <v>109679.90000000001</v>
      </c>
      <c r="D50" s="2214"/>
      <c r="E50" s="1283" t="s">
        <v>1691</v>
      </c>
      <c r="F50" s="1282">
        <f>SUM(F46:F49)</f>
        <v>15</v>
      </c>
    </row>
    <row r="51" spans="2:6">
      <c r="B51" s="1281" t="s">
        <v>1690</v>
      </c>
      <c r="C51" s="2213">
        <f>SUM(C49:D50)</f>
        <v>658079.4</v>
      </c>
      <c r="D51" s="2214"/>
      <c r="F51" s="1279"/>
    </row>
    <row r="52" spans="2:6" ht="13.8" thickBot="1">
      <c r="B52" s="1280" t="s">
        <v>389</v>
      </c>
      <c r="C52" s="2215">
        <v>0.2</v>
      </c>
      <c r="D52" s="2216"/>
      <c r="E52" s="1278"/>
      <c r="F52" s="1279"/>
    </row>
    <row r="53" spans="2:6">
      <c r="E53" s="1278"/>
      <c r="F53" s="1277"/>
    </row>
  </sheetData>
  <sheetProtection algorithmName="SHA-512" hashValue="7GFjZhnGZp3uoPPTZTLiuDCft/xgf+6FLhDLlArwB+6qPu+SIElnZ6FzrmaQuaYHzLiGf/wrTGauLt0/85TuOg==" saltValue="sgqU2e0fy+QREcEXB/5N5w==" spinCount="100000" sheet="1" objects="1" scenarios="1" selectLockedCells="1" selectUnlockedCells="1"/>
  <dataConsolidate/>
  <mergeCells count="34">
    <mergeCell ref="C50:D50"/>
    <mergeCell ref="C51:D51"/>
    <mergeCell ref="C52:D52"/>
    <mergeCell ref="B37:F37"/>
    <mergeCell ref="B41:F41"/>
    <mergeCell ref="B44:D44"/>
    <mergeCell ref="E44:F44"/>
    <mergeCell ref="C45:D45"/>
    <mergeCell ref="C46:D46"/>
    <mergeCell ref="C47:D47"/>
    <mergeCell ref="C48:D48"/>
    <mergeCell ref="C49:D49"/>
    <mergeCell ref="B22:F22"/>
    <mergeCell ref="B32:F32"/>
    <mergeCell ref="B9:F9"/>
    <mergeCell ref="B10:D10"/>
    <mergeCell ref="G10:L20"/>
    <mergeCell ref="B11:D11"/>
    <mergeCell ref="F11:F20"/>
    <mergeCell ref="B12:D12"/>
    <mergeCell ref="B13:D13"/>
    <mergeCell ref="B14:D14"/>
    <mergeCell ref="B15:D15"/>
    <mergeCell ref="B16:D16"/>
    <mergeCell ref="B17:D17"/>
    <mergeCell ref="B18:D18"/>
    <mergeCell ref="B19:D19"/>
    <mergeCell ref="B20:D20"/>
    <mergeCell ref="B7:D7"/>
    <mergeCell ref="B1:F1"/>
    <mergeCell ref="B3:F3"/>
    <mergeCell ref="B4:F4"/>
    <mergeCell ref="B5:F5"/>
    <mergeCell ref="B6:D6"/>
  </mergeCells>
  <pageMargins left="0.7" right="0.7" top="0.75" bottom="0.75" header="0.3" footer="0.3"/>
  <pageSetup paperSize="9" orientation="portrait" r:id="rId1"/>
  <headerFooter>
    <oddFooter>&amp;C_x000D_&amp;1#&amp;"Helvetica 75 Bold"&amp;8&amp;KED7D31 Orange Restricted</oddFooter>
  </headerFooter>
</worksheet>
</file>

<file path=docMetadata/LabelInfo.xml><?xml version="1.0" encoding="utf-8"?>
<clbl:labelList xmlns:clbl="http://schemas.microsoft.com/office/2020/mipLabelMetadata">
  <clbl:label id="{e6c818a6-e1a0-4a6e-a969-20d857c5dc62}" enabled="1" method="Standard" siteId="{90c7a20a-f34b-40bf-bc48-b9253b6f5d2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3</vt:i4>
      </vt:variant>
    </vt:vector>
  </HeadingPairs>
  <TitlesOfParts>
    <vt:vector size="13" baseType="lpstr">
      <vt:lpstr>Flexible Engine</vt:lpstr>
      <vt:lpstr>Liste de prix Public EUROPE</vt:lpstr>
      <vt:lpstr>RDS Réservés</vt:lpstr>
      <vt:lpstr>Deviseur EUROPE</vt:lpstr>
      <vt:lpstr>QuoteTool EUROPE</vt:lpstr>
      <vt:lpstr>Devis EUROPE</vt:lpstr>
      <vt:lpstr>Quote EUROPE</vt:lpstr>
      <vt:lpstr>Historique GDU</vt:lpstr>
      <vt:lpstr>FE STACK</vt:lpstr>
      <vt:lpstr>FE STACK PRICES</vt:lpstr>
      <vt:lpstr>'Deviseur EUROPE'!Zone_d_impression</vt:lpstr>
      <vt:lpstr>'Quote EUROPE'!Zone_d_impression</vt:lpstr>
      <vt:lpstr>'QuoteTool EUROPE'!Zone_d_impression</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Bornibus</dc:creator>
  <cp:lastModifiedBy>DURAND Geoffrey Ext OBS/MKT</cp:lastModifiedBy>
  <cp:lastPrinted>2019-11-08T08:35:53Z</cp:lastPrinted>
  <dcterms:created xsi:type="dcterms:W3CDTF">2014-03-24T15:44:10Z</dcterms:created>
  <dcterms:modified xsi:type="dcterms:W3CDTF">2023-12-01T18:19:50Z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d1f144-26ac-4410-8fdb-05c7de218e82_Enabled">
    <vt:lpwstr>true</vt:lpwstr>
  </property>
  <property fmtid="{D5CDD505-2E9C-101B-9397-08002B2CF9AE}" pid="3" name="MSIP_Label_7bd1f144-26ac-4410-8fdb-05c7de218e82_SetDate">
    <vt:lpwstr>2022-05-12T14:40:55Z</vt:lpwstr>
  </property>
  <property fmtid="{D5CDD505-2E9C-101B-9397-08002B2CF9AE}" pid="4" name="MSIP_Label_7bd1f144-26ac-4410-8fdb-05c7de218e82_Method">
    <vt:lpwstr>Standard</vt:lpwstr>
  </property>
  <property fmtid="{D5CDD505-2E9C-101B-9397-08002B2CF9AE}" pid="5" name="MSIP_Label_7bd1f144-26ac-4410-8fdb-05c7de218e82_Name">
    <vt:lpwstr>FR Usage restreint</vt:lpwstr>
  </property>
  <property fmtid="{D5CDD505-2E9C-101B-9397-08002B2CF9AE}" pid="6" name="MSIP_Label_7bd1f144-26ac-4410-8fdb-05c7de218e82_SiteId">
    <vt:lpwstr>8b87af7d-8647-4dc7-8df4-5f69a2011bb5</vt:lpwstr>
  </property>
  <property fmtid="{D5CDD505-2E9C-101B-9397-08002B2CF9AE}" pid="7" name="MSIP_Label_7bd1f144-26ac-4410-8fdb-05c7de218e82_ActionId">
    <vt:lpwstr>c4956dbc-6208-4803-8a8c-0d03be8e14b2</vt:lpwstr>
  </property>
  <property fmtid="{D5CDD505-2E9C-101B-9397-08002B2CF9AE}" pid="8" name="MSIP_Label_7bd1f144-26ac-4410-8fdb-05c7de218e82_ContentBits">
    <vt:lpwstr>3</vt:lpwstr>
  </property>
  <property fmtid="{D5CDD505-2E9C-101B-9397-08002B2CF9AE}" pid="9" name="MSIP_Label_e6c818a6-e1a0-4a6e-a969-20d857c5dc62_Enabled">
    <vt:lpwstr>true</vt:lpwstr>
  </property>
  <property fmtid="{D5CDD505-2E9C-101B-9397-08002B2CF9AE}" pid="10" name="MSIP_Label_e6c818a6-e1a0-4a6e-a969-20d857c5dc62_SetDate">
    <vt:lpwstr>2023-03-30T07:38:28Z</vt:lpwstr>
  </property>
  <property fmtid="{D5CDD505-2E9C-101B-9397-08002B2CF9AE}" pid="11" name="MSIP_Label_e6c818a6-e1a0-4a6e-a969-20d857c5dc62_Method">
    <vt:lpwstr>Standard</vt:lpwstr>
  </property>
  <property fmtid="{D5CDD505-2E9C-101B-9397-08002B2CF9AE}" pid="12" name="MSIP_Label_e6c818a6-e1a0-4a6e-a969-20d857c5dc62_Name">
    <vt:lpwstr>Orange_restricted_internal.2</vt:lpwstr>
  </property>
  <property fmtid="{D5CDD505-2E9C-101B-9397-08002B2CF9AE}" pid="13" name="MSIP_Label_e6c818a6-e1a0-4a6e-a969-20d857c5dc62_SiteId">
    <vt:lpwstr>90c7a20a-f34b-40bf-bc48-b9253b6f5d20</vt:lpwstr>
  </property>
  <property fmtid="{D5CDD505-2E9C-101B-9397-08002B2CF9AE}" pid="14" name="MSIP_Label_e6c818a6-e1a0-4a6e-a969-20d857c5dc62_ActionId">
    <vt:lpwstr>854c6bf6-91db-424a-8603-1b141bf85588</vt:lpwstr>
  </property>
  <property fmtid="{D5CDD505-2E9C-101B-9397-08002B2CF9AE}" pid="15" name="MSIP_Label_e6c818a6-e1a0-4a6e-a969-20d857c5dc62_ContentBits">
    <vt:lpwstr>2</vt:lpwstr>
  </property>
  <property fmtid="{D5CDD505-2E9C-101B-9397-08002B2CF9AE}" pid="16" name="Offisync_ServerID">
    <vt:lpwstr>1abe28f6-4eb5-42e6-bbff-1356c852cf7b</vt:lpwstr>
  </property>
  <property fmtid="{D5CDD505-2E9C-101B-9397-08002B2CF9AE}" pid="17" name="Jive_VersionGuid">
    <vt:lpwstr>8b958589-fd78-46ee-9734-b09fa342cd4a</vt:lpwstr>
  </property>
  <property fmtid="{D5CDD505-2E9C-101B-9397-08002B2CF9AE}" pid="18" name="Offisync_UniqueId">
    <vt:lpwstr>1827550</vt:lpwstr>
  </property>
  <property fmtid="{D5CDD505-2E9C-101B-9397-08002B2CF9AE}" pid="19" name="Jive_LatestUserAccountName">
    <vt:lpwstr>geoffrey1.durand.ext@orange.com</vt:lpwstr>
  </property>
  <property fmtid="{D5CDD505-2E9C-101B-9397-08002B2CF9AE}" pid="20" name="Offisync_UpdateToken">
    <vt:lpwstr>75</vt:lpwstr>
  </property>
  <property fmtid="{D5CDD505-2E9C-101B-9397-08002B2CF9AE}" pid="21" name="Offisync_ProviderInitializationData">
    <vt:lpwstr>https://plazza.orange.com</vt:lpwstr>
  </property>
  <property fmtid="{D5CDD505-2E9C-101B-9397-08002B2CF9AE}" pid="22" name="Jive_ModifiedButNotPublished">
    <vt:lpwstr>True</vt:lpwstr>
  </property>
</Properties>
</file>